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comments3.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mikay\Desktop\DDGS Calculator\Final Calc\"/>
    </mc:Choice>
  </mc:AlternateContent>
  <xr:revisionPtr revIDLastSave="0" documentId="13_ncr:1_{4D301844-497E-4DF4-88B9-C5A10737A2B2}" xr6:coauthVersionLast="47" xr6:coauthVersionMax="47" xr10:uidLastSave="{00000000-0000-0000-0000-000000000000}"/>
  <bookViews>
    <workbookView xWindow="-35265" yWindow="-975" windowWidth="18150" windowHeight="12180" tabRatio="833" activeTab="1" xr2:uid="{00000000-000D-0000-FFFF-FFFF00000000}"/>
  </bookViews>
  <sheets>
    <sheet name="Instructions" sheetId="30334" r:id="rId1"/>
    <sheet name="DDGS Calculator" sheetId="30291" r:id="rId2"/>
    <sheet name="Performance" sheetId="30308" state="hidden" r:id="rId3"/>
    <sheet name="Nutrients" sheetId="30248" state="hidden" r:id="rId4"/>
    <sheet name="Grow finish feed budget" sheetId="30307" state="hidden" r:id="rId5"/>
    <sheet name="GF diets No L-Val" sheetId="30290" state="hidden" r:id="rId6"/>
    <sheet name="GF diets No L-Val + Fat" sheetId="30294" state="hidden" r:id="rId7"/>
    <sheet name="GF diets L-Val" sheetId="30300" state="hidden" r:id="rId8"/>
    <sheet name="GF diets L-Val + Fat" sheetId="30295" state="hidden" r:id="rId9"/>
    <sheet name="GF diets No L-Val + WD" sheetId="30311" state="hidden" r:id="rId10"/>
    <sheet name="GF diets No L-Val + Fat + WD" sheetId="30312" state="hidden" r:id="rId11"/>
    <sheet name="GF diets L-Val + WD" sheetId="30301" state="hidden" r:id="rId12"/>
    <sheet name="GF diets L-Val + Fat + WD" sheetId="30298" state="hidden" r:id="rId13"/>
  </sheets>
  <definedNames>
    <definedName name="_xlnm._FilterDatabase" localSheetId="7" hidden="1">'GF diets L-Val'!$AY$342:$BD$353</definedName>
    <definedName name="_xlnm._FilterDatabase" localSheetId="5" hidden="1">'GF diets No L-Val'!$A$9:$A$10</definedName>
    <definedName name="Drug_costs_per_gram">#REF!</definedName>
    <definedName name="Energy">#REF!</definedName>
    <definedName name="_xlnm.Print_Area" localSheetId="1">'DDGS Calculator'!$B$1:$J$41,'DDGS Calculator'!$B$43:$J$81</definedName>
    <definedName name="_xlnm.Print_Area" localSheetId="5">'GF diets No L-Val'!$A$3:$E$268</definedName>
    <definedName name="_xlnm.Print_Titles" localSheetId="5">'GF diets No L-Val'!$A:$A</definedName>
    <definedName name="solver_adj" localSheetId="1" hidden="1">'DDGS Calculator'!$D$5:$D$15</definedName>
    <definedName name="solver_adj" localSheetId="7" hidden="1">'GF diets L-Val'!$P$125</definedName>
    <definedName name="solver_adj" localSheetId="5" hidden="1">'GF diets No L-Val'!$I$125</definedName>
    <definedName name="solver_cvg" localSheetId="1" hidden="1">0.0001</definedName>
    <definedName name="solver_cvg" localSheetId="7" hidden="1">0.0001</definedName>
    <definedName name="solver_cvg" localSheetId="5" hidden="1">0.0001</definedName>
    <definedName name="solver_drv" localSheetId="1" hidden="1">1</definedName>
    <definedName name="solver_drv" localSheetId="7" hidden="1">1</definedName>
    <definedName name="solver_drv" localSheetId="5" hidden="1">1</definedName>
    <definedName name="solver_eng" localSheetId="1" hidden="1">1</definedName>
    <definedName name="solver_eng" localSheetId="7" hidden="1">1</definedName>
    <definedName name="solver_eng" localSheetId="5" hidden="1">1</definedName>
    <definedName name="solver_est" localSheetId="1" hidden="1">1</definedName>
    <definedName name="solver_est" localSheetId="5" hidden="1">1</definedName>
    <definedName name="solver_itr" localSheetId="1" hidden="1">2147483647</definedName>
    <definedName name="solver_itr" localSheetId="7" hidden="1">2147483647</definedName>
    <definedName name="solver_itr" localSheetId="5" hidden="1">2147483647</definedName>
    <definedName name="solver_lhs1" localSheetId="1" hidden="1">'DDGS Calculator'!$D$5</definedName>
    <definedName name="solver_lhs2" localSheetId="1" hidden="1">'DDGS Calculator'!$D$6</definedName>
    <definedName name="solver_lin" localSheetId="7" hidden="1">2</definedName>
    <definedName name="solver_mip" localSheetId="1" hidden="1">2147483647</definedName>
    <definedName name="solver_mip" localSheetId="7" hidden="1">2147483647</definedName>
    <definedName name="solver_mip" localSheetId="5" hidden="1">2147483647</definedName>
    <definedName name="solver_mni" localSheetId="1" hidden="1">30</definedName>
    <definedName name="solver_mni" localSheetId="7" hidden="1">30</definedName>
    <definedName name="solver_mni" localSheetId="5" hidden="1">30</definedName>
    <definedName name="solver_mrt" localSheetId="1" hidden="1">0.075</definedName>
    <definedName name="solver_mrt" localSheetId="7" hidden="1">0.075</definedName>
    <definedName name="solver_mrt" localSheetId="5" hidden="1">0.075</definedName>
    <definedName name="solver_msl" localSheetId="1" hidden="1">2</definedName>
    <definedName name="solver_msl" localSheetId="7" hidden="1">2</definedName>
    <definedName name="solver_msl" localSheetId="5" hidden="1">2</definedName>
    <definedName name="solver_neg" localSheetId="1" hidden="1">1</definedName>
    <definedName name="solver_neg" localSheetId="7" hidden="1">1</definedName>
    <definedName name="solver_neg" localSheetId="5" hidden="1">1</definedName>
    <definedName name="solver_nod" localSheetId="1" hidden="1">2147483647</definedName>
    <definedName name="solver_nod" localSheetId="7" hidden="1">2147483647</definedName>
    <definedName name="solver_nod" localSheetId="5" hidden="1">2147483647</definedName>
    <definedName name="solver_num" localSheetId="1" hidden="1">2</definedName>
    <definedName name="solver_num" localSheetId="7" hidden="1">0</definedName>
    <definedName name="solver_num" localSheetId="5" hidden="1">0</definedName>
    <definedName name="solver_nwt" localSheetId="1" hidden="1">1</definedName>
    <definedName name="solver_nwt" localSheetId="5" hidden="1">1</definedName>
    <definedName name="solver_opt" localSheetId="1" hidden="1">'DDGS Calculator'!$E$25</definedName>
    <definedName name="solver_opt" localSheetId="7" hidden="1">'GF diets L-Val'!$P$237</definedName>
    <definedName name="solver_opt" localSheetId="5" hidden="1">'GF diets No L-Val'!$I$240</definedName>
    <definedName name="solver_pre" localSheetId="1" hidden="1">0.000001</definedName>
    <definedName name="solver_pre" localSheetId="7" hidden="1">0.000001</definedName>
    <definedName name="solver_pre" localSheetId="5" hidden="1">0.000001</definedName>
    <definedName name="solver_rbv" localSheetId="1" hidden="1">1</definedName>
    <definedName name="solver_rbv" localSheetId="7" hidden="1">1</definedName>
    <definedName name="solver_rbv" localSheetId="5" hidden="1">1</definedName>
    <definedName name="solver_rel1" localSheetId="1" hidden="1">1</definedName>
    <definedName name="solver_rel2" localSheetId="1" hidden="1">1</definedName>
    <definedName name="solver_rhs1" localSheetId="1" hidden="1">7</definedName>
    <definedName name="solver_rhs2" localSheetId="1" hidden="1">450</definedName>
    <definedName name="solver_rlx" localSheetId="1" hidden="1">2</definedName>
    <definedName name="solver_rlx" localSheetId="7" hidden="1">1</definedName>
    <definedName name="solver_rlx" localSheetId="5" hidden="1">2</definedName>
    <definedName name="solver_rsd" localSheetId="1" hidden="1">0</definedName>
    <definedName name="solver_rsd" localSheetId="7" hidden="1">0</definedName>
    <definedName name="solver_rsd" localSheetId="5" hidden="1">0</definedName>
    <definedName name="solver_scl" localSheetId="1" hidden="1">1</definedName>
    <definedName name="solver_scl" localSheetId="7" hidden="1">2</definedName>
    <definedName name="solver_scl" localSheetId="5" hidden="1">1</definedName>
    <definedName name="solver_sho" localSheetId="1" hidden="1">2</definedName>
    <definedName name="solver_sho" localSheetId="7" hidden="1">2</definedName>
    <definedName name="solver_sho" localSheetId="5" hidden="1">2</definedName>
    <definedName name="solver_ssz" localSheetId="1" hidden="1">100</definedName>
    <definedName name="solver_ssz" localSheetId="7" hidden="1">100</definedName>
    <definedName name="solver_ssz" localSheetId="5" hidden="1">100</definedName>
    <definedName name="solver_tim" localSheetId="1" hidden="1">2147483647</definedName>
    <definedName name="solver_tim" localSheetId="7" hidden="1">2147483647</definedName>
    <definedName name="solver_tim" localSheetId="5" hidden="1">2147483647</definedName>
    <definedName name="solver_tol" localSheetId="1" hidden="1">0.01</definedName>
    <definedName name="solver_tol" localSheetId="7" hidden="1">0.01</definedName>
    <definedName name="solver_tol" localSheetId="5" hidden="1">0.01</definedName>
    <definedName name="solver_typ" localSheetId="1" hidden="1">3</definedName>
    <definedName name="solver_typ" localSheetId="7" hidden="1">3</definedName>
    <definedName name="solver_typ" localSheetId="5" hidden="1">1</definedName>
    <definedName name="solver_val" localSheetId="1" hidden="1">0.2</definedName>
    <definedName name="solver_val" localSheetId="7" hidden="1">60</definedName>
    <definedName name="solver_val" localSheetId="5" hidden="1">0</definedName>
    <definedName name="solver_ver" localSheetId="1" hidden="1">3</definedName>
    <definedName name="solver_ver" localSheetId="7" hidden="1">2</definedName>
    <definedName name="solver_ver" localSheetId="5" hidden="1">3</definedName>
    <definedName name="Yesno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16" i="30290" l="1"/>
  <c r="J316" i="30290"/>
  <c r="H14" i="30291" l="1"/>
  <c r="H4" i="30291"/>
  <c r="BT5" i="30308"/>
  <c r="G13" i="30291" l="1"/>
  <c r="H13" i="30291" s="1"/>
  <c r="AK232" i="30300" l="1"/>
  <c r="AK232" i="30301"/>
  <c r="AK232" i="30295"/>
  <c r="BT45" i="30308"/>
  <c r="AW232" i="30301"/>
  <c r="AP232" i="30301"/>
  <c r="AI232" i="30301"/>
  <c r="AB232" i="30301"/>
  <c r="U232" i="30301"/>
  <c r="N232" i="30301"/>
  <c r="AB232" i="30312"/>
  <c r="U232" i="30312"/>
  <c r="N232" i="30312"/>
  <c r="AW232" i="30311"/>
  <c r="AP232" i="30311"/>
  <c r="AI232" i="30311"/>
  <c r="AB232" i="30311"/>
  <c r="U232" i="30311"/>
  <c r="N232" i="30311"/>
  <c r="K74" i="30308"/>
  <c r="L74" i="30308"/>
  <c r="M74" i="30308"/>
  <c r="N74" i="30308"/>
  <c r="O74" i="30308"/>
  <c r="O78" i="30308"/>
  <c r="O79" i="30308"/>
  <c r="O80" i="30308"/>
  <c r="J74" i="30308"/>
  <c r="K54" i="30308"/>
  <c r="L54" i="30308"/>
  <c r="M54" i="30308"/>
  <c r="N54" i="30308"/>
  <c r="O54" i="30308"/>
  <c r="O58" i="30308"/>
  <c r="O59" i="30308"/>
  <c r="O60" i="30308"/>
  <c r="J54" i="30308"/>
  <c r="K44" i="30308"/>
  <c r="L44" i="30308"/>
  <c r="M44" i="30308"/>
  <c r="N44" i="30308"/>
  <c r="O44" i="30308"/>
  <c r="K45" i="30308"/>
  <c r="L45" i="30308"/>
  <c r="M45" i="30308"/>
  <c r="N45" i="30308"/>
  <c r="K46" i="30308"/>
  <c r="L46" i="30308"/>
  <c r="M46" i="30308"/>
  <c r="N46" i="30308"/>
  <c r="K47" i="30308"/>
  <c r="L47" i="30308"/>
  <c r="M47" i="30308"/>
  <c r="N47" i="30308"/>
  <c r="K48" i="30308"/>
  <c r="L48" i="30308"/>
  <c r="M48" i="30308"/>
  <c r="N48" i="30308"/>
  <c r="K49" i="30308"/>
  <c r="L49" i="30308"/>
  <c r="M49" i="30308"/>
  <c r="N49" i="30308"/>
  <c r="K50" i="30308"/>
  <c r="L50" i="30308"/>
  <c r="M50" i="30308"/>
  <c r="N50" i="30308"/>
  <c r="J50" i="30308"/>
  <c r="J49" i="30308"/>
  <c r="J48" i="30308"/>
  <c r="J47" i="30308"/>
  <c r="J46" i="30308"/>
  <c r="J45" i="30308"/>
  <c r="J44" i="30308"/>
  <c r="G304" i="30298" l="1"/>
  <c r="G305" i="30298" s="1"/>
  <c r="N297" i="30298"/>
  <c r="N7" i="30298" s="1"/>
  <c r="G297" i="30298"/>
  <c r="F297" i="30298"/>
  <c r="F7" i="30298" s="1"/>
  <c r="E297" i="30298"/>
  <c r="D297" i="30298"/>
  <c r="C297" i="30298"/>
  <c r="B297" i="30298"/>
  <c r="B7" i="30298" s="1"/>
  <c r="AW292" i="30298"/>
  <c r="AV292" i="30298"/>
  <c r="AU292" i="30298"/>
  <c r="AT292" i="30298"/>
  <c r="AS292" i="30298"/>
  <c r="AR292" i="30298"/>
  <c r="AP292" i="30298"/>
  <c r="AO292" i="30298"/>
  <c r="AN292" i="30298"/>
  <c r="AM292" i="30298"/>
  <c r="AL292" i="30298"/>
  <c r="AK292" i="30298"/>
  <c r="AI292" i="30298"/>
  <c r="AH292" i="30298"/>
  <c r="AG292" i="30298"/>
  <c r="AF292" i="30298"/>
  <c r="AE292" i="30298"/>
  <c r="AD292" i="30298"/>
  <c r="AB292" i="30298"/>
  <c r="AA292" i="30298"/>
  <c r="Z292" i="30298"/>
  <c r="Y292" i="30298"/>
  <c r="X292" i="30298"/>
  <c r="W292" i="30298"/>
  <c r="U292" i="30298"/>
  <c r="T292" i="30298"/>
  <c r="S292" i="30298"/>
  <c r="R292" i="30298"/>
  <c r="Q292" i="30298"/>
  <c r="P292" i="30298"/>
  <c r="N292" i="30298"/>
  <c r="M292" i="30298"/>
  <c r="L292" i="30298"/>
  <c r="K292" i="30298"/>
  <c r="J292" i="30298"/>
  <c r="I292" i="30298"/>
  <c r="G292" i="30298"/>
  <c r="F292" i="30298"/>
  <c r="E292" i="30298"/>
  <c r="D292" i="30298"/>
  <c r="C292" i="30298"/>
  <c r="B292" i="30298"/>
  <c r="AW287" i="30298"/>
  <c r="AV287" i="30298"/>
  <c r="AU287" i="30298"/>
  <c r="AT287" i="30298"/>
  <c r="AS287" i="30298"/>
  <c r="AR287" i="30298"/>
  <c r="AP287" i="30298"/>
  <c r="AO287" i="30298"/>
  <c r="AN287" i="30298"/>
  <c r="AM287" i="30298"/>
  <c r="AL287" i="30298"/>
  <c r="AK287" i="30298"/>
  <c r="AI287" i="30298"/>
  <c r="AH287" i="30298"/>
  <c r="AG287" i="30298"/>
  <c r="AF287" i="30298"/>
  <c r="AE287" i="30298"/>
  <c r="AD287" i="30298"/>
  <c r="AB287" i="30298"/>
  <c r="AA287" i="30298"/>
  <c r="Z287" i="30298"/>
  <c r="Y287" i="30298"/>
  <c r="X287" i="30298"/>
  <c r="W287" i="30298"/>
  <c r="U287" i="30298"/>
  <c r="T287" i="30298"/>
  <c r="S287" i="30298"/>
  <c r="R287" i="30298"/>
  <c r="Q287" i="30298"/>
  <c r="P287" i="30298"/>
  <c r="N287" i="30298"/>
  <c r="M287" i="30298"/>
  <c r="L287" i="30298"/>
  <c r="K287" i="30298"/>
  <c r="J287" i="30298"/>
  <c r="I287" i="30298"/>
  <c r="G287" i="30298"/>
  <c r="F287" i="30298"/>
  <c r="E287" i="30298"/>
  <c r="D287" i="30298"/>
  <c r="C287" i="30298"/>
  <c r="B287" i="30298"/>
  <c r="AW284" i="30298"/>
  <c r="AV284" i="30298"/>
  <c r="AU284" i="30298"/>
  <c r="AT284" i="30298"/>
  <c r="AS284" i="30298"/>
  <c r="AR284" i="30298"/>
  <c r="AP284" i="30298"/>
  <c r="AO284" i="30298"/>
  <c r="AN284" i="30298"/>
  <c r="AM284" i="30298"/>
  <c r="AL284" i="30298"/>
  <c r="AK284" i="30298"/>
  <c r="AI284" i="30298"/>
  <c r="AH284" i="30298"/>
  <c r="AG284" i="30298"/>
  <c r="AF284" i="30298"/>
  <c r="AE284" i="30298"/>
  <c r="AD284" i="30298"/>
  <c r="AB284" i="30298"/>
  <c r="AA284" i="30298"/>
  <c r="Z284" i="30298"/>
  <c r="Y284" i="30298"/>
  <c r="X284" i="30298"/>
  <c r="W284" i="30298"/>
  <c r="U284" i="30298"/>
  <c r="T284" i="30298"/>
  <c r="S284" i="30298"/>
  <c r="R284" i="30298"/>
  <c r="Q284" i="30298"/>
  <c r="P284" i="30298"/>
  <c r="N284" i="30298"/>
  <c r="M284" i="30298"/>
  <c r="L284" i="30298"/>
  <c r="K284" i="30298"/>
  <c r="J284" i="30298"/>
  <c r="I284" i="30298"/>
  <c r="G284" i="30298"/>
  <c r="F284" i="30298"/>
  <c r="E284" i="30298"/>
  <c r="D284" i="30298"/>
  <c r="C284" i="30298"/>
  <c r="B284" i="30298"/>
  <c r="AW282" i="30298"/>
  <c r="AV282" i="30298"/>
  <c r="AU282" i="30298"/>
  <c r="AT282" i="30298"/>
  <c r="AS282" i="30298"/>
  <c r="AR282" i="30298"/>
  <c r="AP282" i="30298"/>
  <c r="AO282" i="30298"/>
  <c r="AN282" i="30298"/>
  <c r="AM282" i="30298"/>
  <c r="AL282" i="30298"/>
  <c r="AK282" i="30298"/>
  <c r="AI282" i="30298"/>
  <c r="AH282" i="30298"/>
  <c r="AG282" i="30298"/>
  <c r="AF282" i="30298"/>
  <c r="AE282" i="30298"/>
  <c r="AD282" i="30298"/>
  <c r="AB282" i="30298"/>
  <c r="AA282" i="30298"/>
  <c r="Z282" i="30298"/>
  <c r="Y282" i="30298"/>
  <c r="X282" i="30298"/>
  <c r="W282" i="30298"/>
  <c r="U282" i="30298"/>
  <c r="T282" i="30298"/>
  <c r="S282" i="30298"/>
  <c r="R282" i="30298"/>
  <c r="Q282" i="30298"/>
  <c r="P282" i="30298"/>
  <c r="N282" i="30298"/>
  <c r="M282" i="30298"/>
  <c r="L282" i="30298"/>
  <c r="K282" i="30298"/>
  <c r="J282" i="30298"/>
  <c r="I282" i="30298"/>
  <c r="G282" i="30298"/>
  <c r="F282" i="30298"/>
  <c r="E282" i="30298"/>
  <c r="D282" i="30298"/>
  <c r="C282" i="30298"/>
  <c r="B282" i="30298"/>
  <c r="AW281" i="30298"/>
  <c r="AV281" i="30298"/>
  <c r="AU281" i="30298"/>
  <c r="AT281" i="30298"/>
  <c r="AS281" i="30298"/>
  <c r="AR281" i="30298"/>
  <c r="AP281" i="30298"/>
  <c r="AO281" i="30298"/>
  <c r="AN281" i="30298"/>
  <c r="AM281" i="30298"/>
  <c r="AL281" i="30298"/>
  <c r="AK281" i="30298"/>
  <c r="AI281" i="30298"/>
  <c r="AH281" i="30298"/>
  <c r="AG281" i="30298"/>
  <c r="AF281" i="30298"/>
  <c r="AE281" i="30298"/>
  <c r="AD281" i="30298"/>
  <c r="AB281" i="30298"/>
  <c r="AA281" i="30298"/>
  <c r="Z281" i="30298"/>
  <c r="Y281" i="30298"/>
  <c r="X281" i="30298"/>
  <c r="W281" i="30298"/>
  <c r="U281" i="30298"/>
  <c r="T281" i="30298"/>
  <c r="S281" i="30298"/>
  <c r="R281" i="30298"/>
  <c r="Q281" i="30298"/>
  <c r="P281" i="30298"/>
  <c r="N281" i="30298"/>
  <c r="M281" i="30298"/>
  <c r="L281" i="30298"/>
  <c r="K281" i="30298"/>
  <c r="J281" i="30298"/>
  <c r="I281" i="30298"/>
  <c r="G281" i="30298"/>
  <c r="F281" i="30298"/>
  <c r="E281" i="30298"/>
  <c r="D281" i="30298"/>
  <c r="C281" i="30298"/>
  <c r="B281" i="30298"/>
  <c r="AW275" i="30298"/>
  <c r="AV275" i="30298"/>
  <c r="AU275" i="30298"/>
  <c r="AT275" i="30298"/>
  <c r="AS275" i="30298"/>
  <c r="AR275" i="30298"/>
  <c r="AP275" i="30298"/>
  <c r="AO275" i="30298"/>
  <c r="AN275" i="30298"/>
  <c r="AM275" i="30298"/>
  <c r="AL275" i="30298"/>
  <c r="AK275" i="30298"/>
  <c r="AI275" i="30298"/>
  <c r="AH275" i="30298"/>
  <c r="AG275" i="30298"/>
  <c r="AF275" i="30298"/>
  <c r="AE275" i="30298"/>
  <c r="AD275" i="30298"/>
  <c r="AB275" i="30298"/>
  <c r="AA275" i="30298"/>
  <c r="Z275" i="30298"/>
  <c r="Y275" i="30298"/>
  <c r="X275" i="30298"/>
  <c r="W275" i="30298"/>
  <c r="U275" i="30298"/>
  <c r="T275" i="30298"/>
  <c r="S275" i="30298"/>
  <c r="R275" i="30298"/>
  <c r="Q275" i="30298"/>
  <c r="P275" i="30298"/>
  <c r="N275" i="30298"/>
  <c r="M275" i="30298"/>
  <c r="L275" i="30298"/>
  <c r="K275" i="30298"/>
  <c r="J275" i="30298"/>
  <c r="I275" i="30298"/>
  <c r="G275" i="30298"/>
  <c r="F275" i="30298"/>
  <c r="E275" i="30298"/>
  <c r="D275" i="30298"/>
  <c r="C275" i="30298"/>
  <c r="B275" i="30298"/>
  <c r="AX271" i="30298"/>
  <c r="AQ271" i="30298"/>
  <c r="AJ271" i="30298"/>
  <c r="AC271" i="30298"/>
  <c r="V271" i="30298"/>
  <c r="O271" i="30298"/>
  <c r="H269" i="30298"/>
  <c r="H265" i="30298"/>
  <c r="F255" i="30298"/>
  <c r="G249" i="30298"/>
  <c r="E245" i="30298"/>
  <c r="D245" i="30298"/>
  <c r="F244" i="30298"/>
  <c r="J234" i="30298"/>
  <c r="AW232" i="30298"/>
  <c r="AV232" i="30298"/>
  <c r="AU232" i="30298"/>
  <c r="AT232" i="30298"/>
  <c r="AS232" i="30298"/>
  <c r="AR232" i="30298"/>
  <c r="AP232" i="30298"/>
  <c r="AO232" i="30298"/>
  <c r="AN232" i="30298"/>
  <c r="AM232" i="30298"/>
  <c r="AL232" i="30298"/>
  <c r="AK232" i="30298"/>
  <c r="AI232" i="30298"/>
  <c r="AH232" i="30298"/>
  <c r="AG232" i="30298"/>
  <c r="AF232" i="30298"/>
  <c r="AE232" i="30298"/>
  <c r="AD232" i="30298"/>
  <c r="AB232" i="30298"/>
  <c r="AA232" i="30298"/>
  <c r="Z232" i="30298"/>
  <c r="Y232" i="30298"/>
  <c r="X232" i="30298"/>
  <c r="W232" i="30298"/>
  <c r="U232" i="30298"/>
  <c r="T232" i="30298"/>
  <c r="S232" i="30298"/>
  <c r="R232" i="30298"/>
  <c r="Q232" i="30298"/>
  <c r="P232" i="30298"/>
  <c r="N232" i="30298"/>
  <c r="M232" i="30298"/>
  <c r="L232" i="30298"/>
  <c r="K232" i="30298"/>
  <c r="J232" i="30298"/>
  <c r="I232" i="30298"/>
  <c r="G232" i="30298"/>
  <c r="F232" i="30298"/>
  <c r="E232" i="30298"/>
  <c r="D232" i="30298"/>
  <c r="C232" i="30298"/>
  <c r="B232" i="30298"/>
  <c r="F230" i="30298"/>
  <c r="E230" i="30298"/>
  <c r="A229" i="30298"/>
  <c r="A228" i="30298"/>
  <c r="A227" i="30298"/>
  <c r="A226" i="30298"/>
  <c r="A225" i="30298"/>
  <c r="A224" i="30298"/>
  <c r="A223" i="30298"/>
  <c r="A222" i="30298"/>
  <c r="A221" i="30298"/>
  <c r="A220" i="30298"/>
  <c r="A219" i="30298"/>
  <c r="A218" i="30298"/>
  <c r="A217" i="30298"/>
  <c r="A216" i="30298"/>
  <c r="A215" i="30298"/>
  <c r="A214" i="30298"/>
  <c r="A213" i="30298"/>
  <c r="A212" i="30298"/>
  <c r="A211" i="30298"/>
  <c r="A210" i="30298"/>
  <c r="A209" i="30298"/>
  <c r="A208" i="30298"/>
  <c r="A207" i="30298"/>
  <c r="A206" i="30298"/>
  <c r="A205" i="30298"/>
  <c r="A204" i="30298"/>
  <c r="A203" i="30298"/>
  <c r="A202" i="30298"/>
  <c r="A201" i="30298"/>
  <c r="A200" i="30298"/>
  <c r="A199" i="30298"/>
  <c r="A198" i="30298"/>
  <c r="A197" i="30298"/>
  <c r="A196" i="30298"/>
  <c r="A195" i="30298"/>
  <c r="A194" i="30298"/>
  <c r="A193" i="30298"/>
  <c r="A192" i="30298"/>
  <c r="A191" i="30298"/>
  <c r="A190" i="30298"/>
  <c r="A189" i="30298"/>
  <c r="A188" i="30298"/>
  <c r="A187" i="30298"/>
  <c r="A186" i="30298"/>
  <c r="A185" i="30298"/>
  <c r="A184" i="30298"/>
  <c r="A183" i="30298"/>
  <c r="A182" i="30298"/>
  <c r="A181" i="30298"/>
  <c r="A180" i="30298"/>
  <c r="A179" i="30298"/>
  <c r="A178" i="30298"/>
  <c r="A177" i="30298"/>
  <c r="A176" i="30298"/>
  <c r="A175" i="30298"/>
  <c r="A174" i="30298"/>
  <c r="A173" i="30298"/>
  <c r="A172" i="30298"/>
  <c r="A171" i="30298"/>
  <c r="A170" i="30298"/>
  <c r="A169" i="30298"/>
  <c r="A168" i="30298"/>
  <c r="A167" i="30298"/>
  <c r="A166" i="30298"/>
  <c r="A165" i="30298"/>
  <c r="A164" i="30298"/>
  <c r="A163" i="30298"/>
  <c r="A162" i="30298"/>
  <c r="A161" i="30298"/>
  <c r="A160" i="30298"/>
  <c r="A159" i="30298"/>
  <c r="A158" i="30298"/>
  <c r="A157" i="30298"/>
  <c r="A156" i="30298"/>
  <c r="A155" i="30298"/>
  <c r="A154" i="30298"/>
  <c r="A153" i="30298"/>
  <c r="A152" i="30298"/>
  <c r="A151" i="30298"/>
  <c r="A150" i="30298"/>
  <c r="A149" i="30298"/>
  <c r="A148" i="30298"/>
  <c r="A147" i="30298"/>
  <c r="A146" i="30298"/>
  <c r="A145" i="30298"/>
  <c r="A144" i="30298"/>
  <c r="A143" i="30298"/>
  <c r="A142" i="30298"/>
  <c r="A141" i="30298"/>
  <c r="A140" i="30298"/>
  <c r="A139" i="30298"/>
  <c r="A138" i="30298"/>
  <c r="A137" i="30298"/>
  <c r="A136" i="30298"/>
  <c r="A135" i="30298"/>
  <c r="A134" i="30298"/>
  <c r="A133" i="30298"/>
  <c r="A132" i="30298"/>
  <c r="A131" i="30298"/>
  <c r="A130" i="30298"/>
  <c r="AH128" i="30298"/>
  <c r="AO128" i="30298" s="1"/>
  <c r="AV128" i="30298" s="1"/>
  <c r="AG128" i="30298"/>
  <c r="AN128" i="30298" s="1"/>
  <c r="AU128" i="30298" s="1"/>
  <c r="AF128" i="30298"/>
  <c r="AM128" i="30298" s="1"/>
  <c r="AT128" i="30298" s="1"/>
  <c r="AE128" i="30298"/>
  <c r="AL128" i="30298" s="1"/>
  <c r="AS128" i="30298" s="1"/>
  <c r="AD128" i="30298"/>
  <c r="AK128" i="30298" s="1"/>
  <c r="AR128" i="30298" s="1"/>
  <c r="AL127" i="30298"/>
  <c r="AS127" i="30298" s="1"/>
  <c r="X127" i="30298"/>
  <c r="AE127" i="30298" s="1"/>
  <c r="T127" i="30298"/>
  <c r="AA127" i="30298" s="1"/>
  <c r="AH127" i="30298" s="1"/>
  <c r="AO127" i="30298" s="1"/>
  <c r="S127" i="30298"/>
  <c r="Z127" i="30298" s="1"/>
  <c r="AG127" i="30298" s="1"/>
  <c r="AN127" i="30298" s="1"/>
  <c r="R127" i="30298"/>
  <c r="Y127" i="30298" s="1"/>
  <c r="AF127" i="30298" s="1"/>
  <c r="AM127" i="30298" s="1"/>
  <c r="P127" i="30298"/>
  <c r="W127" i="30298" s="1"/>
  <c r="M127" i="30298"/>
  <c r="L127" i="30298"/>
  <c r="K127" i="30298"/>
  <c r="J127" i="30298"/>
  <c r="Q127" i="30298" s="1"/>
  <c r="I127" i="30298"/>
  <c r="I234" i="30298" s="1"/>
  <c r="AL126" i="30298"/>
  <c r="AS126" i="30298" s="1"/>
  <c r="AE126" i="30298"/>
  <c r="AD126" i="30298"/>
  <c r="AK126" i="30298" s="1"/>
  <c r="AR126" i="30298" s="1"/>
  <c r="Q126" i="30298"/>
  <c r="X126" i="30298" s="1"/>
  <c r="P126" i="30298"/>
  <c r="W126" i="30298" s="1"/>
  <c r="M126" i="30298"/>
  <c r="L126" i="30298"/>
  <c r="K126" i="30298"/>
  <c r="R126" i="30298" s="1"/>
  <c r="A124" i="30298"/>
  <c r="A123" i="30298"/>
  <c r="A122" i="30298"/>
  <c r="A121" i="30298"/>
  <c r="A120" i="30298"/>
  <c r="A119" i="30298"/>
  <c r="A118" i="30298"/>
  <c r="A117" i="30298"/>
  <c r="AM116" i="30298"/>
  <c r="AL116" i="30298"/>
  <c r="AG116" i="30298"/>
  <c r="AD116" i="30298"/>
  <c r="AK116" i="30298" s="1"/>
  <c r="AA116" i="30298"/>
  <c r="Z116" i="30298"/>
  <c r="Y116" i="30298"/>
  <c r="AF116" i="30298" s="1"/>
  <c r="X116" i="30298"/>
  <c r="AE116" i="30298" s="1"/>
  <c r="W116" i="30298"/>
  <c r="A115" i="30298"/>
  <c r="A114" i="30298"/>
  <c r="A112" i="30298"/>
  <c r="A111" i="30298"/>
  <c r="A110" i="30298"/>
  <c r="A109" i="30298"/>
  <c r="A108" i="30298"/>
  <c r="A107" i="30298"/>
  <c r="A106" i="30298"/>
  <c r="A105" i="30298"/>
  <c r="A104" i="30298"/>
  <c r="A103" i="30298"/>
  <c r="A102" i="30298"/>
  <c r="A101" i="30298"/>
  <c r="A100" i="30298"/>
  <c r="A99" i="30298"/>
  <c r="A98" i="30298"/>
  <c r="A97" i="30298"/>
  <c r="A96" i="30298"/>
  <c r="A95" i="30298"/>
  <c r="A94" i="30298"/>
  <c r="A93" i="30298"/>
  <c r="A92" i="30298"/>
  <c r="A91" i="30298"/>
  <c r="A90" i="30298"/>
  <c r="A89" i="30298"/>
  <c r="A88" i="30298"/>
  <c r="A87" i="30298"/>
  <c r="A86" i="30298"/>
  <c r="A85" i="30298"/>
  <c r="A84" i="30298"/>
  <c r="A83" i="30298"/>
  <c r="A82" i="30298"/>
  <c r="A81" i="30298"/>
  <c r="A80" i="30298"/>
  <c r="A79" i="30298"/>
  <c r="A78" i="30298"/>
  <c r="A77" i="30298"/>
  <c r="A76" i="30298"/>
  <c r="A75" i="30298"/>
  <c r="A74" i="30298"/>
  <c r="A73" i="30298"/>
  <c r="A72" i="30298"/>
  <c r="A71" i="30298"/>
  <c r="A70" i="30298"/>
  <c r="A69" i="30298"/>
  <c r="A68" i="30298"/>
  <c r="A67" i="30298"/>
  <c r="A66" i="30298"/>
  <c r="A65" i="30298"/>
  <c r="A64" i="30298"/>
  <c r="A63" i="30298"/>
  <c r="A62" i="30298"/>
  <c r="A61" i="30298"/>
  <c r="A60" i="30298"/>
  <c r="A59" i="30298"/>
  <c r="A58" i="30298"/>
  <c r="A57" i="30298"/>
  <c r="A56" i="30298"/>
  <c r="A55" i="30298"/>
  <c r="A54" i="30298"/>
  <c r="A53" i="30298"/>
  <c r="A52" i="30298"/>
  <c r="A51" i="30298"/>
  <c r="A50" i="30298"/>
  <c r="A49" i="30298"/>
  <c r="A48" i="30298"/>
  <c r="A47" i="30298"/>
  <c r="A46" i="30298"/>
  <c r="A45" i="30298"/>
  <c r="A44" i="30298"/>
  <c r="A43" i="30298"/>
  <c r="A42" i="30298"/>
  <c r="A41" i="30298"/>
  <c r="A40" i="30298"/>
  <c r="A39" i="30298"/>
  <c r="A38" i="30298"/>
  <c r="A37" i="30298"/>
  <c r="A36" i="30298"/>
  <c r="A35" i="30298"/>
  <c r="A34" i="30298"/>
  <c r="A33" i="30298"/>
  <c r="A32" i="30298"/>
  <c r="A31" i="30298"/>
  <c r="A30" i="30298"/>
  <c r="A29" i="30298"/>
  <c r="A28" i="30298"/>
  <c r="A27" i="30298"/>
  <c r="A26" i="30298"/>
  <c r="A25" i="30298"/>
  <c r="A24" i="30298"/>
  <c r="A23" i="30298"/>
  <c r="A22" i="30298"/>
  <c r="A21" i="30298"/>
  <c r="A20" i="30298"/>
  <c r="A19" i="30298"/>
  <c r="A18" i="30298"/>
  <c r="A17" i="30298"/>
  <c r="A16" i="30298"/>
  <c r="A15" i="30298"/>
  <c r="A14" i="30298"/>
  <c r="A13" i="30298"/>
  <c r="A12" i="30298"/>
  <c r="A11" i="30298"/>
  <c r="A10" i="30298"/>
  <c r="A9" i="30298"/>
  <c r="G8" i="30298"/>
  <c r="F8" i="30298"/>
  <c r="F338" i="30298" s="1"/>
  <c r="E8" i="30298"/>
  <c r="E325" i="30298" s="1"/>
  <c r="D8" i="30298"/>
  <c r="G7" i="30298"/>
  <c r="G338" i="30298" s="1"/>
  <c r="E7" i="30298"/>
  <c r="D7" i="30298"/>
  <c r="C7" i="30298"/>
  <c r="AW297" i="30301"/>
  <c r="AW7" i="30301" s="1"/>
  <c r="AV297" i="30301"/>
  <c r="AV7" i="30301" s="1"/>
  <c r="AU297" i="30301"/>
  <c r="AU7" i="30301" s="1"/>
  <c r="AT297" i="30301"/>
  <c r="AS297" i="30301"/>
  <c r="AR297" i="30301"/>
  <c r="AP297" i="30301"/>
  <c r="AP7" i="30301" s="1"/>
  <c r="AO297" i="30301"/>
  <c r="AO7" i="30301" s="1"/>
  <c r="AO8" i="30301" s="1"/>
  <c r="AO308" i="30301" s="1"/>
  <c r="AN297" i="30301"/>
  <c r="AN7" i="30301" s="1"/>
  <c r="AN8" i="30301" s="1"/>
  <c r="AN301" i="30301" s="1"/>
  <c r="AM297" i="30301"/>
  <c r="AL297" i="30301"/>
  <c r="AK297" i="30301"/>
  <c r="AK7" i="30301" s="1"/>
  <c r="AI297" i="30301"/>
  <c r="AI7" i="30301" s="1"/>
  <c r="AH297" i="30301"/>
  <c r="AH7" i="30301" s="1"/>
  <c r="AG297" i="30301"/>
  <c r="AG7" i="30301" s="1"/>
  <c r="AF297" i="30301"/>
  <c r="AE297" i="30301"/>
  <c r="AD297" i="30301"/>
  <c r="AB297" i="30301"/>
  <c r="AB7" i="30301" s="1"/>
  <c r="AA297" i="30301"/>
  <c r="AA7" i="30301" s="1"/>
  <c r="Z297" i="30301"/>
  <c r="Z7" i="30301" s="1"/>
  <c r="Y297" i="30301"/>
  <c r="Y7" i="30301" s="1"/>
  <c r="X297" i="30301"/>
  <c r="X7" i="30301" s="1"/>
  <c r="W297" i="30301"/>
  <c r="U297" i="30301"/>
  <c r="U7" i="30301" s="1"/>
  <c r="T297" i="30301"/>
  <c r="T7" i="30301" s="1"/>
  <c r="S297" i="30301"/>
  <c r="S7" i="30301" s="1"/>
  <c r="R297" i="30301"/>
  <c r="R7" i="30301" s="1"/>
  <c r="R8" i="30301" s="1"/>
  <c r="Q297" i="30301"/>
  <c r="P297" i="30301"/>
  <c r="N297" i="30301"/>
  <c r="N7" i="30301" s="1"/>
  <c r="M297" i="30301"/>
  <c r="M7" i="30301" s="1"/>
  <c r="M8" i="30301" s="1"/>
  <c r="M245" i="30301" s="1"/>
  <c r="L297" i="30301"/>
  <c r="L7" i="30301" s="1"/>
  <c r="K297" i="30301"/>
  <c r="J297" i="30301"/>
  <c r="I297" i="30301"/>
  <c r="G297" i="30301"/>
  <c r="G7" i="30301" s="1"/>
  <c r="F297" i="30301"/>
  <c r="F7" i="30301" s="1"/>
  <c r="E297" i="30301"/>
  <c r="E7" i="30301" s="1"/>
  <c r="D297" i="30301"/>
  <c r="C297" i="30301"/>
  <c r="C7" i="30301" s="1"/>
  <c r="B297" i="30301"/>
  <c r="B7" i="30301" s="1"/>
  <c r="AW292" i="30301"/>
  <c r="AV292" i="30301"/>
  <c r="AU292" i="30301"/>
  <c r="AT292" i="30301"/>
  <c r="AS292" i="30301"/>
  <c r="AR292" i="30301"/>
  <c r="AP292" i="30301"/>
  <c r="AO292" i="30301"/>
  <c r="AN292" i="30301"/>
  <c r="AM292" i="30301"/>
  <c r="AL292" i="30301"/>
  <c r="AK292" i="30301"/>
  <c r="AI292" i="30301"/>
  <c r="AH292" i="30301"/>
  <c r="AG292" i="30301"/>
  <c r="AF292" i="30301"/>
  <c r="AE292" i="30301"/>
  <c r="AD292" i="30301"/>
  <c r="AB292" i="30301"/>
  <c r="AA292" i="30301"/>
  <c r="Z292" i="30301"/>
  <c r="Y292" i="30301"/>
  <c r="X292" i="30301"/>
  <c r="W292" i="30301"/>
  <c r="U292" i="30301"/>
  <c r="T292" i="30301"/>
  <c r="S292" i="30301"/>
  <c r="R292" i="30301"/>
  <c r="Q292" i="30301"/>
  <c r="P292" i="30301"/>
  <c r="N292" i="30301"/>
  <c r="M292" i="30301"/>
  <c r="L292" i="30301"/>
  <c r="K292" i="30301"/>
  <c r="J292" i="30301"/>
  <c r="I292" i="30301"/>
  <c r="G292" i="30301"/>
  <c r="F292" i="30301"/>
  <c r="E292" i="30301"/>
  <c r="D292" i="30301"/>
  <c r="C292" i="30301"/>
  <c r="B292" i="30301"/>
  <c r="AW287" i="30301"/>
  <c r="AV287" i="30301"/>
  <c r="AU287" i="30301"/>
  <c r="AT287" i="30301"/>
  <c r="AS287" i="30301"/>
  <c r="AR287" i="30301"/>
  <c r="AP287" i="30301"/>
  <c r="AO287" i="30301"/>
  <c r="AN287" i="30301"/>
  <c r="AM287" i="30301"/>
  <c r="AL287" i="30301"/>
  <c r="AK287" i="30301"/>
  <c r="AI287" i="30301"/>
  <c r="AH287" i="30301"/>
  <c r="AG287" i="30301"/>
  <c r="AF287" i="30301"/>
  <c r="AE287" i="30301"/>
  <c r="AD287" i="30301"/>
  <c r="AB287" i="30301"/>
  <c r="AA287" i="30301"/>
  <c r="Z287" i="30301"/>
  <c r="Y287" i="30301"/>
  <c r="X287" i="30301"/>
  <c r="W287" i="30301"/>
  <c r="U287" i="30301"/>
  <c r="T287" i="30301"/>
  <c r="S287" i="30301"/>
  <c r="R287" i="30301"/>
  <c r="Q287" i="30301"/>
  <c r="P287" i="30301"/>
  <c r="N287" i="30301"/>
  <c r="M287" i="30301"/>
  <c r="L287" i="30301"/>
  <c r="K287" i="30301"/>
  <c r="J287" i="30301"/>
  <c r="I287" i="30301"/>
  <c r="G287" i="30301"/>
  <c r="F287" i="30301"/>
  <c r="E287" i="30301"/>
  <c r="D287" i="30301"/>
  <c r="C287" i="30301"/>
  <c r="B287" i="30301"/>
  <c r="AW284" i="30301"/>
  <c r="AV284" i="30301"/>
  <c r="AU284" i="30301"/>
  <c r="AT284" i="30301"/>
  <c r="AS284" i="30301"/>
  <c r="AR284" i="30301"/>
  <c r="AP284" i="30301"/>
  <c r="AO284" i="30301"/>
  <c r="AN284" i="30301"/>
  <c r="AM284" i="30301"/>
  <c r="AL284" i="30301"/>
  <c r="AK284" i="30301"/>
  <c r="AI284" i="30301"/>
  <c r="AH284" i="30301"/>
  <c r="AG284" i="30301"/>
  <c r="AF284" i="30301"/>
  <c r="AE284" i="30301"/>
  <c r="AD284" i="30301"/>
  <c r="AB284" i="30301"/>
  <c r="AA284" i="30301"/>
  <c r="Z284" i="30301"/>
  <c r="Y284" i="30301"/>
  <c r="X284" i="30301"/>
  <c r="W284" i="30301"/>
  <c r="U284" i="30301"/>
  <c r="T284" i="30301"/>
  <c r="S284" i="30301"/>
  <c r="R284" i="30301"/>
  <c r="Q284" i="30301"/>
  <c r="P284" i="30301"/>
  <c r="N284" i="30301"/>
  <c r="M284" i="30301"/>
  <c r="L284" i="30301"/>
  <c r="K284" i="30301"/>
  <c r="J284" i="30301"/>
  <c r="I284" i="30301"/>
  <c r="G284" i="30301"/>
  <c r="F284" i="30301"/>
  <c r="E284" i="30301"/>
  <c r="D284" i="30301"/>
  <c r="C284" i="30301"/>
  <c r="B284" i="30301"/>
  <c r="AW282" i="30301"/>
  <c r="AV282" i="30301"/>
  <c r="AU282" i="30301"/>
  <c r="AT282" i="30301"/>
  <c r="AS282" i="30301"/>
  <c r="AR282" i="30301"/>
  <c r="AP282" i="30301"/>
  <c r="AO282" i="30301"/>
  <c r="AN282" i="30301"/>
  <c r="AM282" i="30301"/>
  <c r="AL282" i="30301"/>
  <c r="AK282" i="30301"/>
  <c r="AI282" i="30301"/>
  <c r="AH282" i="30301"/>
  <c r="AG282" i="30301"/>
  <c r="AF282" i="30301"/>
  <c r="AE282" i="30301"/>
  <c r="AD282" i="30301"/>
  <c r="AB282" i="30301"/>
  <c r="AA282" i="30301"/>
  <c r="Z282" i="30301"/>
  <c r="Y282" i="30301"/>
  <c r="X282" i="30301"/>
  <c r="W282" i="30301"/>
  <c r="U282" i="30301"/>
  <c r="T282" i="30301"/>
  <c r="S282" i="30301"/>
  <c r="R282" i="30301"/>
  <c r="Q282" i="30301"/>
  <c r="P282" i="30301"/>
  <c r="N282" i="30301"/>
  <c r="M282" i="30301"/>
  <c r="L282" i="30301"/>
  <c r="K282" i="30301"/>
  <c r="J282" i="30301"/>
  <c r="I282" i="30301"/>
  <c r="G282" i="30301"/>
  <c r="F282" i="30301"/>
  <c r="E282" i="30301"/>
  <c r="D282" i="30301"/>
  <c r="C282" i="30301"/>
  <c r="B282" i="30301"/>
  <c r="AW281" i="30301"/>
  <c r="AV281" i="30301"/>
  <c r="AU281" i="30301"/>
  <c r="AT281" i="30301"/>
  <c r="AS281" i="30301"/>
  <c r="AR281" i="30301"/>
  <c r="AP281" i="30301"/>
  <c r="AO281" i="30301"/>
  <c r="AN281" i="30301"/>
  <c r="AM281" i="30301"/>
  <c r="AL281" i="30301"/>
  <c r="AK281" i="30301"/>
  <c r="AI281" i="30301"/>
  <c r="AH281" i="30301"/>
  <c r="AG281" i="30301"/>
  <c r="AF281" i="30301"/>
  <c r="AE281" i="30301"/>
  <c r="AD281" i="30301"/>
  <c r="AB281" i="30301"/>
  <c r="AA281" i="30301"/>
  <c r="Z281" i="30301"/>
  <c r="Y281" i="30301"/>
  <c r="X281" i="30301"/>
  <c r="W281" i="30301"/>
  <c r="U281" i="30301"/>
  <c r="T281" i="30301"/>
  <c r="S281" i="30301"/>
  <c r="R281" i="30301"/>
  <c r="Q281" i="30301"/>
  <c r="P281" i="30301"/>
  <c r="N281" i="30301"/>
  <c r="M281" i="30301"/>
  <c r="L281" i="30301"/>
  <c r="K281" i="30301"/>
  <c r="J281" i="30301"/>
  <c r="I281" i="30301"/>
  <c r="G281" i="30301"/>
  <c r="F281" i="30301"/>
  <c r="E281" i="30301"/>
  <c r="D281" i="30301"/>
  <c r="C281" i="30301"/>
  <c r="B281" i="30301"/>
  <c r="AW275" i="30301"/>
  <c r="AV275" i="30301"/>
  <c r="AU275" i="30301"/>
  <c r="AT275" i="30301"/>
  <c r="AS275" i="30301"/>
  <c r="AR275" i="30301"/>
  <c r="AP275" i="30301"/>
  <c r="AO275" i="30301"/>
  <c r="AN275" i="30301"/>
  <c r="AM275" i="30301"/>
  <c r="AL275" i="30301"/>
  <c r="AK275" i="30301"/>
  <c r="AI275" i="30301"/>
  <c r="AH275" i="30301"/>
  <c r="AG275" i="30301"/>
  <c r="AF275" i="30301"/>
  <c r="AE275" i="30301"/>
  <c r="AD275" i="30301"/>
  <c r="AB275" i="30301"/>
  <c r="AA275" i="30301"/>
  <c r="Z275" i="30301"/>
  <c r="Y275" i="30301"/>
  <c r="X275" i="30301"/>
  <c r="W275" i="30301"/>
  <c r="U275" i="30301"/>
  <c r="T275" i="30301"/>
  <c r="S275" i="30301"/>
  <c r="R275" i="30301"/>
  <c r="Q275" i="30301"/>
  <c r="P275" i="30301"/>
  <c r="N275" i="30301"/>
  <c r="M275" i="30301"/>
  <c r="L275" i="30301"/>
  <c r="K275" i="30301"/>
  <c r="J275" i="30301"/>
  <c r="I275" i="30301"/>
  <c r="G275" i="30301"/>
  <c r="F275" i="30301"/>
  <c r="E275" i="30301"/>
  <c r="D275" i="30301"/>
  <c r="C275" i="30301"/>
  <c r="B275" i="30301"/>
  <c r="H269" i="30301"/>
  <c r="H265" i="30301"/>
  <c r="AV232" i="30301"/>
  <c r="AU232" i="30301"/>
  <c r="AT232" i="30301"/>
  <c r="AS232" i="30301"/>
  <c r="AR232" i="30301"/>
  <c r="AO232" i="30301"/>
  <c r="AN232" i="30301"/>
  <c r="AM232" i="30301"/>
  <c r="AL232" i="30301"/>
  <c r="AH232" i="30301"/>
  <c r="AG232" i="30301"/>
  <c r="AF232" i="30301"/>
  <c r="AE232" i="30301"/>
  <c r="AD232" i="30301"/>
  <c r="AA232" i="30301"/>
  <c r="Z232" i="30301"/>
  <c r="Y232" i="30301"/>
  <c r="X232" i="30301"/>
  <c r="W232" i="30301"/>
  <c r="T232" i="30301"/>
  <c r="S232" i="30301"/>
  <c r="R232" i="30301"/>
  <c r="Q232" i="30301"/>
  <c r="P232" i="30301"/>
  <c r="M232" i="30301"/>
  <c r="L232" i="30301"/>
  <c r="K232" i="30301"/>
  <c r="J232" i="30301"/>
  <c r="I232" i="30301"/>
  <c r="G232" i="30301"/>
  <c r="F232" i="30301"/>
  <c r="E232" i="30301"/>
  <c r="D232" i="30301"/>
  <c r="C232" i="30301"/>
  <c r="B232" i="30301"/>
  <c r="A229" i="30301"/>
  <c r="A228" i="30301"/>
  <c r="A227" i="30301"/>
  <c r="A226" i="30301"/>
  <c r="A225" i="30301"/>
  <c r="A224" i="30301"/>
  <c r="A223" i="30301"/>
  <c r="A222" i="30301"/>
  <c r="A221" i="30301"/>
  <c r="A220" i="30301"/>
  <c r="A219" i="30301"/>
  <c r="A218" i="30301"/>
  <c r="A217" i="30301"/>
  <c r="A216" i="30301"/>
  <c r="A215" i="30301"/>
  <c r="A214" i="30301"/>
  <c r="A213" i="30301"/>
  <c r="A212" i="30301"/>
  <c r="A211" i="30301"/>
  <c r="A210" i="30301"/>
  <c r="A209" i="30301"/>
  <c r="A208" i="30301"/>
  <c r="A207" i="30301"/>
  <c r="A206" i="30301"/>
  <c r="A205" i="30301"/>
  <c r="A204" i="30301"/>
  <c r="A203" i="30301"/>
  <c r="A202" i="30301"/>
  <c r="A201" i="30301"/>
  <c r="A200" i="30301"/>
  <c r="A199" i="30301"/>
  <c r="A198" i="30301"/>
  <c r="A197" i="30301"/>
  <c r="A196" i="30301"/>
  <c r="A195" i="30301"/>
  <c r="A194" i="30301"/>
  <c r="A193" i="30301"/>
  <c r="A192" i="30301"/>
  <c r="A191" i="30301"/>
  <c r="A190" i="30301"/>
  <c r="A189" i="30301"/>
  <c r="A188" i="30301"/>
  <c r="A187" i="30301"/>
  <c r="A186" i="30301"/>
  <c r="A185" i="30301"/>
  <c r="A184" i="30301"/>
  <c r="A183" i="30301"/>
  <c r="A182" i="30301"/>
  <c r="A181" i="30301"/>
  <c r="A180" i="30301"/>
  <c r="A179" i="30301"/>
  <c r="A178" i="30301"/>
  <c r="A177" i="30301"/>
  <c r="A176" i="30301"/>
  <c r="A175" i="30301"/>
  <c r="A174" i="30301"/>
  <c r="A173" i="30301"/>
  <c r="A172" i="30301"/>
  <c r="A171" i="30301"/>
  <c r="A170" i="30301"/>
  <c r="A169" i="30301"/>
  <c r="A168" i="30301"/>
  <c r="A167" i="30301"/>
  <c r="A166" i="30301"/>
  <c r="A165" i="30301"/>
  <c r="A164" i="30301"/>
  <c r="A163" i="30301"/>
  <c r="A162" i="30301"/>
  <c r="A161" i="30301"/>
  <c r="A160" i="30301"/>
  <c r="A159" i="30301"/>
  <c r="A158" i="30301"/>
  <c r="A157" i="30301"/>
  <c r="A156" i="30301"/>
  <c r="A155" i="30301"/>
  <c r="A154" i="30301"/>
  <c r="A153" i="30301"/>
  <c r="A152" i="30301"/>
  <c r="A151" i="30301"/>
  <c r="A150" i="30301"/>
  <c r="A149" i="30301"/>
  <c r="A148" i="30301"/>
  <c r="A147" i="30301"/>
  <c r="A146" i="30301"/>
  <c r="A145" i="30301"/>
  <c r="A144" i="30301"/>
  <c r="A143" i="30301"/>
  <c r="A142" i="30301"/>
  <c r="A141" i="30301"/>
  <c r="A140" i="30301"/>
  <c r="A139" i="30301"/>
  <c r="A138" i="30301"/>
  <c r="A137" i="30301"/>
  <c r="A136" i="30301"/>
  <c r="A135" i="30301"/>
  <c r="A134" i="30301"/>
  <c r="A133" i="30301"/>
  <c r="A132" i="30301"/>
  <c r="A131" i="30301"/>
  <c r="A130" i="30301"/>
  <c r="A124" i="30301"/>
  <c r="A123" i="30301"/>
  <c r="A122" i="30301"/>
  <c r="A121" i="30301"/>
  <c r="A120" i="30301"/>
  <c r="A119" i="30301"/>
  <c r="A118" i="30301"/>
  <c r="A117" i="30301"/>
  <c r="A115" i="30301"/>
  <c r="A114" i="30301"/>
  <c r="A112" i="30301"/>
  <c r="A111" i="30301"/>
  <c r="A110" i="30301"/>
  <c r="A109" i="30301"/>
  <c r="A108" i="30301"/>
  <c r="A107" i="30301"/>
  <c r="A106" i="30301"/>
  <c r="A105" i="30301"/>
  <c r="A104" i="30301"/>
  <c r="A103" i="30301"/>
  <c r="A102" i="30301"/>
  <c r="A101" i="30301"/>
  <c r="A100" i="30301"/>
  <c r="A99" i="30301"/>
  <c r="A98" i="30301"/>
  <c r="A97" i="30301"/>
  <c r="A96" i="30301"/>
  <c r="A95" i="30301"/>
  <c r="A94" i="30301"/>
  <c r="A93" i="30301"/>
  <c r="A92" i="30301"/>
  <c r="A91" i="30301"/>
  <c r="A90" i="30301"/>
  <c r="A89" i="30301"/>
  <c r="A88" i="30301"/>
  <c r="A87" i="30301"/>
  <c r="A86" i="30301"/>
  <c r="A85" i="30301"/>
  <c r="A84" i="30301"/>
  <c r="A83" i="30301"/>
  <c r="A82" i="30301"/>
  <c r="A81" i="30301"/>
  <c r="A80" i="30301"/>
  <c r="A79" i="30301"/>
  <c r="A78" i="30301"/>
  <c r="A77" i="30301"/>
  <c r="A76" i="30301"/>
  <c r="A75" i="30301"/>
  <c r="A74" i="30301"/>
  <c r="A73" i="30301"/>
  <c r="A72" i="30301"/>
  <c r="A71" i="30301"/>
  <c r="A70" i="30301"/>
  <c r="A69" i="30301"/>
  <c r="A68" i="30301"/>
  <c r="A67" i="30301"/>
  <c r="A66" i="30301"/>
  <c r="A65" i="30301"/>
  <c r="A64" i="30301"/>
  <c r="A63" i="30301"/>
  <c r="A62" i="30301"/>
  <c r="A61" i="30301"/>
  <c r="A60" i="30301"/>
  <c r="A59" i="30301"/>
  <c r="A58" i="30301"/>
  <c r="A57" i="30301"/>
  <c r="A56" i="30301"/>
  <c r="A55" i="30301"/>
  <c r="A54" i="30301"/>
  <c r="A53" i="30301"/>
  <c r="A52" i="30301"/>
  <c r="A51" i="30301"/>
  <c r="A50" i="30301"/>
  <c r="A49" i="30301"/>
  <c r="A48" i="30301"/>
  <c r="A47" i="30301"/>
  <c r="A46" i="30301"/>
  <c r="A45" i="30301"/>
  <c r="A44" i="30301"/>
  <c r="A43" i="30301"/>
  <c r="A42" i="30301"/>
  <c r="A41" i="30301"/>
  <c r="A40" i="30301"/>
  <c r="A39" i="30301"/>
  <c r="A38" i="30301"/>
  <c r="A37" i="30301"/>
  <c r="A36" i="30301"/>
  <c r="A35" i="30301"/>
  <c r="A34" i="30301"/>
  <c r="A33" i="30301"/>
  <c r="A32" i="30301"/>
  <c r="A31" i="30301"/>
  <c r="A30" i="30301"/>
  <c r="A29" i="30301"/>
  <c r="A28" i="30301"/>
  <c r="A27" i="30301"/>
  <c r="A26" i="30301"/>
  <c r="A25" i="30301"/>
  <c r="A24" i="30301"/>
  <c r="A23" i="30301"/>
  <c r="A22" i="30301"/>
  <c r="A21" i="30301"/>
  <c r="A20" i="30301"/>
  <c r="A19" i="30301"/>
  <c r="A18" i="30301"/>
  <c r="A17" i="30301"/>
  <c r="A16" i="30301"/>
  <c r="A15" i="30301"/>
  <c r="A14" i="30301"/>
  <c r="A13" i="30301"/>
  <c r="A12" i="30301"/>
  <c r="A11" i="30301"/>
  <c r="A10" i="30301"/>
  <c r="A9" i="30301"/>
  <c r="AY8" i="30301"/>
  <c r="AY7" i="30301"/>
  <c r="AT7" i="30301"/>
  <c r="AS7" i="30301"/>
  <c r="AR7" i="30301"/>
  <c r="AR8" i="30301" s="1"/>
  <c r="AR246" i="30301" s="1"/>
  <c r="AM7" i="30301"/>
  <c r="AL7" i="30301"/>
  <c r="AF7" i="30301"/>
  <c r="AE7" i="30301"/>
  <c r="AD7" i="30301"/>
  <c r="W7" i="30301"/>
  <c r="W8" i="30301" s="1"/>
  <c r="Q7" i="30301"/>
  <c r="Q8" i="30301" s="1"/>
  <c r="P7" i="30301"/>
  <c r="P8" i="30301" s="1"/>
  <c r="K7" i="30301"/>
  <c r="J7" i="30301"/>
  <c r="I7" i="30301"/>
  <c r="D7" i="30301"/>
  <c r="G340" i="30312"/>
  <c r="AI329" i="30312"/>
  <c r="AI297" i="30312"/>
  <c r="AI7" i="30312" s="1"/>
  <c r="AB297" i="30312"/>
  <c r="AB7" i="30312" s="1"/>
  <c r="N297" i="30312"/>
  <c r="N7" i="30312" s="1"/>
  <c r="G297" i="30312"/>
  <c r="F297" i="30312"/>
  <c r="E297" i="30312"/>
  <c r="D297" i="30312"/>
  <c r="C297" i="30312"/>
  <c r="B297" i="30312"/>
  <c r="AW292" i="30312"/>
  <c r="AV292" i="30312"/>
  <c r="AU292" i="30312"/>
  <c r="AT292" i="30312"/>
  <c r="AS292" i="30312"/>
  <c r="AR292" i="30312"/>
  <c r="AP292" i="30312"/>
  <c r="AO292" i="30312"/>
  <c r="AN292" i="30312"/>
  <c r="AM292" i="30312"/>
  <c r="AL292" i="30312"/>
  <c r="AK292" i="30312"/>
  <c r="AI292" i="30312"/>
  <c r="AH292" i="30312"/>
  <c r="AG292" i="30312"/>
  <c r="AF292" i="30312"/>
  <c r="AE292" i="30312"/>
  <c r="AD292" i="30312"/>
  <c r="AB292" i="30312"/>
  <c r="AA292" i="30312"/>
  <c r="Z292" i="30312"/>
  <c r="Y292" i="30312"/>
  <c r="X292" i="30312"/>
  <c r="W292" i="30312"/>
  <c r="U292" i="30312"/>
  <c r="T292" i="30312"/>
  <c r="S292" i="30312"/>
  <c r="R292" i="30312"/>
  <c r="Q292" i="30312"/>
  <c r="P292" i="30312"/>
  <c r="N292" i="30312"/>
  <c r="M292" i="30312"/>
  <c r="L292" i="30312"/>
  <c r="K292" i="30312"/>
  <c r="J292" i="30312"/>
  <c r="I292" i="30312"/>
  <c r="G292" i="30312"/>
  <c r="F292" i="30312"/>
  <c r="E292" i="30312"/>
  <c r="D292" i="30312"/>
  <c r="C292" i="30312"/>
  <c r="B292" i="30312"/>
  <c r="AW287" i="30312"/>
  <c r="AV287" i="30312"/>
  <c r="AU287" i="30312"/>
  <c r="AT287" i="30312"/>
  <c r="AS287" i="30312"/>
  <c r="AR287" i="30312"/>
  <c r="AP287" i="30312"/>
  <c r="AO287" i="30312"/>
  <c r="AN287" i="30312"/>
  <c r="AM287" i="30312"/>
  <c r="AL287" i="30312"/>
  <c r="AK287" i="30312"/>
  <c r="AI287" i="30312"/>
  <c r="AH287" i="30312"/>
  <c r="AG287" i="30312"/>
  <c r="AF287" i="30312"/>
  <c r="AE287" i="30312"/>
  <c r="AD287" i="30312"/>
  <c r="AB287" i="30312"/>
  <c r="AA287" i="30312"/>
  <c r="Z287" i="30312"/>
  <c r="Y287" i="30312"/>
  <c r="X287" i="30312"/>
  <c r="W287" i="30312"/>
  <c r="U287" i="30312"/>
  <c r="T287" i="30312"/>
  <c r="S287" i="30312"/>
  <c r="R287" i="30312"/>
  <c r="Q287" i="30312"/>
  <c r="P287" i="30312"/>
  <c r="N287" i="30312"/>
  <c r="M287" i="30312"/>
  <c r="L287" i="30312"/>
  <c r="K287" i="30312"/>
  <c r="J287" i="30312"/>
  <c r="I287" i="30312"/>
  <c r="G287" i="30312"/>
  <c r="F287" i="30312"/>
  <c r="E287" i="30312"/>
  <c r="D287" i="30312"/>
  <c r="C287" i="30312"/>
  <c r="B287" i="30312"/>
  <c r="AW284" i="30312"/>
  <c r="AV284" i="30312"/>
  <c r="AU284" i="30312"/>
  <c r="AT284" i="30312"/>
  <c r="AS284" i="30312"/>
  <c r="AR284" i="30312"/>
  <c r="AP284" i="30312"/>
  <c r="AO284" i="30312"/>
  <c r="AN284" i="30312"/>
  <c r="AM284" i="30312"/>
  <c r="AL284" i="30312"/>
  <c r="AK284" i="30312"/>
  <c r="AI284" i="30312"/>
  <c r="AH284" i="30312"/>
  <c r="AG284" i="30312"/>
  <c r="AF284" i="30312"/>
  <c r="AE284" i="30312"/>
  <c r="AD284" i="30312"/>
  <c r="AB284" i="30312"/>
  <c r="AA284" i="30312"/>
  <c r="Z284" i="30312"/>
  <c r="Y284" i="30312"/>
  <c r="X284" i="30312"/>
  <c r="W284" i="30312"/>
  <c r="U284" i="30312"/>
  <c r="T284" i="30312"/>
  <c r="S284" i="30312"/>
  <c r="R284" i="30312"/>
  <c r="Q284" i="30312"/>
  <c r="P284" i="30312"/>
  <c r="N284" i="30312"/>
  <c r="M284" i="30312"/>
  <c r="L284" i="30312"/>
  <c r="K284" i="30312"/>
  <c r="J284" i="30312"/>
  <c r="I284" i="30312"/>
  <c r="G284" i="30312"/>
  <c r="F284" i="30312"/>
  <c r="E284" i="30312"/>
  <c r="D284" i="30312"/>
  <c r="C284" i="30312"/>
  <c r="B284" i="30312"/>
  <c r="AW282" i="30312"/>
  <c r="AV282" i="30312"/>
  <c r="AU282" i="30312"/>
  <c r="AT282" i="30312"/>
  <c r="AS282" i="30312"/>
  <c r="AR282" i="30312"/>
  <c r="AP282" i="30312"/>
  <c r="AO282" i="30312"/>
  <c r="AN282" i="30312"/>
  <c r="AM282" i="30312"/>
  <c r="AL282" i="30312"/>
  <c r="AK282" i="30312"/>
  <c r="AI282" i="30312"/>
  <c r="AH282" i="30312"/>
  <c r="AG282" i="30312"/>
  <c r="AF282" i="30312"/>
  <c r="AE282" i="30312"/>
  <c r="AD282" i="30312"/>
  <c r="AB282" i="30312"/>
  <c r="AA282" i="30312"/>
  <c r="Z282" i="30312"/>
  <c r="Y282" i="30312"/>
  <c r="X282" i="30312"/>
  <c r="W282" i="30312"/>
  <c r="U282" i="30312"/>
  <c r="T282" i="30312"/>
  <c r="S282" i="30312"/>
  <c r="R282" i="30312"/>
  <c r="Q282" i="30312"/>
  <c r="P282" i="30312"/>
  <c r="N282" i="30312"/>
  <c r="M282" i="30312"/>
  <c r="L282" i="30312"/>
  <c r="K282" i="30312"/>
  <c r="J282" i="30312"/>
  <c r="I282" i="30312"/>
  <c r="G282" i="30312"/>
  <c r="F282" i="30312"/>
  <c r="E282" i="30312"/>
  <c r="D282" i="30312"/>
  <c r="C282" i="30312"/>
  <c r="B282" i="30312"/>
  <c r="AW281" i="30312"/>
  <c r="AV281" i="30312"/>
  <c r="AU281" i="30312"/>
  <c r="AT281" i="30312"/>
  <c r="AS281" i="30312"/>
  <c r="AR281" i="30312"/>
  <c r="AP281" i="30312"/>
  <c r="AO281" i="30312"/>
  <c r="AN281" i="30312"/>
  <c r="AM281" i="30312"/>
  <c r="AL281" i="30312"/>
  <c r="AK281" i="30312"/>
  <c r="AI281" i="30312"/>
  <c r="AH281" i="30312"/>
  <c r="AG281" i="30312"/>
  <c r="AF281" i="30312"/>
  <c r="AE281" i="30312"/>
  <c r="AD281" i="30312"/>
  <c r="AB281" i="30312"/>
  <c r="AA281" i="30312"/>
  <c r="Z281" i="30312"/>
  <c r="Y281" i="30312"/>
  <c r="X281" i="30312"/>
  <c r="W281" i="30312"/>
  <c r="U281" i="30312"/>
  <c r="T281" i="30312"/>
  <c r="S281" i="30312"/>
  <c r="R281" i="30312"/>
  <c r="Q281" i="30312"/>
  <c r="P281" i="30312"/>
  <c r="N281" i="30312"/>
  <c r="M281" i="30312"/>
  <c r="L281" i="30312"/>
  <c r="K281" i="30312"/>
  <c r="J281" i="30312"/>
  <c r="I281" i="30312"/>
  <c r="G281" i="30312"/>
  <c r="F281" i="30312"/>
  <c r="E281" i="30312"/>
  <c r="D281" i="30312"/>
  <c r="C281" i="30312"/>
  <c r="B281" i="30312"/>
  <c r="AW275" i="30312"/>
  <c r="AV275" i="30312"/>
  <c r="AU275" i="30312"/>
  <c r="AT275" i="30312"/>
  <c r="AS275" i="30312"/>
  <c r="AR275" i="30312"/>
  <c r="AP275" i="30312"/>
  <c r="AO275" i="30312"/>
  <c r="AN275" i="30312"/>
  <c r="AM275" i="30312"/>
  <c r="AL275" i="30312"/>
  <c r="AK275" i="30312"/>
  <c r="AI275" i="30312"/>
  <c r="AH275" i="30312"/>
  <c r="AG275" i="30312"/>
  <c r="AF275" i="30312"/>
  <c r="AE275" i="30312"/>
  <c r="AD275" i="30312"/>
  <c r="AB275" i="30312"/>
  <c r="AA275" i="30312"/>
  <c r="Z275" i="30312"/>
  <c r="Y275" i="30312"/>
  <c r="X275" i="30312"/>
  <c r="W275" i="30312"/>
  <c r="U275" i="30312"/>
  <c r="T275" i="30312"/>
  <c r="S275" i="30312"/>
  <c r="R275" i="30312"/>
  <c r="Q275" i="30312"/>
  <c r="P275" i="30312"/>
  <c r="N275" i="30312"/>
  <c r="M275" i="30312"/>
  <c r="L275" i="30312"/>
  <c r="K275" i="30312"/>
  <c r="J275" i="30312"/>
  <c r="I275" i="30312"/>
  <c r="G275" i="30312"/>
  <c r="F275" i="30312"/>
  <c r="E275" i="30312"/>
  <c r="D275" i="30312"/>
  <c r="C275" i="30312"/>
  <c r="B275" i="30312"/>
  <c r="H269" i="30312"/>
  <c r="H265" i="30312"/>
  <c r="AI256" i="30312"/>
  <c r="F249" i="30312"/>
  <c r="E244" i="30312"/>
  <c r="AI243" i="30312"/>
  <c r="G243" i="30312"/>
  <c r="F243" i="30312"/>
  <c r="E240" i="30312"/>
  <c r="AI239" i="30312"/>
  <c r="G239" i="30312"/>
  <c r="F239" i="30312"/>
  <c r="AW232" i="30312"/>
  <c r="AV232" i="30312"/>
  <c r="AU232" i="30312"/>
  <c r="AT232" i="30312"/>
  <c r="AS232" i="30312"/>
  <c r="AR232" i="30312"/>
  <c r="AP232" i="30312"/>
  <c r="AO232" i="30312"/>
  <c r="AN232" i="30312"/>
  <c r="AM232" i="30312"/>
  <c r="AL232" i="30312"/>
  <c r="AK232" i="30312"/>
  <c r="AI232" i="30312"/>
  <c r="AH232" i="30312"/>
  <c r="AG232" i="30312"/>
  <c r="AF232" i="30312"/>
  <c r="AE232" i="30312"/>
  <c r="AD232" i="30312"/>
  <c r="AA232" i="30312"/>
  <c r="Z232" i="30312"/>
  <c r="Y232" i="30312"/>
  <c r="X232" i="30312"/>
  <c r="W232" i="30312"/>
  <c r="T232" i="30312"/>
  <c r="S232" i="30312"/>
  <c r="R232" i="30312"/>
  <c r="Q232" i="30312"/>
  <c r="P232" i="30312"/>
  <c r="M232" i="30312"/>
  <c r="L232" i="30312"/>
  <c r="K232" i="30312"/>
  <c r="J232" i="30312"/>
  <c r="I232" i="30312"/>
  <c r="G232" i="30312"/>
  <c r="F232" i="30312"/>
  <c r="E232" i="30312"/>
  <c r="D232" i="30312"/>
  <c r="C232" i="30312"/>
  <c r="B232" i="30312"/>
  <c r="A229" i="30312"/>
  <c r="A228" i="30312"/>
  <c r="A227" i="30312"/>
  <c r="A226" i="30312"/>
  <c r="A225" i="30312"/>
  <c r="A224" i="30312"/>
  <c r="A223" i="30312"/>
  <c r="A222" i="30312"/>
  <c r="A221" i="30312"/>
  <c r="A220" i="30312"/>
  <c r="A219" i="30312"/>
  <c r="A218" i="30312"/>
  <c r="A217" i="30312"/>
  <c r="A216" i="30312"/>
  <c r="A215" i="30312"/>
  <c r="A214" i="30312"/>
  <c r="A213" i="30312"/>
  <c r="A212" i="30312"/>
  <c r="A211" i="30312"/>
  <c r="A210" i="30312"/>
  <c r="A209" i="30312"/>
  <c r="A208" i="30312"/>
  <c r="A207" i="30312"/>
  <c r="A206" i="30312"/>
  <c r="A205" i="30312"/>
  <c r="A204" i="30312"/>
  <c r="A203" i="30312"/>
  <c r="A202" i="30312"/>
  <c r="A201" i="30312"/>
  <c r="A200" i="30312"/>
  <c r="A199" i="30312"/>
  <c r="A198" i="30312"/>
  <c r="A197" i="30312"/>
  <c r="A196" i="30312"/>
  <c r="A195" i="30312"/>
  <c r="A194" i="30312"/>
  <c r="A193" i="30312"/>
  <c r="A192" i="30312"/>
  <c r="A191" i="30312"/>
  <c r="A190" i="30312"/>
  <c r="A189" i="30312"/>
  <c r="A188" i="30312"/>
  <c r="A187" i="30312"/>
  <c r="A186" i="30312"/>
  <c r="A185" i="30312"/>
  <c r="A184" i="30312"/>
  <c r="A183" i="30312"/>
  <c r="A182" i="30312"/>
  <c r="A181" i="30312"/>
  <c r="A180" i="30312"/>
  <c r="A179" i="30312"/>
  <c r="A178" i="30312"/>
  <c r="A177" i="30312"/>
  <c r="A176" i="30312"/>
  <c r="A175" i="30312"/>
  <c r="A174" i="30312"/>
  <c r="A173" i="30312"/>
  <c r="A172" i="30312"/>
  <c r="A171" i="30312"/>
  <c r="A170" i="30312"/>
  <c r="A169" i="30312"/>
  <c r="A168" i="30312"/>
  <c r="A167" i="30312"/>
  <c r="A166" i="30312"/>
  <c r="A165" i="30312"/>
  <c r="A164" i="30312"/>
  <c r="A163" i="30312"/>
  <c r="A162" i="30312"/>
  <c r="A161" i="30312"/>
  <c r="A160" i="30312"/>
  <c r="A159" i="30312"/>
  <c r="A158" i="30312"/>
  <c r="A157" i="30312"/>
  <c r="A156" i="30312"/>
  <c r="A155" i="30312"/>
  <c r="A154" i="30312"/>
  <c r="A153" i="30312"/>
  <c r="A152" i="30312"/>
  <c r="A151" i="30312"/>
  <c r="A150" i="30312"/>
  <c r="A149" i="30312"/>
  <c r="A148" i="30312"/>
  <c r="A147" i="30312"/>
  <c r="A146" i="30312"/>
  <c r="A145" i="30312"/>
  <c r="A144" i="30312"/>
  <c r="A143" i="30312"/>
  <c r="A142" i="30312"/>
  <c r="A141" i="30312"/>
  <c r="A140" i="30312"/>
  <c r="A139" i="30312"/>
  <c r="A138" i="30312"/>
  <c r="A137" i="30312"/>
  <c r="A136" i="30312"/>
  <c r="A135" i="30312"/>
  <c r="A134" i="30312"/>
  <c r="A133" i="30312"/>
  <c r="A132" i="30312"/>
  <c r="A131" i="30312"/>
  <c r="A130" i="30312"/>
  <c r="A129" i="30312"/>
  <c r="A125" i="30312"/>
  <c r="A124" i="30312"/>
  <c r="A123" i="30312"/>
  <c r="A122" i="30312"/>
  <c r="A121" i="30312"/>
  <c r="A120" i="30312"/>
  <c r="A119" i="30312"/>
  <c r="A118" i="30312"/>
  <c r="A117" i="30312"/>
  <c r="A115" i="30312"/>
  <c r="A114" i="30312"/>
  <c r="A112" i="30312"/>
  <c r="A111" i="30312"/>
  <c r="A110" i="30312"/>
  <c r="A109" i="30312"/>
  <c r="A108" i="30312"/>
  <c r="A107" i="30312"/>
  <c r="A106" i="30312"/>
  <c r="A105" i="30312"/>
  <c r="A104" i="30312"/>
  <c r="A103" i="30312"/>
  <c r="A102" i="30312"/>
  <c r="AW297" i="30312"/>
  <c r="AW7" i="30312" s="1"/>
  <c r="A101" i="30312"/>
  <c r="A100" i="30312"/>
  <c r="A99" i="30312"/>
  <c r="A98" i="30312"/>
  <c r="A97" i="30312"/>
  <c r="A96" i="30312"/>
  <c r="A95" i="30312"/>
  <c r="A94" i="30312"/>
  <c r="A93" i="30312"/>
  <c r="A92" i="30312"/>
  <c r="A91" i="30312"/>
  <c r="A90" i="30312"/>
  <c r="A89" i="30312"/>
  <c r="A88" i="30312"/>
  <c r="A87" i="30312"/>
  <c r="A86" i="30312"/>
  <c r="A85" i="30312"/>
  <c r="A84" i="30312"/>
  <c r="A83" i="30312"/>
  <c r="A82" i="30312"/>
  <c r="A81" i="30312"/>
  <c r="A80" i="30312"/>
  <c r="A79" i="30312"/>
  <c r="A78" i="30312"/>
  <c r="A77" i="30312"/>
  <c r="A76" i="30312"/>
  <c r="A75" i="30312"/>
  <c r="A74" i="30312"/>
  <c r="A73" i="30312"/>
  <c r="A72" i="30312"/>
  <c r="A71" i="30312"/>
  <c r="A70" i="30312"/>
  <c r="A69" i="30312"/>
  <c r="A68" i="30312"/>
  <c r="A67" i="30312"/>
  <c r="A66" i="30312"/>
  <c r="A65" i="30312"/>
  <c r="A64" i="30312"/>
  <c r="A63" i="30312"/>
  <c r="A62" i="30312"/>
  <c r="A61" i="30312"/>
  <c r="A60" i="30312"/>
  <c r="A59" i="30312"/>
  <c r="A58" i="30312"/>
  <c r="A57" i="30312"/>
  <c r="A56" i="30312"/>
  <c r="A55" i="30312"/>
  <c r="A54" i="30312"/>
  <c r="A53" i="30312"/>
  <c r="A52" i="30312"/>
  <c r="A51" i="30312"/>
  <c r="A50" i="30312"/>
  <c r="A49" i="30312"/>
  <c r="A48" i="30312"/>
  <c r="A47" i="30312"/>
  <c r="A46" i="30312"/>
  <c r="A45" i="30312"/>
  <c r="A44" i="30312"/>
  <c r="A43" i="30312"/>
  <c r="A42" i="30312"/>
  <c r="A41" i="30312"/>
  <c r="A40" i="30312"/>
  <c r="A39" i="30312"/>
  <c r="A38" i="30312"/>
  <c r="A37" i="30312"/>
  <c r="A36" i="30312"/>
  <c r="A35" i="30312"/>
  <c r="A34" i="30312"/>
  <c r="A33" i="30312"/>
  <c r="A32" i="30312"/>
  <c r="A31" i="30312"/>
  <c r="A30" i="30312"/>
  <c r="A29" i="30312"/>
  <c r="A28" i="30312"/>
  <c r="A27" i="30312"/>
  <c r="A26" i="30312"/>
  <c r="A25" i="30312"/>
  <c r="A24" i="30312"/>
  <c r="A23" i="30312"/>
  <c r="A22" i="30312"/>
  <c r="A21" i="30312"/>
  <c r="A20" i="30312"/>
  <c r="A19" i="30312"/>
  <c r="A18" i="30312"/>
  <c r="A17" i="30312"/>
  <c r="A16" i="30312"/>
  <c r="A15" i="30312"/>
  <c r="A14" i="30312"/>
  <c r="A13" i="30312"/>
  <c r="A12" i="30312"/>
  <c r="A11" i="30312"/>
  <c r="A10" i="30312"/>
  <c r="A9" i="30312"/>
  <c r="AI8" i="30312"/>
  <c r="AI245" i="30312" s="1"/>
  <c r="G8" i="30312"/>
  <c r="G248" i="30312" s="1"/>
  <c r="F8" i="30312"/>
  <c r="F241" i="30312" s="1"/>
  <c r="E8" i="30312"/>
  <c r="E230" i="30312" s="1"/>
  <c r="G7" i="30312"/>
  <c r="F7" i="30312"/>
  <c r="F256" i="30312" s="1"/>
  <c r="F257" i="30312" s="1"/>
  <c r="E7" i="30312"/>
  <c r="D7" i="30312"/>
  <c r="C7" i="30312"/>
  <c r="B7" i="30312"/>
  <c r="AM340" i="30311"/>
  <c r="G336" i="30311"/>
  <c r="AO333" i="30311"/>
  <c r="M332" i="30311"/>
  <c r="L332" i="30311"/>
  <c r="M330" i="30311"/>
  <c r="AO329" i="30311"/>
  <c r="AO328" i="30311"/>
  <c r="AK328" i="30311"/>
  <c r="AN321" i="30311"/>
  <c r="M321" i="30311"/>
  <c r="AO320" i="30311"/>
  <c r="AO319" i="30311"/>
  <c r="AO316" i="30311"/>
  <c r="AN315" i="30311"/>
  <c r="AM315" i="30311"/>
  <c r="J315" i="30311"/>
  <c r="G315" i="30311"/>
  <c r="AO310" i="30311"/>
  <c r="M308" i="30311"/>
  <c r="AO307" i="30311"/>
  <c r="Q307" i="30311"/>
  <c r="AO305" i="30311"/>
  <c r="AO304" i="30311"/>
  <c r="Z304" i="30311"/>
  <c r="Z305" i="30311" s="1"/>
  <c r="AO302" i="30311"/>
  <c r="Q302" i="30311"/>
  <c r="M302" i="30311"/>
  <c r="L302" i="30311"/>
  <c r="AW297" i="30311"/>
  <c r="AW7" i="30311" s="1"/>
  <c r="AV297" i="30311"/>
  <c r="AU297" i="30311"/>
  <c r="AU7" i="30311" s="1"/>
  <c r="AT297" i="30311"/>
  <c r="AT7" i="30311" s="1"/>
  <c r="AS297" i="30311"/>
  <c r="AS7" i="30311" s="1"/>
  <c r="AR297" i="30311"/>
  <c r="AR7" i="30311" s="1"/>
  <c r="AP297" i="30311"/>
  <c r="AP7" i="30311" s="1"/>
  <c r="AO297" i="30311"/>
  <c r="AN297" i="30311"/>
  <c r="AN7" i="30311" s="1"/>
  <c r="AM297" i="30311"/>
  <c r="AL297" i="30311"/>
  <c r="AK297" i="30311"/>
  <c r="AI297" i="30311"/>
  <c r="AI7" i="30311" s="1"/>
  <c r="AH297" i="30311"/>
  <c r="AG297" i="30311"/>
  <c r="AF297" i="30311"/>
  <c r="AF7" i="30311" s="1"/>
  <c r="AE297" i="30311"/>
  <c r="AE7" i="30311" s="1"/>
  <c r="AD297" i="30311"/>
  <c r="AD7" i="30311" s="1"/>
  <c r="AB297" i="30311"/>
  <c r="AB7" i="30311" s="1"/>
  <c r="AA297" i="30311"/>
  <c r="Z297" i="30311"/>
  <c r="Z7" i="30311" s="1"/>
  <c r="Y297" i="30311"/>
  <c r="X297" i="30311"/>
  <c r="W297" i="30311"/>
  <c r="W7" i="30311" s="1"/>
  <c r="U297" i="30311"/>
  <c r="U7" i="30311" s="1"/>
  <c r="T297" i="30311"/>
  <c r="S297" i="30311"/>
  <c r="R297" i="30311"/>
  <c r="Q297" i="30311"/>
  <c r="Q7" i="30311" s="1"/>
  <c r="P297" i="30311"/>
  <c r="P7" i="30311" s="1"/>
  <c r="N297" i="30311"/>
  <c r="N7" i="30311" s="1"/>
  <c r="M297" i="30311"/>
  <c r="L297" i="30311"/>
  <c r="L7" i="30311" s="1"/>
  <c r="K297" i="30311"/>
  <c r="J297" i="30311"/>
  <c r="I297" i="30311"/>
  <c r="I7" i="30311" s="1"/>
  <c r="G297" i="30311"/>
  <c r="F297" i="30311"/>
  <c r="E297" i="30311"/>
  <c r="D297" i="30311"/>
  <c r="D7" i="30311" s="1"/>
  <c r="C297" i="30311"/>
  <c r="B297" i="30311"/>
  <c r="B7" i="30311" s="1"/>
  <c r="AW292" i="30311"/>
  <c r="AV292" i="30311"/>
  <c r="AU292" i="30311"/>
  <c r="AT292" i="30311"/>
  <c r="AS292" i="30311"/>
  <c r="AR292" i="30311"/>
  <c r="AP292" i="30311"/>
  <c r="AO292" i="30311"/>
  <c r="AO293" i="30311" s="1"/>
  <c r="AN292" i="30311"/>
  <c r="AM292" i="30311"/>
  <c r="AL292" i="30311"/>
  <c r="AK292" i="30311"/>
  <c r="AI292" i="30311"/>
  <c r="AH292" i="30311"/>
  <c r="AG292" i="30311"/>
  <c r="AF292" i="30311"/>
  <c r="AE292" i="30311"/>
  <c r="AD292" i="30311"/>
  <c r="AB292" i="30311"/>
  <c r="AA292" i="30311"/>
  <c r="Z292" i="30311"/>
  <c r="Y292" i="30311"/>
  <c r="X292" i="30311"/>
  <c r="W292" i="30311"/>
  <c r="U292" i="30311"/>
  <c r="T292" i="30311"/>
  <c r="S292" i="30311"/>
  <c r="R292" i="30311"/>
  <c r="Q292" i="30311"/>
  <c r="P292" i="30311"/>
  <c r="N292" i="30311"/>
  <c r="M292" i="30311"/>
  <c r="M293" i="30311" s="1"/>
  <c r="L292" i="30311"/>
  <c r="K292" i="30311"/>
  <c r="J292" i="30311"/>
  <c r="I292" i="30311"/>
  <c r="G292" i="30311"/>
  <c r="F292" i="30311"/>
  <c r="E292" i="30311"/>
  <c r="D292" i="30311"/>
  <c r="C292" i="30311"/>
  <c r="B292" i="30311"/>
  <c r="AW287" i="30311"/>
  <c r="AV287" i="30311"/>
  <c r="AU287" i="30311"/>
  <c r="AT287" i="30311"/>
  <c r="AS287" i="30311"/>
  <c r="AR287" i="30311"/>
  <c r="AP287" i="30311"/>
  <c r="AO287" i="30311"/>
  <c r="AN287" i="30311"/>
  <c r="AM287" i="30311"/>
  <c r="AL287" i="30311"/>
  <c r="AK287" i="30311"/>
  <c r="AI287" i="30311"/>
  <c r="AH287" i="30311"/>
  <c r="AG287" i="30311"/>
  <c r="AF287" i="30311"/>
  <c r="AE287" i="30311"/>
  <c r="AD287" i="30311"/>
  <c r="AB287" i="30311"/>
  <c r="AA287" i="30311"/>
  <c r="Z287" i="30311"/>
  <c r="Y287" i="30311"/>
  <c r="X287" i="30311"/>
  <c r="W287" i="30311"/>
  <c r="U287" i="30311"/>
  <c r="T287" i="30311"/>
  <c r="S287" i="30311"/>
  <c r="R287" i="30311"/>
  <c r="Q287" i="30311"/>
  <c r="P287" i="30311"/>
  <c r="N287" i="30311"/>
  <c r="M287" i="30311"/>
  <c r="L287" i="30311"/>
  <c r="K287" i="30311"/>
  <c r="J287" i="30311"/>
  <c r="I287" i="30311"/>
  <c r="G287" i="30311"/>
  <c r="F287" i="30311"/>
  <c r="E287" i="30311"/>
  <c r="D287" i="30311"/>
  <c r="C287" i="30311"/>
  <c r="B287" i="30311"/>
  <c r="AW284" i="30311"/>
  <c r="AV284" i="30311"/>
  <c r="AU284" i="30311"/>
  <c r="AT284" i="30311"/>
  <c r="AS284" i="30311"/>
  <c r="AR284" i="30311"/>
  <c r="AP284" i="30311"/>
  <c r="AO284" i="30311"/>
  <c r="AN284" i="30311"/>
  <c r="AM284" i="30311"/>
  <c r="AL284" i="30311"/>
  <c r="AK284" i="30311"/>
  <c r="AI284" i="30311"/>
  <c r="AH284" i="30311"/>
  <c r="AG284" i="30311"/>
  <c r="AF284" i="30311"/>
  <c r="AE284" i="30311"/>
  <c r="AD284" i="30311"/>
  <c r="AB284" i="30311"/>
  <c r="AA284" i="30311"/>
  <c r="Z284" i="30311"/>
  <c r="Y284" i="30311"/>
  <c r="X284" i="30311"/>
  <c r="W284" i="30311"/>
  <c r="U284" i="30311"/>
  <c r="T284" i="30311"/>
  <c r="S284" i="30311"/>
  <c r="R284" i="30311"/>
  <c r="Q284" i="30311"/>
  <c r="P284" i="30311"/>
  <c r="N284" i="30311"/>
  <c r="M284" i="30311"/>
  <c r="L284" i="30311"/>
  <c r="K284" i="30311"/>
  <c r="J284" i="30311"/>
  <c r="I284" i="30311"/>
  <c r="G284" i="30311"/>
  <c r="F284" i="30311"/>
  <c r="E284" i="30311"/>
  <c r="D284" i="30311"/>
  <c r="C284" i="30311"/>
  <c r="B284" i="30311"/>
  <c r="AW282" i="30311"/>
  <c r="AV282" i="30311"/>
  <c r="AU282" i="30311"/>
  <c r="AT282" i="30311"/>
  <c r="AS282" i="30311"/>
  <c r="AR282" i="30311"/>
  <c r="AP282" i="30311"/>
  <c r="AO282" i="30311"/>
  <c r="AN282" i="30311"/>
  <c r="AM282" i="30311"/>
  <c r="AL282" i="30311"/>
  <c r="AK282" i="30311"/>
  <c r="AI282" i="30311"/>
  <c r="AH282" i="30311"/>
  <c r="AG282" i="30311"/>
  <c r="AF282" i="30311"/>
  <c r="AE282" i="30311"/>
  <c r="AD282" i="30311"/>
  <c r="AB282" i="30311"/>
  <c r="AA282" i="30311"/>
  <c r="Z282" i="30311"/>
  <c r="Y282" i="30311"/>
  <c r="X282" i="30311"/>
  <c r="W282" i="30311"/>
  <c r="U282" i="30311"/>
  <c r="T282" i="30311"/>
  <c r="S282" i="30311"/>
  <c r="R282" i="30311"/>
  <c r="Q282" i="30311"/>
  <c r="P282" i="30311"/>
  <c r="N282" i="30311"/>
  <c r="M282" i="30311"/>
  <c r="L282" i="30311"/>
  <c r="K282" i="30311"/>
  <c r="J282" i="30311"/>
  <c r="I282" i="30311"/>
  <c r="G282" i="30311"/>
  <c r="F282" i="30311"/>
  <c r="E282" i="30311"/>
  <c r="D282" i="30311"/>
  <c r="C282" i="30311"/>
  <c r="B282" i="30311"/>
  <c r="AW281" i="30311"/>
  <c r="AV281" i="30311"/>
  <c r="AU281" i="30311"/>
  <c r="AT281" i="30311"/>
  <c r="AS281" i="30311"/>
  <c r="AR281" i="30311"/>
  <c r="AP281" i="30311"/>
  <c r="AO281" i="30311"/>
  <c r="AO283" i="30311" s="1"/>
  <c r="AN281" i="30311"/>
  <c r="AM281" i="30311"/>
  <c r="AL281" i="30311"/>
  <c r="AK281" i="30311"/>
  <c r="AI281" i="30311"/>
  <c r="AH281" i="30311"/>
  <c r="AG281" i="30311"/>
  <c r="AF281" i="30311"/>
  <c r="AE281" i="30311"/>
  <c r="AD281" i="30311"/>
  <c r="AB281" i="30311"/>
  <c r="AA281" i="30311"/>
  <c r="Z281" i="30311"/>
  <c r="Y281" i="30311"/>
  <c r="X281" i="30311"/>
  <c r="W281" i="30311"/>
  <c r="U281" i="30311"/>
  <c r="T281" i="30311"/>
  <c r="S281" i="30311"/>
  <c r="R281" i="30311"/>
  <c r="Q281" i="30311"/>
  <c r="P281" i="30311"/>
  <c r="N281" i="30311"/>
  <c r="M281" i="30311"/>
  <c r="M283" i="30311" s="1"/>
  <c r="L281" i="30311"/>
  <c r="K281" i="30311"/>
  <c r="J281" i="30311"/>
  <c r="I281" i="30311"/>
  <c r="G281" i="30311"/>
  <c r="F281" i="30311"/>
  <c r="E281" i="30311"/>
  <c r="D281" i="30311"/>
  <c r="C281" i="30311"/>
  <c r="B281" i="30311"/>
  <c r="AW275" i="30311"/>
  <c r="AV275" i="30311"/>
  <c r="AU275" i="30311"/>
  <c r="AT275" i="30311"/>
  <c r="AS275" i="30311"/>
  <c r="AR275" i="30311"/>
  <c r="AP275" i="30311"/>
  <c r="AO275" i="30311"/>
  <c r="AN275" i="30311"/>
  <c r="AM275" i="30311"/>
  <c r="AL275" i="30311"/>
  <c r="AK275" i="30311"/>
  <c r="AI275" i="30311"/>
  <c r="AH275" i="30311"/>
  <c r="AG275" i="30311"/>
  <c r="AF275" i="30311"/>
  <c r="AE275" i="30311"/>
  <c r="AD275" i="30311"/>
  <c r="AB275" i="30311"/>
  <c r="AA275" i="30311"/>
  <c r="Z275" i="30311"/>
  <c r="Y275" i="30311"/>
  <c r="X275" i="30311"/>
  <c r="W275" i="30311"/>
  <c r="U275" i="30311"/>
  <c r="T275" i="30311"/>
  <c r="S275" i="30311"/>
  <c r="R275" i="30311"/>
  <c r="Q275" i="30311"/>
  <c r="P275" i="30311"/>
  <c r="N275" i="30311"/>
  <c r="M275" i="30311"/>
  <c r="L275" i="30311"/>
  <c r="K275" i="30311"/>
  <c r="J275" i="30311"/>
  <c r="I275" i="30311"/>
  <c r="G275" i="30311"/>
  <c r="F275" i="30311"/>
  <c r="E275" i="30311"/>
  <c r="D275" i="30311"/>
  <c r="C275" i="30311"/>
  <c r="B275" i="30311"/>
  <c r="H269" i="30311"/>
  <c r="H265" i="30311"/>
  <c r="AO259" i="30311"/>
  <c r="AO260" i="30311" s="1"/>
  <c r="AA259" i="30311"/>
  <c r="AA260" i="30311" s="1"/>
  <c r="Z259" i="30311"/>
  <c r="Z260" i="30311" s="1"/>
  <c r="M257" i="30311"/>
  <c r="AO256" i="30311"/>
  <c r="AO257" i="30311" s="1"/>
  <c r="AO312" i="30311" s="1"/>
  <c r="AO313" i="30311" s="1"/>
  <c r="AN256" i="30311"/>
  <c r="AN257" i="30311" s="1"/>
  <c r="AL256" i="30311"/>
  <c r="AL257" i="30311" s="1"/>
  <c r="Q256" i="30311"/>
  <c r="Q257" i="30311" s="1"/>
  <c r="M256" i="30311"/>
  <c r="AO255" i="30311"/>
  <c r="AO311" i="30311" s="1"/>
  <c r="M255" i="30311"/>
  <c r="M311" i="30311" s="1"/>
  <c r="AO254" i="30311"/>
  <c r="AO253" i="30311"/>
  <c r="AA253" i="30311"/>
  <c r="AN249" i="30311"/>
  <c r="AM249" i="30311"/>
  <c r="Q249" i="30311"/>
  <c r="AO248" i="30311"/>
  <c r="AO247" i="30311"/>
  <c r="M247" i="30311"/>
  <c r="L247" i="30311"/>
  <c r="J247" i="30311"/>
  <c r="C247" i="30311"/>
  <c r="AO246" i="30311"/>
  <c r="AO299" i="30311" s="1"/>
  <c r="M246" i="30311"/>
  <c r="M299" i="30311" s="1"/>
  <c r="AO245" i="30311"/>
  <c r="AN245" i="30311"/>
  <c r="AM245" i="30311"/>
  <c r="Q245" i="30311"/>
  <c r="M245" i="30311"/>
  <c r="L245" i="30311"/>
  <c r="AO244" i="30311"/>
  <c r="M244" i="30311"/>
  <c r="AO243" i="30311"/>
  <c r="AD243" i="30311"/>
  <c r="AO242" i="30311"/>
  <c r="AO241" i="30311"/>
  <c r="AM241" i="30311"/>
  <c r="AL241" i="30311"/>
  <c r="AO240" i="30311"/>
  <c r="Q240" i="30311"/>
  <c r="M240" i="30311"/>
  <c r="AO239" i="30311"/>
  <c r="AM239" i="30311"/>
  <c r="M239" i="30311"/>
  <c r="J239" i="30311"/>
  <c r="AA238" i="30311"/>
  <c r="M238" i="30311"/>
  <c r="Q237" i="30311"/>
  <c r="AV232" i="30311"/>
  <c r="AU232" i="30311"/>
  <c r="AT232" i="30311"/>
  <c r="AS232" i="30311"/>
  <c r="AR232" i="30311"/>
  <c r="AO232" i="30311"/>
  <c r="AN232" i="30311"/>
  <c r="AM232" i="30311"/>
  <c r="AL232" i="30311"/>
  <c r="AK232" i="30311"/>
  <c r="AH232" i="30311"/>
  <c r="AG232" i="30311"/>
  <c r="AF232" i="30311"/>
  <c r="AE232" i="30311"/>
  <c r="AD232" i="30311"/>
  <c r="AA232" i="30311"/>
  <c r="Z232" i="30311"/>
  <c r="Y232" i="30311"/>
  <c r="X232" i="30311"/>
  <c r="W232" i="30311"/>
  <c r="T232" i="30311"/>
  <c r="S232" i="30311"/>
  <c r="R232" i="30311"/>
  <c r="Q232" i="30311"/>
  <c r="P232" i="30311"/>
  <c r="M232" i="30311"/>
  <c r="L232" i="30311"/>
  <c r="K232" i="30311"/>
  <c r="J232" i="30311"/>
  <c r="I232" i="30311"/>
  <c r="G232" i="30311"/>
  <c r="F232" i="30311"/>
  <c r="E232" i="30311"/>
  <c r="D232" i="30311"/>
  <c r="C232" i="30311"/>
  <c r="B232" i="30311"/>
  <c r="AO230" i="30311"/>
  <c r="AL230" i="30311"/>
  <c r="Q230" i="30311"/>
  <c r="M230" i="30311"/>
  <c r="J230" i="30311"/>
  <c r="A229" i="30311"/>
  <c r="A228" i="30311"/>
  <c r="A227" i="30311"/>
  <c r="A226" i="30311"/>
  <c r="A225" i="30311"/>
  <c r="A224" i="30311"/>
  <c r="A223" i="30311"/>
  <c r="A222" i="30311"/>
  <c r="A221" i="30311"/>
  <c r="A220" i="30311"/>
  <c r="A219" i="30311"/>
  <c r="A218" i="30311"/>
  <c r="A217" i="30311"/>
  <c r="A216" i="30311"/>
  <c r="A215" i="30311"/>
  <c r="A214" i="30311"/>
  <c r="A213" i="30311"/>
  <c r="A212" i="30311"/>
  <c r="A211" i="30311"/>
  <c r="A210" i="30311"/>
  <c r="A209" i="30311"/>
  <c r="A208" i="30311"/>
  <c r="A207" i="30311"/>
  <c r="A206" i="30311"/>
  <c r="A205" i="30311"/>
  <c r="A204" i="30311"/>
  <c r="A203" i="30311"/>
  <c r="A202" i="30311"/>
  <c r="A201" i="30311"/>
  <c r="A200" i="30311"/>
  <c r="A199" i="30311"/>
  <c r="A198" i="30311"/>
  <c r="A197" i="30311"/>
  <c r="A196" i="30311"/>
  <c r="A195" i="30311"/>
  <c r="A194" i="30311"/>
  <c r="A193" i="30311"/>
  <c r="A192" i="30311"/>
  <c r="A191" i="30311"/>
  <c r="A190" i="30311"/>
  <c r="A189" i="30311"/>
  <c r="A188" i="30311"/>
  <c r="A187" i="30311"/>
  <c r="A186" i="30311"/>
  <c r="A185" i="30311"/>
  <c r="A184" i="30311"/>
  <c r="A183" i="30311"/>
  <c r="A182" i="30311"/>
  <c r="A181" i="30311"/>
  <c r="A180" i="30311"/>
  <c r="A179" i="30311"/>
  <c r="A178" i="30311"/>
  <c r="A177" i="30311"/>
  <c r="A176" i="30311"/>
  <c r="A175" i="30311"/>
  <c r="A174" i="30311"/>
  <c r="A173" i="30311"/>
  <c r="A172" i="30311"/>
  <c r="A171" i="30311"/>
  <c r="A170" i="30311"/>
  <c r="A169" i="30311"/>
  <c r="A168" i="30311"/>
  <c r="A167" i="30311"/>
  <c r="A166" i="30311"/>
  <c r="A165" i="30311"/>
  <c r="A164" i="30311"/>
  <c r="A163" i="30311"/>
  <c r="A162" i="30311"/>
  <c r="A161" i="30311"/>
  <c r="A160" i="30311"/>
  <c r="A159" i="30311"/>
  <c r="A158" i="30311"/>
  <c r="A157" i="30311"/>
  <c r="A156" i="30311"/>
  <c r="A155" i="30311"/>
  <c r="A154" i="30311"/>
  <c r="A153" i="30311"/>
  <c r="A152" i="30311"/>
  <c r="A151" i="30311"/>
  <c r="A150" i="30311"/>
  <c r="A149" i="30311"/>
  <c r="A148" i="30311"/>
  <c r="A147" i="30311"/>
  <c r="A146" i="30311"/>
  <c r="A145" i="30311"/>
  <c r="A144" i="30311"/>
  <c r="A143" i="30311"/>
  <c r="A142" i="30311"/>
  <c r="A141" i="30311"/>
  <c r="A140" i="30311"/>
  <c r="A139" i="30311"/>
  <c r="A138" i="30311"/>
  <c r="A137" i="30311"/>
  <c r="A136" i="30311"/>
  <c r="A135" i="30311"/>
  <c r="A134" i="30311"/>
  <c r="A133" i="30311"/>
  <c r="A132" i="30311"/>
  <c r="A131" i="30311"/>
  <c r="A130" i="30311"/>
  <c r="A124" i="30311"/>
  <c r="A123" i="30311"/>
  <c r="A122" i="30311"/>
  <c r="A121" i="30311"/>
  <c r="A120" i="30311"/>
  <c r="A119" i="30311"/>
  <c r="A118" i="30311"/>
  <c r="A117" i="30311"/>
  <c r="A115" i="30311"/>
  <c r="A114" i="30311"/>
  <c r="A112" i="30311"/>
  <c r="A111" i="30311"/>
  <c r="A110" i="30311"/>
  <c r="A109" i="30311"/>
  <c r="A108" i="30311"/>
  <c r="A107" i="30311"/>
  <c r="A106" i="30311"/>
  <c r="A105" i="30311"/>
  <c r="A104" i="30311"/>
  <c r="A103" i="30311"/>
  <c r="A102" i="30311"/>
  <c r="A101" i="30311"/>
  <c r="A100" i="30311"/>
  <c r="A99" i="30311"/>
  <c r="A98" i="30311"/>
  <c r="A97" i="30311"/>
  <c r="A96" i="30311"/>
  <c r="A95" i="30311"/>
  <c r="A94" i="30311"/>
  <c r="A93" i="30311"/>
  <c r="A92" i="30311"/>
  <c r="A91" i="30311"/>
  <c r="A90" i="30311"/>
  <c r="A89" i="30311"/>
  <c r="A88" i="30311"/>
  <c r="A87" i="30311"/>
  <c r="A86" i="30311"/>
  <c r="A85" i="30311"/>
  <c r="A84" i="30311"/>
  <c r="A83" i="30311"/>
  <c r="A82" i="30311"/>
  <c r="A81" i="30311"/>
  <c r="A80" i="30311"/>
  <c r="A79" i="30311"/>
  <c r="A78" i="30311"/>
  <c r="A77" i="30311"/>
  <c r="A76" i="30311"/>
  <c r="A75" i="30311"/>
  <c r="A74" i="30311"/>
  <c r="A73" i="30311"/>
  <c r="A72" i="30311"/>
  <c r="A71" i="30311"/>
  <c r="A70" i="30311"/>
  <c r="A69" i="30311"/>
  <c r="A68" i="30311"/>
  <c r="A67" i="30311"/>
  <c r="A66" i="30311"/>
  <c r="A65" i="30311"/>
  <c r="A64" i="30311"/>
  <c r="A63" i="30311"/>
  <c r="A62" i="30311"/>
  <c r="A61" i="30311"/>
  <c r="A60" i="30311"/>
  <c r="A59" i="30311"/>
  <c r="A58" i="30311"/>
  <c r="A57" i="30311"/>
  <c r="A56" i="30311"/>
  <c r="A55" i="30311"/>
  <c r="A54" i="30311"/>
  <c r="A53" i="30311"/>
  <c r="A52" i="30311"/>
  <c r="A51" i="30311"/>
  <c r="A50" i="30311"/>
  <c r="A49" i="30311"/>
  <c r="A48" i="30311"/>
  <c r="A47" i="30311"/>
  <c r="A46" i="30311"/>
  <c r="A45" i="30311"/>
  <c r="A44" i="30311"/>
  <c r="A43" i="30311"/>
  <c r="A42" i="30311"/>
  <c r="A41" i="30311"/>
  <c r="A40" i="30311"/>
  <c r="A39" i="30311"/>
  <c r="A38" i="30311"/>
  <c r="A37" i="30311"/>
  <c r="A36" i="30311"/>
  <c r="A35" i="30311"/>
  <c r="A34" i="30311"/>
  <c r="A33" i="30311"/>
  <c r="A32" i="30311"/>
  <c r="A31" i="30311"/>
  <c r="A30" i="30311"/>
  <c r="A29" i="30311"/>
  <c r="A28" i="30311"/>
  <c r="A27" i="30311"/>
  <c r="A26" i="30311"/>
  <c r="A25" i="30311"/>
  <c r="A24" i="30311"/>
  <c r="A23" i="30311"/>
  <c r="A22" i="30311"/>
  <c r="A21" i="30311"/>
  <c r="A20" i="30311"/>
  <c r="A19" i="30311"/>
  <c r="A18" i="30311"/>
  <c r="A17" i="30311"/>
  <c r="A16" i="30311"/>
  <c r="A15" i="30311"/>
  <c r="A14" i="30311"/>
  <c r="A13" i="30311"/>
  <c r="A12" i="30311"/>
  <c r="A11" i="30311"/>
  <c r="A10" i="30311"/>
  <c r="A9" i="30311"/>
  <c r="AO8" i="30311"/>
  <c r="AO336" i="30311" s="1"/>
  <c r="AN8" i="30311"/>
  <c r="AN316" i="30311" s="1"/>
  <c r="AO353" i="30311" s="1"/>
  <c r="F49" i="30308" s="1"/>
  <c r="AM8" i="30311"/>
  <c r="AL8" i="30311"/>
  <c r="AK8" i="30311"/>
  <c r="AD8" i="30311"/>
  <c r="AD237" i="30311" s="1"/>
  <c r="AA8" i="30311"/>
  <c r="Z8" i="30311"/>
  <c r="Q8" i="30311"/>
  <c r="Q238" i="30311" s="1"/>
  <c r="M8" i="30311"/>
  <c r="M303" i="30311" s="1"/>
  <c r="L8" i="30311"/>
  <c r="J8" i="30311"/>
  <c r="G8" i="30311"/>
  <c r="G244" i="30311" s="1"/>
  <c r="C8" i="30311"/>
  <c r="C255" i="30311" s="1"/>
  <c r="B8" i="30311"/>
  <c r="AV7" i="30311"/>
  <c r="AO7" i="30311"/>
  <c r="AO323" i="30311" s="1"/>
  <c r="AM7" i="30311"/>
  <c r="AL7" i="30311"/>
  <c r="AL330" i="30311" s="1"/>
  <c r="AK7" i="30311"/>
  <c r="AK301" i="30311" s="1"/>
  <c r="AH7" i="30311"/>
  <c r="AG7" i="30311"/>
  <c r="AA7" i="30311"/>
  <c r="Y7" i="30311"/>
  <c r="X7" i="30311"/>
  <c r="T7" i="30311"/>
  <c r="S7" i="30311"/>
  <c r="R7" i="30311"/>
  <c r="M7" i="30311"/>
  <c r="M307" i="30311" s="1"/>
  <c r="K7" i="30311"/>
  <c r="J7" i="30311"/>
  <c r="J254" i="30311" s="1"/>
  <c r="G7" i="30311"/>
  <c r="F7" i="30311"/>
  <c r="E7" i="30311"/>
  <c r="C7" i="30311"/>
  <c r="AK2" i="30311"/>
  <c r="Q2" i="30311"/>
  <c r="AT1" i="30311"/>
  <c r="AM1" i="30311"/>
  <c r="AF1" i="30311"/>
  <c r="AA1" i="30311"/>
  <c r="Z1" i="30311"/>
  <c r="Y1" i="30311"/>
  <c r="L1" i="30311"/>
  <c r="J1" i="30311"/>
  <c r="AW287" i="30295"/>
  <c r="AV287" i="30295"/>
  <c r="AU287" i="30295"/>
  <c r="AT287" i="30295"/>
  <c r="AS287" i="30295"/>
  <c r="AR287" i="30295"/>
  <c r="AP287" i="30295"/>
  <c r="AO287" i="30295"/>
  <c r="AN287" i="30295"/>
  <c r="AM287" i="30295"/>
  <c r="AL287" i="30295"/>
  <c r="AK287" i="30295"/>
  <c r="AI287" i="30295"/>
  <c r="AH287" i="30295"/>
  <c r="AG287" i="30295"/>
  <c r="AF287" i="30295"/>
  <c r="AE287" i="30295"/>
  <c r="AD287" i="30295"/>
  <c r="AB287" i="30295"/>
  <c r="AA287" i="30295"/>
  <c r="Z287" i="30295"/>
  <c r="Y287" i="30295"/>
  <c r="X287" i="30295"/>
  <c r="W287" i="30295"/>
  <c r="U287" i="30295"/>
  <c r="T287" i="30295"/>
  <c r="S287" i="30295"/>
  <c r="R287" i="30295"/>
  <c r="Q287" i="30295"/>
  <c r="P287" i="30295"/>
  <c r="N287" i="30295"/>
  <c r="M287" i="30295"/>
  <c r="L287" i="30295"/>
  <c r="K287" i="30295"/>
  <c r="J287" i="30295"/>
  <c r="I287" i="30295"/>
  <c r="G287" i="30295"/>
  <c r="F287" i="30295"/>
  <c r="E287" i="30295"/>
  <c r="D287" i="30295"/>
  <c r="C287" i="30295"/>
  <c r="B287" i="30295"/>
  <c r="AW284" i="30295"/>
  <c r="AV284" i="30295"/>
  <c r="AU284" i="30295"/>
  <c r="AT284" i="30295"/>
  <c r="AS284" i="30295"/>
  <c r="AR284" i="30295"/>
  <c r="AP284" i="30295"/>
  <c r="AO284" i="30295"/>
  <c r="AN284" i="30295"/>
  <c r="AM284" i="30295"/>
  <c r="AL284" i="30295"/>
  <c r="AK284" i="30295"/>
  <c r="AI284" i="30295"/>
  <c r="AH284" i="30295"/>
  <c r="AG284" i="30295"/>
  <c r="AF284" i="30295"/>
  <c r="AE284" i="30295"/>
  <c r="AD284" i="30295"/>
  <c r="AB284" i="30295"/>
  <c r="AA284" i="30295"/>
  <c r="Z284" i="30295"/>
  <c r="Y284" i="30295"/>
  <c r="X284" i="30295"/>
  <c r="W284" i="30295"/>
  <c r="U284" i="30295"/>
  <c r="T284" i="30295"/>
  <c r="S284" i="30295"/>
  <c r="R284" i="30295"/>
  <c r="Q284" i="30295"/>
  <c r="P284" i="30295"/>
  <c r="N284" i="30295"/>
  <c r="M284" i="30295"/>
  <c r="L284" i="30295"/>
  <c r="K284" i="30295"/>
  <c r="J284" i="30295"/>
  <c r="I284" i="30295"/>
  <c r="G284" i="30295"/>
  <c r="F284" i="30295"/>
  <c r="E284" i="30295"/>
  <c r="D284" i="30295"/>
  <c r="C284" i="30295"/>
  <c r="B284" i="30295"/>
  <c r="AW282" i="30295"/>
  <c r="AV282" i="30295"/>
  <c r="AU282" i="30295"/>
  <c r="AT282" i="30295"/>
  <c r="AS282" i="30295"/>
  <c r="AR282" i="30295"/>
  <c r="AP282" i="30295"/>
  <c r="AO282" i="30295"/>
  <c r="AN282" i="30295"/>
  <c r="AM282" i="30295"/>
  <c r="AL282" i="30295"/>
  <c r="AK282" i="30295"/>
  <c r="AI282" i="30295"/>
  <c r="AH282" i="30295"/>
  <c r="AG282" i="30295"/>
  <c r="AF282" i="30295"/>
  <c r="AE282" i="30295"/>
  <c r="AD282" i="30295"/>
  <c r="AB282" i="30295"/>
  <c r="AA282" i="30295"/>
  <c r="Z282" i="30295"/>
  <c r="Y282" i="30295"/>
  <c r="X282" i="30295"/>
  <c r="W282" i="30295"/>
  <c r="U282" i="30295"/>
  <c r="T282" i="30295"/>
  <c r="S282" i="30295"/>
  <c r="R282" i="30295"/>
  <c r="Q282" i="30295"/>
  <c r="P282" i="30295"/>
  <c r="N282" i="30295"/>
  <c r="M282" i="30295"/>
  <c r="L282" i="30295"/>
  <c r="K282" i="30295"/>
  <c r="J282" i="30295"/>
  <c r="I282" i="30295"/>
  <c r="G282" i="30295"/>
  <c r="F282" i="30295"/>
  <c r="E282" i="30295"/>
  <c r="D282" i="30295"/>
  <c r="C282" i="30295"/>
  <c r="B282" i="30295"/>
  <c r="AW281" i="30295"/>
  <c r="AV281" i="30295"/>
  <c r="AU281" i="30295"/>
  <c r="AT281" i="30295"/>
  <c r="AS281" i="30295"/>
  <c r="AR281" i="30295"/>
  <c r="AP281" i="30295"/>
  <c r="AO281" i="30295"/>
  <c r="AN281" i="30295"/>
  <c r="AM281" i="30295"/>
  <c r="AL281" i="30295"/>
  <c r="AK281" i="30295"/>
  <c r="AI281" i="30295"/>
  <c r="AH281" i="30295"/>
  <c r="AG281" i="30295"/>
  <c r="AF281" i="30295"/>
  <c r="AE281" i="30295"/>
  <c r="AD281" i="30295"/>
  <c r="AB281" i="30295"/>
  <c r="AA281" i="30295"/>
  <c r="Z281" i="30295"/>
  <c r="Y281" i="30295"/>
  <c r="X281" i="30295"/>
  <c r="W281" i="30295"/>
  <c r="U281" i="30295"/>
  <c r="T281" i="30295"/>
  <c r="S281" i="30295"/>
  <c r="R281" i="30295"/>
  <c r="Q281" i="30295"/>
  <c r="P281" i="30295"/>
  <c r="N281" i="30295"/>
  <c r="M281" i="30295"/>
  <c r="L281" i="30295"/>
  <c r="K281" i="30295"/>
  <c r="J281" i="30295"/>
  <c r="I281" i="30295"/>
  <c r="G281" i="30295"/>
  <c r="F281" i="30295"/>
  <c r="E281" i="30295"/>
  <c r="D281" i="30295"/>
  <c r="C281" i="30295"/>
  <c r="B281" i="30295"/>
  <c r="AW275" i="30295"/>
  <c r="AV275" i="30295"/>
  <c r="AU275" i="30295"/>
  <c r="AT275" i="30295"/>
  <c r="AS275" i="30295"/>
  <c r="AR275" i="30295"/>
  <c r="AP275" i="30295"/>
  <c r="AO275" i="30295"/>
  <c r="AN275" i="30295"/>
  <c r="AM275" i="30295"/>
  <c r="AL275" i="30295"/>
  <c r="AK275" i="30295"/>
  <c r="AI275" i="30295"/>
  <c r="AH275" i="30295"/>
  <c r="AG275" i="30295"/>
  <c r="AF275" i="30295"/>
  <c r="AE275" i="30295"/>
  <c r="AD275" i="30295"/>
  <c r="AB275" i="30295"/>
  <c r="AA275" i="30295"/>
  <c r="Z275" i="30295"/>
  <c r="Y275" i="30295"/>
  <c r="X275" i="30295"/>
  <c r="W275" i="30295"/>
  <c r="U275" i="30295"/>
  <c r="T275" i="30295"/>
  <c r="S275" i="30295"/>
  <c r="R275" i="30295"/>
  <c r="Q275" i="30295"/>
  <c r="P275" i="30295"/>
  <c r="N275" i="30295"/>
  <c r="M275" i="30295"/>
  <c r="L275" i="30295"/>
  <c r="K275" i="30295"/>
  <c r="J275" i="30295"/>
  <c r="I275" i="30295"/>
  <c r="G275" i="30295"/>
  <c r="F275" i="30295"/>
  <c r="E275" i="30295"/>
  <c r="D275" i="30295"/>
  <c r="C275" i="30295"/>
  <c r="B275" i="30295"/>
  <c r="AW287" i="30294"/>
  <c r="AV287" i="30294"/>
  <c r="AU287" i="30294"/>
  <c r="AT287" i="30294"/>
  <c r="AS287" i="30294"/>
  <c r="AR287" i="30294"/>
  <c r="AP287" i="30294"/>
  <c r="AO287" i="30294"/>
  <c r="AN287" i="30294"/>
  <c r="AM287" i="30294"/>
  <c r="AL287" i="30294"/>
  <c r="AK287" i="30294"/>
  <c r="AI287" i="30294"/>
  <c r="AH287" i="30294"/>
  <c r="AG287" i="30294"/>
  <c r="AF287" i="30294"/>
  <c r="AE287" i="30294"/>
  <c r="AD287" i="30294"/>
  <c r="AB287" i="30294"/>
  <c r="AA287" i="30294"/>
  <c r="Z287" i="30294"/>
  <c r="Y287" i="30294"/>
  <c r="X287" i="30294"/>
  <c r="W287" i="30294"/>
  <c r="U287" i="30294"/>
  <c r="T287" i="30294"/>
  <c r="S287" i="30294"/>
  <c r="R287" i="30294"/>
  <c r="Q287" i="30294"/>
  <c r="P287" i="30294"/>
  <c r="N287" i="30294"/>
  <c r="M287" i="30294"/>
  <c r="L287" i="30294"/>
  <c r="K287" i="30294"/>
  <c r="J287" i="30294"/>
  <c r="I287" i="30294"/>
  <c r="G287" i="30294"/>
  <c r="F287" i="30294"/>
  <c r="E287" i="30294"/>
  <c r="D287" i="30294"/>
  <c r="C287" i="30294"/>
  <c r="B287" i="30294"/>
  <c r="AW284" i="30294"/>
  <c r="AV284" i="30294"/>
  <c r="AU284" i="30294"/>
  <c r="AT284" i="30294"/>
  <c r="AS284" i="30294"/>
  <c r="AR284" i="30294"/>
  <c r="AP284" i="30294"/>
  <c r="AO284" i="30294"/>
  <c r="AN284" i="30294"/>
  <c r="AM284" i="30294"/>
  <c r="AL284" i="30294"/>
  <c r="AK284" i="30294"/>
  <c r="AI284" i="30294"/>
  <c r="AH284" i="30294"/>
  <c r="AG284" i="30294"/>
  <c r="AF284" i="30294"/>
  <c r="AE284" i="30294"/>
  <c r="AD284" i="30294"/>
  <c r="AB284" i="30294"/>
  <c r="AA284" i="30294"/>
  <c r="Z284" i="30294"/>
  <c r="Y284" i="30294"/>
  <c r="X284" i="30294"/>
  <c r="W284" i="30294"/>
  <c r="U284" i="30294"/>
  <c r="T284" i="30294"/>
  <c r="S284" i="30294"/>
  <c r="R284" i="30294"/>
  <c r="Q284" i="30294"/>
  <c r="P284" i="30294"/>
  <c r="N284" i="30294"/>
  <c r="M284" i="30294"/>
  <c r="L284" i="30294"/>
  <c r="K284" i="30294"/>
  <c r="J284" i="30294"/>
  <c r="I284" i="30294"/>
  <c r="G284" i="30294"/>
  <c r="F284" i="30294"/>
  <c r="E284" i="30294"/>
  <c r="D284" i="30294"/>
  <c r="C284" i="30294"/>
  <c r="B284" i="30294"/>
  <c r="AW282" i="30294"/>
  <c r="AV282" i="30294"/>
  <c r="AU282" i="30294"/>
  <c r="AT282" i="30294"/>
  <c r="AS282" i="30294"/>
  <c r="AR282" i="30294"/>
  <c r="AP282" i="30294"/>
  <c r="AO282" i="30294"/>
  <c r="AN282" i="30294"/>
  <c r="AM282" i="30294"/>
  <c r="AL282" i="30294"/>
  <c r="AK282" i="30294"/>
  <c r="AI282" i="30294"/>
  <c r="AH282" i="30294"/>
  <c r="AG282" i="30294"/>
  <c r="AF282" i="30294"/>
  <c r="AE282" i="30294"/>
  <c r="AD282" i="30294"/>
  <c r="AB282" i="30294"/>
  <c r="AA282" i="30294"/>
  <c r="Z282" i="30294"/>
  <c r="Y282" i="30294"/>
  <c r="X282" i="30294"/>
  <c r="W282" i="30294"/>
  <c r="U282" i="30294"/>
  <c r="T282" i="30294"/>
  <c r="S282" i="30294"/>
  <c r="R282" i="30294"/>
  <c r="Q282" i="30294"/>
  <c r="P282" i="30294"/>
  <c r="N282" i="30294"/>
  <c r="M282" i="30294"/>
  <c r="L282" i="30294"/>
  <c r="K282" i="30294"/>
  <c r="J282" i="30294"/>
  <c r="I282" i="30294"/>
  <c r="G282" i="30294"/>
  <c r="F282" i="30294"/>
  <c r="E282" i="30294"/>
  <c r="D282" i="30294"/>
  <c r="C282" i="30294"/>
  <c r="B282" i="30294"/>
  <c r="AW281" i="30294"/>
  <c r="AV281" i="30294"/>
  <c r="AU281" i="30294"/>
  <c r="AT281" i="30294"/>
  <c r="AS281" i="30294"/>
  <c r="AR281" i="30294"/>
  <c r="AP281" i="30294"/>
  <c r="AO281" i="30294"/>
  <c r="AN281" i="30294"/>
  <c r="AM281" i="30294"/>
  <c r="AL281" i="30294"/>
  <c r="AK281" i="30294"/>
  <c r="AI281" i="30294"/>
  <c r="AH281" i="30294"/>
  <c r="AG281" i="30294"/>
  <c r="AF281" i="30294"/>
  <c r="AE281" i="30294"/>
  <c r="AD281" i="30294"/>
  <c r="AB281" i="30294"/>
  <c r="AA281" i="30294"/>
  <c r="Z281" i="30294"/>
  <c r="Y281" i="30294"/>
  <c r="X281" i="30294"/>
  <c r="W281" i="30294"/>
  <c r="U281" i="30294"/>
  <c r="T281" i="30294"/>
  <c r="S281" i="30294"/>
  <c r="R281" i="30294"/>
  <c r="Q281" i="30294"/>
  <c r="P281" i="30294"/>
  <c r="N281" i="30294"/>
  <c r="M281" i="30294"/>
  <c r="L281" i="30294"/>
  <c r="K281" i="30294"/>
  <c r="J281" i="30294"/>
  <c r="I281" i="30294"/>
  <c r="G281" i="30294"/>
  <c r="G283" i="30294" s="1"/>
  <c r="F281" i="30294"/>
  <c r="F283" i="30294" s="1"/>
  <c r="E281" i="30294"/>
  <c r="E283" i="30294" s="1"/>
  <c r="D281" i="30294"/>
  <c r="D283" i="30294" s="1"/>
  <c r="C281" i="30294"/>
  <c r="C283" i="30294" s="1"/>
  <c r="B281" i="30294"/>
  <c r="B283" i="30294" s="1"/>
  <c r="AW275" i="30294"/>
  <c r="AV275" i="30294"/>
  <c r="AU275" i="30294"/>
  <c r="AT275" i="30294"/>
  <c r="AS275" i="30294"/>
  <c r="AR275" i="30294"/>
  <c r="AP275" i="30294"/>
  <c r="AO275" i="30294"/>
  <c r="AN275" i="30294"/>
  <c r="AM275" i="30294"/>
  <c r="AL275" i="30294"/>
  <c r="AK275" i="30294"/>
  <c r="AI275" i="30294"/>
  <c r="AH275" i="30294"/>
  <c r="AG275" i="30294"/>
  <c r="AF275" i="30294"/>
  <c r="AE275" i="30294"/>
  <c r="AD275" i="30294"/>
  <c r="AB275" i="30294"/>
  <c r="AA275" i="30294"/>
  <c r="Z275" i="30294"/>
  <c r="Y275" i="30294"/>
  <c r="X275" i="30294"/>
  <c r="W275" i="30294"/>
  <c r="U275" i="30294"/>
  <c r="T275" i="30294"/>
  <c r="S275" i="30294"/>
  <c r="R275" i="30294"/>
  <c r="Q275" i="30294"/>
  <c r="P275" i="30294"/>
  <c r="N275" i="30294"/>
  <c r="M275" i="30294"/>
  <c r="L275" i="30294"/>
  <c r="K275" i="30294"/>
  <c r="J275" i="30294"/>
  <c r="I275" i="30294"/>
  <c r="G275" i="30294"/>
  <c r="F275" i="30294"/>
  <c r="E275" i="30294"/>
  <c r="D275" i="30294"/>
  <c r="C275" i="30294"/>
  <c r="B275" i="30294"/>
  <c r="AW287" i="30290"/>
  <c r="AV287" i="30290"/>
  <c r="AU287" i="30290"/>
  <c r="AT287" i="30290"/>
  <c r="AS287" i="30290"/>
  <c r="AR287" i="30290"/>
  <c r="AP287" i="30290"/>
  <c r="AO287" i="30290"/>
  <c r="AN287" i="30290"/>
  <c r="AM287" i="30290"/>
  <c r="AL287" i="30290"/>
  <c r="AK287" i="30290"/>
  <c r="AI287" i="30290"/>
  <c r="AH287" i="30290"/>
  <c r="AG287" i="30290"/>
  <c r="AF287" i="30290"/>
  <c r="AE287" i="30290"/>
  <c r="AD287" i="30290"/>
  <c r="AB287" i="30290"/>
  <c r="AA287" i="30290"/>
  <c r="Z287" i="30290"/>
  <c r="Y287" i="30290"/>
  <c r="X287" i="30290"/>
  <c r="W287" i="30290"/>
  <c r="U287" i="30290"/>
  <c r="T287" i="30290"/>
  <c r="S287" i="30290"/>
  <c r="R287" i="30290"/>
  <c r="Q287" i="30290"/>
  <c r="P287" i="30290"/>
  <c r="N287" i="30290"/>
  <c r="M287" i="30290"/>
  <c r="L287" i="30290"/>
  <c r="K287" i="30290"/>
  <c r="J287" i="30290"/>
  <c r="I287" i="30290"/>
  <c r="G287" i="30290"/>
  <c r="F287" i="30290"/>
  <c r="E287" i="30290"/>
  <c r="D287" i="30290"/>
  <c r="C287" i="30290"/>
  <c r="B287" i="30290"/>
  <c r="AW284" i="30290"/>
  <c r="AV284" i="30290"/>
  <c r="AU284" i="30290"/>
  <c r="AT284" i="30290"/>
  <c r="AS284" i="30290"/>
  <c r="AR284" i="30290"/>
  <c r="AP284" i="30290"/>
  <c r="AO284" i="30290"/>
  <c r="AN284" i="30290"/>
  <c r="AM284" i="30290"/>
  <c r="AL284" i="30290"/>
  <c r="AK284" i="30290"/>
  <c r="AI284" i="30290"/>
  <c r="AH284" i="30290"/>
  <c r="AG284" i="30290"/>
  <c r="AF284" i="30290"/>
  <c r="AE284" i="30290"/>
  <c r="AD284" i="30290"/>
  <c r="AB284" i="30290"/>
  <c r="AA284" i="30290"/>
  <c r="Z284" i="30290"/>
  <c r="Y284" i="30290"/>
  <c r="X284" i="30290"/>
  <c r="W284" i="30290"/>
  <c r="U284" i="30290"/>
  <c r="T284" i="30290"/>
  <c r="S284" i="30290"/>
  <c r="R284" i="30290"/>
  <c r="Q284" i="30290"/>
  <c r="P284" i="30290"/>
  <c r="N284" i="30290"/>
  <c r="M284" i="30290"/>
  <c r="L284" i="30290"/>
  <c r="K284" i="30290"/>
  <c r="J284" i="30290"/>
  <c r="I284" i="30290"/>
  <c r="G284" i="30290"/>
  <c r="F284" i="30290"/>
  <c r="E284" i="30290"/>
  <c r="D284" i="30290"/>
  <c r="C284" i="30290"/>
  <c r="B284" i="30290"/>
  <c r="AW282" i="30290"/>
  <c r="AV282" i="30290"/>
  <c r="AU282" i="30290"/>
  <c r="AT282" i="30290"/>
  <c r="AS282" i="30290"/>
  <c r="AR282" i="30290"/>
  <c r="AP282" i="30290"/>
  <c r="AO282" i="30290"/>
  <c r="AN282" i="30290"/>
  <c r="AM282" i="30290"/>
  <c r="AL282" i="30290"/>
  <c r="AK282" i="30290"/>
  <c r="AI282" i="30290"/>
  <c r="AH282" i="30290"/>
  <c r="AG282" i="30290"/>
  <c r="AF282" i="30290"/>
  <c r="AE282" i="30290"/>
  <c r="AD282" i="30290"/>
  <c r="AB282" i="30290"/>
  <c r="AA282" i="30290"/>
  <c r="Z282" i="30290"/>
  <c r="Y282" i="30290"/>
  <c r="X282" i="30290"/>
  <c r="W282" i="30290"/>
  <c r="U282" i="30290"/>
  <c r="T282" i="30290"/>
  <c r="S282" i="30290"/>
  <c r="R282" i="30290"/>
  <c r="Q282" i="30290"/>
  <c r="P282" i="30290"/>
  <c r="N282" i="30290"/>
  <c r="M282" i="30290"/>
  <c r="L282" i="30290"/>
  <c r="K282" i="30290"/>
  <c r="J282" i="30290"/>
  <c r="I282" i="30290"/>
  <c r="G282" i="30290"/>
  <c r="F282" i="30290"/>
  <c r="E282" i="30290"/>
  <c r="D282" i="30290"/>
  <c r="C282" i="30290"/>
  <c r="B282" i="30290"/>
  <c r="AW281" i="30290"/>
  <c r="AV281" i="30290"/>
  <c r="AU281" i="30290"/>
  <c r="AT281" i="30290"/>
  <c r="AS281" i="30290"/>
  <c r="AR281" i="30290"/>
  <c r="AP281" i="30290"/>
  <c r="AO281" i="30290"/>
  <c r="AN281" i="30290"/>
  <c r="AM281" i="30290"/>
  <c r="AL281" i="30290"/>
  <c r="AK281" i="30290"/>
  <c r="AI281" i="30290"/>
  <c r="AH281" i="30290"/>
  <c r="AG281" i="30290"/>
  <c r="AF281" i="30290"/>
  <c r="AE281" i="30290"/>
  <c r="AD281" i="30290"/>
  <c r="AB281" i="30290"/>
  <c r="AA281" i="30290"/>
  <c r="Z281" i="30290"/>
  <c r="Y281" i="30290"/>
  <c r="X281" i="30290"/>
  <c r="W281" i="30290"/>
  <c r="U281" i="30290"/>
  <c r="T281" i="30290"/>
  <c r="S281" i="30290"/>
  <c r="R281" i="30290"/>
  <c r="Q281" i="30290"/>
  <c r="P281" i="30290"/>
  <c r="N281" i="30290"/>
  <c r="M281" i="30290"/>
  <c r="L281" i="30290"/>
  <c r="K281" i="30290"/>
  <c r="J281" i="30290"/>
  <c r="I281" i="30290"/>
  <c r="G281" i="30290"/>
  <c r="F281" i="30290"/>
  <c r="E281" i="30290"/>
  <c r="D281" i="30290"/>
  <c r="C281" i="30290"/>
  <c r="B281" i="30290"/>
  <c r="AW275" i="30290"/>
  <c r="AV275" i="30290"/>
  <c r="AU275" i="30290"/>
  <c r="AT275" i="30290"/>
  <c r="AS275" i="30290"/>
  <c r="AR275" i="30290"/>
  <c r="AP275" i="30290"/>
  <c r="AO275" i="30290"/>
  <c r="AN275" i="30290"/>
  <c r="AM275" i="30290"/>
  <c r="AL275" i="30290"/>
  <c r="AK275" i="30290"/>
  <c r="AI275" i="30290"/>
  <c r="AH275" i="30290"/>
  <c r="AG275" i="30290"/>
  <c r="AF275" i="30290"/>
  <c r="AE275" i="30290"/>
  <c r="AD275" i="30290"/>
  <c r="AB275" i="30290"/>
  <c r="AA275" i="30290"/>
  <c r="Z275" i="30290"/>
  <c r="Y275" i="30290"/>
  <c r="X275" i="30290"/>
  <c r="W275" i="30290"/>
  <c r="U275" i="30290"/>
  <c r="T275" i="30290"/>
  <c r="S275" i="30290"/>
  <c r="R275" i="30290"/>
  <c r="Q275" i="30290"/>
  <c r="P275" i="30290"/>
  <c r="N275" i="30290"/>
  <c r="M275" i="30290"/>
  <c r="L275" i="30290"/>
  <c r="K275" i="30290"/>
  <c r="J275" i="30290"/>
  <c r="I275" i="30290"/>
  <c r="G275" i="30290"/>
  <c r="F275" i="30290"/>
  <c r="E275" i="30290"/>
  <c r="D275" i="30290"/>
  <c r="C275" i="30290"/>
  <c r="B275" i="30290"/>
  <c r="AW287" i="30300"/>
  <c r="AV287" i="30300"/>
  <c r="AU287" i="30300"/>
  <c r="AT287" i="30300"/>
  <c r="AS287" i="30300"/>
  <c r="AR287" i="30300"/>
  <c r="AW284" i="30300"/>
  <c r="AV284" i="30300"/>
  <c r="AU284" i="30300"/>
  <c r="AT284" i="30300"/>
  <c r="AS284" i="30300"/>
  <c r="AR284" i="30300"/>
  <c r="AW282" i="30300"/>
  <c r="AV282" i="30300"/>
  <c r="AU282" i="30300"/>
  <c r="AT282" i="30300"/>
  <c r="AS282" i="30300"/>
  <c r="AR282" i="30300"/>
  <c r="AW281" i="30300"/>
  <c r="AV281" i="30300"/>
  <c r="AU281" i="30300"/>
  <c r="AT281" i="30300"/>
  <c r="AS281" i="30300"/>
  <c r="AR281" i="30300"/>
  <c r="AW275" i="30300"/>
  <c r="AV275" i="30300"/>
  <c r="AU275" i="30300"/>
  <c r="AT275" i="30300"/>
  <c r="AS275" i="30300"/>
  <c r="AR275" i="30300"/>
  <c r="AP287" i="30300"/>
  <c r="AO287" i="30300"/>
  <c r="AN287" i="30300"/>
  <c r="AM287" i="30300"/>
  <c r="AL287" i="30300"/>
  <c r="AK287" i="30300"/>
  <c r="AP284" i="30300"/>
  <c r="AO284" i="30300"/>
  <c r="AN284" i="30300"/>
  <c r="AM284" i="30300"/>
  <c r="AL284" i="30300"/>
  <c r="AK284" i="30300"/>
  <c r="AP282" i="30300"/>
  <c r="AO282" i="30300"/>
  <c r="AN282" i="30300"/>
  <c r="AM282" i="30300"/>
  <c r="AL282" i="30300"/>
  <c r="AK282" i="30300"/>
  <c r="AP281" i="30300"/>
  <c r="AO281" i="30300"/>
  <c r="AN281" i="30300"/>
  <c r="AM281" i="30300"/>
  <c r="AL281" i="30300"/>
  <c r="AK281" i="30300"/>
  <c r="AP275" i="30300"/>
  <c r="AO275" i="30300"/>
  <c r="AN275" i="30300"/>
  <c r="AM275" i="30300"/>
  <c r="AL275" i="30300"/>
  <c r="AK275" i="30300"/>
  <c r="AI287" i="30300"/>
  <c r="AH287" i="30300"/>
  <c r="AG287" i="30300"/>
  <c r="AF287" i="30300"/>
  <c r="AE287" i="30300"/>
  <c r="AD287" i="30300"/>
  <c r="AI284" i="30300"/>
  <c r="AH284" i="30300"/>
  <c r="AG284" i="30300"/>
  <c r="AF284" i="30300"/>
  <c r="AE284" i="30300"/>
  <c r="AD284" i="30300"/>
  <c r="AI282" i="30300"/>
  <c r="AH282" i="30300"/>
  <c r="AG282" i="30300"/>
  <c r="AF282" i="30300"/>
  <c r="AE282" i="30300"/>
  <c r="AD282" i="30300"/>
  <c r="AI281" i="30300"/>
  <c r="AH281" i="30300"/>
  <c r="AG281" i="30300"/>
  <c r="AF281" i="30300"/>
  <c r="AE281" i="30300"/>
  <c r="AD281" i="30300"/>
  <c r="AI275" i="30300"/>
  <c r="AH275" i="30300"/>
  <c r="AG275" i="30300"/>
  <c r="AF275" i="30300"/>
  <c r="AE275" i="30300"/>
  <c r="AD275" i="30300"/>
  <c r="AB287" i="30300"/>
  <c r="AA287" i="30300"/>
  <c r="Z287" i="30300"/>
  <c r="Y287" i="30300"/>
  <c r="X287" i="30300"/>
  <c r="W287" i="30300"/>
  <c r="AB284" i="30300"/>
  <c r="AA284" i="30300"/>
  <c r="Z284" i="30300"/>
  <c r="Y284" i="30300"/>
  <c r="X284" i="30300"/>
  <c r="W284" i="30300"/>
  <c r="AB282" i="30300"/>
  <c r="AA282" i="30300"/>
  <c r="Z282" i="30300"/>
  <c r="Y282" i="30300"/>
  <c r="X282" i="30300"/>
  <c r="W282" i="30300"/>
  <c r="AB281" i="30300"/>
  <c r="AA281" i="30300"/>
  <c r="Z281" i="30300"/>
  <c r="Y281" i="30300"/>
  <c r="X281" i="30300"/>
  <c r="W281" i="30300"/>
  <c r="AB275" i="30300"/>
  <c r="AA275" i="30300"/>
  <c r="Z275" i="30300"/>
  <c r="Y275" i="30300"/>
  <c r="X275" i="30300"/>
  <c r="W275" i="30300"/>
  <c r="U287" i="30300"/>
  <c r="T287" i="30300"/>
  <c r="S287" i="30300"/>
  <c r="R287" i="30300"/>
  <c r="Q287" i="30300"/>
  <c r="P287" i="30300"/>
  <c r="U284" i="30300"/>
  <c r="T284" i="30300"/>
  <c r="S284" i="30300"/>
  <c r="R284" i="30300"/>
  <c r="Q284" i="30300"/>
  <c r="P284" i="30300"/>
  <c r="U282" i="30300"/>
  <c r="T282" i="30300"/>
  <c r="S282" i="30300"/>
  <c r="R282" i="30300"/>
  <c r="Q282" i="30300"/>
  <c r="P282" i="30300"/>
  <c r="U281" i="30300"/>
  <c r="T281" i="30300"/>
  <c r="S281" i="30300"/>
  <c r="R281" i="30300"/>
  <c r="Q281" i="30300"/>
  <c r="P281" i="30300"/>
  <c r="U275" i="30300"/>
  <c r="T275" i="30300"/>
  <c r="S275" i="30300"/>
  <c r="R275" i="30300"/>
  <c r="Q275" i="30300"/>
  <c r="P275" i="30300"/>
  <c r="N287" i="30300"/>
  <c r="M287" i="30300"/>
  <c r="L287" i="30300"/>
  <c r="K287" i="30300"/>
  <c r="J287" i="30300"/>
  <c r="I287" i="30300"/>
  <c r="N284" i="30300"/>
  <c r="M284" i="30300"/>
  <c r="L284" i="30300"/>
  <c r="K284" i="30300"/>
  <c r="J284" i="30300"/>
  <c r="I284" i="30300"/>
  <c r="N282" i="30300"/>
  <c r="M282" i="30300"/>
  <c r="L282" i="30300"/>
  <c r="K282" i="30300"/>
  <c r="J282" i="30300"/>
  <c r="I282" i="30300"/>
  <c r="N281" i="30300"/>
  <c r="M281" i="30300"/>
  <c r="L281" i="30300"/>
  <c r="K281" i="30300"/>
  <c r="J281" i="30300"/>
  <c r="I281" i="30300"/>
  <c r="N275" i="30300"/>
  <c r="M275" i="30300"/>
  <c r="L275" i="30300"/>
  <c r="K275" i="30300"/>
  <c r="J275" i="30300"/>
  <c r="I275" i="30300"/>
  <c r="I234" i="30295"/>
  <c r="J234" i="30295"/>
  <c r="A117" i="30295"/>
  <c r="A118" i="30295"/>
  <c r="A119" i="30295"/>
  <c r="A120" i="30295"/>
  <c r="A121" i="30295"/>
  <c r="A114" i="30295"/>
  <c r="A115" i="30295"/>
  <c r="A122" i="30295"/>
  <c r="A123" i="30295"/>
  <c r="A124" i="30295"/>
  <c r="A130" i="30295"/>
  <c r="A131" i="30295"/>
  <c r="A132" i="30295"/>
  <c r="A133" i="30295"/>
  <c r="A134" i="30295"/>
  <c r="A135" i="30295"/>
  <c r="A136" i="30295"/>
  <c r="A137" i="30295"/>
  <c r="A138" i="30295"/>
  <c r="A139" i="30295"/>
  <c r="A140" i="30295"/>
  <c r="A141" i="30295"/>
  <c r="A142" i="30295"/>
  <c r="A143" i="30295"/>
  <c r="A144" i="30295"/>
  <c r="A145" i="30295"/>
  <c r="A146" i="30295"/>
  <c r="A147" i="30295"/>
  <c r="A148" i="30295"/>
  <c r="A149" i="30295"/>
  <c r="A150" i="30295"/>
  <c r="A151" i="30295"/>
  <c r="A152" i="30295"/>
  <c r="A153" i="30295"/>
  <c r="A154" i="30295"/>
  <c r="A155" i="30295"/>
  <c r="A156" i="30295"/>
  <c r="A157" i="30295"/>
  <c r="A158" i="30295"/>
  <c r="A159" i="30295"/>
  <c r="A160" i="30295"/>
  <c r="A161" i="30295"/>
  <c r="A162" i="30295"/>
  <c r="A163" i="30295"/>
  <c r="A164" i="30295"/>
  <c r="A165" i="30295"/>
  <c r="A166" i="30295"/>
  <c r="A167" i="30295"/>
  <c r="A168" i="30295"/>
  <c r="A169" i="30295"/>
  <c r="A170" i="30295"/>
  <c r="A171" i="30295"/>
  <c r="A172" i="30295"/>
  <c r="A173" i="30295"/>
  <c r="A174" i="30295"/>
  <c r="A175" i="30295"/>
  <c r="A176" i="30295"/>
  <c r="A177" i="30295"/>
  <c r="A178" i="30295"/>
  <c r="A179" i="30295"/>
  <c r="A180" i="30295"/>
  <c r="A181" i="30295"/>
  <c r="A182" i="30295"/>
  <c r="A183" i="30295"/>
  <c r="A184" i="30295"/>
  <c r="A185" i="30295"/>
  <c r="A186" i="30295"/>
  <c r="A187" i="30295"/>
  <c r="A188" i="30295"/>
  <c r="A189" i="30295"/>
  <c r="A190" i="30295"/>
  <c r="A191" i="30295"/>
  <c r="A192" i="30295"/>
  <c r="A193" i="30295"/>
  <c r="A194" i="30295"/>
  <c r="A195" i="30295"/>
  <c r="A196" i="30295"/>
  <c r="A197" i="30295"/>
  <c r="A198" i="30295"/>
  <c r="A199" i="30295"/>
  <c r="A200" i="30295"/>
  <c r="A201" i="30295"/>
  <c r="A202" i="30295"/>
  <c r="A203" i="30295"/>
  <c r="A204" i="30295"/>
  <c r="A205" i="30295"/>
  <c r="A206" i="30295"/>
  <c r="A207" i="30295"/>
  <c r="A208" i="30295"/>
  <c r="A209" i="30295"/>
  <c r="A210" i="30295"/>
  <c r="A211" i="30295"/>
  <c r="A212" i="30295"/>
  <c r="A213" i="30295"/>
  <c r="A214" i="30295"/>
  <c r="A215" i="30295"/>
  <c r="A216" i="30295"/>
  <c r="A217" i="30295"/>
  <c r="A218" i="30295"/>
  <c r="A219" i="30295"/>
  <c r="A220" i="30295"/>
  <c r="G297" i="30300"/>
  <c r="G7" i="30300" s="1"/>
  <c r="F297" i="30300"/>
  <c r="E297" i="30300"/>
  <c r="E7" i="30300" s="1"/>
  <c r="D297" i="30300"/>
  <c r="D7" i="30300" s="1"/>
  <c r="C297" i="30300"/>
  <c r="C7" i="30300" s="1"/>
  <c r="B297" i="30300"/>
  <c r="B7" i="30300" s="1"/>
  <c r="AW292" i="30300"/>
  <c r="AV292" i="30300"/>
  <c r="AU292" i="30300"/>
  <c r="AT292" i="30300"/>
  <c r="AS292" i="30300"/>
  <c r="AR292" i="30300"/>
  <c r="AP292" i="30300"/>
  <c r="AO292" i="30300"/>
  <c r="AN292" i="30300"/>
  <c r="AM292" i="30300"/>
  <c r="AL292" i="30300"/>
  <c r="AK292" i="30300"/>
  <c r="AI292" i="30300"/>
  <c r="AH292" i="30300"/>
  <c r="AG292" i="30300"/>
  <c r="AF292" i="30300"/>
  <c r="AE292" i="30300"/>
  <c r="AD292" i="30300"/>
  <c r="AB292" i="30300"/>
  <c r="AA292" i="30300"/>
  <c r="Z292" i="30300"/>
  <c r="Y292" i="30300"/>
  <c r="X292" i="30300"/>
  <c r="W292" i="30300"/>
  <c r="U292" i="30300"/>
  <c r="T292" i="30300"/>
  <c r="S292" i="30300"/>
  <c r="R292" i="30300"/>
  <c r="Q292" i="30300"/>
  <c r="P292" i="30300"/>
  <c r="N292" i="30300"/>
  <c r="M292" i="30300"/>
  <c r="L292" i="30300"/>
  <c r="K292" i="30300"/>
  <c r="J292" i="30300"/>
  <c r="I292" i="30300"/>
  <c r="G292" i="30300"/>
  <c r="F292" i="30300"/>
  <c r="E292" i="30300"/>
  <c r="D292" i="30300"/>
  <c r="C292" i="30300"/>
  <c r="B292" i="30300"/>
  <c r="G287" i="30300"/>
  <c r="F287" i="30300"/>
  <c r="E287" i="30300"/>
  <c r="D287" i="30300"/>
  <c r="C287" i="30300"/>
  <c r="B287" i="30300"/>
  <c r="G284" i="30300"/>
  <c r="F284" i="30300"/>
  <c r="E284" i="30300"/>
  <c r="D284" i="30300"/>
  <c r="C284" i="30300"/>
  <c r="B284" i="30300"/>
  <c r="G282" i="30300"/>
  <c r="F282" i="30300"/>
  <c r="E282" i="30300"/>
  <c r="D282" i="30300"/>
  <c r="C282" i="30300"/>
  <c r="B282" i="30300"/>
  <c r="G281" i="30300"/>
  <c r="F281" i="30300"/>
  <c r="E281" i="30300"/>
  <c r="D281" i="30300"/>
  <c r="C281" i="30300"/>
  <c r="B281" i="30300"/>
  <c r="G275" i="30300"/>
  <c r="F275" i="30300"/>
  <c r="E275" i="30300"/>
  <c r="D275" i="30300"/>
  <c r="C275" i="30300"/>
  <c r="B275" i="30300"/>
  <c r="H269" i="30300"/>
  <c r="H265" i="30300"/>
  <c r="AW232" i="30300"/>
  <c r="AV232" i="30300"/>
  <c r="AU232" i="30300"/>
  <c r="AT232" i="30300"/>
  <c r="AS232" i="30300"/>
  <c r="AR232" i="30300"/>
  <c r="AP232" i="30300"/>
  <c r="AO232" i="30300"/>
  <c r="AN232" i="30300"/>
  <c r="AM232" i="30300"/>
  <c r="AL232" i="30300"/>
  <c r="AI232" i="30300"/>
  <c r="AH232" i="30300"/>
  <c r="AG232" i="30300"/>
  <c r="AF232" i="30300"/>
  <c r="AE232" i="30300"/>
  <c r="AD232" i="30300"/>
  <c r="AB232" i="30300"/>
  <c r="AA232" i="30300"/>
  <c r="Z232" i="30300"/>
  <c r="Y232" i="30300"/>
  <c r="X232" i="30300"/>
  <c r="W232" i="30300"/>
  <c r="U232" i="30300"/>
  <c r="T232" i="30300"/>
  <c r="S232" i="30300"/>
  <c r="R232" i="30300"/>
  <c r="Q232" i="30300"/>
  <c r="P232" i="30300"/>
  <c r="N232" i="30300"/>
  <c r="M232" i="30300"/>
  <c r="L232" i="30300"/>
  <c r="K232" i="30300"/>
  <c r="J232" i="30300"/>
  <c r="I232" i="30300"/>
  <c r="G232" i="30300"/>
  <c r="F232" i="30300"/>
  <c r="E232" i="30300"/>
  <c r="D232" i="30300"/>
  <c r="C232" i="30300"/>
  <c r="B232" i="30300"/>
  <c r="A229" i="30300"/>
  <c r="A228" i="30300"/>
  <c r="A227" i="30300"/>
  <c r="A226" i="30300"/>
  <c r="A225" i="30300"/>
  <c r="A224" i="30300"/>
  <c r="A223" i="30300"/>
  <c r="A222" i="30300"/>
  <c r="A221" i="30300"/>
  <c r="A220" i="30300"/>
  <c r="A219" i="30300"/>
  <c r="A218" i="30300"/>
  <c r="A217" i="30300"/>
  <c r="A216" i="30300"/>
  <c r="A215" i="30300"/>
  <c r="A214" i="30300"/>
  <c r="A213" i="30300"/>
  <c r="A212" i="30300"/>
  <c r="A211" i="30300"/>
  <c r="A210" i="30300"/>
  <c r="A209" i="30300"/>
  <c r="A208" i="30300"/>
  <c r="A207" i="30300"/>
  <c r="A206" i="30300"/>
  <c r="A205" i="30300"/>
  <c r="A204" i="30300"/>
  <c r="A203" i="30300"/>
  <c r="A202" i="30300"/>
  <c r="A201" i="30300"/>
  <c r="A200" i="30300"/>
  <c r="A199" i="30300"/>
  <c r="A198" i="30300"/>
  <c r="A197" i="30300"/>
  <c r="A196" i="30300"/>
  <c r="A195" i="30300"/>
  <c r="A194" i="30300"/>
  <c r="A193" i="30300"/>
  <c r="A192" i="30300"/>
  <c r="A191" i="30300"/>
  <c r="A190" i="30300"/>
  <c r="A189" i="30300"/>
  <c r="A188" i="30300"/>
  <c r="A187" i="30300"/>
  <c r="A186" i="30300"/>
  <c r="A185" i="30300"/>
  <c r="A184" i="30300"/>
  <c r="A183" i="30300"/>
  <c r="A182" i="30300"/>
  <c r="A181" i="30300"/>
  <c r="A180" i="30300"/>
  <c r="A179" i="30300"/>
  <c r="A178" i="30300"/>
  <c r="A177" i="30300"/>
  <c r="A176" i="30300"/>
  <c r="A175" i="30300"/>
  <c r="A174" i="30300"/>
  <c r="A173" i="30300"/>
  <c r="A172" i="30300"/>
  <c r="A171" i="30300"/>
  <c r="A170" i="30300"/>
  <c r="A169" i="30300"/>
  <c r="A168" i="30300"/>
  <c r="A167" i="30300"/>
  <c r="A166" i="30300"/>
  <c r="A165" i="30300"/>
  <c r="A164" i="30300"/>
  <c r="A163" i="30300"/>
  <c r="A162" i="30300"/>
  <c r="A161" i="30300"/>
  <c r="A160" i="30300"/>
  <c r="A159" i="30300"/>
  <c r="A158" i="30300"/>
  <c r="A157" i="30300"/>
  <c r="A156" i="30300"/>
  <c r="A155" i="30300"/>
  <c r="A154" i="30300"/>
  <c r="A153" i="30300"/>
  <c r="A152" i="30300"/>
  <c r="A151" i="30300"/>
  <c r="A150" i="30300"/>
  <c r="A149" i="30300"/>
  <c r="A148" i="30300"/>
  <c r="A147" i="30300"/>
  <c r="A146" i="30300"/>
  <c r="A145" i="30300"/>
  <c r="A144" i="30300"/>
  <c r="A143" i="30300"/>
  <c r="A142" i="30300"/>
  <c r="A141" i="30300"/>
  <c r="A140" i="30300"/>
  <c r="A139" i="30300"/>
  <c r="A138" i="30300"/>
  <c r="A137" i="30300"/>
  <c r="A136" i="30300"/>
  <c r="A135" i="30300"/>
  <c r="A134" i="30300"/>
  <c r="A133" i="30300"/>
  <c r="A132" i="30300"/>
  <c r="A131" i="30300"/>
  <c r="A130" i="30300"/>
  <c r="L297" i="30300"/>
  <c r="L7" i="30300" s="1"/>
  <c r="K297" i="30300"/>
  <c r="K7" i="30300" s="1"/>
  <c r="J297" i="30300"/>
  <c r="J7" i="30300" s="1"/>
  <c r="A124" i="30300"/>
  <c r="A123" i="30300"/>
  <c r="A122" i="30300"/>
  <c r="A121" i="30300"/>
  <c r="A120" i="30300"/>
  <c r="A119" i="30300"/>
  <c r="A118" i="30300"/>
  <c r="A117" i="30300"/>
  <c r="M297" i="30300"/>
  <c r="M7" i="30300" s="1"/>
  <c r="A115" i="30300"/>
  <c r="A114" i="30300"/>
  <c r="A112" i="30300"/>
  <c r="A111" i="30300"/>
  <c r="A110" i="30300"/>
  <c r="A109" i="30300"/>
  <c r="A108" i="30300"/>
  <c r="A107" i="30300"/>
  <c r="A106" i="30300"/>
  <c r="A105" i="30300"/>
  <c r="A104" i="30300"/>
  <c r="A103" i="30300"/>
  <c r="A102" i="30300"/>
  <c r="A101" i="30300"/>
  <c r="A100" i="30300"/>
  <c r="A99" i="30300"/>
  <c r="A98" i="30300"/>
  <c r="A97" i="30300"/>
  <c r="A96" i="30300"/>
  <c r="A95" i="30300"/>
  <c r="A94" i="30300"/>
  <c r="A93" i="30300"/>
  <c r="A92" i="30300"/>
  <c r="A91" i="30300"/>
  <c r="A90" i="30300"/>
  <c r="A89" i="30300"/>
  <c r="A88" i="30300"/>
  <c r="A87" i="30300"/>
  <c r="A86" i="30300"/>
  <c r="A85" i="30300"/>
  <c r="A84" i="30300"/>
  <c r="A83" i="30300"/>
  <c r="A82" i="30300"/>
  <c r="A81" i="30300"/>
  <c r="A80" i="30300"/>
  <c r="A79" i="30300"/>
  <c r="A78" i="30300"/>
  <c r="A77" i="30300"/>
  <c r="A76" i="30300"/>
  <c r="A75" i="30300"/>
  <c r="A74" i="30300"/>
  <c r="A73" i="30300"/>
  <c r="A72" i="30300"/>
  <c r="A71" i="30300"/>
  <c r="A70" i="30300"/>
  <c r="A69" i="30300"/>
  <c r="A68" i="30300"/>
  <c r="A67" i="30300"/>
  <c r="A66" i="30300"/>
  <c r="A65" i="30300"/>
  <c r="A64" i="30300"/>
  <c r="A63" i="30300"/>
  <c r="A62" i="30300"/>
  <c r="A61" i="30300"/>
  <c r="A60" i="30300"/>
  <c r="A59" i="30300"/>
  <c r="A58" i="30300"/>
  <c r="A57" i="30300"/>
  <c r="A56" i="30300"/>
  <c r="A55" i="30300"/>
  <c r="A54" i="30300"/>
  <c r="A53" i="30300"/>
  <c r="A52" i="30300"/>
  <c r="A51" i="30300"/>
  <c r="A50" i="30300"/>
  <c r="A49" i="30300"/>
  <c r="A48" i="30300"/>
  <c r="A47" i="30300"/>
  <c r="A46" i="30300"/>
  <c r="A45" i="30300"/>
  <c r="A44" i="30300"/>
  <c r="A43" i="30300"/>
  <c r="A42" i="30300"/>
  <c r="A41" i="30300"/>
  <c r="A40" i="30300"/>
  <c r="A39" i="30300"/>
  <c r="A38" i="30300"/>
  <c r="A37" i="30300"/>
  <c r="A36" i="30300"/>
  <c r="A35" i="30300"/>
  <c r="A34" i="30300"/>
  <c r="A33" i="30300"/>
  <c r="A32" i="30300"/>
  <c r="A31" i="30300"/>
  <c r="A30" i="30300"/>
  <c r="A29" i="30300"/>
  <c r="A28" i="30300"/>
  <c r="A27" i="30300"/>
  <c r="A26" i="30300"/>
  <c r="A25" i="30300"/>
  <c r="A24" i="30300"/>
  <c r="A23" i="30300"/>
  <c r="A22" i="30300"/>
  <c r="A21" i="30300"/>
  <c r="A20" i="30300"/>
  <c r="A19" i="30300"/>
  <c r="A18" i="30300"/>
  <c r="A17" i="30300"/>
  <c r="A16" i="30300"/>
  <c r="A15" i="30300"/>
  <c r="A14" i="30300"/>
  <c r="A13" i="30300"/>
  <c r="A12" i="30300"/>
  <c r="A11" i="30300"/>
  <c r="A10" i="30300"/>
  <c r="A9" i="30300"/>
  <c r="F7" i="30300"/>
  <c r="AK8" i="30301" l="1"/>
  <c r="AK230" i="30301" s="1"/>
  <c r="AA1" i="30301"/>
  <c r="P304" i="30301"/>
  <c r="P305" i="30301" s="1"/>
  <c r="P248" i="30301"/>
  <c r="M238" i="30301"/>
  <c r="P253" i="30301"/>
  <c r="P317" i="30301" s="1"/>
  <c r="Z8" i="30301"/>
  <c r="Z238" i="30301" s="1"/>
  <c r="AD8" i="30301"/>
  <c r="AO246" i="30301"/>
  <c r="AO299" i="30301" s="1"/>
  <c r="AR301" i="30301"/>
  <c r="AS8" i="30301"/>
  <c r="AS255" i="30301" s="1"/>
  <c r="AR237" i="30301"/>
  <c r="X8" i="30301"/>
  <c r="X325" i="30301" s="1"/>
  <c r="AE1" i="30301"/>
  <c r="L331" i="30301"/>
  <c r="L8" i="30301"/>
  <c r="L255" i="30301" s="1"/>
  <c r="J1" i="30301"/>
  <c r="M237" i="30301"/>
  <c r="AS242" i="30301"/>
  <c r="P245" i="30301"/>
  <c r="P300" i="30301" s="1"/>
  <c r="AR253" i="30301"/>
  <c r="W322" i="30301"/>
  <c r="Y1" i="30301"/>
  <c r="B8" i="30301"/>
  <c r="B259" i="30301" s="1"/>
  <c r="B260" i="30301" s="1"/>
  <c r="AE8" i="30301"/>
  <c r="AE243" i="30301" s="1"/>
  <c r="M243" i="30301"/>
  <c r="AS253" i="30301"/>
  <c r="C8" i="30301"/>
  <c r="C336" i="30301" s="1"/>
  <c r="AR239" i="30301"/>
  <c r="P243" i="30301"/>
  <c r="AS247" i="30301"/>
  <c r="M240" i="30301"/>
  <c r="P254" i="30301"/>
  <c r="AR259" i="30301"/>
  <c r="AR260" i="30301" s="1"/>
  <c r="AR254" i="30301"/>
  <c r="B241" i="30301"/>
  <c r="AS254" i="30301"/>
  <c r="B244" i="30301"/>
  <c r="M241" i="30301"/>
  <c r="AR248" i="30301"/>
  <c r="B304" i="30301"/>
  <c r="B305" i="30301" s="1"/>
  <c r="P241" i="30301"/>
  <c r="AS248" i="30301"/>
  <c r="B239" i="30301"/>
  <c r="P249" i="30301"/>
  <c r="AS259" i="30301"/>
  <c r="AS260" i="30301" s="1"/>
  <c r="AR244" i="30301"/>
  <c r="P315" i="30301"/>
  <c r="R254" i="30301"/>
  <c r="AS230" i="30301"/>
  <c r="AS246" i="30301"/>
  <c r="AS299" i="30301" s="1"/>
  <c r="AA8" i="30301"/>
  <c r="AA255" i="30301" s="1"/>
  <c r="P247" i="30301"/>
  <c r="AS315" i="30301"/>
  <c r="U8" i="30311"/>
  <c r="U254" i="30311" s="1"/>
  <c r="U262" i="30311" s="1"/>
  <c r="N1" i="30311"/>
  <c r="AR116" i="30298"/>
  <c r="AT127" i="30298"/>
  <c r="G310" i="30298"/>
  <c r="G308" i="30298"/>
  <c r="G302" i="30298"/>
  <c r="G336" i="30298"/>
  <c r="G329" i="30298"/>
  <c r="G323" i="30298"/>
  <c r="G307" i="30298"/>
  <c r="G253" i="30298"/>
  <c r="G244" i="30298"/>
  <c r="G241" i="30298"/>
  <c r="G340" i="30298"/>
  <c r="G331" i="30298"/>
  <c r="G324" i="30298"/>
  <c r="G248" i="30298"/>
  <c r="G254" i="30298"/>
  <c r="G256" i="30298"/>
  <c r="G257" i="30298" s="1"/>
  <c r="G259" i="30298"/>
  <c r="G260" i="30298" s="1"/>
  <c r="G315" i="30298"/>
  <c r="G306" i="30298"/>
  <c r="G245" i="30298"/>
  <c r="G247" i="30298"/>
  <c r="G322" i="30298"/>
  <c r="G239" i="30298"/>
  <c r="G242" i="30298"/>
  <c r="G319" i="30298"/>
  <c r="G328" i="30298"/>
  <c r="G316" i="30298"/>
  <c r="G255" i="30298"/>
  <c r="G311" i="30298" s="1"/>
  <c r="G246" i="30298"/>
  <c r="G283" i="30298" s="1"/>
  <c r="G230" i="30298"/>
  <c r="AU127" i="30298"/>
  <c r="F249" i="30298"/>
  <c r="F332" i="30298"/>
  <c r="E249" i="30298"/>
  <c r="AV127" i="30298"/>
  <c r="AD127" i="30298"/>
  <c r="N1" i="30298"/>
  <c r="N308" i="30298"/>
  <c r="N240" i="30298"/>
  <c r="N337" i="30298"/>
  <c r="F302" i="30298"/>
  <c r="F241" i="30298"/>
  <c r="F320" i="30298"/>
  <c r="F256" i="30298"/>
  <c r="F257" i="30298" s="1"/>
  <c r="F245" i="30298"/>
  <c r="F331" i="30298"/>
  <c r="F308" i="30298"/>
  <c r="F254" i="30298"/>
  <c r="F336" i="30298"/>
  <c r="F335" i="30298"/>
  <c r="F339" i="30298"/>
  <c r="F239" i="30298"/>
  <c r="F242" i="30298"/>
  <c r="F319" i="30298"/>
  <c r="F237" i="30298"/>
  <c r="F246" i="30298"/>
  <c r="G237" i="30298"/>
  <c r="D253" i="30298"/>
  <c r="F293" i="30298"/>
  <c r="G333" i="30298"/>
  <c r="AS116" i="30298"/>
  <c r="E300" i="30298"/>
  <c r="N8" i="30298"/>
  <c r="N340" i="30298" s="1"/>
  <c r="AW297" i="30298"/>
  <c r="AW7" i="30298" s="1"/>
  <c r="E237" i="30298"/>
  <c r="D254" i="30298"/>
  <c r="C334" i="30298"/>
  <c r="C330" i="30298"/>
  <c r="C328" i="30298"/>
  <c r="C324" i="30298"/>
  <c r="C332" i="30298"/>
  <c r="C259" i="30298"/>
  <c r="C260" i="30298" s="1"/>
  <c r="C255" i="30298"/>
  <c r="C311" i="30298" s="1"/>
  <c r="C336" i="30298"/>
  <c r="C308" i="30298"/>
  <c r="C254" i="30298"/>
  <c r="C244" i="30298"/>
  <c r="C8" i="30298"/>
  <c r="C339" i="30298" s="1"/>
  <c r="C240" i="30298"/>
  <c r="C230" i="30298"/>
  <c r="C248" i="30298"/>
  <c r="C246" i="30298"/>
  <c r="C299" i="30298" s="1"/>
  <c r="C321" i="30298"/>
  <c r="C301" i="30298"/>
  <c r="C256" i="30298"/>
  <c r="C257" i="30298" s="1"/>
  <c r="Y126" i="30298"/>
  <c r="F240" i="30298"/>
  <c r="D339" i="30298"/>
  <c r="D338" i="30298"/>
  <c r="D333" i="30298"/>
  <c r="D335" i="30298"/>
  <c r="D332" i="30298"/>
  <c r="D306" i="30298"/>
  <c r="D321" i="30298"/>
  <c r="D336" i="30298"/>
  <c r="D308" i="30298"/>
  <c r="D307" i="30298"/>
  <c r="D328" i="30298"/>
  <c r="D310" i="30298"/>
  <c r="D304" i="30298"/>
  <c r="D305" i="30298" s="1"/>
  <c r="D316" i="30298"/>
  <c r="E353" i="30298" s="1"/>
  <c r="E74" i="30308" s="1"/>
  <c r="D302" i="30298"/>
  <c r="D249" i="30298"/>
  <c r="D244" i="30298"/>
  <c r="D239" i="30298"/>
  <c r="D334" i="30298"/>
  <c r="D319" i="30298"/>
  <c r="D330" i="30298"/>
  <c r="D320" i="30298"/>
  <c r="D303" i="30298"/>
  <c r="D337" i="30298"/>
  <c r="D325" i="30298"/>
  <c r="D314" i="30298"/>
  <c r="D240" i="30298"/>
  <c r="D237" i="30298"/>
  <c r="D230" i="30298"/>
  <c r="D246" i="30298"/>
  <c r="D298" i="30298" s="1"/>
  <c r="D315" i="30298"/>
  <c r="D259" i="30298"/>
  <c r="D260" i="30298" s="1"/>
  <c r="D243" i="30298"/>
  <c r="D340" i="30298"/>
  <c r="D324" i="30298"/>
  <c r="D255" i="30298"/>
  <c r="D248" i="30298"/>
  <c r="D331" i="30298"/>
  <c r="D323" i="30298"/>
  <c r="D238" i="30298"/>
  <c r="D329" i="30298"/>
  <c r="D241" i="30298"/>
  <c r="D301" i="30298"/>
  <c r="D256" i="30298"/>
  <c r="D257" i="30298" s="1"/>
  <c r="D322" i="30298"/>
  <c r="D247" i="30298"/>
  <c r="D242" i="30298"/>
  <c r="S126" i="30298"/>
  <c r="Z126" i="30298" s="1"/>
  <c r="G240" i="30298"/>
  <c r="F301" i="30298"/>
  <c r="F316" i="30298"/>
  <c r="G353" i="30298" s="1"/>
  <c r="G74" i="30308" s="1"/>
  <c r="B328" i="30298"/>
  <c r="B322" i="30298"/>
  <c r="B335" i="30298"/>
  <c r="B333" i="30298"/>
  <c r="B321" i="30298"/>
  <c r="B8" i="30298"/>
  <c r="B307" i="30298" s="1"/>
  <c r="B310" i="30298"/>
  <c r="B230" i="30298"/>
  <c r="B319" i="30298"/>
  <c r="B325" i="30298"/>
  <c r="E333" i="30298"/>
  <c r="E340" i="30298"/>
  <c r="E321" i="30298"/>
  <c r="E337" i="30298"/>
  <c r="E328" i="30298"/>
  <c r="E310" i="30298"/>
  <c r="E304" i="30298"/>
  <c r="E305" i="30298" s="1"/>
  <c r="E324" i="30298"/>
  <c r="E334" i="30298"/>
  <c r="E319" i="30298"/>
  <c r="E239" i="30298"/>
  <c r="E253" i="30298"/>
  <c r="E248" i="30298"/>
  <c r="E323" i="30298"/>
  <c r="E307" i="30298"/>
  <c r="E331" i="30298"/>
  <c r="E320" i="30298"/>
  <c r="E339" i="30298"/>
  <c r="E302" i="30298"/>
  <c r="E338" i="30298"/>
  <c r="E315" i="30298"/>
  <c r="E301" i="30298"/>
  <c r="E256" i="30298"/>
  <c r="E257" i="30298" s="1"/>
  <c r="E332" i="30298"/>
  <c r="E255" i="30298"/>
  <c r="E246" i="30298"/>
  <c r="E299" i="30298" s="1"/>
  <c r="E259" i="30298"/>
  <c r="E260" i="30298" s="1"/>
  <c r="E238" i="30298"/>
  <c r="E330" i="30298"/>
  <c r="E329" i="30298"/>
  <c r="E303" i="30298"/>
  <c r="E241" i="30298"/>
  <c r="E306" i="30298"/>
  <c r="E309" i="30298" s="1"/>
  <c r="E243" i="30298"/>
  <c r="E254" i="30298"/>
  <c r="E308" i="30298"/>
  <c r="E316" i="30298"/>
  <c r="E336" i="30298"/>
  <c r="E335" i="30298"/>
  <c r="E314" i="30298"/>
  <c r="U297" i="30298"/>
  <c r="U7" i="30298" s="1"/>
  <c r="U1" i="30298" s="1"/>
  <c r="AI297" i="30298"/>
  <c r="AI7" i="30298" s="1"/>
  <c r="AI8" i="30298" s="1"/>
  <c r="E242" i="30298"/>
  <c r="E247" i="30298"/>
  <c r="E322" i="30298"/>
  <c r="E240" i="30298"/>
  <c r="E244" i="30298"/>
  <c r="F259" i="30298"/>
  <c r="F260" i="30298" s="1"/>
  <c r="F247" i="30298"/>
  <c r="F340" i="30298"/>
  <c r="F337" i="30298"/>
  <c r="F315" i="30298"/>
  <c r="F310" i="30298"/>
  <c r="F325" i="30298"/>
  <c r="F324" i="30298"/>
  <c r="F334" i="30298"/>
  <c r="F330" i="30298"/>
  <c r="F321" i="30298"/>
  <c r="F303" i="30298"/>
  <c r="F323" i="30298"/>
  <c r="F307" i="30298"/>
  <c r="F253" i="30298"/>
  <c r="F248" i="30298"/>
  <c r="F243" i="30298"/>
  <c r="F238" i="30298"/>
  <c r="F328" i="30298"/>
  <c r="F329" i="30298"/>
  <c r="F322" i="30298"/>
  <c r="F304" i="30298"/>
  <c r="F305" i="30298" s="1"/>
  <c r="F306" i="30298"/>
  <c r="F309" i="30298" s="1"/>
  <c r="F314" i="30298"/>
  <c r="F333" i="30298"/>
  <c r="G339" i="30298"/>
  <c r="G337" i="30298"/>
  <c r="G335" i="30298"/>
  <c r="G332" i="30298"/>
  <c r="G325" i="30298"/>
  <c r="G303" i="30298"/>
  <c r="G301" i="30298"/>
  <c r="G320" i="30298"/>
  <c r="G334" i="30298"/>
  <c r="G330" i="30298"/>
  <c r="G321" i="30298"/>
  <c r="G314" i="30298"/>
  <c r="G238" i="30298"/>
  <c r="G243" i="30298"/>
  <c r="E8" i="30301"/>
  <c r="E238" i="30301" s="1"/>
  <c r="L1" i="30301"/>
  <c r="S8" i="30301"/>
  <c r="S333" i="30301" s="1"/>
  <c r="S1" i="30301"/>
  <c r="Z1" i="30301"/>
  <c r="AG1" i="30301"/>
  <c r="AG8" i="30301"/>
  <c r="AN2" i="30301" s="1"/>
  <c r="AN1" i="30301"/>
  <c r="AU8" i="30301"/>
  <c r="AU322" i="30301" s="1"/>
  <c r="AU328" i="30301"/>
  <c r="AU1" i="30301"/>
  <c r="Q239" i="30301"/>
  <c r="Q230" i="30301"/>
  <c r="Q240" i="30301"/>
  <c r="Q256" i="30301"/>
  <c r="Q257" i="30301" s="1"/>
  <c r="Q246" i="30301"/>
  <c r="Q293" i="30301" s="1"/>
  <c r="Q248" i="30301"/>
  <c r="Q237" i="30301"/>
  <c r="Q243" i="30301"/>
  <c r="Q253" i="30301"/>
  <c r="AS283" i="30301"/>
  <c r="W323" i="30301"/>
  <c r="AO1" i="30301"/>
  <c r="M1" i="30301"/>
  <c r="F8" i="30301"/>
  <c r="F304" i="30301" s="1"/>
  <c r="F305" i="30301" s="1"/>
  <c r="U8" i="30301"/>
  <c r="U338" i="30301" s="1"/>
  <c r="AB1" i="30301"/>
  <c r="AK1" i="30301"/>
  <c r="AK243" i="30301"/>
  <c r="AR1" i="30301"/>
  <c r="B319" i="30301"/>
  <c r="B306" i="30301"/>
  <c r="B307" i="30301"/>
  <c r="B248" i="30301"/>
  <c r="B243" i="30301"/>
  <c r="B237" i="30301"/>
  <c r="B301" i="30301"/>
  <c r="B245" i="30301"/>
  <c r="B255" i="30301"/>
  <c r="B249" i="30301"/>
  <c r="B247" i="30301"/>
  <c r="B254" i="30301"/>
  <c r="B253" i="30301"/>
  <c r="AO230" i="30301"/>
  <c r="Q325" i="30301"/>
  <c r="AM1" i="30301"/>
  <c r="AI8" i="30301"/>
  <c r="AI304" i="30301" s="1"/>
  <c r="AI305" i="30301" s="1"/>
  <c r="AN230" i="30301"/>
  <c r="G8" i="30301"/>
  <c r="G255" i="30301" s="1"/>
  <c r="G246" i="30301"/>
  <c r="N1" i="30301"/>
  <c r="AS1" i="30301"/>
  <c r="AL1" i="30301"/>
  <c r="Q238" i="30301"/>
  <c r="AO255" i="30301"/>
  <c r="Q245" i="30301"/>
  <c r="J8" i="30301"/>
  <c r="J332" i="30301" s="1"/>
  <c r="Q1" i="30301"/>
  <c r="AO239" i="30301"/>
  <c r="AN255" i="30301"/>
  <c r="AN240" i="30301"/>
  <c r="AN237" i="30301"/>
  <c r="AN304" i="30301"/>
  <c r="AN305" i="30301" s="1"/>
  <c r="AN307" i="30301"/>
  <c r="AN238" i="30301"/>
  <c r="AN323" i="30301"/>
  <c r="AT8" i="30301"/>
  <c r="AT340" i="30301" s="1"/>
  <c r="AO240" i="30301"/>
  <c r="AO248" i="30301"/>
  <c r="AO254" i="30301"/>
  <c r="AO253" i="30301"/>
  <c r="AO237" i="30301"/>
  <c r="AO304" i="30301"/>
  <c r="AO305" i="30301" s="1"/>
  <c r="AO241" i="30301"/>
  <c r="AO307" i="30301"/>
  <c r="AO256" i="30301"/>
  <c r="AO257" i="30301" s="1"/>
  <c r="AO238" i="30301"/>
  <c r="AO245" i="30301"/>
  <c r="R242" i="30301"/>
  <c r="R255" i="30301"/>
  <c r="Q322" i="30301"/>
  <c r="W256" i="30301"/>
  <c r="W257" i="30301" s="1"/>
  <c r="R333" i="30301"/>
  <c r="R340" i="30301"/>
  <c r="R338" i="30301"/>
  <c r="R332" i="30301"/>
  <c r="R330" i="30301"/>
  <c r="R334" i="30301"/>
  <c r="R323" i="30301"/>
  <c r="R321" i="30301"/>
  <c r="R319" i="30301"/>
  <c r="R329" i="30301"/>
  <c r="R310" i="30301"/>
  <c r="R336" i="30301"/>
  <c r="R325" i="30301"/>
  <c r="R320" i="30301"/>
  <c r="R308" i="30301"/>
  <c r="R337" i="30301"/>
  <c r="R331" i="30301"/>
  <c r="R324" i="30301"/>
  <c r="R315" i="30301"/>
  <c r="R306" i="30301"/>
  <c r="R301" i="30301"/>
  <c r="R335" i="30301"/>
  <c r="R328" i="30301"/>
  <c r="R303" i="30301"/>
  <c r="R316" i="30301"/>
  <c r="L66" i="30308" s="1"/>
  <c r="R304" i="30301"/>
  <c r="R305" i="30301" s="1"/>
  <c r="R238" i="30301"/>
  <c r="R259" i="30301"/>
  <c r="R260" i="30301" s="1"/>
  <c r="R302" i="30301"/>
  <c r="R256" i="30301"/>
  <c r="R257" i="30301" s="1"/>
  <c r="R248" i="30301"/>
  <c r="R247" i="30301"/>
  <c r="R322" i="30301"/>
  <c r="R314" i="30301"/>
  <c r="R246" i="30301"/>
  <c r="R239" i="30301"/>
  <c r="R230" i="30301"/>
  <c r="R339" i="30301"/>
  <c r="R237" i="30301"/>
  <c r="R249" i="30301"/>
  <c r="R245" i="30301"/>
  <c r="R243" i="30301"/>
  <c r="R240" i="30301"/>
  <c r="D8" i="30301"/>
  <c r="D335" i="30301" s="1"/>
  <c r="AH8" i="30301"/>
  <c r="AH332" i="30301" s="1"/>
  <c r="AH1" i="30301"/>
  <c r="AV8" i="30301"/>
  <c r="AV340" i="30301" s="1"/>
  <c r="W254" i="30301"/>
  <c r="AP1" i="30301"/>
  <c r="W339" i="30301"/>
  <c r="W337" i="30301"/>
  <c r="W338" i="30301"/>
  <c r="W335" i="30301"/>
  <c r="W336" i="30301"/>
  <c r="W328" i="30301"/>
  <c r="W340" i="30301"/>
  <c r="W321" i="30301"/>
  <c r="W333" i="30301"/>
  <c r="W324" i="30301"/>
  <c r="W315" i="30301"/>
  <c r="W314" i="30301"/>
  <c r="W259" i="30301"/>
  <c r="W260" i="30301" s="1"/>
  <c r="W255" i="30301"/>
  <c r="W331" i="30301"/>
  <c r="W316" i="30301"/>
  <c r="J67" i="30308" s="1"/>
  <c r="W325" i="30301"/>
  <c r="W334" i="30301"/>
  <c r="W319" i="30301"/>
  <c r="W310" i="30301"/>
  <c r="W307" i="30301"/>
  <c r="W302" i="30301"/>
  <c r="W306" i="30301"/>
  <c r="W244" i="30301"/>
  <c r="W241" i="30301"/>
  <c r="W239" i="30301"/>
  <c r="W237" i="30301"/>
  <c r="W1" i="30301"/>
  <c r="W301" i="30301"/>
  <c r="W329" i="30301"/>
  <c r="W320" i="30301"/>
  <c r="W308" i="30301"/>
  <c r="W304" i="30301"/>
  <c r="W305" i="30301" s="1"/>
  <c r="W245" i="30301"/>
  <c r="AD1" i="30301"/>
  <c r="W247" i="30301"/>
  <c r="W246" i="30301"/>
  <c r="W299" i="30301" s="1"/>
  <c r="W330" i="30301"/>
  <c r="W253" i="30301"/>
  <c r="W240" i="30301"/>
  <c r="W248" i="30301"/>
  <c r="W238" i="30301"/>
  <c r="W243" i="30301"/>
  <c r="W303" i="30301"/>
  <c r="W249" i="30301"/>
  <c r="K1" i="30301"/>
  <c r="AT1" i="30301"/>
  <c r="I1" i="30301"/>
  <c r="I8" i="30301"/>
  <c r="I339" i="30301" s="1"/>
  <c r="P1" i="30301"/>
  <c r="X337" i="30301"/>
  <c r="X315" i="30301"/>
  <c r="X307" i="30301"/>
  <c r="X303" i="30301"/>
  <c r="X314" i="30301"/>
  <c r="X334" i="30301"/>
  <c r="X319" i="30301"/>
  <c r="X321" i="30301"/>
  <c r="X332" i="30301"/>
  <c r="X241" i="30301"/>
  <c r="X256" i="30301"/>
  <c r="X257" i="30301" s="1"/>
  <c r="X330" i="30301"/>
  <c r="X245" i="30301"/>
  <c r="AF8" i="30301"/>
  <c r="AF307" i="30301" s="1"/>
  <c r="AN239" i="30301"/>
  <c r="AO249" i="30301"/>
  <c r="Q241" i="30301"/>
  <c r="K319" i="30301"/>
  <c r="K8" i="30301"/>
  <c r="K329" i="30301" s="1"/>
  <c r="R1" i="30301"/>
  <c r="N8" i="30301"/>
  <c r="N335" i="30301" s="1"/>
  <c r="AL8" i="30301"/>
  <c r="AL330" i="30301" s="1"/>
  <c r="R241" i="30301"/>
  <c r="AN242" i="30301"/>
  <c r="R244" i="30301"/>
  <c r="J245" i="30301"/>
  <c r="AS317" i="30301"/>
  <c r="AO328" i="30301"/>
  <c r="AR293" i="30301"/>
  <c r="AR299" i="30301"/>
  <c r="Q249" i="30301"/>
  <c r="Q254" i="30301"/>
  <c r="AV330" i="30301"/>
  <c r="AV310" i="30301"/>
  <c r="AV332" i="30301"/>
  <c r="AV328" i="30301"/>
  <c r="AV322" i="30301"/>
  <c r="AV239" i="30301"/>
  <c r="W242" i="30301"/>
  <c r="R253" i="30301"/>
  <c r="AN306" i="30301"/>
  <c r="AF1" i="30301"/>
  <c r="AW8" i="30301"/>
  <c r="AW243" i="30301" s="1"/>
  <c r="AN244" i="30301"/>
  <c r="X255" i="30301"/>
  <c r="AO306" i="30301"/>
  <c r="T8" i="30301"/>
  <c r="T328" i="30301" s="1"/>
  <c r="T1" i="30301"/>
  <c r="AO244" i="30301"/>
  <c r="R307" i="30301"/>
  <c r="W332" i="30301"/>
  <c r="AE303" i="30301"/>
  <c r="AN254" i="30301"/>
  <c r="AI1" i="30301"/>
  <c r="AB8" i="30301"/>
  <c r="AB259" i="30301" s="1"/>
  <c r="AB260" i="30301" s="1"/>
  <c r="AP8" i="30301"/>
  <c r="AP239" i="30301" s="1"/>
  <c r="Y8" i="30301"/>
  <c r="Y336" i="30301" s="1"/>
  <c r="M254" i="30301"/>
  <c r="M253" i="30301"/>
  <c r="M300" i="30301" s="1"/>
  <c r="M335" i="30301"/>
  <c r="M314" i="30301"/>
  <c r="M244" i="30301"/>
  <c r="M239" i="30301"/>
  <c r="M302" i="30301"/>
  <c r="M246" i="30301"/>
  <c r="M283" i="30301" s="1"/>
  <c r="M308" i="30301"/>
  <c r="M242" i="30301"/>
  <c r="M321" i="30301"/>
  <c r="M259" i="30301"/>
  <c r="M260" i="30301" s="1"/>
  <c r="M230" i="30301"/>
  <c r="Q244" i="30301"/>
  <c r="Q247" i="30301"/>
  <c r="AR317" i="30301"/>
  <c r="U1" i="30301"/>
  <c r="AV1" i="30301"/>
  <c r="X1" i="30301"/>
  <c r="AW1" i="30301"/>
  <c r="W2" i="30301"/>
  <c r="P239" i="30301"/>
  <c r="P255" i="30301"/>
  <c r="P261" i="30301" s="1"/>
  <c r="P302" i="30301"/>
  <c r="P316" i="30301"/>
  <c r="J66" i="30308" s="1"/>
  <c r="P244" i="30301"/>
  <c r="P237" i="30301"/>
  <c r="AM8" i="30301"/>
  <c r="AM338" i="30301" s="1"/>
  <c r="W230" i="30301"/>
  <c r="AO242" i="30301"/>
  <c r="B246" i="30301"/>
  <c r="B283" i="30301" s="1"/>
  <c r="M248" i="30301"/>
  <c r="M249" i="30301"/>
  <c r="AV253" i="30301"/>
  <c r="AN302" i="30301"/>
  <c r="AN333" i="30301"/>
  <c r="Q339" i="30301"/>
  <c r="AR249" i="30301"/>
  <c r="AR325" i="30301"/>
  <c r="R283" i="30301"/>
  <c r="M315" i="30301"/>
  <c r="AO310" i="30301"/>
  <c r="AR241" i="30301"/>
  <c r="AR245" i="30301"/>
  <c r="AS238" i="30301"/>
  <c r="AA241" i="30301"/>
  <c r="AS241" i="30301"/>
  <c r="AR243" i="30301"/>
  <c r="AS245" i="30301"/>
  <c r="B328" i="30301"/>
  <c r="P319" i="30301"/>
  <c r="AR321" i="30301"/>
  <c r="C321" i="30301"/>
  <c r="C319" i="30301"/>
  <c r="C310" i="30301"/>
  <c r="C337" i="30301"/>
  <c r="C249" i="30301"/>
  <c r="Q333" i="30301"/>
  <c r="Q331" i="30301"/>
  <c r="Q332" i="30301"/>
  <c r="Q330" i="30301"/>
  <c r="Q334" i="30301"/>
  <c r="Q323" i="30301"/>
  <c r="Q321" i="30301"/>
  <c r="Q319" i="30301"/>
  <c r="Q316" i="30301"/>
  <c r="Q314" i="30301"/>
  <c r="Q310" i="30301"/>
  <c r="Q308" i="30301"/>
  <c r="Q306" i="30301"/>
  <c r="Q304" i="30301"/>
  <c r="Q305" i="30301" s="1"/>
  <c r="Q302" i="30301"/>
  <c r="Q315" i="30301"/>
  <c r="Q338" i="30301"/>
  <c r="Q307" i="30301"/>
  <c r="Q320" i="30301"/>
  <c r="Q337" i="30301"/>
  <c r="Q328" i="30301"/>
  <c r="Q324" i="30301"/>
  <c r="Q340" i="30301"/>
  <c r="Q303" i="30301"/>
  <c r="Q335" i="30301"/>
  <c r="Q301" i="30301"/>
  <c r="Q329" i="30301"/>
  <c r="Q259" i="30301"/>
  <c r="Q260" i="30301" s="1"/>
  <c r="Q255" i="30301"/>
  <c r="Q336" i="30301"/>
  <c r="AE323" i="30301"/>
  <c r="AE328" i="30301"/>
  <c r="AE337" i="30301"/>
  <c r="AS334" i="30301"/>
  <c r="AS333" i="30301"/>
  <c r="AS324" i="30301"/>
  <c r="AS337" i="30301"/>
  <c r="AS321" i="30301"/>
  <c r="AS319" i="30301"/>
  <c r="AS316" i="30301"/>
  <c r="K70" i="30308" s="1"/>
  <c r="AS314" i="30301"/>
  <c r="AS310" i="30301"/>
  <c r="AS308" i="30301"/>
  <c r="AS306" i="30301"/>
  <c r="AS304" i="30301"/>
  <c r="AS305" i="30301" s="1"/>
  <c r="AS302" i="30301"/>
  <c r="AS331" i="30301"/>
  <c r="AS330" i="30301"/>
  <c r="AS303" i="30301"/>
  <c r="AS340" i="30301"/>
  <c r="AS323" i="30301"/>
  <c r="AS338" i="30301"/>
  <c r="AS322" i="30301"/>
  <c r="AS320" i="30301"/>
  <c r="AS335" i="30301"/>
  <c r="AS339" i="30301"/>
  <c r="AS328" i="30301"/>
  <c r="AS332" i="30301"/>
  <c r="AS329" i="30301"/>
  <c r="AS325" i="30301"/>
  <c r="AS307" i="30301"/>
  <c r="AS336" i="30301"/>
  <c r="AS301" i="30301"/>
  <c r="AS256" i="30301"/>
  <c r="AS257" i="30301" s="1"/>
  <c r="AS239" i="30301"/>
  <c r="AD259" i="30301"/>
  <c r="AD260" i="30301" s="1"/>
  <c r="L241" i="30301"/>
  <c r="Q242" i="30301"/>
  <c r="AN310" i="30301"/>
  <c r="AO314" i="30301"/>
  <c r="AO321" i="30301"/>
  <c r="AS293" i="30301"/>
  <c r="M303" i="30301"/>
  <c r="L308" i="30301"/>
  <c r="Z335" i="30301"/>
  <c r="Z334" i="30301"/>
  <c r="Z245" i="30301"/>
  <c r="L339" i="30301"/>
  <c r="L335" i="30301"/>
  <c r="L325" i="30301"/>
  <c r="L328" i="30301"/>
  <c r="L307" i="30301"/>
  <c r="L302" i="30301"/>
  <c r="L330" i="30301"/>
  <c r="L340" i="30301"/>
  <c r="L321" i="30301"/>
  <c r="L338" i="30301"/>
  <c r="L329" i="30301"/>
  <c r="L337" i="30301"/>
  <c r="L336" i="30301"/>
  <c r="L333" i="30301"/>
  <c r="L310" i="30301"/>
  <c r="L332" i="30301"/>
  <c r="L315" i="30301"/>
  <c r="L253" i="30301"/>
  <c r="L249" i="30301"/>
  <c r="L319" i="30301"/>
  <c r="L301" i="30301"/>
  <c r="AN338" i="30301"/>
  <c r="AN331" i="30301"/>
  <c r="AN334" i="30301"/>
  <c r="AN322" i="30301"/>
  <c r="AN320" i="30301"/>
  <c r="AN325" i="30301"/>
  <c r="AN339" i="30301"/>
  <c r="AN337" i="30301"/>
  <c r="AN335" i="30301"/>
  <c r="AN321" i="30301"/>
  <c r="AN303" i="30301"/>
  <c r="AN336" i="30301"/>
  <c r="AN324" i="30301"/>
  <c r="AN332" i="30301"/>
  <c r="AN314" i="30301"/>
  <c r="AN329" i="30301"/>
  <c r="AN319" i="30301"/>
  <c r="AN316" i="30301"/>
  <c r="AN315" i="30301"/>
  <c r="AN256" i="30301"/>
  <c r="AN257" i="30301" s="1"/>
  <c r="AN253" i="30301"/>
  <c r="AN249" i="30301"/>
  <c r="AN247" i="30301"/>
  <c r="AN245" i="30301"/>
  <c r="AN243" i="30301"/>
  <c r="AN330" i="30301"/>
  <c r="AN340" i="30301"/>
  <c r="AN308" i="30301"/>
  <c r="AN248" i="30301"/>
  <c r="M340" i="30301"/>
  <c r="M338" i="30301"/>
  <c r="M336" i="30301"/>
  <c r="M334" i="30301"/>
  <c r="M332" i="30301"/>
  <c r="M333" i="30301"/>
  <c r="M324" i="30301"/>
  <c r="M330" i="30301"/>
  <c r="M316" i="30301"/>
  <c r="N65" i="30308" s="1"/>
  <c r="M329" i="30301"/>
  <c r="M306" i="30301"/>
  <c r="M339" i="30301"/>
  <c r="M320" i="30301"/>
  <c r="M319" i="30301"/>
  <c r="M337" i="30301"/>
  <c r="M325" i="30301"/>
  <c r="M304" i="30301"/>
  <c r="M305" i="30301" s="1"/>
  <c r="M328" i="30301"/>
  <c r="M322" i="30301"/>
  <c r="M255" i="30301"/>
  <c r="M323" i="30301"/>
  <c r="M301" i="30301"/>
  <c r="M307" i="30301"/>
  <c r="M247" i="30301"/>
  <c r="M310" i="30301"/>
  <c r="M256" i="30301"/>
  <c r="M257" i="30301" s="1"/>
  <c r="AA340" i="30301"/>
  <c r="AA333" i="30301"/>
  <c r="AA314" i="30301"/>
  <c r="AO340" i="30301"/>
  <c r="AO338" i="30301"/>
  <c r="AO336" i="30301"/>
  <c r="AO334" i="30301"/>
  <c r="AO332" i="30301"/>
  <c r="AO330" i="30301"/>
  <c r="AO335" i="30301"/>
  <c r="AO325" i="30301"/>
  <c r="AO329" i="30301"/>
  <c r="AO320" i="30301"/>
  <c r="AO319" i="30301"/>
  <c r="AO316" i="30301"/>
  <c r="N69" i="30308" s="1"/>
  <c r="AO315" i="30301"/>
  <c r="AO302" i="30301"/>
  <c r="AO301" i="30301"/>
  <c r="AO324" i="30301"/>
  <c r="AO339" i="30301"/>
  <c r="AO323" i="30301"/>
  <c r="AO303" i="30301"/>
  <c r="AO322" i="30301"/>
  <c r="AO331" i="30301"/>
  <c r="AO259" i="30301"/>
  <c r="AO260" i="30301" s="1"/>
  <c r="AO243" i="30301"/>
  <c r="AN241" i="30301"/>
  <c r="AN246" i="30301"/>
  <c r="AO247" i="30301"/>
  <c r="AN259" i="30301"/>
  <c r="AN260" i="30301" s="1"/>
  <c r="AN328" i="30301"/>
  <c r="M331" i="30301"/>
  <c r="AO333" i="30301"/>
  <c r="AO337" i="30301"/>
  <c r="AR323" i="30301"/>
  <c r="AR334" i="30301"/>
  <c r="AR306" i="30301"/>
  <c r="B331" i="30301"/>
  <c r="B335" i="30301"/>
  <c r="AR283" i="30301"/>
  <c r="B302" i="30301"/>
  <c r="AR307" i="30301"/>
  <c r="AR314" i="30301"/>
  <c r="B340" i="30301"/>
  <c r="B338" i="30301"/>
  <c r="B333" i="30301"/>
  <c r="B339" i="30301"/>
  <c r="B337" i="30301"/>
  <c r="B336" i="30301"/>
  <c r="B332" i="30301"/>
  <c r="B330" i="30301"/>
  <c r="B329" i="30301"/>
  <c r="B321" i="30301"/>
  <c r="B315" i="30301"/>
  <c r="B310" i="30301"/>
  <c r="B324" i="30301"/>
  <c r="B323" i="30301"/>
  <c r="B256" i="30301"/>
  <c r="B257" i="30301" s="1"/>
  <c r="B325" i="30301"/>
  <c r="B334" i="30301"/>
  <c r="B316" i="30301"/>
  <c r="J64" i="30308" s="1"/>
  <c r="B303" i="30301"/>
  <c r="B322" i="30301"/>
  <c r="B320" i="30301"/>
  <c r="P340" i="30301"/>
  <c r="P338" i="30301"/>
  <c r="P336" i="30301"/>
  <c r="P337" i="30301"/>
  <c r="P334" i="30301"/>
  <c r="P324" i="30301"/>
  <c r="P331" i="30301"/>
  <c r="P332" i="30301"/>
  <c r="P330" i="30301"/>
  <c r="P335" i="30301"/>
  <c r="P323" i="30301"/>
  <c r="P320" i="30301"/>
  <c r="P301" i="30301"/>
  <c r="P329" i="30301"/>
  <c r="P339" i="30301"/>
  <c r="P308" i="30301"/>
  <c r="P307" i="30301"/>
  <c r="P256" i="30301"/>
  <c r="P257" i="30301" s="1"/>
  <c r="P310" i="30301"/>
  <c r="P314" i="30301"/>
  <c r="P333" i="30301"/>
  <c r="P325" i="30301"/>
  <c r="P322" i="30301"/>
  <c r="P328" i="30301"/>
  <c r="P306" i="30301"/>
  <c r="P259" i="30301"/>
  <c r="P260" i="30301" s="1"/>
  <c r="P262" i="30301" s="1"/>
  <c r="P321" i="30301"/>
  <c r="P303" i="30301"/>
  <c r="AD339" i="30301"/>
  <c r="AD322" i="30301"/>
  <c r="AD307" i="30301"/>
  <c r="AR340" i="30301"/>
  <c r="AR338" i="30301"/>
  <c r="AR336" i="30301"/>
  <c r="AR330" i="30301"/>
  <c r="AR333" i="30301"/>
  <c r="AR324" i="30301"/>
  <c r="AR329" i="30301"/>
  <c r="AR319" i="30301"/>
  <c r="AR316" i="30301"/>
  <c r="J70" i="30308" s="1"/>
  <c r="AR332" i="30301"/>
  <c r="AR302" i="30301"/>
  <c r="AR256" i="30301"/>
  <c r="AR257" i="30301" s="1"/>
  <c r="AR304" i="30301"/>
  <c r="AR305" i="30301" s="1"/>
  <c r="AR303" i="30301"/>
  <c r="AR339" i="30301"/>
  <c r="AR331" i="30301"/>
  <c r="AR322" i="30301"/>
  <c r="AR308" i="30301"/>
  <c r="AR320" i="30301"/>
  <c r="AR335" i="30301"/>
  <c r="AR255" i="30301"/>
  <c r="AR328" i="30301"/>
  <c r="AR310" i="30301"/>
  <c r="B230" i="30301"/>
  <c r="P230" i="30301"/>
  <c r="AR230" i="30301"/>
  <c r="B238" i="30301"/>
  <c r="P238" i="30301"/>
  <c r="AR238" i="30301"/>
  <c r="B240" i="30301"/>
  <c r="P240" i="30301"/>
  <c r="AD240" i="30301"/>
  <c r="AR240" i="30301"/>
  <c r="B242" i="30301"/>
  <c r="P242" i="30301"/>
  <c r="AR242" i="30301"/>
  <c r="P246" i="30301"/>
  <c r="AR247" i="30301"/>
  <c r="AD304" i="30301"/>
  <c r="AD305" i="30301" s="1"/>
  <c r="B308" i="30301"/>
  <c r="B314" i="30301"/>
  <c r="AR315" i="30301"/>
  <c r="AR337" i="30301"/>
  <c r="AW339" i="30312"/>
  <c r="AW330" i="30312"/>
  <c r="AW302" i="30312"/>
  <c r="AW301" i="30312"/>
  <c r="AW247" i="30312"/>
  <c r="AW304" i="30312"/>
  <c r="AW305" i="30312" s="1"/>
  <c r="AW337" i="30312"/>
  <c r="AW307" i="30312"/>
  <c r="AW331" i="30312"/>
  <c r="AW325" i="30312"/>
  <c r="AW244" i="30312"/>
  <c r="AW259" i="30312"/>
  <c r="AW260" i="30312" s="1"/>
  <c r="AW308" i="30312"/>
  <c r="AW256" i="30312"/>
  <c r="AW257" i="30312" s="1"/>
  <c r="AW243" i="30312"/>
  <c r="AW239" i="30312"/>
  <c r="AW8" i="30312"/>
  <c r="AW237" i="30312" s="1"/>
  <c r="N1" i="30312"/>
  <c r="AW245" i="30312"/>
  <c r="AW303" i="30312"/>
  <c r="F312" i="30312"/>
  <c r="F313" i="30312" s="1"/>
  <c r="C256" i="30312"/>
  <c r="C257" i="30312" s="1"/>
  <c r="C230" i="30312"/>
  <c r="E238" i="30312"/>
  <c r="E242" i="30312"/>
  <c r="E246" i="30312"/>
  <c r="C254" i="30312"/>
  <c r="AI254" i="30312"/>
  <c r="F245" i="30312"/>
  <c r="F248" i="30312"/>
  <c r="F259" i="30312"/>
  <c r="F260" i="30312" s="1"/>
  <c r="E315" i="30312"/>
  <c r="AI1" i="30312"/>
  <c r="AP297" i="30312"/>
  <c r="AP7" i="30312" s="1"/>
  <c r="AP8" i="30312" s="1"/>
  <c r="F237" i="30312"/>
  <c r="B328" i="30312"/>
  <c r="B307" i="30312"/>
  <c r="B332" i="30312"/>
  <c r="B8" i="30312"/>
  <c r="B329" i="30312" s="1"/>
  <c r="B259" i="30312"/>
  <c r="B260" i="30312" s="1"/>
  <c r="N8" i="30312"/>
  <c r="N336" i="30312" s="1"/>
  <c r="G237" i="30312"/>
  <c r="AI237" i="30312"/>
  <c r="G241" i="30312"/>
  <c r="AI241" i="30312"/>
  <c r="G245" i="30312"/>
  <c r="C333" i="30312"/>
  <c r="D333" i="30312"/>
  <c r="D335" i="30312"/>
  <c r="D307" i="30312"/>
  <c r="D332" i="30312"/>
  <c r="D8" i="30312"/>
  <c r="D319" i="30312" s="1"/>
  <c r="D259" i="30312"/>
  <c r="D260" i="30312" s="1"/>
  <c r="D320" i="30312"/>
  <c r="D255" i="30312"/>
  <c r="F238" i="30312"/>
  <c r="F242" i="30312"/>
  <c r="F244" i="30312"/>
  <c r="F246" i="30312"/>
  <c r="F240" i="30312"/>
  <c r="F230" i="30312"/>
  <c r="F315" i="30312"/>
  <c r="C240" i="30312"/>
  <c r="AI339" i="30312"/>
  <c r="AI334" i="30312"/>
  <c r="AI337" i="30312"/>
  <c r="AI333" i="30312"/>
  <c r="AI338" i="30312"/>
  <c r="AI336" i="30312"/>
  <c r="AI325" i="30312"/>
  <c r="AI332" i="30312"/>
  <c r="AI331" i="30312"/>
  <c r="AI330" i="30312"/>
  <c r="AI307" i="30312"/>
  <c r="AI302" i="30312"/>
  <c r="AI328" i="30312"/>
  <c r="AI324" i="30312"/>
  <c r="AI321" i="30312"/>
  <c r="AI320" i="30312"/>
  <c r="AI322" i="30312"/>
  <c r="AI316" i="30312"/>
  <c r="AI304" i="30312"/>
  <c r="AI305" i="30312" s="1"/>
  <c r="AI303" i="30312"/>
  <c r="AI259" i="30312"/>
  <c r="AI260" i="30312" s="1"/>
  <c r="AI255" i="30312"/>
  <c r="AI311" i="30312" s="1"/>
  <c r="AI253" i="30312"/>
  <c r="AI249" i="30312"/>
  <c r="AI247" i="30312"/>
  <c r="AI306" i="30312"/>
  <c r="AI335" i="30312"/>
  <c r="AI319" i="30312"/>
  <c r="AI310" i="30312"/>
  <c r="AI314" i="30312"/>
  <c r="AI308" i="30312"/>
  <c r="AI340" i="30312"/>
  <c r="AI315" i="30312"/>
  <c r="AI248" i="30312"/>
  <c r="AI323" i="30312"/>
  <c r="AI301" i="30312"/>
  <c r="AP1" i="30312"/>
  <c r="AI244" i="30312"/>
  <c r="AI242" i="30312"/>
  <c r="AI240" i="30312"/>
  <c r="AI238" i="30312"/>
  <c r="AI230" i="30312"/>
  <c r="AI246" i="30312"/>
  <c r="C335" i="30312"/>
  <c r="C339" i="30312"/>
  <c r="C340" i="30312"/>
  <c r="C334" i="30312"/>
  <c r="C328" i="30312"/>
  <c r="C324" i="30312"/>
  <c r="C322" i="30312"/>
  <c r="C320" i="30312"/>
  <c r="C315" i="30312"/>
  <c r="C307" i="30312"/>
  <c r="C301" i="30312"/>
  <c r="C338" i="30312"/>
  <c r="C329" i="30312"/>
  <c r="C319" i="30312"/>
  <c r="C316" i="30312"/>
  <c r="C304" i="30312"/>
  <c r="C305" i="30312" s="1"/>
  <c r="C337" i="30312"/>
  <c r="C306" i="30312"/>
  <c r="C309" i="30312" s="1"/>
  <c r="C323" i="30312"/>
  <c r="C321" i="30312"/>
  <c r="C325" i="30312"/>
  <c r="C308" i="30312"/>
  <c r="C314" i="30312"/>
  <c r="C302" i="30312"/>
  <c r="C8" i="30312"/>
  <c r="C331" i="30312"/>
  <c r="C259" i="30312"/>
  <c r="C260" i="30312" s="1"/>
  <c r="C249" i="30312"/>
  <c r="C248" i="30312"/>
  <c r="C245" i="30312"/>
  <c r="C243" i="30312"/>
  <c r="C239" i="30312"/>
  <c r="C237" i="30312"/>
  <c r="C253" i="30312"/>
  <c r="C247" i="30312"/>
  <c r="AB8" i="30312"/>
  <c r="AB315" i="30312" s="1"/>
  <c r="AB237" i="30312"/>
  <c r="G242" i="30312"/>
  <c r="G230" i="30312"/>
  <c r="G315" i="30312"/>
  <c r="G246" i="30312"/>
  <c r="G244" i="30312"/>
  <c r="G240" i="30312"/>
  <c r="G238" i="30312"/>
  <c r="D240" i="30312"/>
  <c r="E339" i="30312"/>
  <c r="E337" i="30312"/>
  <c r="E335" i="30312"/>
  <c r="E333" i="30312"/>
  <c r="E331" i="30312"/>
  <c r="E340" i="30312"/>
  <c r="E334" i="30312"/>
  <c r="E330" i="30312"/>
  <c r="E328" i="30312"/>
  <c r="E324" i="30312"/>
  <c r="E322" i="30312"/>
  <c r="E338" i="30312"/>
  <c r="E336" i="30312"/>
  <c r="E307" i="30312"/>
  <c r="E302" i="30312"/>
  <c r="E323" i="30312"/>
  <c r="E319" i="30312"/>
  <c r="E304" i="30312"/>
  <c r="E305" i="30312" s="1"/>
  <c r="E303" i="30312"/>
  <c r="E321" i="30312"/>
  <c r="E308" i="30312"/>
  <c r="E332" i="30312"/>
  <c r="E325" i="30312"/>
  <c r="E310" i="30312"/>
  <c r="E329" i="30312"/>
  <c r="E301" i="30312"/>
  <c r="E320" i="30312"/>
  <c r="E306" i="30312"/>
  <c r="E256" i="30312"/>
  <c r="E257" i="30312" s="1"/>
  <c r="E254" i="30312"/>
  <c r="E255" i="30312"/>
  <c r="F283" i="30312"/>
  <c r="E283" i="30312"/>
  <c r="F339" i="30312"/>
  <c r="F340" i="30312"/>
  <c r="F334" i="30312"/>
  <c r="F330" i="30312"/>
  <c r="F328" i="30312"/>
  <c r="F324" i="30312"/>
  <c r="F322" i="30312"/>
  <c r="F338" i="30312"/>
  <c r="F333" i="30312"/>
  <c r="F336" i="30312"/>
  <c r="F323" i="30312"/>
  <c r="F316" i="30312"/>
  <c r="F332" i="30312"/>
  <c r="F331" i="30312"/>
  <c r="F319" i="30312"/>
  <c r="F304" i="30312"/>
  <c r="F305" i="30312" s="1"/>
  <c r="F303" i="30312"/>
  <c r="F306" i="30312"/>
  <c r="F321" i="30312"/>
  <c r="F337" i="30312"/>
  <c r="F308" i="30312"/>
  <c r="F307" i="30312"/>
  <c r="F325" i="30312"/>
  <c r="F310" i="30312"/>
  <c r="F335" i="30312"/>
  <c r="F329" i="30312"/>
  <c r="F302" i="30312"/>
  <c r="F301" i="30312"/>
  <c r="F320" i="30312"/>
  <c r="G339" i="30312"/>
  <c r="G338" i="30312"/>
  <c r="G333" i="30312"/>
  <c r="G332" i="30312"/>
  <c r="G331" i="30312"/>
  <c r="G328" i="30312"/>
  <c r="G306" i="30312"/>
  <c r="G337" i="30312"/>
  <c r="G330" i="30312"/>
  <c r="G324" i="30312"/>
  <c r="G321" i="30312"/>
  <c r="G325" i="30312"/>
  <c r="G310" i="30312"/>
  <c r="G259" i="30312"/>
  <c r="G260" i="30312" s="1"/>
  <c r="G255" i="30312"/>
  <c r="G311" i="30312" s="1"/>
  <c r="G253" i="30312"/>
  <c r="G249" i="30312"/>
  <c r="G247" i="30312"/>
  <c r="G336" i="30312"/>
  <c r="G329" i="30312"/>
  <c r="G304" i="30312"/>
  <c r="G305" i="30312" s="1"/>
  <c r="G303" i="30312"/>
  <c r="G308" i="30312"/>
  <c r="G307" i="30312"/>
  <c r="G335" i="30312"/>
  <c r="G314" i="30312"/>
  <c r="G322" i="30312"/>
  <c r="G319" i="30312"/>
  <c r="G302" i="30312"/>
  <c r="G301" i="30312"/>
  <c r="G320" i="30312"/>
  <c r="G334" i="30312"/>
  <c r="G323" i="30312"/>
  <c r="E253" i="30312"/>
  <c r="F254" i="30312"/>
  <c r="F255" i="30312"/>
  <c r="F311" i="30312" s="1"/>
  <c r="G256" i="30312"/>
  <c r="G257" i="30312" s="1"/>
  <c r="E314" i="30312"/>
  <c r="E247" i="30312"/>
  <c r="F253" i="30312"/>
  <c r="G254" i="30312"/>
  <c r="F314" i="30312"/>
  <c r="AI257" i="30312"/>
  <c r="F247" i="30312"/>
  <c r="E316" i="30312"/>
  <c r="F353" i="30312" s="1"/>
  <c r="F54" i="30308" s="1"/>
  <c r="U297" i="30312"/>
  <c r="U7" i="30312" s="1"/>
  <c r="E237" i="30312"/>
  <c r="E239" i="30312"/>
  <c r="E241" i="30312"/>
  <c r="E243" i="30312"/>
  <c r="E245" i="30312"/>
  <c r="E248" i="30312"/>
  <c r="E249" i="30312"/>
  <c r="E259" i="30312"/>
  <c r="E260" i="30312" s="1"/>
  <c r="G316" i="30312"/>
  <c r="AP8" i="30311"/>
  <c r="AP306" i="30311" s="1"/>
  <c r="AP316" i="30311"/>
  <c r="U332" i="30311"/>
  <c r="C311" i="30311"/>
  <c r="AB328" i="30311"/>
  <c r="AB332" i="30311"/>
  <c r="AI1" i="30311"/>
  <c r="AB8" i="30311"/>
  <c r="AB230" i="30311" s="1"/>
  <c r="AB336" i="30311"/>
  <c r="AB249" i="30311"/>
  <c r="AB1" i="30311"/>
  <c r="AN312" i="30311"/>
  <c r="C336" i="30311"/>
  <c r="S304" i="30311"/>
  <c r="S305" i="30311" s="1"/>
  <c r="C324" i="30311"/>
  <c r="D325" i="30311"/>
  <c r="D338" i="30311"/>
  <c r="D322" i="30311"/>
  <c r="D301" i="30311"/>
  <c r="D306" i="30311"/>
  <c r="D310" i="30311"/>
  <c r="D8" i="30311"/>
  <c r="D335" i="30311" s="1"/>
  <c r="D339" i="30311"/>
  <c r="D237" i="30311"/>
  <c r="K1" i="30311"/>
  <c r="J262" i="30311"/>
  <c r="J261" i="30311"/>
  <c r="AG339" i="30311"/>
  <c r="AG337" i="30311"/>
  <c r="AG322" i="30311"/>
  <c r="AG321" i="30311"/>
  <c r="AG8" i="30311"/>
  <c r="AG330" i="30311"/>
  <c r="AG255" i="30311"/>
  <c r="AG254" i="30311"/>
  <c r="AG306" i="30311"/>
  <c r="AG237" i="30311"/>
  <c r="AG239" i="30311"/>
  <c r="AG1" i="30311"/>
  <c r="AG256" i="30311"/>
  <c r="AG257" i="30311" s="1"/>
  <c r="AG334" i="30311"/>
  <c r="AN1" i="30311"/>
  <c r="C243" i="30311"/>
  <c r="AA317" i="30311"/>
  <c r="AH301" i="30311"/>
  <c r="C239" i="30311"/>
  <c r="AB253" i="30311"/>
  <c r="AM300" i="30311"/>
  <c r="I340" i="30311"/>
  <c r="I334" i="30311"/>
  <c r="I332" i="30311"/>
  <c r="I331" i="30311"/>
  <c r="I339" i="30311"/>
  <c r="I337" i="30311"/>
  <c r="I320" i="30311"/>
  <c r="I306" i="30311"/>
  <c r="I304" i="30311"/>
  <c r="I305" i="30311" s="1"/>
  <c r="I330" i="30311"/>
  <c r="I259" i="30311"/>
  <c r="I260" i="30311" s="1"/>
  <c r="I255" i="30311"/>
  <c r="I253" i="30311"/>
  <c r="I249" i="30311"/>
  <c r="I243" i="30311"/>
  <c r="I241" i="30311"/>
  <c r="I319" i="30311"/>
  <c r="I301" i="30311"/>
  <c r="I238" i="30311"/>
  <c r="I8" i="30311"/>
  <c r="I307" i="30311"/>
  <c r="I314" i="30311"/>
  <c r="I240" i="30311"/>
  <c r="P1" i="30311"/>
  <c r="I335" i="30311"/>
  <c r="I322" i="30311"/>
  <c r="I321" i="30311"/>
  <c r="I230" i="30311"/>
  <c r="I242" i="30311"/>
  <c r="I1" i="30311"/>
  <c r="I324" i="30311"/>
  <c r="I248" i="30311"/>
  <c r="I315" i="30311"/>
  <c r="I246" i="30311"/>
  <c r="W310" i="30311"/>
  <c r="W308" i="30311"/>
  <c r="W306" i="30311"/>
  <c r="W249" i="30311"/>
  <c r="W243" i="30311"/>
  <c r="W241" i="30311"/>
  <c r="W8" i="30311"/>
  <c r="W338" i="30311" s="1"/>
  <c r="AD1" i="30311"/>
  <c r="W244" i="30311"/>
  <c r="AN300" i="30311"/>
  <c r="Z303" i="30311"/>
  <c r="Z246" i="30311"/>
  <c r="Z238" i="30311"/>
  <c r="Z322" i="30311"/>
  <c r="Z240" i="30311"/>
  <c r="Z333" i="30311"/>
  <c r="Z308" i="30311"/>
  <c r="Z256" i="30311"/>
  <c r="Z257" i="30311" s="1"/>
  <c r="Z255" i="30311"/>
  <c r="Z311" i="30311" s="1"/>
  <c r="Z244" i="30311"/>
  <c r="Z307" i="30311"/>
  <c r="Z330" i="30311"/>
  <c r="Z245" i="30311"/>
  <c r="Z239" i="30311"/>
  <c r="Z332" i="30311"/>
  <c r="Z243" i="30311"/>
  <c r="Z302" i="30311"/>
  <c r="Z247" i="30311"/>
  <c r="Z230" i="30311"/>
  <c r="Z237" i="30311"/>
  <c r="Z248" i="30311"/>
  <c r="AA301" i="30311"/>
  <c r="AA240" i="30311"/>
  <c r="AA239" i="30311"/>
  <c r="AA331" i="30311"/>
  <c r="AA310" i="30311"/>
  <c r="AA316" i="30311"/>
  <c r="AA255" i="30311"/>
  <c r="AA308" i="30311"/>
  <c r="AA256" i="30311"/>
  <c r="AA257" i="30311" s="1"/>
  <c r="AA245" i="30311"/>
  <c r="AA329" i="30311"/>
  <c r="AA315" i="30311"/>
  <c r="AA304" i="30311"/>
  <c r="AA305" i="30311" s="1"/>
  <c r="AA243" i="30311"/>
  <c r="AA241" i="30311"/>
  <c r="AA247" i="30311"/>
  <c r="AA230" i="30311"/>
  <c r="AA244" i="30311"/>
  <c r="AA320" i="30311"/>
  <c r="AA242" i="30311"/>
  <c r="AA248" i="30311"/>
  <c r="AA249" i="30311"/>
  <c r="AA237" i="30311"/>
  <c r="AA254" i="30311"/>
  <c r="AA246" i="30311"/>
  <c r="C315" i="30311"/>
  <c r="AV315" i="30311"/>
  <c r="AR335" i="30311"/>
  <c r="AR333" i="30311"/>
  <c r="AR330" i="30311"/>
  <c r="AR334" i="30311"/>
  <c r="AR319" i="30311"/>
  <c r="AR307" i="30311"/>
  <c r="AR303" i="30311"/>
  <c r="AR329" i="30311"/>
  <c r="AR324" i="30311"/>
  <c r="AR338" i="30311"/>
  <c r="AR325" i="30311"/>
  <c r="AR316" i="30311"/>
  <c r="AR315" i="30311"/>
  <c r="AR256" i="30311"/>
  <c r="AR257" i="30311" s="1"/>
  <c r="AR254" i="30311"/>
  <c r="AR244" i="30311"/>
  <c r="AR238" i="30311"/>
  <c r="AR230" i="30311"/>
  <c r="AR302" i="30311"/>
  <c r="AR314" i="30311"/>
  <c r="AR239" i="30311"/>
  <c r="AR304" i="30311"/>
  <c r="AR305" i="30311" s="1"/>
  <c r="AR259" i="30311"/>
  <c r="AR260" i="30311" s="1"/>
  <c r="AR306" i="30311"/>
  <c r="AR308" i="30311"/>
  <c r="AR8" i="30311"/>
  <c r="AR253" i="30311"/>
  <c r="AR245" i="30311"/>
  <c r="AR243" i="30311"/>
  <c r="AR321" i="30311"/>
  <c r="AR255" i="30311"/>
  <c r="B314" i="30311"/>
  <c r="B253" i="30311"/>
  <c r="B249" i="30311"/>
  <c r="J2" i="30311"/>
  <c r="C325" i="30311"/>
  <c r="C308" i="30311"/>
  <c r="C242" i="30311"/>
  <c r="C301" i="30311"/>
  <c r="C253" i="30311"/>
  <c r="B243" i="30311"/>
  <c r="Q312" i="30311"/>
  <c r="Q313" i="30311" s="1"/>
  <c r="AL312" i="30311"/>
  <c r="B255" i="30311"/>
  <c r="B311" i="30311" s="1"/>
  <c r="W242" i="30311"/>
  <c r="AI332" i="30311"/>
  <c r="AI8" i="30311"/>
  <c r="AI323" i="30311" s="1"/>
  <c r="AI337" i="30311"/>
  <c r="J249" i="30311"/>
  <c r="J308" i="30311"/>
  <c r="J253" i="30311"/>
  <c r="J242" i="30311"/>
  <c r="J241" i="30311"/>
  <c r="J328" i="30311"/>
  <c r="J304" i="30311"/>
  <c r="J305" i="30311" s="1"/>
  <c r="J302" i="30311"/>
  <c r="J245" i="30311"/>
  <c r="J255" i="30311"/>
  <c r="J244" i="30311"/>
  <c r="J259" i="30311"/>
  <c r="J260" i="30311" s="1"/>
  <c r="J243" i="30311"/>
  <c r="J237" i="30311"/>
  <c r="J324" i="30311"/>
  <c r="J303" i="30311"/>
  <c r="M300" i="30311"/>
  <c r="M298" i="30311"/>
  <c r="AH246" i="30311"/>
  <c r="S255" i="30311"/>
  <c r="AM331" i="30311"/>
  <c r="AM337" i="30311"/>
  <c r="AM336" i="30311"/>
  <c r="AM330" i="30311"/>
  <c r="AM328" i="30311"/>
  <c r="AM324" i="30311"/>
  <c r="AM335" i="30311"/>
  <c r="AM320" i="30311"/>
  <c r="AM332" i="30311"/>
  <c r="AM302" i="30311"/>
  <c r="AM329" i="30311"/>
  <c r="AM338" i="30311"/>
  <c r="AM334" i="30311"/>
  <c r="AM323" i="30311"/>
  <c r="AM306" i="30311"/>
  <c r="AM316" i="30311"/>
  <c r="AN353" i="30311" s="1"/>
  <c r="E49" i="30308" s="1"/>
  <c r="AM308" i="30311"/>
  <c r="AM333" i="30311"/>
  <c r="AM256" i="30311"/>
  <c r="AM257" i="30311" s="1"/>
  <c r="AM304" i="30311"/>
  <c r="AM305" i="30311" s="1"/>
  <c r="AM259" i="30311"/>
  <c r="AM260" i="30311" s="1"/>
  <c r="AM248" i="30311"/>
  <c r="AM247" i="30311"/>
  <c r="AM314" i="30311"/>
  <c r="AM303" i="30311"/>
  <c r="AM339" i="30311"/>
  <c r="AM243" i="30311"/>
  <c r="AM310" i="30311"/>
  <c r="AM253" i="30311"/>
  <c r="AM242" i="30311"/>
  <c r="AM230" i="30311"/>
  <c r="AM307" i="30311"/>
  <c r="AM238" i="30311"/>
  <c r="AM325" i="30311"/>
  <c r="AL244" i="30311"/>
  <c r="AH248" i="30311"/>
  <c r="Q293" i="30311"/>
  <c r="B339" i="30311"/>
  <c r="B337" i="30311"/>
  <c r="B335" i="30311"/>
  <c r="B333" i="30311"/>
  <c r="B330" i="30311"/>
  <c r="B340" i="30311"/>
  <c r="B332" i="30311"/>
  <c r="B307" i="30311"/>
  <c r="B303" i="30311"/>
  <c r="B334" i="30311"/>
  <c r="B316" i="30311"/>
  <c r="B315" i="30311"/>
  <c r="B304" i="30311"/>
  <c r="B305" i="30311" s="1"/>
  <c r="B328" i="30311"/>
  <c r="B338" i="30311"/>
  <c r="B322" i="30311"/>
  <c r="B331" i="30311"/>
  <c r="B321" i="30311"/>
  <c r="B336" i="30311"/>
  <c r="B308" i="30311"/>
  <c r="B256" i="30311"/>
  <c r="B257" i="30311" s="1"/>
  <c r="B254" i="30311"/>
  <c r="B248" i="30311"/>
  <c r="B246" i="30311"/>
  <c r="B244" i="30311"/>
  <c r="B242" i="30311"/>
  <c r="B240" i="30311"/>
  <c r="B238" i="30311"/>
  <c r="B230" i="30311"/>
  <c r="B325" i="30311"/>
  <c r="B259" i="30311"/>
  <c r="B260" i="30311" s="1"/>
  <c r="B302" i="30311"/>
  <c r="B245" i="30311"/>
  <c r="B323" i="30311"/>
  <c r="B301" i="30311"/>
  <c r="B310" i="30311"/>
  <c r="B241" i="30311"/>
  <c r="B329" i="30311"/>
  <c r="B320" i="30311"/>
  <c r="B306" i="30311"/>
  <c r="B309" i="30311" s="1"/>
  <c r="P339" i="30311"/>
  <c r="P331" i="30311"/>
  <c r="P330" i="30311"/>
  <c r="P340" i="30311"/>
  <c r="P332" i="30311"/>
  <c r="P307" i="30311"/>
  <c r="P303" i="30311"/>
  <c r="P321" i="30311"/>
  <c r="P338" i="30311"/>
  <c r="P302" i="30311"/>
  <c r="P248" i="30311"/>
  <c r="P242" i="30311"/>
  <c r="P238" i="30311"/>
  <c r="P230" i="30311"/>
  <c r="P304" i="30311"/>
  <c r="P305" i="30311" s="1"/>
  <c r="P255" i="30311"/>
  <c r="P8" i="30311"/>
  <c r="P239" i="30311"/>
  <c r="P306" i="30311"/>
  <c r="P253" i="30311"/>
  <c r="P319" i="30311"/>
  <c r="AD339" i="30311"/>
  <c r="AD337" i="30311"/>
  <c r="AD335" i="30311"/>
  <c r="AD333" i="30311"/>
  <c r="AD331" i="30311"/>
  <c r="AD338" i="30311"/>
  <c r="AD334" i="30311"/>
  <c r="AD330" i="30311"/>
  <c r="AD325" i="30311"/>
  <c r="AD324" i="30311"/>
  <c r="AD323" i="30311"/>
  <c r="AD307" i="30311"/>
  <c r="AD303" i="30311"/>
  <c r="AD301" i="30311"/>
  <c r="AD336" i="30311"/>
  <c r="AD319" i="30311"/>
  <c r="AD320" i="30311"/>
  <c r="AD316" i="30311"/>
  <c r="AD315" i="30311"/>
  <c r="AD321" i="30311"/>
  <c r="AD332" i="30311"/>
  <c r="AD340" i="30311"/>
  <c r="AD328" i="30311"/>
  <c r="AD256" i="30311"/>
  <c r="AD257" i="30311" s="1"/>
  <c r="AD254" i="30311"/>
  <c r="AD248" i="30311"/>
  <c r="AD246" i="30311"/>
  <c r="AD244" i="30311"/>
  <c r="AD242" i="30311"/>
  <c r="AD240" i="30311"/>
  <c r="AD238" i="30311"/>
  <c r="AD230" i="30311"/>
  <c r="AD253" i="30311"/>
  <c r="AD241" i="30311"/>
  <c r="AD304" i="30311"/>
  <c r="AD305" i="30311" s="1"/>
  <c r="AD322" i="30311"/>
  <c r="AD308" i="30311"/>
  <c r="AD245" i="30311"/>
  <c r="AK1" i="30311"/>
  <c r="AD329" i="30311"/>
  <c r="AD255" i="30311"/>
  <c r="AD314" i="30311"/>
  <c r="AD310" i="30311"/>
  <c r="AD249" i="30311"/>
  <c r="AD302" i="30311"/>
  <c r="AL306" i="30311"/>
  <c r="AK320" i="30311"/>
  <c r="C330" i="30311"/>
  <c r="AN333" i="30311"/>
  <c r="U329" i="30311"/>
  <c r="U321" i="30311"/>
  <c r="U319" i="30311"/>
  <c r="U316" i="30311"/>
  <c r="O46" i="30308" s="1"/>
  <c r="U314" i="30311"/>
  <c r="U336" i="30311"/>
  <c r="U335" i="30311"/>
  <c r="U337" i="30311"/>
  <c r="U306" i="30311"/>
  <c r="U255" i="30311"/>
  <c r="U249" i="30311"/>
  <c r="U247" i="30311"/>
  <c r="U245" i="30311"/>
  <c r="U243" i="30311"/>
  <c r="U259" i="30311"/>
  <c r="U260" i="30311" s="1"/>
  <c r="U303" i="30311"/>
  <c r="U246" i="30311"/>
  <c r="U293" i="30311" s="1"/>
  <c r="U334" i="30311"/>
  <c r="U302" i="30311"/>
  <c r="U338" i="30311"/>
  <c r="U301" i="30311"/>
  <c r="U1" i="30311"/>
  <c r="U320" i="30311"/>
  <c r="U339" i="30311"/>
  <c r="U308" i="30311"/>
  <c r="U240" i="30311"/>
  <c r="AK238" i="30311"/>
  <c r="T239" i="30311"/>
  <c r="Q241" i="30311"/>
  <c r="T243" i="30311"/>
  <c r="AM244" i="30311"/>
  <c r="AM246" i="30311"/>
  <c r="E248" i="30311"/>
  <c r="F253" i="30311"/>
  <c r="AM254" i="30311"/>
  <c r="X255" i="30311"/>
  <c r="C259" i="30311"/>
  <c r="C260" i="30311" s="1"/>
  <c r="Q339" i="30311"/>
  <c r="Q333" i="30311"/>
  <c r="Q329" i="30311"/>
  <c r="Q328" i="30311"/>
  <c r="Q340" i="30311"/>
  <c r="Q332" i="30311"/>
  <c r="Q338" i="30311"/>
  <c r="Q335" i="30311"/>
  <c r="Q323" i="30311"/>
  <c r="Q320" i="30311"/>
  <c r="Q314" i="30311"/>
  <c r="Q304" i="30311"/>
  <c r="Q305" i="30311" s="1"/>
  <c r="Q336" i="30311"/>
  <c r="Q324" i="30311"/>
  <c r="Q337" i="30311"/>
  <c r="Q303" i="30311"/>
  <c r="Q322" i="30311"/>
  <c r="Q255" i="30311"/>
  <c r="Q311" i="30311" s="1"/>
  <c r="Q254" i="30311"/>
  <c r="Q243" i="30311"/>
  <c r="Q242" i="30311"/>
  <c r="Q259" i="30311"/>
  <c r="Q260" i="30311" s="1"/>
  <c r="Q334" i="30311"/>
  <c r="Q330" i="30311"/>
  <c r="Q325" i="30311"/>
  <c r="Q315" i="30311"/>
  <c r="Q247" i="30311"/>
  <c r="Q246" i="30311"/>
  <c r="Q258" i="30311" s="1"/>
  <c r="Q239" i="30311"/>
  <c r="Q321" i="30311"/>
  <c r="Q248" i="30311"/>
  <c r="Q1" i="30311"/>
  <c r="Q306" i="30311"/>
  <c r="Q253" i="30311"/>
  <c r="Q319" i="30311"/>
  <c r="Q331" i="30311"/>
  <c r="Q316" i="30311"/>
  <c r="Q301" i="30311"/>
  <c r="Q308" i="30311"/>
  <c r="AE332" i="30311"/>
  <c r="AE325" i="30311"/>
  <c r="AE340" i="30311"/>
  <c r="AE320" i="30311"/>
  <c r="AE310" i="30311"/>
  <c r="AE302" i="30311"/>
  <c r="AE301" i="30311"/>
  <c r="AE241" i="30311"/>
  <c r="AE230" i="30311"/>
  <c r="AE308" i="30311"/>
  <c r="AE245" i="30311"/>
  <c r="AL1" i="30311"/>
  <c r="AE333" i="30311"/>
  <c r="AE8" i="30311"/>
  <c r="AE324" i="30311" s="1"/>
  <c r="AE337" i="30311"/>
  <c r="AE314" i="30311"/>
  <c r="AE239" i="30311"/>
  <c r="AS337" i="30311"/>
  <c r="AS323" i="30311"/>
  <c r="AS328" i="30311"/>
  <c r="AS314" i="30311"/>
  <c r="AS310" i="30311"/>
  <c r="AS331" i="30311"/>
  <c r="AS302" i="30311"/>
  <c r="AS254" i="30311"/>
  <c r="AS243" i="30311"/>
  <c r="AS307" i="30311"/>
  <c r="AS324" i="30311"/>
  <c r="AS8" i="30311"/>
  <c r="AS2" i="30311" s="1"/>
  <c r="AM322" i="30311"/>
  <c r="L325" i="30311"/>
  <c r="F330" i="30311"/>
  <c r="AH339" i="30311"/>
  <c r="AH332" i="30311"/>
  <c r="AH340" i="30311"/>
  <c r="AH331" i="30311"/>
  <c r="AH329" i="30311"/>
  <c r="AH333" i="30311"/>
  <c r="AH323" i="30311"/>
  <c r="AH308" i="30311"/>
  <c r="AH335" i="30311"/>
  <c r="AH330" i="30311"/>
  <c r="AH338" i="30311"/>
  <c r="AH319" i="30311"/>
  <c r="AH321" i="30311"/>
  <c r="AH8" i="30311"/>
  <c r="AH320" i="30311" s="1"/>
  <c r="AH1" i="30311"/>
  <c r="AH334" i="30311"/>
  <c r="AH316" i="30311"/>
  <c r="AH310" i="30311"/>
  <c r="AH306" i="30311"/>
  <c r="AH245" i="30311"/>
  <c r="AH244" i="30311"/>
  <c r="AH307" i="30311"/>
  <c r="AH249" i="30311"/>
  <c r="AH314" i="30311"/>
  <c r="AH239" i="30311"/>
  <c r="AH254" i="30311"/>
  <c r="AH259" i="30311"/>
  <c r="AH260" i="30311" s="1"/>
  <c r="AH253" i="30311"/>
  <c r="I283" i="30311"/>
  <c r="R325" i="30311"/>
  <c r="R330" i="30311"/>
  <c r="R315" i="30311"/>
  <c r="R332" i="30311"/>
  <c r="R324" i="30311"/>
  <c r="R259" i="30311"/>
  <c r="R260" i="30311" s="1"/>
  <c r="R256" i="30311"/>
  <c r="R257" i="30311" s="1"/>
  <c r="R244" i="30311"/>
  <c r="R321" i="30311"/>
  <c r="R302" i="30311"/>
  <c r="R243" i="30311"/>
  <c r="R253" i="30311"/>
  <c r="R319" i="30311"/>
  <c r="S340" i="30311"/>
  <c r="S332" i="30311"/>
  <c r="S331" i="30311"/>
  <c r="S335" i="30311"/>
  <c r="S322" i="30311"/>
  <c r="S339" i="30311"/>
  <c r="S316" i="30311"/>
  <c r="S328" i="30311"/>
  <c r="S333" i="30311"/>
  <c r="S330" i="30311"/>
  <c r="S8" i="30311"/>
  <c r="S336" i="30311" s="1"/>
  <c r="S324" i="30311"/>
  <c r="S314" i="30311"/>
  <c r="S256" i="30311"/>
  <c r="S257" i="30311" s="1"/>
  <c r="S245" i="30311"/>
  <c r="S244" i="30311"/>
  <c r="S337" i="30311"/>
  <c r="S259" i="30311"/>
  <c r="S260" i="30311" s="1"/>
  <c r="S334" i="30311"/>
  <c r="S249" i="30311"/>
  <c r="S237" i="30311"/>
  <c r="S321" i="30311"/>
  <c r="S306" i="30311"/>
  <c r="S253" i="30311"/>
  <c r="S319" i="30311"/>
  <c r="S247" i="30311"/>
  <c r="S242" i="30311"/>
  <c r="S320" i="30311"/>
  <c r="S323" i="30311"/>
  <c r="S315" i="30311"/>
  <c r="S238" i="30311"/>
  <c r="S230" i="30311"/>
  <c r="G238" i="30311"/>
  <c r="J301" i="30311"/>
  <c r="Q300" i="30311"/>
  <c r="L238" i="30311"/>
  <c r="J246" i="30311"/>
  <c r="J283" i="30311" s="1"/>
  <c r="C254" i="30311"/>
  <c r="AN254" i="30311"/>
  <c r="AT334" i="30311"/>
  <c r="AT333" i="30311"/>
  <c r="B319" i="30311"/>
  <c r="S325" i="30311"/>
  <c r="B237" i="30311"/>
  <c r="AL240" i="30311"/>
  <c r="AL255" i="30311"/>
  <c r="AL311" i="30311" s="1"/>
  <c r="P310" i="30311"/>
  <c r="AD247" i="30311"/>
  <c r="X253" i="30311"/>
  <c r="AT254" i="30311"/>
  <c r="AM255" i="30311"/>
  <c r="AM311" i="30311" s="1"/>
  <c r="AL301" i="30311"/>
  <c r="S307" i="30311"/>
  <c r="Q310" i="30311"/>
  <c r="AL319" i="30311"/>
  <c r="AL325" i="30311"/>
  <c r="AO300" i="30311"/>
  <c r="AO298" i="30311"/>
  <c r="AD259" i="30311"/>
  <c r="AD260" i="30311" s="1"/>
  <c r="AH303" i="30311"/>
  <c r="G324" i="30311"/>
  <c r="AK340" i="30311"/>
  <c r="AK338" i="30311"/>
  <c r="AK336" i="30311"/>
  <c r="AK334" i="30311"/>
  <c r="AK332" i="30311"/>
  <c r="AK329" i="30311"/>
  <c r="AK335" i="30311"/>
  <c r="AK333" i="30311"/>
  <c r="AK321" i="30311"/>
  <c r="AK315" i="30311"/>
  <c r="AK310" i="30311"/>
  <c r="AK308" i="30311"/>
  <c r="AK306" i="30311"/>
  <c r="AK304" i="30311"/>
  <c r="AK305" i="30311" s="1"/>
  <c r="AK302" i="30311"/>
  <c r="AK337" i="30311"/>
  <c r="AK325" i="30311"/>
  <c r="AK316" i="30311"/>
  <c r="AK330" i="30311"/>
  <c r="AK324" i="30311"/>
  <c r="AK331" i="30311"/>
  <c r="AK319" i="30311"/>
  <c r="AK259" i="30311"/>
  <c r="AK260" i="30311" s="1"/>
  <c r="AK255" i="30311"/>
  <c r="AK253" i="30311"/>
  <c r="AK249" i="30311"/>
  <c r="AK247" i="30311"/>
  <c r="AK245" i="30311"/>
  <c r="AK243" i="30311"/>
  <c r="AK241" i="30311"/>
  <c r="AK239" i="30311"/>
  <c r="AK237" i="30311"/>
  <c r="AK322" i="30311"/>
  <c r="AK323" i="30311"/>
  <c r="AK307" i="30311"/>
  <c r="AK256" i="30311"/>
  <c r="AK257" i="30311" s="1"/>
  <c r="AK246" i="30311"/>
  <c r="AK314" i="30311"/>
  <c r="AK303" i="30311"/>
  <c r="AK244" i="30311"/>
  <c r="AK254" i="30311"/>
  <c r="AK339" i="30311"/>
  <c r="AK248" i="30311"/>
  <c r="AK242" i="30311"/>
  <c r="AK230" i="30311"/>
  <c r="AO258" i="30311"/>
  <c r="G301" i="30311"/>
  <c r="AL303" i="30311"/>
  <c r="AD306" i="30311"/>
  <c r="AL340" i="30311"/>
  <c r="AL331" i="30311"/>
  <c r="AL321" i="30311"/>
  <c r="AL335" i="30311"/>
  <c r="AL334" i="30311"/>
  <c r="AL307" i="30311"/>
  <c r="AL338" i="30311"/>
  <c r="AL329" i="30311"/>
  <c r="AL328" i="30311"/>
  <c r="AL339" i="30311"/>
  <c r="AL304" i="30311"/>
  <c r="AL305" i="30311" s="1"/>
  <c r="AL322" i="30311"/>
  <c r="AL316" i="30311"/>
  <c r="AM353" i="30311" s="1"/>
  <c r="D49" i="30308" s="1"/>
  <c r="AL308" i="30311"/>
  <c r="AL315" i="30311"/>
  <c r="AL246" i="30311"/>
  <c r="AL258" i="30311" s="1"/>
  <c r="AL245" i="30311"/>
  <c r="AL323" i="30311"/>
  <c r="AL259" i="30311"/>
  <c r="AL260" i="30311" s="1"/>
  <c r="AL320" i="30311"/>
  <c r="AL249" i="30311"/>
  <c r="AL238" i="30311"/>
  <c r="AL237" i="30311"/>
  <c r="AL337" i="30311"/>
  <c r="AL333" i="30311"/>
  <c r="AL314" i="30311"/>
  <c r="AL254" i="30311"/>
  <c r="AL239" i="30311"/>
  <c r="AL310" i="30311"/>
  <c r="AL302" i="30311"/>
  <c r="AL248" i="30311"/>
  <c r="AL243" i="30311"/>
  <c r="AL324" i="30311"/>
  <c r="AL253" i="30311"/>
  <c r="AL247" i="30311"/>
  <c r="AL336" i="30311"/>
  <c r="AL332" i="30311"/>
  <c r="S2" i="30311"/>
  <c r="L254" i="30311"/>
  <c r="L259" i="30311"/>
  <c r="L260" i="30311" s="1"/>
  <c r="L249" i="30311"/>
  <c r="L237" i="30311"/>
  <c r="L335" i="30311"/>
  <c r="L321" i="30311"/>
  <c r="L253" i="30311"/>
  <c r="L242" i="30311"/>
  <c r="L239" i="30311"/>
  <c r="L316" i="30311"/>
  <c r="M353" i="30311" s="1"/>
  <c r="F45" i="30308" s="1"/>
  <c r="L301" i="30311"/>
  <c r="L241" i="30311"/>
  <c r="J256" i="30311"/>
  <c r="J257" i="30311" s="1"/>
  <c r="B293" i="30311"/>
  <c r="C340" i="30311"/>
  <c r="C333" i="30311"/>
  <c r="C339" i="30311"/>
  <c r="C332" i="30311"/>
  <c r="C338" i="30311"/>
  <c r="C322" i="30311"/>
  <c r="C316" i="30311"/>
  <c r="C337" i="30311"/>
  <c r="C321" i="30311"/>
  <c r="C334" i="30311"/>
  <c r="C331" i="30311"/>
  <c r="C314" i="30311"/>
  <c r="C335" i="30311"/>
  <c r="C329" i="30311"/>
  <c r="C320" i="30311"/>
  <c r="C319" i="30311"/>
  <c r="C306" i="30311"/>
  <c r="C302" i="30311"/>
  <c r="C256" i="30311"/>
  <c r="C257" i="30311" s="1"/>
  <c r="C245" i="30311"/>
  <c r="C244" i="30311"/>
  <c r="C323" i="30311"/>
  <c r="C310" i="30311"/>
  <c r="C249" i="30311"/>
  <c r="C248" i="30311"/>
  <c r="C237" i="30311"/>
  <c r="C241" i="30311"/>
  <c r="C307" i="30311"/>
  <c r="C246" i="30311"/>
  <c r="C299" i="30311" s="1"/>
  <c r="C238" i="30311"/>
  <c r="C328" i="30311"/>
  <c r="C304" i="30311"/>
  <c r="C305" i="30311" s="1"/>
  <c r="C240" i="30311"/>
  <c r="T321" i="30311"/>
  <c r="T338" i="30311"/>
  <c r="T330" i="30311"/>
  <c r="T303" i="30311"/>
  <c r="T339" i="30311"/>
  <c r="T328" i="30311"/>
  <c r="T322" i="30311"/>
  <c r="T329" i="30311"/>
  <c r="T308" i="30311"/>
  <c r="T8" i="30311"/>
  <c r="T340" i="30311" s="1"/>
  <c r="T1" i="30311"/>
  <c r="T306" i="30311"/>
  <c r="T337" i="30311"/>
  <c r="T333" i="30311"/>
  <c r="T259" i="30311"/>
  <c r="T260" i="30311" s="1"/>
  <c r="T247" i="30311"/>
  <c r="T246" i="30311"/>
  <c r="T283" i="30311" s="1"/>
  <c r="T324" i="30311"/>
  <c r="T319" i="30311"/>
  <c r="T335" i="30311"/>
  <c r="T242" i="30311"/>
  <c r="T320" i="30311"/>
  <c r="T241" i="30311"/>
  <c r="AU2" i="30311"/>
  <c r="AN239" i="30311"/>
  <c r="AN243" i="30311"/>
  <c r="AN310" i="30311"/>
  <c r="AN253" i="30311"/>
  <c r="AN242" i="30311"/>
  <c r="AN230" i="30311"/>
  <c r="AN324" i="30311"/>
  <c r="AN241" i="30311"/>
  <c r="AN301" i="30311"/>
  <c r="J238" i="30311"/>
  <c r="S239" i="30311"/>
  <c r="AH240" i="30311"/>
  <c r="AH242" i="30311"/>
  <c r="S243" i="30311"/>
  <c r="G246" i="30311"/>
  <c r="R249" i="30311"/>
  <c r="T255" i="30311"/>
  <c r="AO1" i="30311"/>
  <c r="E330" i="30311"/>
  <c r="E334" i="30311"/>
  <c r="E321" i="30311"/>
  <c r="E8" i="30311"/>
  <c r="E336" i="30311" s="1"/>
  <c r="E247" i="30311"/>
  <c r="E246" i="30311"/>
  <c r="E245" i="30311"/>
  <c r="E240" i="30311"/>
  <c r="E255" i="30311"/>
  <c r="R8" i="30311"/>
  <c r="R320" i="30311" s="1"/>
  <c r="AN238" i="30311"/>
  <c r="AK240" i="30311"/>
  <c r="AL242" i="30311"/>
  <c r="AN244" i="30311"/>
  <c r="AN246" i="30311"/>
  <c r="AN293" i="30311" s="1"/>
  <c r="M258" i="30311"/>
  <c r="M312" i="30311"/>
  <c r="E259" i="30311"/>
  <c r="E260" i="30311" s="1"/>
  <c r="AF334" i="30311"/>
  <c r="AF340" i="30311"/>
  <c r="AF335" i="30311"/>
  <c r="AF338" i="30311"/>
  <c r="AF330" i="30311"/>
  <c r="AF316" i="30311"/>
  <c r="AF255" i="30311"/>
  <c r="AF8" i="30311"/>
  <c r="AF314" i="30311"/>
  <c r="AF249" i="30311"/>
  <c r="C303" i="30311"/>
  <c r="R314" i="30311"/>
  <c r="R338" i="30311"/>
  <c r="AP1" i="30311"/>
  <c r="F337" i="30311"/>
  <c r="F334" i="30311"/>
  <c r="F321" i="30311"/>
  <c r="F315" i="30311"/>
  <c r="F336" i="30311"/>
  <c r="F328" i="30311"/>
  <c r="F340" i="30311"/>
  <c r="F325" i="30311"/>
  <c r="F320" i="30311"/>
  <c r="F307" i="30311"/>
  <c r="F331" i="30311"/>
  <c r="F8" i="30311"/>
  <c r="F323" i="30311"/>
  <c r="F322" i="30311"/>
  <c r="F332" i="30311"/>
  <c r="F316" i="30311"/>
  <c r="F301" i="30311"/>
  <c r="F249" i="30311"/>
  <c r="F246" i="30311"/>
  <c r="F238" i="30311"/>
  <c r="F230" i="30311"/>
  <c r="F304" i="30311"/>
  <c r="F305" i="30311" s="1"/>
  <c r="F302" i="30311"/>
  <c r="F245" i="30311"/>
  <c r="F240" i="30311"/>
  <c r="F255" i="30311"/>
  <c r="F244" i="30311"/>
  <c r="M1" i="30311"/>
  <c r="X340" i="30311"/>
  <c r="X331" i="30311"/>
  <c r="X339" i="30311"/>
  <c r="X321" i="30311"/>
  <c r="X302" i="30311"/>
  <c r="X336" i="30311"/>
  <c r="X330" i="30311"/>
  <c r="X335" i="30311"/>
  <c r="X328" i="30311"/>
  <c r="X334" i="30311"/>
  <c r="X247" i="30311"/>
  <c r="X325" i="30311"/>
  <c r="X240" i="30311"/>
  <c r="X239" i="30311"/>
  <c r="X319" i="30311"/>
  <c r="X230" i="30311"/>
  <c r="X316" i="30311"/>
  <c r="Y353" i="30311" s="1"/>
  <c r="D47" i="30308" s="1"/>
  <c r="X241" i="30311"/>
  <c r="X322" i="30311"/>
  <c r="X303" i="30311"/>
  <c r="X324" i="30311"/>
  <c r="AE1" i="30311"/>
  <c r="X314" i="30311"/>
  <c r="C230" i="30311"/>
  <c r="AF230" i="30311"/>
  <c r="AH237" i="30311"/>
  <c r="J240" i="30311"/>
  <c r="G242" i="30311"/>
  <c r="J248" i="30311"/>
  <c r="T253" i="30311"/>
  <c r="AO261" i="30311"/>
  <c r="AO262" i="30311"/>
  <c r="AU340" i="30311"/>
  <c r="AU338" i="30311"/>
  <c r="AU336" i="30311"/>
  <c r="AU339" i="30311"/>
  <c r="AU324" i="30311"/>
  <c r="AU334" i="30311"/>
  <c r="AU335" i="30311"/>
  <c r="AU330" i="30311"/>
  <c r="AU319" i="30311"/>
  <c r="AU304" i="30311"/>
  <c r="AU305" i="30311" s="1"/>
  <c r="AU332" i="30311"/>
  <c r="AU323" i="30311"/>
  <c r="AU331" i="30311"/>
  <c r="AU322" i="30311"/>
  <c r="AU337" i="30311"/>
  <c r="AU8" i="30311"/>
  <c r="AU329" i="30311" s="1"/>
  <c r="AU302" i="30311"/>
  <c r="AU253" i="30311"/>
  <c r="AU241" i="30311"/>
  <c r="AU240" i="30311"/>
  <c r="AU230" i="30311"/>
  <c r="AU245" i="30311"/>
  <c r="AU244" i="30311"/>
  <c r="AU238" i="30311"/>
  <c r="AU246" i="30311"/>
  <c r="AU255" i="30311"/>
  <c r="AU237" i="30311"/>
  <c r="AU303" i="30311"/>
  <c r="U304" i="30311"/>
  <c r="U305" i="30311" s="1"/>
  <c r="AN308" i="30311"/>
  <c r="T314" i="30311"/>
  <c r="R334" i="30311"/>
  <c r="X338" i="30311"/>
  <c r="W1" i="30311"/>
  <c r="AR1" i="30311"/>
  <c r="G331" i="30311"/>
  <c r="G329" i="30311"/>
  <c r="G325" i="30311"/>
  <c r="G323" i="30311"/>
  <c r="G321" i="30311"/>
  <c r="G319" i="30311"/>
  <c r="G316" i="30311"/>
  <c r="G314" i="30311"/>
  <c r="G338" i="30311"/>
  <c r="G337" i="30311"/>
  <c r="G307" i="30311"/>
  <c r="G302" i="30311"/>
  <c r="G335" i="30311"/>
  <c r="G308" i="30311"/>
  <c r="G334" i="30311"/>
  <c r="G253" i="30311"/>
  <c r="G249" i="30311"/>
  <c r="G247" i="30311"/>
  <c r="G245" i="30311"/>
  <c r="G243" i="30311"/>
  <c r="G241" i="30311"/>
  <c r="G239" i="30311"/>
  <c r="G237" i="30311"/>
  <c r="G332" i="30311"/>
  <c r="G330" i="30311"/>
  <c r="G320" i="30311"/>
  <c r="G306" i="30311"/>
  <c r="G259" i="30311"/>
  <c r="G260" i="30311" s="1"/>
  <c r="G255" i="30311"/>
  <c r="G311" i="30311" s="1"/>
  <c r="G248" i="30311"/>
  <c r="G310" i="30311"/>
  <c r="G340" i="30311"/>
  <c r="G333" i="30311"/>
  <c r="G322" i="30311"/>
  <c r="G304" i="30311"/>
  <c r="G305" i="30311" s="1"/>
  <c r="G240" i="30311"/>
  <c r="G256" i="30311"/>
  <c r="G257" i="30311" s="1"/>
  <c r="G328" i="30311"/>
  <c r="G254" i="30311"/>
  <c r="G339" i="30311"/>
  <c r="AV333" i="30311"/>
  <c r="AV334" i="30311"/>
  <c r="AV339" i="30311"/>
  <c r="AV328" i="30311"/>
  <c r="AV338" i="30311"/>
  <c r="AV331" i="30311"/>
  <c r="AV323" i="30311"/>
  <c r="AV314" i="30311"/>
  <c r="AV302" i="30311"/>
  <c r="AV301" i="30311"/>
  <c r="AV8" i="30311"/>
  <c r="AV322" i="30311" s="1"/>
  <c r="AV1" i="30311"/>
  <c r="AV310" i="30311"/>
  <c r="AV255" i="30311"/>
  <c r="AV311" i="30311" s="1"/>
  <c r="AV254" i="30311"/>
  <c r="AV243" i="30311"/>
  <c r="AV242" i="30311"/>
  <c r="AV324" i="30311"/>
  <c r="AV246" i="30311"/>
  <c r="AV293" i="30311" s="1"/>
  <c r="AV306" i="30311"/>
  <c r="AV256" i="30311"/>
  <c r="AV257" i="30311" s="1"/>
  <c r="AV336" i="30311"/>
  <c r="AV330" i="30311"/>
  <c r="AV321" i="30311"/>
  <c r="AV308" i="30311"/>
  <c r="AT8" i="30311"/>
  <c r="AT323" i="30311" s="1"/>
  <c r="G230" i="30311"/>
  <c r="AM237" i="30311"/>
  <c r="L240" i="30311"/>
  <c r="AM240" i="30311"/>
  <c r="L246" i="30311"/>
  <c r="L298" i="30311" s="1"/>
  <c r="L248" i="30311"/>
  <c r="X1" i="30311"/>
  <c r="AS1" i="30311"/>
  <c r="AW8" i="30311"/>
  <c r="AW340" i="30311" s="1"/>
  <c r="AW1" i="30311"/>
  <c r="X8" i="30311"/>
  <c r="X304" i="30311" s="1"/>
  <c r="X305" i="30311" s="1"/>
  <c r="AH230" i="30311"/>
  <c r="AN237" i="30311"/>
  <c r="R238" i="30311"/>
  <c r="B239" i="30311"/>
  <c r="AD239" i="30311"/>
  <c r="AU242" i="30311"/>
  <c r="Q244" i="30311"/>
  <c r="B247" i="30311"/>
  <c r="AE247" i="30311"/>
  <c r="T248" i="30311"/>
  <c r="AV248" i="30311"/>
  <c r="F254" i="30311"/>
  <c r="AU254" i="30311"/>
  <c r="AN255" i="30311"/>
  <c r="AN311" i="30311" s="1"/>
  <c r="AM301" i="30311"/>
  <c r="G303" i="30311"/>
  <c r="T307" i="30311"/>
  <c r="AM319" i="30311"/>
  <c r="AM321" i="30311"/>
  <c r="B324" i="30311"/>
  <c r="AH328" i="30311"/>
  <c r="AT330" i="30311"/>
  <c r="K335" i="30311"/>
  <c r="K324" i="30311"/>
  <c r="K301" i="30311"/>
  <c r="K320" i="30311"/>
  <c r="K329" i="30311"/>
  <c r="K334" i="30311"/>
  <c r="K321" i="30311"/>
  <c r="K340" i="30311"/>
  <c r="K310" i="30311"/>
  <c r="K308" i="30311"/>
  <c r="K307" i="30311"/>
  <c r="K240" i="30311"/>
  <c r="R1" i="30311"/>
  <c r="AA306" i="30311"/>
  <c r="AP324" i="30311"/>
  <c r="AP322" i="30311"/>
  <c r="AP337" i="30311"/>
  <c r="AP314" i="30311"/>
  <c r="AP310" i="30311"/>
  <c r="K8" i="30311"/>
  <c r="K330" i="30311" s="1"/>
  <c r="G293" i="30311"/>
  <c r="C283" i="30311"/>
  <c r="Q283" i="30311"/>
  <c r="N339" i="30311"/>
  <c r="N256" i="30311"/>
  <c r="N257" i="30311" s="1"/>
  <c r="N238" i="30311"/>
  <c r="N338" i="30311"/>
  <c r="N303" i="30311"/>
  <c r="N302" i="30311"/>
  <c r="N340" i="30311"/>
  <c r="T2" i="30311"/>
  <c r="M306" i="30311"/>
  <c r="M309" i="30311" s="1"/>
  <c r="M304" i="30311"/>
  <c r="M305" i="30311" s="1"/>
  <c r="M254" i="30311"/>
  <c r="M253" i="30311"/>
  <c r="M242" i="30311"/>
  <c r="M241" i="30311"/>
  <c r="M322" i="30311"/>
  <c r="M320" i="30311"/>
  <c r="M314" i="30311"/>
  <c r="M243" i="30311"/>
  <c r="M248" i="30311"/>
  <c r="L303" i="30311"/>
  <c r="Z316" i="30311"/>
  <c r="AA353" i="30311" s="1"/>
  <c r="F47" i="30308" s="1"/>
  <c r="AN302" i="30311"/>
  <c r="N8" i="30311"/>
  <c r="N328" i="30311" s="1"/>
  <c r="M237" i="30311"/>
  <c r="N243" i="30311"/>
  <c r="M249" i="30311"/>
  <c r="M259" i="30311"/>
  <c r="M260" i="30311" s="1"/>
  <c r="K244" i="30311"/>
  <c r="AO317" i="30311"/>
  <c r="K255" i="30311"/>
  <c r="AN240" i="30311"/>
  <c r="Z241" i="30311"/>
  <c r="Z242" i="30311"/>
  <c r="L243" i="30311"/>
  <c r="L244" i="30311"/>
  <c r="Z253" i="30311"/>
  <c r="Z254" i="30311"/>
  <c r="L255" i="30311"/>
  <c r="L256" i="30311"/>
  <c r="L257" i="30311" s="1"/>
  <c r="AH293" i="30311"/>
  <c r="AO332" i="30311"/>
  <c r="L339" i="30311"/>
  <c r="L337" i="30311"/>
  <c r="L338" i="30311"/>
  <c r="L333" i="30311"/>
  <c r="L331" i="30311"/>
  <c r="L324" i="30311"/>
  <c r="L319" i="30311"/>
  <c r="L329" i="30311"/>
  <c r="L334" i="30311"/>
  <c r="L330" i="30311"/>
  <c r="L315" i="30311"/>
  <c r="L314" i="30311"/>
  <c r="L336" i="30311"/>
  <c r="L322" i="30311"/>
  <c r="L320" i="30311"/>
  <c r="S1" i="30311"/>
  <c r="L323" i="30311"/>
  <c r="L310" i="30311"/>
  <c r="L304" i="30311"/>
  <c r="L305" i="30311" s="1"/>
  <c r="Z339" i="30311"/>
  <c r="Z337" i="30311"/>
  <c r="Z335" i="30311"/>
  <c r="Z336" i="30311"/>
  <c r="Z340" i="30311"/>
  <c r="Z338" i="30311"/>
  <c r="Z334" i="30311"/>
  <c r="Z331" i="30311"/>
  <c r="Z328" i="30311"/>
  <c r="Z306" i="30311"/>
  <c r="Z309" i="30311" s="1"/>
  <c r="Z301" i="30311"/>
  <c r="Z325" i="30311"/>
  <c r="Z323" i="30311"/>
  <c r="Z321" i="30311"/>
  <c r="Z310" i="30311"/>
  <c r="Z324" i="30311"/>
  <c r="Z314" i="30311"/>
  <c r="Z320" i="30311"/>
  <c r="Z319" i="30311"/>
  <c r="AN339" i="30311"/>
  <c r="AN337" i="30311"/>
  <c r="AN335" i="30311"/>
  <c r="AN340" i="30311"/>
  <c r="AN334" i="30311"/>
  <c r="AN320" i="30311"/>
  <c r="AN330" i="30311"/>
  <c r="AN314" i="30311"/>
  <c r="AN328" i="30311"/>
  <c r="AN322" i="30311"/>
  <c r="AN319" i="30311"/>
  <c r="AN331" i="30311"/>
  <c r="AN329" i="30311"/>
  <c r="AN307" i="30311"/>
  <c r="AU1" i="30311"/>
  <c r="AN325" i="30311"/>
  <c r="AN336" i="30311"/>
  <c r="AN332" i="30311"/>
  <c r="AN306" i="30311"/>
  <c r="L306" i="30311"/>
  <c r="L328" i="30311"/>
  <c r="J340" i="30311"/>
  <c r="J337" i="30311"/>
  <c r="J336" i="30311"/>
  <c r="J335" i="30311"/>
  <c r="J334" i="30311"/>
  <c r="J320" i="30311"/>
  <c r="J314" i="30311"/>
  <c r="J322" i="30311"/>
  <c r="J319" i="30311"/>
  <c r="J338" i="30311"/>
  <c r="J323" i="30311"/>
  <c r="J330" i="30311"/>
  <c r="J331" i="30311"/>
  <c r="J329" i="30311"/>
  <c r="J310" i="30311"/>
  <c r="J332" i="30311"/>
  <c r="J306" i="30311"/>
  <c r="J339" i="30311"/>
  <c r="J325" i="30311"/>
  <c r="J321" i="30311"/>
  <c r="J316" i="30311"/>
  <c r="J307" i="30311"/>
  <c r="Y335" i="30311"/>
  <c r="Y338" i="30311"/>
  <c r="Y334" i="30311"/>
  <c r="Y330" i="30311"/>
  <c r="Y328" i="30311"/>
  <c r="Y314" i="30311"/>
  <c r="Y336" i="30311"/>
  <c r="Y322" i="30311"/>
  <c r="Y340" i="30311"/>
  <c r="Y316" i="30311"/>
  <c r="Z353" i="30311" s="1"/>
  <c r="E47" i="30308" s="1"/>
  <c r="Y308" i="30311"/>
  <c r="Y310" i="30311"/>
  <c r="Y256" i="30311"/>
  <c r="Y257" i="30311" s="1"/>
  <c r="Y8" i="30311"/>
  <c r="Y337" i="30311" s="1"/>
  <c r="AV2" i="30311"/>
  <c r="L230" i="30311"/>
  <c r="Y237" i="30311"/>
  <c r="AO237" i="30311"/>
  <c r="Y238" i="30311"/>
  <c r="AO238" i="30311"/>
  <c r="Y249" i="30311"/>
  <c r="AO249" i="30311"/>
  <c r="AN303" i="30311"/>
  <c r="Y315" i="30311"/>
  <c r="Y329" i="30311"/>
  <c r="J333" i="30311"/>
  <c r="L340" i="30311"/>
  <c r="AN247" i="30311"/>
  <c r="AN248" i="30311"/>
  <c r="Z249" i="30311"/>
  <c r="AN259" i="30311"/>
  <c r="AN260" i="30311" s="1"/>
  <c r="Y302" i="30311"/>
  <c r="AO303" i="30311"/>
  <c r="AN304" i="30311"/>
  <c r="AN305" i="30311" s="1"/>
  <c r="L307" i="30311"/>
  <c r="L308" i="30311"/>
  <c r="Z315" i="30311"/>
  <c r="AN323" i="30311"/>
  <c r="Z329" i="30311"/>
  <c r="AN338" i="30311"/>
  <c r="AA302" i="30311"/>
  <c r="AA303" i="30311"/>
  <c r="AA307" i="30311"/>
  <c r="AO314" i="30311"/>
  <c r="AA321" i="30311"/>
  <c r="M328" i="30311"/>
  <c r="AO337" i="30311"/>
  <c r="M301" i="30311"/>
  <c r="AO315" i="30311"/>
  <c r="M338" i="30311"/>
  <c r="M339" i="30311"/>
  <c r="M334" i="30311"/>
  <c r="M324" i="30311"/>
  <c r="M319" i="30311"/>
  <c r="M336" i="30311"/>
  <c r="M333" i="30311"/>
  <c r="M325" i="30311"/>
  <c r="M335" i="30311"/>
  <c r="M340" i="30311"/>
  <c r="M310" i="30311"/>
  <c r="M329" i="30311"/>
  <c r="M316" i="30311"/>
  <c r="M331" i="30311"/>
  <c r="M337" i="30311"/>
  <c r="M323" i="30311"/>
  <c r="M315" i="30311"/>
  <c r="AA336" i="30311"/>
  <c r="AA337" i="30311"/>
  <c r="AA339" i="30311"/>
  <c r="AA333" i="30311"/>
  <c r="AA340" i="30311"/>
  <c r="AA338" i="30311"/>
  <c r="AA334" i="30311"/>
  <c r="AA319" i="30311"/>
  <c r="AA322" i="30311"/>
  <c r="AA325" i="30311"/>
  <c r="AA323" i="30311"/>
  <c r="AA330" i="30311"/>
  <c r="AA335" i="30311"/>
  <c r="AA328" i="30311"/>
  <c r="AA332" i="30311"/>
  <c r="AO340" i="30311"/>
  <c r="AO335" i="30311"/>
  <c r="AO338" i="30311"/>
  <c r="AO330" i="30311"/>
  <c r="AO339" i="30311"/>
  <c r="AO334" i="30311"/>
  <c r="AO321" i="30311"/>
  <c r="AO306" i="30311"/>
  <c r="AO309" i="30311" s="1"/>
  <c r="AO301" i="30311"/>
  <c r="AO331" i="30311"/>
  <c r="AO324" i="30311"/>
  <c r="AO322" i="30311"/>
  <c r="AO308" i="30311"/>
  <c r="AA314" i="30311"/>
  <c r="AA324" i="30311"/>
  <c r="AO325" i="30311"/>
  <c r="B8" i="30300"/>
  <c r="B230" i="30300" s="1"/>
  <c r="C8" i="30300"/>
  <c r="C323" i="30300" s="1"/>
  <c r="D8" i="30300"/>
  <c r="D245" i="30300" s="1"/>
  <c r="B245" i="30300"/>
  <c r="T297" i="30300"/>
  <c r="T7" i="30300" s="1"/>
  <c r="T8" i="30300" s="1"/>
  <c r="G8" i="30300"/>
  <c r="G319" i="30300" s="1"/>
  <c r="R297" i="30300"/>
  <c r="R7" i="30300" s="1"/>
  <c r="S297" i="30300"/>
  <c r="S7" i="30300" s="1"/>
  <c r="S8" i="30300" s="1"/>
  <c r="J1" i="30300"/>
  <c r="U297" i="30300"/>
  <c r="U7" i="30300" s="1"/>
  <c r="U8" i="30300" s="1"/>
  <c r="I297" i="30300"/>
  <c r="I7" i="30300" s="1"/>
  <c r="I8" i="30300" s="1"/>
  <c r="P297" i="30300"/>
  <c r="P7" i="30300" s="1"/>
  <c r="AN297" i="30300"/>
  <c r="AN7" i="30300" s="1"/>
  <c r="E8" i="30300"/>
  <c r="E325" i="30300" s="1"/>
  <c r="E253" i="30300"/>
  <c r="L1" i="30300"/>
  <c r="AB297" i="30300"/>
  <c r="AB7" i="30300" s="1"/>
  <c r="K1" i="30300"/>
  <c r="K8" i="30300"/>
  <c r="K340" i="30300" s="1"/>
  <c r="F8" i="30300"/>
  <c r="F335" i="30300" s="1"/>
  <c r="M1" i="30300"/>
  <c r="Q297" i="30300"/>
  <c r="Q7" i="30300" s="1"/>
  <c r="AH297" i="30300"/>
  <c r="AH7" i="30300" s="1"/>
  <c r="AH8" i="30300" s="1"/>
  <c r="L8" i="30300"/>
  <c r="L241" i="30300" s="1"/>
  <c r="M8" i="30300"/>
  <c r="M340" i="30300" s="1"/>
  <c r="N297" i="30300"/>
  <c r="N7" i="30300" s="1"/>
  <c r="N1" i="30300" s="1"/>
  <c r="B333" i="30300"/>
  <c r="B329" i="30300"/>
  <c r="B332" i="30300"/>
  <c r="B308" i="30300"/>
  <c r="B314" i="30300"/>
  <c r="B246" i="30300"/>
  <c r="B299" i="30300" s="1"/>
  <c r="J8" i="30300"/>
  <c r="J319" i="30300" s="1"/>
  <c r="B241" i="30300"/>
  <c r="B259" i="30300"/>
  <c r="B260" i="30300" s="1"/>
  <c r="C304" i="30300" l="1"/>
  <c r="C305" i="30300" s="1"/>
  <c r="C334" i="30300"/>
  <c r="C314" i="30300"/>
  <c r="B301" i="30300"/>
  <c r="C335" i="30300"/>
  <c r="M335" i="30300"/>
  <c r="F249" i="30300"/>
  <c r="C319" i="30300"/>
  <c r="C308" i="30300"/>
  <c r="C329" i="30300"/>
  <c r="B335" i="30300"/>
  <c r="C328" i="30300"/>
  <c r="B322" i="30300"/>
  <c r="F239" i="30300"/>
  <c r="D320" i="30300"/>
  <c r="C307" i="30300"/>
  <c r="B319" i="30300"/>
  <c r="B248" i="30300"/>
  <c r="D302" i="30300"/>
  <c r="M243" i="30300"/>
  <c r="C242" i="30300"/>
  <c r="C244" i="30300"/>
  <c r="B328" i="30300"/>
  <c r="M322" i="30300"/>
  <c r="B239" i="30300"/>
  <c r="D230" i="30300"/>
  <c r="C301" i="30300"/>
  <c r="C338" i="30300"/>
  <c r="C239" i="30300"/>
  <c r="C256" i="30300"/>
  <c r="C257" i="30300" s="1"/>
  <c r="C312" i="30300" s="1"/>
  <c r="D337" i="30300"/>
  <c r="C316" i="30300"/>
  <c r="C333" i="30300"/>
  <c r="B253" i="30300"/>
  <c r="B300" i="30300" s="1"/>
  <c r="D333" i="30300"/>
  <c r="D338" i="30300"/>
  <c r="C302" i="30300"/>
  <c r="C324" i="30300"/>
  <c r="B316" i="30300"/>
  <c r="B353" i="30300" s="1"/>
  <c r="C253" i="30300"/>
  <c r="K333" i="30300"/>
  <c r="D329" i="30300"/>
  <c r="D247" i="30300"/>
  <c r="C245" i="30300"/>
  <c r="D254" i="30300"/>
  <c r="C240" i="30300"/>
  <c r="C340" i="30300"/>
  <c r="C330" i="30300"/>
  <c r="C243" i="30300"/>
  <c r="D239" i="30300"/>
  <c r="D308" i="30300"/>
  <c r="C337" i="30300"/>
  <c r="C248" i="30300"/>
  <c r="C339" i="30300"/>
  <c r="D316" i="30300"/>
  <c r="C259" i="30300"/>
  <c r="C260" i="30300" s="1"/>
  <c r="D319" i="30300"/>
  <c r="C255" i="30300"/>
  <c r="C315" i="30300"/>
  <c r="B331" i="30300"/>
  <c r="C247" i="30300"/>
  <c r="D244" i="30300"/>
  <c r="C246" i="30300"/>
  <c r="C283" i="30300" s="1"/>
  <c r="C241" i="30300"/>
  <c r="C249" i="30300"/>
  <c r="D256" i="30300"/>
  <c r="D257" i="30300" s="1"/>
  <c r="D340" i="30300"/>
  <c r="C303" i="30300"/>
  <c r="C320" i="30300"/>
  <c r="B302" i="30300"/>
  <c r="D237" i="30300"/>
  <c r="AD310" i="30301"/>
  <c r="AD331" i="30301"/>
  <c r="AD255" i="30301"/>
  <c r="AD323" i="30301"/>
  <c r="AD324" i="30301"/>
  <c r="AD253" i="30301"/>
  <c r="AD238" i="30301"/>
  <c r="AD320" i="30301"/>
  <c r="AD335" i="30301"/>
  <c r="AD254" i="30301"/>
  <c r="AL242" i="30301"/>
  <c r="AD329" i="30301"/>
  <c r="AD334" i="30301"/>
  <c r="AD328" i="30301"/>
  <c r="AD239" i="30301"/>
  <c r="AD332" i="30301"/>
  <c r="AD321" i="30301"/>
  <c r="AD336" i="30301"/>
  <c r="AD330" i="30301"/>
  <c r="AD303" i="30301"/>
  <c r="AG308" i="30301"/>
  <c r="AD249" i="30301"/>
  <c r="AD242" i="30301"/>
  <c r="AD230" i="30301"/>
  <c r="AD256" i="30301"/>
  <c r="AD257" i="30301" s="1"/>
  <c r="AD338" i="30301"/>
  <c r="AD319" i="30301"/>
  <c r="AK2" i="30301"/>
  <c r="AD325" i="30301"/>
  <c r="AD340" i="30301"/>
  <c r="AD248" i="30301"/>
  <c r="AS262" i="30301"/>
  <c r="AD316" i="30301"/>
  <c r="J68" i="30308" s="1"/>
  <c r="AD337" i="30301"/>
  <c r="T237" i="30301"/>
  <c r="AD301" i="30301"/>
  <c r="AD302" i="30301"/>
  <c r="AD333" i="30301"/>
  <c r="AD241" i="30301"/>
  <c r="T242" i="30301"/>
  <c r="AD244" i="30301"/>
  <c r="AD314" i="30301"/>
  <c r="AD306" i="30301"/>
  <c r="C325" i="30301"/>
  <c r="X249" i="30301"/>
  <c r="X304" i="30301"/>
  <c r="X305" i="30301" s="1"/>
  <c r="X324" i="30301"/>
  <c r="X338" i="30301"/>
  <c r="X240" i="30301"/>
  <c r="X242" i="30301"/>
  <c r="L2" i="30301"/>
  <c r="L248" i="30301"/>
  <c r="C324" i="30301"/>
  <c r="X237" i="30301"/>
  <c r="X253" i="30301"/>
  <c r="X317" i="30301" s="1"/>
  <c r="X331" i="30301"/>
  <c r="X339" i="30301"/>
  <c r="L246" i="30301"/>
  <c r="L316" i="30301"/>
  <c r="M65" i="30308" s="1"/>
  <c r="L334" i="30301"/>
  <c r="Q311" i="30301"/>
  <c r="C308" i="30301"/>
  <c r="X2" i="30301"/>
  <c r="X243" i="30301"/>
  <c r="X259" i="30301"/>
  <c r="X260" i="30301" s="1"/>
  <c r="X329" i="30301"/>
  <c r="X340" i="30301"/>
  <c r="C245" i="30301"/>
  <c r="AU324" i="30301"/>
  <c r="AD308" i="30301"/>
  <c r="AD309" i="30301" s="1"/>
  <c r="AD246" i="30301"/>
  <c r="L238" i="30301"/>
  <c r="X254" i="30301"/>
  <c r="X302" i="30301"/>
  <c r="X308" i="30301"/>
  <c r="X328" i="30301"/>
  <c r="AD237" i="30301"/>
  <c r="L314" i="30301"/>
  <c r="C314" i="30301"/>
  <c r="G321" i="30301"/>
  <c r="X306" i="30301"/>
  <c r="X310" i="30301"/>
  <c r="X301" i="30301"/>
  <c r="X336" i="30301"/>
  <c r="R262" i="30301"/>
  <c r="L244" i="30301"/>
  <c r="AD315" i="30301"/>
  <c r="Y303" i="30301"/>
  <c r="L240" i="30301"/>
  <c r="L243" i="30301"/>
  <c r="L306" i="30301"/>
  <c r="L324" i="30301"/>
  <c r="C320" i="30301"/>
  <c r="T338" i="30301"/>
  <c r="AV230" i="30301"/>
  <c r="X248" i="30301"/>
  <c r="X335" i="30301"/>
  <c r="X320" i="30301"/>
  <c r="L245" i="30301"/>
  <c r="L303" i="30301"/>
  <c r="L320" i="30301"/>
  <c r="L259" i="30301"/>
  <c r="L260" i="30301" s="1"/>
  <c r="C315" i="30301"/>
  <c r="X246" i="30301"/>
  <c r="X293" i="30301" s="1"/>
  <c r="X323" i="30301"/>
  <c r="X322" i="30301"/>
  <c r="AD247" i="30301"/>
  <c r="L323" i="30301"/>
  <c r="L247" i="30301"/>
  <c r="L304" i="30301"/>
  <c r="L305" i="30301" s="1"/>
  <c r="L322" i="30301"/>
  <c r="C332" i="30301"/>
  <c r="X244" i="30301"/>
  <c r="X238" i="30301"/>
  <c r="X247" i="30301"/>
  <c r="X316" i="30301"/>
  <c r="K67" i="30308" s="1"/>
  <c r="X333" i="30301"/>
  <c r="J241" i="30301"/>
  <c r="AD245" i="30301"/>
  <c r="AD298" i="30301" s="1"/>
  <c r="L254" i="30301"/>
  <c r="L261" i="30301" s="1"/>
  <c r="AE246" i="30301"/>
  <c r="AE293" i="30301" s="1"/>
  <c r="AE301" i="30301"/>
  <c r="AE330" i="30301"/>
  <c r="Y247" i="30301"/>
  <c r="Y329" i="30301"/>
  <c r="AE230" i="30301"/>
  <c r="J256" i="30301"/>
  <c r="J257" i="30301" s="1"/>
  <c r="AG306" i="30301"/>
  <c r="AE338" i="30301"/>
  <c r="AE333" i="30301"/>
  <c r="AE331" i="30301"/>
  <c r="Y238" i="30301"/>
  <c r="Y325" i="30301"/>
  <c r="AE242" i="30301"/>
  <c r="I256" i="30301"/>
  <c r="I257" i="30301" s="1"/>
  <c r="J314" i="30301"/>
  <c r="AG333" i="30301"/>
  <c r="AE320" i="30301"/>
  <c r="AE302" i="30301"/>
  <c r="AE324" i="30301"/>
  <c r="Y245" i="30301"/>
  <c r="Y333" i="30301"/>
  <c r="AE244" i="30301"/>
  <c r="J329" i="30301"/>
  <c r="AG243" i="30301"/>
  <c r="AE245" i="30301"/>
  <c r="AE259" i="30301"/>
  <c r="AE260" i="30301" s="1"/>
  <c r="AE304" i="30301"/>
  <c r="AE305" i="30301" s="1"/>
  <c r="AE335" i="30301"/>
  <c r="Y237" i="30301"/>
  <c r="Y337" i="30301"/>
  <c r="AE247" i="30301"/>
  <c r="AE237" i="30301"/>
  <c r="J334" i="30301"/>
  <c r="AG322" i="30301"/>
  <c r="AE315" i="30301"/>
  <c r="AE306" i="30301"/>
  <c r="AE334" i="30301"/>
  <c r="Y254" i="30301"/>
  <c r="Y339" i="30301"/>
  <c r="I308" i="30301"/>
  <c r="J331" i="30301"/>
  <c r="AE248" i="30301"/>
  <c r="AE239" i="30301"/>
  <c r="AE340" i="30301"/>
  <c r="AE308" i="30301"/>
  <c r="Y253" i="30301"/>
  <c r="AE238" i="30301"/>
  <c r="AL2" i="30301"/>
  <c r="AE253" i="30301"/>
  <c r="AE329" i="30301"/>
  <c r="AE310" i="30301"/>
  <c r="Y248" i="30301"/>
  <c r="J244" i="30301"/>
  <c r="AO293" i="30301"/>
  <c r="AE254" i="30301"/>
  <c r="AE307" i="30301"/>
  <c r="AE314" i="30301"/>
  <c r="Y304" i="30301"/>
  <c r="Y305" i="30301" s="1"/>
  <c r="AO283" i="30301"/>
  <c r="F259" i="30301"/>
  <c r="F260" i="30301" s="1"/>
  <c r="AG230" i="30301"/>
  <c r="AE249" i="30301"/>
  <c r="AE256" i="30301"/>
  <c r="AE257" i="30301" s="1"/>
  <c r="AE336" i="30301"/>
  <c r="AE316" i="30301"/>
  <c r="K68" i="30308" s="1"/>
  <c r="Y307" i="30301"/>
  <c r="F332" i="30301"/>
  <c r="AG255" i="30301"/>
  <c r="AE322" i="30301"/>
  <c r="AE319" i="30301"/>
  <c r="AE240" i="30301"/>
  <c r="Y256" i="30301"/>
  <c r="Y257" i="30301" s="1"/>
  <c r="J255" i="30301"/>
  <c r="J311" i="30301" s="1"/>
  <c r="AG302" i="30301"/>
  <c r="AE339" i="30301"/>
  <c r="AE332" i="30301"/>
  <c r="AE325" i="30301"/>
  <c r="AE321" i="30301"/>
  <c r="Y319" i="30301"/>
  <c r="AE255" i="30301"/>
  <c r="AV301" i="30301"/>
  <c r="K255" i="30301"/>
  <c r="J324" i="30301"/>
  <c r="C339" i="30301"/>
  <c r="AG246" i="30301"/>
  <c r="AG293" i="30301" s="1"/>
  <c r="AD243" i="30301"/>
  <c r="Z237" i="30301"/>
  <c r="AD2" i="30301"/>
  <c r="E306" i="30301"/>
  <c r="E303" i="30301"/>
  <c r="E321" i="30301"/>
  <c r="E241" i="30301"/>
  <c r="E304" i="30301"/>
  <c r="E305" i="30301" s="1"/>
  <c r="E323" i="30301"/>
  <c r="L242" i="30301"/>
  <c r="AL321" i="30301"/>
  <c r="E255" i="30301"/>
  <c r="E334" i="30301"/>
  <c r="E340" i="30301"/>
  <c r="E333" i="30301"/>
  <c r="AW301" i="30301"/>
  <c r="T320" i="30301"/>
  <c r="E247" i="30301"/>
  <c r="E302" i="30301"/>
  <c r="AW249" i="30301"/>
  <c r="K320" i="30301"/>
  <c r="E249" i="30301"/>
  <c r="E325" i="30301"/>
  <c r="X230" i="30301"/>
  <c r="AW254" i="30301"/>
  <c r="Y328" i="30301"/>
  <c r="T240" i="30301"/>
  <c r="AW238" i="30301"/>
  <c r="AV303" i="30301"/>
  <c r="K325" i="30301"/>
  <c r="E301" i="30301"/>
  <c r="E244" i="30301"/>
  <c r="Y302" i="30301"/>
  <c r="AL253" i="30301"/>
  <c r="AL317" i="30301" s="1"/>
  <c r="AW304" i="30301"/>
  <c r="AW305" i="30301" s="1"/>
  <c r="J242" i="30301"/>
  <c r="E307" i="30301"/>
  <c r="E246" i="30301"/>
  <c r="E283" i="30301" s="1"/>
  <c r="X239" i="30301"/>
  <c r="E259" i="30301"/>
  <c r="E260" i="30301" s="1"/>
  <c r="E316" i="30301"/>
  <c r="M64" i="30308" s="1"/>
  <c r="E248" i="30301"/>
  <c r="AG237" i="30301"/>
  <c r="E239" i="30301"/>
  <c r="E237" i="30301"/>
  <c r="E320" i="30301"/>
  <c r="L230" i="30301"/>
  <c r="E336" i="30301"/>
  <c r="E256" i="30301"/>
  <c r="E257" i="30301" s="1"/>
  <c r="E331" i="30301"/>
  <c r="AS261" i="30301"/>
  <c r="E245" i="30301"/>
  <c r="E339" i="30301"/>
  <c r="L256" i="30301"/>
  <c r="L257" i="30301" s="1"/>
  <c r="AK338" i="30301"/>
  <c r="AK239" i="30301"/>
  <c r="AK302" i="30301"/>
  <c r="AK320" i="30301"/>
  <c r="AK337" i="30301"/>
  <c r="AK324" i="30301"/>
  <c r="AK245" i="30301"/>
  <c r="AK244" i="30301"/>
  <c r="AA330" i="30301"/>
  <c r="Z247" i="30301"/>
  <c r="Z319" i="30301"/>
  <c r="Z336" i="30301"/>
  <c r="K242" i="30301"/>
  <c r="K307" i="30301"/>
  <c r="K337" i="30301"/>
  <c r="AL302" i="30301"/>
  <c r="AL244" i="30301"/>
  <c r="AK316" i="30301"/>
  <c r="J69" i="30308" s="1"/>
  <c r="F255" i="30301"/>
  <c r="F302" i="30301"/>
  <c r="F331" i="30301"/>
  <c r="Z246" i="30301"/>
  <c r="AA259" i="30301"/>
  <c r="AA260" i="30301" s="1"/>
  <c r="Z256" i="30301"/>
  <c r="AA323" i="30301"/>
  <c r="AA249" i="30301"/>
  <c r="AA310" i="30301"/>
  <c r="AA302" i="30301"/>
  <c r="Z249" i="30301"/>
  <c r="Z324" i="30301"/>
  <c r="AA243" i="30301"/>
  <c r="K244" i="30301"/>
  <c r="K323" i="30301"/>
  <c r="K340" i="30301"/>
  <c r="AT243" i="30301"/>
  <c r="J301" i="30301"/>
  <c r="AL316" i="30301"/>
  <c r="AK242" i="30301"/>
  <c r="AK259" i="30301"/>
  <c r="AK260" i="30301" s="1"/>
  <c r="F243" i="30301"/>
  <c r="F307" i="30301"/>
  <c r="F333" i="30301"/>
  <c r="AG325" i="30301"/>
  <c r="E315" i="30301"/>
  <c r="Z307" i="30301"/>
  <c r="L311" i="30301"/>
  <c r="Z248" i="30301"/>
  <c r="AA319" i="30301"/>
  <c r="AA307" i="30301"/>
  <c r="Z240" i="30301"/>
  <c r="Z253" i="30301"/>
  <c r="Z332" i="30301"/>
  <c r="K256" i="30301"/>
  <c r="K257" i="30301" s="1"/>
  <c r="K316" i="30301"/>
  <c r="L65" i="30308" s="1"/>
  <c r="K335" i="30301"/>
  <c r="AT337" i="30301"/>
  <c r="AL314" i="30301"/>
  <c r="AF329" i="30301"/>
  <c r="F325" i="30301"/>
  <c r="F321" i="30301"/>
  <c r="F335" i="30301"/>
  <c r="AG335" i="30301"/>
  <c r="E328" i="30301"/>
  <c r="AS249" i="30301"/>
  <c r="AA321" i="30301"/>
  <c r="AA324" i="30301"/>
  <c r="Z310" i="30301"/>
  <c r="Z325" i="30301"/>
  <c r="AA245" i="30301"/>
  <c r="Z241" i="30301"/>
  <c r="AA329" i="30301"/>
  <c r="K246" i="30301"/>
  <c r="K293" i="30301" s="1"/>
  <c r="K332" i="30301"/>
  <c r="K339" i="30301"/>
  <c r="AT339" i="30301"/>
  <c r="AL332" i="30301"/>
  <c r="AK308" i="30301"/>
  <c r="AK310" i="30301"/>
  <c r="F253" i="30301"/>
  <c r="F317" i="30301" s="1"/>
  <c r="F329" i="30301"/>
  <c r="F337" i="30301"/>
  <c r="Z239" i="30301"/>
  <c r="AS244" i="30301"/>
  <c r="AA337" i="30301"/>
  <c r="AA325" i="30301"/>
  <c r="Z303" i="30301"/>
  <c r="Z308" i="30301"/>
  <c r="Z339" i="30301"/>
  <c r="AA254" i="30301"/>
  <c r="K241" i="30301"/>
  <c r="K333" i="30301"/>
  <c r="F248" i="30301"/>
  <c r="AL325" i="30301"/>
  <c r="F244" i="30301"/>
  <c r="AK307" i="30301"/>
  <c r="AK334" i="30301"/>
  <c r="F336" i="30301"/>
  <c r="F338" i="30301"/>
  <c r="F339" i="30301"/>
  <c r="AG253" i="30301"/>
  <c r="AG337" i="30301"/>
  <c r="E335" i="30301"/>
  <c r="AA244" i="30301"/>
  <c r="AA308" i="30301"/>
  <c r="AA339" i="30301"/>
  <c r="Z321" i="30301"/>
  <c r="Z320" i="30301"/>
  <c r="AA253" i="30301"/>
  <c r="Y331" i="30301"/>
  <c r="T308" i="30301"/>
  <c r="AW322" i="30301"/>
  <c r="K314" i="30301"/>
  <c r="AM237" i="30301"/>
  <c r="AL243" i="30301"/>
  <c r="AL323" i="30301"/>
  <c r="AK329" i="30301"/>
  <c r="F316" i="30301"/>
  <c r="N64" i="30308" s="1"/>
  <c r="AA256" i="30301"/>
  <c r="AA257" i="30301" s="1"/>
  <c r="Z242" i="30301"/>
  <c r="AA240" i="30301"/>
  <c r="AA328" i="30301"/>
  <c r="AA335" i="30301"/>
  <c r="M311" i="30301"/>
  <c r="Z315" i="30301"/>
  <c r="Z301" i="30301"/>
  <c r="Z322" i="30301"/>
  <c r="Y308" i="30301"/>
  <c r="T314" i="30301"/>
  <c r="AW325" i="30301"/>
  <c r="K330" i="30301"/>
  <c r="K303" i="30301"/>
  <c r="AM246" i="30301"/>
  <c r="AM293" i="30301" s="1"/>
  <c r="AL240" i="30301"/>
  <c r="AL303" i="30301"/>
  <c r="AK237" i="30301"/>
  <c r="AK340" i="30301"/>
  <c r="F246" i="30301"/>
  <c r="F293" i="30301" s="1"/>
  <c r="F340" i="30301"/>
  <c r="Z259" i="30301"/>
  <c r="Z260" i="30301" s="1"/>
  <c r="AS243" i="30301"/>
  <c r="AS237" i="30301"/>
  <c r="AA301" i="30301"/>
  <c r="AA303" i="30301"/>
  <c r="AA332" i="30301"/>
  <c r="Z306" i="30301"/>
  <c r="Z302" i="30301"/>
  <c r="Z333" i="30301"/>
  <c r="AA248" i="30301"/>
  <c r="AB239" i="30301"/>
  <c r="K304" i="30301"/>
  <c r="K305" i="30301" s="1"/>
  <c r="X309" i="30301"/>
  <c r="AM324" i="30301"/>
  <c r="AL307" i="30301"/>
  <c r="F256" i="30301"/>
  <c r="F257" i="30301" s="1"/>
  <c r="F314" i="30301"/>
  <c r="Z255" i="30301"/>
  <c r="Z230" i="30301"/>
  <c r="AA315" i="30301"/>
  <c r="AA304" i="30301"/>
  <c r="AA305" i="30301" s="1"/>
  <c r="AA334" i="30301"/>
  <c r="Z314" i="30301"/>
  <c r="Z331" i="30301"/>
  <c r="Z337" i="30301"/>
  <c r="K245" i="30301"/>
  <c r="AB242" i="30301"/>
  <c r="K308" i="30301"/>
  <c r="K328" i="30301"/>
  <c r="D306" i="30301"/>
  <c r="AM321" i="30301"/>
  <c r="AL249" i="30301"/>
  <c r="AK315" i="30301"/>
  <c r="AK249" i="30301"/>
  <c r="AK339" i="30301"/>
  <c r="F306" i="30301"/>
  <c r="F315" i="30301"/>
  <c r="E329" i="30301"/>
  <c r="AA230" i="30301"/>
  <c r="Z316" i="30301"/>
  <c r="M67" i="30308" s="1"/>
  <c r="AA336" i="30301"/>
  <c r="Z338" i="30301"/>
  <c r="AA238" i="30301"/>
  <c r="Z254" i="30301"/>
  <c r="AM325" i="30301"/>
  <c r="AL337" i="30301"/>
  <c r="AK254" i="30301"/>
  <c r="F303" i="30301"/>
  <c r="F322" i="30301"/>
  <c r="AA246" i="30301"/>
  <c r="AA293" i="30301" s="1"/>
  <c r="AA316" i="30301"/>
  <c r="N67" i="30308" s="1"/>
  <c r="AA322" i="30301"/>
  <c r="Z304" i="30301"/>
  <c r="Z305" i="30301" s="1"/>
  <c r="Z323" i="30301"/>
  <c r="Z330" i="30301"/>
  <c r="AA306" i="30301"/>
  <c r="AA331" i="30301"/>
  <c r="AA338" i="30301"/>
  <c r="Z243" i="30301"/>
  <c r="Z328" i="30301"/>
  <c r="Z340" i="30301"/>
  <c r="Z329" i="30301"/>
  <c r="Y306" i="30301"/>
  <c r="Y332" i="30301"/>
  <c r="D259" i="30301"/>
  <c r="D260" i="30301" s="1"/>
  <c r="X311" i="30301"/>
  <c r="K310" i="30301"/>
  <c r="K322" i="30301"/>
  <c r="F239" i="30301"/>
  <c r="J304" i="30301"/>
  <c r="J305" i="30301" s="1"/>
  <c r="AK256" i="30301"/>
  <c r="AK257" i="30301" s="1"/>
  <c r="AK312" i="30301" s="1"/>
  <c r="AK313" i="30301" s="1"/>
  <c r="F249" i="30301"/>
  <c r="F328" i="30301"/>
  <c r="AU319" i="30301"/>
  <c r="AG316" i="30301"/>
  <c r="M68" i="30308" s="1"/>
  <c r="E242" i="30301"/>
  <c r="E308" i="30301"/>
  <c r="Y2" i="30301"/>
  <c r="Z244" i="30301"/>
  <c r="L239" i="30301"/>
  <c r="L237" i="30301"/>
  <c r="AS240" i="30301"/>
  <c r="AV2" i="30301"/>
  <c r="AM244" i="30301"/>
  <c r="AM335" i="30301"/>
  <c r="C301" i="30301"/>
  <c r="AF339" i="30301"/>
  <c r="I2" i="30301"/>
  <c r="AU239" i="30301"/>
  <c r="AU248" i="30301"/>
  <c r="AU321" i="30301"/>
  <c r="S335" i="30301"/>
  <c r="C239" i="30301"/>
  <c r="T241" i="30301"/>
  <c r="T336" i="30301"/>
  <c r="AV242" i="30301"/>
  <c r="AV314" i="30301"/>
  <c r="AV329" i="30301"/>
  <c r="I320" i="30301"/>
  <c r="D230" i="30301"/>
  <c r="AT334" i="30301"/>
  <c r="AS311" i="30301"/>
  <c r="AM243" i="30301"/>
  <c r="AM245" i="30301"/>
  <c r="AM337" i="30301"/>
  <c r="AM249" i="30301"/>
  <c r="C237" i="30301"/>
  <c r="G301" i="30301"/>
  <c r="AF331" i="30301"/>
  <c r="AU247" i="30301"/>
  <c r="AU254" i="30301"/>
  <c r="AG249" i="30301"/>
  <c r="AG242" i="30301"/>
  <c r="AG307" i="30301"/>
  <c r="AG309" i="30301" s="1"/>
  <c r="S242" i="30301"/>
  <c r="S244" i="30301"/>
  <c r="C230" i="30301"/>
  <c r="I322" i="30301"/>
  <c r="M309" i="30301"/>
  <c r="C328" i="30301"/>
  <c r="C316" i="30301"/>
  <c r="K64" i="30308" s="1"/>
  <c r="C256" i="30301"/>
  <c r="C257" i="30301" s="1"/>
  <c r="C312" i="30301" s="1"/>
  <c r="C313" i="30301" s="1"/>
  <c r="Y259" i="30301"/>
  <c r="Y260" i="30301" s="1"/>
  <c r="Y321" i="30301"/>
  <c r="Y320" i="30301"/>
  <c r="AB249" i="30301"/>
  <c r="T238" i="30301"/>
  <c r="T245" i="30301"/>
  <c r="T316" i="30301"/>
  <c r="N66" i="30308" s="1"/>
  <c r="T329" i="30301"/>
  <c r="AV247" i="30301"/>
  <c r="AV321" i="30301"/>
  <c r="AV336" i="30301"/>
  <c r="G242" i="30301"/>
  <c r="K331" i="30301"/>
  <c r="I333" i="30301"/>
  <c r="D243" i="30301"/>
  <c r="AT238" i="30301"/>
  <c r="J333" i="30301"/>
  <c r="AM304" i="30301"/>
  <c r="AM305" i="30301" s="1"/>
  <c r="AM303" i="30301"/>
  <c r="AM339" i="30301"/>
  <c r="AM239" i="30301"/>
  <c r="AL333" i="30301"/>
  <c r="AL308" i="30301"/>
  <c r="AL301" i="30301"/>
  <c r="G316" i="30301"/>
  <c r="O64" i="30308" s="1"/>
  <c r="AF340" i="30301"/>
  <c r="AU249" i="30301"/>
  <c r="AU259" i="30301"/>
  <c r="AU260" i="30301" s="1"/>
  <c r="AG245" i="30301"/>
  <c r="AG340" i="30301"/>
  <c r="AG336" i="30301"/>
  <c r="S332" i="30301"/>
  <c r="S248" i="30301"/>
  <c r="E330" i="30301"/>
  <c r="E338" i="30301"/>
  <c r="AR262" i="30301"/>
  <c r="AE311" i="30301"/>
  <c r="T321" i="30301"/>
  <c r="T256" i="30301"/>
  <c r="T257" i="30301" s="1"/>
  <c r="T312" i="30301" s="1"/>
  <c r="AO309" i="30301"/>
  <c r="AV256" i="30301"/>
  <c r="AV257" i="30301" s="1"/>
  <c r="AV304" i="30301"/>
  <c r="AV305" i="30301" s="1"/>
  <c r="AV338" i="30301"/>
  <c r="I248" i="30301"/>
  <c r="D244" i="30301"/>
  <c r="AT245" i="30301"/>
  <c r="AM333" i="30301"/>
  <c r="AM301" i="30301"/>
  <c r="AM308" i="30301"/>
  <c r="G333" i="30301"/>
  <c r="AF337" i="30301"/>
  <c r="T246" i="30301"/>
  <c r="AU329" i="30301"/>
  <c r="AU325" i="30301"/>
  <c r="S328" i="30301"/>
  <c r="S319" i="30301"/>
  <c r="AV320" i="30301"/>
  <c r="AA237" i="30301"/>
  <c r="AA239" i="30301"/>
  <c r="D320" i="30301"/>
  <c r="S330" i="30301"/>
  <c r="C238" i="30301"/>
  <c r="C331" i="30301"/>
  <c r="C323" i="30301"/>
  <c r="Y241" i="30301"/>
  <c r="Y323" i="30301"/>
  <c r="Y338" i="30301"/>
  <c r="AB308" i="30301"/>
  <c r="T334" i="30301"/>
  <c r="AV244" i="30301"/>
  <c r="AV259" i="30301"/>
  <c r="AV260" i="30301" s="1"/>
  <c r="AV323" i="30301"/>
  <c r="K240" i="30301"/>
  <c r="I315" i="30301"/>
  <c r="D330" i="30301"/>
  <c r="AT320" i="30301"/>
  <c r="J259" i="30301"/>
  <c r="J260" i="30301" s="1"/>
  <c r="J328" i="30301"/>
  <c r="AM240" i="30301"/>
  <c r="AM334" i="30301"/>
  <c r="AM320" i="30301"/>
  <c r="C247" i="30301"/>
  <c r="AL255" i="30301"/>
  <c r="AL339" i="30301"/>
  <c r="AL315" i="30301"/>
  <c r="AW310" i="30301"/>
  <c r="F254" i="30301"/>
  <c r="F261" i="30301" s="1"/>
  <c r="I244" i="30301"/>
  <c r="AU253" i="30301"/>
  <c r="AU317" i="30301" s="1"/>
  <c r="AU306" i="30301"/>
  <c r="AG247" i="30301"/>
  <c r="AG301" i="30301"/>
  <c r="AG334" i="30301"/>
  <c r="S241" i="30301"/>
  <c r="S310" i="30301"/>
  <c r="E240" i="30301"/>
  <c r="E324" i="30301"/>
  <c r="E322" i="30301"/>
  <c r="AA242" i="30301"/>
  <c r="AA320" i="30301"/>
  <c r="C259" i="30301"/>
  <c r="C260" i="30301" s="1"/>
  <c r="I338" i="30301"/>
  <c r="AU338" i="30301"/>
  <c r="S239" i="30301"/>
  <c r="AD311" i="30301"/>
  <c r="R353" i="30301"/>
  <c r="D66" i="30308" s="1"/>
  <c r="K66" i="30308"/>
  <c r="C243" i="30301"/>
  <c r="C334" i="30301"/>
  <c r="C329" i="30301"/>
  <c r="P311" i="30301"/>
  <c r="Y310" i="30301"/>
  <c r="Y315" i="30301"/>
  <c r="Y340" i="30301"/>
  <c r="AB334" i="30301"/>
  <c r="T248" i="30301"/>
  <c r="T303" i="30301"/>
  <c r="AV248" i="30301"/>
  <c r="AV308" i="30301"/>
  <c r="AV331" i="30301"/>
  <c r="AM302" i="30301"/>
  <c r="I325" i="30301"/>
  <c r="D333" i="30301"/>
  <c r="AT307" i="30301"/>
  <c r="AM256" i="30301"/>
  <c r="AM257" i="30301" s="1"/>
  <c r="AM330" i="30301"/>
  <c r="AM322" i="30301"/>
  <c r="C253" i="30301"/>
  <c r="C317" i="30301" s="1"/>
  <c r="AL336" i="30301"/>
  <c r="AL320" i="30301"/>
  <c r="AV240" i="30301"/>
  <c r="AM248" i="30301"/>
  <c r="AU314" i="30301"/>
  <c r="AU256" i="30301"/>
  <c r="AU257" i="30301" s="1"/>
  <c r="AU312" i="30301" s="1"/>
  <c r="AU330" i="30301"/>
  <c r="AG241" i="30301"/>
  <c r="AG244" i="30301"/>
  <c r="AG321" i="30301"/>
  <c r="S337" i="30301"/>
  <c r="C246" i="30301"/>
  <c r="AO353" i="30301"/>
  <c r="F69" i="30308" s="1"/>
  <c r="M69" i="30308"/>
  <c r="C244" i="30301"/>
  <c r="C335" i="30301"/>
  <c r="C340" i="30301"/>
  <c r="T247" i="30301"/>
  <c r="Y243" i="30301"/>
  <c r="Y316" i="30301"/>
  <c r="Y353" i="30301" s="1"/>
  <c r="D67" i="30308" s="1"/>
  <c r="Y334" i="30301"/>
  <c r="AB332" i="30301"/>
  <c r="T249" i="30301"/>
  <c r="T340" i="30301"/>
  <c r="AV315" i="30301"/>
  <c r="AV306" i="30301"/>
  <c r="AV333" i="30301"/>
  <c r="I329" i="30301"/>
  <c r="D319" i="30301"/>
  <c r="AT304" i="30301"/>
  <c r="AT305" i="30301" s="1"/>
  <c r="J2" i="30301"/>
  <c r="J339" i="30301"/>
  <c r="AM323" i="30301"/>
  <c r="AM340" i="30301"/>
  <c r="AM328" i="30301"/>
  <c r="C248" i="30301"/>
  <c r="AL230" i="30301"/>
  <c r="AL306" i="30301"/>
  <c r="AL322" i="30301"/>
  <c r="AF244" i="30301"/>
  <c r="AU237" i="30301"/>
  <c r="AU301" i="30301"/>
  <c r="AU331" i="30301"/>
  <c r="AG323" i="30301"/>
  <c r="S249" i="30301"/>
  <c r="S340" i="30301"/>
  <c r="AA247" i="30301"/>
  <c r="AE2" i="30301"/>
  <c r="AE309" i="30301"/>
  <c r="C255" i="30301"/>
  <c r="C302" i="30301"/>
  <c r="C330" i="30301"/>
  <c r="AB306" i="30301"/>
  <c r="T244" i="30301"/>
  <c r="T324" i="30301"/>
  <c r="AV246" i="30301"/>
  <c r="AV255" i="30301"/>
  <c r="AV307" i="30301"/>
  <c r="AV335" i="30301"/>
  <c r="I302" i="30301"/>
  <c r="D247" i="30301"/>
  <c r="D323" i="30301"/>
  <c r="AT330" i="30301"/>
  <c r="AN311" i="30301"/>
  <c r="AM247" i="30301"/>
  <c r="AM315" i="30301"/>
  <c r="C241" i="30301"/>
  <c r="AL246" i="30301"/>
  <c r="AL293" i="30301" s="1"/>
  <c r="AL338" i="30301"/>
  <c r="G238" i="30301"/>
  <c r="AF254" i="30301"/>
  <c r="AV241" i="30301"/>
  <c r="AU316" i="30301"/>
  <c r="M70" i="30308" s="1"/>
  <c r="AU303" i="30301"/>
  <c r="AU335" i="30301"/>
  <c r="AG248" i="30301"/>
  <c r="AG330" i="30301"/>
  <c r="S256" i="30301"/>
  <c r="S257" i="30301" s="1"/>
  <c r="C322" i="30301"/>
  <c r="C304" i="30301"/>
  <c r="C305" i="30301" s="1"/>
  <c r="C338" i="30301"/>
  <c r="Y330" i="30301"/>
  <c r="Y335" i="30301"/>
  <c r="Y324" i="30301"/>
  <c r="AB333" i="30301"/>
  <c r="T304" i="30301"/>
  <c r="T305" i="30301" s="1"/>
  <c r="T310" i="30301"/>
  <c r="AV243" i="30301"/>
  <c r="AV238" i="30301"/>
  <c r="AV334" i="30301"/>
  <c r="AV337" i="30301"/>
  <c r="C242" i="30301"/>
  <c r="I321" i="30301"/>
  <c r="I330" i="30301"/>
  <c r="D253" i="30301"/>
  <c r="D317" i="30301" s="1"/>
  <c r="D329" i="30301"/>
  <c r="AT338" i="30301"/>
  <c r="AU2" i="30301"/>
  <c r="J340" i="30301"/>
  <c r="J303" i="30301"/>
  <c r="AM259" i="30301"/>
  <c r="AM260" i="30301" s="1"/>
  <c r="AM316" i="30301"/>
  <c r="L69" i="30308" s="1"/>
  <c r="AV319" i="30301"/>
  <c r="C254" i="30301"/>
  <c r="AL256" i="30301"/>
  <c r="AL257" i="30301" s="1"/>
  <c r="AU320" i="30301"/>
  <c r="AU323" i="30301"/>
  <c r="AG254" i="30301"/>
  <c r="AG331" i="30301"/>
  <c r="S306" i="30301"/>
  <c r="C303" i="30301"/>
  <c r="AR309" i="30301"/>
  <c r="C307" i="30301"/>
  <c r="C306" i="30301"/>
  <c r="C333" i="30301"/>
  <c r="AB337" i="30301"/>
  <c r="T307" i="30301"/>
  <c r="T332" i="30301"/>
  <c r="AV254" i="30301"/>
  <c r="AV261" i="30301" s="1"/>
  <c r="AV324" i="30301"/>
  <c r="AV339" i="30301"/>
  <c r="AV245" i="30301"/>
  <c r="AV300" i="30301" s="1"/>
  <c r="I319" i="30301"/>
  <c r="R311" i="30301"/>
  <c r="AM241" i="30301"/>
  <c r="AM319" i="30301"/>
  <c r="C240" i="30301"/>
  <c r="AF316" i="30301"/>
  <c r="AU243" i="30301"/>
  <c r="AU304" i="30301"/>
  <c r="AU305" i="30301" s="1"/>
  <c r="AU337" i="30301"/>
  <c r="S322" i="30301"/>
  <c r="AE241" i="30301"/>
  <c r="AW259" i="30301"/>
  <c r="AW260" i="30301" s="1"/>
  <c r="AW262" i="30301" s="1"/>
  <c r="AW306" i="30301"/>
  <c r="AW308" i="30301"/>
  <c r="AW338" i="30301"/>
  <c r="AW330" i="30301"/>
  <c r="AW244" i="30301"/>
  <c r="AW340" i="30301"/>
  <c r="AW230" i="30301"/>
  <c r="AP306" i="30301"/>
  <c r="AP315" i="30301"/>
  <c r="AP244" i="30301"/>
  <c r="AP337" i="30301"/>
  <c r="AP308" i="30301"/>
  <c r="AP254" i="30301"/>
  <c r="AP304" i="30301"/>
  <c r="AP305" i="30301" s="1"/>
  <c r="AP320" i="30301"/>
  <c r="AP325" i="30301"/>
  <c r="AP339" i="30301"/>
  <c r="AP230" i="30301"/>
  <c r="AI324" i="30301"/>
  <c r="AI246" i="30301"/>
  <c r="AI293" i="30301" s="1"/>
  <c r="AI244" i="30301"/>
  <c r="AI301" i="30301"/>
  <c r="AI302" i="30301"/>
  <c r="AI230" i="30301"/>
  <c r="AB230" i="30301"/>
  <c r="U230" i="30301"/>
  <c r="N230" i="30301"/>
  <c r="AB333" i="30312"/>
  <c r="AB310" i="30312"/>
  <c r="AB230" i="30312"/>
  <c r="N230" i="30312"/>
  <c r="AW230" i="30311"/>
  <c r="AW245" i="30311"/>
  <c r="AW324" i="30311"/>
  <c r="AP353" i="30311"/>
  <c r="G49" i="30308" s="1"/>
  <c r="O49" i="30308"/>
  <c r="AP328" i="30311"/>
  <c r="AP245" i="30311"/>
  <c r="AP249" i="30311"/>
  <c r="AP301" i="30311"/>
  <c r="AP240" i="30311"/>
  <c r="AP230" i="30311"/>
  <c r="AI306" i="30311"/>
  <c r="AI308" i="30311"/>
  <c r="AI310" i="30311"/>
  <c r="AI242" i="30311"/>
  <c r="AI320" i="30311"/>
  <c r="AI339" i="30311"/>
  <c r="AI324" i="30311"/>
  <c r="AI338" i="30311"/>
  <c r="AI254" i="30311"/>
  <c r="AI261" i="30311" s="1"/>
  <c r="AI325" i="30311"/>
  <c r="AI237" i="30311"/>
  <c r="AI302" i="30311"/>
  <c r="AI329" i="30311"/>
  <c r="AI230" i="30311"/>
  <c r="AB321" i="30311"/>
  <c r="AB301" i="30311"/>
  <c r="AB325" i="30311"/>
  <c r="AB244" i="30311"/>
  <c r="AB339" i="30311"/>
  <c r="AB243" i="30311"/>
  <c r="AB340" i="30311"/>
  <c r="U328" i="30311"/>
  <c r="U324" i="30311"/>
  <c r="U323" i="30311"/>
  <c r="U256" i="30311"/>
  <c r="U257" i="30311" s="1"/>
  <c r="U312" i="30311" s="1"/>
  <c r="U313" i="30311" s="1"/>
  <c r="U322" i="30311"/>
  <c r="U253" i="30311"/>
  <c r="U317" i="30311" s="1"/>
  <c r="U333" i="30311"/>
  <c r="U325" i="30311"/>
  <c r="U248" i="30311"/>
  <c r="U237" i="30311"/>
  <c r="U331" i="30311"/>
  <c r="U340" i="30311"/>
  <c r="U310" i="30311"/>
  <c r="U242" i="30311"/>
  <c r="U239" i="30311"/>
  <c r="U315" i="30311"/>
  <c r="U307" i="30311"/>
  <c r="U230" i="30311"/>
  <c r="U238" i="30311"/>
  <c r="U241" i="30311"/>
  <c r="U330" i="30311"/>
  <c r="U244" i="30311"/>
  <c r="N337" i="30311"/>
  <c r="N319" i="30311"/>
  <c r="N332" i="30311"/>
  <c r="N323" i="30311"/>
  <c r="N245" i="30311"/>
  <c r="N325" i="30311"/>
  <c r="N239" i="30311"/>
  <c r="N259" i="30311"/>
  <c r="N260" i="30311" s="1"/>
  <c r="N330" i="30311"/>
  <c r="N230" i="30311"/>
  <c r="N304" i="30298"/>
  <c r="N305" i="30298" s="1"/>
  <c r="AP297" i="30298"/>
  <c r="AP7" i="30298" s="1"/>
  <c r="C261" i="30298"/>
  <c r="C262" i="30298"/>
  <c r="N321" i="30298"/>
  <c r="AK127" i="30298"/>
  <c r="N335" i="30298"/>
  <c r="F311" i="30298"/>
  <c r="D309" i="30298"/>
  <c r="N329" i="30298"/>
  <c r="B308" i="30298"/>
  <c r="B240" i="30298"/>
  <c r="N330" i="30298"/>
  <c r="N241" i="30298"/>
  <c r="N247" i="30298"/>
  <c r="D258" i="30298"/>
  <c r="D312" i="30298"/>
  <c r="D313" i="30298" s="1"/>
  <c r="F312" i="30298"/>
  <c r="F313" i="30298" s="1"/>
  <c r="F258" i="30298"/>
  <c r="N243" i="30298"/>
  <c r="B330" i="30298"/>
  <c r="N245" i="30298"/>
  <c r="B332" i="30298"/>
  <c r="C333" i="30298"/>
  <c r="N338" i="30298"/>
  <c r="B255" i="30298"/>
  <c r="B244" i="30298"/>
  <c r="B259" i="30298"/>
  <c r="B260" i="30298" s="1"/>
  <c r="B334" i="30298"/>
  <c r="C306" i="30298"/>
  <c r="C309" i="30298" s="1"/>
  <c r="C241" i="30298"/>
  <c r="C338" i="30298"/>
  <c r="D262" i="30298"/>
  <c r="D261" i="30298"/>
  <c r="N256" i="30298"/>
  <c r="N257" i="30298" s="1"/>
  <c r="N239" i="30298"/>
  <c r="N255" i="30298"/>
  <c r="N253" i="30298"/>
  <c r="B249" i="30298"/>
  <c r="U255" i="30298"/>
  <c r="B241" i="30298"/>
  <c r="F317" i="30298"/>
  <c r="B242" i="30298"/>
  <c r="C325" i="30298"/>
  <c r="C239" i="30298"/>
  <c r="C316" i="30298"/>
  <c r="D353" i="30298" s="1"/>
  <c r="D74" i="30308" s="1"/>
  <c r="F299" i="30298"/>
  <c r="F283" i="30298"/>
  <c r="N249" i="30298"/>
  <c r="E283" i="30298"/>
  <c r="B324" i="30298"/>
  <c r="B246" i="30298"/>
  <c r="B314" i="30298"/>
  <c r="B336" i="30298"/>
  <c r="C303" i="30298"/>
  <c r="C314" i="30298"/>
  <c r="C243" i="30298"/>
  <c r="E293" i="30298"/>
  <c r="C283" i="30298"/>
  <c r="N314" i="30298"/>
  <c r="N306" i="30298"/>
  <c r="N303" i="30298"/>
  <c r="N332" i="30298"/>
  <c r="C293" i="30298"/>
  <c r="E258" i="30298"/>
  <c r="E312" i="30298"/>
  <c r="E313" i="30298" s="1"/>
  <c r="F298" i="30298"/>
  <c r="F300" i="30298"/>
  <c r="D317" i="30298"/>
  <c r="N320" i="30298"/>
  <c r="C312" i="30298"/>
  <c r="C313" i="30298" s="1"/>
  <c r="C258" i="30298"/>
  <c r="N248" i="30298"/>
  <c r="N333" i="30298"/>
  <c r="N334" i="30298"/>
  <c r="D299" i="30298"/>
  <c r="D283" i="30298"/>
  <c r="C319" i="30298"/>
  <c r="C242" i="30298"/>
  <c r="C304" i="30298"/>
  <c r="C305" i="30298" s="1"/>
  <c r="B329" i="30298"/>
  <c r="C329" i="30298"/>
  <c r="C307" i="30298"/>
  <c r="U8" i="30298"/>
  <c r="U303" i="30298" s="1"/>
  <c r="N238" i="30298"/>
  <c r="N301" i="30298"/>
  <c r="F353" i="30298"/>
  <c r="F74" i="30308" s="1"/>
  <c r="C337" i="30298"/>
  <c r="E298" i="30298"/>
  <c r="C238" i="30298"/>
  <c r="C340" i="30298"/>
  <c r="C249" i="30298"/>
  <c r="C320" i="30298"/>
  <c r="N246" i="30298"/>
  <c r="N244" i="30298"/>
  <c r="N316" i="30298"/>
  <c r="N325" i="30298"/>
  <c r="G298" i="30298"/>
  <c r="G300" i="30298"/>
  <c r="G317" i="30298"/>
  <c r="N323" i="30298"/>
  <c r="G299" i="30298"/>
  <c r="G293" i="30298"/>
  <c r="AI339" i="30298"/>
  <c r="AI337" i="30298"/>
  <c r="AI335" i="30298"/>
  <c r="AI333" i="30298"/>
  <c r="AI338" i="30298"/>
  <c r="AI334" i="30298"/>
  <c r="AI321" i="30298"/>
  <c r="AI303" i="30298"/>
  <c r="AI301" i="30298"/>
  <c r="AI336" i="30298"/>
  <c r="AI329" i="30298"/>
  <c r="AI306" i="30298"/>
  <c r="AI304" i="30298"/>
  <c r="AI305" i="30298" s="1"/>
  <c r="AI332" i="30298"/>
  <c r="AI323" i="30298"/>
  <c r="AI320" i="30298"/>
  <c r="AI308" i="30298"/>
  <c r="AI307" i="30298"/>
  <c r="AI322" i="30298"/>
  <c r="AI310" i="30298"/>
  <c r="AI239" i="30298"/>
  <c r="AP1" i="30298"/>
  <c r="AI253" i="30298"/>
  <c r="AI248" i="30298"/>
  <c r="AI331" i="30298"/>
  <c r="AI316" i="30298"/>
  <c r="AI247" i="30298"/>
  <c r="AI245" i="30298"/>
  <c r="AI324" i="30298"/>
  <c r="AI249" i="30298"/>
  <c r="AI240" i="30298"/>
  <c r="AI237" i="30298"/>
  <c r="AI230" i="30298"/>
  <c r="AI340" i="30298"/>
  <c r="AI315" i="30298"/>
  <c r="AI255" i="30298"/>
  <c r="AI246" i="30298"/>
  <c r="AI244" i="30298"/>
  <c r="AI242" i="30298"/>
  <c r="AI314" i="30298"/>
  <c r="AI254" i="30298"/>
  <c r="AI319" i="30298"/>
  <c r="AI328" i="30298"/>
  <c r="AI330" i="30298"/>
  <c r="AI243" i="30298"/>
  <c r="AI241" i="30298"/>
  <c r="AI256" i="30298"/>
  <c r="AI257" i="30298" s="1"/>
  <c r="AI259" i="30298"/>
  <c r="AI260" i="30298" s="1"/>
  <c r="AI325" i="30298"/>
  <c r="AI302" i="30298"/>
  <c r="AI238" i="30298"/>
  <c r="B253" i="30298"/>
  <c r="B243" i="30298"/>
  <c r="B256" i="30298"/>
  <c r="B257" i="30298" s="1"/>
  <c r="B247" i="30298"/>
  <c r="B239" i="30298"/>
  <c r="B339" i="30298"/>
  <c r="B301" i="30298"/>
  <c r="B245" i="30298"/>
  <c r="B316" i="30298"/>
  <c r="N339" i="30298"/>
  <c r="D300" i="30298"/>
  <c r="G312" i="30298"/>
  <c r="G313" i="30298" s="1"/>
  <c r="G258" i="30298"/>
  <c r="B237" i="30298"/>
  <c r="N331" i="30298"/>
  <c r="N328" i="30298"/>
  <c r="G262" i="30298"/>
  <c r="G261" i="30298"/>
  <c r="B254" i="30298"/>
  <c r="B337" i="30298"/>
  <c r="C237" i="30298"/>
  <c r="C335" i="30298"/>
  <c r="D293" i="30298"/>
  <c r="N307" i="30298"/>
  <c r="N336" i="30298"/>
  <c r="B238" i="30298"/>
  <c r="B302" i="30298"/>
  <c r="B338" i="30298"/>
  <c r="D311" i="30298"/>
  <c r="C331" i="30298"/>
  <c r="C245" i="30298"/>
  <c r="N254" i="30298"/>
  <c r="F262" i="30298"/>
  <c r="F261" i="30298"/>
  <c r="N315" i="30298"/>
  <c r="N242" i="30298"/>
  <c r="N2" i="30298"/>
  <c r="B303" i="30298"/>
  <c r="B306" i="30298"/>
  <c r="B340" i="30298"/>
  <c r="C310" i="30298"/>
  <c r="C247" i="30298"/>
  <c r="C315" i="30298"/>
  <c r="N230" i="30298"/>
  <c r="N237" i="30298"/>
  <c r="N310" i="30298"/>
  <c r="N319" i="30298"/>
  <c r="E311" i="30298"/>
  <c r="B315" i="30298"/>
  <c r="B304" i="30298"/>
  <c r="B305" i="30298" s="1"/>
  <c r="B323" i="30298"/>
  <c r="AW8" i="30298"/>
  <c r="AW303" i="30298" s="1"/>
  <c r="E261" i="30298"/>
  <c r="E262" i="30298"/>
  <c r="E317" i="30298"/>
  <c r="B248" i="30298"/>
  <c r="B320" i="30298"/>
  <c r="B331" i="30298"/>
  <c r="AF126" i="30298"/>
  <c r="C323" i="30298"/>
  <c r="C302" i="30298"/>
  <c r="C253" i="30298"/>
  <c r="C322" i="30298"/>
  <c r="AB297" i="30298"/>
  <c r="AB7" i="30298" s="1"/>
  <c r="AB1" i="30298" s="1"/>
  <c r="AP8" i="30298"/>
  <c r="AP321" i="30298" s="1"/>
  <c r="N259" i="30298"/>
  <c r="N260" i="30298" s="1"/>
  <c r="N322" i="30298"/>
  <c r="N324" i="30298"/>
  <c r="N302" i="30298"/>
  <c r="G309" i="30298"/>
  <c r="AW328" i="30301"/>
  <c r="AW337" i="30301"/>
  <c r="AW253" i="30301"/>
  <c r="AW317" i="30301" s="1"/>
  <c r="AW315" i="30301"/>
  <c r="AW324" i="30301"/>
  <c r="AW339" i="30301"/>
  <c r="AW246" i="30301"/>
  <c r="AW283" i="30301" s="1"/>
  <c r="AW245" i="30301"/>
  <c r="AW302" i="30301"/>
  <c r="AW331" i="30301"/>
  <c r="AW255" i="30301"/>
  <c r="AW334" i="30301"/>
  <c r="AW329" i="30301"/>
  <c r="AW239" i="30301"/>
  <c r="AW333" i="30301"/>
  <c r="AW256" i="30301"/>
  <c r="AW257" i="30301" s="1"/>
  <c r="AW242" i="30301"/>
  <c r="AW319" i="30301"/>
  <c r="AW332" i="30301"/>
  <c r="AW247" i="30301"/>
  <c r="AW314" i="30301"/>
  <c r="AW335" i="30301"/>
  <c r="AW241" i="30301"/>
  <c r="AW320" i="30301"/>
  <c r="AW248" i="30301"/>
  <c r="AW321" i="30301"/>
  <c r="AW336" i="30301"/>
  <c r="AP303" i="30301"/>
  <c r="AP322" i="30301"/>
  <c r="AP243" i="30301"/>
  <c r="AP237" i="30301"/>
  <c r="AP302" i="30301"/>
  <c r="AP329" i="30301"/>
  <c r="AP332" i="30301"/>
  <c r="AP307" i="30301"/>
  <c r="AP253" i="30301"/>
  <c r="AP317" i="30301" s="1"/>
  <c r="AP333" i="30301"/>
  <c r="AI259" i="30301"/>
  <c r="AI260" i="30301" s="1"/>
  <c r="AI310" i="30301"/>
  <c r="AI245" i="30301"/>
  <c r="AI329" i="30301"/>
  <c r="AB328" i="30301"/>
  <c r="AB248" i="30301"/>
  <c r="AB238" i="30301"/>
  <c r="AB314" i="30301"/>
  <c r="AB302" i="30301"/>
  <c r="U325" i="30301"/>
  <c r="U301" i="30301"/>
  <c r="U323" i="30301"/>
  <c r="U329" i="30301"/>
  <c r="U246" i="30301"/>
  <c r="U299" i="30301" s="1"/>
  <c r="U245" i="30301"/>
  <c r="U332" i="30301"/>
  <c r="U241" i="30301"/>
  <c r="U314" i="30301"/>
  <c r="U337" i="30301"/>
  <c r="U248" i="30301"/>
  <c r="U242" i="30301"/>
  <c r="U339" i="30301"/>
  <c r="U259" i="30301"/>
  <c r="U260" i="30301" s="1"/>
  <c r="U244" i="30301"/>
  <c r="U324" i="30301"/>
  <c r="U307" i="30301"/>
  <c r="U334" i="30301"/>
  <c r="U322" i="30301"/>
  <c r="U319" i="30301"/>
  <c r="U240" i="30301"/>
  <c r="U302" i="30301"/>
  <c r="U330" i="30301"/>
  <c r="U335" i="30301"/>
  <c r="U315" i="30301"/>
  <c r="U243" i="30301"/>
  <c r="U238" i="30301"/>
  <c r="U320" i="30301"/>
  <c r="U328" i="30301"/>
  <c r="U256" i="30301"/>
  <c r="U257" i="30301" s="1"/>
  <c r="U312" i="30301" s="1"/>
  <c r="U306" i="30301"/>
  <c r="U336" i="30301"/>
  <c r="U310" i="30301"/>
  <c r="U331" i="30301"/>
  <c r="N242" i="30301"/>
  <c r="N333" i="30301"/>
  <c r="N336" i="30301"/>
  <c r="N246" i="30301"/>
  <c r="N293" i="30301" s="1"/>
  <c r="N307" i="30301"/>
  <c r="N338" i="30301"/>
  <c r="N329" i="30301"/>
  <c r="N302" i="30301"/>
  <c r="N244" i="30301"/>
  <c r="N339" i="30301"/>
  <c r="N254" i="30301"/>
  <c r="N323" i="30301"/>
  <c r="N334" i="30301"/>
  <c r="N303" i="30301"/>
  <c r="N337" i="30301"/>
  <c r="N321" i="30301"/>
  <c r="N324" i="30301"/>
  <c r="N243" i="30301"/>
  <c r="N259" i="30301"/>
  <c r="N260" i="30301" s="1"/>
  <c r="N322" i="30301"/>
  <c r="N328" i="30301"/>
  <c r="N256" i="30301"/>
  <c r="N257" i="30301" s="1"/>
  <c r="N312" i="30301" s="1"/>
  <c r="N330" i="30301"/>
  <c r="N340" i="30301"/>
  <c r="N247" i="30301"/>
  <c r="N239" i="30301"/>
  <c r="N325" i="30301"/>
  <c r="N315" i="30301"/>
  <c r="N308" i="30301"/>
  <c r="N253" i="30301"/>
  <c r="N317" i="30301" s="1"/>
  <c r="N320" i="30301"/>
  <c r="AH230" i="30301"/>
  <c r="G299" i="30301"/>
  <c r="G293" i="30301"/>
  <c r="G283" i="30301"/>
  <c r="AD258" i="30301"/>
  <c r="AD312" i="30301"/>
  <c r="AD313" i="30301" s="1"/>
  <c r="M353" i="30301"/>
  <c r="F65" i="30308" s="1"/>
  <c r="Z317" i="30301"/>
  <c r="W298" i="30301"/>
  <c r="W300" i="30301"/>
  <c r="W262" i="30301"/>
  <c r="W261" i="30301"/>
  <c r="AH303" i="30301"/>
  <c r="K2" i="30301"/>
  <c r="D303" i="30301"/>
  <c r="D246" i="30301"/>
  <c r="D315" i="30301"/>
  <c r="D337" i="30301"/>
  <c r="D308" i="30301"/>
  <c r="D249" i="30301"/>
  <c r="D255" i="30301"/>
  <c r="D242" i="30301"/>
  <c r="D240" i="30301"/>
  <c r="D340" i="30301"/>
  <c r="D324" i="30301"/>
  <c r="D239" i="30301"/>
  <c r="D332" i="30301"/>
  <c r="D316" i="30301"/>
  <c r="D304" i="30301"/>
  <c r="D305" i="30301" s="1"/>
  <c r="D241" i="30301"/>
  <c r="D328" i="30301"/>
  <c r="D307" i="30301"/>
  <c r="D338" i="30301"/>
  <c r="D325" i="30301"/>
  <c r="D302" i="30301"/>
  <c r="D248" i="30301"/>
  <c r="D339" i="30301"/>
  <c r="D310" i="30301"/>
  <c r="D256" i="30301"/>
  <c r="D257" i="30301" s="1"/>
  <c r="D237" i="30301"/>
  <c r="D336" i="30301"/>
  <c r="D322" i="30301"/>
  <c r="D245" i="30301"/>
  <c r="D314" i="30301"/>
  <c r="D254" i="30301"/>
  <c r="D321" i="30301"/>
  <c r="D331" i="30301"/>
  <c r="D238" i="30301"/>
  <c r="D301" i="30301"/>
  <c r="AT237" i="30301"/>
  <c r="AT316" i="30301"/>
  <c r="AT324" i="30301"/>
  <c r="AT331" i="30301"/>
  <c r="AT255" i="30301"/>
  <c r="AT315" i="30301"/>
  <c r="AT306" i="30301"/>
  <c r="AT301" i="30301"/>
  <c r="AT322" i="30301"/>
  <c r="AT321" i="30301"/>
  <c r="AT310" i="30301"/>
  <c r="AT256" i="30301"/>
  <c r="AT257" i="30301" s="1"/>
  <c r="AT259" i="30301"/>
  <c r="AT260" i="30301" s="1"/>
  <c r="AT303" i="30301"/>
  <c r="AT319" i="30301"/>
  <c r="AT335" i="30301"/>
  <c r="AT239" i="30301"/>
  <c r="AT240" i="30301"/>
  <c r="AT323" i="30301"/>
  <c r="AT332" i="30301"/>
  <c r="AT254" i="30301"/>
  <c r="AT242" i="30301"/>
  <c r="AT244" i="30301"/>
  <c r="AT329" i="30301"/>
  <c r="AT253" i="30301"/>
  <c r="AT248" i="30301"/>
  <c r="AT325" i="30301"/>
  <c r="AT249" i="30301"/>
  <c r="AT308" i="30301"/>
  <c r="AT247" i="30301"/>
  <c r="AT336" i="30301"/>
  <c r="AT328" i="30301"/>
  <c r="AT314" i="30301"/>
  <c r="AT241" i="30301"/>
  <c r="AT230" i="30301"/>
  <c r="AT333" i="30301"/>
  <c r="N2" i="30301"/>
  <c r="G256" i="30301"/>
  <c r="G257" i="30301" s="1"/>
  <c r="G240" i="30301"/>
  <c r="G323" i="30301"/>
  <c r="G243" i="30301"/>
  <c r="G328" i="30301"/>
  <c r="G330" i="30301"/>
  <c r="G248" i="30301"/>
  <c r="G315" i="30301"/>
  <c r="G230" i="30301"/>
  <c r="G244" i="30301"/>
  <c r="G334" i="30301"/>
  <c r="G320" i="30301"/>
  <c r="G241" i="30301"/>
  <c r="G304" i="30301"/>
  <c r="G305" i="30301" s="1"/>
  <c r="G319" i="30301"/>
  <c r="G308" i="30301"/>
  <c r="G324" i="30301"/>
  <c r="G310" i="30301"/>
  <c r="G253" i="30301"/>
  <c r="G331" i="30301"/>
  <c r="G307" i="30301"/>
  <c r="G303" i="30301"/>
  <c r="G259" i="30301"/>
  <c r="G260" i="30301" s="1"/>
  <c r="G249" i="30301"/>
  <c r="G237" i="30301"/>
  <c r="G322" i="30301"/>
  <c r="G302" i="30301"/>
  <c r="G339" i="30301"/>
  <c r="G254" i="30301"/>
  <c r="G337" i="30301"/>
  <c r="G314" i="30301"/>
  <c r="G306" i="30301"/>
  <c r="G239" i="30301"/>
  <c r="G329" i="30301"/>
  <c r="G340" i="30301"/>
  <c r="G336" i="30301"/>
  <c r="G332" i="30301"/>
  <c r="G247" i="30301"/>
  <c r="G245" i="30301"/>
  <c r="AF242" i="30301"/>
  <c r="P258" i="30301"/>
  <c r="P312" i="30301"/>
  <c r="P313" i="30301" s="1"/>
  <c r="Z257" i="30301"/>
  <c r="Z311" i="30301"/>
  <c r="AH259" i="30301"/>
  <c r="AH260" i="30301" s="1"/>
  <c r="AH322" i="30301"/>
  <c r="W258" i="30301"/>
  <c r="W312" i="30301"/>
  <c r="W313" i="30301" s="1"/>
  <c r="Q300" i="30301"/>
  <c r="Q298" i="30301"/>
  <c r="G338" i="30301"/>
  <c r="AI238" i="30301"/>
  <c r="AP2" i="30301"/>
  <c r="AI241" i="30301"/>
  <c r="AI247" i="30301"/>
  <c r="AI253" i="30301"/>
  <c r="AI332" i="30301"/>
  <c r="AI319" i="30301"/>
  <c r="AI256" i="30301"/>
  <c r="AI257" i="30301" s="1"/>
  <c r="AI303" i="30301"/>
  <c r="AI337" i="30301"/>
  <c r="AI254" i="30301"/>
  <c r="AI338" i="30301"/>
  <c r="AI316" i="30301"/>
  <c r="O68" i="30308" s="1"/>
  <c r="AI243" i="30301"/>
  <c r="AI240" i="30301"/>
  <c r="AI331" i="30301"/>
  <c r="AI334" i="30301"/>
  <c r="AI315" i="30301"/>
  <c r="AI242" i="30301"/>
  <c r="AI314" i="30301"/>
  <c r="AI306" i="30301"/>
  <c r="AI237" i="30301"/>
  <c r="AI330" i="30301"/>
  <c r="AI322" i="30301"/>
  <c r="AI308" i="30301"/>
  <c r="AI328" i="30301"/>
  <c r="AI249" i="30301"/>
  <c r="AI339" i="30301"/>
  <c r="AI321" i="30301"/>
  <c r="AI248" i="30301"/>
  <c r="AI335" i="30301"/>
  <c r="AI255" i="30301"/>
  <c r="AI311" i="30301" s="1"/>
  <c r="AI325" i="30301"/>
  <c r="AI320" i="30301"/>
  <c r="AI333" i="30301"/>
  <c r="AI239" i="30301"/>
  <c r="AI307" i="30301"/>
  <c r="AI336" i="30301"/>
  <c r="T298" i="30301"/>
  <c r="AH336" i="30301"/>
  <c r="AH301" i="30301"/>
  <c r="AF325" i="30301"/>
  <c r="B262" i="30301"/>
  <c r="B261" i="30301"/>
  <c r="AO317" i="30301"/>
  <c r="T299" i="30301"/>
  <c r="T293" i="30301"/>
  <c r="T283" i="30301"/>
  <c r="AG298" i="30301"/>
  <c r="P293" i="30301"/>
  <c r="P299" i="30301"/>
  <c r="P283" i="30301"/>
  <c r="P298" i="30301"/>
  <c r="L317" i="30301"/>
  <c r="AR258" i="30301"/>
  <c r="AR312" i="30301"/>
  <c r="AR313" i="30301" s="1"/>
  <c r="AO262" i="30301"/>
  <c r="AO261" i="30301"/>
  <c r="AE299" i="30301"/>
  <c r="AE283" i="30301"/>
  <c r="AE298" i="30301"/>
  <c r="C353" i="30301"/>
  <c r="C64" i="30308" s="1"/>
  <c r="B353" i="30301"/>
  <c r="B64" i="30308" s="1"/>
  <c r="AD317" i="30301"/>
  <c r="AD300" i="30301"/>
  <c r="AH255" i="30301"/>
  <c r="W293" i="30301"/>
  <c r="AH302" i="30301"/>
  <c r="W283" i="30301"/>
  <c r="AH249" i="30301"/>
  <c r="R261" i="30301"/>
  <c r="AH237" i="30301"/>
  <c r="J312" i="30301"/>
  <c r="S312" i="30301"/>
  <c r="S313" i="30301" s="1"/>
  <c r="B258" i="30301"/>
  <c r="B312" i="30301"/>
  <c r="B313" i="30301" s="1"/>
  <c r="AD353" i="30301"/>
  <c r="B68" i="30308" s="1"/>
  <c r="K283" i="30301"/>
  <c r="K299" i="30301"/>
  <c r="AH308" i="30301"/>
  <c r="AH239" i="30301"/>
  <c r="AT246" i="30301"/>
  <c r="G335" i="30301"/>
  <c r="AI340" i="30301"/>
  <c r="AO2" i="30301"/>
  <c r="AH241" i="30301"/>
  <c r="AH243" i="30301"/>
  <c r="AH328" i="30301"/>
  <c r="AH324" i="30301"/>
  <c r="AH323" i="30301"/>
  <c r="AH335" i="30301"/>
  <c r="AH254" i="30301"/>
  <c r="AH331" i="30301"/>
  <c r="AH321" i="30301"/>
  <c r="AH247" i="30301"/>
  <c r="AH307" i="30301"/>
  <c r="AH320" i="30301"/>
  <c r="AH304" i="30301"/>
  <c r="AH305" i="30301" s="1"/>
  <c r="AH256" i="30301"/>
  <c r="AH257" i="30301" s="1"/>
  <c r="AH339" i="30301"/>
  <c r="AH310" i="30301"/>
  <c r="AH245" i="30301"/>
  <c r="AH253" i="30301"/>
  <c r="AH2" i="30301"/>
  <c r="AH337" i="30301"/>
  <c r="AH315" i="30301"/>
  <c r="AH340" i="30301"/>
  <c r="AH242" i="30301"/>
  <c r="AH314" i="30301"/>
  <c r="AH319" i="30301"/>
  <c r="AH248" i="30301"/>
  <c r="AH333" i="30301"/>
  <c r="AH325" i="30301"/>
  <c r="AH244" i="30301"/>
  <c r="AH316" i="30301"/>
  <c r="AH246" i="30301"/>
  <c r="AH334" i="30301"/>
  <c r="AH330" i="30301"/>
  <c r="AH238" i="30301"/>
  <c r="AH306" i="30301"/>
  <c r="AH338" i="30301"/>
  <c r="R298" i="30301"/>
  <c r="R300" i="30301"/>
  <c r="M299" i="30301"/>
  <c r="M293" i="30301"/>
  <c r="M298" i="30301"/>
  <c r="AB301" i="30301"/>
  <c r="AB256" i="30301"/>
  <c r="AB257" i="30301" s="1"/>
  <c r="AB243" i="30301"/>
  <c r="AB240" i="30301"/>
  <c r="AI2" i="30301"/>
  <c r="AB237" i="30301"/>
  <c r="AB246" i="30301"/>
  <c r="AB335" i="30301"/>
  <c r="AB323" i="30301"/>
  <c r="AB241" i="30301"/>
  <c r="AB338" i="30301"/>
  <c r="AB336" i="30301"/>
  <c r="AB330" i="30301"/>
  <c r="AB316" i="30301"/>
  <c r="O67" i="30308" s="1"/>
  <c r="AB307" i="30301"/>
  <c r="AB321" i="30301"/>
  <c r="AB320" i="30301"/>
  <c r="AB329" i="30301"/>
  <c r="AB331" i="30301"/>
  <c r="AB255" i="30301"/>
  <c r="AB340" i="30301"/>
  <c r="AB322" i="30301"/>
  <c r="AB315" i="30301"/>
  <c r="AB304" i="30301"/>
  <c r="AB305" i="30301" s="1"/>
  <c r="AB253" i="30301"/>
  <c r="AB303" i="30301"/>
  <c r="AB247" i="30301"/>
  <c r="AB244" i="30301"/>
  <c r="AB325" i="30301"/>
  <c r="AB319" i="30301"/>
  <c r="AB339" i="30301"/>
  <c r="AB310" i="30301"/>
  <c r="AB245" i="30301"/>
  <c r="AB254" i="30301"/>
  <c r="AB324" i="30301"/>
  <c r="L353" i="30301"/>
  <c r="E65" i="30308" s="1"/>
  <c r="AM2" i="30301"/>
  <c r="AF241" i="30301"/>
  <c r="AF330" i="30301"/>
  <c r="AF306" i="30301"/>
  <c r="AF324" i="30301"/>
  <c r="AF255" i="30301"/>
  <c r="AF240" i="30301"/>
  <c r="AF237" i="30301"/>
  <c r="AF320" i="30301"/>
  <c r="AF256" i="30301"/>
  <c r="AF257" i="30301" s="1"/>
  <c r="AF323" i="30301"/>
  <c r="AF335" i="30301"/>
  <c r="AF301" i="30301"/>
  <c r="AF246" i="30301"/>
  <c r="AF334" i="30301"/>
  <c r="AF321" i="30301"/>
  <c r="AF308" i="30301"/>
  <c r="AF259" i="30301"/>
  <c r="AF260" i="30301" s="1"/>
  <c r="AF230" i="30301"/>
  <c r="AF248" i="30301"/>
  <c r="AF319" i="30301"/>
  <c r="AF314" i="30301"/>
  <c r="AF247" i="30301"/>
  <c r="AF238" i="30301"/>
  <c r="AF245" i="30301"/>
  <c r="AF332" i="30301"/>
  <c r="AF302" i="30301"/>
  <c r="AF328" i="30301"/>
  <c r="AF304" i="30301"/>
  <c r="AF305" i="30301" s="1"/>
  <c r="AF315" i="30301"/>
  <c r="AF303" i="30301"/>
  <c r="AF249" i="30301"/>
  <c r="AF243" i="30301"/>
  <c r="AF338" i="30301"/>
  <c r="AF253" i="30301"/>
  <c r="AF333" i="30301"/>
  <c r="AF322" i="30301"/>
  <c r="AF310" i="30301"/>
  <c r="AF239" i="30301"/>
  <c r="I312" i="30301"/>
  <c r="AH240" i="30301"/>
  <c r="AH329" i="30301"/>
  <c r="D334" i="30301"/>
  <c r="AT302" i="30301"/>
  <c r="G325" i="30301"/>
  <c r="AI323" i="30301"/>
  <c r="AF336" i="30301"/>
  <c r="F312" i="30301"/>
  <c r="F258" i="30301"/>
  <c r="AD262" i="30301"/>
  <c r="AD261" i="30301"/>
  <c r="B293" i="30301"/>
  <c r="B299" i="30301"/>
  <c r="P353" i="30301"/>
  <c r="B66" i="30308" s="1"/>
  <c r="Q353" i="30301"/>
  <c r="C66" i="30308" s="1"/>
  <c r="Y300" i="30301"/>
  <c r="K312" i="30301"/>
  <c r="K313" i="30301" s="1"/>
  <c r="K258" i="30301"/>
  <c r="X312" i="30301"/>
  <c r="X313" i="30301" s="1"/>
  <c r="X258" i="30301"/>
  <c r="I249" i="30301"/>
  <c r="I307" i="30301"/>
  <c r="I303" i="30301"/>
  <c r="W309" i="30301"/>
  <c r="R312" i="30301"/>
  <c r="R313" i="30301" s="1"/>
  <c r="R258" i="30301"/>
  <c r="R309" i="30301"/>
  <c r="J239" i="30301"/>
  <c r="J254" i="30301"/>
  <c r="J316" i="30301"/>
  <c r="J319" i="30301"/>
  <c r="AP247" i="30301"/>
  <c r="B317" i="30301"/>
  <c r="B309" i="30301"/>
  <c r="AK331" i="30301"/>
  <c r="AK238" i="30301"/>
  <c r="AR2" i="30301"/>
  <c r="AK247" i="30301"/>
  <c r="AK241" i="30301"/>
  <c r="AK255" i="30301"/>
  <c r="AK332" i="30301"/>
  <c r="AU262" i="30301"/>
  <c r="S320" i="30301"/>
  <c r="S243" i="30301"/>
  <c r="S246" i="30301"/>
  <c r="S258" i="30301" s="1"/>
  <c r="F353" i="30301"/>
  <c r="F64" i="30308" s="1"/>
  <c r="AE317" i="30301"/>
  <c r="AA262" i="30301"/>
  <c r="AA261" i="30301"/>
  <c r="AN309" i="30301"/>
  <c r="Q261" i="30301"/>
  <c r="Q262" i="30301"/>
  <c r="I237" i="30301"/>
  <c r="I334" i="30301"/>
  <c r="S2" i="30301"/>
  <c r="Z2" i="30301"/>
  <c r="S254" i="30301"/>
  <c r="S338" i="30301"/>
  <c r="AE262" i="30301"/>
  <c r="AE261" i="30301"/>
  <c r="AR300" i="30301"/>
  <c r="AR298" i="30301"/>
  <c r="Y262" i="30301"/>
  <c r="AP314" i="30301"/>
  <c r="I310" i="30301"/>
  <c r="I255" i="30301"/>
  <c r="I311" i="30301" s="1"/>
  <c r="J249" i="30301"/>
  <c r="J336" i="30301"/>
  <c r="AM283" i="30301"/>
  <c r="AM299" i="30301"/>
  <c r="S307" i="30301"/>
  <c r="S237" i="30301"/>
  <c r="S230" i="30301"/>
  <c r="S325" i="30301"/>
  <c r="E309" i="30301"/>
  <c r="AR311" i="30301"/>
  <c r="AE312" i="30301"/>
  <c r="AE313" i="30301" s="1"/>
  <c r="AE258" i="30301"/>
  <c r="AW261" i="30301"/>
  <c r="I242" i="30301"/>
  <c r="M317" i="30301"/>
  <c r="AP321" i="30301"/>
  <c r="AP334" i="30301"/>
  <c r="AA2" i="30301"/>
  <c r="T254" i="30301"/>
  <c r="T255" i="30301"/>
  <c r="T2" i="30301"/>
  <c r="T239" i="30301"/>
  <c r="T322" i="30301"/>
  <c r="T331" i="30301"/>
  <c r="R317" i="30301"/>
  <c r="X300" i="30301"/>
  <c r="X298" i="30301"/>
  <c r="I238" i="30301"/>
  <c r="I241" i="30301"/>
  <c r="I328" i="30301"/>
  <c r="AO312" i="30301"/>
  <c r="AO313" i="30301" s="1"/>
  <c r="AO258" i="30301"/>
  <c r="J308" i="30301"/>
  <c r="J337" i="30301"/>
  <c r="J315" i="30301"/>
  <c r="B311" i="30301"/>
  <c r="AK240" i="30301"/>
  <c r="AK321" i="30301"/>
  <c r="AK319" i="30301"/>
  <c r="AK335" i="30301"/>
  <c r="F299" i="30301"/>
  <c r="F283" i="30301"/>
  <c r="AU302" i="30301"/>
  <c r="AU307" i="30301"/>
  <c r="AU332" i="30301"/>
  <c r="AG238" i="30301"/>
  <c r="AG310" i="30301"/>
  <c r="S315" i="30301"/>
  <c r="S302" i="30301"/>
  <c r="S238" i="30301"/>
  <c r="S301" i="30301"/>
  <c r="S336" i="30301"/>
  <c r="E312" i="30301"/>
  <c r="E258" i="30301"/>
  <c r="E299" i="30301"/>
  <c r="E293" i="30301"/>
  <c r="P309" i="30301"/>
  <c r="AN299" i="30301"/>
  <c r="AN293" i="30301"/>
  <c r="AN283" i="30301"/>
  <c r="L309" i="30301"/>
  <c r="AF353" i="30301"/>
  <c r="D68" i="30308" s="1"/>
  <c r="C309" i="30301"/>
  <c r="AV317" i="30301"/>
  <c r="M262" i="30301"/>
  <c r="M261" i="30301"/>
  <c r="AP245" i="30301"/>
  <c r="AP249" i="30301"/>
  <c r="AP330" i="30301"/>
  <c r="AP335" i="30301"/>
  <c r="T259" i="30301"/>
  <c r="T260" i="30301" s="1"/>
  <c r="T230" i="30301"/>
  <c r="T323" i="30301"/>
  <c r="T333" i="30301"/>
  <c r="R2" i="30301"/>
  <c r="K301" i="30301"/>
  <c r="K243" i="30301"/>
  <c r="K230" i="30301"/>
  <c r="K248" i="30301"/>
  <c r="K237" i="30301"/>
  <c r="K247" i="30301"/>
  <c r="K253" i="30301"/>
  <c r="K306" i="30301"/>
  <c r="K309" i="30301" s="1"/>
  <c r="K321" i="30301"/>
  <c r="I247" i="30301"/>
  <c r="I253" i="30301"/>
  <c r="I301" i="30301"/>
  <c r="I336" i="30301"/>
  <c r="J310" i="30301"/>
  <c r="J306" i="30301"/>
  <c r="J330" i="30301"/>
  <c r="J320" i="30301"/>
  <c r="AM298" i="30301"/>
  <c r="AE300" i="30301"/>
  <c r="B300" i="30301"/>
  <c r="B298" i="30301"/>
  <c r="AK322" i="30301"/>
  <c r="AK333" i="30301"/>
  <c r="AK323" i="30301"/>
  <c r="AB2" i="30301"/>
  <c r="U239" i="30301"/>
  <c r="U255" i="30301"/>
  <c r="U333" i="30301"/>
  <c r="M2" i="30301"/>
  <c r="F230" i="30301"/>
  <c r="F301" i="30301"/>
  <c r="F240" i="30301"/>
  <c r="F247" i="30301"/>
  <c r="F310" i="30301"/>
  <c r="F323" i="30301"/>
  <c r="AU238" i="30301"/>
  <c r="AU310" i="30301"/>
  <c r="AU334" i="30301"/>
  <c r="AU333" i="30301"/>
  <c r="AG240" i="30301"/>
  <c r="AG259" i="30301"/>
  <c r="AG260" i="30301" s="1"/>
  <c r="AG262" i="30301" s="1"/>
  <c r="AG304" i="30301"/>
  <c r="AG305" i="30301" s="1"/>
  <c r="AG320" i="30301"/>
  <c r="S240" i="30301"/>
  <c r="S259" i="30301"/>
  <c r="S260" i="30301" s="1"/>
  <c r="S316" i="30301"/>
  <c r="S353" i="30301" s="1"/>
  <c r="E66" i="30308" s="1"/>
  <c r="S329" i="30301"/>
  <c r="E311" i="30301"/>
  <c r="M312" i="30301"/>
  <c r="M313" i="30301" s="1"/>
  <c r="M258" i="30301"/>
  <c r="AN317" i="30301"/>
  <c r="L298" i="30301"/>
  <c r="L300" i="30301"/>
  <c r="AS312" i="30301"/>
  <c r="AS313" i="30301" s="1"/>
  <c r="AS258" i="30301"/>
  <c r="AT353" i="30301"/>
  <c r="D70" i="30308" s="1"/>
  <c r="AG2" i="30301"/>
  <c r="J237" i="30301"/>
  <c r="AF2" i="30301"/>
  <c r="Y239" i="30301"/>
  <c r="Y244" i="30301"/>
  <c r="Y314" i="30301"/>
  <c r="Y230" i="30301"/>
  <c r="Y246" i="30301"/>
  <c r="Y258" i="30301" s="1"/>
  <c r="Y240" i="30301"/>
  <c r="Y255" i="30301"/>
  <c r="Y311" i="30301" s="1"/>
  <c r="Y242" i="30301"/>
  <c r="Y249" i="30301"/>
  <c r="Y301" i="30301"/>
  <c r="Y322" i="30301"/>
  <c r="AP323" i="30301"/>
  <c r="AP301" i="30301"/>
  <c r="AP336" i="30301"/>
  <c r="T243" i="30301"/>
  <c r="T325" i="30301"/>
  <c r="T335" i="30301"/>
  <c r="AW303" i="30301"/>
  <c r="AW237" i="30301"/>
  <c r="AW316" i="30301"/>
  <c r="O70" i="30308" s="1"/>
  <c r="AW307" i="30301"/>
  <c r="AW323" i="30301"/>
  <c r="AV249" i="30301"/>
  <c r="AV325" i="30301"/>
  <c r="AS2" i="30301"/>
  <c r="AL248" i="30301"/>
  <c r="AL241" i="30301"/>
  <c r="AL310" i="30301"/>
  <c r="AL238" i="30301"/>
  <c r="AL331" i="30301"/>
  <c r="AL247" i="30301"/>
  <c r="AL259" i="30301"/>
  <c r="AL260" i="30301" s="1"/>
  <c r="K238" i="30301"/>
  <c r="K324" i="30301"/>
  <c r="K334" i="30301"/>
  <c r="N310" i="30301"/>
  <c r="N301" i="30301"/>
  <c r="I245" i="30301"/>
  <c r="I306" i="30301"/>
  <c r="I332" i="30301"/>
  <c r="I337" i="30301"/>
  <c r="W317" i="30301"/>
  <c r="X353" i="30301"/>
  <c r="C67" i="30308" s="1"/>
  <c r="W353" i="30301"/>
  <c r="B67" i="30308" s="1"/>
  <c r="AW240" i="30301"/>
  <c r="R299" i="30301"/>
  <c r="R293" i="30301"/>
  <c r="AR261" i="30301"/>
  <c r="J238" i="30301"/>
  <c r="J323" i="30301"/>
  <c r="J321" i="30301"/>
  <c r="J322" i="30301"/>
  <c r="AM255" i="30301"/>
  <c r="AM311" i="30301" s="1"/>
  <c r="AM307" i="30301"/>
  <c r="AM314" i="30301"/>
  <c r="AM336" i="30301"/>
  <c r="AL324" i="30301"/>
  <c r="AL245" i="30301"/>
  <c r="AL340" i="30301"/>
  <c r="AL328" i="30301"/>
  <c r="AL239" i="30301"/>
  <c r="AK246" i="30301"/>
  <c r="AK303" i="30301"/>
  <c r="AK336" i="30301"/>
  <c r="AK304" i="30301"/>
  <c r="AK305" i="30301" s="1"/>
  <c r="U247" i="30301"/>
  <c r="U316" i="30301"/>
  <c r="U249" i="30301"/>
  <c r="U321" i="30301"/>
  <c r="F238" i="30301"/>
  <c r="F237" i="30301"/>
  <c r="F308" i="30301"/>
  <c r="F309" i="30301" s="1"/>
  <c r="F324" i="30301"/>
  <c r="AU230" i="30301"/>
  <c r="AU241" i="30301"/>
  <c r="AU242" i="30301"/>
  <c r="AU340" i="30301"/>
  <c r="AU336" i="30301"/>
  <c r="AG338" i="30301"/>
  <c r="AG303" i="30301"/>
  <c r="AG315" i="30301"/>
  <c r="AG329" i="30301"/>
  <c r="S253" i="30301"/>
  <c r="S339" i="30301"/>
  <c r="S304" i="30301"/>
  <c r="S305" i="30301" s="1"/>
  <c r="S324" i="30301"/>
  <c r="S321" i="30301"/>
  <c r="E314" i="30301"/>
  <c r="AM254" i="30301"/>
  <c r="T253" i="30301"/>
  <c r="Y312" i="30301"/>
  <c r="Y313" i="30301" s="1"/>
  <c r="X299" i="30301"/>
  <c r="X283" i="30301"/>
  <c r="C300" i="30301"/>
  <c r="AG261" i="30301"/>
  <c r="AN298" i="30301"/>
  <c r="AN300" i="30301"/>
  <c r="AL312" i="30301"/>
  <c r="AL258" i="30301"/>
  <c r="AS353" i="30301"/>
  <c r="C70" i="30308" s="1"/>
  <c r="AR353" i="30301"/>
  <c r="B70" i="30308" s="1"/>
  <c r="AN258" i="30301"/>
  <c r="AN312" i="30301"/>
  <c r="AN313" i="30301" s="1"/>
  <c r="AA298" i="30301"/>
  <c r="AA300" i="30301"/>
  <c r="Z261" i="30301"/>
  <c r="AP238" i="30301"/>
  <c r="AP240" i="30301"/>
  <c r="AP316" i="30301"/>
  <c r="AP338" i="30301"/>
  <c r="AN261" i="30301"/>
  <c r="AN262" i="30301"/>
  <c r="T302" i="30301"/>
  <c r="T306" i="30301"/>
  <c r="T309" i="30301" s="1"/>
  <c r="T319" i="30301"/>
  <c r="T337" i="30301"/>
  <c r="K249" i="30301"/>
  <c r="N240" i="30301"/>
  <c r="N332" i="30301"/>
  <c r="N237" i="30301"/>
  <c r="N304" i="30301"/>
  <c r="N305" i="30301" s="1"/>
  <c r="U2" i="30301"/>
  <c r="N248" i="30301"/>
  <c r="N241" i="30301"/>
  <c r="N245" i="30301"/>
  <c r="N255" i="30301"/>
  <c r="N238" i="30301"/>
  <c r="N249" i="30301"/>
  <c r="K254" i="30301"/>
  <c r="K302" i="30301"/>
  <c r="K336" i="30301"/>
  <c r="N314" i="30301"/>
  <c r="N319" i="30301"/>
  <c r="N306" i="30301"/>
  <c r="I254" i="30301"/>
  <c r="I324" i="30301"/>
  <c r="I316" i="30301"/>
  <c r="J65" i="30308" s="1"/>
  <c r="J247" i="30301"/>
  <c r="J243" i="30301"/>
  <c r="J338" i="30301"/>
  <c r="J325" i="30301"/>
  <c r="AM230" i="30301"/>
  <c r="AM253" i="30301"/>
  <c r="AM332" i="30301"/>
  <c r="AO311" i="30301"/>
  <c r="AL334" i="30301"/>
  <c r="AL254" i="30301"/>
  <c r="AK325" i="30301"/>
  <c r="AK314" i="30301"/>
  <c r="AK301" i="30301"/>
  <c r="AK330" i="30301"/>
  <c r="U253" i="30301"/>
  <c r="U254" i="30301"/>
  <c r="U340" i="30301"/>
  <c r="F241" i="30301"/>
  <c r="F242" i="30301"/>
  <c r="F330" i="30301"/>
  <c r="F334" i="30301"/>
  <c r="Q299" i="30301"/>
  <c r="Q283" i="30301"/>
  <c r="AU308" i="30301"/>
  <c r="AU245" i="30301"/>
  <c r="AU244" i="30301"/>
  <c r="AU315" i="30301"/>
  <c r="AU339" i="30301"/>
  <c r="AG339" i="30301"/>
  <c r="AG314" i="30301"/>
  <c r="AG332" i="30301"/>
  <c r="S314" i="30301"/>
  <c r="S245" i="30301"/>
  <c r="S331" i="30301"/>
  <c r="S323" i="30301"/>
  <c r="E243" i="30301"/>
  <c r="E230" i="30301"/>
  <c r="E254" i="30301"/>
  <c r="E332" i="30301"/>
  <c r="AL319" i="30301"/>
  <c r="AL299" i="30301"/>
  <c r="AL283" i="30301"/>
  <c r="F262" i="30301"/>
  <c r="Q317" i="30301"/>
  <c r="AS309" i="30301"/>
  <c r="AV312" i="30301"/>
  <c r="AV313" i="30301" s="1"/>
  <c r="P2" i="30301"/>
  <c r="I230" i="30301"/>
  <c r="I323" i="30301"/>
  <c r="I243" i="30301"/>
  <c r="I240" i="30301"/>
  <c r="I246" i="30301"/>
  <c r="I258" i="30301" s="1"/>
  <c r="I331" i="30301"/>
  <c r="AO300" i="30301"/>
  <c r="AO298" i="30301"/>
  <c r="AA317" i="30301"/>
  <c r="AW2" i="30301"/>
  <c r="AP331" i="30301"/>
  <c r="AP259" i="30301"/>
  <c r="AP260" i="30301" s="1"/>
  <c r="AP246" i="30301"/>
  <c r="AP242" i="30301"/>
  <c r="AP255" i="30301"/>
  <c r="AP310" i="30301"/>
  <c r="AP324" i="30301"/>
  <c r="I239" i="30301"/>
  <c r="I335" i="30301"/>
  <c r="Q2" i="30301"/>
  <c r="J230" i="30301"/>
  <c r="J246" i="30301"/>
  <c r="J240" i="30301"/>
  <c r="J307" i="30301"/>
  <c r="AL309" i="30301"/>
  <c r="S303" i="30301"/>
  <c r="Y317" i="30301"/>
  <c r="AP241" i="30301"/>
  <c r="AP328" i="30301"/>
  <c r="I259" i="30301"/>
  <c r="I260" i="30301" s="1"/>
  <c r="AA353" i="30301"/>
  <c r="F67" i="30308" s="1"/>
  <c r="Z298" i="30301"/>
  <c r="Z300" i="30301"/>
  <c r="Q309" i="30301"/>
  <c r="AS300" i="30301"/>
  <c r="AS298" i="30301"/>
  <c r="AT2" i="30301"/>
  <c r="AM310" i="30301"/>
  <c r="AM238" i="30301"/>
  <c r="AP256" i="30301"/>
  <c r="AP257" i="30301" s="1"/>
  <c r="AP248" i="30301"/>
  <c r="AP319" i="30301"/>
  <c r="AP340" i="30301"/>
  <c r="T301" i="30301"/>
  <c r="T315" i="30301"/>
  <c r="T330" i="30301"/>
  <c r="T339" i="30301"/>
  <c r="AV311" i="30301"/>
  <c r="AV309" i="30301"/>
  <c r="K239" i="30301"/>
  <c r="K259" i="30301"/>
  <c r="K260" i="30301" s="1"/>
  <c r="K315" i="30301"/>
  <c r="K338" i="30301"/>
  <c r="N316" i="30301"/>
  <c r="N331" i="30301"/>
  <c r="X262" i="30301"/>
  <c r="X261" i="30301"/>
  <c r="I304" i="30301"/>
  <c r="I305" i="30301" s="1"/>
  <c r="I314" i="30301"/>
  <c r="I340" i="30301"/>
  <c r="W311" i="30301"/>
  <c r="AV237" i="30301"/>
  <c r="AV302" i="30301"/>
  <c r="AV316" i="30301"/>
  <c r="N70" i="30308" s="1"/>
  <c r="AM242" i="30301"/>
  <c r="J253" i="30301"/>
  <c r="J300" i="30301" s="1"/>
  <c r="J248" i="30301"/>
  <c r="J302" i="30301"/>
  <c r="J335" i="30301"/>
  <c r="AM306" i="30301"/>
  <c r="AM331" i="30301"/>
  <c r="AM329" i="30301"/>
  <c r="AK253" i="30301"/>
  <c r="AL304" i="30301"/>
  <c r="AL305" i="30301" s="1"/>
  <c r="AL237" i="30301"/>
  <c r="AL329" i="30301"/>
  <c r="AL335" i="30301"/>
  <c r="AK248" i="30301"/>
  <c r="AK306" i="30301"/>
  <c r="AK309" i="30301" s="1"/>
  <c r="AK328" i="30301"/>
  <c r="U303" i="30301"/>
  <c r="U237" i="30301"/>
  <c r="U308" i="30301"/>
  <c r="U304" i="30301"/>
  <c r="U305" i="30301" s="1"/>
  <c r="F319" i="30301"/>
  <c r="F245" i="30301"/>
  <c r="F320" i="30301"/>
  <c r="Q312" i="30301"/>
  <c r="Q313" i="30301" s="1"/>
  <c r="Q258" i="30301"/>
  <c r="AU240" i="30301"/>
  <c r="AU255" i="30301"/>
  <c r="AU311" i="30301" s="1"/>
  <c r="AU246" i="30301"/>
  <c r="AG256" i="30301"/>
  <c r="AG257" i="30301" s="1"/>
  <c r="AG239" i="30301"/>
  <c r="AG324" i="30301"/>
  <c r="AG328" i="30301"/>
  <c r="AG319" i="30301"/>
  <c r="S247" i="30301"/>
  <c r="S308" i="30301"/>
  <c r="S255" i="30301"/>
  <c r="S334" i="30301"/>
  <c r="E253" i="30301"/>
  <c r="E319" i="30301"/>
  <c r="E310" i="30301"/>
  <c r="E337" i="30301"/>
  <c r="AW324" i="30312"/>
  <c r="AW315" i="30312"/>
  <c r="AW314" i="30312"/>
  <c r="AW230" i="30312"/>
  <c r="AW306" i="30312"/>
  <c r="AW309" i="30312" s="1"/>
  <c r="AW328" i="30312"/>
  <c r="AW240" i="30312"/>
  <c r="AW320" i="30312"/>
  <c r="AW323" i="30312"/>
  <c r="AW242" i="30312"/>
  <c r="AW322" i="30312"/>
  <c r="AW319" i="30312"/>
  <c r="AW248" i="30312"/>
  <c r="AW321" i="30312"/>
  <c r="AW338" i="30312"/>
  <c r="AW334" i="30312"/>
  <c r="AW254" i="30312"/>
  <c r="AW310" i="30312"/>
  <c r="AW249" i="30312"/>
  <c r="AW340" i="30312"/>
  <c r="AW316" i="30312"/>
  <c r="AW253" i="30312"/>
  <c r="AW300" i="30312" s="1"/>
  <c r="AW335" i="30312"/>
  <c r="AW332" i="30312"/>
  <c r="AW255" i="30312"/>
  <c r="AW336" i="30312"/>
  <c r="AW2" i="30312"/>
  <c r="AP2" i="30312"/>
  <c r="AB337" i="30312"/>
  <c r="AB314" i="30312"/>
  <c r="AB335" i="30312"/>
  <c r="AB334" i="30312"/>
  <c r="AB304" i="30312"/>
  <c r="AB305" i="30312" s="1"/>
  <c r="AB255" i="30312"/>
  <c r="AB340" i="30312"/>
  <c r="AB302" i="30312"/>
  <c r="AB329" i="30312"/>
  <c r="AB316" i="30312"/>
  <c r="AB303" i="30312"/>
  <c r="AW312" i="30312"/>
  <c r="AW313" i="30312" s="1"/>
  <c r="N249" i="30312"/>
  <c r="N246" i="30312"/>
  <c r="N320" i="30312"/>
  <c r="D247" i="30312"/>
  <c r="D338" i="30312"/>
  <c r="N330" i="30312"/>
  <c r="F317" i="30312"/>
  <c r="AI312" i="30312"/>
  <c r="AI313" i="30312" s="1"/>
  <c r="AI258" i="30312"/>
  <c r="E317" i="30312"/>
  <c r="G317" i="30312"/>
  <c r="D244" i="30312"/>
  <c r="G299" i="30312"/>
  <c r="G283" i="30312"/>
  <c r="AB238" i="30312"/>
  <c r="AB242" i="30312"/>
  <c r="AI2" i="30312"/>
  <c r="AB319" i="30312"/>
  <c r="AB330" i="30312"/>
  <c r="AB338" i="30312"/>
  <c r="AI317" i="30312"/>
  <c r="D254" i="30312"/>
  <c r="D249" i="30312"/>
  <c r="D325" i="30312"/>
  <c r="D329" i="30312"/>
  <c r="AB240" i="30312"/>
  <c r="B248" i="30312"/>
  <c r="B325" i="30312"/>
  <c r="B324" i="30312"/>
  <c r="N238" i="30312"/>
  <c r="N303" i="30312"/>
  <c r="N321" i="30312"/>
  <c r="N332" i="30312"/>
  <c r="AI299" i="30312"/>
  <c r="AI283" i="30312"/>
  <c r="D321" i="30312"/>
  <c r="N322" i="30312"/>
  <c r="D306" i="30312"/>
  <c r="D334" i="30312"/>
  <c r="B247" i="30312"/>
  <c r="N308" i="30312"/>
  <c r="AB245" i="30312"/>
  <c r="D316" i="30312"/>
  <c r="E353" i="30312" s="1"/>
  <c r="E54" i="30308" s="1"/>
  <c r="D330" i="30312"/>
  <c r="D340" i="30312"/>
  <c r="B249" i="30312"/>
  <c r="B304" i="30312"/>
  <c r="B305" i="30312" s="1"/>
  <c r="B335" i="30312"/>
  <c r="N319" i="30312"/>
  <c r="N316" i="30312"/>
  <c r="N254" i="30312"/>
  <c r="N307" i="30312"/>
  <c r="N240" i="30312"/>
  <c r="N328" i="30312"/>
  <c r="F309" i="30312"/>
  <c r="N2" i="30312"/>
  <c r="B333" i="30312"/>
  <c r="B339" i="30312"/>
  <c r="N335" i="30312"/>
  <c r="AB308" i="30312"/>
  <c r="AB321" i="30312"/>
  <c r="AB323" i="30312"/>
  <c r="AB320" i="30312"/>
  <c r="AB259" i="30312"/>
  <c r="AB260" i="30312" s="1"/>
  <c r="AB246" i="30312"/>
  <c r="AB336" i="30312"/>
  <c r="C317" i="30312"/>
  <c r="C246" i="30312"/>
  <c r="C242" i="30312"/>
  <c r="C310" i="30312"/>
  <c r="C238" i="30312"/>
  <c r="C255" i="30312"/>
  <c r="C311" i="30312" s="1"/>
  <c r="C336" i="30312"/>
  <c r="C330" i="30312"/>
  <c r="F299" i="30312"/>
  <c r="F293" i="30312"/>
  <c r="D237" i="30312"/>
  <c r="D301" i="30312"/>
  <c r="D302" i="30312"/>
  <c r="D337" i="30312"/>
  <c r="AB253" i="30312"/>
  <c r="B253" i="30312"/>
  <c r="B254" i="30312"/>
  <c r="B319" i="30312"/>
  <c r="B336" i="30312"/>
  <c r="AP340" i="30312"/>
  <c r="AP338" i="30312"/>
  <c r="AP332" i="30312"/>
  <c r="AP331" i="30312"/>
  <c r="AP337" i="30312"/>
  <c r="AP324" i="30312"/>
  <c r="AP315" i="30312"/>
  <c r="AP333" i="30312"/>
  <c r="AP329" i="30312"/>
  <c r="AP320" i="30312"/>
  <c r="AP335" i="30312"/>
  <c r="AP334" i="30312"/>
  <c r="AP307" i="30312"/>
  <c r="AP306" i="30312"/>
  <c r="AP339" i="30312"/>
  <c r="AP330" i="30312"/>
  <c r="AP322" i="30312"/>
  <c r="AP316" i="30312"/>
  <c r="AP308" i="30312"/>
  <c r="AP319" i="30312"/>
  <c r="AP310" i="30312"/>
  <c r="AP256" i="30312"/>
  <c r="AP257" i="30312" s="1"/>
  <c r="AP254" i="30312"/>
  <c r="AP248" i="30312"/>
  <c r="AP246" i="30312"/>
  <c r="AP336" i="30312"/>
  <c r="AP323" i="30312"/>
  <c r="AP328" i="30312"/>
  <c r="AP314" i="30312"/>
  <c r="AP259" i="30312"/>
  <c r="AP260" i="30312" s="1"/>
  <c r="AP321" i="30312"/>
  <c r="AP303" i="30312"/>
  <c r="AP253" i="30312"/>
  <c r="AP255" i="30312"/>
  <c r="AP241" i="30312"/>
  <c r="AP239" i="30312"/>
  <c r="AP237" i="30312"/>
  <c r="AP325" i="30312"/>
  <c r="AP245" i="30312"/>
  <c r="AP243" i="30312"/>
  <c r="AP230" i="30312"/>
  <c r="AP302" i="30312"/>
  <c r="AP242" i="30312"/>
  <c r="AP238" i="30312"/>
  <c r="AP304" i="30312"/>
  <c r="AP305" i="30312" s="1"/>
  <c r="AP249" i="30312"/>
  <c r="AP247" i="30312"/>
  <c r="AW1" i="30312"/>
  <c r="AP244" i="30312"/>
  <c r="AP240" i="30312"/>
  <c r="AP301" i="30312"/>
  <c r="D256" i="30312"/>
  <c r="D257" i="30312" s="1"/>
  <c r="AI293" i="30312"/>
  <c r="N324" i="30312"/>
  <c r="N323" i="30312"/>
  <c r="N256" i="30312"/>
  <c r="N257" i="30312" s="1"/>
  <c r="N337" i="30312"/>
  <c r="AI298" i="30312"/>
  <c r="C244" i="30312"/>
  <c r="N333" i="30312"/>
  <c r="D230" i="30312"/>
  <c r="N301" i="30312"/>
  <c r="B320" i="30312"/>
  <c r="N248" i="30312"/>
  <c r="E298" i="30312"/>
  <c r="E300" i="30312"/>
  <c r="D314" i="30312"/>
  <c r="B301" i="30312"/>
  <c r="B323" i="30312"/>
  <c r="D315" i="30312"/>
  <c r="G261" i="30312"/>
  <c r="G262" i="30312"/>
  <c r="E311" i="30312"/>
  <c r="B255" i="30312"/>
  <c r="AB322" i="30312"/>
  <c r="AB301" i="30312"/>
  <c r="AB248" i="30312"/>
  <c r="AB328" i="30312"/>
  <c r="D239" i="30312"/>
  <c r="D331" i="30312"/>
  <c r="D328" i="30312"/>
  <c r="D339" i="30312"/>
  <c r="B237" i="30312"/>
  <c r="B316" i="30312"/>
  <c r="B337" i="30312"/>
  <c r="AI262" i="30312"/>
  <c r="AI261" i="30312"/>
  <c r="F258" i="30312"/>
  <c r="N302" i="30312"/>
  <c r="N306" i="30312"/>
  <c r="N329" i="30312"/>
  <c r="N331" i="30312"/>
  <c r="AW311" i="30312"/>
  <c r="AI300" i="30312"/>
  <c r="N255" i="30312"/>
  <c r="D311" i="30312"/>
  <c r="C312" i="30312"/>
  <c r="C258" i="30312"/>
  <c r="N237" i="30312"/>
  <c r="B321" i="30312"/>
  <c r="D336" i="30312"/>
  <c r="B239" i="30312"/>
  <c r="B338" i="30312"/>
  <c r="N239" i="30312"/>
  <c r="G312" i="30312"/>
  <c r="G313" i="30312" s="1"/>
  <c r="G258" i="30312"/>
  <c r="AB249" i="30312"/>
  <c r="AB239" i="30312"/>
  <c r="AB325" i="30312"/>
  <c r="AB254" i="30312"/>
  <c r="AB331" i="30312"/>
  <c r="AI309" i="30312"/>
  <c r="D243" i="30312"/>
  <c r="D323" i="30312"/>
  <c r="AB244" i="30312"/>
  <c r="B241" i="30312"/>
  <c r="B302" i="30312"/>
  <c r="B308" i="30312"/>
  <c r="B340" i="30312"/>
  <c r="N244" i="30312"/>
  <c r="N241" i="30312"/>
  <c r="N314" i="30312"/>
  <c r="N339" i="30312"/>
  <c r="N340" i="30312"/>
  <c r="D238" i="30312"/>
  <c r="D242" i="30312"/>
  <c r="D246" i="30312"/>
  <c r="D253" i="30312"/>
  <c r="D241" i="30312"/>
  <c r="B303" i="30312"/>
  <c r="G309" i="30312"/>
  <c r="G353" i="30312"/>
  <c r="G54" i="30308" s="1"/>
  <c r="AB241" i="30312"/>
  <c r="D322" i="30312"/>
  <c r="B243" i="30312"/>
  <c r="B314" i="30312"/>
  <c r="N253" i="30312"/>
  <c r="N243" i="30312"/>
  <c r="N315" i="30312"/>
  <c r="N304" i="30312"/>
  <c r="N305" i="30312" s="1"/>
  <c r="C298" i="30312"/>
  <c r="C300" i="30312"/>
  <c r="N242" i="30312"/>
  <c r="B240" i="30312"/>
  <c r="B244" i="30312"/>
  <c r="B230" i="30312"/>
  <c r="B256" i="30312"/>
  <c r="B257" i="30312" s="1"/>
  <c r="B306" i="30312"/>
  <c r="B246" i="30312"/>
  <c r="B238" i="30312"/>
  <c r="B310" i="30312"/>
  <c r="B242" i="30312"/>
  <c r="B330" i="30312"/>
  <c r="B334" i="30312"/>
  <c r="AW262" i="30312"/>
  <c r="AW261" i="30312"/>
  <c r="E262" i="30312"/>
  <c r="E261" i="30312"/>
  <c r="D303" i="30312"/>
  <c r="G300" i="30312"/>
  <c r="G298" i="30312"/>
  <c r="B315" i="30312"/>
  <c r="C261" i="30312"/>
  <c r="C262" i="30312"/>
  <c r="N259" i="30312"/>
  <c r="N260" i="30312" s="1"/>
  <c r="N334" i="30312"/>
  <c r="N338" i="30312"/>
  <c r="AB247" i="30312"/>
  <c r="G293" i="30312"/>
  <c r="U339" i="30312"/>
  <c r="U333" i="30312"/>
  <c r="U249" i="30312"/>
  <c r="U308" i="30312"/>
  <c r="AB1" i="30312"/>
  <c r="U8" i="30312"/>
  <c r="AB2" i="30312" s="1"/>
  <c r="U1" i="30312"/>
  <c r="E312" i="30312"/>
  <c r="E313" i="30312" s="1"/>
  <c r="E258" i="30312"/>
  <c r="AB306" i="30312"/>
  <c r="AB256" i="30312"/>
  <c r="AB257" i="30312" s="1"/>
  <c r="AB339" i="30312"/>
  <c r="D245" i="30312"/>
  <c r="D310" i="30312"/>
  <c r="F261" i="30312"/>
  <c r="F262" i="30312"/>
  <c r="E309" i="30312"/>
  <c r="AB243" i="30312"/>
  <c r="AB307" i="30312"/>
  <c r="AB324" i="30312"/>
  <c r="AB332" i="30312"/>
  <c r="C241" i="30312"/>
  <c r="C332" i="30312"/>
  <c r="C303" i="30312"/>
  <c r="D304" i="30312"/>
  <c r="D305" i="30312" s="1"/>
  <c r="D248" i="30312"/>
  <c r="D308" i="30312"/>
  <c r="D324" i="30312"/>
  <c r="B245" i="30312"/>
  <c r="B331" i="30312"/>
  <c r="B322" i="30312"/>
  <c r="F298" i="30312"/>
  <c r="F300" i="30312"/>
  <c r="E299" i="30312"/>
  <c r="E293" i="30312"/>
  <c r="N247" i="30312"/>
  <c r="N245" i="30312"/>
  <c r="N310" i="30312"/>
  <c r="N325" i="30312"/>
  <c r="AW246" i="30312"/>
  <c r="AW258" i="30312" s="1"/>
  <c r="AW241" i="30312"/>
  <c r="AW238" i="30312"/>
  <c r="AW333" i="30312"/>
  <c r="AW329" i="30312"/>
  <c r="AP259" i="30311"/>
  <c r="AP260" i="30311" s="1"/>
  <c r="AP253" i="30311"/>
  <c r="AP300" i="30311" s="1"/>
  <c r="AP333" i="30311"/>
  <c r="AP339" i="30311"/>
  <c r="AP254" i="30311"/>
  <c r="AP262" i="30311" s="1"/>
  <c r="AP315" i="30311"/>
  <c r="AP243" i="30311"/>
  <c r="AP307" i="30311"/>
  <c r="AP309" i="30311" s="1"/>
  <c r="AP302" i="30311"/>
  <c r="AP256" i="30311"/>
  <c r="AP257" i="30311" s="1"/>
  <c r="AP320" i="30311"/>
  <c r="AP303" i="30311"/>
  <c r="AP331" i="30311"/>
  <c r="AP244" i="30311"/>
  <c r="AP304" i="30311"/>
  <c r="AP305" i="30311" s="1"/>
  <c r="AP246" i="30311"/>
  <c r="AP299" i="30311" s="1"/>
  <c r="AP329" i="30311"/>
  <c r="AP335" i="30311"/>
  <c r="AP247" i="30311"/>
  <c r="AP325" i="30311"/>
  <c r="AP338" i="30311"/>
  <c r="AP321" i="30311"/>
  <c r="AP238" i="30311"/>
  <c r="AP319" i="30311"/>
  <c r="AP308" i="30311"/>
  <c r="AP239" i="30311"/>
  <c r="AP242" i="30311"/>
  <c r="AP330" i="30311"/>
  <c r="AP237" i="30311"/>
  <c r="AP323" i="30311"/>
  <c r="AP336" i="30311"/>
  <c r="AP255" i="30311"/>
  <c r="AP311" i="30311" s="1"/>
  <c r="AP241" i="30311"/>
  <c r="AP248" i="30311"/>
  <c r="AP332" i="30311"/>
  <c r="AP334" i="30311"/>
  <c r="AP340" i="30311"/>
  <c r="AI239" i="30311"/>
  <c r="AI340" i="30311"/>
  <c r="AI240" i="30311"/>
  <c r="AI247" i="30311"/>
  <c r="AI330" i="30311"/>
  <c r="AI248" i="30311"/>
  <c r="AI249" i="30311"/>
  <c r="AI333" i="30311"/>
  <c r="AI336" i="30311"/>
  <c r="AI238" i="30311"/>
  <c r="AI304" i="30311"/>
  <c r="AI305" i="30311" s="1"/>
  <c r="AI314" i="30311"/>
  <c r="AI246" i="30311"/>
  <c r="AI293" i="30311" s="1"/>
  <c r="AI256" i="30311"/>
  <c r="AI257" i="30311" s="1"/>
  <c r="AI312" i="30311" s="1"/>
  <c r="AI313" i="30311" s="1"/>
  <c r="AI245" i="30311"/>
  <c r="AI316" i="30311"/>
  <c r="AI315" i="30311"/>
  <c r="AI241" i="30311"/>
  <c r="AI243" i="30311"/>
  <c r="AI307" i="30311"/>
  <c r="AI253" i="30311"/>
  <c r="AI300" i="30311" s="1"/>
  <c r="AI319" i="30311"/>
  <c r="AI309" i="30311"/>
  <c r="AI301" i="30311"/>
  <c r="AI244" i="30311"/>
  <c r="AI255" i="30311"/>
  <c r="AI311" i="30311" s="1"/>
  <c r="U311" i="30311"/>
  <c r="N308" i="30311"/>
  <c r="N307" i="30311"/>
  <c r="N334" i="30311"/>
  <c r="N242" i="30311"/>
  <c r="N333" i="30311"/>
  <c r="N247" i="30311"/>
  <c r="N314" i="30311"/>
  <c r="N244" i="30311"/>
  <c r="N336" i="30311"/>
  <c r="N253" i="30311"/>
  <c r="N246" i="30311"/>
  <c r="N315" i="30311"/>
  <c r="N335" i="30311"/>
  <c r="N304" i="30311"/>
  <c r="N305" i="30311" s="1"/>
  <c r="N248" i="30311"/>
  <c r="N320" i="30311"/>
  <c r="N321" i="30311"/>
  <c r="N306" i="30311"/>
  <c r="N309" i="30311" s="1"/>
  <c r="G298" i="30311"/>
  <c r="G300" i="30311"/>
  <c r="AG261" i="30311"/>
  <c r="AW308" i="30311"/>
  <c r="M317" i="30311"/>
  <c r="AF336" i="30311"/>
  <c r="AF322" i="30311"/>
  <c r="AF238" i="30311"/>
  <c r="AF253" i="30311"/>
  <c r="AF306" i="30311"/>
  <c r="AM2" i="30311"/>
  <c r="AF332" i="30311"/>
  <c r="AF320" i="30311"/>
  <c r="AF248" i="30311"/>
  <c r="AF246" i="30311"/>
  <c r="AF239" i="30311"/>
  <c r="AF247" i="30311"/>
  <c r="AF325" i="30311"/>
  <c r="AF321" i="30311"/>
  <c r="AF243" i="30311"/>
  <c r="AF244" i="30311"/>
  <c r="AF304" i="30311"/>
  <c r="AF305" i="30311" s="1"/>
  <c r="AF259" i="30311"/>
  <c r="AF260" i="30311" s="1"/>
  <c r="AF240" i="30311"/>
  <c r="L317" i="30311"/>
  <c r="S300" i="30311"/>
  <c r="E254" i="30311"/>
  <c r="AR353" i="30311"/>
  <c r="B50" i="30308" s="1"/>
  <c r="W256" i="30311"/>
  <c r="W257" i="30311" s="1"/>
  <c r="W253" i="30311"/>
  <c r="W339" i="30311"/>
  <c r="AN2" i="30311"/>
  <c r="AG336" i="30311"/>
  <c r="AG315" i="30311"/>
  <c r="AG242" i="30311"/>
  <c r="AG249" i="30311"/>
  <c r="AG240" i="30311"/>
  <c r="AG333" i="30311"/>
  <c r="AG307" i="30311"/>
  <c r="AG324" i="30311"/>
  <c r="AG244" i="30311"/>
  <c r="AG253" i="30311"/>
  <c r="AG241" i="30311"/>
  <c r="AG328" i="30311"/>
  <c r="AG320" i="30311"/>
  <c r="AG323" i="30311"/>
  <c r="AG302" i="30311"/>
  <c r="AG329" i="30311"/>
  <c r="AG319" i="30311"/>
  <c r="AG310" i="30311"/>
  <c r="AG248" i="30311"/>
  <c r="AG2" i="30311"/>
  <c r="AG338" i="30311"/>
  <c r="D249" i="30311"/>
  <c r="D246" i="30311"/>
  <c r="D329" i="30311"/>
  <c r="AI2" i="30311"/>
  <c r="AB319" i="30311"/>
  <c r="AB242" i="30311"/>
  <c r="AB239" i="30311"/>
  <c r="AB333" i="30311"/>
  <c r="AB316" i="30311"/>
  <c r="AB302" i="30311"/>
  <c r="AB338" i="30311"/>
  <c r="AB310" i="30311"/>
  <c r="AB248" i="30311"/>
  <c r="AB307" i="30311"/>
  <c r="AB241" i="30311"/>
  <c r="AB334" i="30311"/>
  <c r="AB314" i="30311"/>
  <c r="AB240" i="30311"/>
  <c r="AB255" i="30311"/>
  <c r="AB247" i="30311"/>
  <c r="AB329" i="30311"/>
  <c r="L309" i="30311"/>
  <c r="M261" i="30311"/>
  <c r="M262" i="30311"/>
  <c r="K302" i="30311"/>
  <c r="K331" i="30311"/>
  <c r="AW256" i="30311"/>
  <c r="AW257" i="30311" s="1"/>
  <c r="AW335" i="30311"/>
  <c r="AW322" i="30311"/>
  <c r="AV261" i="30311"/>
  <c r="G309" i="30311"/>
  <c r="AF237" i="30311"/>
  <c r="AF319" i="30311"/>
  <c r="AF328" i="30311"/>
  <c r="E304" i="30311"/>
  <c r="E305" i="30311" s="1"/>
  <c r="E333" i="30311"/>
  <c r="AK293" i="30311"/>
  <c r="AK299" i="30311"/>
  <c r="AK317" i="30311"/>
  <c r="AK309" i="30311"/>
  <c r="AT240" i="30311"/>
  <c r="AT336" i="30311"/>
  <c r="S312" i="30311"/>
  <c r="R245" i="30311"/>
  <c r="R316" i="30311"/>
  <c r="S353" i="30311" s="1"/>
  <c r="E46" i="30308" s="1"/>
  <c r="AS320" i="30311"/>
  <c r="AS338" i="30311"/>
  <c r="AE306" i="30311"/>
  <c r="AE329" i="30311"/>
  <c r="Q317" i="30311"/>
  <c r="U309" i="30311"/>
  <c r="P247" i="30311"/>
  <c r="P241" i="30311"/>
  <c r="P249" i="30311"/>
  <c r="W2" i="30311"/>
  <c r="P245" i="30311"/>
  <c r="P237" i="30311"/>
  <c r="P329" i="30311"/>
  <c r="P256" i="30311"/>
  <c r="P257" i="30311" s="1"/>
  <c r="P314" i="30311"/>
  <c r="P328" i="30311"/>
  <c r="P254" i="30311"/>
  <c r="P322" i="30311"/>
  <c r="P337" i="30311"/>
  <c r="P301" i="30311"/>
  <c r="P246" i="30311"/>
  <c r="P243" i="30311"/>
  <c r="P335" i="30311"/>
  <c r="P325" i="30311"/>
  <c r="P244" i="30311"/>
  <c r="P259" i="30311"/>
  <c r="P260" i="30311" s="1"/>
  <c r="P308" i="30311"/>
  <c r="P316" i="30311"/>
  <c r="P333" i="30311"/>
  <c r="W246" i="30311"/>
  <c r="W238" i="30311"/>
  <c r="W255" i="30311"/>
  <c r="W311" i="30311" s="1"/>
  <c r="W337" i="30311"/>
  <c r="AG304" i="30311"/>
  <c r="AG305" i="30311" s="1"/>
  <c r="AG340" i="30311"/>
  <c r="D253" i="30311"/>
  <c r="D323" i="30311"/>
  <c r="D331" i="30311"/>
  <c r="AB237" i="30311"/>
  <c r="AB304" i="30311"/>
  <c r="AB305" i="30311" s="1"/>
  <c r="AB315" i="30311"/>
  <c r="AW325" i="30311"/>
  <c r="AK300" i="30311"/>
  <c r="AK298" i="30311"/>
  <c r="L2" i="30311"/>
  <c r="E253" i="30311"/>
  <c r="E243" i="30311"/>
  <c r="E241" i="30311"/>
  <c r="E324" i="30311"/>
  <c r="E315" i="30311"/>
  <c r="E331" i="30311"/>
  <c r="E339" i="30311"/>
  <c r="E302" i="30311"/>
  <c r="E325" i="30311"/>
  <c r="E319" i="30311"/>
  <c r="E244" i="30311"/>
  <c r="E340" i="30311"/>
  <c r="E328" i="30311"/>
  <c r="E308" i="30311"/>
  <c r="E320" i="30311"/>
  <c r="B262" i="30311"/>
  <c r="B261" i="30311"/>
  <c r="C293" i="30311"/>
  <c r="AW338" i="30311"/>
  <c r="T317" i="30311"/>
  <c r="F300" i="30311"/>
  <c r="F298" i="30311"/>
  <c r="AL309" i="30311"/>
  <c r="AD317" i="30311"/>
  <c r="B353" i="30311"/>
  <c r="B44" i="30308" s="1"/>
  <c r="C353" i="30311"/>
  <c r="C44" i="30308" s="1"/>
  <c r="AR309" i="30311"/>
  <c r="AT301" i="30311"/>
  <c r="AS262" i="30311"/>
  <c r="AS261" i="30311"/>
  <c r="AT316" i="30311"/>
  <c r="AN309" i="30311"/>
  <c r="AW301" i="30311"/>
  <c r="AW328" i="30311"/>
  <c r="AF308" i="30311"/>
  <c r="E230" i="30311"/>
  <c r="E338" i="30311"/>
  <c r="T309" i="30311"/>
  <c r="AK311" i="30311"/>
  <c r="AT241" i="30311"/>
  <c r="AT322" i="30311"/>
  <c r="S317" i="30311"/>
  <c r="R312" i="30311"/>
  <c r="E242" i="30311"/>
  <c r="P311" i="30311"/>
  <c r="Z299" i="30311"/>
  <c r="Z283" i="30311"/>
  <c r="W316" i="30311"/>
  <c r="W259" i="30311"/>
  <c r="W260" i="30311" s="1"/>
  <c r="W331" i="30311"/>
  <c r="AG301" i="30311"/>
  <c r="AG246" i="30311"/>
  <c r="D248" i="30311"/>
  <c r="D259" i="30311"/>
  <c r="D260" i="30311" s="1"/>
  <c r="D336" i="30311"/>
  <c r="AB245" i="30311"/>
  <c r="AB238" i="30311"/>
  <c r="AB320" i="30311"/>
  <c r="Y325" i="30311"/>
  <c r="Z293" i="30311"/>
  <c r="N237" i="30311"/>
  <c r="U2" i="30311"/>
  <c r="N255" i="30311"/>
  <c r="N311" i="30311" s="1"/>
  <c r="N2" i="30311"/>
  <c r="N329" i="30311"/>
  <c r="N324" i="30311"/>
  <c r="N310" i="30311"/>
  <c r="N316" i="30311"/>
  <c r="O45" i="30308" s="1"/>
  <c r="K254" i="30311"/>
  <c r="N254" i="30311"/>
  <c r="N301" i="30311"/>
  <c r="N322" i="30311"/>
  <c r="K248" i="30311"/>
  <c r="K322" i="30311"/>
  <c r="K328" i="30311"/>
  <c r="AW315" i="30311"/>
  <c r="AW237" i="30311"/>
  <c r="AW339" i="30311"/>
  <c r="AU248" i="30311"/>
  <c r="AV335" i="30311"/>
  <c r="AV337" i="30311"/>
  <c r="AU306" i="30311"/>
  <c r="AU314" i="30311"/>
  <c r="AT248" i="30311"/>
  <c r="X256" i="30311"/>
  <c r="X257" i="30311" s="1"/>
  <c r="X315" i="30311"/>
  <c r="X337" i="30311"/>
  <c r="M2" i="30311"/>
  <c r="F241" i="30311"/>
  <c r="F324" i="30311"/>
  <c r="F242" i="30311"/>
  <c r="F243" i="30311"/>
  <c r="F314" i="30311"/>
  <c r="F308" i="30311"/>
  <c r="F239" i="30311"/>
  <c r="F247" i="30311"/>
  <c r="F333" i="30311"/>
  <c r="F310" i="30311"/>
  <c r="F256" i="30311"/>
  <c r="F257" i="30311" s="1"/>
  <c r="F259" i="30311"/>
  <c r="F260" i="30311" s="1"/>
  <c r="F329" i="30311"/>
  <c r="F248" i="30311"/>
  <c r="F306" i="30311"/>
  <c r="F335" i="30311"/>
  <c r="AF315" i="30311"/>
  <c r="AF331" i="30311"/>
  <c r="E307" i="30311"/>
  <c r="E316" i="30311"/>
  <c r="F353" i="30311" s="1"/>
  <c r="F44" i="30308" s="1"/>
  <c r="T331" i="30311"/>
  <c r="R307" i="30311"/>
  <c r="AT253" i="30311"/>
  <c r="AT324" i="30311"/>
  <c r="R255" i="30311"/>
  <c r="R311" i="30311" s="1"/>
  <c r="R328" i="30311"/>
  <c r="R329" i="30311"/>
  <c r="AH298" i="30311"/>
  <c r="AH300" i="30311"/>
  <c r="AS240" i="30311"/>
  <c r="AE243" i="30311"/>
  <c r="AE330" i="30311"/>
  <c r="AE334" i="30311"/>
  <c r="AV259" i="30311"/>
  <c r="AV260" i="30311" s="1"/>
  <c r="AV262" i="30311" s="1"/>
  <c r="P320" i="30311"/>
  <c r="P324" i="30311"/>
  <c r="AR311" i="30311"/>
  <c r="Z298" i="30311"/>
  <c r="Z300" i="30311"/>
  <c r="W301" i="30311"/>
  <c r="W315" i="30311"/>
  <c r="W336" i="30311"/>
  <c r="AG247" i="30311"/>
  <c r="AG303" i="30311"/>
  <c r="D315" i="30311"/>
  <c r="D314" i="30311"/>
  <c r="AB331" i="30311"/>
  <c r="AB322" i="30311"/>
  <c r="AU261" i="30311"/>
  <c r="AH262" i="30311"/>
  <c r="AA300" i="30311"/>
  <c r="AA298" i="30311"/>
  <c r="F262" i="30311"/>
  <c r="F261" i="30311"/>
  <c r="AM299" i="30311"/>
  <c r="AM283" i="30311"/>
  <c r="AM293" i="30311"/>
  <c r="AM298" i="30311"/>
  <c r="N299" i="30311"/>
  <c r="N283" i="30311"/>
  <c r="E298" i="30311"/>
  <c r="E300" i="30311"/>
  <c r="J317" i="30311"/>
  <c r="AW246" i="30311"/>
  <c r="AW298" i="30311" s="1"/>
  <c r="G317" i="30311"/>
  <c r="AT246" i="30311"/>
  <c r="AE298" i="30311"/>
  <c r="N258" i="30311"/>
  <c r="N312" i="30311"/>
  <c r="AW336" i="30311"/>
  <c r="AF337" i="30311"/>
  <c r="E306" i="30311"/>
  <c r="E309" i="30311" s="1"/>
  <c r="AK312" i="30311"/>
  <c r="AK313" i="30311" s="1"/>
  <c r="AK258" i="30311"/>
  <c r="AS246" i="30311"/>
  <c r="AS322" i="30311"/>
  <c r="AS239" i="30311"/>
  <c r="AS321" i="30311"/>
  <c r="AS230" i="30311"/>
  <c r="AS237" i="30311"/>
  <c r="AS244" i="30311"/>
  <c r="AS248" i="30311"/>
  <c r="AS256" i="30311"/>
  <c r="AS257" i="30311" s="1"/>
  <c r="AS316" i="30311"/>
  <c r="AT353" i="30311" s="1"/>
  <c r="D50" i="30308" s="1"/>
  <c r="AS315" i="30311"/>
  <c r="AS253" i="30311"/>
  <c r="AS249" i="30311"/>
  <c r="AS340" i="30311"/>
  <c r="AS319" i="30311"/>
  <c r="AS308" i="30311"/>
  <c r="AS332" i="30311"/>
  <c r="AS301" i="30311"/>
  <c r="AS238" i="30311"/>
  <c r="AS325" i="30311"/>
  <c r="AS255" i="30311"/>
  <c r="AS311" i="30311" s="1"/>
  <c r="AS245" i="30311"/>
  <c r="AS339" i="30311"/>
  <c r="AS335" i="30311"/>
  <c r="AS242" i="30311"/>
  <c r="AS334" i="30311"/>
  <c r="AS330" i="30311"/>
  <c r="AS329" i="30311"/>
  <c r="K319" i="30311"/>
  <c r="R310" i="30311"/>
  <c r="AT244" i="30311"/>
  <c r="AE2" i="30311"/>
  <c r="X245" i="30311"/>
  <c r="X243" i="30311"/>
  <c r="X2" i="30311"/>
  <c r="X237" i="30311"/>
  <c r="X254" i="30311"/>
  <c r="X306" i="30311"/>
  <c r="X242" i="30311"/>
  <c r="X249" i="30311"/>
  <c r="X244" i="30311"/>
  <c r="X332" i="30311"/>
  <c r="X248" i="30311"/>
  <c r="X238" i="30311"/>
  <c r="X310" i="30311"/>
  <c r="X333" i="30311"/>
  <c r="X301" i="30311"/>
  <c r="X246" i="30311"/>
  <c r="AW242" i="30311"/>
  <c r="AW239" i="30311"/>
  <c r="AV332" i="30311"/>
  <c r="AV329" i="30311"/>
  <c r="AU293" i="30311"/>
  <c r="AU283" i="30311"/>
  <c r="AU299" i="30311"/>
  <c r="AU243" i="30311"/>
  <c r="AU249" i="30311"/>
  <c r="AU247" i="30311"/>
  <c r="AU307" i="30311"/>
  <c r="AU316" i="30311"/>
  <c r="AV353" i="30311" s="1"/>
  <c r="F50" i="30308" s="1"/>
  <c r="AU308" i="30311"/>
  <c r="AU321" i="30311"/>
  <c r="AU259" i="30311"/>
  <c r="AU260" i="30311" s="1"/>
  <c r="AU262" i="30311" s="1"/>
  <c r="AU239" i="30311"/>
  <c r="AU310" i="30311"/>
  <c r="AU328" i="30311"/>
  <c r="AU301" i="30311"/>
  <c r="AU256" i="30311"/>
  <c r="AU257" i="30311" s="1"/>
  <c r="AU325" i="30311"/>
  <c r="X308" i="30311"/>
  <c r="X329" i="30311"/>
  <c r="X320" i="30311"/>
  <c r="AF323" i="30311"/>
  <c r="AF303" i="30311"/>
  <c r="AF329" i="30311"/>
  <c r="E238" i="30311"/>
  <c r="E329" i="30311"/>
  <c r="AA2" i="30311"/>
  <c r="T237" i="30311"/>
  <c r="T336" i="30311"/>
  <c r="T230" i="30311"/>
  <c r="T240" i="30311"/>
  <c r="T310" i="30311"/>
  <c r="T244" i="30311"/>
  <c r="T238" i="30311"/>
  <c r="T254" i="30311"/>
  <c r="T334" i="30311"/>
  <c r="T315" i="30311"/>
  <c r="T301" i="30311"/>
  <c r="T245" i="30311"/>
  <c r="T256" i="30311"/>
  <c r="T257" i="30311" s="1"/>
  <c r="T249" i="30311"/>
  <c r="T304" i="30311"/>
  <c r="T305" i="30311" s="1"/>
  <c r="T323" i="30311"/>
  <c r="T316" i="30311"/>
  <c r="U353" i="30311" s="1"/>
  <c r="G46" i="30308" s="1"/>
  <c r="T332" i="30311"/>
  <c r="AT335" i="30311"/>
  <c r="R247" i="30311"/>
  <c r="AK283" i="30311"/>
  <c r="AH309" i="30311"/>
  <c r="AS241" i="30311"/>
  <c r="AS303" i="30311"/>
  <c r="AE307" i="30311"/>
  <c r="AE338" i="30311"/>
  <c r="Q261" i="30311"/>
  <c r="Q262" i="30311"/>
  <c r="AD299" i="30311"/>
  <c r="AD293" i="30311"/>
  <c r="AD283" i="30311"/>
  <c r="P315" i="30311"/>
  <c r="P336" i="30311"/>
  <c r="AH299" i="30311"/>
  <c r="AH283" i="30311"/>
  <c r="J311" i="30311"/>
  <c r="W320" i="30311"/>
  <c r="W314" i="30311"/>
  <c r="I317" i="30311"/>
  <c r="AG325" i="30311"/>
  <c r="AG259" i="30311"/>
  <c r="AG260" i="30311" s="1"/>
  <c r="AG262" i="30311" s="1"/>
  <c r="AG332" i="30311"/>
  <c r="D243" i="30311"/>
  <c r="D255" i="30311"/>
  <c r="D311" i="30311" s="1"/>
  <c r="D333" i="30311"/>
  <c r="F303" i="30311"/>
  <c r="AB335" i="30311"/>
  <c r="AB256" i="30311"/>
  <c r="AB257" i="30311" s="1"/>
  <c r="AB324" i="30311"/>
  <c r="AW304" i="30311"/>
  <c r="AW305" i="30311" s="1"/>
  <c r="AW238" i="30311"/>
  <c r="AW337" i="30311"/>
  <c r="AW248" i="30311"/>
  <c r="AW319" i="30311"/>
  <c r="AW310" i="30311"/>
  <c r="AW255" i="30311"/>
  <c r="AW311" i="30311" s="1"/>
  <c r="AW306" i="30311"/>
  <c r="AW2" i="30311"/>
  <c r="AW323" i="30311"/>
  <c r="AF311" i="30311"/>
  <c r="E299" i="30311"/>
  <c r="E293" i="30311"/>
  <c r="E283" i="30311"/>
  <c r="T299" i="30311"/>
  <c r="T293" i="30311"/>
  <c r="W309" i="30311"/>
  <c r="AB317" i="30311"/>
  <c r="AP312" i="30311"/>
  <c r="AP313" i="30311" s="1"/>
  <c r="AP258" i="30311"/>
  <c r="AW259" i="30311"/>
  <c r="AW260" i="30311" s="1"/>
  <c r="C309" i="30311"/>
  <c r="J293" i="30311"/>
  <c r="J299" i="30311"/>
  <c r="AR312" i="30311"/>
  <c r="AW329" i="30311"/>
  <c r="AT256" i="30311"/>
  <c r="AT257" i="30311" s="1"/>
  <c r="AT243" i="30311"/>
  <c r="AT239" i="30311"/>
  <c r="AT310" i="30311"/>
  <c r="AT230" i="30311"/>
  <c r="AT237" i="30311"/>
  <c r="AT319" i="30311"/>
  <c r="AT245" i="30311"/>
  <c r="AT249" i="30311"/>
  <c r="AT308" i="30311"/>
  <c r="AT303" i="30311"/>
  <c r="AT328" i="30311"/>
  <c r="AT255" i="30311"/>
  <c r="AT261" i="30311" s="1"/>
  <c r="AT247" i="30311"/>
  <c r="AT329" i="30311"/>
  <c r="AT321" i="30311"/>
  <c r="AT339" i="30311"/>
  <c r="AT242" i="30311"/>
  <c r="AT325" i="30311"/>
  <c r="AT306" i="30311"/>
  <c r="AT309" i="30311" s="1"/>
  <c r="AT238" i="30311"/>
  <c r="AT331" i="30311"/>
  <c r="AT259" i="30311"/>
  <c r="AT260" i="30311" s="1"/>
  <c r="AT262" i="30311" s="1"/>
  <c r="AT340" i="30311"/>
  <c r="AT320" i="30311"/>
  <c r="G353" i="30311"/>
  <c r="G44" i="30308" s="1"/>
  <c r="X317" i="30311"/>
  <c r="AT315" i="30311"/>
  <c r="AW302" i="30311"/>
  <c r="AD2" i="30311"/>
  <c r="W334" i="30311"/>
  <c r="W329" i="30311"/>
  <c r="W247" i="30311"/>
  <c r="W303" i="30311"/>
  <c r="W254" i="30311"/>
  <c r="W332" i="30311"/>
  <c r="W324" i="30311"/>
  <c r="W245" i="30311"/>
  <c r="W230" i="30311"/>
  <c r="W330" i="30311"/>
  <c r="W319" i="30311"/>
  <c r="W239" i="30311"/>
  <c r="W323" i="30311"/>
  <c r="W321" i="30311"/>
  <c r="W333" i="30311"/>
  <c r="W237" i="30311"/>
  <c r="E237" i="30311"/>
  <c r="G261" i="30311"/>
  <c r="G262" i="30311"/>
  <c r="AU317" i="30311"/>
  <c r="AN283" i="30311"/>
  <c r="AN299" i="30311"/>
  <c r="AN258" i="30311"/>
  <c r="E314" i="30311"/>
  <c r="N298" i="30311"/>
  <c r="AA309" i="30311"/>
  <c r="AW254" i="30311"/>
  <c r="AW247" i="30311"/>
  <c r="AW331" i="30311"/>
  <c r="AF256" i="30311"/>
  <c r="AF257" i="30311" s="1"/>
  <c r="AF333" i="30311"/>
  <c r="E335" i="30311"/>
  <c r="AT302" i="30311"/>
  <c r="AT332" i="30311"/>
  <c r="J298" i="30311"/>
  <c r="J300" i="30311"/>
  <c r="L300" i="30311"/>
  <c r="AA299" i="30311"/>
  <c r="AA293" i="30311"/>
  <c r="AA283" i="30311"/>
  <c r="AN298" i="30311"/>
  <c r="W322" i="30311"/>
  <c r="W340" i="30311"/>
  <c r="D230" i="30311"/>
  <c r="K259" i="30311"/>
  <c r="K260" i="30311" s="1"/>
  <c r="K323" i="30311"/>
  <c r="K315" i="30311"/>
  <c r="K242" i="30311"/>
  <c r="K316" i="30311"/>
  <c r="L353" i="30311" s="1"/>
  <c r="E45" i="30308" s="1"/>
  <c r="K246" i="30311"/>
  <c r="K253" i="30311"/>
  <c r="K243" i="30311"/>
  <c r="K241" i="30311"/>
  <c r="K249" i="30311"/>
  <c r="K247" i="30311"/>
  <c r="K338" i="30311"/>
  <c r="K314" i="30311"/>
  <c r="K238" i="30311"/>
  <c r="K256" i="30311"/>
  <c r="K257" i="30311" s="1"/>
  <c r="R2" i="30311"/>
  <c r="K245" i="30311"/>
  <c r="K230" i="30311"/>
  <c r="K237" i="30311"/>
  <c r="K332" i="30311"/>
  <c r="K306" i="30311"/>
  <c r="K309" i="30311" s="1"/>
  <c r="K303" i="30311"/>
  <c r="K304" i="30311"/>
  <c r="K305" i="30311" s="1"/>
  <c r="AW320" i="30311"/>
  <c r="AW249" i="30311"/>
  <c r="AW314" i="30311"/>
  <c r="AF245" i="30311"/>
  <c r="AF324" i="30311"/>
  <c r="E322" i="30311"/>
  <c r="Y312" i="30311"/>
  <c r="Y313" i="30311" s="1"/>
  <c r="AV299" i="30311"/>
  <c r="AV283" i="30311"/>
  <c r="AK262" i="30311"/>
  <c r="AK261" i="30311"/>
  <c r="C261" i="30311"/>
  <c r="C262" i="30311"/>
  <c r="AR262" i="30311"/>
  <c r="AR261" i="30311"/>
  <c r="AG312" i="30311"/>
  <c r="AG313" i="30311" s="1"/>
  <c r="AG258" i="30311"/>
  <c r="AW240" i="30311"/>
  <c r="AW333" i="30311"/>
  <c r="AG353" i="30311"/>
  <c r="E48" i="30308" s="1"/>
  <c r="P317" i="30311"/>
  <c r="B300" i="30311"/>
  <c r="B298" i="30311"/>
  <c r="AA312" i="30311"/>
  <c r="AA313" i="30311" s="1"/>
  <c r="AA258" i="30311"/>
  <c r="I309" i="30311"/>
  <c r="AG311" i="30311"/>
  <c r="AW307" i="30311"/>
  <c r="U283" i="30311"/>
  <c r="U299" i="30311"/>
  <c r="P309" i="30311"/>
  <c r="K2" i="30311"/>
  <c r="D245" i="30311"/>
  <c r="D241" i="30311"/>
  <c r="D330" i="30311"/>
  <c r="D316" i="30311"/>
  <c r="E353" i="30311" s="1"/>
  <c r="E44" i="30308" s="1"/>
  <c r="D302" i="30311"/>
  <c r="D254" i="30311"/>
  <c r="D239" i="30311"/>
  <c r="D324" i="30311"/>
  <c r="D247" i="30311"/>
  <c r="D256" i="30311"/>
  <c r="D257" i="30311" s="1"/>
  <c r="D240" i="30311"/>
  <c r="D340" i="30311"/>
  <c r="D320" i="30311"/>
  <c r="D321" i="30311"/>
  <c r="D332" i="30311"/>
  <c r="D334" i="30311"/>
  <c r="D307" i="30311"/>
  <c r="D303" i="30311"/>
  <c r="D242" i="30311"/>
  <c r="AW330" i="30311"/>
  <c r="AW332" i="30311"/>
  <c r="AF339" i="30311"/>
  <c r="E256" i="30311"/>
  <c r="E257" i="30311" s="1"/>
  <c r="E332" i="30311"/>
  <c r="L312" i="30311"/>
  <c r="L313" i="30311" s="1"/>
  <c r="L258" i="30311"/>
  <c r="AW334" i="30311"/>
  <c r="L283" i="30311"/>
  <c r="L299" i="30311"/>
  <c r="L293" i="30311"/>
  <c r="AF307" i="30311"/>
  <c r="E239" i="30311"/>
  <c r="X311" i="30311"/>
  <c r="AD298" i="30311"/>
  <c r="AD300" i="30311"/>
  <c r="W335" i="30311"/>
  <c r="L311" i="30311"/>
  <c r="K325" i="30311"/>
  <c r="K336" i="30311"/>
  <c r="AV258" i="30311"/>
  <c r="AV312" i="30311"/>
  <c r="AV313" i="30311" s="1"/>
  <c r="AF301" i="30311"/>
  <c r="J312" i="30311"/>
  <c r="J313" i="30311" s="1"/>
  <c r="J258" i="30311"/>
  <c r="AT314" i="30311"/>
  <c r="AT337" i="30311"/>
  <c r="R317" i="30311"/>
  <c r="AS247" i="30311"/>
  <c r="AS306" i="30311"/>
  <c r="AM261" i="30311"/>
  <c r="AM262" i="30311"/>
  <c r="AT2" i="30311"/>
  <c r="AR300" i="30311"/>
  <c r="AA261" i="30311"/>
  <c r="AA262" i="30311"/>
  <c r="W325" i="30311"/>
  <c r="W307" i="30311"/>
  <c r="I293" i="30311"/>
  <c r="I299" i="30311"/>
  <c r="AG238" i="30311"/>
  <c r="AG331" i="30311"/>
  <c r="AG314" i="30311"/>
  <c r="D328" i="30311"/>
  <c r="D337" i="30311"/>
  <c r="N293" i="30311"/>
  <c r="AB308" i="30311"/>
  <c r="AB246" i="30311"/>
  <c r="AB330" i="30311"/>
  <c r="Y321" i="30311"/>
  <c r="Y319" i="30311"/>
  <c r="Y247" i="30311"/>
  <c r="Y241" i="30311"/>
  <c r="Y331" i="30311"/>
  <c r="Y323" i="30311"/>
  <c r="Y303" i="30311"/>
  <c r="Y246" i="30311"/>
  <c r="Y240" i="30311"/>
  <c r="Y339" i="30311"/>
  <c r="Y333" i="30311"/>
  <c r="Y245" i="30311"/>
  <c r="Y304" i="30311"/>
  <c r="Y305" i="30311" s="1"/>
  <c r="Y259" i="30311"/>
  <c r="Y260" i="30311" s="1"/>
  <c r="Y253" i="30311"/>
  <c r="Y239" i="30311"/>
  <c r="Y230" i="30311"/>
  <c r="Y254" i="30311"/>
  <c r="Y244" i="30311"/>
  <c r="Y242" i="30311"/>
  <c r="Y307" i="30311"/>
  <c r="AF2" i="30311"/>
  <c r="Y243" i="30311"/>
  <c r="Y255" i="30311"/>
  <c r="Y311" i="30311" s="1"/>
  <c r="Y306" i="30311"/>
  <c r="Y248" i="30311"/>
  <c r="Y324" i="30311"/>
  <c r="Y301" i="30311"/>
  <c r="Y320" i="30311"/>
  <c r="J309" i="30311"/>
  <c r="Z262" i="30311"/>
  <c r="Z261" i="30311"/>
  <c r="K339" i="30311"/>
  <c r="K337" i="30311"/>
  <c r="AF241" i="30311"/>
  <c r="AW244" i="30311"/>
  <c r="AW241" i="30311"/>
  <c r="AW253" i="30311"/>
  <c r="AW300" i="30311" s="1"/>
  <c r="AW316" i="30311"/>
  <c r="O50" i="30308" s="1"/>
  <c r="AV320" i="30311"/>
  <c r="AV249" i="30311"/>
  <c r="AV319" i="30311"/>
  <c r="AV238" i="30311"/>
  <c r="AV247" i="30311"/>
  <c r="AV307" i="30311"/>
  <c r="AV309" i="30311" s="1"/>
  <c r="AV304" i="30311"/>
  <c r="AV305" i="30311" s="1"/>
  <c r="AV253" i="30311"/>
  <c r="AV239" i="30311"/>
  <c r="AV230" i="30311"/>
  <c r="AV237" i="30311"/>
  <c r="AV244" i="30311"/>
  <c r="AV240" i="30311"/>
  <c r="AV316" i="30311"/>
  <c r="AV303" i="30311"/>
  <c r="AV245" i="30311"/>
  <c r="AV340" i="30311"/>
  <c r="AU300" i="30311"/>
  <c r="AU298" i="30311"/>
  <c r="F283" i="30311"/>
  <c r="F299" i="30311"/>
  <c r="F293" i="30311"/>
  <c r="AF242" i="30311"/>
  <c r="AF302" i="30311"/>
  <c r="Y2" i="30311"/>
  <c r="R237" i="30311"/>
  <c r="R242" i="30311"/>
  <c r="R246" i="30311"/>
  <c r="R258" i="30311" s="1"/>
  <c r="R240" i="30311"/>
  <c r="R336" i="30311"/>
  <c r="R337" i="30311"/>
  <c r="R331" i="30311"/>
  <c r="R239" i="30311"/>
  <c r="R333" i="30311"/>
  <c r="R323" i="30311"/>
  <c r="R303" i="30311"/>
  <c r="R241" i="30311"/>
  <c r="R335" i="30311"/>
  <c r="R340" i="30311"/>
  <c r="R254" i="30311"/>
  <c r="R230" i="30311"/>
  <c r="R322" i="30311"/>
  <c r="R308" i="30311"/>
  <c r="R248" i="30311"/>
  <c r="E310" i="30311"/>
  <c r="E303" i="30311"/>
  <c r="X259" i="30311"/>
  <c r="X260" i="30311" s="1"/>
  <c r="AB2" i="30311"/>
  <c r="AT304" i="30311"/>
  <c r="AT305" i="30311" s="1"/>
  <c r="AT338" i="30311"/>
  <c r="R306" i="30311"/>
  <c r="R309" i="30311" s="1"/>
  <c r="R304" i="30311"/>
  <c r="R305" i="30311" s="1"/>
  <c r="AH317" i="30311"/>
  <c r="AS259" i="30311"/>
  <c r="AS260" i="30311" s="1"/>
  <c r="AS333" i="30311"/>
  <c r="AE336" i="30311"/>
  <c r="AE246" i="30311"/>
  <c r="AE303" i="30311"/>
  <c r="AE238" i="30311"/>
  <c r="AE259" i="30311"/>
  <c r="AE260" i="30311" s="1"/>
  <c r="AE242" i="30311"/>
  <c r="AE248" i="30311"/>
  <c r="AL2" i="30311"/>
  <c r="AE323" i="30311"/>
  <c r="AE316" i="30311"/>
  <c r="AF353" i="30311" s="1"/>
  <c r="D48" i="30308" s="1"/>
  <c r="AE244" i="30311"/>
  <c r="AE304" i="30311"/>
  <c r="AE305" i="30311" s="1"/>
  <c r="AE249" i="30311"/>
  <c r="AE331" i="30311"/>
  <c r="AE321" i="30311"/>
  <c r="AE256" i="30311"/>
  <c r="AE257" i="30311" s="1"/>
  <c r="AE254" i="30311"/>
  <c r="AE335" i="30311"/>
  <c r="AE240" i="30311"/>
  <c r="AE255" i="30311"/>
  <c r="AE328" i="30311"/>
  <c r="AE319" i="30311"/>
  <c r="AE315" i="30311"/>
  <c r="AE253" i="30311"/>
  <c r="AE300" i="30311" s="1"/>
  <c r="AE339" i="30311"/>
  <c r="Q299" i="30311"/>
  <c r="Q298" i="30311"/>
  <c r="F317" i="30311"/>
  <c r="AM258" i="30311"/>
  <c r="AM312" i="30311"/>
  <c r="AM313" i="30311" s="1"/>
  <c r="AR317" i="30311"/>
  <c r="W240" i="30311"/>
  <c r="W248" i="30311"/>
  <c r="W302" i="30311"/>
  <c r="AG230" i="30311"/>
  <c r="AG308" i="30311"/>
  <c r="AG309" i="30311" s="1"/>
  <c r="AG335" i="30311"/>
  <c r="D244" i="30311"/>
  <c r="D238" i="30311"/>
  <c r="D319" i="30311"/>
  <c r="AB323" i="30311"/>
  <c r="AB254" i="30311"/>
  <c r="AB337" i="30311"/>
  <c r="Y332" i="30311"/>
  <c r="N249" i="30311"/>
  <c r="N241" i="30311"/>
  <c r="N240" i="30311"/>
  <c r="N331" i="30311"/>
  <c r="AP317" i="30311"/>
  <c r="K239" i="30311"/>
  <c r="K333" i="30311"/>
  <c r="F339" i="30311"/>
  <c r="AW243" i="30311"/>
  <c r="AW303" i="30311"/>
  <c r="AW321" i="30311"/>
  <c r="AV241" i="30311"/>
  <c r="AV325" i="30311"/>
  <c r="E323" i="30311"/>
  <c r="AU315" i="30311"/>
  <c r="AU320" i="30311"/>
  <c r="AU333" i="30311"/>
  <c r="X323" i="30311"/>
  <c r="X307" i="30311"/>
  <c r="F319" i="30311"/>
  <c r="F237" i="30311"/>
  <c r="F338" i="30311"/>
  <c r="AF254" i="30311"/>
  <c r="AF310" i="30311"/>
  <c r="E249" i="30311"/>
  <c r="E301" i="30311"/>
  <c r="E337" i="30311"/>
  <c r="AN317" i="30311"/>
  <c r="T302" i="30311"/>
  <c r="T325" i="30311"/>
  <c r="AK353" i="30311"/>
  <c r="B49" i="30308" s="1"/>
  <c r="AL353" i="30311"/>
  <c r="C49" i="30308" s="1"/>
  <c r="U261" i="30311"/>
  <c r="P334" i="30311"/>
  <c r="AT307" i="30311"/>
  <c r="AN262" i="30311"/>
  <c r="AN261" i="30311"/>
  <c r="T353" i="30311"/>
  <c r="F46" i="30308" s="1"/>
  <c r="R301" i="30311"/>
  <c r="R339" i="30311"/>
  <c r="AS304" i="30311"/>
  <c r="AS305" i="30311" s="1"/>
  <c r="AS336" i="30311"/>
  <c r="AE237" i="30311"/>
  <c r="AE322" i="30311"/>
  <c r="AD258" i="30311"/>
  <c r="AD312" i="30311"/>
  <c r="AD313" i="30311" s="1"/>
  <c r="P240" i="30311"/>
  <c r="P323" i="30311"/>
  <c r="B299" i="30311"/>
  <c r="B283" i="30311"/>
  <c r="AM317" i="30311"/>
  <c r="AR237" i="30311"/>
  <c r="AR339" i="30311"/>
  <c r="AR301" i="30311"/>
  <c r="AR320" i="30311"/>
  <c r="AR249" i="30311"/>
  <c r="AR337" i="30311"/>
  <c r="AR340" i="30311"/>
  <c r="AR248" i="30311"/>
  <c r="AR322" i="30311"/>
  <c r="AR328" i="30311"/>
  <c r="AR2" i="30311"/>
  <c r="AR331" i="30311"/>
  <c r="AR310" i="30311"/>
  <c r="AR242" i="30311"/>
  <c r="AR247" i="30311"/>
  <c r="AR336" i="30311"/>
  <c r="AR323" i="30311"/>
  <c r="AR240" i="30311"/>
  <c r="AR241" i="30311"/>
  <c r="AR246" i="30311"/>
  <c r="AR258" i="30311" s="1"/>
  <c r="AR332" i="30311"/>
  <c r="Z258" i="30311"/>
  <c r="Z312" i="30311"/>
  <c r="Z313" i="30311" s="1"/>
  <c r="W328" i="30311"/>
  <c r="W304" i="30311"/>
  <c r="W305" i="30311" s="1"/>
  <c r="P2" i="30311"/>
  <c r="I303" i="30311"/>
  <c r="I310" i="30311"/>
  <c r="I247" i="30311"/>
  <c r="I329" i="30311"/>
  <c r="I2" i="30311"/>
  <c r="I308" i="30311"/>
  <c r="I245" i="30311"/>
  <c r="I328" i="30311"/>
  <c r="I316" i="30311"/>
  <c r="I338" i="30311"/>
  <c r="I302" i="30311"/>
  <c r="I239" i="30311"/>
  <c r="I254" i="30311"/>
  <c r="I256" i="30311"/>
  <c r="I257" i="30311" s="1"/>
  <c r="I336" i="30311"/>
  <c r="I333" i="30311"/>
  <c r="I237" i="30311"/>
  <c r="I244" i="30311"/>
  <c r="I323" i="30311"/>
  <c r="I325" i="30311"/>
  <c r="AB303" i="30311"/>
  <c r="AG245" i="30311"/>
  <c r="AG243" i="30311"/>
  <c r="AG316" i="30311"/>
  <c r="AH353" i="30311" s="1"/>
  <c r="F48" i="30308" s="1"/>
  <c r="D304" i="30311"/>
  <c r="D305" i="30311" s="1"/>
  <c r="D308" i="30311"/>
  <c r="D309" i="30311" s="1"/>
  <c r="AB259" i="30311"/>
  <c r="AB260" i="30311" s="1"/>
  <c r="AB306" i="30311"/>
  <c r="M313" i="30311"/>
  <c r="C298" i="30311"/>
  <c r="C300" i="30311"/>
  <c r="L262" i="30311"/>
  <c r="L261" i="30311"/>
  <c r="AL261" i="30311"/>
  <c r="AL262" i="30311"/>
  <c r="AL298" i="30311"/>
  <c r="AL300" i="30311"/>
  <c r="S246" i="30311"/>
  <c r="S248" i="30311"/>
  <c r="S329" i="30311"/>
  <c r="AH302" i="30311"/>
  <c r="AH324" i="30311"/>
  <c r="AH315" i="30311"/>
  <c r="AD311" i="30311"/>
  <c r="AE353" i="30311"/>
  <c r="C48" i="30308" s="1"/>
  <c r="AD353" i="30311"/>
  <c r="B48" i="30308" s="1"/>
  <c r="B258" i="30311"/>
  <c r="B312" i="30311"/>
  <c r="B313" i="30311" s="1"/>
  <c r="AP2" i="30311"/>
  <c r="AI328" i="30311"/>
  <c r="AI331" i="30311"/>
  <c r="AI334" i="30311"/>
  <c r="AI321" i="30311"/>
  <c r="B317" i="30311"/>
  <c r="AH2" i="30311"/>
  <c r="C312" i="30311"/>
  <c r="C313" i="30311" s="1"/>
  <c r="C258" i="30311"/>
  <c r="AH238" i="30311"/>
  <c r="AL299" i="30311"/>
  <c r="AL293" i="30311"/>
  <c r="Z2" i="30311"/>
  <c r="S240" i="30311"/>
  <c r="S302" i="30311"/>
  <c r="S254" i="30311"/>
  <c r="S310" i="30311"/>
  <c r="S338" i="30311"/>
  <c r="AH337" i="30311"/>
  <c r="AH325" i="30311"/>
  <c r="AM309" i="30311"/>
  <c r="AL313" i="30311"/>
  <c r="AN313" i="30311"/>
  <c r="AO2" i="30311"/>
  <c r="AH243" i="30311"/>
  <c r="AH247" i="30311"/>
  <c r="AH241" i="30311"/>
  <c r="AH256" i="30311"/>
  <c r="AH257" i="30311" s="1"/>
  <c r="AH336" i="30311"/>
  <c r="Q309" i="30311"/>
  <c r="S311" i="30311"/>
  <c r="Z317" i="30311"/>
  <c r="G312" i="30311"/>
  <c r="G313" i="30311" s="1"/>
  <c r="G258" i="30311"/>
  <c r="S241" i="30311"/>
  <c r="G283" i="30311"/>
  <c r="G299" i="30311"/>
  <c r="AL317" i="30311"/>
  <c r="AD309" i="30311"/>
  <c r="S301" i="30311"/>
  <c r="S303" i="30311"/>
  <c r="S308" i="30311"/>
  <c r="S309" i="30311" s="1"/>
  <c r="AL283" i="30311"/>
  <c r="AH255" i="30311"/>
  <c r="AH261" i="30311" s="1"/>
  <c r="AH304" i="30311"/>
  <c r="AH305" i="30311" s="1"/>
  <c r="AH322" i="30311"/>
  <c r="U298" i="30311"/>
  <c r="AI322" i="30311"/>
  <c r="AD261" i="30311"/>
  <c r="AD262" i="30311"/>
  <c r="AI335" i="30311"/>
  <c r="AI259" i="30311"/>
  <c r="AI260" i="30311" s="1"/>
  <c r="AI303" i="30311"/>
  <c r="C317" i="30311"/>
  <c r="AA311" i="30311"/>
  <c r="E248" i="30300"/>
  <c r="J259" i="30300"/>
  <c r="J260" i="30300" s="1"/>
  <c r="J333" i="30300"/>
  <c r="L331" i="30300"/>
  <c r="B337" i="30300"/>
  <c r="B334" i="30300"/>
  <c r="B240" i="30300"/>
  <c r="E331" i="30300"/>
  <c r="J254" i="30300"/>
  <c r="B255" i="30300"/>
  <c r="B339" i="30300"/>
  <c r="B336" i="30300"/>
  <c r="E334" i="30300"/>
  <c r="J302" i="30300"/>
  <c r="B247" i="30300"/>
  <c r="B303" i="30300"/>
  <c r="B304" i="30300"/>
  <c r="B305" i="30300" s="1"/>
  <c r="B338" i="30300"/>
  <c r="E336" i="30300"/>
  <c r="J320" i="30300"/>
  <c r="B323" i="30300"/>
  <c r="B315" i="30300"/>
  <c r="B306" i="30300"/>
  <c r="B309" i="30300" s="1"/>
  <c r="B340" i="30300"/>
  <c r="B321" i="30300"/>
  <c r="E333" i="30300"/>
  <c r="J239" i="30300"/>
  <c r="B238" i="30300"/>
  <c r="B310" i="30300"/>
  <c r="B320" i="30300"/>
  <c r="B243" i="30300"/>
  <c r="E322" i="30300"/>
  <c r="B307" i="30300"/>
  <c r="B254" i="30300"/>
  <c r="B262" i="30300" s="1"/>
  <c r="B330" i="30300"/>
  <c r="E243" i="30300"/>
  <c r="B244" i="30300"/>
  <c r="J322" i="30300"/>
  <c r="B249" i="30300"/>
  <c r="F322" i="30300"/>
  <c r="E338" i="30300"/>
  <c r="E259" i="30300"/>
  <c r="E260" i="30300" s="1"/>
  <c r="B242" i="30300"/>
  <c r="B256" i="30300"/>
  <c r="B257" i="30300" s="1"/>
  <c r="B312" i="30300" s="1"/>
  <c r="B325" i="30300"/>
  <c r="E230" i="30300"/>
  <c r="J334" i="30300"/>
  <c r="B324" i="30300"/>
  <c r="K321" i="30300"/>
  <c r="J315" i="30300"/>
  <c r="K306" i="30300"/>
  <c r="K303" i="30300"/>
  <c r="K319" i="30300"/>
  <c r="M244" i="30300"/>
  <c r="K245" i="30300"/>
  <c r="J240" i="30300"/>
  <c r="J336" i="30300"/>
  <c r="C336" i="30300"/>
  <c r="C331" i="30300"/>
  <c r="C325" i="30300"/>
  <c r="C254" i="30300"/>
  <c r="M319" i="30300"/>
  <c r="K247" i="30300"/>
  <c r="J304" i="30300"/>
  <c r="J305" i="30300" s="1"/>
  <c r="E303" i="30300"/>
  <c r="J331" i="30300"/>
  <c r="K255" i="30300"/>
  <c r="K328" i="30300"/>
  <c r="K2" i="30300"/>
  <c r="K314" i="30300"/>
  <c r="K242" i="30300"/>
  <c r="C306" i="30300"/>
  <c r="C309" i="30300" s="1"/>
  <c r="C332" i="30300"/>
  <c r="L242" i="30300"/>
  <c r="M259" i="30300"/>
  <c r="M260" i="30300" s="1"/>
  <c r="K249" i="30300"/>
  <c r="J248" i="30300"/>
  <c r="E254" i="30300"/>
  <c r="J329" i="30300"/>
  <c r="K301" i="30300"/>
  <c r="K330" i="30300"/>
  <c r="K339" i="30300"/>
  <c r="K230" i="30300"/>
  <c r="C238" i="30300"/>
  <c r="C321" i="30300"/>
  <c r="C322" i="30300"/>
  <c r="L304" i="30300"/>
  <c r="L305" i="30300" s="1"/>
  <c r="M329" i="30300"/>
  <c r="F325" i="30300"/>
  <c r="K253" i="30300"/>
  <c r="E244" i="30300"/>
  <c r="J332" i="30300"/>
  <c r="B237" i="30300"/>
  <c r="L323" i="30300"/>
  <c r="F303" i="30300"/>
  <c r="G306" i="30300"/>
  <c r="F334" i="30300"/>
  <c r="L329" i="30300"/>
  <c r="F340" i="30300"/>
  <c r="L301" i="30300"/>
  <c r="L259" i="30300"/>
  <c r="L260" i="30300" s="1"/>
  <c r="L330" i="30300"/>
  <c r="L334" i="30300"/>
  <c r="M308" i="30300"/>
  <c r="M303" i="30300"/>
  <c r="M331" i="30300"/>
  <c r="D259" i="30300"/>
  <c r="D260" i="30300" s="1"/>
  <c r="D262" i="30300" s="1"/>
  <c r="F230" i="30300"/>
  <c r="F254" i="30300"/>
  <c r="F331" i="30300"/>
  <c r="K337" i="30300"/>
  <c r="E310" i="30300"/>
  <c r="E324" i="30300"/>
  <c r="J241" i="30300"/>
  <c r="J339" i="30300"/>
  <c r="G331" i="30300"/>
  <c r="L310" i="30300"/>
  <c r="G324" i="30300"/>
  <c r="L325" i="30300"/>
  <c r="F330" i="30300"/>
  <c r="D324" i="30300"/>
  <c r="M339" i="30300"/>
  <c r="D339" i="30300"/>
  <c r="D330" i="30300"/>
  <c r="B293" i="30300"/>
  <c r="L315" i="30300"/>
  <c r="L256" i="30300"/>
  <c r="L257" i="30300" s="1"/>
  <c r="L312" i="30300" s="1"/>
  <c r="L328" i="30300"/>
  <c r="L336" i="30300"/>
  <c r="M301" i="30300"/>
  <c r="M307" i="30300"/>
  <c r="M337" i="30300"/>
  <c r="F238" i="30300"/>
  <c r="F315" i="30300"/>
  <c r="F339" i="30300"/>
  <c r="K244" i="30300"/>
  <c r="K324" i="30300"/>
  <c r="K323" i="30300"/>
  <c r="E307" i="30300"/>
  <c r="E301" i="30300"/>
  <c r="E328" i="30300"/>
  <c r="J243" i="30300"/>
  <c r="J330" i="30300"/>
  <c r="L335" i="30300"/>
  <c r="G253" i="30300"/>
  <c r="G317" i="30300" s="1"/>
  <c r="D253" i="30300"/>
  <c r="D317" i="30300" s="1"/>
  <c r="D243" i="30300"/>
  <c r="D241" i="30300"/>
  <c r="L332" i="30300"/>
  <c r="F316" i="30300"/>
  <c r="G323" i="30300"/>
  <c r="D328" i="30300"/>
  <c r="D255" i="30300"/>
  <c r="D325" i="30300"/>
  <c r="D335" i="30300"/>
  <c r="L247" i="30300"/>
  <c r="L320" i="30300"/>
  <c r="L339" i="30300"/>
  <c r="L338" i="30300"/>
  <c r="M237" i="30300"/>
  <c r="M325" i="30300"/>
  <c r="M332" i="30300"/>
  <c r="F259" i="30300"/>
  <c r="F260" i="30300" s="1"/>
  <c r="G248" i="30300"/>
  <c r="K237" i="30300"/>
  <c r="K259" i="30300"/>
  <c r="K260" i="30300" s="1"/>
  <c r="K325" i="30300"/>
  <c r="E239" i="30300"/>
  <c r="E308" i="30300"/>
  <c r="E330" i="30300"/>
  <c r="J247" i="30300"/>
  <c r="J337" i="30300"/>
  <c r="C310" i="30300"/>
  <c r="G301" i="30300"/>
  <c r="M256" i="30300"/>
  <c r="M257" i="30300" s="1"/>
  <c r="M312" i="30300" s="1"/>
  <c r="D331" i="30300"/>
  <c r="D303" i="30300"/>
  <c r="D249" i="30300"/>
  <c r="L306" i="30300"/>
  <c r="L314" i="30300"/>
  <c r="L340" i="30300"/>
  <c r="M247" i="30300"/>
  <c r="M304" i="30300"/>
  <c r="M305" i="30300" s="1"/>
  <c r="M334" i="30300"/>
  <c r="M254" i="30300"/>
  <c r="F237" i="30300"/>
  <c r="F323" i="30300"/>
  <c r="K322" i="30300"/>
  <c r="K329" i="30300"/>
  <c r="E240" i="30300"/>
  <c r="E319" i="30300"/>
  <c r="E335" i="30300"/>
  <c r="J249" i="30300"/>
  <c r="J310" i="30300"/>
  <c r="M248" i="30300"/>
  <c r="L238" i="30300"/>
  <c r="L337" i="30300"/>
  <c r="L244" i="30300"/>
  <c r="D246" i="30300"/>
  <c r="D283" i="30300" s="1"/>
  <c r="D238" i="30300"/>
  <c r="D306" i="30300"/>
  <c r="D334" i="30300"/>
  <c r="M316" i="30300"/>
  <c r="L308" i="30300"/>
  <c r="L302" i="30300"/>
  <c r="L316" i="30300"/>
  <c r="M324" i="30300"/>
  <c r="M336" i="30300"/>
  <c r="L248" i="30300"/>
  <c r="F244" i="30300"/>
  <c r="F321" i="30300"/>
  <c r="K240" i="30300"/>
  <c r="K254" i="30300"/>
  <c r="K335" i="30300"/>
  <c r="K332" i="30300"/>
  <c r="E237" i="30300"/>
  <c r="E255" i="30300"/>
  <c r="E340" i="30300"/>
  <c r="E339" i="30300"/>
  <c r="J255" i="30300"/>
  <c r="J301" i="30300"/>
  <c r="J314" i="30300"/>
  <c r="G330" i="30300"/>
  <c r="L255" i="30300"/>
  <c r="L243" i="30300"/>
  <c r="L322" i="30300"/>
  <c r="F332" i="30300"/>
  <c r="L249" i="30300"/>
  <c r="M328" i="30300"/>
  <c r="D314" i="30300"/>
  <c r="L324" i="30300"/>
  <c r="D323" i="30300"/>
  <c r="F301" i="30300"/>
  <c r="D242" i="30300"/>
  <c r="D248" i="30300"/>
  <c r="D332" i="30300"/>
  <c r="D304" i="30300"/>
  <c r="D305" i="30300" s="1"/>
  <c r="D240" i="30300"/>
  <c r="D321" i="30300"/>
  <c r="D310" i="30300"/>
  <c r="D336" i="30300"/>
  <c r="D307" i="30300"/>
  <c r="L237" i="30300"/>
  <c r="L303" i="30300"/>
  <c r="L319" i="30300"/>
  <c r="M249" i="30300"/>
  <c r="M230" i="30300"/>
  <c r="M306" i="30300"/>
  <c r="M338" i="30300"/>
  <c r="M245" i="30300"/>
  <c r="F253" i="30300"/>
  <c r="F317" i="30300" s="1"/>
  <c r="F310" i="30300"/>
  <c r="K241" i="30300"/>
  <c r="K302" i="30300"/>
  <c r="K315" i="30300"/>
  <c r="K334" i="30300"/>
  <c r="E247" i="30300"/>
  <c r="E314" i="30300"/>
  <c r="E323" i="30300"/>
  <c r="J230" i="30300"/>
  <c r="J303" i="30300"/>
  <c r="J316" i="30300"/>
  <c r="G238" i="30300"/>
  <c r="C237" i="30300"/>
  <c r="F329" i="30300"/>
  <c r="D322" i="30300"/>
  <c r="D301" i="30300"/>
  <c r="D315" i="30300"/>
  <c r="M255" i="30300"/>
  <c r="L230" i="30300"/>
  <c r="L307" i="30300"/>
  <c r="L321" i="30300"/>
  <c r="M242" i="30300"/>
  <c r="M321" i="30300"/>
  <c r="F324" i="30300"/>
  <c r="F319" i="30300"/>
  <c r="K243" i="30300"/>
  <c r="K338" i="30300"/>
  <c r="E256" i="30300"/>
  <c r="E257" i="30300" s="1"/>
  <c r="E312" i="30300" s="1"/>
  <c r="E329" i="30300"/>
  <c r="J256" i="30300"/>
  <c r="J257" i="30300" s="1"/>
  <c r="J312" i="30300" s="1"/>
  <c r="J242" i="30300"/>
  <c r="J307" i="30300"/>
  <c r="J321" i="30300"/>
  <c r="G243" i="30300"/>
  <c r="C230" i="30300"/>
  <c r="G304" i="30300"/>
  <c r="G305" i="30300" s="1"/>
  <c r="G247" i="30300"/>
  <c r="G336" i="30300"/>
  <c r="G322" i="30300"/>
  <c r="G241" i="30300"/>
  <c r="G240" i="30300"/>
  <c r="AO297" i="30300"/>
  <c r="AO7" i="30300" s="1"/>
  <c r="AO8" i="30300" s="1"/>
  <c r="F243" i="30300"/>
  <c r="F240" i="30300"/>
  <c r="F302" i="30300"/>
  <c r="F336" i="30300"/>
  <c r="J237" i="30300"/>
  <c r="J324" i="30300"/>
  <c r="J308" i="30300"/>
  <c r="J340" i="30300"/>
  <c r="G255" i="30300"/>
  <c r="G254" i="30300"/>
  <c r="G338" i="30300"/>
  <c r="G332" i="30300"/>
  <c r="AN8" i="30300"/>
  <c r="AN338" i="30300" s="1"/>
  <c r="G308" i="30300"/>
  <c r="Q8" i="30300"/>
  <c r="Q321" i="30300" s="1"/>
  <c r="U339" i="30300"/>
  <c r="U337" i="30300"/>
  <c r="U335" i="30300"/>
  <c r="U332" i="30300"/>
  <c r="U329" i="30300"/>
  <c r="U325" i="30300"/>
  <c r="U322" i="30300"/>
  <c r="U338" i="30300"/>
  <c r="U333" i="30300"/>
  <c r="U321" i="30300"/>
  <c r="U319" i="30300"/>
  <c r="U316" i="30300"/>
  <c r="U314" i="30300"/>
  <c r="U320" i="30300"/>
  <c r="U307" i="30300"/>
  <c r="U303" i="30300"/>
  <c r="U301" i="30300"/>
  <c r="U324" i="30300"/>
  <c r="U323" i="30300"/>
  <c r="U315" i="30300"/>
  <c r="U308" i="30300"/>
  <c r="U328" i="30300"/>
  <c r="U310" i="30300"/>
  <c r="U254" i="30300"/>
  <c r="U336" i="30300"/>
  <c r="U334" i="30300"/>
  <c r="U304" i="30300"/>
  <c r="U305" i="30300" s="1"/>
  <c r="U340" i="30300"/>
  <c r="U248" i="30300"/>
  <c r="U256" i="30300"/>
  <c r="U257" i="30300" s="1"/>
  <c r="U239" i="30300"/>
  <c r="U306" i="30300"/>
  <c r="U331" i="30300"/>
  <c r="U259" i="30300"/>
  <c r="U260" i="30300" s="1"/>
  <c r="U255" i="30300"/>
  <c r="U249" i="30300"/>
  <c r="U246" i="30300"/>
  <c r="U283" i="30300" s="1"/>
  <c r="U330" i="30300"/>
  <c r="U244" i="30300"/>
  <c r="U241" i="30300"/>
  <c r="U240" i="30300"/>
  <c r="U245" i="30300"/>
  <c r="AB1" i="30300"/>
  <c r="U238" i="30300"/>
  <c r="U242" i="30300"/>
  <c r="U253" i="30300"/>
  <c r="U302" i="30300"/>
  <c r="U237" i="30300"/>
  <c r="U230" i="30300"/>
  <c r="U243" i="30300"/>
  <c r="U247" i="30300"/>
  <c r="B258" i="30300"/>
  <c r="G230" i="30300"/>
  <c r="G246" i="30300"/>
  <c r="G307" i="30300"/>
  <c r="G333" i="30300"/>
  <c r="F320" i="30300"/>
  <c r="F246" i="30300"/>
  <c r="F306" i="30300"/>
  <c r="F338" i="30300"/>
  <c r="K246" i="30300"/>
  <c r="K283" i="30300" s="1"/>
  <c r="K239" i="30300"/>
  <c r="K238" i="30300"/>
  <c r="K304" i="30300"/>
  <c r="K305" i="30300" s="1"/>
  <c r="K316" i="30300"/>
  <c r="L2" i="30300"/>
  <c r="E304" i="30300"/>
  <c r="E305" i="30300" s="1"/>
  <c r="E242" i="30300"/>
  <c r="E245" i="30300"/>
  <c r="E241" i="30300"/>
  <c r="E302" i="30300"/>
  <c r="E332" i="30300"/>
  <c r="E337" i="30300"/>
  <c r="J244" i="30300"/>
  <c r="J245" i="30300"/>
  <c r="J335" i="30300"/>
  <c r="G237" i="30300"/>
  <c r="G249" i="30300"/>
  <c r="G328" i="30300"/>
  <c r="G335" i="30300"/>
  <c r="T339" i="30300"/>
  <c r="T337" i="30300"/>
  <c r="T335" i="30300"/>
  <c r="T333" i="30300"/>
  <c r="T331" i="30300"/>
  <c r="T336" i="30300"/>
  <c r="T338" i="30300"/>
  <c r="T324" i="30300"/>
  <c r="T329" i="30300"/>
  <c r="T340" i="30300"/>
  <c r="T334" i="30300"/>
  <c r="T316" i="30300"/>
  <c r="T314" i="30300"/>
  <c r="T320" i="30300"/>
  <c r="T307" i="30300"/>
  <c r="T301" i="30300"/>
  <c r="T323" i="30300"/>
  <c r="T322" i="30300"/>
  <c r="T310" i="30300"/>
  <c r="T306" i="30300"/>
  <c r="T332" i="30300"/>
  <c r="T328" i="30300"/>
  <c r="T321" i="30300"/>
  <c r="T319" i="30300"/>
  <c r="T254" i="30300"/>
  <c r="T303" i="30300"/>
  <c r="T308" i="30300"/>
  <c r="T304" i="30300"/>
  <c r="T305" i="30300" s="1"/>
  <c r="T315" i="30300"/>
  <c r="T240" i="30300"/>
  <c r="T248" i="30300"/>
  <c r="T256" i="30300"/>
  <c r="T257" i="30300" s="1"/>
  <c r="T239" i="30300"/>
  <c r="T242" i="30300"/>
  <c r="T330" i="30300"/>
  <c r="T244" i="30300"/>
  <c r="T241" i="30300"/>
  <c r="T245" i="30300"/>
  <c r="T246" i="30300"/>
  <c r="T283" i="30300" s="1"/>
  <c r="T259" i="30300"/>
  <c r="T260" i="30300" s="1"/>
  <c r="T238" i="30300"/>
  <c r="T237" i="30300"/>
  <c r="T230" i="30300"/>
  <c r="T243" i="30300"/>
  <c r="T1" i="30300"/>
  <c r="T302" i="30300"/>
  <c r="T255" i="30300"/>
  <c r="T249" i="30300"/>
  <c r="T247" i="30300"/>
  <c r="T253" i="30300"/>
  <c r="T325" i="30300"/>
  <c r="B298" i="30300"/>
  <c r="G245" i="30300"/>
  <c r="B261" i="30300"/>
  <c r="AU297" i="30300"/>
  <c r="AU7" i="30300" s="1"/>
  <c r="AU8" i="30300" s="1"/>
  <c r="G239" i="30300"/>
  <c r="AA297" i="30300"/>
  <c r="AA7" i="30300" s="1"/>
  <c r="AA8" i="30300" s="1"/>
  <c r="E317" i="30300"/>
  <c r="Z297" i="30300"/>
  <c r="Z7" i="30300" s="1"/>
  <c r="F333" i="30300"/>
  <c r="G242" i="30300"/>
  <c r="G316" i="30300"/>
  <c r="G353" i="30300" s="1"/>
  <c r="G339" i="30300"/>
  <c r="R1" i="30300"/>
  <c r="D353" i="30300"/>
  <c r="M240" i="30300"/>
  <c r="M239" i="30300"/>
  <c r="M246" i="30300"/>
  <c r="M333" i="30300"/>
  <c r="M253" i="30300"/>
  <c r="M310" i="30300"/>
  <c r="M302" i="30300"/>
  <c r="T2" i="30300"/>
  <c r="M238" i="30300"/>
  <c r="L254" i="30300"/>
  <c r="L245" i="30300"/>
  <c r="L253" i="30300"/>
  <c r="S2" i="30300"/>
  <c r="L240" i="30300"/>
  <c r="L333" i="30300"/>
  <c r="L246" i="30300"/>
  <c r="L239" i="30300"/>
  <c r="M315" i="30300"/>
  <c r="M314" i="30300"/>
  <c r="M330" i="30300"/>
  <c r="J2" i="30300"/>
  <c r="F247" i="30300"/>
  <c r="F255" i="30300"/>
  <c r="F307" i="30300"/>
  <c r="K248" i="30300"/>
  <c r="K307" i="30300"/>
  <c r="K331" i="30300"/>
  <c r="J246" i="30300"/>
  <c r="J283" i="30300" s="1"/>
  <c r="E316" i="30300"/>
  <c r="E246" i="30300"/>
  <c r="E306" i="30300"/>
  <c r="E315" i="30300"/>
  <c r="P8" i="30300"/>
  <c r="P330" i="30300" s="1"/>
  <c r="J253" i="30300"/>
  <c r="J338" i="30300"/>
  <c r="J323" i="30300"/>
  <c r="S339" i="30300"/>
  <c r="S337" i="30300"/>
  <c r="S335" i="30300"/>
  <c r="S330" i="30300"/>
  <c r="S328" i="30300"/>
  <c r="S324" i="30300"/>
  <c r="S322" i="30300"/>
  <c r="S336" i="30300"/>
  <c r="S333" i="30300"/>
  <c r="S320" i="30300"/>
  <c r="S315" i="30300"/>
  <c r="S329" i="30300"/>
  <c r="S325" i="30300"/>
  <c r="S331" i="30300"/>
  <c r="S334" i="30300"/>
  <c r="S316" i="30300"/>
  <c r="S314" i="30300"/>
  <c r="S338" i="30300"/>
  <c r="S301" i="30300"/>
  <c r="S308" i="30300"/>
  <c r="S307" i="30300"/>
  <c r="S255" i="30300"/>
  <c r="S310" i="30300"/>
  <c r="S332" i="30300"/>
  <c r="S321" i="30300"/>
  <c r="S319" i="30300"/>
  <c r="S254" i="30300"/>
  <c r="S323" i="30300"/>
  <c r="S303" i="30300"/>
  <c r="S253" i="30300"/>
  <c r="S239" i="30300"/>
  <c r="S240" i="30300"/>
  <c r="S248" i="30300"/>
  <c r="S306" i="30300"/>
  <c r="S304" i="30300"/>
  <c r="S305" i="30300" s="1"/>
  <c r="S256" i="30300"/>
  <c r="S257" i="30300" s="1"/>
  <c r="S243" i="30300"/>
  <c r="S246" i="30300"/>
  <c r="S283" i="30300" s="1"/>
  <c r="S242" i="30300"/>
  <c r="S241" i="30300"/>
  <c r="S340" i="30300"/>
  <c r="S244" i="30300"/>
  <c r="S245" i="30300"/>
  <c r="S1" i="30300"/>
  <c r="S249" i="30300"/>
  <c r="S259" i="30300"/>
  <c r="S260" i="30300" s="1"/>
  <c r="S238" i="30300"/>
  <c r="S302" i="30300"/>
  <c r="S237" i="30300"/>
  <c r="S247" i="30300"/>
  <c r="S230" i="30300"/>
  <c r="G256" i="30300"/>
  <c r="G257" i="30300" s="1"/>
  <c r="G315" i="30300"/>
  <c r="K256" i="30300"/>
  <c r="K257" i="30300" s="1"/>
  <c r="AI297" i="30300"/>
  <c r="AI7" i="30300" s="1"/>
  <c r="AI8" i="30300" s="1"/>
  <c r="B283" i="30300"/>
  <c r="Y297" i="30300"/>
  <c r="Y7" i="30300" s="1"/>
  <c r="Y1" i="30300" s="1"/>
  <c r="D261" i="30300"/>
  <c r="G334" i="30300"/>
  <c r="G310" i="30300"/>
  <c r="AH339" i="30300"/>
  <c r="AH337" i="30300"/>
  <c r="AH335" i="30300"/>
  <c r="AH333" i="30300"/>
  <c r="AH331" i="30300"/>
  <c r="AH340" i="30300"/>
  <c r="AH334" i="30300"/>
  <c r="AH336" i="30300"/>
  <c r="AH338" i="30300"/>
  <c r="AH328" i="30300"/>
  <c r="AH330" i="30300"/>
  <c r="AH332" i="30300"/>
  <c r="AH322" i="30300"/>
  <c r="AH321" i="30300"/>
  <c r="AH307" i="30300"/>
  <c r="AH329" i="30300"/>
  <c r="AH301" i="30300"/>
  <c r="AH259" i="30300"/>
  <c r="AH260" i="30300" s="1"/>
  <c r="AH256" i="30300"/>
  <c r="AH257" i="30300" s="1"/>
  <c r="AH255" i="30300"/>
  <c r="AH323" i="30300"/>
  <c r="AH316" i="30300"/>
  <c r="AH306" i="30300"/>
  <c r="AH254" i="30300"/>
  <c r="AH324" i="30300"/>
  <c r="AH310" i="30300"/>
  <c r="AH308" i="30300"/>
  <c r="AH304" i="30300"/>
  <c r="AH305" i="30300" s="1"/>
  <c r="AH303" i="30300"/>
  <c r="AH253" i="30300"/>
  <c r="AH245" i="30300"/>
  <c r="AH240" i="30300"/>
  <c r="AH239" i="30300"/>
  <c r="AH320" i="30300"/>
  <c r="AH246" i="30300"/>
  <c r="AH283" i="30300" s="1"/>
  <c r="AH237" i="30300"/>
  <c r="AH249" i="30300"/>
  <c r="AH314" i="30300"/>
  <c r="AH319" i="30300"/>
  <c r="AH315" i="30300"/>
  <c r="AH247" i="30300"/>
  <c r="AH243" i="30300"/>
  <c r="AH242" i="30300"/>
  <c r="AH302" i="30300"/>
  <c r="AH230" i="30300"/>
  <c r="AH241" i="30300"/>
  <c r="AH238" i="30300"/>
  <c r="AH248" i="30300"/>
  <c r="AH244" i="30300"/>
  <c r="AH325" i="30300"/>
  <c r="G244" i="30300"/>
  <c r="G303" i="30300"/>
  <c r="G329" i="30300"/>
  <c r="R8" i="30300"/>
  <c r="R320" i="30300" s="1"/>
  <c r="G320" i="30300"/>
  <c r="G314" i="30300"/>
  <c r="G340" i="30300"/>
  <c r="G337" i="30300"/>
  <c r="I2" i="30300"/>
  <c r="U1" i="30300"/>
  <c r="N8" i="30300"/>
  <c r="U2" i="30300" s="1"/>
  <c r="M2" i="30300"/>
  <c r="F245" i="30300"/>
  <c r="F242" i="30300"/>
  <c r="F248" i="30300"/>
  <c r="F241" i="30300"/>
  <c r="F304" i="30300"/>
  <c r="F305" i="30300" s="1"/>
  <c r="F308" i="30300"/>
  <c r="C298" i="30300"/>
  <c r="G302" i="30300"/>
  <c r="B311" i="30300"/>
  <c r="M241" i="30300"/>
  <c r="M320" i="30300"/>
  <c r="M323" i="30300"/>
  <c r="X297" i="30300"/>
  <c r="X7" i="30300" s="1"/>
  <c r="F256" i="30300"/>
  <c r="F257" i="30300" s="1"/>
  <c r="F314" i="30300"/>
  <c r="F328" i="30300"/>
  <c r="F337" i="30300"/>
  <c r="K308" i="30300"/>
  <c r="K320" i="30300"/>
  <c r="K310" i="30300"/>
  <c r="K336" i="30300"/>
  <c r="E238" i="30300"/>
  <c r="E249" i="30300"/>
  <c r="E321" i="30300"/>
  <c r="E320" i="30300"/>
  <c r="Q1" i="30300"/>
  <c r="I339" i="30300"/>
  <c r="I337" i="30300"/>
  <c r="I335" i="30300"/>
  <c r="I333" i="30300"/>
  <c r="I340" i="30300"/>
  <c r="I334" i="30300"/>
  <c r="I332" i="30300"/>
  <c r="I322" i="30300"/>
  <c r="I331" i="30300"/>
  <c r="I323" i="30300"/>
  <c r="I328" i="30300"/>
  <c r="I307" i="30300"/>
  <c r="I338" i="30300"/>
  <c r="I336" i="30300"/>
  <c r="I315" i="30300"/>
  <c r="I310" i="30300"/>
  <c r="I321" i="30300"/>
  <c r="I325" i="30300"/>
  <c r="I259" i="30300"/>
  <c r="I260" i="30300" s="1"/>
  <c r="I255" i="30300"/>
  <c r="I319" i="30300"/>
  <c r="I304" i="30300"/>
  <c r="I305" i="30300" s="1"/>
  <c r="I301" i="30300"/>
  <c r="I314" i="30300"/>
  <c r="I306" i="30300"/>
  <c r="I253" i="30300"/>
  <c r="I249" i="30300"/>
  <c r="I247" i="30300"/>
  <c r="I245" i="30300"/>
  <c r="I329" i="30300"/>
  <c r="I302" i="30300"/>
  <c r="I254" i="30300"/>
  <c r="I238" i="30300"/>
  <c r="I1" i="30300"/>
  <c r="I324" i="30300"/>
  <c r="I243" i="30300"/>
  <c r="I320" i="30300"/>
  <c r="I246" i="30300"/>
  <c r="I283" i="30300" s="1"/>
  <c r="I239" i="30300"/>
  <c r="I316" i="30300"/>
  <c r="I237" i="30300"/>
  <c r="I230" i="30300"/>
  <c r="I330" i="30300"/>
  <c r="I303" i="30300"/>
  <c r="I244" i="30300"/>
  <c r="I242" i="30300"/>
  <c r="P1" i="30300"/>
  <c r="I240" i="30300"/>
  <c r="I248" i="30300"/>
  <c r="I308" i="30300"/>
  <c r="I256" i="30300"/>
  <c r="I257" i="30300" s="1"/>
  <c r="I241" i="30300"/>
  <c r="J238" i="30300"/>
  <c r="J306" i="30300"/>
  <c r="J328" i="30300"/>
  <c r="J325" i="30300"/>
  <c r="G259" i="30300"/>
  <c r="G260" i="30300" s="1"/>
  <c r="G325" i="30300"/>
  <c r="G321" i="30300"/>
  <c r="AB8" i="30300"/>
  <c r="AB319" i="30300" s="1"/>
  <c r="C300" i="30300" l="1"/>
  <c r="B317" i="30300"/>
  <c r="C262" i="30300"/>
  <c r="C258" i="30300"/>
  <c r="C317" i="30300"/>
  <c r="C353" i="30300"/>
  <c r="C299" i="30300"/>
  <c r="J262" i="30300"/>
  <c r="C293" i="30300"/>
  <c r="C261" i="30300"/>
  <c r="M311" i="30300"/>
  <c r="D258" i="30300"/>
  <c r="E258" i="30300"/>
  <c r="B313" i="30300"/>
  <c r="P310" i="30300"/>
  <c r="D312" i="30300"/>
  <c r="Q324" i="30300"/>
  <c r="P325" i="30300"/>
  <c r="D311" i="30300"/>
  <c r="C311" i="30300"/>
  <c r="E313" i="30300"/>
  <c r="L258" i="30300"/>
  <c r="L283" i="30300"/>
  <c r="F262" i="30300"/>
  <c r="M258" i="30300"/>
  <c r="M283" i="30300"/>
  <c r="K298" i="30301"/>
  <c r="E298" i="30301"/>
  <c r="L262" i="30301"/>
  <c r="Y309" i="30301"/>
  <c r="AE353" i="30301"/>
  <c r="C68" i="30308" s="1"/>
  <c r="AW293" i="30301"/>
  <c r="C311" i="30301"/>
  <c r="AW299" i="30301"/>
  <c r="U313" i="30301"/>
  <c r="AW258" i="30301"/>
  <c r="C258" i="30301"/>
  <c r="AG300" i="30301"/>
  <c r="AD283" i="30301"/>
  <c r="AD299" i="30301"/>
  <c r="AD293" i="30301"/>
  <c r="AI299" i="30301"/>
  <c r="E300" i="30301"/>
  <c r="D309" i="30301"/>
  <c r="T313" i="30301"/>
  <c r="L293" i="30301"/>
  <c r="L283" i="30301"/>
  <c r="L299" i="30301"/>
  <c r="AW298" i="30301"/>
  <c r="AU309" i="30301"/>
  <c r="T300" i="30301"/>
  <c r="AN353" i="30301"/>
  <c r="E69" i="30308" s="1"/>
  <c r="Z309" i="30301"/>
  <c r="AA309" i="30301"/>
  <c r="AM353" i="30301"/>
  <c r="D69" i="30308" s="1"/>
  <c r="AG283" i="30301"/>
  <c r="AG299" i="30301"/>
  <c r="Z262" i="30301"/>
  <c r="F311" i="30301"/>
  <c r="C298" i="30301"/>
  <c r="AG317" i="30301"/>
  <c r="AB309" i="30301"/>
  <c r="AB353" i="30301"/>
  <c r="G67" i="30308" s="1"/>
  <c r="AF262" i="30301"/>
  <c r="AF261" i="30301"/>
  <c r="AH309" i="30301"/>
  <c r="N299" i="30301"/>
  <c r="I313" i="30301"/>
  <c r="K311" i="30301"/>
  <c r="S311" i="30301"/>
  <c r="I309" i="30301"/>
  <c r="AI283" i="30301"/>
  <c r="S309" i="30301"/>
  <c r="AK298" i="30301"/>
  <c r="L312" i="30301"/>
  <c r="L313" i="30301" s="1"/>
  <c r="L258" i="30301"/>
  <c r="U298" i="30301"/>
  <c r="AI298" i="30301"/>
  <c r="AK262" i="30301"/>
  <c r="AL353" i="30301"/>
  <c r="C69" i="30308" s="1"/>
  <c r="AK311" i="30301"/>
  <c r="AK353" i="30301"/>
  <c r="B69" i="30308" s="1"/>
  <c r="AW309" i="30301"/>
  <c r="AM258" i="30301"/>
  <c r="C262" i="30301"/>
  <c r="T258" i="30301"/>
  <c r="K69" i="30308"/>
  <c r="T311" i="30301"/>
  <c r="AL311" i="30301"/>
  <c r="AV262" i="30301"/>
  <c r="AM309" i="30301"/>
  <c r="Y261" i="30301"/>
  <c r="AA312" i="30301"/>
  <c r="AA313" i="30301" s="1"/>
  <c r="AA258" i="30301"/>
  <c r="Z293" i="30301"/>
  <c r="Z299" i="30301"/>
  <c r="Z283" i="30301"/>
  <c r="AA299" i="30301"/>
  <c r="AA283" i="30301"/>
  <c r="AP262" i="30301"/>
  <c r="AA311" i="30301"/>
  <c r="AV299" i="30301"/>
  <c r="AV283" i="30301"/>
  <c r="AV293" i="30301"/>
  <c r="AV298" i="30301"/>
  <c r="G309" i="30301"/>
  <c r="N313" i="30301"/>
  <c r="AV258" i="30301"/>
  <c r="AG311" i="30301"/>
  <c r="AM312" i="30301"/>
  <c r="AM313" i="30301" s="1"/>
  <c r="C299" i="30301"/>
  <c r="C293" i="30301"/>
  <c r="C283" i="30301"/>
  <c r="AH353" i="30301"/>
  <c r="F68" i="30308" s="1"/>
  <c r="N68" i="30308"/>
  <c r="BT65" i="30308" s="1"/>
  <c r="T353" i="30301"/>
  <c r="F66" i="30308" s="1"/>
  <c r="M66" i="30308"/>
  <c r="AU261" i="30301"/>
  <c r="G353" i="30301"/>
  <c r="G64" i="30308" s="1"/>
  <c r="E353" i="30301"/>
  <c r="E64" i="30308" s="1"/>
  <c r="L64" i="30308"/>
  <c r="K353" i="30301"/>
  <c r="D65" i="30308" s="1"/>
  <c r="K65" i="30308"/>
  <c r="AU353" i="30301"/>
  <c r="E70" i="30308" s="1"/>
  <c r="L70" i="30308"/>
  <c r="Z353" i="30301"/>
  <c r="E67" i="30308" s="1"/>
  <c r="L67" i="30308"/>
  <c r="AK261" i="30301"/>
  <c r="AL313" i="30301"/>
  <c r="C261" i="30301"/>
  <c r="AP309" i="30301"/>
  <c r="AG353" i="30301"/>
  <c r="E68" i="30308" s="1"/>
  <c r="L68" i="30308"/>
  <c r="AW300" i="30301"/>
  <c r="AW312" i="30301"/>
  <c r="AW313" i="30301" s="1"/>
  <c r="AP353" i="30301"/>
  <c r="G69" i="30308" s="1"/>
  <c r="O69" i="30308"/>
  <c r="AI300" i="30301"/>
  <c r="U258" i="30301"/>
  <c r="U353" i="30301"/>
  <c r="G66" i="30308" s="1"/>
  <c r="O66" i="30308"/>
  <c r="N309" i="30301"/>
  <c r="N283" i="30301"/>
  <c r="N353" i="30301"/>
  <c r="G65" i="30308" s="1"/>
  <c r="O65" i="30308"/>
  <c r="N262" i="30301"/>
  <c r="O57" i="30308"/>
  <c r="O77" i="30308"/>
  <c r="U330" i="30312"/>
  <c r="U238" i="30312"/>
  <c r="U240" i="30312"/>
  <c r="U230" i="30312"/>
  <c r="O75" i="30308"/>
  <c r="O55" i="30308"/>
  <c r="AW353" i="30311"/>
  <c r="G50" i="30308" s="1"/>
  <c r="AI283" i="30311"/>
  <c r="AI298" i="30311"/>
  <c r="AI299" i="30311"/>
  <c r="AI262" i="30311"/>
  <c r="AI353" i="30311"/>
  <c r="G48" i="30308" s="1"/>
  <c r="O48" i="30308"/>
  <c r="AB353" i="30311"/>
  <c r="G47" i="30308" s="1"/>
  <c r="O47" i="30308"/>
  <c r="U258" i="30311"/>
  <c r="U300" i="30311"/>
  <c r="N313" i="30311"/>
  <c r="N353" i="30311"/>
  <c r="G45" i="30308" s="1"/>
  <c r="AP310" i="30298"/>
  <c r="AW1" i="30298"/>
  <c r="AW253" i="30298"/>
  <c r="AW230" i="30298"/>
  <c r="AW308" i="30298"/>
  <c r="U243" i="30298"/>
  <c r="U2" i="30298"/>
  <c r="U248" i="30298"/>
  <c r="U340" i="30298"/>
  <c r="AW332" i="30298"/>
  <c r="AW306" i="30298"/>
  <c r="U247" i="30298"/>
  <c r="AP339" i="30298"/>
  <c r="AW333" i="30298"/>
  <c r="U323" i="30298"/>
  <c r="AP331" i="30298"/>
  <c r="AW336" i="30298"/>
  <c r="U256" i="30298"/>
  <c r="U257" i="30298" s="1"/>
  <c r="AW310" i="30298"/>
  <c r="AW328" i="30298"/>
  <c r="U332" i="30298"/>
  <c r="AW249" i="30298"/>
  <c r="AW323" i="30298"/>
  <c r="U335" i="30298"/>
  <c r="AW324" i="30298"/>
  <c r="AW335" i="30298"/>
  <c r="U246" i="30298"/>
  <c r="U299" i="30298" s="1"/>
  <c r="AP332" i="30298"/>
  <c r="AP302" i="30298"/>
  <c r="AW256" i="30298"/>
  <c r="AW257" i="30298" s="1"/>
  <c r="AW312" i="30298" s="1"/>
  <c r="AW313" i="30298" s="1"/>
  <c r="U306" i="30298"/>
  <c r="AP230" i="30298"/>
  <c r="AP243" i="30298"/>
  <c r="AP246" i="30298"/>
  <c r="AP299" i="30298" s="1"/>
  <c r="AP323" i="30298"/>
  <c r="AP256" i="30298"/>
  <c r="AP257" i="30298" s="1"/>
  <c r="AP312" i="30298" s="1"/>
  <c r="AP313" i="30298" s="1"/>
  <c r="AP316" i="30298"/>
  <c r="AP242" i="30298"/>
  <c r="AP304" i="30298"/>
  <c r="AP305" i="30298" s="1"/>
  <c r="AW241" i="30298"/>
  <c r="U330" i="30298"/>
  <c r="AP244" i="30298"/>
  <c r="AP319" i="30298"/>
  <c r="U308" i="30298"/>
  <c r="U309" i="30298" s="1"/>
  <c r="AP239" i="30298"/>
  <c r="AP241" i="30298"/>
  <c r="AP254" i="30298"/>
  <c r="AP255" i="30298"/>
  <c r="AP325" i="30298"/>
  <c r="AW259" i="30298"/>
  <c r="AW260" i="30298" s="1"/>
  <c r="U307" i="30298"/>
  <c r="AP248" i="30298"/>
  <c r="AP322" i="30298"/>
  <c r="AP334" i="30298"/>
  <c r="AP328" i="30298"/>
  <c r="AW244" i="30298"/>
  <c r="AW337" i="30298"/>
  <c r="U249" i="30298"/>
  <c r="B300" i="30298"/>
  <c r="B298" i="30298"/>
  <c r="AI299" i="30298"/>
  <c r="AI293" i="30298"/>
  <c r="AI283" i="30298"/>
  <c r="AP237" i="30298"/>
  <c r="AP330" i="30298"/>
  <c r="AP253" i="30298"/>
  <c r="AP329" i="30298"/>
  <c r="AP336" i="30298"/>
  <c r="AW320" i="30298"/>
  <c r="AW243" i="30298"/>
  <c r="AW242" i="30298"/>
  <c r="AW330" i="30298"/>
  <c r="U333" i="30298"/>
  <c r="U304" i="30298"/>
  <c r="U305" i="30298" s="1"/>
  <c r="U237" i="30298"/>
  <c r="U324" i="30298"/>
  <c r="B311" i="30298"/>
  <c r="AP2" i="30298"/>
  <c r="N258" i="30298"/>
  <c r="N312" i="30298"/>
  <c r="N313" i="30298" s="1"/>
  <c r="C317" i="30298"/>
  <c r="U312" i="30298"/>
  <c r="U258" i="30298"/>
  <c r="N262" i="30298"/>
  <c r="N261" i="30298"/>
  <c r="AW338" i="30298"/>
  <c r="U244" i="30298"/>
  <c r="C353" i="30298"/>
  <c r="C74" i="30308" s="1"/>
  <c r="B353" i="30298"/>
  <c r="B74" i="30308" s="1"/>
  <c r="AW339" i="30298"/>
  <c r="U321" i="30298"/>
  <c r="U230" i="30298"/>
  <c r="B309" i="30298"/>
  <c r="AI311" i="30298"/>
  <c r="AP240" i="30298"/>
  <c r="AP308" i="30298"/>
  <c r="AP337" i="30298"/>
  <c r="AP314" i="30298"/>
  <c r="AP338" i="30298"/>
  <c r="AW240" i="30298"/>
  <c r="AW331" i="30298"/>
  <c r="AW254" i="30298"/>
  <c r="AW334" i="30298"/>
  <c r="U245" i="30298"/>
  <c r="U319" i="30298"/>
  <c r="U240" i="30298"/>
  <c r="U331" i="30298"/>
  <c r="B312" i="30298"/>
  <c r="B313" i="30298" s="1"/>
  <c r="B258" i="30298"/>
  <c r="N317" i="30298"/>
  <c r="B317" i="30298"/>
  <c r="U311" i="30298"/>
  <c r="AW317" i="30298"/>
  <c r="U239" i="30298"/>
  <c r="U259" i="30298"/>
  <c r="U260" i="30298" s="1"/>
  <c r="U253" i="30298"/>
  <c r="AW315" i="30298"/>
  <c r="AW304" i="30298"/>
  <c r="AW305" i="30298" s="1"/>
  <c r="AW237" i="30298"/>
  <c r="AW302" i="30298"/>
  <c r="AW340" i="30298"/>
  <c r="AW322" i="30298"/>
  <c r="N300" i="30298"/>
  <c r="N298" i="30298"/>
  <c r="AI258" i="30298"/>
  <c r="AI312" i="30298"/>
  <c r="AI313" i="30298" s="1"/>
  <c r="AI317" i="30298"/>
  <c r="AI309" i="30298"/>
  <c r="AP301" i="30298"/>
  <c r="AP333" i="30298"/>
  <c r="AP315" i="30298"/>
  <c r="AP340" i="30298"/>
  <c r="AW325" i="30298"/>
  <c r="AW247" i="30298"/>
  <c r="AW314" i="30298"/>
  <c r="AW319" i="30298"/>
  <c r="U254" i="30298"/>
  <c r="U328" i="30298"/>
  <c r="U338" i="30298"/>
  <c r="U301" i="30298"/>
  <c r="AP245" i="30298"/>
  <c r="AP238" i="30298"/>
  <c r="AP303" i="30298"/>
  <c r="AW238" i="30298"/>
  <c r="AW307" i="30298"/>
  <c r="AW316" i="30298"/>
  <c r="AW321" i="30298"/>
  <c r="U329" i="30298"/>
  <c r="U336" i="30298"/>
  <c r="AI261" i="30298"/>
  <c r="AI262" i="30298"/>
  <c r="AI298" i="30298"/>
  <c r="AI300" i="30298"/>
  <c r="N299" i="30298"/>
  <c r="N283" i="30298"/>
  <c r="N293" i="30298"/>
  <c r="U322" i="30298"/>
  <c r="U337" i="30298"/>
  <c r="AW248" i="30298"/>
  <c r="U302" i="30298"/>
  <c r="B261" i="30298"/>
  <c r="B262" i="30298"/>
  <c r="U314" i="30298"/>
  <c r="U320" i="30298"/>
  <c r="AW2" i="30298"/>
  <c r="AP249" i="30298"/>
  <c r="AP259" i="30298"/>
  <c r="AP260" i="30298" s="1"/>
  <c r="AP307" i="30298"/>
  <c r="AP324" i="30298"/>
  <c r="AW246" i="30298"/>
  <c r="AW329" i="30298"/>
  <c r="AW301" i="30298"/>
  <c r="N309" i="30298"/>
  <c r="B299" i="30298"/>
  <c r="B283" i="30298"/>
  <c r="B293" i="30298"/>
  <c r="U242" i="30298"/>
  <c r="U241" i="30298"/>
  <c r="U238" i="30298"/>
  <c r="U310" i="30298"/>
  <c r="C300" i="30298"/>
  <c r="C298" i="30298"/>
  <c r="U339" i="30298"/>
  <c r="AB340" i="30298"/>
  <c r="AB301" i="30298"/>
  <c r="AB303" i="30298"/>
  <c r="AI1" i="30298"/>
  <c r="AB8" i="30298"/>
  <c r="AI2" i="30298" s="1"/>
  <c r="AP247" i="30298"/>
  <c r="AP306" i="30298"/>
  <c r="AP320" i="30298"/>
  <c r="AP335" i="30298"/>
  <c r="AW255" i="30298"/>
  <c r="AW245" i="30298"/>
  <c r="AW239" i="30298"/>
  <c r="U334" i="30298"/>
  <c r="U325" i="30298"/>
  <c r="U316" i="30298"/>
  <c r="U315" i="30298"/>
  <c r="N311" i="30298"/>
  <c r="AR127" i="30298"/>
  <c r="AW311" i="30301"/>
  <c r="AP311" i="30301"/>
  <c r="U309" i="30301"/>
  <c r="U283" i="30301"/>
  <c r="U293" i="30301"/>
  <c r="U311" i="30301"/>
  <c r="N258" i="30301"/>
  <c r="N311" i="30301"/>
  <c r="AM317" i="30301"/>
  <c r="AP299" i="30301"/>
  <c r="AP283" i="30301"/>
  <c r="AP293" i="30301"/>
  <c r="Y299" i="30301"/>
  <c r="Y283" i="30301"/>
  <c r="Y293" i="30301"/>
  <c r="K317" i="30301"/>
  <c r="AI262" i="30301"/>
  <c r="AI261" i="30301"/>
  <c r="AT262" i="30301"/>
  <c r="AT261" i="30301"/>
  <c r="G312" i="30301"/>
  <c r="G313" i="30301" s="1"/>
  <c r="G258" i="30301"/>
  <c r="AW353" i="30301"/>
  <c r="G70" i="30308" s="1"/>
  <c r="U261" i="30301"/>
  <c r="U262" i="30301"/>
  <c r="D312" i="30301"/>
  <c r="D313" i="30301" s="1"/>
  <c r="D258" i="30301"/>
  <c r="AP261" i="30301"/>
  <c r="AU298" i="30301"/>
  <c r="AU300" i="30301"/>
  <c r="AU299" i="30301"/>
  <c r="AU293" i="30301"/>
  <c r="AU283" i="30301"/>
  <c r="AL298" i="30301"/>
  <c r="AL300" i="30301"/>
  <c r="J309" i="30301"/>
  <c r="AF309" i="30301"/>
  <c r="AB299" i="30301"/>
  <c r="AB283" i="30301"/>
  <c r="AB293" i="30301"/>
  <c r="K300" i="30301"/>
  <c r="AU258" i="30301"/>
  <c r="G317" i="30301"/>
  <c r="F298" i="30301"/>
  <c r="F300" i="30301"/>
  <c r="Z312" i="30301"/>
  <c r="Z313" i="30301" s="1"/>
  <c r="Z258" i="30301"/>
  <c r="AH258" i="30301"/>
  <c r="AH312" i="30301"/>
  <c r="AH313" i="30301" s="1"/>
  <c r="AK317" i="30301"/>
  <c r="E317" i="30301"/>
  <c r="E313" i="30301"/>
  <c r="AV353" i="30301"/>
  <c r="F70" i="30308" s="1"/>
  <c r="N261" i="30301"/>
  <c r="AT299" i="30301"/>
  <c r="AT293" i="30301"/>
  <c r="AT283" i="30301"/>
  <c r="AI309" i="30301"/>
  <c r="AU313" i="30301"/>
  <c r="G262" i="30301"/>
  <c r="G261" i="30301"/>
  <c r="I317" i="30301"/>
  <c r="AF312" i="30301"/>
  <c r="AF313" i="30301" s="1"/>
  <c r="AF258" i="30301"/>
  <c r="AP312" i="30301"/>
  <c r="AP313" i="30301" s="1"/>
  <c r="AP258" i="30301"/>
  <c r="I262" i="30301"/>
  <c r="I261" i="30301"/>
  <c r="AB262" i="30301"/>
  <c r="AB261" i="30301"/>
  <c r="AI317" i="30301"/>
  <c r="AT317" i="30301"/>
  <c r="AK299" i="30301"/>
  <c r="AK293" i="30301"/>
  <c r="AK283" i="30301"/>
  <c r="AM300" i="30301"/>
  <c r="U317" i="30301"/>
  <c r="I300" i="30301"/>
  <c r="I298" i="30301"/>
  <c r="U300" i="30301"/>
  <c r="G311" i="30301"/>
  <c r="AT258" i="30301"/>
  <c r="AT312" i="30301"/>
  <c r="AT313" i="30301" s="1"/>
  <c r="J299" i="30301"/>
  <c r="J293" i="30301"/>
  <c r="J283" i="30301"/>
  <c r="AH311" i="30301"/>
  <c r="AG312" i="30301"/>
  <c r="AG313" i="30301" s="1"/>
  <c r="AG258" i="30301"/>
  <c r="K261" i="30301"/>
  <c r="K262" i="30301"/>
  <c r="AL262" i="30301"/>
  <c r="AL261" i="30301"/>
  <c r="T317" i="30301"/>
  <c r="J262" i="30301"/>
  <c r="J261" i="30301"/>
  <c r="F313" i="30301"/>
  <c r="AF299" i="30301"/>
  <c r="AF283" i="30301"/>
  <c r="AF293" i="30301"/>
  <c r="J258" i="30301"/>
  <c r="AT300" i="30301"/>
  <c r="AI312" i="30301"/>
  <c r="AI313" i="30301" s="1"/>
  <c r="AI258" i="30301"/>
  <c r="D261" i="30301"/>
  <c r="D262" i="30301"/>
  <c r="S300" i="30301"/>
  <c r="S298" i="30301"/>
  <c r="AM262" i="30301"/>
  <c r="AM261" i="30301"/>
  <c r="S262" i="30301"/>
  <c r="S261" i="30301"/>
  <c r="AF298" i="30301"/>
  <c r="AF300" i="30301"/>
  <c r="AH299" i="30301"/>
  <c r="AH283" i="30301"/>
  <c r="AH293" i="30301"/>
  <c r="J313" i="30301"/>
  <c r="AT298" i="30301"/>
  <c r="G300" i="30301"/>
  <c r="G298" i="30301"/>
  <c r="AT309" i="30301"/>
  <c r="D311" i="30301"/>
  <c r="T261" i="30301"/>
  <c r="T262" i="30301"/>
  <c r="AB300" i="30301"/>
  <c r="AB298" i="30301"/>
  <c r="I299" i="30301"/>
  <c r="I283" i="30301"/>
  <c r="I293" i="30301"/>
  <c r="AP298" i="30301"/>
  <c r="AP300" i="30301"/>
  <c r="AB311" i="30301"/>
  <c r="AK258" i="30301"/>
  <c r="S299" i="30301"/>
  <c r="S293" i="30301"/>
  <c r="S283" i="30301"/>
  <c r="Y298" i="30301"/>
  <c r="AF317" i="30301"/>
  <c r="AB317" i="30301"/>
  <c r="AI353" i="30301"/>
  <c r="G68" i="30308" s="1"/>
  <c r="AH317" i="30301"/>
  <c r="AH261" i="30301"/>
  <c r="AH262" i="30301"/>
  <c r="D300" i="30301"/>
  <c r="D298" i="30301"/>
  <c r="D353" i="30301"/>
  <c r="D64" i="30308" s="1"/>
  <c r="AB312" i="30301"/>
  <c r="AB313" i="30301" s="1"/>
  <c r="AB258" i="30301"/>
  <c r="D283" i="30301"/>
  <c r="D293" i="30301"/>
  <c r="D299" i="30301"/>
  <c r="E261" i="30301"/>
  <c r="E262" i="30301"/>
  <c r="S317" i="30301"/>
  <c r="AF311" i="30301"/>
  <c r="J317" i="30301"/>
  <c r="J353" i="30301"/>
  <c r="C65" i="30308" s="1"/>
  <c r="I353" i="30301"/>
  <c r="B65" i="30308" s="1"/>
  <c r="N300" i="30301"/>
  <c r="N298" i="30301"/>
  <c r="AK300" i="30301"/>
  <c r="AH300" i="30301"/>
  <c r="AH298" i="30301"/>
  <c r="J298" i="30301"/>
  <c r="AT311" i="30301"/>
  <c r="AW317" i="30312"/>
  <c r="AB309" i="30312"/>
  <c r="U243" i="30312"/>
  <c r="U336" i="30312"/>
  <c r="U246" i="30312"/>
  <c r="U323" i="30312"/>
  <c r="U335" i="30312"/>
  <c r="U259" i="30312"/>
  <c r="U260" i="30312" s="1"/>
  <c r="U262" i="30312" s="1"/>
  <c r="U319" i="30312"/>
  <c r="U248" i="30312"/>
  <c r="U314" i="30312"/>
  <c r="U244" i="30312"/>
  <c r="U304" i="30312"/>
  <c r="U305" i="30312" s="1"/>
  <c r="U254" i="30312"/>
  <c r="U331" i="30312"/>
  <c r="U324" i="30312"/>
  <c r="U242" i="30312"/>
  <c r="U241" i="30312"/>
  <c r="U325" i="30312"/>
  <c r="U338" i="30312"/>
  <c r="U253" i="30312"/>
  <c r="U317" i="30312" s="1"/>
  <c r="U239" i="30312"/>
  <c r="U328" i="30312"/>
  <c r="U322" i="30312"/>
  <c r="U337" i="30312"/>
  <c r="U303" i="30312"/>
  <c r="U237" i="30312"/>
  <c r="U256" i="30312"/>
  <c r="U257" i="30312" s="1"/>
  <c r="U312" i="30312" s="1"/>
  <c r="U320" i="30312"/>
  <c r="U340" i="30312"/>
  <c r="N311" i="30312"/>
  <c r="N309" i="30312"/>
  <c r="AB311" i="30312"/>
  <c r="AW298" i="30312"/>
  <c r="C353" i="30312"/>
  <c r="C54" i="30308" s="1"/>
  <c r="B353" i="30312"/>
  <c r="B54" i="30308" s="1"/>
  <c r="C299" i="30312"/>
  <c r="C293" i="30312"/>
  <c r="C283" i="30312"/>
  <c r="AB258" i="30312"/>
  <c r="AB312" i="30312"/>
  <c r="AB313" i="30312" s="1"/>
  <c r="AB261" i="30312"/>
  <c r="AB262" i="30312"/>
  <c r="B300" i="30312"/>
  <c r="B298" i="30312"/>
  <c r="U306" i="30312"/>
  <c r="U307" i="30312"/>
  <c r="U302" i="30312"/>
  <c r="B299" i="30312"/>
  <c r="B283" i="30312"/>
  <c r="B293" i="30312"/>
  <c r="D299" i="30312"/>
  <c r="D293" i="30312"/>
  <c r="D283" i="30312"/>
  <c r="AB317" i="30312"/>
  <c r="N298" i="30312"/>
  <c r="N300" i="30312"/>
  <c r="B309" i="30312"/>
  <c r="D312" i="30312"/>
  <c r="D313" i="30312" s="1"/>
  <c r="D258" i="30312"/>
  <c r="AP300" i="30312"/>
  <c r="AP298" i="30312"/>
  <c r="D353" i="30312"/>
  <c r="D54" i="30308" s="1"/>
  <c r="U247" i="30312"/>
  <c r="U316" i="30312"/>
  <c r="B312" i="30312"/>
  <c r="B313" i="30312" s="1"/>
  <c r="B258" i="30312"/>
  <c r="N312" i="30312"/>
  <c r="N313" i="30312" s="1"/>
  <c r="N258" i="30312"/>
  <c r="AB298" i="30312"/>
  <c r="AB300" i="30312"/>
  <c r="U299" i="30312"/>
  <c r="U283" i="30312"/>
  <c r="U293" i="30312"/>
  <c r="B311" i="30312"/>
  <c r="AP283" i="30312"/>
  <c r="AP299" i="30312"/>
  <c r="AP293" i="30312"/>
  <c r="AP309" i="30312"/>
  <c r="AB283" i="30312"/>
  <c r="AB299" i="30312"/>
  <c r="AB293" i="30312"/>
  <c r="U2" i="30312"/>
  <c r="D309" i="30312"/>
  <c r="C313" i="30312"/>
  <c r="U245" i="30312"/>
  <c r="U315" i="30312"/>
  <c r="U321" i="30312"/>
  <c r="U255" i="30312"/>
  <c r="U311" i="30312" s="1"/>
  <c r="U329" i="30312"/>
  <c r="D317" i="30312"/>
  <c r="AW299" i="30312"/>
  <c r="AW293" i="30312"/>
  <c r="AW283" i="30312"/>
  <c r="AP311" i="30312"/>
  <c r="AP261" i="30312"/>
  <c r="AP262" i="30312"/>
  <c r="N317" i="30312"/>
  <c r="AP317" i="30312"/>
  <c r="AP258" i="30312"/>
  <c r="AP312" i="30312"/>
  <c r="AP313" i="30312" s="1"/>
  <c r="B262" i="30312"/>
  <c r="B261" i="30312"/>
  <c r="D261" i="30312"/>
  <c r="D262" i="30312"/>
  <c r="N299" i="30312"/>
  <c r="N283" i="30312"/>
  <c r="N293" i="30312"/>
  <c r="D298" i="30312"/>
  <c r="D300" i="30312"/>
  <c r="U301" i="30312"/>
  <c r="U310" i="30312"/>
  <c r="U332" i="30312"/>
  <c r="U334" i="30312"/>
  <c r="B317" i="30312"/>
  <c r="N261" i="30312"/>
  <c r="N262" i="30312"/>
  <c r="AP261" i="30311"/>
  <c r="AP298" i="30311"/>
  <c r="AP283" i="30311"/>
  <c r="AP293" i="30311"/>
  <c r="AI317" i="30311"/>
  <c r="AI258" i="30311"/>
  <c r="N317" i="30311"/>
  <c r="N300" i="30311"/>
  <c r="AV300" i="30311"/>
  <c r="AV298" i="30311"/>
  <c r="AE262" i="30311"/>
  <c r="AE261" i="30311"/>
  <c r="I298" i="30311"/>
  <c r="I300" i="30311"/>
  <c r="AG283" i="30311"/>
  <c r="AG299" i="30311"/>
  <c r="AG293" i="30311"/>
  <c r="W317" i="30311"/>
  <c r="AB309" i="30311"/>
  <c r="AW309" i="30311"/>
  <c r="T300" i="30311"/>
  <c r="T298" i="30311"/>
  <c r="AU312" i="30311"/>
  <c r="AU313" i="30311" s="1"/>
  <c r="AU258" i="30311"/>
  <c r="X298" i="30311"/>
  <c r="X300" i="30311"/>
  <c r="N261" i="30311"/>
  <c r="N262" i="30311"/>
  <c r="R300" i="30311"/>
  <c r="R298" i="30311"/>
  <c r="W312" i="30311"/>
  <c r="W313" i="30311" s="1"/>
  <c r="W258" i="30311"/>
  <c r="AF261" i="30311"/>
  <c r="AF262" i="30311"/>
  <c r="Y299" i="30311"/>
  <c r="Y293" i="30311"/>
  <c r="Y283" i="30311"/>
  <c r="AW261" i="30311"/>
  <c r="AW262" i="30311"/>
  <c r="P300" i="30311"/>
  <c r="P298" i="30311"/>
  <c r="AG317" i="30311"/>
  <c r="S299" i="30311"/>
  <c r="S283" i="30311"/>
  <c r="S293" i="30311"/>
  <c r="Y261" i="30311"/>
  <c r="Y262" i="30311"/>
  <c r="AS309" i="30311"/>
  <c r="D312" i="30311"/>
  <c r="D313" i="30311" s="1"/>
  <c r="D258" i="30311"/>
  <c r="F309" i="30311"/>
  <c r="K261" i="30311"/>
  <c r="K262" i="30311"/>
  <c r="K353" i="30311"/>
  <c r="D45" i="30308" s="1"/>
  <c r="P299" i="30311"/>
  <c r="P283" i="30311"/>
  <c r="P293" i="30311"/>
  <c r="S258" i="30311"/>
  <c r="AB312" i="30311"/>
  <c r="AB313" i="30311" s="1"/>
  <c r="AB258" i="30311"/>
  <c r="AR299" i="30311"/>
  <c r="AR283" i="30311"/>
  <c r="AR293" i="30311"/>
  <c r="AE299" i="30311"/>
  <c r="AE293" i="30311"/>
  <c r="AE283" i="30311"/>
  <c r="W261" i="30311"/>
  <c r="W262" i="30311"/>
  <c r="T311" i="30311"/>
  <c r="AS317" i="30311"/>
  <c r="AS299" i="30311"/>
  <c r="AS283" i="30311"/>
  <c r="AS293" i="30311"/>
  <c r="AT299" i="30311"/>
  <c r="AT283" i="30311"/>
  <c r="AT293" i="30311"/>
  <c r="AT317" i="30311"/>
  <c r="AU311" i="30311"/>
  <c r="S313" i="30311"/>
  <c r="AS353" i="30311"/>
  <c r="C50" i="30308" s="1"/>
  <c r="R299" i="30311"/>
  <c r="R293" i="30311"/>
  <c r="R283" i="30311"/>
  <c r="AR313" i="30311"/>
  <c r="AH258" i="30311"/>
  <c r="AH312" i="30311"/>
  <c r="AH313" i="30311" s="1"/>
  <c r="AE317" i="30311"/>
  <c r="AW317" i="30311"/>
  <c r="K311" i="30311"/>
  <c r="AT311" i="30311"/>
  <c r="D353" i="30311"/>
  <c r="D44" i="30308" s="1"/>
  <c r="W353" i="30311"/>
  <c r="B47" i="30308" s="1"/>
  <c r="X353" i="30311"/>
  <c r="C47" i="30308" s="1"/>
  <c r="R313" i="30311"/>
  <c r="E262" i="30311"/>
  <c r="E261" i="30311"/>
  <c r="AF309" i="30311"/>
  <c r="AU309" i="30311"/>
  <c r="D299" i="30311"/>
  <c r="D293" i="30311"/>
  <c r="D283" i="30311"/>
  <c r="E312" i="30311"/>
  <c r="E313" i="30311" s="1"/>
  <c r="E258" i="30311"/>
  <c r="I312" i="30311"/>
  <c r="I313" i="30311" s="1"/>
  <c r="I258" i="30311"/>
  <c r="Y317" i="30311"/>
  <c r="AR298" i="30311"/>
  <c r="Y258" i="30311"/>
  <c r="I311" i="30311"/>
  <c r="AS298" i="30311"/>
  <c r="AS300" i="30311"/>
  <c r="W299" i="30311"/>
  <c r="W293" i="30311"/>
  <c r="W283" i="30311"/>
  <c r="AW258" i="30311"/>
  <c r="AW312" i="30311"/>
  <c r="AW313" i="30311" s="1"/>
  <c r="AB311" i="30311"/>
  <c r="AF317" i="30311"/>
  <c r="I353" i="30311"/>
  <c r="B45" i="30308" s="1"/>
  <c r="J353" i="30311"/>
  <c r="C45" i="30308" s="1"/>
  <c r="K258" i="30311"/>
  <c r="K312" i="30311"/>
  <c r="K313" i="30311" s="1"/>
  <c r="AT300" i="30311"/>
  <c r="AT298" i="30311"/>
  <c r="X299" i="30311"/>
  <c r="X293" i="30311"/>
  <c r="X283" i="30311"/>
  <c r="AE312" i="30311"/>
  <c r="AE313" i="30311" s="1"/>
  <c r="AE258" i="30311"/>
  <c r="T258" i="30311"/>
  <c r="T312" i="30311"/>
  <c r="T313" i="30311" s="1"/>
  <c r="I261" i="30311"/>
  <c r="I262" i="30311"/>
  <c r="AB262" i="30311"/>
  <c r="AB261" i="30311"/>
  <c r="AV317" i="30311"/>
  <c r="D262" i="30311"/>
  <c r="D261" i="30311"/>
  <c r="K317" i="30311"/>
  <c r="AT258" i="30311"/>
  <c r="AT312" i="30311"/>
  <c r="AT313" i="30311" s="1"/>
  <c r="T262" i="30311"/>
  <c r="T261" i="30311"/>
  <c r="AS312" i="30311"/>
  <c r="AS313" i="30311" s="1"/>
  <c r="AS258" i="30311"/>
  <c r="AW299" i="30311"/>
  <c r="AW283" i="30311"/>
  <c r="AW293" i="30311"/>
  <c r="F312" i="30311"/>
  <c r="F313" i="30311" s="1"/>
  <c r="F258" i="30311"/>
  <c r="P262" i="30311"/>
  <c r="P261" i="30311"/>
  <c r="AH311" i="30311"/>
  <c r="Y309" i="30311"/>
  <c r="E311" i="30311"/>
  <c r="K299" i="30311"/>
  <c r="K283" i="30311"/>
  <c r="K293" i="30311"/>
  <c r="AB298" i="30311"/>
  <c r="AB300" i="30311"/>
  <c r="E317" i="30311"/>
  <c r="P353" i="30311"/>
  <c r="B46" i="30308" s="1"/>
  <c r="Q353" i="30311"/>
  <c r="C46" i="30308" s="1"/>
  <c r="AB299" i="30311"/>
  <c r="AB293" i="30311"/>
  <c r="AB283" i="30311"/>
  <c r="AF299" i="30311"/>
  <c r="AF283" i="30311"/>
  <c r="AF293" i="30311"/>
  <c r="W298" i="30311"/>
  <c r="W300" i="30311"/>
  <c r="S262" i="30311"/>
  <c r="S261" i="30311"/>
  <c r="R353" i="30311"/>
  <c r="D46" i="30308" s="1"/>
  <c r="AE311" i="30311"/>
  <c r="Y300" i="30311"/>
  <c r="Y298" i="30311"/>
  <c r="K298" i="30311"/>
  <c r="K300" i="30311"/>
  <c r="X309" i="30311"/>
  <c r="X312" i="30311"/>
  <c r="X313" i="30311" s="1"/>
  <c r="X258" i="30311"/>
  <c r="AU353" i="30311"/>
  <c r="E50" i="30308" s="1"/>
  <c r="R262" i="30311"/>
  <c r="R261" i="30311"/>
  <c r="D300" i="30311"/>
  <c r="D298" i="30311"/>
  <c r="AG300" i="30311"/>
  <c r="AG298" i="30311"/>
  <c r="AF300" i="30311"/>
  <c r="AF298" i="30311"/>
  <c r="AF312" i="30311"/>
  <c r="AF313" i="30311" s="1"/>
  <c r="AF258" i="30311"/>
  <c r="F311" i="30311"/>
  <c r="X261" i="30311"/>
  <c r="X262" i="30311"/>
  <c r="D317" i="30311"/>
  <c r="P258" i="30311"/>
  <c r="P312" i="30311"/>
  <c r="P313" i="30311" s="1"/>
  <c r="AE309" i="30311"/>
  <c r="S298" i="30311"/>
  <c r="AO1" i="30300"/>
  <c r="K261" i="30300"/>
  <c r="M300" i="30300"/>
  <c r="D299" i="30300"/>
  <c r="S309" i="30300"/>
  <c r="D293" i="30300"/>
  <c r="D309" i="30300"/>
  <c r="J311" i="30300"/>
  <c r="M262" i="30300"/>
  <c r="M309" i="30300"/>
  <c r="J309" i="30300"/>
  <c r="E311" i="30300"/>
  <c r="M353" i="30300"/>
  <c r="J261" i="30300"/>
  <c r="L313" i="30300"/>
  <c r="P301" i="30300"/>
  <c r="Q237" i="30300"/>
  <c r="K353" i="30300"/>
  <c r="P320" i="30300"/>
  <c r="E262" i="30300"/>
  <c r="K300" i="30300"/>
  <c r="AB331" i="30300"/>
  <c r="P254" i="30300"/>
  <c r="T311" i="30300"/>
  <c r="AN320" i="30300"/>
  <c r="AN306" i="30300"/>
  <c r="U353" i="30300"/>
  <c r="AN314" i="30300"/>
  <c r="AN259" i="30300"/>
  <c r="AN260" i="30300" s="1"/>
  <c r="Q245" i="30300"/>
  <c r="P302" i="30300"/>
  <c r="K309" i="30300"/>
  <c r="P304" i="30300"/>
  <c r="P305" i="30300" s="1"/>
  <c r="Q244" i="30300"/>
  <c r="AN304" i="30300"/>
  <c r="AN305" i="30300" s="1"/>
  <c r="L311" i="30300"/>
  <c r="AN321" i="30300"/>
  <c r="M261" i="30300"/>
  <c r="Q316" i="30300"/>
  <c r="P329" i="30300"/>
  <c r="AN328" i="30300"/>
  <c r="D313" i="30300"/>
  <c r="N249" i="30300"/>
  <c r="K262" i="30300"/>
  <c r="K317" i="30300"/>
  <c r="Q2" i="30300"/>
  <c r="P2" i="30300"/>
  <c r="P303" i="30300"/>
  <c r="P338" i="30300"/>
  <c r="Q302" i="30300"/>
  <c r="AN242" i="30300"/>
  <c r="C313" i="30300"/>
  <c r="K298" i="30300"/>
  <c r="AN329" i="30300"/>
  <c r="Q242" i="30300"/>
  <c r="AN244" i="30300"/>
  <c r="E309" i="30300"/>
  <c r="P332" i="30300"/>
  <c r="Q246" i="30300"/>
  <c r="T353" i="30300"/>
  <c r="F353" i="30300"/>
  <c r="AB314" i="30300"/>
  <c r="Q308" i="30300"/>
  <c r="AN238" i="30300"/>
  <c r="G309" i="30300"/>
  <c r="AN239" i="30300"/>
  <c r="AN323" i="30300"/>
  <c r="AN255" i="30300"/>
  <c r="AN334" i="30300"/>
  <c r="N302" i="30300"/>
  <c r="P241" i="30300"/>
  <c r="AB249" i="30300"/>
  <c r="Q337" i="30300"/>
  <c r="AN302" i="30300"/>
  <c r="J313" i="30300"/>
  <c r="P249" i="30300"/>
  <c r="P246" i="30300"/>
  <c r="P333" i="30300"/>
  <c r="AB240" i="30300"/>
  <c r="AB254" i="30300"/>
  <c r="AB334" i="30300"/>
  <c r="I311" i="30300"/>
  <c r="N247" i="30300"/>
  <c r="AH311" i="30300"/>
  <c r="P242" i="30300"/>
  <c r="P248" i="30300"/>
  <c r="P323" i="30300"/>
  <c r="AB245" i="30300"/>
  <c r="AB259" i="30300"/>
  <c r="AB260" i="30300" s="1"/>
  <c r="AB336" i="30300"/>
  <c r="AN337" i="30300"/>
  <c r="AN336" i="30300"/>
  <c r="AB321" i="30300"/>
  <c r="AB307" i="30300"/>
  <c r="AB338" i="30300"/>
  <c r="N334" i="30300"/>
  <c r="K311" i="30300"/>
  <c r="P243" i="30300"/>
  <c r="P328" i="30300"/>
  <c r="P306" i="30300"/>
  <c r="AB239" i="30300"/>
  <c r="AB303" i="30300"/>
  <c r="L353" i="30300"/>
  <c r="Q230" i="30300"/>
  <c r="Q319" i="30300"/>
  <c r="AN247" i="30300"/>
  <c r="AN330" i="30300"/>
  <c r="L309" i="30300"/>
  <c r="P244" i="30300"/>
  <c r="P259" i="30300"/>
  <c r="P260" i="30300" s="1"/>
  <c r="P321" i="30300"/>
  <c r="AB230" i="30300"/>
  <c r="AB310" i="30300"/>
  <c r="Q340" i="30300"/>
  <c r="Q334" i="30300"/>
  <c r="AN243" i="30300"/>
  <c r="AN310" i="30300"/>
  <c r="AB238" i="30300"/>
  <c r="AB322" i="30300"/>
  <c r="P237" i="30300"/>
  <c r="P314" i="30300"/>
  <c r="P335" i="30300"/>
  <c r="AB247" i="30300"/>
  <c r="AB325" i="30300"/>
  <c r="Q335" i="30300"/>
  <c r="AN335" i="30300"/>
  <c r="AN322" i="30300"/>
  <c r="P240" i="30300"/>
  <c r="P315" i="30300"/>
  <c r="P337" i="30300"/>
  <c r="AB302" i="30300"/>
  <c r="N255" i="30300"/>
  <c r="P336" i="30300"/>
  <c r="AB337" i="30300"/>
  <c r="AB304" i="30300"/>
  <c r="AB305" i="30300" s="1"/>
  <c r="E261" i="30300"/>
  <c r="AB324" i="30300"/>
  <c r="AB333" i="30300"/>
  <c r="F309" i="30300"/>
  <c r="D298" i="30300"/>
  <c r="N230" i="30300"/>
  <c r="P239" i="30300"/>
  <c r="P247" i="30300"/>
  <c r="P256" i="30300"/>
  <c r="P257" i="30300" s="1"/>
  <c r="P312" i="30300" s="1"/>
  <c r="P340" i="30300"/>
  <c r="AB242" i="30300"/>
  <c r="AB330" i="30300"/>
  <c r="Q240" i="30300"/>
  <c r="AN230" i="30300"/>
  <c r="AN325" i="30300"/>
  <c r="D300" i="30300"/>
  <c r="AH2" i="30300"/>
  <c r="AA2" i="30300"/>
  <c r="R339" i="30300"/>
  <c r="N239" i="30300"/>
  <c r="N321" i="30300"/>
  <c r="L299" i="30300"/>
  <c r="L293" i="30300"/>
  <c r="N259" i="30300"/>
  <c r="N260" i="30300" s="1"/>
  <c r="E300" i="30300"/>
  <c r="E298" i="30300"/>
  <c r="I317" i="30300"/>
  <c r="AD297" i="30300"/>
  <c r="AB255" i="30300"/>
  <c r="AI1" i="30300"/>
  <c r="AB256" i="30300"/>
  <c r="AB257" i="30300" s="1"/>
  <c r="AB306" i="30300"/>
  <c r="AB340" i="30300"/>
  <c r="M298" i="30300"/>
  <c r="U317" i="30300"/>
  <c r="U311" i="30300"/>
  <c r="U261" i="30300"/>
  <c r="U262" i="30300"/>
  <c r="Q304" i="30300"/>
  <c r="Q305" i="30300" s="1"/>
  <c r="Q301" i="30300"/>
  <c r="Q255" i="30300"/>
  <c r="Q323" i="30300"/>
  <c r="R239" i="30300"/>
  <c r="R253" i="30300"/>
  <c r="R314" i="30300"/>
  <c r="AN303" i="30300"/>
  <c r="AN249" i="30300"/>
  <c r="AN248" i="30300"/>
  <c r="AN316" i="30300"/>
  <c r="AH312" i="30300"/>
  <c r="AH313" i="30300" s="1"/>
  <c r="AH258" i="30300"/>
  <c r="N2" i="30300"/>
  <c r="AA340" i="30300"/>
  <c r="AA338" i="30300"/>
  <c r="AA336" i="30300"/>
  <c r="AA334" i="30300"/>
  <c r="AA332" i="30300"/>
  <c r="AA335" i="30300"/>
  <c r="AA331" i="30300"/>
  <c r="AA337" i="30300"/>
  <c r="AA325" i="30300"/>
  <c r="AA321" i="30300"/>
  <c r="AA333" i="30300"/>
  <c r="AA330" i="30300"/>
  <c r="AA310" i="30300"/>
  <c r="AA315" i="30300"/>
  <c r="AA319" i="30300"/>
  <c r="AA306" i="30300"/>
  <c r="AA323" i="30300"/>
  <c r="AA314" i="30300"/>
  <c r="AA322" i="30300"/>
  <c r="AA320" i="30300"/>
  <c r="AA304" i="30300"/>
  <c r="AA305" i="30300" s="1"/>
  <c r="AA303" i="30300"/>
  <c r="AA339" i="30300"/>
  <c r="AA328" i="30300"/>
  <c r="AA307" i="30300"/>
  <c r="AA302" i="30300"/>
  <c r="AA308" i="30300"/>
  <c r="AA329" i="30300"/>
  <c r="AA301" i="30300"/>
  <c r="AA256" i="30300"/>
  <c r="AA257" i="30300" s="1"/>
  <c r="AA316" i="30300"/>
  <c r="AA255" i="30300"/>
  <c r="AA230" i="30300"/>
  <c r="AA259" i="30300"/>
  <c r="AA260" i="30300" s="1"/>
  <c r="AA254" i="30300"/>
  <c r="AA249" i="30300"/>
  <c r="AA242" i="30300"/>
  <c r="AA324" i="30300"/>
  <c r="AA244" i="30300"/>
  <c r="AA243" i="30300"/>
  <c r="AA237" i="30300"/>
  <c r="AA248" i="30300"/>
  <c r="AA245" i="30300"/>
  <c r="AA239" i="30300"/>
  <c r="AA246" i="30300"/>
  <c r="AA283" i="30300" s="1"/>
  <c r="AA247" i="30300"/>
  <c r="AA238" i="30300"/>
  <c r="AA253" i="30300"/>
  <c r="AA240" i="30300"/>
  <c r="AA241" i="30300"/>
  <c r="AH1" i="30300"/>
  <c r="N322" i="30300"/>
  <c r="N245" i="30300"/>
  <c r="AU339" i="30300"/>
  <c r="AU337" i="30300"/>
  <c r="AU335" i="30300"/>
  <c r="AU328" i="30300"/>
  <c r="AU324" i="30300"/>
  <c r="AU322" i="30300"/>
  <c r="AU338" i="30300"/>
  <c r="AU330" i="30300"/>
  <c r="AU320" i="30300"/>
  <c r="AU315" i="30300"/>
  <c r="AU323" i="30300"/>
  <c r="AU333" i="30300"/>
  <c r="AU332" i="30300"/>
  <c r="AU340" i="30300"/>
  <c r="AU331" i="30300"/>
  <c r="AU329" i="30300"/>
  <c r="AU319" i="30300"/>
  <c r="AU308" i="30300"/>
  <c r="AU321" i="30300"/>
  <c r="AU336" i="30300"/>
  <c r="AU314" i="30300"/>
  <c r="AU310" i="30300"/>
  <c r="AU302" i="30300"/>
  <c r="AU325" i="30300"/>
  <c r="AU304" i="30300"/>
  <c r="AU305" i="30300" s="1"/>
  <c r="AU307" i="30300"/>
  <c r="AU255" i="30300"/>
  <c r="AU303" i="30300"/>
  <c r="AU301" i="30300"/>
  <c r="AU259" i="30300"/>
  <c r="AU260" i="30300" s="1"/>
  <c r="AU334" i="30300"/>
  <c r="AU316" i="30300"/>
  <c r="AU249" i="30300"/>
  <c r="AU241" i="30300"/>
  <c r="AU256" i="30300"/>
  <c r="AU257" i="30300" s="1"/>
  <c r="AU254" i="30300"/>
  <c r="AU247" i="30300"/>
  <c r="AU244" i="30300"/>
  <c r="AU240" i="30300"/>
  <c r="AU243" i="30300"/>
  <c r="AU242" i="30300"/>
  <c r="AU248" i="30300"/>
  <c r="AU245" i="30300"/>
  <c r="AU239" i="30300"/>
  <c r="AU230" i="30300"/>
  <c r="AU306" i="30300"/>
  <c r="AU238" i="30300"/>
  <c r="AU246" i="30300"/>
  <c r="AU283" i="30300" s="1"/>
  <c r="AU237" i="30300"/>
  <c r="AU253" i="30300"/>
  <c r="R247" i="30300"/>
  <c r="N242" i="30300"/>
  <c r="Q333" i="30300"/>
  <c r="N308" i="30300"/>
  <c r="S300" i="30300"/>
  <c r="S298" i="30300"/>
  <c r="S311" i="30300"/>
  <c r="J317" i="30300"/>
  <c r="L317" i="30300"/>
  <c r="P324" i="30300"/>
  <c r="AB339" i="30300"/>
  <c r="AB241" i="30300"/>
  <c r="AB301" i="30300"/>
  <c r="Q243" i="30300"/>
  <c r="Q325" i="30300"/>
  <c r="Q307" i="30300"/>
  <c r="AU2" i="30300"/>
  <c r="R241" i="30300"/>
  <c r="R319" i="30300"/>
  <c r="R338" i="30300"/>
  <c r="R337" i="30300"/>
  <c r="AN245" i="30300"/>
  <c r="AN256" i="30300"/>
  <c r="AN257" i="30300" s="1"/>
  <c r="AN319" i="30300"/>
  <c r="AN340" i="30300"/>
  <c r="T293" i="30300"/>
  <c r="T299" i="30300"/>
  <c r="R2" i="30300"/>
  <c r="R240" i="30300"/>
  <c r="R331" i="30300"/>
  <c r="R330" i="30300"/>
  <c r="S293" i="30300"/>
  <c r="S299" i="30300"/>
  <c r="R248" i="30300"/>
  <c r="R333" i="30300"/>
  <c r="J299" i="30300"/>
  <c r="J293" i="30300"/>
  <c r="R323" i="30300"/>
  <c r="S312" i="30300"/>
  <c r="S313" i="30300" s="1"/>
  <c r="S258" i="30300"/>
  <c r="F299" i="30300"/>
  <c r="F293" i="30300"/>
  <c r="F283" i="30300"/>
  <c r="Q328" i="30300"/>
  <c r="R306" i="30300"/>
  <c r="R329" i="30300"/>
  <c r="N248" i="30300"/>
  <c r="Q253" i="30300"/>
  <c r="R230" i="30300"/>
  <c r="N253" i="30300"/>
  <c r="AP297" i="30300"/>
  <c r="AP7" i="30300" s="1"/>
  <c r="AP8" i="30300" s="1"/>
  <c r="R245" i="30300"/>
  <c r="AI2" i="30300"/>
  <c r="N241" i="30300"/>
  <c r="F300" i="30300"/>
  <c r="F298" i="30300"/>
  <c r="N254" i="30300"/>
  <c r="N301" i="30300"/>
  <c r="N303" i="30300"/>
  <c r="N324" i="30300"/>
  <c r="AH262" i="30300"/>
  <c r="AH261" i="30300"/>
  <c r="K312" i="30300"/>
  <c r="K313" i="30300" s="1"/>
  <c r="K258" i="30300"/>
  <c r="F311" i="30300"/>
  <c r="L298" i="30300"/>
  <c r="L300" i="30300"/>
  <c r="W297" i="30300"/>
  <c r="W7" i="30300" s="1"/>
  <c r="P316" i="30300"/>
  <c r="P255" i="30300"/>
  <c r="P261" i="30300" s="1"/>
  <c r="P319" i="30300"/>
  <c r="AB248" i="30300"/>
  <c r="AB237" i="30300"/>
  <c r="AB329" i="30300"/>
  <c r="AB315" i="30300"/>
  <c r="Q239" i="30300"/>
  <c r="Q332" i="30300"/>
  <c r="Q322" i="30300"/>
  <c r="Q336" i="30300"/>
  <c r="R242" i="30300"/>
  <c r="R321" i="30300"/>
  <c r="R302" i="30300"/>
  <c r="R335" i="30300"/>
  <c r="AN237" i="30300"/>
  <c r="AN301" i="30300"/>
  <c r="AN307" i="30300"/>
  <c r="AN331" i="30300"/>
  <c r="I261" i="30300"/>
  <c r="I262" i="30300"/>
  <c r="AH300" i="30300"/>
  <c r="AH298" i="30300"/>
  <c r="R237" i="30300"/>
  <c r="R246" i="30300"/>
  <c r="R283" i="30300" s="1"/>
  <c r="T317" i="30300"/>
  <c r="R256" i="30300"/>
  <c r="R257" i="30300" s="1"/>
  <c r="N316" i="30300"/>
  <c r="N353" i="30300" s="1"/>
  <c r="N338" i="30300"/>
  <c r="S262" i="30300"/>
  <c r="S261" i="30300"/>
  <c r="X1" i="30300"/>
  <c r="R259" i="30300"/>
  <c r="R260" i="30300" s="1"/>
  <c r="I300" i="30300"/>
  <c r="I298" i="30300"/>
  <c r="N238" i="30300"/>
  <c r="N328" i="30300"/>
  <c r="N340" i="30300"/>
  <c r="R255" i="30300"/>
  <c r="U299" i="30300"/>
  <c r="U293" i="30300"/>
  <c r="Q249" i="30300"/>
  <c r="Q331" i="30300"/>
  <c r="R322" i="30300"/>
  <c r="N256" i="30300"/>
  <c r="N257" i="30300" s="1"/>
  <c r="T262" i="30300"/>
  <c r="T261" i="30300"/>
  <c r="Q306" i="30300"/>
  <c r="R301" i="30300"/>
  <c r="N243" i="30300"/>
  <c r="N314" i="30300"/>
  <c r="N337" i="30300"/>
  <c r="I309" i="30300"/>
  <c r="N244" i="30300"/>
  <c r="N320" i="30300"/>
  <c r="F312" i="30300"/>
  <c r="F313" i="30300" s="1"/>
  <c r="F258" i="30300"/>
  <c r="N315" i="30300"/>
  <c r="N307" i="30300"/>
  <c r="N339" i="30300"/>
  <c r="AH309" i="30300"/>
  <c r="L261" i="30300"/>
  <c r="L262" i="30300"/>
  <c r="M313" i="30300"/>
  <c r="G300" i="30300"/>
  <c r="G298" i="30300"/>
  <c r="T312" i="30300"/>
  <c r="T313" i="30300" s="1"/>
  <c r="T258" i="30300"/>
  <c r="P230" i="30300"/>
  <c r="P245" i="30300"/>
  <c r="P307" i="30300"/>
  <c r="P308" i="30300"/>
  <c r="P339" i="30300"/>
  <c r="AB335" i="30300"/>
  <c r="AB243" i="30300"/>
  <c r="AB308" i="30300"/>
  <c r="AB320" i="30300"/>
  <c r="U309" i="30300"/>
  <c r="Q254" i="30300"/>
  <c r="Q338" i="30300"/>
  <c r="Q256" i="30300"/>
  <c r="Q257" i="30300" s="1"/>
  <c r="Q329" i="30300"/>
  <c r="AV297" i="30300"/>
  <c r="AV7" i="30300" s="1"/>
  <c r="AV8" i="30300" s="1"/>
  <c r="AV2" i="30300" s="1"/>
  <c r="R325" i="30300"/>
  <c r="R254" i="30300"/>
  <c r="R332" i="30300"/>
  <c r="R316" i="30300"/>
  <c r="S353" i="30300" s="1"/>
  <c r="R336" i="30300"/>
  <c r="AN254" i="30300"/>
  <c r="AU1" i="30300"/>
  <c r="AN324" i="30300"/>
  <c r="AN333" i="30300"/>
  <c r="F261" i="30300"/>
  <c r="J258" i="30300"/>
  <c r="AF297" i="30300"/>
  <c r="AF7" i="30300" s="1"/>
  <c r="AF8" i="30300" s="1"/>
  <c r="E293" i="30300"/>
  <c r="E299" i="30300"/>
  <c r="E283" i="30300"/>
  <c r="AG297" i="30300"/>
  <c r="AG7" i="30300" s="1"/>
  <c r="AG8" i="30300" s="1"/>
  <c r="AN2" i="30300" s="1"/>
  <c r="N304" i="30300"/>
  <c r="N305" i="30300" s="1"/>
  <c r="N336" i="30300"/>
  <c r="N306" i="30300"/>
  <c r="AA1" i="30300"/>
  <c r="G299" i="30300"/>
  <c r="G293" i="30300"/>
  <c r="G283" i="30300"/>
  <c r="R304" i="30300"/>
  <c r="R305" i="30300" s="1"/>
  <c r="J353" i="30300"/>
  <c r="I353" i="30300"/>
  <c r="M317" i="30300"/>
  <c r="T298" i="30300"/>
  <c r="T300" i="30300"/>
  <c r="E353" i="30300"/>
  <c r="I312" i="30300"/>
  <c r="I313" i="30300" s="1"/>
  <c r="I258" i="30300"/>
  <c r="N240" i="30300"/>
  <c r="N329" i="30300"/>
  <c r="AI339" i="30300"/>
  <c r="AI337" i="30300"/>
  <c r="AI335" i="30300"/>
  <c r="AI329" i="30300"/>
  <c r="AI336" i="30300"/>
  <c r="AI331" i="30300"/>
  <c r="AI330" i="30300"/>
  <c r="AI324" i="30300"/>
  <c r="AI319" i="30300"/>
  <c r="AI316" i="30300"/>
  <c r="AI353" i="30300" s="1"/>
  <c r="AI332" i="30300"/>
  <c r="AI322" i="30300"/>
  <c r="AI321" i="30300"/>
  <c r="AI307" i="30300"/>
  <c r="AI303" i="30300"/>
  <c r="AI301" i="30300"/>
  <c r="AI328" i="30300"/>
  <c r="AI334" i="30300"/>
  <c r="AI323" i="30300"/>
  <c r="AI306" i="30300"/>
  <c r="AI254" i="30300"/>
  <c r="AI340" i="30300"/>
  <c r="AI338" i="30300"/>
  <c r="AI315" i="30300"/>
  <c r="AI259" i="30300"/>
  <c r="AI260" i="30300" s="1"/>
  <c r="AI310" i="30300"/>
  <c r="AI308" i="30300"/>
  <c r="AI304" i="30300"/>
  <c r="AI305" i="30300" s="1"/>
  <c r="AI253" i="30300"/>
  <c r="AI245" i="30300"/>
  <c r="AI240" i="30300"/>
  <c r="AI314" i="30300"/>
  <c r="AI333" i="30300"/>
  <c r="AI239" i="30300"/>
  <c r="AI320" i="30300"/>
  <c r="AI248" i="30300"/>
  <c r="AI237" i="30300"/>
  <c r="AI302" i="30300"/>
  <c r="AI241" i="30300"/>
  <c r="AI249" i="30300"/>
  <c r="AI244" i="30300"/>
  <c r="AI247" i="30300"/>
  <c r="AI243" i="30300"/>
  <c r="AI242" i="30300"/>
  <c r="AI256" i="30300"/>
  <c r="AI257" i="30300" s="1"/>
  <c r="AI238" i="30300"/>
  <c r="AI230" i="30300"/>
  <c r="AI246" i="30300"/>
  <c r="AI283" i="30300" s="1"/>
  <c r="AI255" i="30300"/>
  <c r="AI325" i="30300"/>
  <c r="Q248" i="30300"/>
  <c r="Q330" i="30300"/>
  <c r="R307" i="30300"/>
  <c r="N335" i="30300"/>
  <c r="M299" i="30300"/>
  <c r="M293" i="30300"/>
  <c r="Q241" i="30300"/>
  <c r="Q339" i="30300"/>
  <c r="R238" i="30300"/>
  <c r="R315" i="30300"/>
  <c r="I299" i="30300"/>
  <c r="I293" i="30300"/>
  <c r="N319" i="30300"/>
  <c r="AH299" i="30300"/>
  <c r="AH293" i="30300"/>
  <c r="AE297" i="30300"/>
  <c r="AE7" i="30300" s="1"/>
  <c r="AE1" i="30300" s="1"/>
  <c r="N246" i="30300"/>
  <c r="N283" i="30300" s="1"/>
  <c r="N333" i="30300"/>
  <c r="N325" i="30300"/>
  <c r="N330" i="30300"/>
  <c r="G258" i="30300"/>
  <c r="G312" i="30300"/>
  <c r="G313" i="30300" s="1"/>
  <c r="Z1" i="30300"/>
  <c r="S317" i="30300"/>
  <c r="T309" i="30300"/>
  <c r="P238" i="30300"/>
  <c r="P253" i="30300"/>
  <c r="P322" i="30300"/>
  <c r="P331" i="30300"/>
  <c r="P334" i="30300"/>
  <c r="AB253" i="30300"/>
  <c r="AB244" i="30300"/>
  <c r="AB332" i="30300"/>
  <c r="AB323" i="30300"/>
  <c r="U300" i="30300"/>
  <c r="U298" i="30300"/>
  <c r="Q303" i="30300"/>
  <c r="Q310" i="30300"/>
  <c r="Q259" i="30300"/>
  <c r="Q260" i="30300" s="1"/>
  <c r="Q315" i="30300"/>
  <c r="G261" i="30300"/>
  <c r="G262" i="30300"/>
  <c r="AO340" i="30300"/>
  <c r="AO338" i="30300"/>
  <c r="AO336" i="30300"/>
  <c r="AO334" i="30300"/>
  <c r="AO332" i="30300"/>
  <c r="AO330" i="30300"/>
  <c r="AO339" i="30300"/>
  <c r="AO333" i="30300"/>
  <c r="AO335" i="30300"/>
  <c r="AO322" i="30300"/>
  <c r="AO321" i="30300"/>
  <c r="AO337" i="30300"/>
  <c r="AO320" i="30300"/>
  <c r="AO323" i="30300"/>
  <c r="AO314" i="30300"/>
  <c r="AO310" i="30300"/>
  <c r="AO316" i="30300"/>
  <c r="AO306" i="30300"/>
  <c r="AO304" i="30300"/>
  <c r="AO305" i="30300" s="1"/>
  <c r="AO331" i="30300"/>
  <c r="AO329" i="30300"/>
  <c r="AO328" i="30300"/>
  <c r="AO308" i="30300"/>
  <c r="AO325" i="30300"/>
  <c r="AO303" i="30300"/>
  <c r="AO315" i="30300"/>
  <c r="AO324" i="30300"/>
  <c r="AO307" i="30300"/>
  <c r="AO253" i="30300"/>
  <c r="AO302" i="30300"/>
  <c r="AO238" i="30300"/>
  <c r="AO230" i="30300"/>
  <c r="AO246" i="30300"/>
  <c r="AO283" i="30300" s="1"/>
  <c r="AO242" i="30300"/>
  <c r="AO237" i="30300"/>
  <c r="AO256" i="30300"/>
  <c r="AO257" i="30300" s="1"/>
  <c r="AO301" i="30300"/>
  <c r="AO249" i="30300"/>
  <c r="AO240" i="30300"/>
  <c r="AO244" i="30300"/>
  <c r="AO243" i="30300"/>
  <c r="AO319" i="30300"/>
  <c r="AO255" i="30300"/>
  <c r="AO247" i="30300"/>
  <c r="AO241" i="30300"/>
  <c r="AO245" i="30300"/>
  <c r="AO254" i="30300"/>
  <c r="AO248" i="30300"/>
  <c r="AO259" i="30300"/>
  <c r="AO260" i="30300" s="1"/>
  <c r="AO239" i="30300"/>
  <c r="R249" i="30300"/>
  <c r="R243" i="30300"/>
  <c r="R310" i="30300"/>
  <c r="R334" i="30300"/>
  <c r="R324" i="30300"/>
  <c r="AN240" i="30300"/>
  <c r="AN241" i="30300"/>
  <c r="AN253" i="30300"/>
  <c r="AN332" i="30300"/>
  <c r="AH317" i="30300"/>
  <c r="X8" i="30300"/>
  <c r="X329" i="30300" s="1"/>
  <c r="N332" i="30300"/>
  <c r="N310" i="30300"/>
  <c r="N237" i="30300"/>
  <c r="N323" i="30300"/>
  <c r="N331" i="30300"/>
  <c r="Y8" i="30300"/>
  <c r="Y306" i="30300" s="1"/>
  <c r="Z8" i="30300"/>
  <c r="Z323" i="30300" s="1"/>
  <c r="J298" i="30300"/>
  <c r="J300" i="30300"/>
  <c r="AB246" i="30300"/>
  <c r="AB283" i="30300" s="1"/>
  <c r="AB316" i="30300"/>
  <c r="AB328" i="30300"/>
  <c r="K299" i="30300"/>
  <c r="K293" i="30300"/>
  <c r="U312" i="30300"/>
  <c r="U313" i="30300" s="1"/>
  <c r="U258" i="30300"/>
  <c r="Q247" i="30300"/>
  <c r="Q238" i="30300"/>
  <c r="Q314" i="30300"/>
  <c r="Q320" i="30300"/>
  <c r="G311" i="30300"/>
  <c r="R340" i="30300"/>
  <c r="R303" i="30300"/>
  <c r="R244" i="30300"/>
  <c r="R308" i="30300"/>
  <c r="R328" i="30300"/>
  <c r="AN308" i="30300"/>
  <c r="AN246" i="30300"/>
  <c r="AN283" i="30300" s="1"/>
  <c r="AN315" i="30300"/>
  <c r="AN339" i="30300"/>
  <c r="AO2" i="30300"/>
  <c r="AB2" i="30300"/>
  <c r="G297" i="30290"/>
  <c r="G7" i="30290" s="1"/>
  <c r="F297" i="30290"/>
  <c r="F7" i="30290" s="1"/>
  <c r="E297" i="30290"/>
  <c r="E7" i="30290" s="1"/>
  <c r="D297" i="30290"/>
  <c r="D7" i="30290" s="1"/>
  <c r="D8" i="30290" s="1"/>
  <c r="C297" i="30290"/>
  <c r="C7" i="30290" s="1"/>
  <c r="C8" i="30290" s="1"/>
  <c r="C256" i="30290" s="1"/>
  <c r="C257" i="30290" s="1"/>
  <c r="B297" i="30290"/>
  <c r="B7" i="30290" s="1"/>
  <c r="B8" i="30290" s="1"/>
  <c r="AW292" i="30290"/>
  <c r="AV292" i="30290"/>
  <c r="AU292" i="30290"/>
  <c r="AT292" i="30290"/>
  <c r="AS292" i="30290"/>
  <c r="AR292" i="30290"/>
  <c r="AP292" i="30290"/>
  <c r="AO292" i="30290"/>
  <c r="AN292" i="30290"/>
  <c r="AM292" i="30290"/>
  <c r="AL292" i="30290"/>
  <c r="AK292" i="30290"/>
  <c r="AI292" i="30290"/>
  <c r="AH292" i="30290"/>
  <c r="AG292" i="30290"/>
  <c r="AF292" i="30290"/>
  <c r="AE292" i="30290"/>
  <c r="AD292" i="30290"/>
  <c r="AB292" i="30290"/>
  <c r="AA292" i="30290"/>
  <c r="Z292" i="30290"/>
  <c r="Y292" i="30290"/>
  <c r="X292" i="30290"/>
  <c r="W292" i="30290"/>
  <c r="U292" i="30290"/>
  <c r="T292" i="30290"/>
  <c r="S292" i="30290"/>
  <c r="R292" i="30290"/>
  <c r="Q292" i="30290"/>
  <c r="P292" i="30290"/>
  <c r="N292" i="30290"/>
  <c r="M292" i="30290"/>
  <c r="L292" i="30290"/>
  <c r="K292" i="30290"/>
  <c r="J292" i="30290"/>
  <c r="I292" i="30290"/>
  <c r="G292" i="30290"/>
  <c r="F292" i="30290"/>
  <c r="E292" i="30290"/>
  <c r="D292" i="30290"/>
  <c r="C292" i="30290"/>
  <c r="B292" i="30290"/>
  <c r="H269" i="30290"/>
  <c r="H265" i="30290"/>
  <c r="AW232" i="30290"/>
  <c r="AV232" i="30290"/>
  <c r="AU232" i="30290"/>
  <c r="AT232" i="30290"/>
  <c r="AS232" i="30290"/>
  <c r="AR232" i="30290"/>
  <c r="AP232" i="30290"/>
  <c r="AO232" i="30290"/>
  <c r="AN232" i="30290"/>
  <c r="AM232" i="30290"/>
  <c r="AL232" i="30290"/>
  <c r="AK232" i="30290"/>
  <c r="AI232" i="30290"/>
  <c r="AH232" i="30290"/>
  <c r="AG232" i="30290"/>
  <c r="AF232" i="30290"/>
  <c r="AE232" i="30290"/>
  <c r="AD232" i="30290"/>
  <c r="AB232" i="30290"/>
  <c r="AA232" i="30290"/>
  <c r="Z232" i="30290"/>
  <c r="Y232" i="30290"/>
  <c r="X232" i="30290"/>
  <c r="W232" i="30290"/>
  <c r="U232" i="30290"/>
  <c r="T232" i="30290"/>
  <c r="S232" i="30290"/>
  <c r="R232" i="30290"/>
  <c r="Q232" i="30290"/>
  <c r="P232" i="30290"/>
  <c r="N232" i="30290"/>
  <c r="M232" i="30290"/>
  <c r="L232" i="30290"/>
  <c r="K232" i="30290"/>
  <c r="J232" i="30290"/>
  <c r="I232" i="30290"/>
  <c r="G232" i="30290"/>
  <c r="F232" i="30290"/>
  <c r="E232" i="30290"/>
  <c r="D232" i="30290"/>
  <c r="C232" i="30290"/>
  <c r="B232" i="30290"/>
  <c r="A229" i="30290"/>
  <c r="A228" i="30290"/>
  <c r="A227" i="30290"/>
  <c r="A226" i="30290"/>
  <c r="A225" i="30290"/>
  <c r="A224" i="30290"/>
  <c r="A223" i="30290"/>
  <c r="A222" i="30290"/>
  <c r="A221" i="30290"/>
  <c r="A220" i="30290"/>
  <c r="A219" i="30290"/>
  <c r="A218" i="30290"/>
  <c r="A217" i="30290"/>
  <c r="A216" i="30290"/>
  <c r="A215" i="30290"/>
  <c r="A214" i="30290"/>
  <c r="A213" i="30290"/>
  <c r="A212" i="30290"/>
  <c r="A211" i="30290"/>
  <c r="A210" i="30290"/>
  <c r="A209" i="30290"/>
  <c r="A208" i="30290"/>
  <c r="A207" i="30290"/>
  <c r="A206" i="30290"/>
  <c r="A205" i="30290"/>
  <c r="A204" i="30290"/>
  <c r="A203" i="30290"/>
  <c r="A202" i="30290"/>
  <c r="A201" i="30290"/>
  <c r="A200" i="30290"/>
  <c r="A199" i="30290"/>
  <c r="A198" i="30290"/>
  <c r="A197" i="30290"/>
  <c r="A196" i="30290"/>
  <c r="A195" i="30290"/>
  <c r="A194" i="30290"/>
  <c r="A193" i="30290"/>
  <c r="A192" i="30290"/>
  <c r="A191" i="30290"/>
  <c r="A190" i="30290"/>
  <c r="A189" i="30290"/>
  <c r="A188" i="30290"/>
  <c r="A187" i="30290"/>
  <c r="A186" i="30290"/>
  <c r="A185" i="30290"/>
  <c r="A184" i="30290"/>
  <c r="A183" i="30290"/>
  <c r="A182" i="30290"/>
  <c r="A181" i="30290"/>
  <c r="A180" i="30290"/>
  <c r="A179" i="30290"/>
  <c r="A178" i="30290"/>
  <c r="A177" i="30290"/>
  <c r="A176" i="30290"/>
  <c r="A175" i="30290"/>
  <c r="A174" i="30290"/>
  <c r="A173" i="30290"/>
  <c r="A172" i="30290"/>
  <c r="A171" i="30290"/>
  <c r="A170" i="30290"/>
  <c r="A169" i="30290"/>
  <c r="A168" i="30290"/>
  <c r="A167" i="30290"/>
  <c r="A166" i="30290"/>
  <c r="A165" i="30290"/>
  <c r="A164" i="30290"/>
  <c r="A163" i="30290"/>
  <c r="A162" i="30290"/>
  <c r="A161" i="30290"/>
  <c r="A160" i="30290"/>
  <c r="A159" i="30290"/>
  <c r="A158" i="30290"/>
  <c r="A157" i="30290"/>
  <c r="A156" i="30290"/>
  <c r="A155" i="30290"/>
  <c r="A154" i="30290"/>
  <c r="A153" i="30290"/>
  <c r="A152" i="30290"/>
  <c r="A151" i="30290"/>
  <c r="A150" i="30290"/>
  <c r="A149" i="30290"/>
  <c r="A148" i="30290"/>
  <c r="A147" i="30290"/>
  <c r="A146" i="30290"/>
  <c r="A145" i="30290"/>
  <c r="A144" i="30290"/>
  <c r="A143" i="30290"/>
  <c r="A142" i="30290"/>
  <c r="A141" i="30290"/>
  <c r="A140" i="30290"/>
  <c r="A139" i="30290"/>
  <c r="A138" i="30290"/>
  <c r="A137" i="30290"/>
  <c r="A136" i="30290"/>
  <c r="A135" i="30290"/>
  <c r="A134" i="30290"/>
  <c r="A133" i="30290"/>
  <c r="A132" i="30290"/>
  <c r="A131" i="30290"/>
  <c r="A130" i="30290"/>
  <c r="L297" i="30290"/>
  <c r="L7" i="30290" s="1"/>
  <c r="A124" i="30290"/>
  <c r="A123" i="30290"/>
  <c r="A122" i="30290"/>
  <c r="A121" i="30290"/>
  <c r="A120" i="30290"/>
  <c r="A119" i="30290"/>
  <c r="A118" i="30290"/>
  <c r="A117" i="30290"/>
  <c r="A115" i="30290"/>
  <c r="A114" i="30290"/>
  <c r="A112" i="30290"/>
  <c r="A111" i="30290"/>
  <c r="A110" i="30290"/>
  <c r="A109" i="30290"/>
  <c r="A108" i="30290"/>
  <c r="A107" i="30290"/>
  <c r="A106" i="30290"/>
  <c r="A105" i="30290"/>
  <c r="A104" i="30290"/>
  <c r="A103" i="30290"/>
  <c r="A102" i="30290"/>
  <c r="A101" i="30290"/>
  <c r="A100" i="30290"/>
  <c r="A99" i="30290"/>
  <c r="A98" i="30290"/>
  <c r="A97" i="30290"/>
  <c r="A96" i="30290"/>
  <c r="A95" i="30290"/>
  <c r="A94" i="30290"/>
  <c r="A93" i="30290"/>
  <c r="A92" i="30290"/>
  <c r="A91" i="30290"/>
  <c r="A90" i="30290"/>
  <c r="A89" i="30290"/>
  <c r="A88" i="30290"/>
  <c r="A87" i="30290"/>
  <c r="A86" i="30290"/>
  <c r="A85" i="30290"/>
  <c r="A84" i="30290"/>
  <c r="A83" i="30290"/>
  <c r="A82" i="30290"/>
  <c r="A81" i="30290"/>
  <c r="A80" i="30290"/>
  <c r="A79" i="30290"/>
  <c r="A78" i="30290"/>
  <c r="A77" i="30290"/>
  <c r="A76" i="30290"/>
  <c r="A75" i="30290"/>
  <c r="A74" i="30290"/>
  <c r="A73" i="30290"/>
  <c r="A72" i="30290"/>
  <c r="A71" i="30290"/>
  <c r="A70" i="30290"/>
  <c r="A69" i="30290"/>
  <c r="A68" i="30290"/>
  <c r="A67" i="30290"/>
  <c r="A66" i="30290"/>
  <c r="A65" i="30290"/>
  <c r="A64" i="30290"/>
  <c r="A63" i="30290"/>
  <c r="A62" i="30290"/>
  <c r="A61" i="30290"/>
  <c r="A60" i="30290"/>
  <c r="A59" i="30290"/>
  <c r="A58" i="30290"/>
  <c r="A57" i="30290"/>
  <c r="A56" i="30290"/>
  <c r="A55" i="30290"/>
  <c r="A54" i="30290"/>
  <c r="A53" i="30290"/>
  <c r="A52" i="30290"/>
  <c r="A51" i="30290"/>
  <c r="A50" i="30290"/>
  <c r="A49" i="30290"/>
  <c r="A48" i="30290"/>
  <c r="A47" i="30290"/>
  <c r="A46" i="30290"/>
  <c r="A45" i="30290"/>
  <c r="A44" i="30290"/>
  <c r="A43" i="30290"/>
  <c r="A42" i="30290"/>
  <c r="A41" i="30290"/>
  <c r="A40" i="30290"/>
  <c r="A39" i="30290"/>
  <c r="A38" i="30290"/>
  <c r="A37" i="30290"/>
  <c r="A36" i="30290"/>
  <c r="A35" i="30290"/>
  <c r="A34" i="30290"/>
  <c r="A33" i="30290"/>
  <c r="A32" i="30290"/>
  <c r="A31" i="30290"/>
  <c r="A30" i="30290"/>
  <c r="A29" i="30290"/>
  <c r="A28" i="30290"/>
  <c r="A27" i="30290"/>
  <c r="A26" i="30290"/>
  <c r="A25" i="30290"/>
  <c r="A24" i="30290"/>
  <c r="A23" i="30290"/>
  <c r="A22" i="30290"/>
  <c r="A21" i="30290"/>
  <c r="A20" i="30290"/>
  <c r="A19" i="30290"/>
  <c r="A18" i="30290"/>
  <c r="A17" i="30290"/>
  <c r="A16" i="30290"/>
  <c r="A15" i="30290"/>
  <c r="A14" i="30290"/>
  <c r="A13" i="30290"/>
  <c r="A12" i="30290"/>
  <c r="A11" i="30290"/>
  <c r="A10" i="30290"/>
  <c r="A9" i="30290"/>
  <c r="P262" i="30300" l="1"/>
  <c r="P313" i="30300"/>
  <c r="AD7" i="30300"/>
  <c r="AD8" i="30300" s="1"/>
  <c r="Q299" i="30300"/>
  <c r="Q283" i="30300"/>
  <c r="P299" i="30300"/>
  <c r="P283" i="30300"/>
  <c r="U258" i="30312"/>
  <c r="U261" i="30312"/>
  <c r="O76" i="30308"/>
  <c r="O56" i="30308"/>
  <c r="AB237" i="30298"/>
  <c r="AB240" i="30298"/>
  <c r="AB324" i="30298"/>
  <c r="AB310" i="30298"/>
  <c r="AB319" i="30298"/>
  <c r="AB328" i="30298"/>
  <c r="U283" i="30298"/>
  <c r="U293" i="30298"/>
  <c r="AP293" i="30298"/>
  <c r="AP262" i="30298"/>
  <c r="AW309" i="30298"/>
  <c r="AP283" i="30298"/>
  <c r="AW311" i="30298"/>
  <c r="AB322" i="30298"/>
  <c r="AB316" i="30298"/>
  <c r="AP258" i="30298"/>
  <c r="AB320" i="30298"/>
  <c r="AB248" i="30298"/>
  <c r="AB247" i="30298"/>
  <c r="AB314" i="30298"/>
  <c r="AB302" i="30298"/>
  <c r="AB242" i="30298"/>
  <c r="AB307" i="30298"/>
  <c r="AB332" i="30298"/>
  <c r="AB249" i="30298"/>
  <c r="AB335" i="30298"/>
  <c r="AB308" i="30298"/>
  <c r="AB245" i="30298"/>
  <c r="AB300" i="30298" s="1"/>
  <c r="AB315" i="30298"/>
  <c r="AB330" i="30298"/>
  <c r="AB323" i="30298"/>
  <c r="AB339" i="30298"/>
  <c r="AB2" i="30298"/>
  <c r="AP309" i="30298"/>
  <c r="AB256" i="30298"/>
  <c r="AB257" i="30298" s="1"/>
  <c r="AB312" i="30298" s="1"/>
  <c r="AB313" i="30298" s="1"/>
  <c r="AB334" i="30298"/>
  <c r="AB239" i="30298"/>
  <c r="AB255" i="30298"/>
  <c r="AB311" i="30298" s="1"/>
  <c r="AB333" i="30298"/>
  <c r="AP261" i="30298"/>
  <c r="AB244" i="30298"/>
  <c r="AB321" i="30298"/>
  <c r="AB241" i="30298"/>
  <c r="AB336" i="30298"/>
  <c r="AB325" i="30298"/>
  <c r="AB331" i="30298"/>
  <c r="AB306" i="30298"/>
  <c r="AB254" i="30298"/>
  <c r="AB246" i="30298"/>
  <c r="AB299" i="30298" s="1"/>
  <c r="AB338" i="30298"/>
  <c r="AP311" i="30298"/>
  <c r="AW299" i="30298"/>
  <c r="AW293" i="30298"/>
  <c r="AW283" i="30298"/>
  <c r="U317" i="30298"/>
  <c r="AP300" i="30298"/>
  <c r="AP298" i="30298"/>
  <c r="AP317" i="30298"/>
  <c r="U313" i="30298"/>
  <c r="AW300" i="30298"/>
  <c r="AW298" i="30298"/>
  <c r="U262" i="30298"/>
  <c r="U261" i="30298"/>
  <c r="U300" i="30298"/>
  <c r="U298" i="30298"/>
  <c r="AB253" i="30298"/>
  <c r="AB243" i="30298"/>
  <c r="AB337" i="30298"/>
  <c r="AB304" i="30298"/>
  <c r="AB305" i="30298" s="1"/>
  <c r="AW258" i="30298"/>
  <c r="AW261" i="30298"/>
  <c r="AW262" i="30298"/>
  <c r="AB259" i="30298"/>
  <c r="AB260" i="30298" s="1"/>
  <c r="AB238" i="30298"/>
  <c r="AB230" i="30298"/>
  <c r="AB329" i="30298"/>
  <c r="U309" i="30312"/>
  <c r="U313" i="30312"/>
  <c r="U300" i="30312"/>
  <c r="U298" i="30312"/>
  <c r="AB298" i="30300"/>
  <c r="Q298" i="30300"/>
  <c r="Q300" i="30300"/>
  <c r="AB261" i="30300"/>
  <c r="Q293" i="30300"/>
  <c r="Z319" i="30300"/>
  <c r="AP1" i="30300"/>
  <c r="AB262" i="30300"/>
  <c r="Z246" i="30300"/>
  <c r="Z283" i="30300" s="1"/>
  <c r="Z253" i="30300"/>
  <c r="Q309" i="30300"/>
  <c r="Z315" i="30300"/>
  <c r="Z331" i="30300"/>
  <c r="Z314" i="30300"/>
  <c r="Z248" i="30300"/>
  <c r="Z329" i="30300"/>
  <c r="Z243" i="30300"/>
  <c r="AN309" i="30300"/>
  <c r="Z242" i="30300"/>
  <c r="X339" i="30300"/>
  <c r="Z301" i="30300"/>
  <c r="X316" i="30300"/>
  <c r="AU309" i="30300"/>
  <c r="P258" i="30300"/>
  <c r="Z336" i="30300"/>
  <c r="P293" i="30300"/>
  <c r="Z254" i="30300"/>
  <c r="Z262" i="30300" s="1"/>
  <c r="Z307" i="30300"/>
  <c r="X334" i="30300"/>
  <c r="Z302" i="30300"/>
  <c r="P309" i="30300"/>
  <c r="AV1" i="30300"/>
  <c r="P311" i="30300"/>
  <c r="Z303" i="30300"/>
  <c r="AG1" i="30300"/>
  <c r="X337" i="30300"/>
  <c r="X336" i="30300"/>
  <c r="AI309" i="30300"/>
  <c r="Z339" i="30300"/>
  <c r="Z308" i="30300"/>
  <c r="Z338" i="30300"/>
  <c r="X248" i="30300"/>
  <c r="X330" i="30300"/>
  <c r="AO309" i="30300"/>
  <c r="Z241" i="30300"/>
  <c r="Z340" i="30300"/>
  <c r="X254" i="30300"/>
  <c r="X259" i="30300"/>
  <c r="X260" i="30300" s="1"/>
  <c r="AF1" i="30300"/>
  <c r="X255" i="30300"/>
  <c r="X324" i="30300"/>
  <c r="AA311" i="30300"/>
  <c r="AF2" i="30300"/>
  <c r="Y302" i="30300"/>
  <c r="X256" i="30300"/>
  <c r="X257" i="30300" s="1"/>
  <c r="X312" i="30300" s="1"/>
  <c r="X314" i="30300"/>
  <c r="X302" i="30300"/>
  <c r="X319" i="30300"/>
  <c r="R353" i="30300"/>
  <c r="X237" i="30300"/>
  <c r="X321" i="30300"/>
  <c r="Y340" i="30300"/>
  <c r="Z249" i="30300"/>
  <c r="Z316" i="30300"/>
  <c r="AA353" i="30300" s="1"/>
  <c r="X239" i="30300"/>
  <c r="X340" i="30300"/>
  <c r="AB309" i="30300"/>
  <c r="X244" i="30300"/>
  <c r="X247" i="30300"/>
  <c r="X325" i="30300"/>
  <c r="Z259" i="30300"/>
  <c r="Z260" i="30300" s="1"/>
  <c r="Z335" i="30300"/>
  <c r="X304" i="30300"/>
  <c r="X305" i="30300" s="1"/>
  <c r="X338" i="30300"/>
  <c r="AP2" i="30300"/>
  <c r="N300" i="30300"/>
  <c r="N298" i="30300"/>
  <c r="Q258" i="30300"/>
  <c r="Q312" i="30300"/>
  <c r="Q313" i="30300" s="1"/>
  <c r="AA298" i="30300"/>
  <c r="AA300" i="30300"/>
  <c r="AI262" i="30300"/>
  <c r="AI261" i="30300"/>
  <c r="Y325" i="30300"/>
  <c r="Y339" i="30300"/>
  <c r="AN299" i="30300"/>
  <c r="AN293" i="30300"/>
  <c r="AN317" i="30300"/>
  <c r="AO298" i="30300"/>
  <c r="AO300" i="30300"/>
  <c r="AO312" i="30300"/>
  <c r="AO313" i="30300" s="1"/>
  <c r="AO258" i="30300"/>
  <c r="AI300" i="30300"/>
  <c r="AI298" i="30300"/>
  <c r="Z256" i="30300"/>
  <c r="Z257" i="30300" s="1"/>
  <c r="Z244" i="30300"/>
  <c r="Z304" i="30300"/>
  <c r="Z305" i="30300" s="1"/>
  <c r="Z321" i="30300"/>
  <c r="Y244" i="30300"/>
  <c r="Y242" i="30300"/>
  <c r="Y253" i="30300"/>
  <c r="Y336" i="30300"/>
  <c r="Y332" i="30300"/>
  <c r="X307" i="30300"/>
  <c r="X241" i="30300"/>
  <c r="X322" i="30300"/>
  <c r="AW297" i="30300"/>
  <c r="AW7" i="30300" s="1"/>
  <c r="AW8" i="30300" s="1"/>
  <c r="AW2" i="30300" s="1"/>
  <c r="AU298" i="30300"/>
  <c r="AU300" i="30300"/>
  <c r="AA309" i="30300"/>
  <c r="Y308" i="30300"/>
  <c r="AU312" i="30300"/>
  <c r="AU313" i="30300" s="1"/>
  <c r="AU258" i="30300"/>
  <c r="Y2" i="30300"/>
  <c r="AG339" i="30300"/>
  <c r="AG337" i="30300"/>
  <c r="AG335" i="30300"/>
  <c r="AG330" i="30300"/>
  <c r="AG328" i="30300"/>
  <c r="AG324" i="30300"/>
  <c r="AG322" i="30300"/>
  <c r="AG340" i="30300"/>
  <c r="AG334" i="30300"/>
  <c r="AG320" i="30300"/>
  <c r="AG315" i="30300"/>
  <c r="AG338" i="30300"/>
  <c r="AG336" i="30300"/>
  <c r="AG331" i="30300"/>
  <c r="AG308" i="30300"/>
  <c r="AG332" i="30300"/>
  <c r="AG321" i="30300"/>
  <c r="AG302" i="30300"/>
  <c r="AG329" i="30300"/>
  <c r="AG301" i="30300"/>
  <c r="AG259" i="30300"/>
  <c r="AG260" i="30300" s="1"/>
  <c r="AG256" i="30300"/>
  <c r="AG257" i="30300" s="1"/>
  <c r="AG255" i="30300"/>
  <c r="AG323" i="30300"/>
  <c r="AG316" i="30300"/>
  <c r="AH353" i="30300" s="1"/>
  <c r="AG306" i="30300"/>
  <c r="AG307" i="30300"/>
  <c r="AG247" i="30300"/>
  <c r="AG310" i="30300"/>
  <c r="AG304" i="30300"/>
  <c r="AG305" i="30300" s="1"/>
  <c r="AG303" i="30300"/>
  <c r="AG253" i="30300"/>
  <c r="AG245" i="30300"/>
  <c r="AG240" i="30300"/>
  <c r="AG333" i="30300"/>
  <c r="AG238" i="30300"/>
  <c r="AG230" i="30300"/>
  <c r="AG243" i="30300"/>
  <c r="AG246" i="30300"/>
  <c r="AG283" i="30300" s="1"/>
  <c r="AG237" i="30300"/>
  <c r="AG242" i="30300"/>
  <c r="AG249" i="30300"/>
  <c r="AG319" i="30300"/>
  <c r="AG244" i="30300"/>
  <c r="AG254" i="30300"/>
  <c r="AG241" i="30300"/>
  <c r="AG314" i="30300"/>
  <c r="AN1" i="30300"/>
  <c r="AG239" i="30300"/>
  <c r="AG325" i="30300"/>
  <c r="AG248" i="30300"/>
  <c r="Y241" i="30300"/>
  <c r="AK297" i="30300"/>
  <c r="Z317" i="30300"/>
  <c r="Y249" i="30300"/>
  <c r="X261" i="30300"/>
  <c r="AB317" i="30300"/>
  <c r="AB300" i="30300"/>
  <c r="N309" i="30300"/>
  <c r="Z239" i="30300"/>
  <c r="Z230" i="30300"/>
  <c r="Z320" i="30300"/>
  <c r="Y256" i="30300"/>
  <c r="Y257" i="30300" s="1"/>
  <c r="Y307" i="30300"/>
  <c r="Y320" i="30300"/>
  <c r="Y314" i="30300"/>
  <c r="Y333" i="30300"/>
  <c r="AM297" i="30300"/>
  <c r="AM7" i="30300" s="1"/>
  <c r="AM8" i="30300" s="1"/>
  <c r="X230" i="30300"/>
  <c r="X243" i="30300"/>
  <c r="X306" i="30300"/>
  <c r="X335" i="30300"/>
  <c r="AO317" i="30300"/>
  <c r="AN312" i="30300"/>
  <c r="AN313" i="30300" s="1"/>
  <c r="AN258" i="30300"/>
  <c r="AL297" i="30300"/>
  <c r="AL7" i="30300" s="1"/>
  <c r="AL8" i="30300" s="1"/>
  <c r="AG2" i="30300"/>
  <c r="Z2" i="30300"/>
  <c r="AI317" i="30300"/>
  <c r="Z245" i="30300"/>
  <c r="Z306" i="30300"/>
  <c r="Z322" i="30300"/>
  <c r="Z325" i="30300"/>
  <c r="Y237" i="30300"/>
  <c r="Y230" i="30300"/>
  <c r="Y322" i="30300"/>
  <c r="Y316" i="30300"/>
  <c r="Y338" i="30300"/>
  <c r="R262" i="30300"/>
  <c r="R261" i="30300"/>
  <c r="X238" i="30300"/>
  <c r="X245" i="30300"/>
  <c r="X315" i="30300"/>
  <c r="X323" i="30300"/>
  <c r="R317" i="30300"/>
  <c r="AU261" i="30300"/>
  <c r="AU262" i="30300"/>
  <c r="N299" i="30300"/>
  <c r="N293" i="30300"/>
  <c r="Y335" i="30300"/>
  <c r="R312" i="30300"/>
  <c r="R313" i="30300" s="1"/>
  <c r="R258" i="30300"/>
  <c r="Y310" i="30300"/>
  <c r="AA258" i="30300"/>
  <c r="AA312" i="30300"/>
  <c r="AA313" i="30300" s="1"/>
  <c r="AN262" i="30300"/>
  <c r="AN261" i="30300"/>
  <c r="Y329" i="30300"/>
  <c r="R293" i="30300"/>
  <c r="R299" i="30300"/>
  <c r="AI311" i="30300"/>
  <c r="Y301" i="30300"/>
  <c r="Z240" i="30300"/>
  <c r="Z237" i="30300"/>
  <c r="Z310" i="30300"/>
  <c r="Z332" i="30300"/>
  <c r="Y239" i="30300"/>
  <c r="Y255" i="30300"/>
  <c r="Y304" i="30300"/>
  <c r="Y305" i="30300" s="1"/>
  <c r="Y321" i="30300"/>
  <c r="AF337" i="30300"/>
  <c r="AF330" i="30300"/>
  <c r="AF328" i="30300"/>
  <c r="AF324" i="30300"/>
  <c r="AF322" i="30300"/>
  <c r="AF340" i="30300"/>
  <c r="AF334" i="30300"/>
  <c r="AF339" i="30300"/>
  <c r="AF332" i="30300"/>
  <c r="AF320" i="30300"/>
  <c r="AF315" i="30300"/>
  <c r="AF338" i="30300"/>
  <c r="AF336" i="30300"/>
  <c r="AF331" i="30300"/>
  <c r="AF325" i="30300"/>
  <c r="AF308" i="30300"/>
  <c r="AF335" i="30300"/>
  <c r="AF307" i="30300"/>
  <c r="AF304" i="30300"/>
  <c r="AF305" i="30300" s="1"/>
  <c r="AF256" i="30300"/>
  <c r="AF257" i="30300" s="1"/>
  <c r="AF302" i="30300"/>
  <c r="AF321" i="30300"/>
  <c r="AF329" i="30300"/>
  <c r="AF301" i="30300"/>
  <c r="AF248" i="30300"/>
  <c r="AF246" i="30300"/>
  <c r="AF283" i="30300" s="1"/>
  <c r="AF244" i="30300"/>
  <c r="AF259" i="30300"/>
  <c r="AF260" i="30300" s="1"/>
  <c r="AF255" i="30300"/>
  <c r="AF323" i="30300"/>
  <c r="AF316" i="30300"/>
  <c r="AF319" i="30300"/>
  <c r="AF306" i="30300"/>
  <c r="AF247" i="30300"/>
  <c r="AF241" i="30300"/>
  <c r="AF333" i="30300"/>
  <c r="AF310" i="30300"/>
  <c r="AF303" i="30300"/>
  <c r="AF253" i="30300"/>
  <c r="AF245" i="30300"/>
  <c r="AF240" i="30300"/>
  <c r="AF238" i="30300"/>
  <c r="AF230" i="30300"/>
  <c r="AF237" i="30300"/>
  <c r="AF249" i="30300"/>
  <c r="AF239" i="30300"/>
  <c r="AF254" i="30300"/>
  <c r="AF314" i="30300"/>
  <c r="AF242" i="30300"/>
  <c r="AF243" i="30300"/>
  <c r="X242" i="30300"/>
  <c r="X246" i="30300"/>
  <c r="X249" i="30300"/>
  <c r="X320" i="30300"/>
  <c r="N317" i="30300"/>
  <c r="N311" i="30300"/>
  <c r="AU311" i="30300"/>
  <c r="AA261" i="30300"/>
  <c r="AA262" i="30300"/>
  <c r="AB312" i="30300"/>
  <c r="AB313" i="30300" s="1"/>
  <c r="AB258" i="30300"/>
  <c r="Y243" i="30300"/>
  <c r="N312" i="30300"/>
  <c r="N313" i="30300" s="1"/>
  <c r="N258" i="30300"/>
  <c r="AB353" i="30300"/>
  <c r="Y245" i="30300"/>
  <c r="Y323" i="30300"/>
  <c r="AN298" i="30300"/>
  <c r="AN300" i="30300"/>
  <c r="Z299" i="30300"/>
  <c r="Y254" i="30300"/>
  <c r="Q262" i="30300"/>
  <c r="Q261" i="30300"/>
  <c r="AE8" i="30300"/>
  <c r="AE254" i="30300" s="1"/>
  <c r="Y324" i="30300"/>
  <c r="R298" i="30300"/>
  <c r="R300" i="30300"/>
  <c r="AO299" i="30300"/>
  <c r="AO293" i="30300"/>
  <c r="Y303" i="30300"/>
  <c r="AP340" i="30300"/>
  <c r="AP338" i="30300"/>
  <c r="AP336" i="30300"/>
  <c r="AP334" i="30300"/>
  <c r="AP333" i="30300"/>
  <c r="AP332" i="30300"/>
  <c r="AP331" i="30300"/>
  <c r="AP321" i="30300"/>
  <c r="AP329" i="30300"/>
  <c r="AP325" i="30300"/>
  <c r="AP335" i="30300"/>
  <c r="AP320" i="30300"/>
  <c r="AP315" i="30300"/>
  <c r="AP323" i="30300"/>
  <c r="AP314" i="30300"/>
  <c r="AP310" i="30300"/>
  <c r="AP316" i="30300"/>
  <c r="AP353" i="30300" s="1"/>
  <c r="AP306" i="30300"/>
  <c r="AP304" i="30300"/>
  <c r="AP305" i="30300" s="1"/>
  <c r="AP302" i="30300"/>
  <c r="AP339" i="30300"/>
  <c r="AP330" i="30300"/>
  <c r="AP328" i="30300"/>
  <c r="AP308" i="30300"/>
  <c r="AP319" i="30300"/>
  <c r="AP337" i="30300"/>
  <c r="AP324" i="30300"/>
  <c r="AP307" i="30300"/>
  <c r="AP303" i="30300"/>
  <c r="AP246" i="30300"/>
  <c r="AP283" i="30300" s="1"/>
  <c r="AP301" i="30300"/>
  <c r="AP242" i="30300"/>
  <c r="AP243" i="30300"/>
  <c r="AP322" i="30300"/>
  <c r="AP256" i="30300"/>
  <c r="AP257" i="30300" s="1"/>
  <c r="AP237" i="30300"/>
  <c r="AP244" i="30300"/>
  <c r="AP255" i="30300"/>
  <c r="AP249" i="30300"/>
  <c r="AP239" i="30300"/>
  <c r="AP253" i="30300"/>
  <c r="AP247" i="30300"/>
  <c r="AP241" i="30300"/>
  <c r="AP259" i="30300"/>
  <c r="AP260" i="30300" s="1"/>
  <c r="AP254" i="30300"/>
  <c r="AP245" i="30300"/>
  <c r="AP240" i="30300"/>
  <c r="AP230" i="30300"/>
  <c r="AP238" i="30300"/>
  <c r="AP248" i="30300"/>
  <c r="R309" i="30300"/>
  <c r="AA317" i="30300"/>
  <c r="AO311" i="30300"/>
  <c r="P317" i="30300"/>
  <c r="AI299" i="30300"/>
  <c r="AI293" i="30300"/>
  <c r="Z324" i="30300"/>
  <c r="Z238" i="30300"/>
  <c r="Z330" i="30300"/>
  <c r="Z333" i="30300"/>
  <c r="Y248" i="30300"/>
  <c r="Y246" i="30300"/>
  <c r="Y283" i="30300" s="1"/>
  <c r="Y259" i="30300"/>
  <c r="Y260" i="30300" s="1"/>
  <c r="Y331" i="30300"/>
  <c r="X301" i="30300"/>
  <c r="X331" i="30300"/>
  <c r="X253" i="30300"/>
  <c r="X308" i="30300"/>
  <c r="X332" i="30300"/>
  <c r="Q353" i="30300"/>
  <c r="P353" i="30300"/>
  <c r="X2" i="30300"/>
  <c r="Q311" i="30300"/>
  <c r="P298" i="30300"/>
  <c r="P300" i="30300"/>
  <c r="AI312" i="30300"/>
  <c r="AI313" i="30300" s="1"/>
  <c r="AI258" i="30300"/>
  <c r="Y337" i="30300"/>
  <c r="AO353" i="30300"/>
  <c r="AB299" i="30300"/>
  <c r="AB293" i="30300"/>
  <c r="Y247" i="30300"/>
  <c r="Y330" i="30300"/>
  <c r="AN311" i="30300"/>
  <c r="AO262" i="30300"/>
  <c r="AO261" i="30300"/>
  <c r="Y328" i="30300"/>
  <c r="Y238" i="30300"/>
  <c r="Y319" i="30300"/>
  <c r="AU317" i="30300"/>
  <c r="Z247" i="30300"/>
  <c r="Z337" i="30300"/>
  <c r="Z255" i="30300"/>
  <c r="Z328" i="30300"/>
  <c r="Z334" i="30300"/>
  <c r="Y240" i="30300"/>
  <c r="Y315" i="30300"/>
  <c r="Y334" i="30300"/>
  <c r="AV339" i="30300"/>
  <c r="AV337" i="30300"/>
  <c r="AV335" i="30300"/>
  <c r="AV333" i="30300"/>
  <c r="AV331" i="30300"/>
  <c r="AV338" i="30300"/>
  <c r="AV330" i="30300"/>
  <c r="AV340" i="30300"/>
  <c r="AV334" i="30300"/>
  <c r="AV323" i="30300"/>
  <c r="AV329" i="30300"/>
  <c r="AV319" i="30300"/>
  <c r="AV308" i="30300"/>
  <c r="AV324" i="30300"/>
  <c r="AV315" i="30300"/>
  <c r="AV336" i="30300"/>
  <c r="AV332" i="30300"/>
  <c r="AV328" i="30300"/>
  <c r="AV314" i="30300"/>
  <c r="AV310" i="30300"/>
  <c r="AV302" i="30300"/>
  <c r="AV325" i="30300"/>
  <c r="AV304" i="30300"/>
  <c r="AV305" i="30300" s="1"/>
  <c r="AV307" i="30300"/>
  <c r="AV301" i="30300"/>
  <c r="AV316" i="30300"/>
  <c r="AV353" i="30300" s="1"/>
  <c r="AV255" i="30300"/>
  <c r="AV303" i="30300"/>
  <c r="AV259" i="30300"/>
  <c r="AV260" i="30300" s="1"/>
  <c r="AV256" i="30300"/>
  <c r="AV257" i="30300" s="1"/>
  <c r="AV322" i="30300"/>
  <c r="AV320" i="30300"/>
  <c r="AV254" i="30300"/>
  <c r="AV247" i="30300"/>
  <c r="AV244" i="30300"/>
  <c r="AV240" i="30300"/>
  <c r="AV241" i="30300"/>
  <c r="AV238" i="30300"/>
  <c r="AV321" i="30300"/>
  <c r="AV245" i="30300"/>
  <c r="AV239" i="30300"/>
  <c r="AV230" i="30300"/>
  <c r="AV306" i="30300"/>
  <c r="AV248" i="30300"/>
  <c r="AV243" i="30300"/>
  <c r="AV249" i="30300"/>
  <c r="AV242" i="30300"/>
  <c r="AV246" i="30300"/>
  <c r="AV283" i="30300" s="1"/>
  <c r="AV237" i="30300"/>
  <c r="AV253" i="30300"/>
  <c r="R311" i="30300"/>
  <c r="X240" i="30300"/>
  <c r="X328" i="30300"/>
  <c r="X303" i="30300"/>
  <c r="X310" i="30300"/>
  <c r="X333" i="30300"/>
  <c r="AD1" i="30300"/>
  <c r="W1" i="30300"/>
  <c r="W8" i="30300"/>
  <c r="W340" i="30300" s="1"/>
  <c r="N262" i="30300"/>
  <c r="N261" i="30300"/>
  <c r="Q317" i="30300"/>
  <c r="AU293" i="30300"/>
  <c r="AU299" i="30300"/>
  <c r="AA299" i="30300"/>
  <c r="AA293" i="30300"/>
  <c r="AB311" i="30300"/>
  <c r="B247" i="30290"/>
  <c r="B237" i="30290"/>
  <c r="D241" i="30290"/>
  <c r="B238" i="30290"/>
  <c r="B240" i="30290"/>
  <c r="B241" i="30290"/>
  <c r="B242" i="30290"/>
  <c r="B230" i="30290"/>
  <c r="B244" i="30290"/>
  <c r="B254" i="30290"/>
  <c r="B253" i="30290"/>
  <c r="B255" i="30290"/>
  <c r="AN297" i="30290"/>
  <c r="AN7" i="30290" s="1"/>
  <c r="AN8" i="30290" s="1"/>
  <c r="C312" i="30290"/>
  <c r="AO297" i="30290"/>
  <c r="AO7" i="30290" s="1"/>
  <c r="AO8" i="30290" s="1"/>
  <c r="D340" i="30290"/>
  <c r="D333" i="30290"/>
  <c r="D336" i="30290"/>
  <c r="D322" i="30290"/>
  <c r="D338" i="30290"/>
  <c r="D337" i="30290"/>
  <c r="D328" i="30290"/>
  <c r="D339" i="30290"/>
  <c r="D325" i="30290"/>
  <c r="D321" i="30290"/>
  <c r="D335" i="30290"/>
  <c r="D332" i="30290"/>
  <c r="D331" i="30290"/>
  <c r="D323" i="30290"/>
  <c r="D324" i="30290"/>
  <c r="D304" i="30290"/>
  <c r="D305" i="30290" s="1"/>
  <c r="D303" i="30290"/>
  <c r="D319" i="30290"/>
  <c r="D306" i="30290"/>
  <c r="D316" i="30290"/>
  <c r="D310" i="30290"/>
  <c r="D301" i="30290"/>
  <c r="D334" i="30290"/>
  <c r="D247" i="30290"/>
  <c r="D330" i="30290"/>
  <c r="D256" i="30290"/>
  <c r="D257" i="30290" s="1"/>
  <c r="D242" i="30290"/>
  <c r="D308" i="30290"/>
  <c r="D329" i="30290"/>
  <c r="D254" i="30290"/>
  <c r="D238" i="30290"/>
  <c r="D314" i="30290"/>
  <c r="D307" i="30290"/>
  <c r="D259" i="30290"/>
  <c r="D260" i="30290" s="1"/>
  <c r="D253" i="30290"/>
  <c r="D315" i="30290"/>
  <c r="D246" i="30290"/>
  <c r="D283" i="30290" s="1"/>
  <c r="D245" i="30290"/>
  <c r="D244" i="30290"/>
  <c r="D243" i="30290"/>
  <c r="D239" i="30290"/>
  <c r="D249" i="30290"/>
  <c r="D320" i="30290"/>
  <c r="D240" i="30290"/>
  <c r="D237" i="30290"/>
  <c r="D230" i="30290"/>
  <c r="D248" i="30290"/>
  <c r="D302" i="30290"/>
  <c r="D255" i="30290"/>
  <c r="AP297" i="30290"/>
  <c r="AP7" i="30290" s="1"/>
  <c r="AV297" i="30290"/>
  <c r="AV7" i="30290" s="1"/>
  <c r="AV8" i="30290" s="1"/>
  <c r="C242" i="30290"/>
  <c r="C247" i="30290"/>
  <c r="C244" i="30290"/>
  <c r="C238" i="30290"/>
  <c r="C315" i="30290"/>
  <c r="C246" i="30290"/>
  <c r="C259" i="30290"/>
  <c r="C260" i="30290" s="1"/>
  <c r="C243" i="30290"/>
  <c r="C239" i="30290"/>
  <c r="C237" i="30290"/>
  <c r="C334" i="30290"/>
  <c r="C304" i="30290"/>
  <c r="C305" i="30290" s="1"/>
  <c r="C230" i="30290"/>
  <c r="C249" i="30290"/>
  <c r="C253" i="30290"/>
  <c r="G8" i="30290"/>
  <c r="G321" i="30290" s="1"/>
  <c r="B302" i="30290"/>
  <c r="B306" i="30290"/>
  <c r="B323" i="30290"/>
  <c r="E8" i="30290"/>
  <c r="E306" i="30290" s="1"/>
  <c r="Q297" i="30290"/>
  <c r="Q7" i="30290" s="1"/>
  <c r="Q8" i="30290" s="1"/>
  <c r="L8" i="30290"/>
  <c r="L330" i="30290" s="1"/>
  <c r="R297" i="30290"/>
  <c r="R7" i="30290" s="1"/>
  <c r="R8" i="30290" s="1"/>
  <c r="I297" i="30290"/>
  <c r="I7" i="30290" s="1"/>
  <c r="I8" i="30290" s="1"/>
  <c r="B259" i="30290"/>
  <c r="B260" i="30290" s="1"/>
  <c r="K297" i="30290"/>
  <c r="K7" i="30290" s="1"/>
  <c r="K1" i="30290" s="1"/>
  <c r="B335" i="30290"/>
  <c r="E314" i="30290"/>
  <c r="F8" i="30290"/>
  <c r="F319" i="30290" s="1"/>
  <c r="P297" i="30290"/>
  <c r="P7" i="30290" s="1"/>
  <c r="P8" i="30290" s="1"/>
  <c r="S297" i="30290"/>
  <c r="S7" i="30290" s="1"/>
  <c r="S1" i="30290" s="1"/>
  <c r="W297" i="30290"/>
  <c r="W7" i="30290" s="1"/>
  <c r="W8" i="30290" s="1"/>
  <c r="L1" i="30290"/>
  <c r="U297" i="30290"/>
  <c r="U7" i="30290" s="1"/>
  <c r="AH297" i="30290"/>
  <c r="AH7" i="30290" s="1"/>
  <c r="AH8" i="30290" s="1"/>
  <c r="T297" i="30290"/>
  <c r="T7" i="30290" s="1"/>
  <c r="AI297" i="30290"/>
  <c r="AI7" i="30290" s="1"/>
  <c r="Y297" i="30290"/>
  <c r="Y7" i="30290" s="1"/>
  <c r="M297" i="30290"/>
  <c r="M7" i="30290" s="1"/>
  <c r="M1" i="30290" s="1"/>
  <c r="N297" i="30290"/>
  <c r="N7" i="30290" s="1"/>
  <c r="N8" i="30290" s="1"/>
  <c r="B246" i="30290"/>
  <c r="B283" i="30290" s="1"/>
  <c r="B249" i="30290"/>
  <c r="J297" i="30290"/>
  <c r="J7" i="30290" s="1"/>
  <c r="J8" i="30290" s="1"/>
  <c r="B340" i="30290"/>
  <c r="B338" i="30290"/>
  <c r="B339" i="30290"/>
  <c r="B337" i="30290"/>
  <c r="B334" i="30290"/>
  <c r="B320" i="30290"/>
  <c r="B315" i="30290"/>
  <c r="B329" i="30290"/>
  <c r="B322" i="30290"/>
  <c r="B336" i="30290"/>
  <c r="B319" i="30290"/>
  <c r="B331" i="30290"/>
  <c r="B324" i="30290"/>
  <c r="B333" i="30290"/>
  <c r="B325" i="30290"/>
  <c r="B304" i="30290"/>
  <c r="B305" i="30290" s="1"/>
  <c r="B303" i="30290"/>
  <c r="B316" i="30290"/>
  <c r="B308" i="30290"/>
  <c r="B307" i="30290"/>
  <c r="B248" i="30290"/>
  <c r="B243" i="30290"/>
  <c r="B332" i="30290"/>
  <c r="B314" i="30290"/>
  <c r="B330" i="30290"/>
  <c r="B328" i="30290"/>
  <c r="B310" i="30290"/>
  <c r="B256" i="30290"/>
  <c r="B257" i="30290" s="1"/>
  <c r="B239" i="30290"/>
  <c r="B301" i="30290"/>
  <c r="B245" i="30290"/>
  <c r="C339" i="30290"/>
  <c r="C340" i="30290"/>
  <c r="C338" i="30290"/>
  <c r="C330" i="30290"/>
  <c r="C328" i="30290"/>
  <c r="C324" i="30290"/>
  <c r="C322" i="30290"/>
  <c r="C336" i="30290"/>
  <c r="C329" i="30290"/>
  <c r="C325" i="30290"/>
  <c r="C321" i="30290"/>
  <c r="C319" i="30290"/>
  <c r="C316" i="30290"/>
  <c r="C335" i="30290"/>
  <c r="C320" i="30290"/>
  <c r="C331" i="30290"/>
  <c r="C323" i="30290"/>
  <c r="C306" i="30290"/>
  <c r="C333" i="30290"/>
  <c r="C337" i="30290"/>
  <c r="C302" i="30290"/>
  <c r="C308" i="30290"/>
  <c r="C307" i="30290"/>
  <c r="C310" i="30290"/>
  <c r="C332" i="30290"/>
  <c r="C314" i="30290"/>
  <c r="C255" i="30290"/>
  <c r="C311" i="30290" s="1"/>
  <c r="C254" i="30290"/>
  <c r="C241" i="30290"/>
  <c r="C240" i="30290"/>
  <c r="C303" i="30290"/>
  <c r="C301" i="30290"/>
  <c r="AA297" i="30290"/>
  <c r="AA7" i="30290" s="1"/>
  <c r="AA8" i="30290" s="1"/>
  <c r="C245" i="30290"/>
  <c r="C248" i="30290"/>
  <c r="B321" i="30290"/>
  <c r="AD336" i="30300" l="1"/>
  <c r="AD304" i="30300"/>
  <c r="AD305" i="30300" s="1"/>
  <c r="AD308" i="30300"/>
  <c r="AD241" i="30300"/>
  <c r="AD306" i="30300"/>
  <c r="AD309" i="30300" s="1"/>
  <c r="AD334" i="30300"/>
  <c r="AD325" i="30300"/>
  <c r="AD302" i="30300"/>
  <c r="AD239" i="30300"/>
  <c r="AD335" i="30300"/>
  <c r="AD240" i="30300"/>
  <c r="AD237" i="30300"/>
  <c r="AD331" i="30300"/>
  <c r="AD322" i="30300"/>
  <c r="AD329" i="30300"/>
  <c r="AD253" i="30300"/>
  <c r="AD333" i="30300"/>
  <c r="AD310" i="30300"/>
  <c r="AD248" i="30300"/>
  <c r="AD230" i="30300"/>
  <c r="AD303" i="30300"/>
  <c r="AD315" i="30300"/>
  <c r="AD249" i="30300"/>
  <c r="AD244" i="30300"/>
  <c r="AD324" i="30300"/>
  <c r="AD338" i="30300"/>
  <c r="AD242" i="30300"/>
  <c r="AD337" i="30300"/>
  <c r="AD320" i="30300"/>
  <c r="AD301" i="30300"/>
  <c r="AD238" i="30300"/>
  <c r="AD307" i="30300"/>
  <c r="AD340" i="30300"/>
  <c r="AD328" i="30300"/>
  <c r="AD246" i="30300"/>
  <c r="AD283" i="30300" s="1"/>
  <c r="AD339" i="30300"/>
  <c r="AD255" i="30300"/>
  <c r="AD330" i="30300"/>
  <c r="AD321" i="30300"/>
  <c r="AD243" i="30300"/>
  <c r="AD319" i="30300"/>
  <c r="AD323" i="30300"/>
  <c r="AD316" i="30300"/>
  <c r="AD259" i="30300"/>
  <c r="AD260" i="30300" s="1"/>
  <c r="AD245" i="30300"/>
  <c r="AD298" i="30300" s="1"/>
  <c r="AD314" i="30300"/>
  <c r="AD247" i="30300"/>
  <c r="AD332" i="30300"/>
  <c r="AD256" i="30300"/>
  <c r="AD257" i="30300" s="1"/>
  <c r="AD254" i="30300"/>
  <c r="AE2" i="30300"/>
  <c r="Z293" i="30300"/>
  <c r="AK7" i="30300"/>
  <c r="X311" i="30300"/>
  <c r="X258" i="30300"/>
  <c r="X283" i="30300"/>
  <c r="C258" i="30290"/>
  <c r="C283" i="30290"/>
  <c r="E238" i="30290"/>
  <c r="B262" i="30290"/>
  <c r="AB309" i="30298"/>
  <c r="AB261" i="30298"/>
  <c r="AB298" i="30298"/>
  <c r="AB258" i="30298"/>
  <c r="AB262" i="30298"/>
  <c r="AB283" i="30298"/>
  <c r="AB293" i="30298"/>
  <c r="AB317" i="30298"/>
  <c r="L241" i="30290"/>
  <c r="Z311" i="30300"/>
  <c r="Z353" i="30300"/>
  <c r="AE330" i="30300"/>
  <c r="AG311" i="30300"/>
  <c r="Y309" i="30300"/>
  <c r="X262" i="30300"/>
  <c r="AM1" i="30300"/>
  <c r="AW1" i="30300"/>
  <c r="AL1" i="30300"/>
  <c r="AL2" i="30300"/>
  <c r="Z309" i="30300"/>
  <c r="AE255" i="30300"/>
  <c r="AE261" i="30300" s="1"/>
  <c r="AE315" i="30300"/>
  <c r="AE337" i="30300"/>
  <c r="AE259" i="30300"/>
  <c r="AE260" i="30300" s="1"/>
  <c r="AE262" i="30300" s="1"/>
  <c r="AD311" i="30300"/>
  <c r="W241" i="30300"/>
  <c r="AE329" i="30300"/>
  <c r="AG309" i="30300"/>
  <c r="W249" i="30300"/>
  <c r="AE331" i="30300"/>
  <c r="W306" i="30300"/>
  <c r="AF309" i="30300"/>
  <c r="AE336" i="30300"/>
  <c r="AE321" i="30300"/>
  <c r="AE302" i="30300"/>
  <c r="AE314" i="30300"/>
  <c r="AE325" i="30300"/>
  <c r="Y311" i="30300"/>
  <c r="AE249" i="30300"/>
  <c r="AE319" i="30300"/>
  <c r="AF311" i="30300"/>
  <c r="AE230" i="30300"/>
  <c r="AE334" i="30300"/>
  <c r="AM2" i="30300"/>
  <c r="W325" i="30300"/>
  <c r="W308" i="30300"/>
  <c r="W338" i="30300"/>
  <c r="X317" i="30300"/>
  <c r="Y298" i="30300"/>
  <c r="Y300" i="30300"/>
  <c r="W331" i="30300"/>
  <c r="AV311" i="30300"/>
  <c r="Y353" i="30300"/>
  <c r="Y299" i="30300"/>
  <c r="Y293" i="30300"/>
  <c r="AG353" i="30300"/>
  <c r="AF258" i="30300"/>
  <c r="AF312" i="30300"/>
  <c r="AF313" i="30300" s="1"/>
  <c r="X313" i="30300"/>
  <c r="AL336" i="30300"/>
  <c r="AL329" i="30300"/>
  <c r="AL325" i="30300"/>
  <c r="AL323" i="30300"/>
  <c r="AL333" i="30300"/>
  <c r="AL330" i="30300"/>
  <c r="AL324" i="30300"/>
  <c r="AL334" i="30300"/>
  <c r="AL319" i="30300"/>
  <c r="AL316" i="30300"/>
  <c r="AL314" i="30300"/>
  <c r="AL310" i="30300"/>
  <c r="AL308" i="30300"/>
  <c r="AL339" i="30300"/>
  <c r="AL332" i="30300"/>
  <c r="AL322" i="30300"/>
  <c r="AL321" i="30300"/>
  <c r="AL328" i="30300"/>
  <c r="AL259" i="30300"/>
  <c r="AL260" i="30300" s="1"/>
  <c r="AL331" i="30300"/>
  <c r="AL306" i="30300"/>
  <c r="AL254" i="30300"/>
  <c r="AL340" i="30300"/>
  <c r="AL338" i="30300"/>
  <c r="AL315" i="30300"/>
  <c r="AL249" i="30300"/>
  <c r="AL247" i="30300"/>
  <c r="AL245" i="30300"/>
  <c r="AL243" i="30300"/>
  <c r="AL241" i="30300"/>
  <c r="AL239" i="30300"/>
  <c r="AL237" i="30300"/>
  <c r="AL253" i="30300"/>
  <c r="AL303" i="30300"/>
  <c r="AL230" i="30300"/>
  <c r="AL320" i="30300"/>
  <c r="AL248" i="30300"/>
  <c r="AL337" i="30300"/>
  <c r="AL238" i="30300"/>
  <c r="AL302" i="30300"/>
  <c r="AL255" i="30300"/>
  <c r="AL242" i="30300"/>
  <c r="AL301" i="30300"/>
  <c r="AL256" i="30300"/>
  <c r="AL257" i="30300" s="1"/>
  <c r="AL335" i="30300"/>
  <c r="AL244" i="30300"/>
  <c r="AL304" i="30300"/>
  <c r="AL305" i="30300" s="1"/>
  <c r="AL307" i="30300"/>
  <c r="AL246" i="30300"/>
  <c r="AL283" i="30300" s="1"/>
  <c r="AL240" i="30300"/>
  <c r="AE253" i="30300"/>
  <c r="AE238" i="30300"/>
  <c r="AE256" i="30300"/>
  <c r="AE257" i="30300" s="1"/>
  <c r="AE320" i="30300"/>
  <c r="AD317" i="30300"/>
  <c r="X309" i="30300"/>
  <c r="AP262" i="30300"/>
  <c r="AP261" i="30300"/>
  <c r="Z261" i="30300"/>
  <c r="AD299" i="30300"/>
  <c r="AD293" i="30300"/>
  <c r="W238" i="30300"/>
  <c r="W239" i="30300"/>
  <c r="X299" i="30300"/>
  <c r="X293" i="30300"/>
  <c r="AS297" i="30300"/>
  <c r="AS7" i="30300" s="1"/>
  <c r="AS1" i="30300" s="1"/>
  <c r="AE237" i="30300"/>
  <c r="AE240" i="30300"/>
  <c r="AE304" i="30300"/>
  <c r="AE305" i="30300" s="1"/>
  <c r="AE332" i="30300"/>
  <c r="AT297" i="30300"/>
  <c r="AT7" i="30300" s="1"/>
  <c r="AT8" i="30300" s="1"/>
  <c r="AT2" i="30300" s="1"/>
  <c r="Y258" i="30300"/>
  <c r="Y312" i="30300"/>
  <c r="Y313" i="30300" s="1"/>
  <c r="AG317" i="30300"/>
  <c r="AP300" i="30300"/>
  <c r="AP298" i="30300"/>
  <c r="W333" i="30300"/>
  <c r="AD353" i="30300"/>
  <c r="W242" i="30300"/>
  <c r="W307" i="30300"/>
  <c r="Y261" i="30300"/>
  <c r="Y262" i="30300"/>
  <c r="AF300" i="30300"/>
  <c r="AF298" i="30300"/>
  <c r="AE303" i="30300"/>
  <c r="AE242" i="30300"/>
  <c r="AE307" i="30300"/>
  <c r="AE323" i="30300"/>
  <c r="AM336" i="30300"/>
  <c r="AM329" i="30300"/>
  <c r="AM325" i="30300"/>
  <c r="AM323" i="30300"/>
  <c r="AM339" i="30300"/>
  <c r="AM332" i="30300"/>
  <c r="AM338" i="30300"/>
  <c r="AM334" i="30300"/>
  <c r="AM319" i="30300"/>
  <c r="AM316" i="30300"/>
  <c r="AN353" i="30300" s="1"/>
  <c r="AM314" i="30300"/>
  <c r="AM322" i="30300"/>
  <c r="AM321" i="30300"/>
  <c r="AM328" i="30300"/>
  <c r="AM320" i="30300"/>
  <c r="AM259" i="30300"/>
  <c r="AM260" i="30300" s="1"/>
  <c r="AM331" i="30300"/>
  <c r="AM340" i="30300"/>
  <c r="AM333" i="30300"/>
  <c r="AM308" i="30300"/>
  <c r="AM306" i="30300"/>
  <c r="AM315" i="30300"/>
  <c r="AM249" i="30300"/>
  <c r="AM247" i="30300"/>
  <c r="AM245" i="30300"/>
  <c r="AM243" i="30300"/>
  <c r="AM253" i="30300"/>
  <c r="AM324" i="30300"/>
  <c r="AM330" i="30300"/>
  <c r="AM303" i="30300"/>
  <c r="AM248" i="30300"/>
  <c r="AM239" i="30300"/>
  <c r="AM337" i="30300"/>
  <c r="AM230" i="30300"/>
  <c r="AM302" i="30300"/>
  <c r="AM238" i="30300"/>
  <c r="AM246" i="30300"/>
  <c r="AM283" i="30300" s="1"/>
  <c r="AM335" i="30300"/>
  <c r="AM242" i="30300"/>
  <c r="AM244" i="30300"/>
  <c r="AM301" i="30300"/>
  <c r="AM256" i="30300"/>
  <c r="AM257" i="30300" s="1"/>
  <c r="AM304" i="30300"/>
  <c r="AM305" i="30300" s="1"/>
  <c r="AM241" i="30300"/>
  <c r="AM310" i="30300"/>
  <c r="AM255" i="30300"/>
  <c r="AM240" i="30300"/>
  <c r="AM307" i="30300"/>
  <c r="AM254" i="30300"/>
  <c r="AM237" i="30300"/>
  <c r="AV312" i="30300"/>
  <c r="AV313" i="30300" s="1"/>
  <c r="AV258" i="30300"/>
  <c r="W303" i="30300"/>
  <c r="W314" i="30300"/>
  <c r="AG300" i="30300"/>
  <c r="AG298" i="30300"/>
  <c r="W237" i="30300"/>
  <c r="W230" i="30300"/>
  <c r="AP317" i="30300"/>
  <c r="AP299" i="30300"/>
  <c r="AP293" i="30300"/>
  <c r="AF317" i="30300"/>
  <c r="AE244" i="30300"/>
  <c r="AE335" i="30300"/>
  <c r="AE333" i="30300"/>
  <c r="W330" i="30300"/>
  <c r="AV298" i="30300"/>
  <c r="AV300" i="30300"/>
  <c r="W304" i="30300"/>
  <c r="W305" i="30300" s="1"/>
  <c r="W334" i="30300"/>
  <c r="W337" i="30300"/>
  <c r="W248" i="30300"/>
  <c r="W316" i="30300"/>
  <c r="AP309" i="30300"/>
  <c r="Z300" i="30300"/>
  <c r="Z298" i="30300"/>
  <c r="AE241" i="30300"/>
  <c r="AE246" i="30300"/>
  <c r="AE283" i="30300" s="1"/>
  <c r="AE339" i="30300"/>
  <c r="AE340" i="30300"/>
  <c r="AG299" i="30300"/>
  <c r="AG293" i="30300"/>
  <c r="AW339" i="30300"/>
  <c r="AW337" i="30300"/>
  <c r="AW335" i="30300"/>
  <c r="AW333" i="30300"/>
  <c r="AW329" i="30300"/>
  <c r="AW332" i="30300"/>
  <c r="AW328" i="30300"/>
  <c r="AW340" i="30300"/>
  <c r="AW319" i="30300"/>
  <c r="AW316" i="30300"/>
  <c r="AW353" i="30300" s="1"/>
  <c r="AW331" i="30300"/>
  <c r="AW324" i="30300"/>
  <c r="AW315" i="30300"/>
  <c r="AW303" i="30300"/>
  <c r="AW301" i="30300"/>
  <c r="AW338" i="30300"/>
  <c r="AW336" i="30300"/>
  <c r="AW307" i="30300"/>
  <c r="AW325" i="30300"/>
  <c r="AW304" i="30300"/>
  <c r="AW305" i="30300" s="1"/>
  <c r="AW334" i="30300"/>
  <c r="AW255" i="30300"/>
  <c r="AW259" i="30300"/>
  <c r="AW260" i="30300" s="1"/>
  <c r="AW256" i="30300"/>
  <c r="AW257" i="30300" s="1"/>
  <c r="AW330" i="30300"/>
  <c r="AW314" i="30300"/>
  <c r="AW310" i="30300"/>
  <c r="AW302" i="30300"/>
  <c r="AW254" i="30300"/>
  <c r="AW322" i="30300"/>
  <c r="AW320" i="30300"/>
  <c r="AW247" i="30300"/>
  <c r="AW244" i="30300"/>
  <c r="AW321" i="30300"/>
  <c r="AW240" i="30300"/>
  <c r="AW245" i="30300"/>
  <c r="AW239" i="30300"/>
  <c r="AW308" i="30300"/>
  <c r="AW323" i="30300"/>
  <c r="AW230" i="30300"/>
  <c r="AW306" i="30300"/>
  <c r="AW238" i="30300"/>
  <c r="AW248" i="30300"/>
  <c r="AW246" i="30300"/>
  <c r="AW283" i="30300" s="1"/>
  <c r="AW237" i="30300"/>
  <c r="AW241" i="30300"/>
  <c r="AW249" i="30300"/>
  <c r="AW242" i="30300"/>
  <c r="AW253" i="30300"/>
  <c r="AW243" i="30300"/>
  <c r="Y317" i="30300"/>
  <c r="W253" i="30300"/>
  <c r="AP312" i="30300"/>
  <c r="AP313" i="30300" s="1"/>
  <c r="AP258" i="30300"/>
  <c r="AG262" i="30300"/>
  <c r="AG261" i="30300"/>
  <c r="W244" i="30300"/>
  <c r="AG312" i="30300"/>
  <c r="AG313" i="30300" s="1"/>
  <c r="AG258" i="30300"/>
  <c r="W321" i="30300"/>
  <c r="W301" i="30300"/>
  <c r="W323" i="30300"/>
  <c r="W302" i="30300"/>
  <c r="W255" i="30300"/>
  <c r="W332" i="30300"/>
  <c r="AF299" i="30300"/>
  <c r="AF293" i="30300"/>
  <c r="AE243" i="30300"/>
  <c r="AE247" i="30300"/>
  <c r="AE248" i="30300"/>
  <c r="AE316" i="30300"/>
  <c r="AF353" i="30300" s="1"/>
  <c r="AE322" i="30300"/>
  <c r="W329" i="30300"/>
  <c r="W243" i="30300"/>
  <c r="Z312" i="30300"/>
  <c r="Z313" i="30300" s="1"/>
  <c r="Z258" i="30300"/>
  <c r="W315" i="30300"/>
  <c r="W324" i="30300"/>
  <c r="AV293" i="30300"/>
  <c r="AV299" i="30300"/>
  <c r="W328" i="30300"/>
  <c r="W320" i="30300"/>
  <c r="W254" i="30300"/>
  <c r="W259" i="30300"/>
  <c r="W260" i="30300" s="1"/>
  <c r="AV261" i="30300"/>
  <c r="AV262" i="30300"/>
  <c r="AF262" i="30300"/>
  <c r="AF261" i="30300"/>
  <c r="AE239" i="30300"/>
  <c r="AE310" i="30300"/>
  <c r="AE338" i="30300"/>
  <c r="AE324" i="30300"/>
  <c r="AD262" i="30300"/>
  <c r="AD261" i="30300"/>
  <c r="AD2" i="30300"/>
  <c r="W2" i="30300"/>
  <c r="W310" i="30300"/>
  <c r="W246" i="30300"/>
  <c r="W283" i="30300" s="1"/>
  <c r="X300" i="30300"/>
  <c r="X298" i="30300"/>
  <c r="AV317" i="30300"/>
  <c r="W335" i="30300"/>
  <c r="W336" i="30300"/>
  <c r="W256" i="30300"/>
  <c r="W257" i="30300" s="1"/>
  <c r="W319" i="30300"/>
  <c r="W339" i="30300"/>
  <c r="W245" i="30300"/>
  <c r="W240" i="30300"/>
  <c r="W247" i="30300"/>
  <c r="W322" i="30300"/>
  <c r="AV309" i="30300"/>
  <c r="AP311" i="30300"/>
  <c r="AE245" i="30300"/>
  <c r="AE306" i="30300"/>
  <c r="AE301" i="30300"/>
  <c r="AE308" i="30300"/>
  <c r="AE328" i="30300"/>
  <c r="AR297" i="30300"/>
  <c r="AR7" i="30300" s="1"/>
  <c r="AD312" i="30300"/>
  <c r="E321" i="30290"/>
  <c r="F238" i="30290"/>
  <c r="E332" i="30290"/>
  <c r="E340" i="30290"/>
  <c r="N1" i="30290"/>
  <c r="F334" i="30290"/>
  <c r="F256" i="30290"/>
  <c r="F257" i="30290" s="1"/>
  <c r="F312" i="30290" s="1"/>
  <c r="E246" i="30290"/>
  <c r="E247" i="30290"/>
  <c r="F331" i="30290"/>
  <c r="E301" i="30290"/>
  <c r="E330" i="30290"/>
  <c r="F323" i="30290"/>
  <c r="E249" i="30290"/>
  <c r="F302" i="30290"/>
  <c r="F339" i="30290"/>
  <c r="F303" i="30290"/>
  <c r="F332" i="30290"/>
  <c r="F337" i="30290"/>
  <c r="E253" i="30290"/>
  <c r="E317" i="30290" s="1"/>
  <c r="F304" i="30290"/>
  <c r="F305" i="30290" s="1"/>
  <c r="F245" i="30290"/>
  <c r="E259" i="30290"/>
  <c r="E260" i="30290" s="1"/>
  <c r="F306" i="30290"/>
  <c r="E244" i="30290"/>
  <c r="F253" i="30290"/>
  <c r="F317" i="30290" s="1"/>
  <c r="F308" i="30290"/>
  <c r="G239" i="30290"/>
  <c r="E331" i="30290"/>
  <c r="F239" i="30290"/>
  <c r="F335" i="30290"/>
  <c r="E308" i="30290"/>
  <c r="F246" i="30290"/>
  <c r="F283" i="30290" s="1"/>
  <c r="F329" i="30290"/>
  <c r="F310" i="30290"/>
  <c r="L319" i="30290"/>
  <c r="E240" i="30290"/>
  <c r="F255" i="30290"/>
  <c r="E323" i="30290"/>
  <c r="F247" i="30290"/>
  <c r="E329" i="30290"/>
  <c r="E302" i="30290"/>
  <c r="F248" i="30290"/>
  <c r="F249" i="30290"/>
  <c r="F330" i="30290"/>
  <c r="F314" i="30290"/>
  <c r="L243" i="30290"/>
  <c r="F230" i="30290"/>
  <c r="E242" i="30290"/>
  <c r="E336" i="30290"/>
  <c r="F237" i="30290"/>
  <c r="F320" i="30290"/>
  <c r="F321" i="30290"/>
  <c r="L248" i="30290"/>
  <c r="E334" i="30290"/>
  <c r="E339" i="30290"/>
  <c r="F307" i="30290"/>
  <c r="F325" i="30290"/>
  <c r="B317" i="30290"/>
  <c r="L239" i="30290"/>
  <c r="D309" i="30290"/>
  <c r="L320" i="30290"/>
  <c r="E241" i="30290"/>
  <c r="E325" i="30290"/>
  <c r="F315" i="30290"/>
  <c r="F338" i="30290"/>
  <c r="F336" i="30290"/>
  <c r="L316" i="30290"/>
  <c r="E322" i="30290"/>
  <c r="E243" i="30290"/>
  <c r="E310" i="30290"/>
  <c r="F243" i="30290"/>
  <c r="F333" i="30290"/>
  <c r="F328" i="30290"/>
  <c r="C313" i="30290"/>
  <c r="D311" i="30290"/>
  <c r="E230" i="30290"/>
  <c r="B261" i="30290"/>
  <c r="AO2" i="30290"/>
  <c r="E303" i="30290"/>
  <c r="E245" i="30290"/>
  <c r="E333" i="30290"/>
  <c r="F244" i="30290"/>
  <c r="F324" i="30290"/>
  <c r="F340" i="30290"/>
  <c r="L237" i="30290"/>
  <c r="L302" i="30290"/>
  <c r="L308" i="30290"/>
  <c r="G249" i="30290"/>
  <c r="L304" i="30290"/>
  <c r="L305" i="30290" s="1"/>
  <c r="L325" i="30290"/>
  <c r="W2" i="30290"/>
  <c r="G314" i="30290"/>
  <c r="E255" i="30290"/>
  <c r="E324" i="30290"/>
  <c r="L301" i="30290"/>
  <c r="L328" i="30290"/>
  <c r="G319" i="30290"/>
  <c r="E316" i="30290"/>
  <c r="E353" i="30290" s="1"/>
  <c r="L323" i="30290"/>
  <c r="L334" i="30290"/>
  <c r="AH2" i="30290"/>
  <c r="L321" i="30290"/>
  <c r="L333" i="30290"/>
  <c r="G246" i="30290"/>
  <c r="E304" i="30290"/>
  <c r="E305" i="30290" s="1"/>
  <c r="E320" i="30290"/>
  <c r="E307" i="30290"/>
  <c r="E335" i="30290"/>
  <c r="F242" i="30290"/>
  <c r="F301" i="30290"/>
  <c r="L315" i="30290"/>
  <c r="L324" i="30290"/>
  <c r="E328" i="30290"/>
  <c r="B309" i="30290"/>
  <c r="L242" i="30290"/>
  <c r="L338" i="30290"/>
  <c r="D353" i="30290"/>
  <c r="E237" i="30290"/>
  <c r="E239" i="30290"/>
  <c r="E319" i="30290"/>
  <c r="E338" i="30290"/>
  <c r="L244" i="30290"/>
  <c r="L335" i="30290"/>
  <c r="E337" i="30290"/>
  <c r="E248" i="30290"/>
  <c r="L246" i="30290"/>
  <c r="L339" i="30290"/>
  <c r="N2" i="30290"/>
  <c r="G238" i="30290"/>
  <c r="G254" i="30290"/>
  <c r="G241" i="30290"/>
  <c r="G240" i="30290"/>
  <c r="G248" i="30290"/>
  <c r="B293" i="30290"/>
  <c r="B299" i="30290"/>
  <c r="I340" i="30290"/>
  <c r="I336" i="30290"/>
  <c r="I337" i="30290"/>
  <c r="I325" i="30290"/>
  <c r="I321" i="30290"/>
  <c r="I319" i="30290"/>
  <c r="I339" i="30290"/>
  <c r="I331" i="30290"/>
  <c r="I333" i="30290"/>
  <c r="I332" i="30290"/>
  <c r="I330" i="30290"/>
  <c r="I323" i="30290"/>
  <c r="I314" i="30290"/>
  <c r="I329" i="30290"/>
  <c r="I328" i="30290"/>
  <c r="I338" i="30290"/>
  <c r="I335" i="30290"/>
  <c r="I322" i="30290"/>
  <c r="I308" i="30290"/>
  <c r="I301" i="30290"/>
  <c r="I334" i="30290"/>
  <c r="I320" i="30290"/>
  <c r="I310" i="30290"/>
  <c r="I324" i="30290"/>
  <c r="I302" i="30290"/>
  <c r="I241" i="30290"/>
  <c r="I306" i="30290"/>
  <c r="I304" i="30290"/>
  <c r="I305" i="30290" s="1"/>
  <c r="I315" i="30290"/>
  <c r="I303" i="30290"/>
  <c r="I246" i="30290"/>
  <c r="I283" i="30290" s="1"/>
  <c r="I307" i="30290"/>
  <c r="I259" i="30290"/>
  <c r="I260" i="30290" s="1"/>
  <c r="I230" i="30290"/>
  <c r="I256" i="30290"/>
  <c r="I257" i="30290" s="1"/>
  <c r="I247" i="30290"/>
  <c r="I244" i="30290"/>
  <c r="I245" i="30290"/>
  <c r="I255" i="30290"/>
  <c r="I239" i="30290"/>
  <c r="I248" i="30290"/>
  <c r="I243" i="30290"/>
  <c r="I237" i="30290"/>
  <c r="I240" i="30290"/>
  <c r="I253" i="30290"/>
  <c r="I1" i="30290"/>
  <c r="I238" i="30290"/>
  <c r="I254" i="30290"/>
  <c r="I242" i="30290"/>
  <c r="I249" i="30290"/>
  <c r="P1" i="30290"/>
  <c r="C309" i="30290"/>
  <c r="G320" i="30290"/>
  <c r="G328" i="30290"/>
  <c r="G245" i="30290"/>
  <c r="G306" i="30290"/>
  <c r="G335" i="30290"/>
  <c r="Y8" i="30290"/>
  <c r="Y336" i="30290" s="1"/>
  <c r="L249" i="30290"/>
  <c r="L340" i="30290"/>
  <c r="L322" i="30290"/>
  <c r="G253" i="30290"/>
  <c r="Y315" i="30290"/>
  <c r="Y255" i="30290"/>
  <c r="D312" i="30290"/>
  <c r="D313" i="30290" s="1"/>
  <c r="D258" i="30290"/>
  <c r="G325" i="30290"/>
  <c r="P2" i="30290"/>
  <c r="I2" i="30290"/>
  <c r="G259" i="30290"/>
  <c r="G260" i="30290" s="1"/>
  <c r="G323" i="30290"/>
  <c r="G339" i="30290"/>
  <c r="R1" i="30290"/>
  <c r="R340" i="30290"/>
  <c r="R338" i="30290"/>
  <c r="R336" i="30290"/>
  <c r="R329" i="30290"/>
  <c r="R322" i="30290"/>
  <c r="R334" i="30290"/>
  <c r="R321" i="30290"/>
  <c r="R319" i="30290"/>
  <c r="R325" i="30290"/>
  <c r="R337" i="30290"/>
  <c r="R306" i="30290"/>
  <c r="R332" i="30290"/>
  <c r="R339" i="30290"/>
  <c r="R335" i="30290"/>
  <c r="R324" i="30290"/>
  <c r="R315" i="30290"/>
  <c r="R330" i="30290"/>
  <c r="R304" i="30290"/>
  <c r="R305" i="30290" s="1"/>
  <c r="R303" i="30290"/>
  <c r="R302" i="30290"/>
  <c r="R323" i="30290"/>
  <c r="R308" i="30290"/>
  <c r="R307" i="30290"/>
  <c r="R256" i="30290"/>
  <c r="R257" i="30290" s="1"/>
  <c r="R239" i="30290"/>
  <c r="R314" i="30290"/>
  <c r="R333" i="30290"/>
  <c r="R331" i="30290"/>
  <c r="R320" i="30290"/>
  <c r="R255" i="30290"/>
  <c r="R254" i="30290"/>
  <c r="R249" i="30290"/>
  <c r="R253" i="30290"/>
  <c r="R248" i="30290"/>
  <c r="R238" i="30290"/>
  <c r="R244" i="30290"/>
  <c r="R243" i="30290"/>
  <c r="R247" i="30290"/>
  <c r="R328" i="30290"/>
  <c r="R259" i="30290"/>
  <c r="R260" i="30290" s="1"/>
  <c r="R241" i="30290"/>
  <c r="R316" i="30290"/>
  <c r="Y1" i="30290"/>
  <c r="R240" i="30290"/>
  <c r="R230" i="30290"/>
  <c r="R246" i="30290"/>
  <c r="R283" i="30290" s="1"/>
  <c r="R245" i="30290"/>
  <c r="R237" i="30290"/>
  <c r="R310" i="30290"/>
  <c r="R301" i="30290"/>
  <c r="R242" i="30290"/>
  <c r="C317" i="30290"/>
  <c r="AV338" i="30290"/>
  <c r="AV336" i="30290"/>
  <c r="AV329" i="30290"/>
  <c r="AV333" i="30290"/>
  <c r="AV322" i="30290"/>
  <c r="AV339" i="30290"/>
  <c r="AV319" i="30290"/>
  <c r="AV316" i="30290"/>
  <c r="AV314" i="30290"/>
  <c r="AV310" i="30290"/>
  <c r="AV308" i="30290"/>
  <c r="AV306" i="30290"/>
  <c r="AV304" i="30290"/>
  <c r="AV305" i="30290" s="1"/>
  <c r="AV302" i="30290"/>
  <c r="AV325" i="30290"/>
  <c r="AV335" i="30290"/>
  <c r="AV321" i="30290"/>
  <c r="AV320" i="30290"/>
  <c r="AV332" i="30290"/>
  <c r="AV340" i="30290"/>
  <c r="AV337" i="30290"/>
  <c r="AV303" i="30290"/>
  <c r="AV243" i="30290"/>
  <c r="AV315" i="30290"/>
  <c r="AV259" i="30290"/>
  <c r="AV260" i="30290" s="1"/>
  <c r="AV256" i="30290"/>
  <c r="AV257" i="30290" s="1"/>
  <c r="AV331" i="30290"/>
  <c r="AV307" i="30290"/>
  <c r="AV324" i="30290"/>
  <c r="AV240" i="30290"/>
  <c r="AV253" i="30290"/>
  <c r="AV237" i="30290"/>
  <c r="AV247" i="30290"/>
  <c r="AV230" i="30290"/>
  <c r="AV255" i="30290"/>
  <c r="AV249" i="30290"/>
  <c r="AV245" i="30290"/>
  <c r="AV244" i="30290"/>
  <c r="AV239" i="30290"/>
  <c r="AV254" i="30290"/>
  <c r="AV241" i="30290"/>
  <c r="AV323" i="30290"/>
  <c r="AV334" i="30290"/>
  <c r="AV246" i="30290"/>
  <c r="AV283" i="30290" s="1"/>
  <c r="AV242" i="30290"/>
  <c r="AV238" i="30290"/>
  <c r="AV301" i="30290"/>
  <c r="AV330" i="30290"/>
  <c r="AV328" i="30290"/>
  <c r="AV248" i="30290"/>
  <c r="L253" i="30290"/>
  <c r="L259" i="30290"/>
  <c r="L260" i="30290" s="1"/>
  <c r="L254" i="30290"/>
  <c r="L329" i="30290"/>
  <c r="L230" i="30290"/>
  <c r="AE297" i="30290"/>
  <c r="AE7" i="30290" s="1"/>
  <c r="AE8" i="30290" s="1"/>
  <c r="B258" i="30290"/>
  <c r="B312" i="30290"/>
  <c r="B313" i="30290" s="1"/>
  <c r="G337" i="30290"/>
  <c r="D317" i="30290"/>
  <c r="S8" i="30290"/>
  <c r="S329" i="30290" s="1"/>
  <c r="G307" i="30290"/>
  <c r="C262" i="30290"/>
  <c r="C261" i="30290"/>
  <c r="J340" i="30290"/>
  <c r="J336" i="30290"/>
  <c r="J331" i="30290"/>
  <c r="J329" i="30290"/>
  <c r="J325" i="30290"/>
  <c r="J323" i="30290"/>
  <c r="J334" i="30290"/>
  <c r="J339" i="30290"/>
  <c r="J335" i="30290"/>
  <c r="J324" i="30290"/>
  <c r="J330" i="30290"/>
  <c r="J320" i="30290"/>
  <c r="J333" i="30290"/>
  <c r="J304" i="30290"/>
  <c r="J305" i="30290" s="1"/>
  <c r="J328" i="30290"/>
  <c r="J338" i="30290"/>
  <c r="J332" i="30290"/>
  <c r="J319" i="30290"/>
  <c r="J310" i="30290"/>
  <c r="J314" i="30290"/>
  <c r="J306" i="30290"/>
  <c r="J255" i="30290"/>
  <c r="J315" i="30290"/>
  <c r="J337" i="30290"/>
  <c r="J308" i="30290"/>
  <c r="J303" i="30290"/>
  <c r="J321" i="30290"/>
  <c r="J259" i="30290"/>
  <c r="J260" i="30290" s="1"/>
  <c r="J248" i="30290"/>
  <c r="J247" i="30290"/>
  <c r="J237" i="30290"/>
  <c r="J307" i="30290"/>
  <c r="J246" i="30290"/>
  <c r="J283" i="30290" s="1"/>
  <c r="J1" i="30290"/>
  <c r="J253" i="30290"/>
  <c r="J243" i="30290"/>
  <c r="J240" i="30290"/>
  <c r="J239" i="30290"/>
  <c r="J230" i="30290"/>
  <c r="J256" i="30290"/>
  <c r="J257" i="30290" s="1"/>
  <c r="J302" i="30290"/>
  <c r="J242" i="30290"/>
  <c r="J322" i="30290"/>
  <c r="J249" i="30290"/>
  <c r="J238" i="30290"/>
  <c r="J254" i="30290"/>
  <c r="J241" i="30290"/>
  <c r="Q1" i="30290"/>
  <c r="J244" i="30290"/>
  <c r="J301" i="30290"/>
  <c r="J245" i="30290"/>
  <c r="G244" i="30290"/>
  <c r="G255" i="30290"/>
  <c r="G303" i="30290"/>
  <c r="G315" i="30290"/>
  <c r="G332" i="30290"/>
  <c r="L307" i="30290"/>
  <c r="L256" i="30290"/>
  <c r="L257" i="30290" s="1"/>
  <c r="C353" i="30290"/>
  <c r="B353" i="30290"/>
  <c r="G243" i="30290"/>
  <c r="W340" i="30290"/>
  <c r="W332" i="30290"/>
  <c r="W335" i="30290"/>
  <c r="W321" i="30290"/>
  <c r="W319" i="30290"/>
  <c r="W316" i="30290"/>
  <c r="W325" i="30290"/>
  <c r="W331" i="30290"/>
  <c r="W324" i="30290"/>
  <c r="W337" i="30290"/>
  <c r="W336" i="30290"/>
  <c r="W333" i="30290"/>
  <c r="W330" i="30290"/>
  <c r="W338" i="30290"/>
  <c r="W320" i="30290"/>
  <c r="W323" i="30290"/>
  <c r="W339" i="30290"/>
  <c r="W334" i="30290"/>
  <c r="W307" i="30290"/>
  <c r="W306" i="30290"/>
  <c r="W308" i="30290"/>
  <c r="W310" i="30290"/>
  <c r="W303" i="30290"/>
  <c r="W246" i="30290"/>
  <c r="W283" i="30290" s="1"/>
  <c r="W315" i="30290"/>
  <c r="W322" i="30290"/>
  <c r="W314" i="30290"/>
  <c r="W244" i="30290"/>
  <c r="W243" i="30290"/>
  <c r="W329" i="30290"/>
  <c r="W304" i="30290"/>
  <c r="W305" i="30290" s="1"/>
  <c r="W238" i="30290"/>
  <c r="W230" i="30290"/>
  <c r="W254" i="30290"/>
  <c r="W242" i="30290"/>
  <c r="W301" i="30290"/>
  <c r="W253" i="30290"/>
  <c r="W328" i="30290"/>
  <c r="W249" i="30290"/>
  <c r="W241" i="30290"/>
  <c r="W302" i="30290"/>
  <c r="W240" i="30290"/>
  <c r="W237" i="30290"/>
  <c r="W256" i="30290"/>
  <c r="W257" i="30290" s="1"/>
  <c r="W245" i="30290"/>
  <c r="W239" i="30290"/>
  <c r="W247" i="30290"/>
  <c r="W255" i="30290"/>
  <c r="W259" i="30290"/>
  <c r="W260" i="30290" s="1"/>
  <c r="W248" i="30290"/>
  <c r="G331" i="30290"/>
  <c r="G334" i="30290"/>
  <c r="B311" i="30290"/>
  <c r="L306" i="30290"/>
  <c r="L310" i="30290"/>
  <c r="L314" i="30290"/>
  <c r="L332" i="30290"/>
  <c r="AA335" i="30290"/>
  <c r="AA340" i="30290"/>
  <c r="AA339" i="30290"/>
  <c r="AA333" i="30290"/>
  <c r="AA338" i="30290"/>
  <c r="AA324" i="30290"/>
  <c r="AA337" i="30290"/>
  <c r="AA331" i="30290"/>
  <c r="AA332" i="30290"/>
  <c r="AA330" i="30290"/>
  <c r="AA320" i="30290"/>
  <c r="AA315" i="30290"/>
  <c r="AA307" i="30290"/>
  <c r="AA303" i="30290"/>
  <c r="AA301" i="30290"/>
  <c r="AA336" i="30290"/>
  <c r="AA329" i="30290"/>
  <c r="AA322" i="30290"/>
  <c r="AA323" i="30290"/>
  <c r="AA308" i="30290"/>
  <c r="AA334" i="30290"/>
  <c r="AA310" i="30290"/>
  <c r="AA319" i="30290"/>
  <c r="AA316" i="30290"/>
  <c r="AA302" i="30290"/>
  <c r="AA259" i="30290"/>
  <c r="AA260" i="30290" s="1"/>
  <c r="AA240" i="30290"/>
  <c r="AA328" i="30290"/>
  <c r="AA321" i="30290"/>
  <c r="AA314" i="30290"/>
  <c r="AA304" i="30290"/>
  <c r="AA305" i="30290" s="1"/>
  <c r="AA325" i="30290"/>
  <c r="AA306" i="30290"/>
  <c r="AA249" i="30290"/>
  <c r="AA248" i="30290"/>
  <c r="AA253" i="30290"/>
  <c r="AA246" i="30290"/>
  <c r="AA283" i="30290" s="1"/>
  <c r="AA243" i="30290"/>
  <c r="AA247" i="30290"/>
  <c r="AA244" i="30290"/>
  <c r="AA230" i="30290"/>
  <c r="AA237" i="30290"/>
  <c r="AA256" i="30290"/>
  <c r="AA257" i="30290" s="1"/>
  <c r="AA254" i="30290"/>
  <c r="AA245" i="30290"/>
  <c r="AA239" i="30290"/>
  <c r="AA255" i="30290"/>
  <c r="AA238" i="30290"/>
  <c r="AA242" i="30290"/>
  <c r="AH1" i="30290"/>
  <c r="AA241" i="30290"/>
  <c r="AP1" i="30290"/>
  <c r="AI8" i="30290"/>
  <c r="AI335" i="30290" s="1"/>
  <c r="C299" i="30290"/>
  <c r="C293" i="30290"/>
  <c r="P334" i="30290"/>
  <c r="P337" i="30290"/>
  <c r="P340" i="30290"/>
  <c r="P335" i="30290"/>
  <c r="P323" i="30290"/>
  <c r="P320" i="30290"/>
  <c r="P315" i="30290"/>
  <c r="P329" i="30290"/>
  <c r="P322" i="30290"/>
  <c r="P328" i="30290"/>
  <c r="P338" i="30290"/>
  <c r="P307" i="30290"/>
  <c r="P336" i="30290"/>
  <c r="P332" i="30290"/>
  <c r="P339" i="30290"/>
  <c r="P333" i="30290"/>
  <c r="P324" i="30290"/>
  <c r="P321" i="30290"/>
  <c r="P304" i="30290"/>
  <c r="P305" i="30290" s="1"/>
  <c r="P303" i="30290"/>
  <c r="P302" i="30290"/>
  <c r="P331" i="30290"/>
  <c r="P316" i="30290"/>
  <c r="P314" i="30290"/>
  <c r="P301" i="30290"/>
  <c r="P253" i="30290"/>
  <c r="P319" i="30290"/>
  <c r="P325" i="30290"/>
  <c r="P330" i="30290"/>
  <c r="P308" i="30290"/>
  <c r="P306" i="30290"/>
  <c r="P256" i="30290"/>
  <c r="P257" i="30290" s="1"/>
  <c r="P244" i="30290"/>
  <c r="P241" i="30290"/>
  <c r="P310" i="30290"/>
  <c r="P254" i="30290"/>
  <c r="P255" i="30290"/>
  <c r="P242" i="30290"/>
  <c r="P248" i="30290"/>
  <c r="P238" i="30290"/>
  <c r="P259" i="30290"/>
  <c r="P260" i="30290" s="1"/>
  <c r="P249" i="30290"/>
  <c r="P230" i="30290"/>
  <c r="P243" i="30290"/>
  <c r="P246" i="30290"/>
  <c r="P283" i="30290" s="1"/>
  <c r="W1" i="30290"/>
  <c r="P237" i="30290"/>
  <c r="P240" i="30290"/>
  <c r="P245" i="30290"/>
  <c r="P239" i="30290"/>
  <c r="P247" i="30290"/>
  <c r="AV2" i="30290"/>
  <c r="G333" i="30290"/>
  <c r="G242" i="30290"/>
  <c r="L247" i="30290"/>
  <c r="L238" i="30290"/>
  <c r="L337" i="30290"/>
  <c r="L331" i="30290"/>
  <c r="AN339" i="30290"/>
  <c r="AN336" i="30290"/>
  <c r="AN331" i="30290"/>
  <c r="AN334" i="30290"/>
  <c r="AN325" i="30290"/>
  <c r="AN340" i="30290"/>
  <c r="AN324" i="30290"/>
  <c r="AN330" i="30290"/>
  <c r="AN332" i="30290"/>
  <c r="AN323" i="30290"/>
  <c r="AN333" i="30290"/>
  <c r="AN328" i="30290"/>
  <c r="AN329" i="30290"/>
  <c r="AN314" i="30290"/>
  <c r="AN304" i="30290"/>
  <c r="AN305" i="30290" s="1"/>
  <c r="AN322" i="30290"/>
  <c r="AN307" i="30290"/>
  <c r="AN306" i="30290"/>
  <c r="AN320" i="30290"/>
  <c r="AN308" i="30290"/>
  <c r="AN337" i="30290"/>
  <c r="AN256" i="30290"/>
  <c r="AN257" i="30290" s="1"/>
  <c r="AN254" i="30290"/>
  <c r="AN248" i="30290"/>
  <c r="AN246" i="30290"/>
  <c r="AN283" i="30290" s="1"/>
  <c r="AN244" i="30290"/>
  <c r="AN242" i="30290"/>
  <c r="AN240" i="30290"/>
  <c r="AN238" i="30290"/>
  <c r="AN335" i="30290"/>
  <c r="AN321" i="30290"/>
  <c r="AN255" i="30290"/>
  <c r="AN319" i="30290"/>
  <c r="AN316" i="30290"/>
  <c r="AN302" i="30290"/>
  <c r="AN303" i="30290"/>
  <c r="AN338" i="30290"/>
  <c r="AN245" i="30290"/>
  <c r="AN310" i="30290"/>
  <c r="AN301" i="30290"/>
  <c r="AN315" i="30290"/>
  <c r="AN243" i="30290"/>
  <c r="AN241" i="30290"/>
  <c r="AN230" i="30290"/>
  <c r="AN253" i="30290"/>
  <c r="AN249" i="30290"/>
  <c r="AN259" i="30290"/>
  <c r="AN260" i="30290" s="1"/>
  <c r="AN239" i="30290"/>
  <c r="AN237" i="30290"/>
  <c r="AN247" i="30290"/>
  <c r="D300" i="30290"/>
  <c r="D298" i="30290"/>
  <c r="Q339" i="30290"/>
  <c r="Q330" i="30290"/>
  <c r="Q328" i="30290"/>
  <c r="Q324" i="30290"/>
  <c r="Q322" i="30290"/>
  <c r="Q338" i="30290"/>
  <c r="Q337" i="30290"/>
  <c r="Q340" i="30290"/>
  <c r="Q329" i="30290"/>
  <c r="Q321" i="30290"/>
  <c r="Q319" i="30290"/>
  <c r="Q316" i="30290"/>
  <c r="R353" i="30290" s="1"/>
  <c r="Q336" i="30290"/>
  <c r="Q332" i="30290"/>
  <c r="Q334" i="30290"/>
  <c r="Q320" i="30290"/>
  <c r="Q315" i="30290"/>
  <c r="Q331" i="30290"/>
  <c r="Q306" i="30290"/>
  <c r="Q323" i="30290"/>
  <c r="Q333" i="30290"/>
  <c r="Q304" i="30290"/>
  <c r="Q305" i="30290" s="1"/>
  <c r="Q248" i="30290"/>
  <c r="Q243" i="30290"/>
  <c r="Q335" i="30290"/>
  <c r="Q308" i="30290"/>
  <c r="Q325" i="30290"/>
  <c r="Q302" i="30290"/>
  <c r="Q301" i="30290"/>
  <c r="Q255" i="30290"/>
  <c r="Q254" i="30290"/>
  <c r="Q314" i="30290"/>
  <c r="Q307" i="30290"/>
  <c r="Q244" i="30290"/>
  <c r="Q241" i="30290"/>
  <c r="Q238" i="30290"/>
  <c r="Q259" i="30290"/>
  <c r="Q260" i="30290" s="1"/>
  <c r="Q249" i="30290"/>
  <c r="Q310" i="30290"/>
  <c r="Q253" i="30290"/>
  <c r="Q256" i="30290"/>
  <c r="Q257" i="30290" s="1"/>
  <c r="Q246" i="30290"/>
  <c r="Q283" i="30290" s="1"/>
  <c r="Q230" i="30290"/>
  <c r="Q237" i="30290"/>
  <c r="Q239" i="30290"/>
  <c r="Q240" i="30290"/>
  <c r="Q245" i="30290"/>
  <c r="Q303" i="30290"/>
  <c r="Q247" i="30290"/>
  <c r="Q242" i="30290"/>
  <c r="D299" i="30290"/>
  <c r="D293" i="30290"/>
  <c r="X297" i="30290"/>
  <c r="X7" i="30290" s="1"/>
  <c r="G329" i="30290"/>
  <c r="G308" i="30290"/>
  <c r="AH333" i="30290"/>
  <c r="AH338" i="30290"/>
  <c r="AH336" i="30290"/>
  <c r="AH322" i="30290"/>
  <c r="AH335" i="30290"/>
  <c r="AH328" i="30290"/>
  <c r="AH321" i="30290"/>
  <c r="AH319" i="30290"/>
  <c r="AH316" i="30290"/>
  <c r="AH314" i="30290"/>
  <c r="AH310" i="30290"/>
  <c r="AH308" i="30290"/>
  <c r="AH306" i="30290"/>
  <c r="AH304" i="30290"/>
  <c r="AH305" i="30290" s="1"/>
  <c r="AH302" i="30290"/>
  <c r="AH334" i="30290"/>
  <c r="AH325" i="30290"/>
  <c r="AH339" i="30290"/>
  <c r="AH331" i="30290"/>
  <c r="AH340" i="30290"/>
  <c r="AH323" i="30290"/>
  <c r="AH315" i="30290"/>
  <c r="AH303" i="30290"/>
  <c r="AH320" i="30290"/>
  <c r="AH301" i="30290"/>
  <c r="AH337" i="30290"/>
  <c r="AH307" i="30290"/>
  <c r="AH332" i="30290"/>
  <c r="AH256" i="30290"/>
  <c r="AH257" i="30290" s="1"/>
  <c r="AH255" i="30290"/>
  <c r="AH244" i="30290"/>
  <c r="AH241" i="30290"/>
  <c r="AH324" i="30290"/>
  <c r="AH259" i="30290"/>
  <c r="AH260" i="30290" s="1"/>
  <c r="AH330" i="30290"/>
  <c r="AH243" i="30290"/>
  <c r="AH242" i="30290"/>
  <c r="AH238" i="30290"/>
  <c r="AO1" i="30290"/>
  <c r="AH240" i="30290"/>
  <c r="AH237" i="30290"/>
  <c r="AH247" i="30290"/>
  <c r="AH253" i="30290"/>
  <c r="AH249" i="30290"/>
  <c r="AH248" i="30290"/>
  <c r="AH230" i="30290"/>
  <c r="AH329" i="30290"/>
  <c r="AH239" i="30290"/>
  <c r="AH246" i="30290"/>
  <c r="AH283" i="30290" s="1"/>
  <c r="AH254" i="30290"/>
  <c r="AH245" i="30290"/>
  <c r="Q2" i="30290"/>
  <c r="G322" i="30290"/>
  <c r="G237" i="30290"/>
  <c r="G304" i="30290"/>
  <c r="G305" i="30290" s="1"/>
  <c r="G330" i="30290"/>
  <c r="G336" i="30290"/>
  <c r="J2" i="30290"/>
  <c r="D261" i="30290"/>
  <c r="D262" i="30290"/>
  <c r="U8" i="30290"/>
  <c r="U338" i="30290" s="1"/>
  <c r="G247" i="30290"/>
  <c r="G301" i="30290"/>
  <c r="G338" i="30290"/>
  <c r="AW297" i="30290"/>
  <c r="AW7" i="30290" s="1"/>
  <c r="AW1" i="30290" s="1"/>
  <c r="K8" i="30290"/>
  <c r="K331" i="30290" s="1"/>
  <c r="AO335" i="30290"/>
  <c r="AO334" i="30290"/>
  <c r="AO340" i="30290"/>
  <c r="AO339" i="30290"/>
  <c r="AO324" i="30290"/>
  <c r="AO320" i="30290"/>
  <c r="AO315" i="30290"/>
  <c r="AO307" i="30290"/>
  <c r="AO303" i="30290"/>
  <c r="AO301" i="30290"/>
  <c r="AO332" i="30290"/>
  <c r="AO323" i="30290"/>
  <c r="AO333" i="30290"/>
  <c r="AO337" i="30290"/>
  <c r="AO329" i="30290"/>
  <c r="AO331" i="30290"/>
  <c r="AO330" i="30290"/>
  <c r="AO308" i="30290"/>
  <c r="AO328" i="30290"/>
  <c r="AO310" i="30290"/>
  <c r="AO325" i="30290"/>
  <c r="AO321" i="30290"/>
  <c r="AO319" i="30290"/>
  <c r="AO314" i="30290"/>
  <c r="AO304" i="30290"/>
  <c r="AO305" i="30290" s="1"/>
  <c r="AO245" i="30290"/>
  <c r="AO338" i="30290"/>
  <c r="AO259" i="30290"/>
  <c r="AO260" i="30290" s="1"/>
  <c r="AO316" i="30290"/>
  <c r="AO322" i="30290"/>
  <c r="AO336" i="30290"/>
  <c r="AO256" i="30290"/>
  <c r="AO257" i="30290" s="1"/>
  <c r="AO242" i="30290"/>
  <c r="AO239" i="30290"/>
  <c r="AO302" i="30290"/>
  <c r="AO255" i="30290"/>
  <c r="AO249" i="30290"/>
  <c r="AO306" i="30290"/>
  <c r="AO253" i="30290"/>
  <c r="AO238" i="30290"/>
  <c r="AO248" i="30290"/>
  <c r="AO241" i="30290"/>
  <c r="AO230" i="30290"/>
  <c r="AO246" i="30290"/>
  <c r="AO283" i="30290" s="1"/>
  <c r="AO240" i="30290"/>
  <c r="AO243" i="30290"/>
  <c r="AO237" i="30290"/>
  <c r="AO244" i="30290"/>
  <c r="AO254" i="30290"/>
  <c r="AV1" i="30290"/>
  <c r="AO247" i="30290"/>
  <c r="AU297" i="30290"/>
  <c r="AU7" i="30290" s="1"/>
  <c r="AU1" i="30290" s="1"/>
  <c r="B300" i="30290"/>
  <c r="B298" i="30290"/>
  <c r="M8" i="30290"/>
  <c r="M304" i="30290" s="1"/>
  <c r="M305" i="30290" s="1"/>
  <c r="T1" i="30290"/>
  <c r="AA1" i="30290"/>
  <c r="T8" i="30290"/>
  <c r="AA2" i="30290" s="1"/>
  <c r="G256" i="30290"/>
  <c r="G257" i="30290" s="1"/>
  <c r="G302" i="30290"/>
  <c r="G324" i="30290"/>
  <c r="G340" i="30290"/>
  <c r="C298" i="30290"/>
  <c r="C300" i="30290"/>
  <c r="Z297" i="30290"/>
  <c r="Z7" i="30290" s="1"/>
  <c r="Z8" i="30290" s="1"/>
  <c r="N339" i="30290"/>
  <c r="N337" i="30290"/>
  <c r="N335" i="30290"/>
  <c r="N333" i="30290"/>
  <c r="N331" i="30290"/>
  <c r="N330" i="30290"/>
  <c r="N323" i="30290"/>
  <c r="N320" i="30290"/>
  <c r="N334" i="30290"/>
  <c r="N328" i="30290"/>
  <c r="N338" i="30290"/>
  <c r="N329" i="30290"/>
  <c r="N316" i="30290"/>
  <c r="N336" i="30290"/>
  <c r="N325" i="30290"/>
  <c r="N314" i="30290"/>
  <c r="N340" i="30290"/>
  <c r="N244" i="30290"/>
  <c r="N239" i="30290"/>
  <c r="N304" i="30290"/>
  <c r="N305" i="30290" s="1"/>
  <c r="N301" i="30290"/>
  <c r="N315" i="30290"/>
  <c r="N321" i="30290"/>
  <c r="N319" i="30290"/>
  <c r="N259" i="30290"/>
  <c r="N260" i="30290" s="1"/>
  <c r="N308" i="30290"/>
  <c r="N253" i="30290"/>
  <c r="N307" i="30290"/>
  <c r="N302" i="30290"/>
  <c r="N332" i="30290"/>
  <c r="N306" i="30290"/>
  <c r="N256" i="30290"/>
  <c r="N257" i="30290" s="1"/>
  <c r="N322" i="30290"/>
  <c r="N247" i="30290"/>
  <c r="N248" i="30290"/>
  <c r="N310" i="30290"/>
  <c r="N245" i="30290"/>
  <c r="N242" i="30290"/>
  <c r="N238" i="30290"/>
  <c r="N246" i="30290"/>
  <c r="N283" i="30290" s="1"/>
  <c r="N230" i="30290"/>
  <c r="N255" i="30290"/>
  <c r="N241" i="30290"/>
  <c r="N324" i="30290"/>
  <c r="N249" i="30290"/>
  <c r="U1" i="30290"/>
  <c r="N240" i="30290"/>
  <c r="N254" i="30290"/>
  <c r="N237" i="30290"/>
  <c r="N303" i="30290"/>
  <c r="N243" i="30290"/>
  <c r="AD297" i="30290"/>
  <c r="AD7" i="30290" s="1"/>
  <c r="G230" i="30290"/>
  <c r="G310" i="30290"/>
  <c r="G316" i="30290"/>
  <c r="F241" i="30290"/>
  <c r="F240" i="30290"/>
  <c r="F254" i="30290"/>
  <c r="F259" i="30290"/>
  <c r="F260" i="30290" s="1"/>
  <c r="F322" i="30290"/>
  <c r="F316" i="30290"/>
  <c r="L2" i="30290"/>
  <c r="E256" i="30290"/>
  <c r="E257" i="30290" s="1"/>
  <c r="E254" i="30290"/>
  <c r="E315" i="30290"/>
  <c r="AP8" i="30290"/>
  <c r="AP333" i="30290" s="1"/>
  <c r="L255" i="30290"/>
  <c r="L240" i="30290"/>
  <c r="L303" i="30290"/>
  <c r="L336" i="30290"/>
  <c r="L245" i="30290"/>
  <c r="AD258" i="30300" l="1"/>
  <c r="AD313" i="30300"/>
  <c r="AD300" i="30300"/>
  <c r="AK8" i="30300"/>
  <c r="AK328" i="30300" s="1"/>
  <c r="AR1" i="30300"/>
  <c r="AK1" i="30300"/>
  <c r="Y242" i="30290"/>
  <c r="Y330" i="30290"/>
  <c r="Y243" i="30290"/>
  <c r="Y332" i="30290"/>
  <c r="Y244" i="30290"/>
  <c r="Y333" i="30290"/>
  <c r="Y253" i="30290"/>
  <c r="Y317" i="30290" s="1"/>
  <c r="Y324" i="30290"/>
  <c r="Y301" i="30290"/>
  <c r="Y338" i="30290"/>
  <c r="Y237" i="30290"/>
  <c r="Y259" i="30290"/>
  <c r="Y260" i="30290" s="1"/>
  <c r="Y306" i="30290"/>
  <c r="Y328" i="30290"/>
  <c r="Y320" i="30290"/>
  <c r="E299" i="30290"/>
  <c r="E283" i="30290"/>
  <c r="F309" i="30290"/>
  <c r="U324" i="30290"/>
  <c r="G299" i="30290"/>
  <c r="G283" i="30290"/>
  <c r="L293" i="30290"/>
  <c r="L283" i="30290"/>
  <c r="AK323" i="30300"/>
  <c r="AK302" i="30300"/>
  <c r="AK248" i="30300"/>
  <c r="AK244" i="30300"/>
  <c r="AK332" i="30300"/>
  <c r="AK336" i="30300"/>
  <c r="AK320" i="30300"/>
  <c r="AK315" i="30300"/>
  <c r="AK338" i="30300"/>
  <c r="AK329" i="30300"/>
  <c r="AK333" i="30300"/>
  <c r="AK310" i="30300"/>
  <c r="AK340" i="30300"/>
  <c r="G293" i="30290"/>
  <c r="F298" i="30290"/>
  <c r="AI306" i="30290"/>
  <c r="F313" i="30290"/>
  <c r="M246" i="30290"/>
  <c r="M283" i="30290" s="1"/>
  <c r="AK246" i="30300"/>
  <c r="AK283" i="30300" s="1"/>
  <c r="AK239" i="30300"/>
  <c r="AK254" i="30300"/>
  <c r="AK303" i="30300"/>
  <c r="AK335" i="30300"/>
  <c r="AK238" i="30300"/>
  <c r="AK331" i="30300"/>
  <c r="AK307" i="30300"/>
  <c r="AK337" i="30300"/>
  <c r="AK306" i="30300"/>
  <c r="AK316" i="30300"/>
  <c r="AL353" i="30300" s="1"/>
  <c r="AK321" i="30300"/>
  <c r="AK339" i="30300"/>
  <c r="AK240" i="30300"/>
  <c r="AK304" i="30300"/>
  <c r="AK305" i="30300" s="1"/>
  <c r="AK319" i="30300"/>
  <c r="AK322" i="30300"/>
  <c r="AK241" i="30300"/>
  <c r="AK308" i="30300"/>
  <c r="AK253" i="30300"/>
  <c r="AK317" i="30300" s="1"/>
  <c r="AK325" i="30300"/>
  <c r="AK256" i="30300"/>
  <c r="AK257" i="30300" s="1"/>
  <c r="AK312" i="30300" s="1"/>
  <c r="AK313" i="30300" s="1"/>
  <c r="AK245" i="30300"/>
  <c r="AK259" i="30300"/>
  <c r="AK260" i="30300" s="1"/>
  <c r="AK334" i="30300"/>
  <c r="AK243" i="30300"/>
  <c r="AK247" i="30300"/>
  <c r="AK324" i="30300"/>
  <c r="AK242" i="30300"/>
  <c r="AK249" i="30300"/>
  <c r="AK301" i="30300"/>
  <c r="AK330" i="30300"/>
  <c r="AR8" i="30300"/>
  <c r="AR2" i="30300" s="1"/>
  <c r="W309" i="30300"/>
  <c r="AE311" i="30300"/>
  <c r="AL309" i="30300"/>
  <c r="AM353" i="30300"/>
  <c r="AW311" i="30300"/>
  <c r="AS8" i="30300"/>
  <c r="AS2" i="30300" s="1"/>
  <c r="AM311" i="30300"/>
  <c r="AM261" i="30300"/>
  <c r="AM262" i="30300"/>
  <c r="AT335" i="30300"/>
  <c r="AT328" i="30300"/>
  <c r="AT324" i="30300"/>
  <c r="AT322" i="30300"/>
  <c r="AT338" i="30300"/>
  <c r="AT330" i="30300"/>
  <c r="AT337" i="30300"/>
  <c r="AT339" i="30300"/>
  <c r="AT320" i="30300"/>
  <c r="AT315" i="30300"/>
  <c r="AT323" i="30300"/>
  <c r="AT340" i="30300"/>
  <c r="AT331" i="30300"/>
  <c r="AT329" i="30300"/>
  <c r="AT319" i="30300"/>
  <c r="AT308" i="30300"/>
  <c r="AT306" i="30300"/>
  <c r="AT303" i="30300"/>
  <c r="AT256" i="30300"/>
  <c r="AT257" i="30300" s="1"/>
  <c r="AT333" i="30300"/>
  <c r="AT332" i="30300"/>
  <c r="AT321" i="30300"/>
  <c r="AT336" i="30300"/>
  <c r="AT314" i="30300"/>
  <c r="AT310" i="30300"/>
  <c r="AT302" i="30300"/>
  <c r="AT307" i="30300"/>
  <c r="AT301" i="30300"/>
  <c r="AT248" i="30300"/>
  <c r="AT246" i="30300"/>
  <c r="AT283" i="30300" s="1"/>
  <c r="AT244" i="30300"/>
  <c r="AT242" i="30300"/>
  <c r="AT255" i="30300"/>
  <c r="AT325" i="30300"/>
  <c r="AT304" i="30300"/>
  <c r="AT305" i="30300" s="1"/>
  <c r="AT334" i="30300"/>
  <c r="AT316" i="30300"/>
  <c r="AU353" i="30300" s="1"/>
  <c r="AT249" i="30300"/>
  <c r="AT243" i="30300"/>
  <c r="AT241" i="30300"/>
  <c r="AT254" i="30300"/>
  <c r="AT247" i="30300"/>
  <c r="AT245" i="30300"/>
  <c r="AT240" i="30300"/>
  <c r="AT259" i="30300"/>
  <c r="AT260" i="30300" s="1"/>
  <c r="AT239" i="30300"/>
  <c r="AT238" i="30300"/>
  <c r="AT230" i="30300"/>
  <c r="AT237" i="30300"/>
  <c r="AT253" i="30300"/>
  <c r="W300" i="30300"/>
  <c r="W298" i="30300"/>
  <c r="AW309" i="30300"/>
  <c r="AE353" i="30300"/>
  <c r="AL311" i="30300"/>
  <c r="AE298" i="30300"/>
  <c r="AE300" i="30300"/>
  <c r="W311" i="30300"/>
  <c r="X353" i="30300"/>
  <c r="W353" i="30300"/>
  <c r="AE317" i="30300"/>
  <c r="AE309" i="30300"/>
  <c r="AW261" i="30300"/>
  <c r="AW262" i="30300"/>
  <c r="AE299" i="30300"/>
  <c r="AE293" i="30300"/>
  <c r="AT1" i="30300"/>
  <c r="AM309" i="30300"/>
  <c r="AL300" i="30300"/>
  <c r="AL298" i="30300"/>
  <c r="AM317" i="30300"/>
  <c r="AM300" i="30300"/>
  <c r="AM298" i="30300"/>
  <c r="AM299" i="30300"/>
  <c r="AM293" i="30300"/>
  <c r="AW317" i="30300"/>
  <c r="AL299" i="30300"/>
  <c r="AL293" i="30300"/>
  <c r="AE312" i="30300"/>
  <c r="AE313" i="30300" s="1"/>
  <c r="AE258" i="30300"/>
  <c r="AM312" i="30300"/>
  <c r="AM313" i="30300" s="1"/>
  <c r="AM258" i="30300"/>
  <c r="AS321" i="30300"/>
  <c r="W258" i="30300"/>
  <c r="W312" i="30300"/>
  <c r="W313" i="30300" s="1"/>
  <c r="AW299" i="30300"/>
  <c r="AW293" i="30300"/>
  <c r="AL317" i="30300"/>
  <c r="W299" i="30300"/>
  <c r="W293" i="30300"/>
  <c r="AL261" i="30300"/>
  <c r="AL262" i="30300"/>
  <c r="AL312" i="30300"/>
  <c r="AL313" i="30300" s="1"/>
  <c r="AL258" i="30300"/>
  <c r="W261" i="30300"/>
  <c r="W262" i="30300"/>
  <c r="AR336" i="30300"/>
  <c r="AR334" i="30300"/>
  <c r="AR337" i="30300"/>
  <c r="AR304" i="30300"/>
  <c r="AR305" i="30300" s="1"/>
  <c r="AR332" i="30300"/>
  <c r="AR322" i="30300"/>
  <c r="W317" i="30300"/>
  <c r="AW300" i="30300"/>
  <c r="AW298" i="30300"/>
  <c r="AW312" i="30300"/>
  <c r="AW313" i="30300" s="1"/>
  <c r="AW258" i="30300"/>
  <c r="AI249" i="30290"/>
  <c r="AI248" i="30290"/>
  <c r="Y2" i="30290"/>
  <c r="Y254" i="30290"/>
  <c r="Y261" i="30290" s="1"/>
  <c r="Y340" i="30290"/>
  <c r="Y334" i="30290"/>
  <c r="Y230" i="30290"/>
  <c r="Y310" i="30290"/>
  <c r="Y331" i="30290"/>
  <c r="F311" i="30290"/>
  <c r="T316" i="30290"/>
  <c r="T319" i="30290"/>
  <c r="AI253" i="30290"/>
  <c r="AI317" i="30290" s="1"/>
  <c r="F258" i="30290"/>
  <c r="AI303" i="30290"/>
  <c r="Y240" i="30290"/>
  <c r="Y329" i="30290"/>
  <c r="Y339" i="30290"/>
  <c r="P311" i="30290"/>
  <c r="AI242" i="30290"/>
  <c r="Y241" i="30290"/>
  <c r="Y239" i="30290"/>
  <c r="Y308" i="30290"/>
  <c r="E298" i="30290"/>
  <c r="AI247" i="30290"/>
  <c r="Y249" i="30290"/>
  <c r="Y319" i="30290"/>
  <c r="AI245" i="30290"/>
  <c r="AI300" i="30290" s="1"/>
  <c r="AI310" i="30290"/>
  <c r="E293" i="30290"/>
  <c r="Y248" i="30290"/>
  <c r="Y316" i="30290"/>
  <c r="Y321" i="30290"/>
  <c r="S301" i="30290"/>
  <c r="S307" i="30290"/>
  <c r="S339" i="30290"/>
  <c r="M328" i="30290"/>
  <c r="M306" i="30290"/>
  <c r="T253" i="30290"/>
  <c r="M310" i="30290"/>
  <c r="F300" i="30290"/>
  <c r="S319" i="30290"/>
  <c r="M340" i="30290"/>
  <c r="E300" i="30290"/>
  <c r="M2" i="30290"/>
  <c r="M314" i="30290"/>
  <c r="T307" i="30290"/>
  <c r="M334" i="30290"/>
  <c r="W311" i="30290"/>
  <c r="T333" i="30290"/>
  <c r="M322" i="30290"/>
  <c r="AI304" i="30290"/>
  <c r="AI305" i="30290" s="1"/>
  <c r="Y245" i="30290"/>
  <c r="Y302" i="30290"/>
  <c r="Y335" i="30290"/>
  <c r="E309" i="30290"/>
  <c r="T244" i="30290"/>
  <c r="T237" i="30290"/>
  <c r="T248" i="30290"/>
  <c r="M253" i="30290"/>
  <c r="T241" i="30290"/>
  <c r="T314" i="30290"/>
  <c r="M248" i="30290"/>
  <c r="AH311" i="30290"/>
  <c r="AI244" i="30290"/>
  <c r="AI314" i="30290"/>
  <c r="AI334" i="30290"/>
  <c r="S302" i="30290"/>
  <c r="S328" i="30290"/>
  <c r="Y238" i="30290"/>
  <c r="Y307" i="30290"/>
  <c r="Y337" i="30290"/>
  <c r="S249" i="30290"/>
  <c r="T324" i="30290"/>
  <c r="S253" i="30290"/>
  <c r="S317" i="30290" s="1"/>
  <c r="T242" i="30290"/>
  <c r="S2" i="30290"/>
  <c r="S237" i="30290"/>
  <c r="S255" i="30290"/>
  <c r="U316" i="30290"/>
  <c r="S244" i="30290"/>
  <c r="T259" i="30290"/>
  <c r="T260" i="30290" s="1"/>
  <c r="T330" i="30290"/>
  <c r="M239" i="30290"/>
  <c r="M323" i="30290"/>
  <c r="AI256" i="30290"/>
  <c r="AI257" i="30290" s="1"/>
  <c r="AI312" i="30290" s="1"/>
  <c r="AI325" i="30290"/>
  <c r="S303" i="30290"/>
  <c r="S259" i="30290"/>
  <c r="S260" i="30290" s="1"/>
  <c r="T320" i="30290"/>
  <c r="T339" i="30290"/>
  <c r="T340" i="30290"/>
  <c r="T301" i="30290"/>
  <c r="T335" i="30290"/>
  <c r="M339" i="30290"/>
  <c r="AI323" i="30290"/>
  <c r="AI339" i="30290"/>
  <c r="S246" i="30290"/>
  <c r="S283" i="30290" s="1"/>
  <c r="S331" i="30290"/>
  <c r="T321" i="30290"/>
  <c r="T254" i="30290"/>
  <c r="S230" i="30290"/>
  <c r="G353" i="30290"/>
  <c r="T246" i="30290"/>
  <c r="T332" i="30290"/>
  <c r="AI230" i="30290"/>
  <c r="AI319" i="30290"/>
  <c r="S248" i="30290"/>
  <c r="S337" i="30290"/>
  <c r="T325" i="30290"/>
  <c r="AN311" i="30290"/>
  <c r="T239" i="30290"/>
  <c r="T338" i="30290"/>
  <c r="AI324" i="30290"/>
  <c r="AI328" i="30290"/>
  <c r="S306" i="30290"/>
  <c r="S338" i="30290"/>
  <c r="F299" i="30290"/>
  <c r="F293" i="30290"/>
  <c r="T302" i="30290"/>
  <c r="AI238" i="30290"/>
  <c r="AI332" i="30290"/>
  <c r="S320" i="30290"/>
  <c r="S325" i="30290"/>
  <c r="AN309" i="30290"/>
  <c r="AP256" i="30290"/>
  <c r="AP257" i="30290" s="1"/>
  <c r="AP312" i="30290" s="1"/>
  <c r="U334" i="30290"/>
  <c r="T245" i="30290"/>
  <c r="T300" i="30290" s="1"/>
  <c r="T303" i="30290"/>
  <c r="T334" i="30290"/>
  <c r="AU8" i="30290"/>
  <c r="AU2" i="30290" s="1"/>
  <c r="AI301" i="30290"/>
  <c r="AI340" i="30290"/>
  <c r="S310" i="30290"/>
  <c r="S334" i="30290"/>
  <c r="AP319" i="30290"/>
  <c r="Y256" i="30290"/>
  <c r="Y257" i="30290" s="1"/>
  <c r="Y246" i="30290"/>
  <c r="Y304" i="30290"/>
  <c r="Y305" i="30290" s="1"/>
  <c r="Y325" i="30290"/>
  <c r="U259" i="30290"/>
  <c r="U260" i="30290" s="1"/>
  <c r="U336" i="30290"/>
  <c r="Q311" i="30290"/>
  <c r="AA309" i="30290"/>
  <c r="AP247" i="30290"/>
  <c r="U253" i="30290"/>
  <c r="U317" i="30290" s="1"/>
  <c r="L309" i="30290"/>
  <c r="S315" i="30290"/>
  <c r="S336" i="30290"/>
  <c r="AP321" i="30290"/>
  <c r="K248" i="30290"/>
  <c r="U247" i="30290"/>
  <c r="L299" i="30290"/>
  <c r="L311" i="30290"/>
  <c r="T336" i="30290"/>
  <c r="T337" i="30290"/>
  <c r="S316" i="30290"/>
  <c r="T353" i="30290" s="1"/>
  <c r="S239" i="30290"/>
  <c r="S324" i="30290"/>
  <c r="S333" i="30290"/>
  <c r="K319" i="30290"/>
  <c r="Y322" i="30290"/>
  <c r="U2" i="30290"/>
  <c r="U230" i="30290"/>
  <c r="E311" i="30290"/>
  <c r="AI241" i="30290"/>
  <c r="AI315" i="30290"/>
  <c r="S238" i="30290"/>
  <c r="S304" i="30290"/>
  <c r="S305" i="30290" s="1"/>
  <c r="S241" i="30290"/>
  <c r="S330" i="30290"/>
  <c r="S340" i="30290"/>
  <c r="K315" i="30290"/>
  <c r="U245" i="30290"/>
  <c r="AO311" i="30290"/>
  <c r="S240" i="30290"/>
  <c r="S243" i="30290"/>
  <c r="S335" i="30290"/>
  <c r="K333" i="30290"/>
  <c r="I311" i="30290"/>
  <c r="U256" i="30290"/>
  <c r="U257" i="30290" s="1"/>
  <c r="U312" i="30290" s="1"/>
  <c r="S256" i="30290"/>
  <c r="S257" i="30290" s="1"/>
  <c r="S254" i="30290"/>
  <c r="S245" i="30290"/>
  <c r="S332" i="30290"/>
  <c r="U308" i="30290"/>
  <c r="T243" i="30290"/>
  <c r="T255" i="30290"/>
  <c r="T304" i="30290"/>
  <c r="T305" i="30290" s="1"/>
  <c r="T2" i="30290"/>
  <c r="M333" i="30290"/>
  <c r="AI237" i="30290"/>
  <c r="AI240" i="30290"/>
  <c r="AI316" i="30290"/>
  <c r="AI353" i="30290" s="1"/>
  <c r="S242" i="30290"/>
  <c r="S323" i="30290"/>
  <c r="S247" i="30290"/>
  <c r="R311" i="30290"/>
  <c r="U306" i="30290"/>
  <c r="AW8" i="30290"/>
  <c r="AW319" i="30290" s="1"/>
  <c r="AH309" i="30290"/>
  <c r="U330" i="30290"/>
  <c r="N299" i="30290"/>
  <c r="N293" i="30290"/>
  <c r="M317" i="30290"/>
  <c r="J312" i="30290"/>
  <c r="J313" i="30290" s="1"/>
  <c r="J258" i="30290"/>
  <c r="AH317" i="30290"/>
  <c r="Q293" i="30290"/>
  <c r="Q299" i="30290"/>
  <c r="F353" i="30290"/>
  <c r="AA300" i="30290"/>
  <c r="AA298" i="30290"/>
  <c r="L312" i="30290"/>
  <c r="L313" i="30290" s="1"/>
  <c r="L258" i="30290"/>
  <c r="J300" i="30290"/>
  <c r="J298" i="30290"/>
  <c r="AP253" i="30290"/>
  <c r="AP301" i="30290"/>
  <c r="AP308" i="30290"/>
  <c r="AP335" i="30290"/>
  <c r="R298" i="30290"/>
  <c r="R300" i="30290"/>
  <c r="K247" i="30290"/>
  <c r="K249" i="30290"/>
  <c r="K330" i="30290"/>
  <c r="K324" i="30290"/>
  <c r="I298" i="30290"/>
  <c r="I300" i="30290"/>
  <c r="I309" i="30290"/>
  <c r="U244" i="30290"/>
  <c r="U255" i="30290"/>
  <c r="U307" i="30290"/>
  <c r="U319" i="30290"/>
  <c r="N317" i="30290"/>
  <c r="G312" i="30290"/>
  <c r="G313" i="30290" s="1"/>
  <c r="G258" i="30290"/>
  <c r="M308" i="30290"/>
  <c r="M256" i="30290"/>
  <c r="M257" i="30290" s="1"/>
  <c r="M329" i="30290"/>
  <c r="M338" i="30290"/>
  <c r="Q312" i="30290"/>
  <c r="Q313" i="30290" s="1"/>
  <c r="Q258" i="30290"/>
  <c r="Q262" i="30290"/>
  <c r="Q261" i="30290"/>
  <c r="Q309" i="30290"/>
  <c r="AG297" i="30290"/>
  <c r="AG7" i="30290" s="1"/>
  <c r="AG1" i="30290" s="1"/>
  <c r="P262" i="30290"/>
  <c r="P261" i="30290"/>
  <c r="AA262" i="30290"/>
  <c r="AA261" i="30290"/>
  <c r="AP243" i="30290"/>
  <c r="AP306" i="30290"/>
  <c r="AP323" i="30290"/>
  <c r="AP338" i="30290"/>
  <c r="AP337" i="30290"/>
  <c r="AV300" i="30290"/>
  <c r="AV298" i="30290"/>
  <c r="R299" i="30290"/>
  <c r="R293" i="30290"/>
  <c r="R312" i="30290"/>
  <c r="R313" i="30290" s="1"/>
  <c r="R258" i="30290"/>
  <c r="K246" i="30290"/>
  <c r="K283" i="30290" s="1"/>
  <c r="K230" i="30290"/>
  <c r="K301" i="30290"/>
  <c r="K316" i="30290"/>
  <c r="L353" i="30290" s="1"/>
  <c r="U246" i="30290"/>
  <c r="U283" i="30290" s="1"/>
  <c r="U302" i="30290"/>
  <c r="U321" i="30290"/>
  <c r="N300" i="30290"/>
  <c r="N298" i="30290"/>
  <c r="M247" i="30290"/>
  <c r="R2" i="30290"/>
  <c r="K2" i="30290"/>
  <c r="Q317" i="30290"/>
  <c r="Q353" i="30290"/>
  <c r="P353" i="30290"/>
  <c r="AA312" i="30290"/>
  <c r="AA313" i="30290" s="1"/>
  <c r="AA258" i="30290"/>
  <c r="AP244" i="30290"/>
  <c r="AP239" i="30290"/>
  <c r="AP303" i="30290"/>
  <c r="AP322" i="30290"/>
  <c r="AP339" i="30290"/>
  <c r="AV312" i="30290"/>
  <c r="AV313" i="30290" s="1"/>
  <c r="AV258" i="30290"/>
  <c r="R309" i="30290"/>
  <c r="K237" i="30290"/>
  <c r="K321" i="30290"/>
  <c r="K310" i="30290"/>
  <c r="K336" i="30290"/>
  <c r="G309" i="30290"/>
  <c r="I261" i="30290"/>
  <c r="I262" i="30290"/>
  <c r="U254" i="30290"/>
  <c r="U315" i="30290"/>
  <c r="U304" i="30290"/>
  <c r="U305" i="30290" s="1"/>
  <c r="U328" i="30290"/>
  <c r="AO298" i="30290"/>
  <c r="AO300" i="30290"/>
  <c r="T317" i="30290"/>
  <c r="M245" i="30290"/>
  <c r="M316" i="30290"/>
  <c r="M301" i="30290"/>
  <c r="N261" i="30290"/>
  <c r="N262" i="30290"/>
  <c r="T249" i="30290"/>
  <c r="T256" i="30290"/>
  <c r="T257" i="30290" s="1"/>
  <c r="T331" i="30290"/>
  <c r="T328" i="30290"/>
  <c r="M240" i="30290"/>
  <c r="M249" i="30290"/>
  <c r="M303" i="30290"/>
  <c r="AH312" i="30290"/>
  <c r="AH313" i="30290" s="1"/>
  <c r="AH258" i="30290"/>
  <c r="P299" i="30290"/>
  <c r="P293" i="30290"/>
  <c r="AI302" i="30290"/>
  <c r="AI239" i="30290"/>
  <c r="AI308" i="30290"/>
  <c r="AI321" i="30290"/>
  <c r="W317" i="30290"/>
  <c r="AP237" i="30290"/>
  <c r="AP242" i="30290"/>
  <c r="AP307" i="30290"/>
  <c r="AP329" i="30290"/>
  <c r="AL297" i="30290"/>
  <c r="AL7" i="30290" s="1"/>
  <c r="AL1" i="30290" s="1"/>
  <c r="AV311" i="30290"/>
  <c r="R317" i="30290"/>
  <c r="K244" i="30290"/>
  <c r="K239" i="30290"/>
  <c r="K303" i="30290"/>
  <c r="K337" i="30290"/>
  <c r="K334" i="30290"/>
  <c r="G300" i="30290"/>
  <c r="G298" i="30290"/>
  <c r="I312" i="30290"/>
  <c r="I313" i="30290" s="1"/>
  <c r="I258" i="30290"/>
  <c r="U241" i="30290"/>
  <c r="U242" i="30290"/>
  <c r="U322" i="30290"/>
  <c r="U335" i="30290"/>
  <c r="AO262" i="30290"/>
  <c r="AO261" i="30290"/>
  <c r="AE1" i="30290"/>
  <c r="M307" i="30290"/>
  <c r="AP254" i="30290"/>
  <c r="AP249" i="30290"/>
  <c r="AP240" i="30290"/>
  <c r="AP330" i="30290"/>
  <c r="AV309" i="30290"/>
  <c r="K241" i="30290"/>
  <c r="K255" i="30290"/>
  <c r="K308" i="30290"/>
  <c r="K329" i="30290"/>
  <c r="K335" i="30290"/>
  <c r="U249" i="30290"/>
  <c r="U314" i="30290"/>
  <c r="U323" i="30290"/>
  <c r="U339" i="30290"/>
  <c r="M299" i="30290"/>
  <c r="M293" i="30290"/>
  <c r="M254" i="30290"/>
  <c r="E312" i="30290"/>
  <c r="E313" i="30290" s="1"/>
  <c r="E258" i="30290"/>
  <c r="Z339" i="30290"/>
  <c r="Z335" i="30290"/>
  <c r="Z334" i="30290"/>
  <c r="Z338" i="30290"/>
  <c r="Z324" i="30290"/>
  <c r="Z337" i="30290"/>
  <c r="Z331" i="30290"/>
  <c r="Z323" i="30290"/>
  <c r="Z336" i="30290"/>
  <c r="Z340" i="30290"/>
  <c r="Z332" i="30290"/>
  <c r="Z330" i="30290"/>
  <c r="Z319" i="30290"/>
  <c r="Z333" i="30290"/>
  <c r="Z321" i="30290"/>
  <c r="Z329" i="30290"/>
  <c r="Z310" i="30290"/>
  <c r="Z256" i="30290"/>
  <c r="Z257" i="30290" s="1"/>
  <c r="Z254" i="30290"/>
  <c r="Z248" i="30290"/>
  <c r="Z246" i="30290"/>
  <c r="Z283" i="30290" s="1"/>
  <c r="Z244" i="30290"/>
  <c r="Z242" i="30290"/>
  <c r="Z240" i="30290"/>
  <c r="Z238" i="30290"/>
  <c r="Z328" i="30290"/>
  <c r="Z314" i="30290"/>
  <c r="Z316" i="30290"/>
  <c r="AA353" i="30290" s="1"/>
  <c r="Z245" i="30290"/>
  <c r="Z302" i="30290"/>
  <c r="Z259" i="30290"/>
  <c r="Z260" i="30290" s="1"/>
  <c r="Z320" i="30290"/>
  <c r="Z322" i="30290"/>
  <c r="Z301" i="30290"/>
  <c r="Z308" i="30290"/>
  <c r="Z307" i="30290"/>
  <c r="Z304" i="30290"/>
  <c r="Z305" i="30290" s="1"/>
  <c r="Z325" i="30290"/>
  <c r="Z247" i="30290"/>
  <c r="Z303" i="30290"/>
  <c r="Z230" i="30290"/>
  <c r="Z306" i="30290"/>
  <c r="Z237" i="30290"/>
  <c r="Z243" i="30290"/>
  <c r="Z253" i="30290"/>
  <c r="Z255" i="30290"/>
  <c r="Z239" i="30290"/>
  <c r="Z241" i="30290"/>
  <c r="Z315" i="30290"/>
  <c r="Z249" i="30290"/>
  <c r="M238" i="30290"/>
  <c r="M255" i="30290"/>
  <c r="M321" i="30290"/>
  <c r="M315" i="30290"/>
  <c r="AO312" i="30290"/>
  <c r="AO313" i="30290" s="1"/>
  <c r="AO258" i="30290"/>
  <c r="AW334" i="30290"/>
  <c r="AW322" i="30290"/>
  <c r="AW339" i="30290"/>
  <c r="AW306" i="30290"/>
  <c r="AW330" i="30290"/>
  <c r="AW324" i="30290"/>
  <c r="AW259" i="30290"/>
  <c r="AW260" i="30290" s="1"/>
  <c r="AW254" i="30290"/>
  <c r="AW240" i="30290"/>
  <c r="AW244" i="30290"/>
  <c r="AW249" i="30290"/>
  <c r="AW245" i="30290"/>
  <c r="AH262" i="30290"/>
  <c r="AH261" i="30290"/>
  <c r="AN300" i="30290"/>
  <c r="AN298" i="30290"/>
  <c r="P258" i="30290"/>
  <c r="P312" i="30290"/>
  <c r="P313" i="30290" s="1"/>
  <c r="AI259" i="30290"/>
  <c r="AI260" i="30290" s="1"/>
  <c r="AI329" i="30290"/>
  <c r="AI307" i="30290"/>
  <c r="W300" i="30290"/>
  <c r="W298" i="30290"/>
  <c r="W299" i="30290"/>
  <c r="W293" i="30290"/>
  <c r="J262" i="30290"/>
  <c r="J261" i="30290"/>
  <c r="J317" i="30290"/>
  <c r="AP248" i="30290"/>
  <c r="AP255" i="30290"/>
  <c r="AP259" i="30290"/>
  <c r="AP260" i="30290" s="1"/>
  <c r="AP315" i="30290"/>
  <c r="AE339" i="30290"/>
  <c r="AE334" i="30290"/>
  <c r="AE330" i="30290"/>
  <c r="AE328" i="30290"/>
  <c r="AE324" i="30290"/>
  <c r="AE322" i="30290"/>
  <c r="AE337" i="30290"/>
  <c r="AE323" i="30290"/>
  <c r="AE336" i="30290"/>
  <c r="AE333" i="30290"/>
  <c r="AE329" i="30290"/>
  <c r="AE340" i="30290"/>
  <c r="AE335" i="30290"/>
  <c r="AE321" i="30290"/>
  <c r="AE319" i="30290"/>
  <c r="AE316" i="30290"/>
  <c r="AE307" i="30290"/>
  <c r="AE325" i="30290"/>
  <c r="AE314" i="30290"/>
  <c r="AE338" i="30290"/>
  <c r="AE331" i="30290"/>
  <c r="AE302" i="30290"/>
  <c r="AE315" i="30290"/>
  <c r="AE306" i="30290"/>
  <c r="AE253" i="30290"/>
  <c r="AE259" i="30290"/>
  <c r="AE260" i="30290" s="1"/>
  <c r="AE332" i="30290"/>
  <c r="AE303" i="30290"/>
  <c r="AE256" i="30290"/>
  <c r="AE257" i="30290" s="1"/>
  <c r="AE320" i="30290"/>
  <c r="AE310" i="30290"/>
  <c r="AE240" i="30290"/>
  <c r="AE247" i="30290"/>
  <c r="AE301" i="30290"/>
  <c r="AE248" i="30290"/>
  <c r="AE245" i="30290"/>
  <c r="AE243" i="30290"/>
  <c r="AE239" i="30290"/>
  <c r="AE246" i="30290"/>
  <c r="AE283" i="30290" s="1"/>
  <c r="AE230" i="30290"/>
  <c r="AE254" i="30290"/>
  <c r="AE244" i="30290"/>
  <c r="AE304" i="30290"/>
  <c r="AE305" i="30290" s="1"/>
  <c r="AE242" i="30290"/>
  <c r="AE249" i="30290"/>
  <c r="AE308" i="30290"/>
  <c r="AE238" i="30290"/>
  <c r="AE255" i="30290"/>
  <c r="AE241" i="30290"/>
  <c r="AE237" i="30290"/>
  <c r="K322" i="30290"/>
  <c r="K304" i="30290"/>
  <c r="K305" i="30290" s="1"/>
  <c r="K259" i="30290"/>
  <c r="K260" i="30290" s="1"/>
  <c r="K338" i="30290"/>
  <c r="K339" i="30290"/>
  <c r="I317" i="30290"/>
  <c r="U240" i="30290"/>
  <c r="U333" i="30290"/>
  <c r="U310" i="30290"/>
  <c r="U337" i="30290"/>
  <c r="E261" i="30290"/>
  <c r="E262" i="30290"/>
  <c r="AO299" i="30290"/>
  <c r="AO293" i="30290"/>
  <c r="AH300" i="30290"/>
  <c r="AH298" i="30290"/>
  <c r="M241" i="30290"/>
  <c r="M302" i="30290"/>
  <c r="M324" i="30290"/>
  <c r="M320" i="30290"/>
  <c r="AU340" i="30290"/>
  <c r="AU338" i="30290"/>
  <c r="AU333" i="30290"/>
  <c r="AU322" i="30290"/>
  <c r="AU336" i="30290"/>
  <c r="AU328" i="30290"/>
  <c r="AU321" i="30290"/>
  <c r="AU331" i="30290"/>
  <c r="AU325" i="30290"/>
  <c r="AU259" i="30290"/>
  <c r="AU260" i="30290" s="1"/>
  <c r="AU255" i="30290"/>
  <c r="AU253" i="30290"/>
  <c r="AU249" i="30290"/>
  <c r="AU243" i="30290"/>
  <c r="AU241" i="30290"/>
  <c r="AU302" i="30290"/>
  <c r="AU316" i="30290"/>
  <c r="AV353" i="30290" s="1"/>
  <c r="AU248" i="30290"/>
  <c r="AU308" i="30290"/>
  <c r="AU334" i="30290"/>
  <c r="AU306" i="30290"/>
  <c r="AU301" i="30290"/>
  <c r="AU254" i="30290"/>
  <c r="AU240" i="30290"/>
  <c r="AU330" i="30290"/>
  <c r="AU303" i="30290"/>
  <c r="AU230" i="30290"/>
  <c r="AU307" i="30290"/>
  <c r="AU242" i="30290"/>
  <c r="AH299" i="30290"/>
  <c r="AH293" i="30290"/>
  <c r="Q300" i="30290"/>
  <c r="Q298" i="30290"/>
  <c r="AN299" i="30290"/>
  <c r="AN293" i="30290"/>
  <c r="P309" i="30290"/>
  <c r="AP2" i="30290"/>
  <c r="AI254" i="30290"/>
  <c r="AI322" i="30290"/>
  <c r="AI337" i="30290"/>
  <c r="W312" i="30290"/>
  <c r="W313" i="30290" s="1"/>
  <c r="W258" i="30290"/>
  <c r="W261" i="30290"/>
  <c r="W262" i="30290"/>
  <c r="Z1" i="30290"/>
  <c r="AP245" i="30290"/>
  <c r="AP316" i="30290"/>
  <c r="AP353" i="30290" s="1"/>
  <c r="AP314" i="30290"/>
  <c r="AP320" i="30290"/>
  <c r="AV299" i="30290"/>
  <c r="AV293" i="30290"/>
  <c r="R262" i="30290"/>
  <c r="R261" i="30290"/>
  <c r="K238" i="30290"/>
  <c r="K307" i="30290"/>
  <c r="K325" i="30290"/>
  <c r="U248" i="30290"/>
  <c r="U303" i="30290"/>
  <c r="U320" i="30290"/>
  <c r="U332" i="30290"/>
  <c r="P317" i="30290"/>
  <c r="J299" i="30290"/>
  <c r="J293" i="30290"/>
  <c r="S299" i="30290"/>
  <c r="AP230" i="30290"/>
  <c r="AP324" i="30290"/>
  <c r="T247" i="30290"/>
  <c r="M230" i="30290"/>
  <c r="X1" i="30290"/>
  <c r="AA299" i="30290"/>
  <c r="AA293" i="30290"/>
  <c r="K240" i="30290"/>
  <c r="AD8" i="30290"/>
  <c r="AD333" i="30290" s="1"/>
  <c r="T240" i="30290"/>
  <c r="T329" i="30290"/>
  <c r="AO353" i="30290"/>
  <c r="AI243" i="30290"/>
  <c r="W309" i="30290"/>
  <c r="X8" i="30290"/>
  <c r="X337" i="30290" s="1"/>
  <c r="AP304" i="30290"/>
  <c r="AP305" i="30290" s="1"/>
  <c r="AP336" i="30290"/>
  <c r="AP328" i="30290"/>
  <c r="AP340" i="30290"/>
  <c r="L262" i="30290"/>
  <c r="L261" i="30290"/>
  <c r="K242" i="30290"/>
  <c r="K245" i="30290"/>
  <c r="K323" i="30290"/>
  <c r="I353" i="30290"/>
  <c r="J353" i="30290"/>
  <c r="G261" i="30290"/>
  <c r="G262" i="30290"/>
  <c r="U239" i="30290"/>
  <c r="U238" i="30290"/>
  <c r="U329" i="30290"/>
  <c r="U331" i="30290"/>
  <c r="W353" i="30290"/>
  <c r="L317" i="30290"/>
  <c r="G311" i="30290"/>
  <c r="J311" i="30290"/>
  <c r="AP302" i="30290"/>
  <c r="AP325" i="30290"/>
  <c r="AV317" i="30290"/>
  <c r="K306" i="30290"/>
  <c r="K243" i="30290"/>
  <c r="K314" i="30290"/>
  <c r="K328" i="30290"/>
  <c r="Y262" i="30290"/>
  <c r="I299" i="30290"/>
  <c r="I293" i="30290"/>
  <c r="AK297" i="30290"/>
  <c r="AK7" i="30290" s="1"/>
  <c r="AK8" i="30290" s="1"/>
  <c r="N312" i="30290"/>
  <c r="N313" i="30290" s="1"/>
  <c r="N258" i="30290"/>
  <c r="T230" i="30290"/>
  <c r="T315" i="30290"/>
  <c r="T306" i="30290"/>
  <c r="M244" i="30290"/>
  <c r="M325" i="30290"/>
  <c r="M330" i="30290"/>
  <c r="J309" i="30290"/>
  <c r="AP241" i="30290"/>
  <c r="AP310" i="30290"/>
  <c r="AP334" i="30290"/>
  <c r="K256" i="30290"/>
  <c r="K257" i="30290" s="1"/>
  <c r="K253" i="30290"/>
  <c r="K320" i="30290"/>
  <c r="L300" i="30290"/>
  <c r="L298" i="30290"/>
  <c r="N311" i="30290"/>
  <c r="N309" i="30290"/>
  <c r="T322" i="30290"/>
  <c r="T308" i="30290"/>
  <c r="M243" i="30290"/>
  <c r="M331" i="30290"/>
  <c r="M319" i="30290"/>
  <c r="M336" i="30290"/>
  <c r="M335" i="30290"/>
  <c r="AO317" i="30290"/>
  <c r="AB297" i="30290"/>
  <c r="AB7" i="30290" s="1"/>
  <c r="AB8" i="30290" s="1"/>
  <c r="AI2" i="30290" s="1"/>
  <c r="AN262" i="30290"/>
  <c r="AN261" i="30290"/>
  <c r="AI255" i="30290"/>
  <c r="AI311" i="30290" s="1"/>
  <c r="AI320" i="30290"/>
  <c r="AI333" i="30290"/>
  <c r="AI336" i="30290"/>
  <c r="AA317" i="30290"/>
  <c r="F261" i="30290"/>
  <c r="F262" i="30290"/>
  <c r="T238" i="30290"/>
  <c r="T323" i="30290"/>
  <c r="T310" i="30290"/>
  <c r="M237" i="30290"/>
  <c r="M242" i="30290"/>
  <c r="M259" i="30290"/>
  <c r="M260" i="30290" s="1"/>
  <c r="M337" i="30290"/>
  <c r="M332" i="30290"/>
  <c r="AO309" i="30290"/>
  <c r="AN317" i="30290"/>
  <c r="AN258" i="30290"/>
  <c r="AN312" i="30290"/>
  <c r="AN313" i="30290" s="1"/>
  <c r="P298" i="30290"/>
  <c r="P300" i="30290"/>
  <c r="AI246" i="30290"/>
  <c r="AI283" i="30290" s="1"/>
  <c r="AI330" i="30290"/>
  <c r="AI331" i="30290"/>
  <c r="AI338" i="30290"/>
  <c r="AA311" i="30290"/>
  <c r="AD1" i="30290"/>
  <c r="Z2" i="30290"/>
  <c r="S314" i="30290"/>
  <c r="S308" i="30290"/>
  <c r="S321" i="30290"/>
  <c r="S322" i="30290"/>
  <c r="AP238" i="30290"/>
  <c r="AP246" i="30290"/>
  <c r="AP332" i="30290"/>
  <c r="AP331" i="30290"/>
  <c r="AV262" i="30290"/>
  <c r="AV261" i="30290"/>
  <c r="K302" i="30290"/>
  <c r="K254" i="30290"/>
  <c r="K340" i="30290"/>
  <c r="K332" i="30290"/>
  <c r="Y303" i="30290"/>
  <c r="Y247" i="30290"/>
  <c r="Y314" i="30290"/>
  <c r="Y323" i="30290"/>
  <c r="G317" i="30290"/>
  <c r="AF297" i="30290"/>
  <c r="AF7" i="30290" s="1"/>
  <c r="AF8" i="30290" s="1"/>
  <c r="AF2" i="30290" s="1"/>
  <c r="U243" i="30290"/>
  <c r="U237" i="30290"/>
  <c r="U301" i="30290"/>
  <c r="U325" i="30290"/>
  <c r="U340" i="30290"/>
  <c r="AR338" i="30300" l="1"/>
  <c r="AR243" i="30300"/>
  <c r="AR237" i="30300"/>
  <c r="AK353" i="30300"/>
  <c r="AR307" i="30300"/>
  <c r="AR254" i="30300"/>
  <c r="AR302" i="30300"/>
  <c r="AR256" i="30300"/>
  <c r="AR257" i="30300" s="1"/>
  <c r="AR312" i="30300" s="1"/>
  <c r="AK237" i="30300"/>
  <c r="AK314" i="30300"/>
  <c r="AR238" i="30300"/>
  <c r="AR239" i="30300"/>
  <c r="AR306" i="30300"/>
  <c r="AR241" i="30300"/>
  <c r="AR316" i="30300"/>
  <c r="AR353" i="30300" s="1"/>
  <c r="AK293" i="30300"/>
  <c r="AR301" i="30300"/>
  <c r="AR328" i="30300"/>
  <c r="AK299" i="30300"/>
  <c r="AK255" i="30300"/>
  <c r="AK261" i="30300" s="1"/>
  <c r="AK2" i="30300"/>
  <c r="AK230" i="30300"/>
  <c r="AK298" i="30300"/>
  <c r="AS332" i="30300"/>
  <c r="AS333" i="30300"/>
  <c r="AR321" i="30300"/>
  <c r="AR249" i="30300"/>
  <c r="AR310" i="30300"/>
  <c r="AR320" i="30300"/>
  <c r="AR340" i="30300"/>
  <c r="AS330" i="30300"/>
  <c r="AR230" i="30300"/>
  <c r="AR255" i="30300"/>
  <c r="AR314" i="30300"/>
  <c r="AR323" i="30300"/>
  <c r="AS340" i="30300"/>
  <c r="AT309" i="30300"/>
  <c r="AS230" i="30300"/>
  <c r="AS335" i="30300"/>
  <c r="AS247" i="30300"/>
  <c r="AR242" i="30300"/>
  <c r="AR339" i="30300"/>
  <c r="AS334" i="30300"/>
  <c r="AR259" i="30300"/>
  <c r="AR260" i="30300" s="1"/>
  <c r="AR333" i="30300"/>
  <c r="AR315" i="30300"/>
  <c r="AR325" i="30300"/>
  <c r="AS237" i="30300"/>
  <c r="AS331" i="30300"/>
  <c r="AR245" i="30300"/>
  <c r="AR303" i="30300"/>
  <c r="AR240" i="30300"/>
  <c r="AR244" i="30300"/>
  <c r="AR319" i="30300"/>
  <c r="AR330" i="30300"/>
  <c r="AS302" i="30300"/>
  <c r="AR247" i="30300"/>
  <c r="AR246" i="30300"/>
  <c r="AR283" i="30300" s="1"/>
  <c r="AR308" i="30300"/>
  <c r="AR335" i="30300"/>
  <c r="AS310" i="30300"/>
  <c r="AR253" i="30300"/>
  <c r="AR317" i="30300" s="1"/>
  <c r="AR248" i="30300"/>
  <c r="AR324" i="30300"/>
  <c r="AR331" i="30300"/>
  <c r="AS314" i="30300"/>
  <c r="AW333" i="30290"/>
  <c r="AW255" i="30290"/>
  <c r="AW253" i="30290"/>
  <c r="S298" i="30290"/>
  <c r="T262" i="30290"/>
  <c r="S258" i="30290"/>
  <c r="AW320" i="30290"/>
  <c r="AW332" i="30290"/>
  <c r="Y299" i="30290"/>
  <c r="Y283" i="30290"/>
  <c r="Y258" i="30290"/>
  <c r="S300" i="30290"/>
  <c r="Y309" i="30290"/>
  <c r="S312" i="30290"/>
  <c r="AP258" i="30290"/>
  <c r="AP283" i="30290"/>
  <c r="S293" i="30290"/>
  <c r="AW323" i="30290"/>
  <c r="T299" i="30290"/>
  <c r="T283" i="30290"/>
  <c r="U353" i="30290"/>
  <c r="AK309" i="30300"/>
  <c r="AK258" i="30300"/>
  <c r="AK262" i="30300"/>
  <c r="T261" i="30290"/>
  <c r="S262" i="30290"/>
  <c r="M309" i="30290"/>
  <c r="U313" i="30290"/>
  <c r="AW237" i="30290"/>
  <c r="AW314" i="30290"/>
  <c r="U311" i="30290"/>
  <c r="AS254" i="30300"/>
  <c r="AS238" i="30300"/>
  <c r="AS323" i="30300"/>
  <c r="AS239" i="30300"/>
  <c r="AS240" i="30300"/>
  <c r="AS307" i="30300"/>
  <c r="AS315" i="30300"/>
  <c r="AS259" i="30300"/>
  <c r="AS260" i="30300" s="1"/>
  <c r="AS320" i="30300"/>
  <c r="AK300" i="30300"/>
  <c r="AS245" i="30300"/>
  <c r="AR329" i="30300"/>
  <c r="AS308" i="30300"/>
  <c r="AS336" i="30300"/>
  <c r="AS337" i="30300"/>
  <c r="AS241" i="30300"/>
  <c r="AS338" i="30300"/>
  <c r="AS339" i="30300"/>
  <c r="AS316" i="30300"/>
  <c r="AT353" i="30300" s="1"/>
  <c r="AS304" i="30300"/>
  <c r="AS305" i="30300" s="1"/>
  <c r="AS328" i="30300"/>
  <c r="AS301" i="30300"/>
  <c r="AS242" i="30300"/>
  <c r="AS256" i="30300"/>
  <c r="AS257" i="30300" s="1"/>
  <c r="AS312" i="30300" s="1"/>
  <c r="AS313" i="30300" s="1"/>
  <c r="AS325" i="30300"/>
  <c r="AS243" i="30300"/>
  <c r="AS244" i="30300"/>
  <c r="AS303" i="30300"/>
  <c r="AS329" i="30300"/>
  <c r="AS249" i="30300"/>
  <c r="AS246" i="30300"/>
  <c r="AS306" i="30300"/>
  <c r="AS322" i="30300"/>
  <c r="AR311" i="30300"/>
  <c r="AS253" i="30300"/>
  <c r="AS317" i="30300" s="1"/>
  <c r="AS255" i="30300"/>
  <c r="AS248" i="30300"/>
  <c r="AS319" i="30300"/>
  <c r="AS324" i="30300"/>
  <c r="AT317" i="30300"/>
  <c r="AT298" i="30300"/>
  <c r="AT300" i="30300"/>
  <c r="AT293" i="30300"/>
  <c r="AT299" i="30300"/>
  <c r="AR262" i="30300"/>
  <c r="AR261" i="30300"/>
  <c r="AT258" i="30300"/>
  <c r="AT312" i="30300"/>
  <c r="AT313" i="30300" s="1"/>
  <c r="AT311" i="30300"/>
  <c r="AT262" i="30300"/>
  <c r="AT261" i="30300"/>
  <c r="U258" i="30290"/>
  <c r="Y298" i="30290"/>
  <c r="AU256" i="30290"/>
  <c r="AU257" i="30290" s="1"/>
  <c r="AU324" i="30290"/>
  <c r="AU335" i="30290"/>
  <c r="AU329" i="30290"/>
  <c r="M311" i="30290"/>
  <c r="Y293" i="30290"/>
  <c r="AU238" i="30290"/>
  <c r="AU304" i="30290"/>
  <c r="AU305" i="30290" s="1"/>
  <c r="AU314" i="30290"/>
  <c r="AU337" i="30290"/>
  <c r="AU237" i="30290"/>
  <c r="AU246" i="30290"/>
  <c r="AU283" i="30290" s="1"/>
  <c r="AU310" i="30290"/>
  <c r="AU239" i="30290"/>
  <c r="AU332" i="30290"/>
  <c r="AU339" i="30290"/>
  <c r="AI313" i="30290"/>
  <c r="S261" i="30290"/>
  <c r="U309" i="30290"/>
  <c r="AU244" i="30290"/>
  <c r="AU315" i="30290"/>
  <c r="AU245" i="30290"/>
  <c r="AU319" i="30290"/>
  <c r="AU323" i="30290"/>
  <c r="AU247" i="30290"/>
  <c r="AU320" i="30290"/>
  <c r="AW256" i="30290"/>
  <c r="AW257" i="30290" s="1"/>
  <c r="AW336" i="30290"/>
  <c r="AP311" i="30290"/>
  <c r="AW310" i="30290"/>
  <c r="AW315" i="30290"/>
  <c r="AW243" i="30290"/>
  <c r="AW230" i="30290"/>
  <c r="AW302" i="30290"/>
  <c r="AW328" i="30290"/>
  <c r="AW329" i="30290"/>
  <c r="AW325" i="30290"/>
  <c r="Y300" i="30290"/>
  <c r="AW331" i="30290"/>
  <c r="AW246" i="30290"/>
  <c r="AW337" i="30290"/>
  <c r="AW248" i="30290"/>
  <c r="AW303" i="30290"/>
  <c r="U300" i="30290"/>
  <c r="AW242" i="30290"/>
  <c r="AW340" i="30290"/>
  <c r="AW308" i="30290"/>
  <c r="S311" i="30290"/>
  <c r="AW241" i="30290"/>
  <c r="AW301" i="30290"/>
  <c r="AW316" i="30290"/>
  <c r="AW353" i="30290" s="1"/>
  <c r="S353" i="30290"/>
  <c r="AW2" i="30290"/>
  <c r="AW335" i="30290"/>
  <c r="AW238" i="30290"/>
  <c r="AW338" i="30290"/>
  <c r="AW321" i="30290"/>
  <c r="AW247" i="30290"/>
  <c r="AW239" i="30290"/>
  <c r="AW307" i="30290"/>
  <c r="AW304" i="30290"/>
  <c r="AW305" i="30290" s="1"/>
  <c r="T309" i="30290"/>
  <c r="T298" i="30290"/>
  <c r="Y312" i="30290"/>
  <c r="Y313" i="30290" s="1"/>
  <c r="S309" i="30290"/>
  <c r="T293" i="30290"/>
  <c r="Y311" i="30290"/>
  <c r="U298" i="30290"/>
  <c r="T311" i="30290"/>
  <c r="Z311" i="30290"/>
  <c r="AI309" i="30290"/>
  <c r="K353" i="30290"/>
  <c r="AE311" i="30290"/>
  <c r="S313" i="30290"/>
  <c r="AE309" i="30290"/>
  <c r="K309" i="30290"/>
  <c r="AB2" i="30290"/>
  <c r="AR297" i="30290"/>
  <c r="AR7" i="30290" s="1"/>
  <c r="AR1" i="30290" s="1"/>
  <c r="AP300" i="30290"/>
  <c r="AP298" i="30290"/>
  <c r="AW262" i="30290"/>
  <c r="AW261" i="30290"/>
  <c r="Z262" i="30290"/>
  <c r="Z261" i="30290"/>
  <c r="X248" i="30290"/>
  <c r="X249" i="30290"/>
  <c r="X241" i="30290"/>
  <c r="X321" i="30290"/>
  <c r="X338" i="30290"/>
  <c r="AD242" i="30290"/>
  <c r="AD254" i="30290"/>
  <c r="AD316" i="30290"/>
  <c r="AD323" i="30290"/>
  <c r="Z300" i="30290"/>
  <c r="Z298" i="30290"/>
  <c r="Z312" i="30290"/>
  <c r="Z313" i="30290" s="1"/>
  <c r="Z258" i="30290"/>
  <c r="X247" i="30290"/>
  <c r="X242" i="30290"/>
  <c r="X324" i="30290"/>
  <c r="X322" i="30290"/>
  <c r="X340" i="30290"/>
  <c r="AD247" i="30290"/>
  <c r="AD255" i="30290"/>
  <c r="AD319" i="30290"/>
  <c r="AD315" i="30290"/>
  <c r="AP309" i="30290"/>
  <c r="AE262" i="30290"/>
  <c r="AE261" i="30290"/>
  <c r="X243" i="30290"/>
  <c r="X254" i="30290"/>
  <c r="X319" i="30290"/>
  <c r="X335" i="30290"/>
  <c r="AD301" i="30290"/>
  <c r="AD303" i="30290"/>
  <c r="AD314" i="30290"/>
  <c r="AD320" i="30290"/>
  <c r="U261" i="30290"/>
  <c r="U262" i="30290"/>
  <c r="K299" i="30290"/>
  <c r="K293" i="30290"/>
  <c r="AU317" i="30290"/>
  <c r="AK340" i="30290"/>
  <c r="AK338" i="30290"/>
  <c r="AK337" i="30290"/>
  <c r="AK335" i="30290"/>
  <c r="AK328" i="30290"/>
  <c r="AK321" i="30290"/>
  <c r="AK319" i="30290"/>
  <c r="AK316" i="30290"/>
  <c r="AK314" i="30290"/>
  <c r="AK325" i="30290"/>
  <c r="AK339" i="30290"/>
  <c r="AK324" i="30290"/>
  <c r="AK331" i="30290"/>
  <c r="AK334" i="30290"/>
  <c r="AK310" i="30290"/>
  <c r="AK333" i="30290"/>
  <c r="AK329" i="30290"/>
  <c r="AK336" i="30290"/>
  <c r="AK315" i="30290"/>
  <c r="AK303" i="30290"/>
  <c r="AK302" i="30290"/>
  <c r="AK332" i="30290"/>
  <c r="AK320" i="30290"/>
  <c r="AK301" i="30290"/>
  <c r="AK308" i="30290"/>
  <c r="AK330" i="30290"/>
  <c r="AK256" i="30290"/>
  <c r="AK257" i="30290" s="1"/>
  <c r="AK322" i="30290"/>
  <c r="AK306" i="30290"/>
  <c r="AK255" i="30290"/>
  <c r="AK241" i="30290"/>
  <c r="AK230" i="30290"/>
  <c r="AK248" i="30290"/>
  <c r="AK237" i="30290"/>
  <c r="AK323" i="30290"/>
  <c r="AK249" i="30290"/>
  <c r="AK246" i="30290"/>
  <c r="AK283" i="30290" s="1"/>
  <c r="AK242" i="30290"/>
  <c r="AK259" i="30290"/>
  <c r="AK260" i="30290" s="1"/>
  <c r="AK304" i="30290"/>
  <c r="AK305" i="30290" s="1"/>
  <c r="AK238" i="30290"/>
  <c r="AK247" i="30290"/>
  <c r="AK307" i="30290"/>
  <c r="AK245" i="30290"/>
  <c r="AK253" i="30290"/>
  <c r="AK240" i="30290"/>
  <c r="AK243" i="30290"/>
  <c r="AK254" i="30290"/>
  <c r="AK244" i="30290"/>
  <c r="AK239" i="30290"/>
  <c r="X303" i="30290"/>
  <c r="X316" i="30290"/>
  <c r="X308" i="30290"/>
  <c r="X320" i="30290"/>
  <c r="AD246" i="30290"/>
  <c r="AD283" i="30290" s="1"/>
  <c r="AD329" i="30290"/>
  <c r="AD330" i="30290"/>
  <c r="N353" i="30290"/>
  <c r="M353" i="30290"/>
  <c r="AP317" i="30290"/>
  <c r="AI299" i="30290"/>
  <c r="AI293" i="30290"/>
  <c r="AE299" i="30290"/>
  <c r="AE293" i="30290"/>
  <c r="AE258" i="30290"/>
  <c r="AE312" i="30290"/>
  <c r="AE313" i="30290" s="1"/>
  <c r="X244" i="30290"/>
  <c r="X259" i="30290"/>
  <c r="X260" i="30290" s="1"/>
  <c r="X301" i="30290"/>
  <c r="X330" i="30290"/>
  <c r="AD237" i="30290"/>
  <c r="AD243" i="30290"/>
  <c r="AD259" i="30290"/>
  <c r="AD260" i="30290" s="1"/>
  <c r="AD325" i="30290"/>
  <c r="AD331" i="30290"/>
  <c r="M298" i="30290"/>
  <c r="M300" i="30290"/>
  <c r="AU261" i="30290"/>
  <c r="AU262" i="30290"/>
  <c r="X246" i="30290"/>
  <c r="X283" i="30290" s="1"/>
  <c r="X237" i="30290"/>
  <c r="X306" i="30290"/>
  <c r="X332" i="30290"/>
  <c r="AD230" i="30290"/>
  <c r="AD245" i="30290"/>
  <c r="AD304" i="30290"/>
  <c r="AD305" i="30290" s="1"/>
  <c r="AD324" i="30290"/>
  <c r="AD332" i="30290"/>
  <c r="M312" i="30290"/>
  <c r="M313" i="30290" s="1"/>
  <c r="M258" i="30290"/>
  <c r="AP313" i="30290"/>
  <c r="AI261" i="30290"/>
  <c r="AI262" i="30290"/>
  <c r="AM297" i="30290"/>
  <c r="AM7" i="30290" s="1"/>
  <c r="AM8" i="30290" s="1"/>
  <c r="AM2" i="30290" s="1"/>
  <c r="X256" i="30290"/>
  <c r="X257" i="30290" s="1"/>
  <c r="X245" i="30290"/>
  <c r="X307" i="30290"/>
  <c r="X333" i="30290"/>
  <c r="AD249" i="30290"/>
  <c r="AD302" i="30290"/>
  <c r="AD307" i="30290"/>
  <c r="AD334" i="30290"/>
  <c r="AD337" i="30290"/>
  <c r="AS297" i="30290"/>
  <c r="AS7" i="30290" s="1"/>
  <c r="AS1" i="30290" s="1"/>
  <c r="AN1" i="30290"/>
  <c r="AE298" i="30290"/>
  <c r="AE300" i="30290"/>
  <c r="X230" i="30290"/>
  <c r="X302" i="30290"/>
  <c r="X331" i="30290"/>
  <c r="AD321" i="30290"/>
  <c r="AD256" i="30290"/>
  <c r="AD257" i="30290" s="1"/>
  <c r="AD306" i="30290"/>
  <c r="AD328" i="30290"/>
  <c r="AD338" i="30290"/>
  <c r="AL8" i="30290"/>
  <c r="AL320" i="30290" s="1"/>
  <c r="AG8" i="30290"/>
  <c r="AG334" i="30290" s="1"/>
  <c r="AE2" i="30290"/>
  <c r="X2" i="30290"/>
  <c r="K317" i="30290"/>
  <c r="AI298" i="30290"/>
  <c r="K312" i="30290"/>
  <c r="K313" i="30290" s="1"/>
  <c r="K258" i="30290"/>
  <c r="AU293" i="30290"/>
  <c r="AU299" i="30290"/>
  <c r="Z317" i="30290"/>
  <c r="X240" i="30290"/>
  <c r="X304" i="30290"/>
  <c r="X305" i="30290" s="1"/>
  <c r="X334" i="30290"/>
  <c r="X336" i="30290"/>
  <c r="AD238" i="30290"/>
  <c r="AD308" i="30290"/>
  <c r="AD239" i="30290"/>
  <c r="AD335" i="30290"/>
  <c r="AD339" i="30290"/>
  <c r="K262" i="30290"/>
  <c r="K261" i="30290"/>
  <c r="AF340" i="30290"/>
  <c r="AF339" i="30290"/>
  <c r="AF337" i="30290"/>
  <c r="AF336" i="30290"/>
  <c r="AF333" i="30290"/>
  <c r="AF329" i="30290"/>
  <c r="AF322" i="30290"/>
  <c r="AF328" i="30290"/>
  <c r="AF321" i="30290"/>
  <c r="AF319" i="30290"/>
  <c r="AF334" i="30290"/>
  <c r="AF335" i="30290"/>
  <c r="AF323" i="30290"/>
  <c r="AF325" i="30290"/>
  <c r="AF324" i="30290"/>
  <c r="AF331" i="30290"/>
  <c r="AF338" i="30290"/>
  <c r="AF330" i="30290"/>
  <c r="AF316" i="30290"/>
  <c r="AF315" i="30290"/>
  <c r="AF304" i="30290"/>
  <c r="AF305" i="30290" s="1"/>
  <c r="AF303" i="30290"/>
  <c r="AF332" i="30290"/>
  <c r="AF306" i="30290"/>
  <c r="AF248" i="30290"/>
  <c r="AF243" i="30290"/>
  <c r="AF314" i="30290"/>
  <c r="AF259" i="30290"/>
  <c r="AF260" i="30290" s="1"/>
  <c r="AF253" i="30290"/>
  <c r="AF256" i="30290"/>
  <c r="AF257" i="30290" s="1"/>
  <c r="AF320" i="30290"/>
  <c r="AF310" i="30290"/>
  <c r="AF301" i="30290"/>
  <c r="AF247" i="30290"/>
  <c r="AF302" i="30290"/>
  <c r="AF255" i="30290"/>
  <c r="AF245" i="30290"/>
  <c r="AF254" i="30290"/>
  <c r="AF244" i="30290"/>
  <c r="AF239" i="30290"/>
  <c r="AF246" i="30290"/>
  <c r="AF283" i="30290" s="1"/>
  <c r="AF242" i="30290"/>
  <c r="AF237" i="30290"/>
  <c r="AF308" i="30290"/>
  <c r="AF238" i="30290"/>
  <c r="AF249" i="30290"/>
  <c r="AF241" i="30290"/>
  <c r="AF230" i="30290"/>
  <c r="AF307" i="30290"/>
  <c r="AF240" i="30290"/>
  <c r="AF1" i="30290"/>
  <c r="K298" i="30290"/>
  <c r="K300" i="30290"/>
  <c r="AE317" i="30290"/>
  <c r="Z299" i="30290"/>
  <c r="Z293" i="30290"/>
  <c r="X310" i="30290"/>
  <c r="X339" i="30290"/>
  <c r="X323" i="30290"/>
  <c r="AD248" i="30290"/>
  <c r="AD240" i="30290"/>
  <c r="AD244" i="30290"/>
  <c r="AD340" i="30290"/>
  <c r="U299" i="30290"/>
  <c r="U293" i="30290"/>
  <c r="AU309" i="30290"/>
  <c r="AW300" i="30290"/>
  <c r="AP262" i="30290"/>
  <c r="AP261" i="30290"/>
  <c r="X238" i="30290"/>
  <c r="X253" i="30290"/>
  <c r="X328" i="30290"/>
  <c r="X314" i="30290"/>
  <c r="X325" i="30290"/>
  <c r="AD241" i="30290"/>
  <c r="AD310" i="30290"/>
  <c r="T312" i="30290"/>
  <c r="T313" i="30290" s="1"/>
  <c r="T258" i="30290"/>
  <c r="Z353" i="30290"/>
  <c r="AP299" i="30290"/>
  <c r="AP293" i="30290"/>
  <c r="AB339" i="30290"/>
  <c r="AB337" i="30290"/>
  <c r="AB335" i="30290"/>
  <c r="AB333" i="30290"/>
  <c r="AB331" i="30290"/>
  <c r="AB340" i="30290"/>
  <c r="AB338" i="30290"/>
  <c r="AB332" i="30290"/>
  <c r="AB330" i="30290"/>
  <c r="AB320" i="30290"/>
  <c r="AB323" i="30290"/>
  <c r="AB329" i="30290"/>
  <c r="AB322" i="30290"/>
  <c r="AB336" i="30290"/>
  <c r="AB303" i="30290"/>
  <c r="AB334" i="30290"/>
  <c r="AB324" i="30290"/>
  <c r="AB328" i="30290"/>
  <c r="AB314" i="30290"/>
  <c r="AB254" i="30290"/>
  <c r="AB249" i="30290"/>
  <c r="AB325" i="30290"/>
  <c r="AB321" i="30290"/>
  <c r="AB310" i="30290"/>
  <c r="AB301" i="30290"/>
  <c r="AB307" i="30290"/>
  <c r="AB304" i="30290"/>
  <c r="AB305" i="30290" s="1"/>
  <c r="AB302" i="30290"/>
  <c r="AB319" i="30290"/>
  <c r="AB306" i="30290"/>
  <c r="AB315" i="30290"/>
  <c r="AB316" i="30290"/>
  <c r="AB353" i="30290" s="1"/>
  <c r="AB246" i="30290"/>
  <c r="AB283" i="30290" s="1"/>
  <c r="AB243" i="30290"/>
  <c r="AB253" i="30290"/>
  <c r="AB308" i="30290"/>
  <c r="AB259" i="30290"/>
  <c r="AB260" i="30290" s="1"/>
  <c r="AB256" i="30290"/>
  <c r="AB257" i="30290" s="1"/>
  <c r="AB237" i="30290"/>
  <c r="AB245" i="30290"/>
  <c r="AB239" i="30290"/>
  <c r="AB244" i="30290"/>
  <c r="AB247" i="30290"/>
  <c r="AB238" i="30290"/>
  <c r="AI1" i="30290"/>
  <c r="AB242" i="30290"/>
  <c r="AB255" i="30290"/>
  <c r="AB248" i="30290"/>
  <c r="AB241" i="30290"/>
  <c r="AB230" i="30290"/>
  <c r="AB240" i="30290"/>
  <c r="AB1" i="30290"/>
  <c r="AK2" i="30290"/>
  <c r="AD2" i="30290"/>
  <c r="AI258" i="30290"/>
  <c r="AU300" i="30290"/>
  <c r="AU298" i="30290"/>
  <c r="AW317" i="30290"/>
  <c r="Z309" i="30290"/>
  <c r="M262" i="30290"/>
  <c r="M261" i="30290"/>
  <c r="K311" i="30290"/>
  <c r="X255" i="30290"/>
  <c r="X239" i="30290"/>
  <c r="X315" i="30290"/>
  <c r="X329" i="30290"/>
  <c r="AK1" i="30290"/>
  <c r="AD253" i="30290"/>
  <c r="AD322" i="30290"/>
  <c r="AD336" i="30290"/>
  <c r="AR300" i="30300" l="1"/>
  <c r="AR309" i="30300"/>
  <c r="AK311" i="30300"/>
  <c r="AR313" i="30300"/>
  <c r="AR293" i="30300"/>
  <c r="AR258" i="30300"/>
  <c r="AR299" i="30300"/>
  <c r="AS311" i="30300"/>
  <c r="AS298" i="30300"/>
  <c r="AS283" i="30300"/>
  <c r="AS262" i="30300"/>
  <c r="AR298" i="30300"/>
  <c r="AS300" i="30300"/>
  <c r="AU311" i="30290"/>
  <c r="AW293" i="30290"/>
  <c r="AW283" i="30290"/>
  <c r="AW258" i="30290"/>
  <c r="AU258" i="30290"/>
  <c r="AS261" i="30300"/>
  <c r="AS309" i="30300"/>
  <c r="AS353" i="30300"/>
  <c r="AS258" i="30300"/>
  <c r="AS293" i="30300"/>
  <c r="AS299" i="30300"/>
  <c r="AW309" i="30290"/>
  <c r="AG335" i="30290"/>
  <c r="AW311" i="30290"/>
  <c r="AW299" i="30290"/>
  <c r="AW312" i="30290"/>
  <c r="AW313" i="30290" s="1"/>
  <c r="AU312" i="30290"/>
  <c r="AU313" i="30290" s="1"/>
  <c r="X311" i="30290"/>
  <c r="AW298" i="30290"/>
  <c r="AG242" i="30290"/>
  <c r="AL255" i="30290"/>
  <c r="AL237" i="30290"/>
  <c r="AB311" i="30290"/>
  <c r="AG303" i="30290"/>
  <c r="AL301" i="30290"/>
  <c r="AG310" i="30290"/>
  <c r="AL304" i="30290"/>
  <c r="AL305" i="30290" s="1"/>
  <c r="AS8" i="30290"/>
  <c r="AS331" i="30290" s="1"/>
  <c r="AD309" i="30290"/>
  <c r="AG304" i="30290"/>
  <c r="AG305" i="30290" s="1"/>
  <c r="AG320" i="30290"/>
  <c r="AG302" i="30290"/>
  <c r="AG322" i="30290"/>
  <c r="AL319" i="30290"/>
  <c r="AG246" i="30290"/>
  <c r="AG332" i="30290"/>
  <c r="AG319" i="30290"/>
  <c r="AG329" i="30290"/>
  <c r="AL331" i="30290"/>
  <c r="AG248" i="30290"/>
  <c r="AG237" i="30290"/>
  <c r="AG323" i="30290"/>
  <c r="AG336" i="30290"/>
  <c r="AL241" i="30290"/>
  <c r="AL334" i="30290"/>
  <c r="AG244" i="30290"/>
  <c r="AG239" i="30290"/>
  <c r="AG316" i="30290"/>
  <c r="AH353" i="30290" s="1"/>
  <c r="AG340" i="30290"/>
  <c r="AL253" i="30290"/>
  <c r="AL317" i="30290" s="1"/>
  <c r="AL335" i="30290"/>
  <c r="AG307" i="30290"/>
  <c r="AG254" i="30290"/>
  <c r="AG241" i="30290"/>
  <c r="AG328" i="30290"/>
  <c r="AL247" i="30290"/>
  <c r="AL321" i="30290"/>
  <c r="AG321" i="30290"/>
  <c r="AG315" i="30290"/>
  <c r="AG245" i="30290"/>
  <c r="AG331" i="30290"/>
  <c r="AL238" i="30290"/>
  <c r="AG247" i="30290"/>
  <c r="AG306" i="30290"/>
  <c r="AG308" i="30290"/>
  <c r="AG249" i="30290"/>
  <c r="AG339" i="30290"/>
  <c r="AL248" i="30290"/>
  <c r="AG238" i="30290"/>
  <c r="AG337" i="30290"/>
  <c r="AG253" i="30290"/>
  <c r="AG324" i="30290"/>
  <c r="AF353" i="30290"/>
  <c r="AG256" i="30290"/>
  <c r="AG257" i="30290" s="1"/>
  <c r="AG314" i="30290"/>
  <c r="AG255" i="30290"/>
  <c r="AG325" i="30290"/>
  <c r="AL306" i="30290"/>
  <c r="AG240" i="30290"/>
  <c r="AG301" i="30290"/>
  <c r="AG259" i="30290"/>
  <c r="AG260" i="30290" s="1"/>
  <c r="AL322" i="30290"/>
  <c r="AB299" i="30290"/>
  <c r="AB293" i="30290"/>
  <c r="AD312" i="30290"/>
  <c r="AD313" i="30290" s="1"/>
  <c r="AD258" i="30290"/>
  <c r="X300" i="30290"/>
  <c r="X298" i="30290"/>
  <c r="AT297" i="30290"/>
  <c r="AT7" i="30290" s="1"/>
  <c r="AT8" i="30290" s="1"/>
  <c r="AT2" i="30290" s="1"/>
  <c r="AL314" i="30290"/>
  <c r="AL242" i="30290"/>
  <c r="AL328" i="30290"/>
  <c r="AL323" i="30290"/>
  <c r="X309" i="30290"/>
  <c r="AD299" i="30290"/>
  <c r="AD293" i="30290"/>
  <c r="AK298" i="30290"/>
  <c r="AK300" i="30290"/>
  <c r="X261" i="30290"/>
  <c r="X262" i="30290"/>
  <c r="X312" i="30290"/>
  <c r="X313" i="30290" s="1"/>
  <c r="X258" i="30290"/>
  <c r="AL243" i="30290"/>
  <c r="AL336" i="30290"/>
  <c r="AL256" i="30290"/>
  <c r="AL257" i="30290" s="1"/>
  <c r="AL333" i="30290"/>
  <c r="AL325" i="30290"/>
  <c r="AF299" i="30290"/>
  <c r="AF293" i="30290"/>
  <c r="AM339" i="30290"/>
  <c r="AM336" i="30290"/>
  <c r="AM334" i="30290"/>
  <c r="AM325" i="30290"/>
  <c r="AM340" i="30290"/>
  <c r="AM331" i="30290"/>
  <c r="AM320" i="30290"/>
  <c r="AM330" i="30290"/>
  <c r="AM332" i="30290"/>
  <c r="AM333" i="30290"/>
  <c r="AM328" i="30290"/>
  <c r="AM329" i="30290"/>
  <c r="AM301" i="30290"/>
  <c r="AM322" i="30290"/>
  <c r="AM307" i="30290"/>
  <c r="AM306" i="30290"/>
  <c r="AM308" i="30290"/>
  <c r="AM310" i="30290"/>
  <c r="AM335" i="30290"/>
  <c r="AM241" i="30290"/>
  <c r="AM321" i="30290"/>
  <c r="AM314" i="30290"/>
  <c r="AM304" i="30290"/>
  <c r="AM305" i="30290" s="1"/>
  <c r="AM337" i="30290"/>
  <c r="AM323" i="30290"/>
  <c r="AM316" i="30290"/>
  <c r="AN353" i="30290" s="1"/>
  <c r="AM302" i="30290"/>
  <c r="AM319" i="30290"/>
  <c r="AM315" i="30290"/>
  <c r="AM303" i="30290"/>
  <c r="AM244" i="30290"/>
  <c r="AM243" i="30290"/>
  <c r="AM237" i="30290"/>
  <c r="AM324" i="30290"/>
  <c r="AM259" i="30290"/>
  <c r="AM260" i="30290" s="1"/>
  <c r="AM245" i="30290"/>
  <c r="AM238" i="30290"/>
  <c r="AM256" i="30290"/>
  <c r="AM257" i="30290" s="1"/>
  <c r="AM254" i="30290"/>
  <c r="AM246" i="30290"/>
  <c r="AM283" i="30290" s="1"/>
  <c r="AM247" i="30290"/>
  <c r="AM338" i="30290"/>
  <c r="AM253" i="30290"/>
  <c r="AM248" i="30290"/>
  <c r="AM239" i="30290"/>
  <c r="AM255" i="30290"/>
  <c r="AM230" i="30290"/>
  <c r="AM249" i="30290"/>
  <c r="AM240" i="30290"/>
  <c r="AM242" i="30290"/>
  <c r="AL244" i="30290"/>
  <c r="AL316" i="30290"/>
  <c r="AL329" i="30290"/>
  <c r="X299" i="30290"/>
  <c r="X293" i="30290"/>
  <c r="AK353" i="30290"/>
  <c r="AK293" i="30290"/>
  <c r="AK299" i="30290"/>
  <c r="AL240" i="30290"/>
  <c r="AL302" i="30290"/>
  <c r="AL308" i="30290"/>
  <c r="AL339" i="30290"/>
  <c r="AL332" i="30290"/>
  <c r="Y353" i="30290"/>
  <c r="X353" i="30290"/>
  <c r="AE353" i="30290"/>
  <c r="AD353" i="30290"/>
  <c r="AK317" i="30290"/>
  <c r="AD317" i="30290"/>
  <c r="AS332" i="30290"/>
  <c r="AS259" i="30290"/>
  <c r="AS260" i="30290" s="1"/>
  <c r="AS242" i="30290"/>
  <c r="AL303" i="30290"/>
  <c r="AL254" i="30290"/>
  <c r="AL246" i="30290"/>
  <c r="AL283" i="30290" s="1"/>
  <c r="AL330" i="30290"/>
  <c r="AL338" i="30290"/>
  <c r="AK311" i="30290"/>
  <c r="AD311" i="30290"/>
  <c r="AD262" i="30290"/>
  <c r="AD261" i="30290"/>
  <c r="AB317" i="30290"/>
  <c r="AD298" i="30290"/>
  <c r="AD300" i="30290"/>
  <c r="AF312" i="30290"/>
  <c r="AF313" i="30290" s="1"/>
  <c r="AF258" i="30290"/>
  <c r="AB309" i="30290"/>
  <c r="AF298" i="30290"/>
  <c r="AF300" i="30290"/>
  <c r="AL239" i="30290"/>
  <c r="AL249" i="30290"/>
  <c r="AL310" i="30290"/>
  <c r="AL315" i="30290"/>
  <c r="AL340" i="30290"/>
  <c r="AK309" i="30290"/>
  <c r="AR8" i="30290"/>
  <c r="AR2" i="30290" s="1"/>
  <c r="AB261" i="30290"/>
  <c r="AB262" i="30290"/>
  <c r="AF317" i="30290"/>
  <c r="AB298" i="30290"/>
  <c r="AB300" i="30290"/>
  <c r="AF262" i="30290"/>
  <c r="AF261" i="30290"/>
  <c r="X317" i="30290"/>
  <c r="AB312" i="30290"/>
  <c r="AB313" i="30290" s="1"/>
  <c r="AB258" i="30290"/>
  <c r="AM1" i="30290"/>
  <c r="AF311" i="30290"/>
  <c r="AN2" i="30290"/>
  <c r="AG2" i="30290"/>
  <c r="AG230" i="30290"/>
  <c r="AG333" i="30290"/>
  <c r="AG243" i="30290"/>
  <c r="AG330" i="30290"/>
  <c r="AG338" i="30290"/>
  <c r="AL230" i="30290"/>
  <c r="AL259" i="30290"/>
  <c r="AL260" i="30290" s="1"/>
  <c r="AL337" i="30290"/>
  <c r="AK261" i="30290"/>
  <c r="AK262" i="30290"/>
  <c r="AK312" i="30290"/>
  <c r="AK313" i="30290" s="1"/>
  <c r="AK258" i="30290"/>
  <c r="AF309" i="30290"/>
  <c r="AL2" i="30290"/>
  <c r="AL245" i="30290"/>
  <c r="AL307" i="30290"/>
  <c r="AL324" i="30290"/>
  <c r="AR256" i="30290" l="1"/>
  <c r="AR257" i="30290" s="1"/>
  <c r="AR306" i="30290"/>
  <c r="AG299" i="30290"/>
  <c r="AG283" i="30290"/>
  <c r="AR324" i="30290"/>
  <c r="AR248" i="30290"/>
  <c r="AS340" i="30290"/>
  <c r="AS302" i="30290"/>
  <c r="AS322" i="30290"/>
  <c r="AS240" i="30290"/>
  <c r="AR336" i="30290"/>
  <c r="AS255" i="30290"/>
  <c r="AS330" i="30290"/>
  <c r="AG298" i="30290"/>
  <c r="AS334" i="30290"/>
  <c r="AS306" i="30290"/>
  <c r="AS325" i="30290"/>
  <c r="AS237" i="30290"/>
  <c r="AS2" i="30290"/>
  <c r="AR330" i="30290"/>
  <c r="AS241" i="30290"/>
  <c r="AS246" i="30290"/>
  <c r="AS283" i="30290" s="1"/>
  <c r="AS315" i="30290"/>
  <c r="AS249" i="30290"/>
  <c r="AS320" i="30290"/>
  <c r="AS254" i="30290"/>
  <c r="AS262" i="30290" s="1"/>
  <c r="AS307" i="30290"/>
  <c r="AS338" i="30290"/>
  <c r="AS248" i="30290"/>
  <c r="AS247" i="30290"/>
  <c r="AR320" i="30290"/>
  <c r="AS245" i="30290"/>
  <c r="AS321" i="30290"/>
  <c r="AS304" i="30290"/>
  <c r="AS305" i="30290" s="1"/>
  <c r="AS316" i="30290"/>
  <c r="AS303" i="30290"/>
  <c r="AR316" i="30290"/>
  <c r="AS256" i="30290"/>
  <c r="AS257" i="30290" s="1"/>
  <c r="AS312" i="30290" s="1"/>
  <c r="AS308" i="30290"/>
  <c r="AS337" i="30290"/>
  <c r="AR302" i="30290"/>
  <c r="AG261" i="30290"/>
  <c r="AG293" i="30290"/>
  <c r="AG258" i="30290"/>
  <c r="AG317" i="30290"/>
  <c r="AR332" i="30290"/>
  <c r="AT1" i="30290"/>
  <c r="AG300" i="30290"/>
  <c r="AR304" i="30290"/>
  <c r="AR305" i="30290" s="1"/>
  <c r="AR315" i="30290"/>
  <c r="AR246" i="30290"/>
  <c r="AR299" i="30290" s="1"/>
  <c r="AR333" i="30290"/>
  <c r="AR237" i="30290"/>
  <c r="AR247" i="30290"/>
  <c r="AS230" i="30290"/>
  <c r="AS314" i="30290"/>
  <c r="AS301" i="30290"/>
  <c r="AS329" i="30290"/>
  <c r="AS324" i="30290"/>
  <c r="AS336" i="30290"/>
  <c r="AS328" i="30290"/>
  <c r="AL311" i="30290"/>
  <c r="AS239" i="30290"/>
  <c r="AS319" i="30290"/>
  <c r="AS339" i="30290"/>
  <c r="AS238" i="30290"/>
  <c r="AS243" i="30290"/>
  <c r="AS244" i="30290"/>
  <c r="AS333" i="30290"/>
  <c r="AG262" i="30290"/>
  <c r="AL309" i="30290"/>
  <c r="AS323" i="30290"/>
  <c r="AR242" i="30290"/>
  <c r="AR301" i="30290"/>
  <c r="AS253" i="30290"/>
  <c r="AS317" i="30290" s="1"/>
  <c r="AS310" i="30290"/>
  <c r="AS335" i="30290"/>
  <c r="AR337" i="30290"/>
  <c r="AG311" i="30290"/>
  <c r="AG309" i="30290"/>
  <c r="AM309" i="30290"/>
  <c r="AG312" i="30290"/>
  <c r="AG313" i="30290" s="1"/>
  <c r="AR240" i="30290"/>
  <c r="AR325" i="30290"/>
  <c r="AR340" i="30290"/>
  <c r="AR255" i="30290"/>
  <c r="AR311" i="30290" s="1"/>
  <c r="AR314" i="30290"/>
  <c r="AR335" i="30290"/>
  <c r="AR230" i="30290"/>
  <c r="AR321" i="30290"/>
  <c r="AR241" i="30290"/>
  <c r="AR310" i="30290"/>
  <c r="AR334" i="30290"/>
  <c r="AM353" i="30290"/>
  <c r="AR259" i="30290"/>
  <c r="AR260" i="30290" s="1"/>
  <c r="AR303" i="30290"/>
  <c r="AG353" i="30290"/>
  <c r="AS299" i="30290"/>
  <c r="AS293" i="30290"/>
  <c r="AM299" i="30290"/>
  <c r="AM293" i="30290"/>
  <c r="AL353" i="30290"/>
  <c r="AM261" i="30290"/>
  <c r="AM262" i="30290"/>
  <c r="AM312" i="30290"/>
  <c r="AM313" i="30290" s="1"/>
  <c r="AM258" i="30290"/>
  <c r="AL300" i="30290"/>
  <c r="AL298" i="30290"/>
  <c r="AT340" i="30290"/>
  <c r="AT338" i="30290"/>
  <c r="AT334" i="30290"/>
  <c r="AT339" i="30290"/>
  <c r="AT337" i="30290"/>
  <c r="AT332" i="30290"/>
  <c r="AT331" i="30290"/>
  <c r="AT330" i="30290"/>
  <c r="AT323" i="30290"/>
  <c r="AT329" i="30290"/>
  <c r="AT319" i="30290"/>
  <c r="AT336" i="30290"/>
  <c r="AT328" i="30290"/>
  <c r="AT321" i="30290"/>
  <c r="AT333" i="30290"/>
  <c r="AT307" i="30290"/>
  <c r="AT302" i="30290"/>
  <c r="AT322" i="30290"/>
  <c r="AT325" i="30290"/>
  <c r="AT314" i="30290"/>
  <c r="AT324" i="30290"/>
  <c r="AT320" i="30290"/>
  <c r="AT253" i="30290"/>
  <c r="AT316" i="30290"/>
  <c r="AU353" i="30290" s="1"/>
  <c r="AT315" i="30290"/>
  <c r="AT306" i="30290"/>
  <c r="AT301" i="30290"/>
  <c r="AT303" i="30290"/>
  <c r="AT310" i="30290"/>
  <c r="AT308" i="30290"/>
  <c r="AT304" i="30290"/>
  <c r="AT305" i="30290" s="1"/>
  <c r="AT255" i="30290"/>
  <c r="AT254" i="30290"/>
  <c r="AT246" i="30290"/>
  <c r="AT283" i="30290" s="1"/>
  <c r="AT243" i="30290"/>
  <c r="AT244" i="30290"/>
  <c r="AT240" i="30290"/>
  <c r="AT237" i="30290"/>
  <c r="AT249" i="30290"/>
  <c r="AT247" i="30290"/>
  <c r="AT335" i="30290"/>
  <c r="AT256" i="30290"/>
  <c r="AT257" i="30290" s="1"/>
  <c r="AT245" i="30290"/>
  <c r="AT239" i="30290"/>
  <c r="AT259" i="30290"/>
  <c r="AT260" i="30290" s="1"/>
  <c r="AT242" i="30290"/>
  <c r="AT238" i="30290"/>
  <c r="AT241" i="30290"/>
  <c r="AT230" i="30290"/>
  <c r="AT248" i="30290"/>
  <c r="AS258" i="30290"/>
  <c r="AL299" i="30290"/>
  <c r="AL293" i="30290"/>
  <c r="AL261" i="30290"/>
  <c r="AL262" i="30290"/>
  <c r="AR238" i="30290"/>
  <c r="AR328" i="30290"/>
  <c r="AR239" i="30290"/>
  <c r="AR322" i="30290"/>
  <c r="AM298" i="30290"/>
  <c r="AM300" i="30290"/>
  <c r="AR243" i="30290"/>
  <c r="AR319" i="30290"/>
  <c r="AR249" i="30290"/>
  <c r="AR329" i="30290"/>
  <c r="AS309" i="30290"/>
  <c r="AL312" i="30290"/>
  <c r="AL313" i="30290" s="1"/>
  <c r="AL258" i="30290"/>
  <c r="AM317" i="30290"/>
  <c r="AR338" i="30290"/>
  <c r="AR244" i="30290"/>
  <c r="AR308" i="30290"/>
  <c r="AR254" i="30290"/>
  <c r="AR323" i="30290"/>
  <c r="AM311" i="30290"/>
  <c r="AR312" i="30290"/>
  <c r="AR258" i="30290"/>
  <c r="AS311" i="30290"/>
  <c r="AR339" i="30290"/>
  <c r="AR245" i="30290"/>
  <c r="AR253" i="30290"/>
  <c r="AR307" i="30290"/>
  <c r="AR331" i="30290"/>
  <c r="AS298" i="30290" l="1"/>
  <c r="AS353" i="30290"/>
  <c r="AR353" i="30290"/>
  <c r="AR293" i="30290"/>
  <c r="AR283" i="30290"/>
  <c r="AS261" i="30290"/>
  <c r="AR313" i="30290"/>
  <c r="AT353" i="30290"/>
  <c r="AS300" i="30290"/>
  <c r="AT311" i="30290"/>
  <c r="AS313" i="30290"/>
  <c r="AT309" i="30290"/>
  <c r="AR309" i="30290"/>
  <c r="AT317" i="30290"/>
  <c r="AT298" i="30290"/>
  <c r="AT300" i="30290"/>
  <c r="AR261" i="30290"/>
  <c r="AR262" i="30290"/>
  <c r="AT262" i="30290"/>
  <c r="AT261" i="30290"/>
  <c r="AT312" i="30290"/>
  <c r="AT313" i="30290" s="1"/>
  <c r="AT258" i="30290"/>
  <c r="AR317" i="30290"/>
  <c r="AR298" i="30290"/>
  <c r="AR300" i="30290"/>
  <c r="AT299" i="30290"/>
  <c r="AT293" i="30290"/>
  <c r="H269" i="30294" l="1"/>
  <c r="H269" i="30295" l="1"/>
  <c r="H265" i="30294"/>
  <c r="V4" i="30291" l="1"/>
  <c r="F219" i="30248" l="1"/>
  <c r="M250" i="30311" l="1"/>
  <c r="AS250" i="30301"/>
  <c r="AD250" i="30301"/>
  <c r="P250" i="30301"/>
  <c r="M250" i="30301"/>
  <c r="L250" i="30301"/>
  <c r="J250" i="30301"/>
  <c r="AR250" i="30301"/>
  <c r="B250" i="30311"/>
  <c r="F250" i="30311"/>
  <c r="AE250" i="30311"/>
  <c r="AU250" i="30301"/>
  <c r="R250" i="30301"/>
  <c r="Q250" i="30301"/>
  <c r="AM250" i="30311"/>
  <c r="J250" i="30311"/>
  <c r="AN250" i="30311"/>
  <c r="Z250" i="30311"/>
  <c r="Z250" i="30301"/>
  <c r="F250" i="30312"/>
  <c r="X250" i="30311"/>
  <c r="D250" i="30298"/>
  <c r="F250" i="30298"/>
  <c r="B250" i="30301"/>
  <c r="AA250" i="30301"/>
  <c r="AI250" i="30312"/>
  <c r="E250" i="30312"/>
  <c r="E250" i="30298"/>
  <c r="AG250" i="30301"/>
  <c r="AM250" i="30301"/>
  <c r="G250" i="30311"/>
  <c r="F250" i="30301"/>
  <c r="T250" i="30301"/>
  <c r="C250" i="30301"/>
  <c r="C250" i="30311"/>
  <c r="P250" i="30311"/>
  <c r="AD250" i="30311"/>
  <c r="U250" i="30311"/>
  <c r="U233" i="30311" s="1"/>
  <c r="L250" i="30311"/>
  <c r="AK250" i="30301"/>
  <c r="AK233" i="30301" s="1"/>
  <c r="AE250" i="30301"/>
  <c r="Q250" i="30311"/>
  <c r="AV250" i="30301"/>
  <c r="I250" i="30311"/>
  <c r="AA250" i="30311"/>
  <c r="AL250" i="30301"/>
  <c r="AN250" i="30301"/>
  <c r="G250" i="30298"/>
  <c r="S250" i="30301"/>
  <c r="K250" i="30301"/>
  <c r="Y250" i="30301"/>
  <c r="AW250" i="30312"/>
  <c r="C250" i="30312"/>
  <c r="AI250" i="30311"/>
  <c r="AI233" i="30311" s="1"/>
  <c r="AL250" i="30311"/>
  <c r="AO250" i="30311"/>
  <c r="AK250" i="30311"/>
  <c r="W250" i="30301"/>
  <c r="X250" i="30301"/>
  <c r="R250" i="30311"/>
  <c r="G250" i="30312"/>
  <c r="AO250" i="30301"/>
  <c r="AW250" i="30301"/>
  <c r="AW233" i="30301" s="1"/>
  <c r="N250" i="30298"/>
  <c r="D250" i="30301"/>
  <c r="C250" i="30298"/>
  <c r="B250" i="30298"/>
  <c r="AF250" i="30301"/>
  <c r="AB250" i="30312"/>
  <c r="AB233" i="30312" s="1"/>
  <c r="E250" i="30301"/>
  <c r="AI250" i="30301"/>
  <c r="AI233" i="30301" s="1"/>
  <c r="AH250" i="30301"/>
  <c r="AB250" i="30301"/>
  <c r="AB233" i="30301" s="1"/>
  <c r="N250" i="30301"/>
  <c r="N233" i="30301" s="1"/>
  <c r="B250" i="30312"/>
  <c r="AP250" i="30301"/>
  <c r="AP233" i="30301" s="1"/>
  <c r="D250" i="30312"/>
  <c r="T250" i="30311"/>
  <c r="AW250" i="30311"/>
  <c r="AW233" i="30311" s="1"/>
  <c r="Y250" i="30311"/>
  <c r="I250" i="30301"/>
  <c r="N250" i="30312"/>
  <c r="N233" i="30312" s="1"/>
  <c r="AI250" i="30298"/>
  <c r="AT250" i="30301"/>
  <c r="G250" i="30301"/>
  <c r="U250" i="30301"/>
  <c r="U233" i="30301" s="1"/>
  <c r="AG250" i="30311"/>
  <c r="AU250" i="30311"/>
  <c r="AP250" i="30312"/>
  <c r="AB250" i="30311"/>
  <c r="AB233" i="30311" s="1"/>
  <c r="AR250" i="30311"/>
  <c r="W250" i="30311"/>
  <c r="D250" i="30311"/>
  <c r="S250" i="30311"/>
  <c r="AP250" i="30311"/>
  <c r="AP233" i="30311" s="1"/>
  <c r="N250" i="30311"/>
  <c r="N233" i="30311" s="1"/>
  <c r="E250" i="30311"/>
  <c r="AF250" i="30311"/>
  <c r="AS250" i="30311"/>
  <c r="AT250" i="30311"/>
  <c r="AV250" i="30311"/>
  <c r="K250" i="30311"/>
  <c r="AH250" i="30311"/>
  <c r="U250" i="30298"/>
  <c r="U250" i="30312"/>
  <c r="U233" i="30312" s="1"/>
  <c r="AW250" i="30298"/>
  <c r="AP250" i="30298"/>
  <c r="AB250" i="30298"/>
  <c r="C250" i="30300"/>
  <c r="M250" i="30300"/>
  <c r="I250" i="30300"/>
  <c r="AH250" i="30300"/>
  <c r="F250" i="30300"/>
  <c r="E250" i="30300"/>
  <c r="J250" i="30300"/>
  <c r="B250" i="30300"/>
  <c r="D250" i="30300"/>
  <c r="U250" i="30300"/>
  <c r="L250" i="30300"/>
  <c r="T250" i="30300"/>
  <c r="G250" i="30300"/>
  <c r="S250" i="30300"/>
  <c r="K250" i="30300"/>
  <c r="AU250" i="30300"/>
  <c r="AO250" i="30300"/>
  <c r="AI250" i="30300"/>
  <c r="AA250" i="30300"/>
  <c r="R250" i="30300"/>
  <c r="Q250" i="30300"/>
  <c r="N250" i="30300"/>
  <c r="P250" i="30300"/>
  <c r="AN250" i="30300"/>
  <c r="AB250" i="30300"/>
  <c r="AD250" i="30300"/>
  <c r="X250" i="30300"/>
  <c r="Y250" i="30300"/>
  <c r="B250" i="30290"/>
  <c r="D250" i="30290"/>
  <c r="AG250" i="30300"/>
  <c r="AF250" i="30300"/>
  <c r="C250" i="30290"/>
  <c r="AP250" i="30300"/>
  <c r="Z250" i="30300"/>
  <c r="AV250" i="30300"/>
  <c r="AM250" i="30300"/>
  <c r="J250" i="30290"/>
  <c r="AO250" i="30290"/>
  <c r="AV250" i="30290"/>
  <c r="AA250" i="30290"/>
  <c r="AH250" i="30290"/>
  <c r="R250" i="30290"/>
  <c r="P250" i="30290"/>
  <c r="AW250" i="30300"/>
  <c r="Q250" i="30290"/>
  <c r="AE250" i="30300"/>
  <c r="G250" i="30290"/>
  <c r="I250" i="30290"/>
  <c r="L250" i="30290"/>
  <c r="Y250" i="30290"/>
  <c r="N250" i="30290"/>
  <c r="W250" i="30300"/>
  <c r="W250" i="30290"/>
  <c r="E250" i="30290"/>
  <c r="F250" i="30290"/>
  <c r="AN250" i="30290"/>
  <c r="AL250" i="30300"/>
  <c r="AT250" i="30300"/>
  <c r="AE250" i="30290"/>
  <c r="U250" i="30290"/>
  <c r="AR250" i="30300"/>
  <c r="T250" i="30290"/>
  <c r="AK250" i="30300"/>
  <c r="AI250" i="30290"/>
  <c r="S250" i="30290"/>
  <c r="Z250" i="30290"/>
  <c r="AP250" i="30290"/>
  <c r="M250" i="30290"/>
  <c r="K250" i="30290"/>
  <c r="AS250" i="30300"/>
  <c r="AD250" i="30290"/>
  <c r="AB250" i="30290"/>
  <c r="X250" i="30290"/>
  <c r="AG250" i="30290"/>
  <c r="AU250" i="30290"/>
  <c r="AK250" i="30290"/>
  <c r="AW250" i="30290"/>
  <c r="AF250" i="30290"/>
  <c r="AM250" i="30290"/>
  <c r="AL250" i="30290"/>
  <c r="AT250" i="30290"/>
  <c r="AR250" i="30290"/>
  <c r="AS250" i="30290"/>
  <c r="F15" i="30291"/>
  <c r="F14" i="30291"/>
  <c r="AK101" i="30295" l="1"/>
  <c r="AK233" i="30300"/>
  <c r="AK101" i="30298"/>
  <c r="AK297" i="30298" s="1"/>
  <c r="AK7" i="30298" s="1"/>
  <c r="AK8" i="30298" s="1"/>
  <c r="AB101" i="30294"/>
  <c r="AF101" i="30312"/>
  <c r="AT101" i="30312"/>
  <c r="K101" i="30312"/>
  <c r="R101" i="30312"/>
  <c r="Y101" i="30312"/>
  <c r="AM101" i="30312"/>
  <c r="AN101" i="30298"/>
  <c r="Z101" i="30298"/>
  <c r="S101" i="30298"/>
  <c r="AG101" i="30298"/>
  <c r="AU101" i="30298"/>
  <c r="L101" i="30298"/>
  <c r="K252" i="30311"/>
  <c r="K348" i="30311" s="1"/>
  <c r="K251" i="30311"/>
  <c r="K233" i="30311"/>
  <c r="AB269" i="30311"/>
  <c r="AB252" i="30311"/>
  <c r="AB348" i="30311" s="1"/>
  <c r="AB251" i="30311"/>
  <c r="T252" i="30311"/>
  <c r="T348" i="30311" s="1"/>
  <c r="T251" i="30311"/>
  <c r="T233" i="30311"/>
  <c r="C252" i="30298"/>
  <c r="C348" i="30298" s="1"/>
  <c r="C251" i="30298"/>
  <c r="C271" i="30298"/>
  <c r="C233" i="30298"/>
  <c r="AI251" i="30311"/>
  <c r="AI252" i="30311"/>
  <c r="AI348" i="30311" s="1"/>
  <c r="Q251" i="30311"/>
  <c r="Q252" i="30311"/>
  <c r="Q348" i="30311" s="1"/>
  <c r="Q233" i="30311"/>
  <c r="AM251" i="30301"/>
  <c r="AM252" i="30301"/>
  <c r="AM348" i="30301" s="1"/>
  <c r="AM233" i="30301"/>
  <c r="Z251" i="30311"/>
  <c r="Z233" i="30311"/>
  <c r="Z252" i="30311"/>
  <c r="Z348" i="30311" s="1"/>
  <c r="L233" i="30301"/>
  <c r="L251" i="30301"/>
  <c r="L252" i="30301"/>
  <c r="L348" i="30301" s="1"/>
  <c r="AV269" i="30311"/>
  <c r="AV252" i="30311"/>
  <c r="AV348" i="30311" s="1"/>
  <c r="AV251" i="30311"/>
  <c r="AV233" i="30311"/>
  <c r="AP252" i="30312"/>
  <c r="AP348" i="30312" s="1"/>
  <c r="AP251" i="30312"/>
  <c r="AP233" i="30312"/>
  <c r="D252" i="30312"/>
  <c r="D348" i="30312" s="1"/>
  <c r="D251" i="30312"/>
  <c r="D233" i="30312"/>
  <c r="K269" i="30301"/>
  <c r="AM269" i="30301"/>
  <c r="AT269" i="30301"/>
  <c r="AF269" i="30301"/>
  <c r="R269" i="30301"/>
  <c r="Y269" i="30301"/>
  <c r="D252" i="30301"/>
  <c r="D348" i="30301" s="1"/>
  <c r="D251" i="30301"/>
  <c r="D233" i="30301"/>
  <c r="C252" i="30312"/>
  <c r="C348" i="30312" s="1"/>
  <c r="C233" i="30312"/>
  <c r="C251" i="30312"/>
  <c r="AE251" i="30301"/>
  <c r="AE252" i="30301"/>
  <c r="AE348" i="30301" s="1"/>
  <c r="AE233" i="30301"/>
  <c r="AG252" i="30301"/>
  <c r="AG348" i="30301" s="1"/>
  <c r="AG251" i="30301"/>
  <c r="AG233" i="30301"/>
  <c r="AN252" i="30311"/>
  <c r="AN348" i="30311" s="1"/>
  <c r="AN251" i="30311"/>
  <c r="AN233" i="30311"/>
  <c r="M252" i="30301"/>
  <c r="M348" i="30301" s="1"/>
  <c r="M233" i="30301"/>
  <c r="M251" i="30301"/>
  <c r="AK101" i="30312"/>
  <c r="P101" i="30312"/>
  <c r="AD101" i="30312"/>
  <c r="AR101" i="30312"/>
  <c r="I101" i="30312"/>
  <c r="W101" i="30312"/>
  <c r="AO101" i="30298"/>
  <c r="T101" i="30298"/>
  <c r="AH101" i="30298"/>
  <c r="AA101" i="30298"/>
  <c r="AV101" i="30298"/>
  <c r="M101" i="30298"/>
  <c r="AT252" i="30311"/>
  <c r="AT348" i="30311" s="1"/>
  <c r="AT251" i="30311"/>
  <c r="AT233" i="30311"/>
  <c r="AU251" i="30311"/>
  <c r="AU252" i="30311"/>
  <c r="AU348" i="30311" s="1"/>
  <c r="AU233" i="30311"/>
  <c r="AP252" i="30301"/>
  <c r="AP348" i="30301" s="1"/>
  <c r="AP251" i="30301"/>
  <c r="N269" i="30298"/>
  <c r="N251" i="30298"/>
  <c r="N252" i="30298"/>
  <c r="N348" i="30298" s="1"/>
  <c r="N233" i="30298"/>
  <c r="AW233" i="30312"/>
  <c r="AW252" i="30312"/>
  <c r="AW348" i="30312" s="1"/>
  <c r="AW251" i="30312"/>
  <c r="AK251" i="30301"/>
  <c r="AK252" i="30301"/>
  <c r="AK348" i="30301" s="1"/>
  <c r="E252" i="30298"/>
  <c r="E348" i="30298" s="1"/>
  <c r="E251" i="30298"/>
  <c r="E233" i="30298"/>
  <c r="E271" i="30298"/>
  <c r="J252" i="30311"/>
  <c r="J348" i="30311" s="1"/>
  <c r="J233" i="30311"/>
  <c r="J251" i="30311"/>
  <c r="P251" i="30301"/>
  <c r="P252" i="30301"/>
  <c r="P348" i="30301" s="1"/>
  <c r="P233" i="30301"/>
  <c r="AS252" i="30311"/>
  <c r="AS348" i="30311" s="1"/>
  <c r="AS233" i="30311"/>
  <c r="AS251" i="30311"/>
  <c r="AG252" i="30311"/>
  <c r="AG348" i="30311" s="1"/>
  <c r="AG251" i="30311"/>
  <c r="AG233" i="30311"/>
  <c r="B251" i="30312"/>
  <c r="B252" i="30312"/>
  <c r="B348" i="30312" s="1"/>
  <c r="B233" i="30312"/>
  <c r="AW251" i="30301"/>
  <c r="AW252" i="30301"/>
  <c r="AW348" i="30301" s="1"/>
  <c r="Y233" i="30301"/>
  <c r="Y251" i="30301"/>
  <c r="Y252" i="30301"/>
  <c r="Y348" i="30301" s="1"/>
  <c r="L252" i="30311"/>
  <c r="L348" i="30311" s="1"/>
  <c r="L251" i="30311"/>
  <c r="L233" i="30311"/>
  <c r="E251" i="30312"/>
  <c r="E252" i="30312"/>
  <c r="E348" i="30312" s="1"/>
  <c r="E233" i="30312"/>
  <c r="AM233" i="30311"/>
  <c r="AM252" i="30311"/>
  <c r="AM348" i="30311" s="1"/>
  <c r="AM251" i="30311"/>
  <c r="AD252" i="30301"/>
  <c r="AD348" i="30301" s="1"/>
  <c r="AD251" i="30301"/>
  <c r="AD233" i="30301"/>
  <c r="AF233" i="30311"/>
  <c r="AF252" i="30311"/>
  <c r="AF348" i="30311" s="1"/>
  <c r="AF251" i="30311"/>
  <c r="U251" i="30301"/>
  <c r="U252" i="30301"/>
  <c r="U348" i="30301" s="1"/>
  <c r="N251" i="30301"/>
  <c r="N252" i="30301"/>
  <c r="N348" i="30301" s="1"/>
  <c r="AO251" i="30301"/>
  <c r="AO252" i="30301"/>
  <c r="AO348" i="30301" s="1"/>
  <c r="AO233" i="30301"/>
  <c r="K252" i="30301"/>
  <c r="K348" i="30301" s="1"/>
  <c r="K251" i="30301"/>
  <c r="K233" i="30301"/>
  <c r="U251" i="30311"/>
  <c r="U252" i="30311"/>
  <c r="U348" i="30311" s="1"/>
  <c r="AI233" i="30312"/>
  <c r="AI251" i="30312"/>
  <c r="AI252" i="30312"/>
  <c r="AI348" i="30312" s="1"/>
  <c r="Q233" i="30301"/>
  <c r="Q252" i="30301"/>
  <c r="Q348" i="30301" s="1"/>
  <c r="Q251" i="30301"/>
  <c r="AS233" i="30301"/>
  <c r="AS251" i="30301"/>
  <c r="AS252" i="30301"/>
  <c r="AS348" i="30301" s="1"/>
  <c r="X101" i="30298"/>
  <c r="AL101" i="30298"/>
  <c r="AS101" i="30298"/>
  <c r="J101" i="30298"/>
  <c r="Q101" i="30298"/>
  <c r="AE101" i="30298"/>
  <c r="AU269" i="30311"/>
  <c r="S269" i="30311"/>
  <c r="AN269" i="30311"/>
  <c r="AG269" i="30311"/>
  <c r="E251" i="30311"/>
  <c r="L269" i="30311"/>
  <c r="Z269" i="30311"/>
  <c r="E252" i="30311"/>
  <c r="E348" i="30311" s="1"/>
  <c r="E233" i="30311"/>
  <c r="U269" i="30301"/>
  <c r="G233" i="30301"/>
  <c r="AI269" i="30301"/>
  <c r="AW269" i="30301"/>
  <c r="AP269" i="30301"/>
  <c r="G252" i="30301"/>
  <c r="G348" i="30301" s="1"/>
  <c r="N269" i="30301"/>
  <c r="G251" i="30301"/>
  <c r="AB269" i="30301"/>
  <c r="AB251" i="30301"/>
  <c r="AB252" i="30301"/>
  <c r="AB348" i="30301" s="1"/>
  <c r="G233" i="30312"/>
  <c r="AB269" i="30312"/>
  <c r="G251" i="30312"/>
  <c r="N269" i="30312"/>
  <c r="AP269" i="30312"/>
  <c r="G252" i="30312"/>
  <c r="G348" i="30312" s="1"/>
  <c r="AI269" i="30312"/>
  <c r="AW269" i="30312"/>
  <c r="U269" i="30312"/>
  <c r="S252" i="30301"/>
  <c r="S348" i="30301" s="1"/>
  <c r="S251" i="30301"/>
  <c r="S233" i="30301"/>
  <c r="AD233" i="30311"/>
  <c r="AD252" i="30311"/>
  <c r="AD348" i="30311" s="1"/>
  <c r="AD251" i="30311"/>
  <c r="AA233" i="30301"/>
  <c r="AA252" i="30301"/>
  <c r="AA348" i="30301" s="1"/>
  <c r="AA251" i="30301"/>
  <c r="R233" i="30301"/>
  <c r="R251" i="30301"/>
  <c r="R252" i="30301"/>
  <c r="R348" i="30301" s="1"/>
  <c r="M252" i="30311"/>
  <c r="M348" i="30311" s="1"/>
  <c r="M251" i="30311"/>
  <c r="M233" i="30311"/>
  <c r="AB233" i="30298"/>
  <c r="AB252" i="30298"/>
  <c r="AB348" i="30298" s="1"/>
  <c r="AB251" i="30298"/>
  <c r="N251" i="30311"/>
  <c r="N252" i="30311"/>
  <c r="N348" i="30311" s="1"/>
  <c r="AT252" i="30301"/>
  <c r="AT348" i="30301" s="1"/>
  <c r="AT233" i="30301"/>
  <c r="AT251" i="30301"/>
  <c r="AH251" i="30301"/>
  <c r="AH233" i="30301"/>
  <c r="AH252" i="30301"/>
  <c r="AH348" i="30301" s="1"/>
  <c r="R252" i="30311"/>
  <c r="R348" i="30311" s="1"/>
  <c r="R233" i="30311"/>
  <c r="R251" i="30311"/>
  <c r="G251" i="30298"/>
  <c r="G233" i="30298"/>
  <c r="G271" i="30298"/>
  <c r="G252" i="30298"/>
  <c r="G348" i="30298" s="1"/>
  <c r="AW269" i="30298"/>
  <c r="U269" i="30298"/>
  <c r="AB269" i="30298"/>
  <c r="P233" i="30311"/>
  <c r="P252" i="30311"/>
  <c r="P348" i="30311" s="1"/>
  <c r="P251" i="30311"/>
  <c r="B233" i="30301"/>
  <c r="AR269" i="30301"/>
  <c r="P269" i="30301"/>
  <c r="AD269" i="30301"/>
  <c r="W269" i="30301"/>
  <c r="B252" i="30301"/>
  <c r="B348" i="30301" s="1"/>
  <c r="B251" i="30301"/>
  <c r="AK269" i="30301"/>
  <c r="AU252" i="30301"/>
  <c r="AU348" i="30301" s="1"/>
  <c r="AU233" i="30301"/>
  <c r="AU251" i="30301"/>
  <c r="AP269" i="30298"/>
  <c r="AP252" i="30298"/>
  <c r="AP348" i="30298" s="1"/>
  <c r="AP251" i="30298"/>
  <c r="AP233" i="30298"/>
  <c r="AP252" i="30311"/>
  <c r="AP348" i="30311" s="1"/>
  <c r="AP251" i="30311"/>
  <c r="AI269" i="30298"/>
  <c r="AI252" i="30298"/>
  <c r="AI348" i="30298" s="1"/>
  <c r="AI251" i="30298"/>
  <c r="AI233" i="30298"/>
  <c r="AI251" i="30301"/>
  <c r="AI252" i="30301"/>
  <c r="AI348" i="30301" s="1"/>
  <c r="X252" i="30301"/>
  <c r="X348" i="30301" s="1"/>
  <c r="X251" i="30301"/>
  <c r="X233" i="30301"/>
  <c r="AN251" i="30301"/>
  <c r="AN233" i="30301"/>
  <c r="AN252" i="30301"/>
  <c r="AN348" i="30301" s="1"/>
  <c r="C233" i="30311"/>
  <c r="X269" i="30311"/>
  <c r="AL269" i="30311"/>
  <c r="C251" i="30311"/>
  <c r="AE269" i="30311"/>
  <c r="AS269" i="30311"/>
  <c r="Q269" i="30311"/>
  <c r="C252" i="30311"/>
  <c r="C348" i="30311" s="1"/>
  <c r="J269" i="30311"/>
  <c r="F233" i="30298"/>
  <c r="F252" i="30298"/>
  <c r="F348" i="30298" s="1"/>
  <c r="F271" i="30298"/>
  <c r="F251" i="30298"/>
  <c r="AE252" i="30311"/>
  <c r="AE348" i="30311" s="1"/>
  <c r="AE251" i="30311"/>
  <c r="AE233" i="30311"/>
  <c r="AW252" i="30298"/>
  <c r="AW348" i="30298" s="1"/>
  <c r="AW233" i="30298"/>
  <c r="AW251" i="30298"/>
  <c r="S251" i="30311"/>
  <c r="S233" i="30311"/>
  <c r="S252" i="30311"/>
  <c r="S348" i="30311" s="1"/>
  <c r="N252" i="30312"/>
  <c r="N348" i="30312" s="1"/>
  <c r="N251" i="30312"/>
  <c r="E251" i="30301"/>
  <c r="AU269" i="30301"/>
  <c r="L269" i="30301"/>
  <c r="Z269" i="30301"/>
  <c r="AN269" i="30301"/>
  <c r="E233" i="30301"/>
  <c r="S269" i="30301"/>
  <c r="AG269" i="30301"/>
  <c r="E252" i="30301"/>
  <c r="E348" i="30301" s="1"/>
  <c r="W252" i="30301"/>
  <c r="W348" i="30301" s="1"/>
  <c r="W233" i="30301"/>
  <c r="W251" i="30301"/>
  <c r="AL252" i="30301"/>
  <c r="AL348" i="30301" s="1"/>
  <c r="AL233" i="30301"/>
  <c r="AL251" i="30301"/>
  <c r="Q269" i="30301"/>
  <c r="J269" i="30301"/>
  <c r="AS269" i="30301"/>
  <c r="AE269" i="30301"/>
  <c r="X269" i="30301"/>
  <c r="C252" i="30301"/>
  <c r="C348" i="30301" s="1"/>
  <c r="C251" i="30301"/>
  <c r="AL269" i="30301"/>
  <c r="C233" i="30301"/>
  <c r="D271" i="30298"/>
  <c r="D252" i="30298"/>
  <c r="D348" i="30298" s="1"/>
  <c r="D251" i="30298"/>
  <c r="D233" i="30298"/>
  <c r="M269" i="30311"/>
  <c r="AA269" i="30311"/>
  <c r="F251" i="30311"/>
  <c r="F252" i="30311"/>
  <c r="F348" i="30311" s="1"/>
  <c r="F233" i="30311"/>
  <c r="AO269" i="30311"/>
  <c r="T269" i="30311"/>
  <c r="AH269" i="30311"/>
  <c r="Q101" i="30312"/>
  <c r="AE101" i="30312"/>
  <c r="AS101" i="30312"/>
  <c r="J101" i="30312"/>
  <c r="X101" i="30312"/>
  <c r="AL101" i="30312"/>
  <c r="Y101" i="30298"/>
  <c r="AM101" i="30298"/>
  <c r="K101" i="30298"/>
  <c r="R101" i="30298"/>
  <c r="AT101" i="30298"/>
  <c r="AF101" i="30298"/>
  <c r="U251" i="30312"/>
  <c r="U252" i="30312"/>
  <c r="U348" i="30312" s="1"/>
  <c r="K269" i="30311"/>
  <c r="AF269" i="30311"/>
  <c r="AM269" i="30311"/>
  <c r="R269" i="30311"/>
  <c r="D251" i="30311"/>
  <c r="Y269" i="30311"/>
  <c r="D252" i="30311"/>
  <c r="D348" i="30311" s="1"/>
  <c r="AT269" i="30311"/>
  <c r="D233" i="30311"/>
  <c r="I269" i="30301"/>
  <c r="I251" i="30301"/>
  <c r="I233" i="30301"/>
  <c r="I252" i="30301"/>
  <c r="I348" i="30301" s="1"/>
  <c r="AB251" i="30312"/>
  <c r="AB252" i="30312"/>
  <c r="AB348" i="30312" s="1"/>
  <c r="AK251" i="30311"/>
  <c r="AK233" i="30311"/>
  <c r="AK252" i="30311"/>
  <c r="AK348" i="30311" s="1"/>
  <c r="AA251" i="30311"/>
  <c r="AA252" i="30311"/>
  <c r="AA348" i="30311" s="1"/>
  <c r="AA233" i="30311"/>
  <c r="T251" i="30301"/>
  <c r="T233" i="30301"/>
  <c r="T252" i="30301"/>
  <c r="T348" i="30301" s="1"/>
  <c r="X233" i="30311"/>
  <c r="X252" i="30311"/>
  <c r="X348" i="30311" s="1"/>
  <c r="X251" i="30311"/>
  <c r="AK269" i="30311"/>
  <c r="B251" i="30311"/>
  <c r="AR269" i="30311"/>
  <c r="AD269" i="30311"/>
  <c r="I269" i="30311"/>
  <c r="B233" i="30311"/>
  <c r="B252" i="30311"/>
  <c r="B348" i="30311" s="1"/>
  <c r="P269" i="30311"/>
  <c r="AR101" i="30298"/>
  <c r="I101" i="30298"/>
  <c r="W101" i="30298"/>
  <c r="AD101" i="30295"/>
  <c r="P101" i="30298"/>
  <c r="AD101" i="30298"/>
  <c r="U252" i="30298"/>
  <c r="U348" i="30298" s="1"/>
  <c r="U251" i="30298"/>
  <c r="U233" i="30298"/>
  <c r="W269" i="30311"/>
  <c r="W252" i="30311"/>
  <c r="W348" i="30311" s="1"/>
  <c r="W251" i="30311"/>
  <c r="W233" i="30311"/>
  <c r="Y233" i="30311"/>
  <c r="Y252" i="30311"/>
  <c r="Y348" i="30311" s="1"/>
  <c r="Y251" i="30311"/>
  <c r="AF233" i="30301"/>
  <c r="AF252" i="30301"/>
  <c r="AF348" i="30301" s="1"/>
  <c r="AF251" i="30301"/>
  <c r="AO233" i="30311"/>
  <c r="AO252" i="30311"/>
  <c r="AO348" i="30311" s="1"/>
  <c r="AO251" i="30311"/>
  <c r="I251" i="30311"/>
  <c r="I233" i="30311"/>
  <c r="I252" i="30311"/>
  <c r="I348" i="30311" s="1"/>
  <c r="F233" i="30301"/>
  <c r="AH269" i="30301"/>
  <c r="M269" i="30301"/>
  <c r="AO269" i="30301"/>
  <c r="F251" i="30301"/>
  <c r="F252" i="30301"/>
  <c r="F348" i="30301" s="1"/>
  <c r="AV269" i="30301"/>
  <c r="T269" i="30301"/>
  <c r="AA269" i="30301"/>
  <c r="F233" i="30312"/>
  <c r="F251" i="30312"/>
  <c r="F252" i="30312"/>
  <c r="F348" i="30312" s="1"/>
  <c r="AR233" i="30301"/>
  <c r="AR251" i="30301"/>
  <c r="AR252" i="30301"/>
  <c r="AR348" i="30301" s="1"/>
  <c r="AV101" i="30312"/>
  <c r="M101" i="30312"/>
  <c r="AA101" i="30312"/>
  <c r="AO101" i="30312"/>
  <c r="AH101" i="30312"/>
  <c r="T101" i="30312"/>
  <c r="AG101" i="30312"/>
  <c r="AU101" i="30312"/>
  <c r="L101" i="30312"/>
  <c r="Z101" i="30312"/>
  <c r="AN101" i="30312"/>
  <c r="S101" i="30312"/>
  <c r="AH251" i="30311"/>
  <c r="AH252" i="30311"/>
  <c r="AH348" i="30311" s="1"/>
  <c r="AH233" i="30311"/>
  <c r="AR252" i="30311"/>
  <c r="AR348" i="30311" s="1"/>
  <c r="AR251" i="30311"/>
  <c r="AR233" i="30311"/>
  <c r="AW252" i="30311"/>
  <c r="AW348" i="30311" s="1"/>
  <c r="AW251" i="30311"/>
  <c r="B233" i="30298"/>
  <c r="B252" i="30298"/>
  <c r="B348" i="30298" s="1"/>
  <c r="B251" i="30298"/>
  <c r="B271" i="30298"/>
  <c r="AL252" i="30311"/>
  <c r="AL348" i="30311" s="1"/>
  <c r="AL233" i="30311"/>
  <c r="AL251" i="30311"/>
  <c r="AV233" i="30301"/>
  <c r="AV251" i="30301"/>
  <c r="AV252" i="30301"/>
  <c r="AV348" i="30301" s="1"/>
  <c r="AP269" i="30311"/>
  <c r="AI269" i="30311"/>
  <c r="G251" i="30311"/>
  <c r="U269" i="30311"/>
  <c r="G252" i="30311"/>
  <c r="G348" i="30311" s="1"/>
  <c r="G233" i="30311"/>
  <c r="AW269" i="30311"/>
  <c r="N269" i="30311"/>
  <c r="Z233" i="30301"/>
  <c r="Z251" i="30301"/>
  <c r="Z252" i="30301"/>
  <c r="Z348" i="30301" s="1"/>
  <c r="J233" i="30301"/>
  <c r="J251" i="30301"/>
  <c r="J252" i="30301"/>
  <c r="J348" i="30301" s="1"/>
  <c r="AS251" i="30290"/>
  <c r="AS252" i="30290"/>
  <c r="AS348" i="30290" s="1"/>
  <c r="AS233" i="30290"/>
  <c r="AD251" i="30290"/>
  <c r="AD252" i="30290"/>
  <c r="AD348" i="30290" s="1"/>
  <c r="AD233" i="30290"/>
  <c r="AE233" i="30290"/>
  <c r="AE252" i="30290"/>
  <c r="AE348" i="30290" s="1"/>
  <c r="AE251" i="30290"/>
  <c r="W233" i="30300"/>
  <c r="W252" i="30300"/>
  <c r="W348" i="30300" s="1"/>
  <c r="W251" i="30300"/>
  <c r="AW233" i="30300"/>
  <c r="AW252" i="30300"/>
  <c r="AW348" i="30300" s="1"/>
  <c r="AW251" i="30300"/>
  <c r="K269" i="30300"/>
  <c r="D251" i="30300"/>
  <c r="D233" i="30300"/>
  <c r="D252" i="30300"/>
  <c r="D348" i="30300" s="1"/>
  <c r="R269" i="30300"/>
  <c r="Y269" i="30300"/>
  <c r="AF269" i="30300"/>
  <c r="AM269" i="30300"/>
  <c r="AT269" i="30300"/>
  <c r="AT233" i="30300"/>
  <c r="AT252" i="30300"/>
  <c r="AT348" i="30300" s="1"/>
  <c r="AT251" i="30300"/>
  <c r="AO252" i="30290"/>
  <c r="AO348" i="30290" s="1"/>
  <c r="AO251" i="30290"/>
  <c r="AO233" i="30290"/>
  <c r="X251" i="30300"/>
  <c r="X252" i="30300"/>
  <c r="X348" i="30300" s="1"/>
  <c r="X233" i="30300"/>
  <c r="AB233" i="30300"/>
  <c r="AB251" i="30300"/>
  <c r="AB252" i="30300"/>
  <c r="AB348" i="30300" s="1"/>
  <c r="AU233" i="30300"/>
  <c r="AU252" i="30300"/>
  <c r="AU348" i="30300" s="1"/>
  <c r="AU251" i="30300"/>
  <c r="I269" i="30300"/>
  <c r="I251" i="30300"/>
  <c r="I252" i="30300"/>
  <c r="I348" i="30300" s="1"/>
  <c r="I233" i="30300"/>
  <c r="AT233" i="30290"/>
  <c r="AT252" i="30290"/>
  <c r="AT348" i="30290" s="1"/>
  <c r="AT251" i="30290"/>
  <c r="K252" i="30290"/>
  <c r="K348" i="30290" s="1"/>
  <c r="K233" i="30290"/>
  <c r="K251" i="30290"/>
  <c r="AL252" i="30300"/>
  <c r="AL348" i="30300" s="1"/>
  <c r="AL233" i="30300"/>
  <c r="AL251" i="30300"/>
  <c r="N252" i="30290"/>
  <c r="N348" i="30290" s="1"/>
  <c r="N251" i="30290"/>
  <c r="N233" i="30290"/>
  <c r="P233" i="30290"/>
  <c r="P251" i="30290"/>
  <c r="P252" i="30290"/>
  <c r="P348" i="30290" s="1"/>
  <c r="J252" i="30290"/>
  <c r="J348" i="30290" s="1"/>
  <c r="J251" i="30290"/>
  <c r="J233" i="30290"/>
  <c r="AG251" i="30300"/>
  <c r="AG252" i="30300"/>
  <c r="AG348" i="30300" s="1"/>
  <c r="AG233" i="30300"/>
  <c r="AN269" i="30300"/>
  <c r="AN233" i="30300"/>
  <c r="AN251" i="30300"/>
  <c r="AN252" i="30300"/>
  <c r="AN348" i="30300" s="1"/>
  <c r="B251" i="30300"/>
  <c r="B252" i="30300"/>
  <c r="B348" i="30300" s="1"/>
  <c r="B233" i="30300"/>
  <c r="P269" i="30300"/>
  <c r="AD269" i="30300"/>
  <c r="W269" i="30300"/>
  <c r="AK269" i="30300"/>
  <c r="AR269" i="30300"/>
  <c r="AS252" i="30300"/>
  <c r="AS348" i="30300" s="1"/>
  <c r="AS233" i="30300"/>
  <c r="AS251" i="30300"/>
  <c r="AL252" i="30290"/>
  <c r="AL348" i="30290" s="1"/>
  <c r="AL251" i="30290"/>
  <c r="AL233" i="30290"/>
  <c r="M252" i="30290"/>
  <c r="M348" i="30290" s="1"/>
  <c r="M233" i="30290"/>
  <c r="M251" i="30290"/>
  <c r="Y269" i="30290"/>
  <c r="Y233" i="30290"/>
  <c r="Y251" i="30290"/>
  <c r="Y252" i="30290"/>
  <c r="Y348" i="30290" s="1"/>
  <c r="AM252" i="30300"/>
  <c r="AM348" i="30300" s="1"/>
  <c r="AM233" i="30300"/>
  <c r="AM251" i="30300"/>
  <c r="P252" i="30300"/>
  <c r="P348" i="30300" s="1"/>
  <c r="P233" i="30300"/>
  <c r="P251" i="30300"/>
  <c r="K233" i="30300"/>
  <c r="K252" i="30300"/>
  <c r="K348" i="30300" s="1"/>
  <c r="K251" i="30300"/>
  <c r="J252" i="30300"/>
  <c r="J348" i="30300" s="1"/>
  <c r="J251" i="30300"/>
  <c r="J233" i="30300"/>
  <c r="AR251" i="30290"/>
  <c r="AR233" i="30290"/>
  <c r="AR252" i="30290"/>
  <c r="AR348" i="30290" s="1"/>
  <c r="L252" i="30290"/>
  <c r="L348" i="30290" s="1"/>
  <c r="L251" i="30290"/>
  <c r="L233" i="30290"/>
  <c r="AV251" i="30300"/>
  <c r="AV233" i="30300"/>
  <c r="AV252" i="30300"/>
  <c r="AV348" i="30300" s="1"/>
  <c r="D233" i="30290"/>
  <c r="D252" i="30290"/>
  <c r="D348" i="30290" s="1"/>
  <c r="D251" i="30290"/>
  <c r="K269" i="30290"/>
  <c r="AF269" i="30290"/>
  <c r="AM269" i="30290"/>
  <c r="AT269" i="30290"/>
  <c r="E252" i="30300"/>
  <c r="E348" i="30300" s="1"/>
  <c r="L269" i="30300"/>
  <c r="E233" i="30300"/>
  <c r="E251" i="30300"/>
  <c r="AU269" i="30300"/>
  <c r="AG269" i="30300"/>
  <c r="Z269" i="30300"/>
  <c r="AP269" i="30290"/>
  <c r="AP251" i="30290"/>
  <c r="AP252" i="30290"/>
  <c r="AP348" i="30290" s="1"/>
  <c r="AP233" i="30290"/>
  <c r="AF251" i="30290"/>
  <c r="AF233" i="30290"/>
  <c r="AF252" i="30290"/>
  <c r="AF348" i="30290" s="1"/>
  <c r="Z252" i="30290"/>
  <c r="Z348" i="30290" s="1"/>
  <c r="Z251" i="30290"/>
  <c r="Z233" i="30290"/>
  <c r="AN251" i="30290"/>
  <c r="AN252" i="30290"/>
  <c r="AN348" i="30290" s="1"/>
  <c r="AN233" i="30290"/>
  <c r="I252" i="30290"/>
  <c r="I348" i="30290" s="1"/>
  <c r="I233" i="30290"/>
  <c r="I251" i="30290"/>
  <c r="R269" i="30290"/>
  <c r="R251" i="30290"/>
  <c r="R233" i="30290"/>
  <c r="R252" i="30290"/>
  <c r="R348" i="30290" s="1"/>
  <c r="Z251" i="30300"/>
  <c r="Z252" i="30300"/>
  <c r="Z348" i="30300" s="1"/>
  <c r="Z233" i="30300"/>
  <c r="N233" i="30300"/>
  <c r="N251" i="30300"/>
  <c r="N252" i="30300"/>
  <c r="N348" i="30300" s="1"/>
  <c r="S251" i="30290"/>
  <c r="S233" i="30290"/>
  <c r="S252" i="30290"/>
  <c r="S348" i="30290" s="1"/>
  <c r="F251" i="30290"/>
  <c r="AA269" i="30290"/>
  <c r="F233" i="30290"/>
  <c r="AO269" i="30290"/>
  <c r="AH269" i="30290"/>
  <c r="AV269" i="30290"/>
  <c r="F252" i="30290"/>
  <c r="F348" i="30290" s="1"/>
  <c r="M269" i="30290"/>
  <c r="T269" i="30290"/>
  <c r="G251" i="30290"/>
  <c r="G252" i="30290"/>
  <c r="G348" i="30290" s="1"/>
  <c r="N269" i="30290"/>
  <c r="G233" i="30290"/>
  <c r="AI269" i="30290"/>
  <c r="AB269" i="30290"/>
  <c r="AH251" i="30290"/>
  <c r="AH233" i="30290"/>
  <c r="AH252" i="30290"/>
  <c r="AH348" i="30290" s="1"/>
  <c r="AP252" i="30300"/>
  <c r="AP348" i="30300" s="1"/>
  <c r="AP233" i="30300"/>
  <c r="AP251" i="30300"/>
  <c r="Q251" i="30300"/>
  <c r="Q252" i="30300"/>
  <c r="Q348" i="30300" s="1"/>
  <c r="Q233" i="30300"/>
  <c r="S269" i="30300"/>
  <c r="S251" i="30300"/>
  <c r="S233" i="30300"/>
  <c r="S252" i="30300"/>
  <c r="S348" i="30300" s="1"/>
  <c r="AW269" i="30290"/>
  <c r="AW252" i="30290"/>
  <c r="AW348" i="30290" s="1"/>
  <c r="AW233" i="30290"/>
  <c r="AW251" i="30290"/>
  <c r="AI251" i="30290"/>
  <c r="AI233" i="30290"/>
  <c r="AI252" i="30290"/>
  <c r="AI348" i="30290" s="1"/>
  <c r="AE233" i="30300"/>
  <c r="AE251" i="30300"/>
  <c r="AE252" i="30300"/>
  <c r="AE348" i="30300" s="1"/>
  <c r="AA251" i="30290"/>
  <c r="AA233" i="30290"/>
  <c r="AA252" i="30290"/>
  <c r="AA348" i="30290" s="1"/>
  <c r="C233" i="30290"/>
  <c r="C251" i="30290"/>
  <c r="C252" i="30290"/>
  <c r="C348" i="30290" s="1"/>
  <c r="Q269" i="30290"/>
  <c r="J269" i="30290"/>
  <c r="AE269" i="30290"/>
  <c r="X269" i="30290"/>
  <c r="AL269" i="30290"/>
  <c r="AS269" i="30290"/>
  <c r="B252" i="30290"/>
  <c r="B348" i="30290" s="1"/>
  <c r="B233" i="30290"/>
  <c r="B251" i="30290"/>
  <c r="W269" i="30290"/>
  <c r="I269" i="30290"/>
  <c r="P269" i="30290"/>
  <c r="AK269" i="30290"/>
  <c r="AD269" i="30290"/>
  <c r="AR269" i="30290"/>
  <c r="R252" i="30300"/>
  <c r="R348" i="30300" s="1"/>
  <c r="R251" i="30300"/>
  <c r="R233" i="30300"/>
  <c r="U269" i="30300"/>
  <c r="N269" i="30300"/>
  <c r="AB269" i="30300"/>
  <c r="G252" i="30300"/>
  <c r="G348" i="30300" s="1"/>
  <c r="G251" i="30300"/>
  <c r="G233" i="30300"/>
  <c r="AP269" i="30300"/>
  <c r="AW269" i="30300"/>
  <c r="M233" i="30300"/>
  <c r="M252" i="30300"/>
  <c r="M348" i="30300" s="1"/>
  <c r="M251" i="30300"/>
  <c r="AK233" i="30290"/>
  <c r="AK251" i="30290"/>
  <c r="AK252" i="30290"/>
  <c r="AK348" i="30290" s="1"/>
  <c r="AU251" i="30290"/>
  <c r="AU252" i="30290"/>
  <c r="AU348" i="30290" s="1"/>
  <c r="AU233" i="30290"/>
  <c r="AK252" i="30300"/>
  <c r="AK348" i="30300" s="1"/>
  <c r="AK251" i="30300"/>
  <c r="AA251" i="30300"/>
  <c r="AA252" i="30300"/>
  <c r="AA348" i="30300" s="1"/>
  <c r="AA233" i="30300"/>
  <c r="T251" i="30300"/>
  <c r="T252" i="30300"/>
  <c r="T348" i="30300" s="1"/>
  <c r="T233" i="30300"/>
  <c r="T269" i="30300"/>
  <c r="F251" i="30300"/>
  <c r="F233" i="30300"/>
  <c r="F252" i="30300"/>
  <c r="F348" i="30300" s="1"/>
  <c r="AH269" i="30300"/>
  <c r="AA269" i="30300"/>
  <c r="M269" i="30300"/>
  <c r="AV269" i="30300"/>
  <c r="AM252" i="30290"/>
  <c r="AM348" i="30290" s="1"/>
  <c r="AM251" i="30290"/>
  <c r="AM233" i="30290"/>
  <c r="T252" i="30290"/>
  <c r="T348" i="30290" s="1"/>
  <c r="T251" i="30290"/>
  <c r="T233" i="30290"/>
  <c r="E252" i="30290"/>
  <c r="E348" i="30290" s="1"/>
  <c r="E251" i="30290"/>
  <c r="E233" i="30290"/>
  <c r="L269" i="30290"/>
  <c r="AN269" i="30290"/>
  <c r="AU269" i="30290"/>
  <c r="S269" i="30290"/>
  <c r="Z269" i="30290"/>
  <c r="AG269" i="30290"/>
  <c r="Y252" i="30300"/>
  <c r="Y348" i="30300" s="1"/>
  <c r="Y251" i="30300"/>
  <c r="Y233" i="30300"/>
  <c r="AI269" i="30300"/>
  <c r="AI252" i="30300"/>
  <c r="AI348" i="30300" s="1"/>
  <c r="AI251" i="30300"/>
  <c r="AI233" i="30300"/>
  <c r="L233" i="30300"/>
  <c r="L251" i="30300"/>
  <c r="L252" i="30300"/>
  <c r="AH251" i="30300"/>
  <c r="AH233" i="30300"/>
  <c r="AH252" i="30300"/>
  <c r="AH348" i="30300" s="1"/>
  <c r="C233" i="30300"/>
  <c r="C252" i="30300"/>
  <c r="C348" i="30300" s="1"/>
  <c r="C251" i="30300"/>
  <c r="J269" i="30300"/>
  <c r="Q269" i="30300"/>
  <c r="X269" i="30300"/>
  <c r="AE269" i="30300"/>
  <c r="AL269" i="30300"/>
  <c r="AS269" i="30300"/>
  <c r="AR233" i="30300"/>
  <c r="AR252" i="30300"/>
  <c r="AR348" i="30300" s="1"/>
  <c r="AR251" i="30300"/>
  <c r="AV251" i="30290"/>
  <c r="AV252" i="30290"/>
  <c r="AV348" i="30290" s="1"/>
  <c r="AV233" i="30290"/>
  <c r="U251" i="30300"/>
  <c r="U252" i="30300"/>
  <c r="U348" i="30300" s="1"/>
  <c r="U233" i="30300"/>
  <c r="AG252" i="30290"/>
  <c r="AG348" i="30290" s="1"/>
  <c r="AG233" i="30290"/>
  <c r="AG251" i="30290"/>
  <c r="X252" i="30290"/>
  <c r="X348" i="30290" s="1"/>
  <c r="X251" i="30290"/>
  <c r="X233" i="30290"/>
  <c r="AB251" i="30290"/>
  <c r="AB233" i="30290"/>
  <c r="AB252" i="30290"/>
  <c r="AB348" i="30290" s="1"/>
  <c r="U269" i="30290"/>
  <c r="U252" i="30290"/>
  <c r="U348" i="30290" s="1"/>
  <c r="U251" i="30290"/>
  <c r="U233" i="30290"/>
  <c r="W251" i="30290"/>
  <c r="W252" i="30290"/>
  <c r="W348" i="30290" s="1"/>
  <c r="W233" i="30290"/>
  <c r="Q252" i="30290"/>
  <c r="Q348" i="30290" s="1"/>
  <c r="Q233" i="30290"/>
  <c r="Q251" i="30290"/>
  <c r="AF252" i="30300"/>
  <c r="AF348" i="30300" s="1"/>
  <c r="AF233" i="30300"/>
  <c r="AF251" i="30300"/>
  <c r="AD233" i="30300"/>
  <c r="AD251" i="30300"/>
  <c r="AD252" i="30300"/>
  <c r="AD348" i="30300" s="1"/>
  <c r="AO269" i="30300"/>
  <c r="AO233" i="30300"/>
  <c r="AO251" i="30300"/>
  <c r="AO252" i="30300"/>
  <c r="AO348" i="30300" s="1"/>
  <c r="AR342" i="30290" l="1"/>
  <c r="AD342" i="30290"/>
  <c r="B342" i="30290"/>
  <c r="P342" i="30290"/>
  <c r="AK342" i="30290"/>
  <c r="W342" i="30290"/>
  <c r="I342" i="30290"/>
  <c r="AB342" i="30298"/>
  <c r="AE77" i="30308" s="1"/>
  <c r="AW342" i="30298"/>
  <c r="AE80" i="30308" s="1"/>
  <c r="P342" i="30311"/>
  <c r="Z46" i="30308" s="1"/>
  <c r="L342" i="30311"/>
  <c r="AC45" i="30308" s="1"/>
  <c r="T342" i="30311"/>
  <c r="AD46" i="30308" s="1"/>
  <c r="AR342" i="30311"/>
  <c r="Z50" i="30308" s="1"/>
  <c r="AG342" i="30301"/>
  <c r="AC68" i="30308" s="1"/>
  <c r="AV342" i="30311"/>
  <c r="AD50" i="30308" s="1"/>
  <c r="D342" i="30298"/>
  <c r="AB74" i="30308" s="1"/>
  <c r="U342" i="30298"/>
  <c r="AE76" i="30308" s="1"/>
  <c r="AP342" i="30298"/>
  <c r="AE79" i="30308" s="1"/>
  <c r="E342" i="30311"/>
  <c r="AC44" i="30308" s="1"/>
  <c r="AV342" i="30300"/>
  <c r="W342" i="30300"/>
  <c r="G342" i="30311"/>
  <c r="AE44" i="30308" s="1"/>
  <c r="R342" i="30311"/>
  <c r="AB46" i="30308" s="1"/>
  <c r="AP342" i="30300"/>
  <c r="AL342" i="30311"/>
  <c r="AA49" i="30308" s="1"/>
  <c r="S342" i="30311"/>
  <c r="AC46" i="30308" s="1"/>
  <c r="AF342" i="30311"/>
  <c r="AB48" i="30308" s="1"/>
  <c r="AG342" i="30311"/>
  <c r="AC48" i="30308" s="1"/>
  <c r="Y342" i="30300"/>
  <c r="AM342" i="30300"/>
  <c r="AK342" i="30300"/>
  <c r="AS342" i="30300"/>
  <c r="Q342" i="30301"/>
  <c r="AA66" i="30308" s="1"/>
  <c r="AL342" i="30301"/>
  <c r="AA69" i="30308" s="1"/>
  <c r="AA342" i="30301"/>
  <c r="AD67" i="30308" s="1"/>
  <c r="AP342" i="30301"/>
  <c r="AE69" i="30308" s="1"/>
  <c r="AF342" i="30300"/>
  <c r="AB342" i="30311"/>
  <c r="AE47" i="30308" s="1"/>
  <c r="C342" i="30300"/>
  <c r="G342" i="30300"/>
  <c r="AU342" i="30300"/>
  <c r="AT342" i="30300"/>
  <c r="AW342" i="30300"/>
  <c r="Y342" i="30311"/>
  <c r="AB47" i="30308" s="1"/>
  <c r="AO342" i="30301"/>
  <c r="AD69" i="30308" s="1"/>
  <c r="Y342" i="30301"/>
  <c r="AB67" i="30308" s="1"/>
  <c r="AU342" i="30311"/>
  <c r="AC50" i="30308" s="1"/>
  <c r="AE342" i="30301"/>
  <c r="AA68" i="30308" s="1"/>
  <c r="Z342" i="30311"/>
  <c r="AC47" i="30308" s="1"/>
  <c r="F342" i="30311"/>
  <c r="AD44" i="30308" s="1"/>
  <c r="Q342" i="30311"/>
  <c r="AA46" i="30308" s="1"/>
  <c r="AH342" i="30311"/>
  <c r="AD48" i="30308" s="1"/>
  <c r="E342" i="30301"/>
  <c r="AC64" i="30308" s="1"/>
  <c r="U342" i="30301"/>
  <c r="AE66" i="30308" s="1"/>
  <c r="F342" i="30301"/>
  <c r="AD64" i="30308" s="1"/>
  <c r="AI342" i="30301"/>
  <c r="AE68" i="30308" s="1"/>
  <c r="K342" i="30300"/>
  <c r="B342" i="30298"/>
  <c r="Z74" i="30308" s="1"/>
  <c r="AW342" i="30301"/>
  <c r="AE70" i="30308" s="1"/>
  <c r="AV342" i="30301"/>
  <c r="AD70" i="30308" s="1"/>
  <c r="U342" i="30311"/>
  <c r="AE46" i="30308" s="1"/>
  <c r="N342" i="30300"/>
  <c r="I342" i="30300"/>
  <c r="Z342" i="30300"/>
  <c r="E342" i="30300"/>
  <c r="F342" i="30298"/>
  <c r="AD74" i="30308" s="1"/>
  <c r="AH342" i="30301"/>
  <c r="AD68" i="30308" s="1"/>
  <c r="AS342" i="30311"/>
  <c r="AA50" i="30308" s="1"/>
  <c r="AK342" i="30301"/>
  <c r="Z69" i="30308" s="1"/>
  <c r="L342" i="30300"/>
  <c r="B342" i="30300"/>
  <c r="AB342" i="30312"/>
  <c r="AE57" i="30308" s="1"/>
  <c r="G342" i="30298"/>
  <c r="AE74" i="30308" s="1"/>
  <c r="N342" i="30298"/>
  <c r="AE75" i="30308" s="1"/>
  <c r="U342" i="30300"/>
  <c r="C342" i="30301"/>
  <c r="AA64" i="30308" s="1"/>
  <c r="AT342" i="30301"/>
  <c r="AB70" i="30308" s="1"/>
  <c r="AD342" i="30301"/>
  <c r="Z68" i="30308" s="1"/>
  <c r="AW342" i="30312"/>
  <c r="AE60" i="30308" s="1"/>
  <c r="AW342" i="30311"/>
  <c r="AE50" i="30308" s="1"/>
  <c r="W342" i="30311"/>
  <c r="Z47" i="30308" s="1"/>
  <c r="AP342" i="30311"/>
  <c r="AE49" i="30308" s="1"/>
  <c r="B342" i="30301"/>
  <c r="Z64" i="30308" s="1"/>
  <c r="M342" i="30311"/>
  <c r="AD45" i="30308" s="1"/>
  <c r="S342" i="30301"/>
  <c r="AC66" i="30308" s="1"/>
  <c r="C342" i="30298"/>
  <c r="AA74" i="30308" s="1"/>
  <c r="M342" i="30300"/>
  <c r="R342" i="30300"/>
  <c r="AE342" i="30300"/>
  <c r="J342" i="30301"/>
  <c r="AA65" i="30308" s="1"/>
  <c r="I342" i="30311"/>
  <c r="Z45" i="30308" s="1"/>
  <c r="AK342" i="30311"/>
  <c r="Z49" i="30308" s="1"/>
  <c r="D342" i="30311"/>
  <c r="AB44" i="30308" s="1"/>
  <c r="AN342" i="30301"/>
  <c r="AC69" i="30308" s="1"/>
  <c r="AB342" i="30301"/>
  <c r="AE67" i="30308" s="1"/>
  <c r="N342" i="30301"/>
  <c r="AE65" i="30308" s="1"/>
  <c r="AM342" i="30311"/>
  <c r="AB49" i="30308" s="1"/>
  <c r="J342" i="30311"/>
  <c r="AA45" i="30308" s="1"/>
  <c r="AT342" i="30311"/>
  <c r="AB50" i="30308" s="1"/>
  <c r="D342" i="30312"/>
  <c r="AB54" i="30308" s="1"/>
  <c r="AO342" i="30311"/>
  <c r="AD49" i="30308" s="1"/>
  <c r="X342" i="30311"/>
  <c r="AA47" i="30308" s="1"/>
  <c r="X342" i="30301"/>
  <c r="AA67" i="30308" s="1"/>
  <c r="N342" i="30311"/>
  <c r="AE45" i="30308" s="1"/>
  <c r="R342" i="30301"/>
  <c r="AB66" i="30308" s="1"/>
  <c r="G342" i="30301"/>
  <c r="AE64" i="30308" s="1"/>
  <c r="AM342" i="30301"/>
  <c r="AB69" i="30308" s="1"/>
  <c r="AN342" i="30311"/>
  <c r="AC49" i="30308" s="1"/>
  <c r="D342" i="30301"/>
  <c r="AB64" i="30308" s="1"/>
  <c r="AP342" i="30312"/>
  <c r="AE59" i="30308" s="1"/>
  <c r="AI342" i="30300"/>
  <c r="AF342" i="30301"/>
  <c r="AB68" i="30308" s="1"/>
  <c r="AS342" i="30301"/>
  <c r="AA70" i="30308" s="1"/>
  <c r="K342" i="30301"/>
  <c r="AB65" i="30308" s="1"/>
  <c r="E342" i="30312"/>
  <c r="AC54" i="30308" s="1"/>
  <c r="B342" i="30312"/>
  <c r="Z54" i="30308" s="1"/>
  <c r="E342" i="30298"/>
  <c r="AC74" i="30308" s="1"/>
  <c r="J342" i="30300"/>
  <c r="AL342" i="30300"/>
  <c r="T342" i="30301"/>
  <c r="AD66" i="30308" s="1"/>
  <c r="I342" i="30301"/>
  <c r="Z65" i="30308" s="1"/>
  <c r="U342" i="30312"/>
  <c r="AE56" i="30308" s="1"/>
  <c r="C342" i="30311"/>
  <c r="AA44" i="30308" s="1"/>
  <c r="Z342" i="30301"/>
  <c r="AC67" i="30308" s="1"/>
  <c r="AE342" i="30311"/>
  <c r="AA48" i="30308" s="1"/>
  <c r="AU342" i="30301"/>
  <c r="AC70" i="30308" s="1"/>
  <c r="AD342" i="30311"/>
  <c r="Z48" i="30308" s="1"/>
  <c r="G342" i="30312"/>
  <c r="AE54" i="30308" s="1"/>
  <c r="L342" i="30301"/>
  <c r="AC65" i="30308" s="1"/>
  <c r="Q342" i="30300"/>
  <c r="X342" i="30300"/>
  <c r="AG342" i="30300"/>
  <c r="AR342" i="30301"/>
  <c r="Z70" i="30308" s="1"/>
  <c r="W342" i="30301"/>
  <c r="Z67" i="30308" s="1"/>
  <c r="AI342" i="30298"/>
  <c r="AE78" i="30308" s="1"/>
  <c r="AI342" i="30311"/>
  <c r="AE48" i="30308" s="1"/>
  <c r="AD342" i="30300"/>
  <c r="AN342" i="30300"/>
  <c r="F342" i="30300"/>
  <c r="AR342" i="30300"/>
  <c r="AA342" i="30311"/>
  <c r="AD47" i="30308" s="1"/>
  <c r="N342" i="30312"/>
  <c r="AE55" i="30308" s="1"/>
  <c r="K342" i="30311"/>
  <c r="AB45" i="30308" s="1"/>
  <c r="AA342" i="30300"/>
  <c r="D342" i="30300"/>
  <c r="AO342" i="30300"/>
  <c r="AH342" i="30300"/>
  <c r="T342" i="30300"/>
  <c r="S342" i="30300"/>
  <c r="P342" i="30300"/>
  <c r="AB342" i="30300"/>
  <c r="F342" i="30312"/>
  <c r="AD54" i="30308" s="1"/>
  <c r="B342" i="30311"/>
  <c r="Z44" i="30308" s="1"/>
  <c r="AI342" i="30312"/>
  <c r="AE58" i="30308" s="1"/>
  <c r="P342" i="30301"/>
  <c r="Z66" i="30308" s="1"/>
  <c r="M342" i="30301"/>
  <c r="AD65" i="30308" s="1"/>
  <c r="C342" i="30312"/>
  <c r="AA54" i="30308" s="1"/>
  <c r="AD297" i="30298"/>
  <c r="AD7" i="30298" s="1"/>
  <c r="AD8" i="30298" s="1"/>
  <c r="AK2" i="30298" s="1"/>
  <c r="AB344" i="30312"/>
  <c r="AB349" i="30312"/>
  <c r="AB347" i="30312"/>
  <c r="AB350" i="30312"/>
  <c r="M350" i="30301"/>
  <c r="M344" i="30301"/>
  <c r="M347" i="30301"/>
  <c r="M349" i="30301"/>
  <c r="AU297" i="30312"/>
  <c r="AU7" i="30312" s="1"/>
  <c r="AR347" i="30301"/>
  <c r="AR344" i="30301"/>
  <c r="AR349" i="30301"/>
  <c r="AR350" i="30301"/>
  <c r="AC269" i="30311"/>
  <c r="J344" i="30301"/>
  <c r="J350" i="30301"/>
  <c r="J349" i="30301"/>
  <c r="J347" i="30301"/>
  <c r="G349" i="30311"/>
  <c r="G347" i="30311"/>
  <c r="G344" i="30311"/>
  <c r="G350" i="30311"/>
  <c r="AG297" i="30312"/>
  <c r="AG7" i="30312" s="1"/>
  <c r="AG8" i="30312" s="1"/>
  <c r="AQ269" i="30311"/>
  <c r="AK350" i="30311"/>
  <c r="AK344" i="30311"/>
  <c r="AK347" i="30311"/>
  <c r="AK349" i="30311"/>
  <c r="D349" i="30311"/>
  <c r="D347" i="30311"/>
  <c r="D350" i="30311"/>
  <c r="D344" i="30311"/>
  <c r="AM297" i="30298"/>
  <c r="AM7" i="30298" s="1"/>
  <c r="X349" i="30301"/>
  <c r="X344" i="30301"/>
  <c r="X350" i="30301"/>
  <c r="X347" i="30301"/>
  <c r="AJ269" i="30301"/>
  <c r="AT349" i="30301"/>
  <c r="AT347" i="30301"/>
  <c r="AT344" i="30301"/>
  <c r="AT350" i="30301"/>
  <c r="G349" i="30312"/>
  <c r="G347" i="30312"/>
  <c r="G350" i="30312"/>
  <c r="G344" i="30312"/>
  <c r="AE297" i="30298"/>
  <c r="AE7" i="30298" s="1"/>
  <c r="Q347" i="30301"/>
  <c r="Q344" i="30301"/>
  <c r="Q350" i="30301"/>
  <c r="Q349" i="30301"/>
  <c r="B344" i="30312"/>
  <c r="B350" i="30312"/>
  <c r="B347" i="30312"/>
  <c r="B349" i="30312"/>
  <c r="W297" i="30312"/>
  <c r="W7" i="30312" s="1"/>
  <c r="AV344" i="30311"/>
  <c r="AV347" i="30311"/>
  <c r="AV349" i="30311"/>
  <c r="AV350" i="30311"/>
  <c r="L297" i="30298"/>
  <c r="L7" i="30298" s="1"/>
  <c r="F349" i="30312"/>
  <c r="F347" i="30312"/>
  <c r="F350" i="30312"/>
  <c r="F344" i="30312"/>
  <c r="X297" i="30312"/>
  <c r="X7" i="30312" s="1"/>
  <c r="AD297" i="30312"/>
  <c r="AD7" i="30312" s="1"/>
  <c r="AD8" i="30312" s="1"/>
  <c r="AO349" i="30311"/>
  <c r="AO350" i="30311"/>
  <c r="AO347" i="30311"/>
  <c r="AO344" i="30311"/>
  <c r="K297" i="30298"/>
  <c r="K7" i="30298" s="1"/>
  <c r="T297" i="30312"/>
  <c r="T7" i="30312" s="1"/>
  <c r="U349" i="30298"/>
  <c r="U347" i="30298"/>
  <c r="U344" i="30298"/>
  <c r="U350" i="30298"/>
  <c r="X350" i="30311"/>
  <c r="X349" i="30311"/>
  <c r="X344" i="30311"/>
  <c r="X347" i="30311"/>
  <c r="Y297" i="30298"/>
  <c r="Y7" i="30298" s="1"/>
  <c r="S344" i="30311"/>
  <c r="S347" i="30311"/>
  <c r="S350" i="30311"/>
  <c r="S349" i="30311"/>
  <c r="AP350" i="30298"/>
  <c r="AP349" i="30298"/>
  <c r="AP347" i="30298"/>
  <c r="AP344" i="30298"/>
  <c r="V269" i="30301"/>
  <c r="Q297" i="30298"/>
  <c r="Q7" i="30298" s="1"/>
  <c r="Y349" i="30301"/>
  <c r="Y344" i="30301"/>
  <c r="Y350" i="30301"/>
  <c r="Y347" i="30301"/>
  <c r="AK344" i="30301"/>
  <c r="AK350" i="30301"/>
  <c r="AK347" i="30301"/>
  <c r="AK349" i="30301"/>
  <c r="I297" i="30312"/>
  <c r="I7" i="30312" s="1"/>
  <c r="L350" i="30301"/>
  <c r="L344" i="30301"/>
  <c r="L347" i="30301"/>
  <c r="L349" i="30301"/>
  <c r="AU297" i="30298"/>
  <c r="AU7" i="30298" s="1"/>
  <c r="AR349" i="30311"/>
  <c r="AR347" i="30311"/>
  <c r="AR344" i="30311"/>
  <c r="AR350" i="30311"/>
  <c r="AH297" i="30312"/>
  <c r="AH7" i="30312" s="1"/>
  <c r="AH8" i="30312" s="1"/>
  <c r="AF347" i="30301"/>
  <c r="AF344" i="30301"/>
  <c r="AF350" i="30301"/>
  <c r="AF349" i="30301"/>
  <c r="AL297" i="30312"/>
  <c r="AL7" i="30312" s="1"/>
  <c r="AW347" i="30298"/>
  <c r="AW349" i="30298"/>
  <c r="AW350" i="30298"/>
  <c r="AW344" i="30298"/>
  <c r="AX269" i="30301"/>
  <c r="M347" i="30311"/>
  <c r="M350" i="30311"/>
  <c r="M344" i="30311"/>
  <c r="M349" i="30311"/>
  <c r="S347" i="30301"/>
  <c r="S344" i="30301"/>
  <c r="S350" i="30301"/>
  <c r="S349" i="30301"/>
  <c r="J297" i="30298"/>
  <c r="J7" i="30298" s="1"/>
  <c r="AO350" i="30301"/>
  <c r="AO344" i="30301"/>
  <c r="AO349" i="30301"/>
  <c r="AO347" i="30301"/>
  <c r="AW349" i="30312"/>
  <c r="AW347" i="30312"/>
  <c r="AW350" i="30312"/>
  <c r="AW344" i="30312"/>
  <c r="AU350" i="30311"/>
  <c r="AU347" i="30311"/>
  <c r="AU344" i="30311"/>
  <c r="AU349" i="30311"/>
  <c r="AR297" i="30312"/>
  <c r="AR7" i="30312" s="1"/>
  <c r="AE347" i="30301"/>
  <c r="AE344" i="30301"/>
  <c r="AE350" i="30301"/>
  <c r="AE349" i="30301"/>
  <c r="AI349" i="30311"/>
  <c r="AI347" i="30311"/>
  <c r="AI350" i="30311"/>
  <c r="AI344" i="30311"/>
  <c r="AG297" i="30298"/>
  <c r="AG7" i="30298" s="1"/>
  <c r="AG8" i="30298" s="1"/>
  <c r="AG301" i="30298" s="1"/>
  <c r="T347" i="30311"/>
  <c r="T350" i="30311"/>
  <c r="T344" i="30311"/>
  <c r="T349" i="30311"/>
  <c r="S297" i="30298"/>
  <c r="S7" i="30298" s="1"/>
  <c r="AV347" i="30301"/>
  <c r="AV344" i="30301"/>
  <c r="AV349" i="30301"/>
  <c r="AV350" i="30301"/>
  <c r="AA297" i="30312"/>
  <c r="AA7" i="30312" s="1"/>
  <c r="P297" i="30298"/>
  <c r="P7" i="30298" s="1"/>
  <c r="P8" i="30298" s="1"/>
  <c r="J297" i="30312"/>
  <c r="J7" i="30312" s="1"/>
  <c r="F350" i="30311"/>
  <c r="F349" i="30311"/>
  <c r="F347" i="30311"/>
  <c r="F344" i="30311"/>
  <c r="D347" i="30298"/>
  <c r="D344" i="30298"/>
  <c r="D349" i="30298"/>
  <c r="D350" i="30298"/>
  <c r="C350" i="30311"/>
  <c r="C347" i="30311"/>
  <c r="C344" i="30311"/>
  <c r="C349" i="30311"/>
  <c r="AI349" i="30301"/>
  <c r="AI344" i="30301"/>
  <c r="AI347" i="30301"/>
  <c r="AI350" i="30301"/>
  <c r="P350" i="30311"/>
  <c r="P344" i="30311"/>
  <c r="P349" i="30311"/>
  <c r="P347" i="30311"/>
  <c r="N347" i="30311"/>
  <c r="N350" i="30311"/>
  <c r="N344" i="30311"/>
  <c r="N349" i="30311"/>
  <c r="AL297" i="30298"/>
  <c r="AL7" i="30298" s="1"/>
  <c r="AI347" i="30312"/>
  <c r="AI349" i="30312"/>
  <c r="AI350" i="30312"/>
  <c r="AI344" i="30312"/>
  <c r="AD347" i="30301"/>
  <c r="AD349" i="30301"/>
  <c r="AD350" i="30301"/>
  <c r="AD344" i="30301"/>
  <c r="AW347" i="30301"/>
  <c r="AW344" i="30301"/>
  <c r="AW350" i="30301"/>
  <c r="AW349" i="30301"/>
  <c r="AG344" i="30311"/>
  <c r="AG350" i="30311"/>
  <c r="AG347" i="30311"/>
  <c r="AG349" i="30311"/>
  <c r="AT347" i="30311"/>
  <c r="AT349" i="30311"/>
  <c r="AT344" i="30311"/>
  <c r="AT350" i="30311"/>
  <c r="P297" i="30312"/>
  <c r="P7" i="30312" s="1"/>
  <c r="P8" i="30312" s="1"/>
  <c r="Z297" i="30298"/>
  <c r="Z7" i="30298" s="1"/>
  <c r="M297" i="30312"/>
  <c r="M7" i="30312" s="1"/>
  <c r="Y349" i="30311"/>
  <c r="Y350" i="30311"/>
  <c r="Y347" i="30311"/>
  <c r="Y344" i="30311"/>
  <c r="V269" i="30311"/>
  <c r="AS297" i="30312"/>
  <c r="AS7" i="30312" s="1"/>
  <c r="AL350" i="30301"/>
  <c r="AL349" i="30301"/>
  <c r="AL347" i="30301"/>
  <c r="AL344" i="30301"/>
  <c r="F349" i="30298"/>
  <c r="F347" i="30298"/>
  <c r="F344" i="30298"/>
  <c r="F350" i="30298"/>
  <c r="AU347" i="30301"/>
  <c r="AU344" i="30301"/>
  <c r="AU349" i="30301"/>
  <c r="AU350" i="30301"/>
  <c r="G350" i="30298"/>
  <c r="G349" i="30298"/>
  <c r="G347" i="30298"/>
  <c r="G344" i="30298"/>
  <c r="R344" i="30301"/>
  <c r="R350" i="30301"/>
  <c r="R349" i="30301"/>
  <c r="R347" i="30301"/>
  <c r="AB349" i="30301"/>
  <c r="AB347" i="30301"/>
  <c r="AB350" i="30301"/>
  <c r="AB344" i="30301"/>
  <c r="X297" i="30298"/>
  <c r="X7" i="30298" s="1"/>
  <c r="N350" i="30301"/>
  <c r="N344" i="30301"/>
  <c r="N347" i="30301"/>
  <c r="N349" i="30301"/>
  <c r="AK297" i="30312"/>
  <c r="AK7" i="30312" s="1"/>
  <c r="Z347" i="30311"/>
  <c r="Z350" i="30311"/>
  <c r="Z349" i="30311"/>
  <c r="Z344" i="30311"/>
  <c r="AN297" i="30298"/>
  <c r="AN7" i="30298" s="1"/>
  <c r="D350" i="30312"/>
  <c r="D349" i="30312"/>
  <c r="D347" i="30312"/>
  <c r="D344" i="30312"/>
  <c r="AL349" i="30311"/>
  <c r="AL350" i="30311"/>
  <c r="AL347" i="30311"/>
  <c r="AL344" i="30311"/>
  <c r="B344" i="30298"/>
  <c r="B349" i="30298"/>
  <c r="B350" i="30298"/>
  <c r="B347" i="30298"/>
  <c r="AH349" i="30311"/>
  <c r="AH347" i="30311"/>
  <c r="AH350" i="30311"/>
  <c r="AH344" i="30311"/>
  <c r="AV297" i="30312"/>
  <c r="AV7" i="30312" s="1"/>
  <c r="W297" i="30298"/>
  <c r="W7" i="30298" s="1"/>
  <c r="W8" i="30298" s="1"/>
  <c r="T347" i="30301"/>
  <c r="T344" i="30301"/>
  <c r="T349" i="30301"/>
  <c r="T350" i="30301"/>
  <c r="I349" i="30301"/>
  <c r="I347" i="30301"/>
  <c r="I344" i="30301"/>
  <c r="I350" i="30301"/>
  <c r="U344" i="30312"/>
  <c r="U350" i="30312"/>
  <c r="U349" i="30312"/>
  <c r="U347" i="30312"/>
  <c r="AE297" i="30312"/>
  <c r="AE7" i="30312" s="1"/>
  <c r="AI349" i="30298"/>
  <c r="AI347" i="30298"/>
  <c r="AI344" i="30298"/>
  <c r="AI350" i="30298"/>
  <c r="R350" i="30311"/>
  <c r="R344" i="30311"/>
  <c r="R347" i="30311"/>
  <c r="R349" i="30311"/>
  <c r="AB350" i="30298"/>
  <c r="AB344" i="30298"/>
  <c r="AB349" i="30298"/>
  <c r="AB347" i="30298"/>
  <c r="AM349" i="30311"/>
  <c r="AM347" i="30311"/>
  <c r="AM350" i="30311"/>
  <c r="AM344" i="30311"/>
  <c r="AS349" i="30311"/>
  <c r="AS347" i="30311"/>
  <c r="AS344" i="30311"/>
  <c r="AS350" i="30311"/>
  <c r="M297" i="30298"/>
  <c r="M7" i="30298" s="1"/>
  <c r="AB349" i="30311"/>
  <c r="AB350" i="30311"/>
  <c r="AB347" i="30311"/>
  <c r="AB344" i="30311"/>
  <c r="AM297" i="30312"/>
  <c r="AM7" i="30312" s="1"/>
  <c r="D350" i="30301"/>
  <c r="D344" i="30301"/>
  <c r="D349" i="30301"/>
  <c r="D347" i="30301"/>
  <c r="S297" i="30312"/>
  <c r="S7" i="30312" s="1"/>
  <c r="S8" i="30312" s="1"/>
  <c r="I297" i="30298"/>
  <c r="I7" i="30298" s="1"/>
  <c r="O269" i="30301"/>
  <c r="Q297" i="30312"/>
  <c r="Q7" i="30312" s="1"/>
  <c r="Q8" i="30312" s="1"/>
  <c r="E349" i="30301"/>
  <c r="E350" i="30301"/>
  <c r="E347" i="30301"/>
  <c r="E344" i="30301"/>
  <c r="AE344" i="30311"/>
  <c r="AE347" i="30311"/>
  <c r="AE349" i="30311"/>
  <c r="AE350" i="30311"/>
  <c r="AA350" i="30301"/>
  <c r="AA344" i="30301"/>
  <c r="AA349" i="30301"/>
  <c r="AA347" i="30301"/>
  <c r="G350" i="30301"/>
  <c r="G344" i="30301"/>
  <c r="G347" i="30301"/>
  <c r="G349" i="30301"/>
  <c r="E349" i="30311"/>
  <c r="E350" i="30311"/>
  <c r="E347" i="30311"/>
  <c r="E344" i="30311"/>
  <c r="E344" i="30312"/>
  <c r="E349" i="30312"/>
  <c r="E347" i="30312"/>
  <c r="E350" i="30312"/>
  <c r="N350" i="30298"/>
  <c r="N344" i="30298"/>
  <c r="N347" i="30298"/>
  <c r="N349" i="30298"/>
  <c r="AV297" i="30298"/>
  <c r="AV7" i="30298" s="1"/>
  <c r="AN344" i="30311"/>
  <c r="AN350" i="30311"/>
  <c r="AN347" i="30311"/>
  <c r="AN349" i="30311"/>
  <c r="C350" i="30312"/>
  <c r="C344" i="30312"/>
  <c r="C349" i="30312"/>
  <c r="C347" i="30312"/>
  <c r="Y297" i="30312"/>
  <c r="Y7" i="30312" s="1"/>
  <c r="AO297" i="30312"/>
  <c r="AO7" i="30312" s="1"/>
  <c r="AS297" i="30298"/>
  <c r="AS7" i="30298" s="1"/>
  <c r="AN297" i="30312"/>
  <c r="AN7" i="30312" s="1"/>
  <c r="AN8" i="30312" s="1"/>
  <c r="AN332" i="30312" s="1"/>
  <c r="AR297" i="30298"/>
  <c r="AR7" i="30298" s="1"/>
  <c r="AR1" i="30298" s="1"/>
  <c r="O269" i="30311"/>
  <c r="AF297" i="30298"/>
  <c r="AF7" i="30298" s="1"/>
  <c r="AF8" i="30298" s="1"/>
  <c r="W350" i="30301"/>
  <c r="W349" i="30301"/>
  <c r="W347" i="30301"/>
  <c r="W344" i="30301"/>
  <c r="AQ269" i="30301"/>
  <c r="U350" i="30311"/>
  <c r="U344" i="30311"/>
  <c r="U349" i="30311"/>
  <c r="U347" i="30311"/>
  <c r="U349" i="30301"/>
  <c r="U347" i="30301"/>
  <c r="U344" i="30301"/>
  <c r="U350" i="30301"/>
  <c r="P344" i="30301"/>
  <c r="P350" i="30301"/>
  <c r="P349" i="30301"/>
  <c r="P347" i="30301"/>
  <c r="AA297" i="30298"/>
  <c r="AA7" i="30298" s="1"/>
  <c r="AA8" i="30298" s="1"/>
  <c r="AA245" i="30298" s="1"/>
  <c r="AM349" i="30301"/>
  <c r="AM350" i="30301"/>
  <c r="AM347" i="30301"/>
  <c r="AM344" i="30301"/>
  <c r="R297" i="30312"/>
  <c r="R7" i="30312" s="1"/>
  <c r="F349" i="30301"/>
  <c r="F347" i="30301"/>
  <c r="F344" i="30301"/>
  <c r="F350" i="30301"/>
  <c r="Z297" i="30312"/>
  <c r="Z7" i="30312" s="1"/>
  <c r="Z8" i="30312" s="1"/>
  <c r="W347" i="30311"/>
  <c r="W350" i="30311"/>
  <c r="W344" i="30311"/>
  <c r="W349" i="30311"/>
  <c r="AJ269" i="30311"/>
  <c r="AA347" i="30311"/>
  <c r="AA350" i="30311"/>
  <c r="AA349" i="30311"/>
  <c r="AA344" i="30311"/>
  <c r="AT297" i="30298"/>
  <c r="AT7" i="30298" s="1"/>
  <c r="N344" i="30312"/>
  <c r="N347" i="30312"/>
  <c r="N349" i="30312"/>
  <c r="N350" i="30312"/>
  <c r="AP344" i="30311"/>
  <c r="AP350" i="30311"/>
  <c r="AP347" i="30311"/>
  <c r="AP349" i="30311"/>
  <c r="B347" i="30301"/>
  <c r="B344" i="30301"/>
  <c r="B350" i="30301"/>
  <c r="B349" i="30301"/>
  <c r="AF344" i="30311"/>
  <c r="AF350" i="30311"/>
  <c r="AF347" i="30311"/>
  <c r="AF349" i="30311"/>
  <c r="J349" i="30311"/>
  <c r="J344" i="30311"/>
  <c r="J350" i="30311"/>
  <c r="J347" i="30311"/>
  <c r="E347" i="30298"/>
  <c r="E350" i="30298"/>
  <c r="E349" i="30298"/>
  <c r="E344" i="30298"/>
  <c r="AH297" i="30298"/>
  <c r="AH7" i="30298" s="1"/>
  <c r="AP350" i="30312"/>
  <c r="AP347" i="30312"/>
  <c r="AP349" i="30312"/>
  <c r="AP344" i="30312"/>
  <c r="K297" i="30312"/>
  <c r="K7" i="30312" s="1"/>
  <c r="AW344" i="30311"/>
  <c r="AW349" i="30311"/>
  <c r="AW350" i="30311"/>
  <c r="AW347" i="30311"/>
  <c r="L297" i="30312"/>
  <c r="L7" i="30312" s="1"/>
  <c r="I350" i="30311"/>
  <c r="I344" i="30311"/>
  <c r="I347" i="30311"/>
  <c r="I349" i="30311"/>
  <c r="AX269" i="30311"/>
  <c r="R297" i="30298"/>
  <c r="R7" i="30298" s="1"/>
  <c r="R8" i="30298" s="1"/>
  <c r="R319" i="30298" s="1"/>
  <c r="C349" i="30301"/>
  <c r="C350" i="30301"/>
  <c r="C344" i="30301"/>
  <c r="C347" i="30301"/>
  <c r="AN350" i="30301"/>
  <c r="AN344" i="30301"/>
  <c r="AN349" i="30301"/>
  <c r="AN347" i="30301"/>
  <c r="AD344" i="30311"/>
  <c r="AD347" i="30311"/>
  <c r="AD350" i="30311"/>
  <c r="AD349" i="30311"/>
  <c r="AS349" i="30301"/>
  <c r="AS347" i="30301"/>
  <c r="AS344" i="30301"/>
  <c r="AS350" i="30301"/>
  <c r="K349" i="30301"/>
  <c r="K344" i="30301"/>
  <c r="K347" i="30301"/>
  <c r="K350" i="30301"/>
  <c r="L349" i="30311"/>
  <c r="L347" i="30311"/>
  <c r="L344" i="30311"/>
  <c r="L350" i="30311"/>
  <c r="AP349" i="30301"/>
  <c r="AP347" i="30301"/>
  <c r="AP350" i="30301"/>
  <c r="AP344" i="30301"/>
  <c r="T297" i="30298"/>
  <c r="T7" i="30298" s="1"/>
  <c r="AG349" i="30301"/>
  <c r="AG347" i="30301"/>
  <c r="AG344" i="30301"/>
  <c r="AG350" i="30301"/>
  <c r="C344" i="30298"/>
  <c r="C349" i="30298"/>
  <c r="C347" i="30298"/>
  <c r="C350" i="30298"/>
  <c r="K349" i="30311"/>
  <c r="K347" i="30311"/>
  <c r="K350" i="30311"/>
  <c r="K344" i="30311"/>
  <c r="AT297" i="30312"/>
  <c r="AT7" i="30312" s="1"/>
  <c r="AT8" i="30312" s="1"/>
  <c r="Z350" i="30301"/>
  <c r="Z344" i="30301"/>
  <c r="Z347" i="30301"/>
  <c r="Z349" i="30301"/>
  <c r="B347" i="30311"/>
  <c r="B349" i="30311"/>
  <c r="B350" i="30311"/>
  <c r="B344" i="30311"/>
  <c r="AC269" i="30301"/>
  <c r="AH344" i="30301"/>
  <c r="AH350" i="30301"/>
  <c r="AH349" i="30301"/>
  <c r="AH347" i="30301"/>
  <c r="AO297" i="30298"/>
  <c r="AO7" i="30298" s="1"/>
  <c r="Q349" i="30311"/>
  <c r="Q344" i="30311"/>
  <c r="Q350" i="30311"/>
  <c r="Q347" i="30311"/>
  <c r="AF297" i="30312"/>
  <c r="AF7" i="30312" s="1"/>
  <c r="AK330" i="30298"/>
  <c r="AK308" i="30298"/>
  <c r="AK315" i="30298"/>
  <c r="AK307" i="30298"/>
  <c r="AK314" i="30298"/>
  <c r="AK302" i="30298"/>
  <c r="AK320" i="30298"/>
  <c r="AK303" i="30298"/>
  <c r="AK310" i="30298"/>
  <c r="AK337" i="30298"/>
  <c r="AK242" i="30298"/>
  <c r="AK243" i="30298"/>
  <c r="AK244" i="30298"/>
  <c r="AK241" i="30298"/>
  <c r="AK238" i="30298"/>
  <c r="AK340" i="30298"/>
  <c r="AK250" i="30298"/>
  <c r="AK323" i="30298"/>
  <c r="AK254" i="30298"/>
  <c r="AK338" i="30298"/>
  <c r="AK248" i="30298"/>
  <c r="AK322" i="30298"/>
  <c r="AK247" i="30298"/>
  <c r="AK253" i="30298"/>
  <c r="AK304" i="30298"/>
  <c r="AK305" i="30298" s="1"/>
  <c r="AK334" i="30298"/>
  <c r="AK329" i="30298"/>
  <c r="AK239" i="30298"/>
  <c r="AK316" i="30298"/>
  <c r="AK332" i="30298"/>
  <c r="AK319" i="30298"/>
  <c r="AK259" i="30298"/>
  <c r="AK260" i="30298" s="1"/>
  <c r="AK325" i="30298"/>
  <c r="AK328" i="30298"/>
  <c r="AK324" i="30298"/>
  <c r="AK306" i="30298"/>
  <c r="AK246" i="30298"/>
  <c r="AK339" i="30298"/>
  <c r="AK321" i="30298"/>
  <c r="AK240" i="30298"/>
  <c r="AK237" i="30298"/>
  <c r="AK331" i="30298"/>
  <c r="AK255" i="30298"/>
  <c r="AK333" i="30298"/>
  <c r="AK249" i="30298"/>
  <c r="AK245" i="30298"/>
  <c r="AK256" i="30298"/>
  <c r="AK257" i="30298" s="1"/>
  <c r="AK336" i="30298"/>
  <c r="AK301" i="30298"/>
  <c r="AK335" i="30298"/>
  <c r="AK230" i="30298"/>
  <c r="AK347" i="30290"/>
  <c r="AK349" i="30290"/>
  <c r="AK350" i="30290"/>
  <c r="AK344" i="30290"/>
  <c r="AK345" i="30290" s="1"/>
  <c r="O269" i="30290"/>
  <c r="AE347" i="30300"/>
  <c r="AE350" i="30300"/>
  <c r="AE349" i="30300"/>
  <c r="AE344" i="30300"/>
  <c r="AE345" i="30300" s="1"/>
  <c r="AH350" i="30290"/>
  <c r="AH344" i="30290"/>
  <c r="AH345" i="30290" s="1"/>
  <c r="AH342" i="30290"/>
  <c r="AH349" i="30290"/>
  <c r="AH347" i="30290"/>
  <c r="S350" i="30290"/>
  <c r="S349" i="30290"/>
  <c r="S344" i="30290"/>
  <c r="S345" i="30290" s="1"/>
  <c r="S342" i="30290"/>
  <c r="S347" i="30290"/>
  <c r="AP349" i="30290"/>
  <c r="AP347" i="30290"/>
  <c r="AP342" i="30290"/>
  <c r="AP350" i="30290"/>
  <c r="AP344" i="30290"/>
  <c r="AP345" i="30290" s="1"/>
  <c r="E344" i="30300"/>
  <c r="E345" i="30300" s="1"/>
  <c r="E349" i="30300"/>
  <c r="E347" i="30300"/>
  <c r="E350" i="30300"/>
  <c r="J342" i="30290"/>
  <c r="J344" i="30290"/>
  <c r="J345" i="30290" s="1"/>
  <c r="J349" i="30290"/>
  <c r="J347" i="30290"/>
  <c r="J350" i="30290"/>
  <c r="W347" i="30300"/>
  <c r="W349" i="30300"/>
  <c r="W344" i="30300"/>
  <c r="W345" i="30300" s="1"/>
  <c r="W350" i="30300"/>
  <c r="AO344" i="30300"/>
  <c r="AO345" i="30300" s="1"/>
  <c r="AO347" i="30300"/>
  <c r="AO350" i="30300"/>
  <c r="AO349" i="30300"/>
  <c r="AC269" i="30290"/>
  <c r="R349" i="30300"/>
  <c r="R344" i="30300"/>
  <c r="R345" i="30300" s="1"/>
  <c r="R347" i="30300"/>
  <c r="R350" i="30300"/>
  <c r="B347" i="30290"/>
  <c r="B350" i="30290"/>
  <c r="B344" i="30290"/>
  <c r="B345" i="30290" s="1"/>
  <c r="B349" i="30290"/>
  <c r="S350" i="30300"/>
  <c r="S344" i="30300"/>
  <c r="S345" i="30300" s="1"/>
  <c r="S349" i="30300"/>
  <c r="S347" i="30300"/>
  <c r="L344" i="30290"/>
  <c r="L345" i="30290" s="1"/>
  <c r="L342" i="30290"/>
  <c r="L350" i="30290"/>
  <c r="L349" i="30290"/>
  <c r="L347" i="30290"/>
  <c r="AX269" i="30300"/>
  <c r="AN349" i="30300"/>
  <c r="AN347" i="30300"/>
  <c r="AN350" i="30300"/>
  <c r="AN344" i="30300"/>
  <c r="AN345" i="30300" s="1"/>
  <c r="AT350" i="30290"/>
  <c r="AT344" i="30290"/>
  <c r="AT345" i="30290" s="1"/>
  <c r="AT342" i="30290"/>
  <c r="AT347" i="30290"/>
  <c r="AT349" i="30290"/>
  <c r="AB344" i="30300"/>
  <c r="AB345" i="30300" s="1"/>
  <c r="AB350" i="30300"/>
  <c r="AB349" i="30300"/>
  <c r="AB347" i="30300"/>
  <c r="AU342" i="30290"/>
  <c r="AU347" i="30290"/>
  <c r="AU350" i="30290"/>
  <c r="AU349" i="30290"/>
  <c r="AU344" i="30290"/>
  <c r="AU345" i="30290" s="1"/>
  <c r="AH349" i="30300"/>
  <c r="AH347" i="30300"/>
  <c r="AH344" i="30300"/>
  <c r="AH345" i="30300" s="1"/>
  <c r="AH350" i="30300"/>
  <c r="Y350" i="30300"/>
  <c r="Y344" i="30300"/>
  <c r="Y345" i="30300" s="1"/>
  <c r="Y349" i="30300"/>
  <c r="Y347" i="30300"/>
  <c r="E344" i="30290"/>
  <c r="E345" i="30290" s="1"/>
  <c r="E350" i="30290"/>
  <c r="E349" i="30290"/>
  <c r="E347" i="30290"/>
  <c r="E342" i="30290"/>
  <c r="E346" i="30290" s="1"/>
  <c r="F349" i="30300"/>
  <c r="F347" i="30300"/>
  <c r="F350" i="30300"/>
  <c r="F344" i="30300"/>
  <c r="F345" i="30300" s="1"/>
  <c r="AN344" i="30290"/>
  <c r="AN345" i="30290" s="1"/>
  <c r="AN349" i="30290"/>
  <c r="AN350" i="30290"/>
  <c r="AN342" i="30290"/>
  <c r="AN347" i="30290"/>
  <c r="AM350" i="30300"/>
  <c r="AM344" i="30300"/>
  <c r="AM345" i="30300" s="1"/>
  <c r="AM349" i="30300"/>
  <c r="AM347" i="30300"/>
  <c r="AQ269" i="30300"/>
  <c r="P344" i="30290"/>
  <c r="P345" i="30290" s="1"/>
  <c r="P349" i="30290"/>
  <c r="P347" i="30290"/>
  <c r="P350" i="30290"/>
  <c r="AE350" i="30290"/>
  <c r="AE342" i="30290"/>
  <c r="AE344" i="30290"/>
  <c r="AE345" i="30290" s="1"/>
  <c r="AE349" i="30290"/>
  <c r="AE347" i="30290"/>
  <c r="AF347" i="30300"/>
  <c r="AF344" i="30300"/>
  <c r="AF345" i="30300" s="1"/>
  <c r="AF349" i="30300"/>
  <c r="AF350" i="30300"/>
  <c r="AQ269" i="30290"/>
  <c r="Q342" i="30290"/>
  <c r="Q347" i="30290"/>
  <c r="Q350" i="30290"/>
  <c r="Q344" i="30290"/>
  <c r="Q345" i="30290" s="1"/>
  <c r="Q349" i="30290"/>
  <c r="AB342" i="30290"/>
  <c r="AB347" i="30290"/>
  <c r="AB350" i="30290"/>
  <c r="AB344" i="30290"/>
  <c r="AB345" i="30290" s="1"/>
  <c r="AB349" i="30290"/>
  <c r="L344" i="30300"/>
  <c r="L345" i="30300" s="1"/>
  <c r="L348" i="30300"/>
  <c r="D350" i="30290"/>
  <c r="D347" i="30290"/>
  <c r="D344" i="30290"/>
  <c r="D345" i="30290" s="1"/>
  <c r="D349" i="30290"/>
  <c r="D342" i="30290"/>
  <c r="M347" i="30290"/>
  <c r="M350" i="30290"/>
  <c r="M342" i="30290"/>
  <c r="M349" i="30290"/>
  <c r="M344" i="30290"/>
  <c r="M345" i="30290" s="1"/>
  <c r="I347" i="30300"/>
  <c r="I349" i="30300"/>
  <c r="I350" i="30300"/>
  <c r="I344" i="30300"/>
  <c r="I345" i="30300" s="1"/>
  <c r="AT347" i="30300"/>
  <c r="AT350" i="30300"/>
  <c r="AT344" i="30300"/>
  <c r="AT345" i="30300" s="1"/>
  <c r="AT349" i="30300"/>
  <c r="D350" i="30300"/>
  <c r="D344" i="30300"/>
  <c r="D345" i="30300" s="1"/>
  <c r="D349" i="30300"/>
  <c r="D347" i="30300"/>
  <c r="AI349" i="30290"/>
  <c r="AI350" i="30290"/>
  <c r="AI347" i="30290"/>
  <c r="AI342" i="30290"/>
  <c r="AI344" i="30290"/>
  <c r="AI345" i="30290" s="1"/>
  <c r="AD349" i="30300"/>
  <c r="AD350" i="30300"/>
  <c r="AD344" i="30300"/>
  <c r="AD345" i="30300" s="1"/>
  <c r="AD347" i="30300"/>
  <c r="U350" i="30300"/>
  <c r="U344" i="30300"/>
  <c r="U345" i="30300" s="1"/>
  <c r="U349" i="30300"/>
  <c r="U347" i="30300"/>
  <c r="AK349" i="30300"/>
  <c r="AK347" i="30300"/>
  <c r="AK344" i="30300"/>
  <c r="AK345" i="30300" s="1"/>
  <c r="AK350" i="30300"/>
  <c r="AX269" i="30290"/>
  <c r="Z350" i="30300"/>
  <c r="Z349" i="30300"/>
  <c r="Z344" i="30300"/>
  <c r="Z345" i="30300" s="1"/>
  <c r="Z347" i="30300"/>
  <c r="Z342" i="30290"/>
  <c r="Z350" i="30290"/>
  <c r="Z349" i="30290"/>
  <c r="Z347" i="30290"/>
  <c r="Z344" i="30290"/>
  <c r="Z345" i="30290" s="1"/>
  <c r="J349" i="30300"/>
  <c r="J347" i="30300"/>
  <c r="J350" i="30300"/>
  <c r="J344" i="30300"/>
  <c r="J345" i="30300" s="1"/>
  <c r="AC269" i="30300"/>
  <c r="O269" i="30300"/>
  <c r="L350" i="30300"/>
  <c r="L347" i="30300"/>
  <c r="L349" i="30300"/>
  <c r="AR347" i="30300"/>
  <c r="AR350" i="30300"/>
  <c r="AR344" i="30300"/>
  <c r="AR345" i="30300" s="1"/>
  <c r="AR349" i="30300"/>
  <c r="T350" i="30290"/>
  <c r="T344" i="30290"/>
  <c r="T345" i="30290" s="1"/>
  <c r="T342" i="30290"/>
  <c r="T349" i="30290"/>
  <c r="T347" i="30290"/>
  <c r="C350" i="30290"/>
  <c r="C342" i="30290"/>
  <c r="C346" i="30290" s="1"/>
  <c r="C347" i="30290"/>
  <c r="C344" i="30290"/>
  <c r="C345" i="30290" s="1"/>
  <c r="C349" i="30290"/>
  <c r="Q344" i="30300"/>
  <c r="Q345" i="30300" s="1"/>
  <c r="Q349" i="30300"/>
  <c r="Q350" i="30300"/>
  <c r="Q347" i="30300"/>
  <c r="AJ269" i="30300"/>
  <c r="N342" i="30290"/>
  <c r="N349" i="30290"/>
  <c r="N350" i="30290"/>
  <c r="N347" i="30290"/>
  <c r="N344" i="30290"/>
  <c r="N345" i="30290" s="1"/>
  <c r="X347" i="30300"/>
  <c r="X349" i="30300"/>
  <c r="X350" i="30300"/>
  <c r="X344" i="30300"/>
  <c r="X345" i="30300" s="1"/>
  <c r="AP350" i="30300"/>
  <c r="AP349" i="30300"/>
  <c r="AP344" i="30300"/>
  <c r="AP345" i="30300" s="1"/>
  <c r="AP347" i="30300"/>
  <c r="K347" i="30300"/>
  <c r="K344" i="30300"/>
  <c r="K345" i="30300" s="1"/>
  <c r="K349" i="30300"/>
  <c r="K350" i="30300"/>
  <c r="V269" i="30300"/>
  <c r="AV342" i="30290"/>
  <c r="AV344" i="30290"/>
  <c r="AV345" i="30290" s="1"/>
  <c r="AV350" i="30290"/>
  <c r="AV349" i="30290"/>
  <c r="AV347" i="30290"/>
  <c r="C344" i="30300"/>
  <c r="C345" i="30300" s="1"/>
  <c r="C349" i="30300"/>
  <c r="C347" i="30300"/>
  <c r="C350" i="30300"/>
  <c r="AI350" i="30300"/>
  <c r="AI349" i="30300"/>
  <c r="AI347" i="30300"/>
  <c r="AI344" i="30300"/>
  <c r="AI345" i="30300" s="1"/>
  <c r="M350" i="30300"/>
  <c r="M344" i="30300"/>
  <c r="M345" i="30300" s="1"/>
  <c r="M349" i="30300"/>
  <c r="M347" i="30300"/>
  <c r="G344" i="30300"/>
  <c r="G345" i="30300" s="1"/>
  <c r="G349" i="30300"/>
  <c r="G347" i="30300"/>
  <c r="G350" i="30300"/>
  <c r="AW350" i="30290"/>
  <c r="AW347" i="30290"/>
  <c r="AW349" i="30290"/>
  <c r="AW344" i="30290"/>
  <c r="AW345" i="30290" s="1"/>
  <c r="AW342" i="30290"/>
  <c r="R350" i="30290"/>
  <c r="R344" i="30290"/>
  <c r="R345" i="30290" s="1"/>
  <c r="R349" i="30290"/>
  <c r="R347" i="30290"/>
  <c r="R342" i="30290"/>
  <c r="AL342" i="30290"/>
  <c r="AL349" i="30290"/>
  <c r="AL347" i="30290"/>
  <c r="AL350" i="30290"/>
  <c r="AL344" i="30290"/>
  <c r="AL345" i="30290" s="1"/>
  <c r="AL347" i="30300"/>
  <c r="AL349" i="30300"/>
  <c r="AL350" i="30300"/>
  <c r="AL344" i="30300"/>
  <c r="AL345" i="30300" s="1"/>
  <c r="AD350" i="30290"/>
  <c r="AD349" i="30290"/>
  <c r="AD347" i="30290"/>
  <c r="AD344" i="30290"/>
  <c r="AD345" i="30290" s="1"/>
  <c r="N347" i="30300"/>
  <c r="N344" i="30300"/>
  <c r="N345" i="30300" s="1"/>
  <c r="N350" i="30300"/>
  <c r="N349" i="30300"/>
  <c r="W344" i="30290"/>
  <c r="W345" i="30290" s="1"/>
  <c r="W350" i="30290"/>
  <c r="W347" i="30290"/>
  <c r="W349" i="30290"/>
  <c r="X342" i="30290"/>
  <c r="X349" i="30290"/>
  <c r="X347" i="30290"/>
  <c r="X350" i="30290"/>
  <c r="X344" i="30290"/>
  <c r="X345" i="30290" s="1"/>
  <c r="AM349" i="30290"/>
  <c r="AM347" i="30290"/>
  <c r="AM344" i="30290"/>
  <c r="AM345" i="30290" s="1"/>
  <c r="AM342" i="30290"/>
  <c r="AM350" i="30290"/>
  <c r="AJ269" i="30290"/>
  <c r="G342" i="30290"/>
  <c r="G346" i="30290" s="1"/>
  <c r="G350" i="30290"/>
  <c r="G344" i="30290"/>
  <c r="G345" i="30290" s="1"/>
  <c r="G349" i="30290"/>
  <c r="G347" i="30290"/>
  <c r="F350" i="30290"/>
  <c r="F342" i="30290"/>
  <c r="F346" i="30290" s="1"/>
  <c r="F347" i="30290"/>
  <c r="F349" i="30290"/>
  <c r="F344" i="30290"/>
  <c r="F345" i="30290" s="1"/>
  <c r="AF347" i="30290"/>
  <c r="AF342" i="30290"/>
  <c r="AF349" i="30290"/>
  <c r="AF350" i="30290"/>
  <c r="AF344" i="30290"/>
  <c r="AF345" i="30290" s="1"/>
  <c r="AV349" i="30300"/>
  <c r="AV347" i="30300"/>
  <c r="AV344" i="30300"/>
  <c r="AV345" i="30300" s="1"/>
  <c r="AV350" i="30300"/>
  <c r="AR350" i="30290"/>
  <c r="AR344" i="30290"/>
  <c r="AR345" i="30290" s="1"/>
  <c r="AR347" i="30290"/>
  <c r="AR349" i="30290"/>
  <c r="AW347" i="30300"/>
  <c r="AW349" i="30300"/>
  <c r="AW350" i="30300"/>
  <c r="AW344" i="30300"/>
  <c r="AW345" i="30300" s="1"/>
  <c r="AA347" i="30300"/>
  <c r="AA350" i="30300"/>
  <c r="AA344" i="30300"/>
  <c r="AA345" i="30300" s="1"/>
  <c r="AA349" i="30300"/>
  <c r="AA342" i="30290"/>
  <c r="AA350" i="30290"/>
  <c r="AA349" i="30290"/>
  <c r="AA347" i="30290"/>
  <c r="AA344" i="30290"/>
  <c r="AA345" i="30290" s="1"/>
  <c r="I350" i="30290"/>
  <c r="I344" i="30290"/>
  <c r="I345" i="30290" s="1"/>
  <c r="I349" i="30290"/>
  <c r="I347" i="30290"/>
  <c r="Y349" i="30290"/>
  <c r="Y342" i="30290"/>
  <c r="Y344" i="30290"/>
  <c r="Y345" i="30290" s="1"/>
  <c r="Y350" i="30290"/>
  <c r="Y347" i="30290"/>
  <c r="AS347" i="30300"/>
  <c r="AS344" i="30300"/>
  <c r="AS345" i="30300" s="1"/>
  <c r="AS350" i="30300"/>
  <c r="AS349" i="30300"/>
  <c r="B350" i="30300"/>
  <c r="B347" i="30300"/>
  <c r="B344" i="30300"/>
  <c r="B345" i="30300" s="1"/>
  <c r="B349" i="30300"/>
  <c r="AG349" i="30300"/>
  <c r="AG347" i="30300"/>
  <c r="AG344" i="30300"/>
  <c r="AG345" i="30300" s="1"/>
  <c r="AG350" i="30300"/>
  <c r="AU344" i="30300"/>
  <c r="AU345" i="30300" s="1"/>
  <c r="AU349" i="30300"/>
  <c r="AU347" i="30300"/>
  <c r="AU350" i="30300"/>
  <c r="T350" i="30300"/>
  <c r="T344" i="30300"/>
  <c r="T345" i="30300" s="1"/>
  <c r="T349" i="30300"/>
  <c r="T347" i="30300"/>
  <c r="P349" i="30300"/>
  <c r="P350" i="30300"/>
  <c r="P344" i="30300"/>
  <c r="P345" i="30300" s="1"/>
  <c r="P347" i="30300"/>
  <c r="U344" i="30290"/>
  <c r="U345" i="30290" s="1"/>
  <c r="U342" i="30290"/>
  <c r="U347" i="30290"/>
  <c r="U349" i="30290"/>
  <c r="U350" i="30290"/>
  <c r="AG342" i="30290"/>
  <c r="AG350" i="30290"/>
  <c r="AG344" i="30290"/>
  <c r="AG345" i="30290" s="1"/>
  <c r="AG347" i="30290"/>
  <c r="AG349" i="30290"/>
  <c r="V269" i="30290"/>
  <c r="K350" i="30290"/>
  <c r="K344" i="30290"/>
  <c r="K345" i="30290" s="1"/>
  <c r="K342" i="30290"/>
  <c r="K347" i="30290"/>
  <c r="K349" i="30290"/>
  <c r="AO347" i="30290"/>
  <c r="AO344" i="30290"/>
  <c r="AO345" i="30290" s="1"/>
  <c r="AO350" i="30290"/>
  <c r="AO342" i="30290"/>
  <c r="AO349" i="30290"/>
  <c r="AS344" i="30290"/>
  <c r="AS345" i="30290" s="1"/>
  <c r="AS342" i="30290"/>
  <c r="AS349" i="30290"/>
  <c r="AS347" i="30290"/>
  <c r="AS350" i="30290"/>
  <c r="I13" i="30291"/>
  <c r="B346" i="30290" l="1"/>
  <c r="B351" i="30290" s="1"/>
  <c r="D346" i="30290"/>
  <c r="D351" i="30290" s="1"/>
  <c r="L345" i="30311"/>
  <c r="AK45" i="30308"/>
  <c r="AP345" i="30312"/>
  <c r="AM59" i="30308"/>
  <c r="B345" i="30301"/>
  <c r="AH64" i="30308"/>
  <c r="AM345" i="30301"/>
  <c r="AJ69" i="30308"/>
  <c r="AS345" i="30311"/>
  <c r="AI50" i="30308"/>
  <c r="AI345" i="30311"/>
  <c r="AM48" i="30308"/>
  <c r="U345" i="30298"/>
  <c r="AM76" i="30308"/>
  <c r="D345" i="30311"/>
  <c r="AJ44" i="30308"/>
  <c r="G345" i="30311"/>
  <c r="AM44" i="30308"/>
  <c r="B345" i="30311"/>
  <c r="AH44" i="30308"/>
  <c r="R345" i="30311"/>
  <c r="AJ46" i="30308"/>
  <c r="I345" i="30301"/>
  <c r="AH65" i="30308"/>
  <c r="AU345" i="30301"/>
  <c r="AK70" i="30308"/>
  <c r="P345" i="30311"/>
  <c r="AH46" i="30308"/>
  <c r="C345" i="30311"/>
  <c r="AI44" i="30308"/>
  <c r="AP345" i="30298"/>
  <c r="AM79" i="30308"/>
  <c r="AN345" i="30311"/>
  <c r="AK49" i="30308"/>
  <c r="AI345" i="30312"/>
  <c r="AM58" i="30308"/>
  <c r="T345" i="30311"/>
  <c r="AL46" i="30308"/>
  <c r="L345" i="30301"/>
  <c r="AK65" i="30308"/>
  <c r="Q345" i="30301"/>
  <c r="AI66" i="30308"/>
  <c r="AP345" i="30301"/>
  <c r="AM69" i="30308"/>
  <c r="AN345" i="30301"/>
  <c r="AK69" i="30308"/>
  <c r="AA345" i="30301"/>
  <c r="AL67" i="30308"/>
  <c r="AM345" i="30311"/>
  <c r="AJ49" i="30308"/>
  <c r="D345" i="30312"/>
  <c r="AJ54" i="30308"/>
  <c r="N345" i="30301"/>
  <c r="AM65" i="30308"/>
  <c r="AU345" i="30311"/>
  <c r="AK50" i="30308"/>
  <c r="S345" i="30301"/>
  <c r="AK66" i="30308"/>
  <c r="X345" i="30311"/>
  <c r="AI47" i="30308"/>
  <c r="AA345" i="30311"/>
  <c r="AL47" i="30308"/>
  <c r="AI345" i="30298"/>
  <c r="AM78" i="30308"/>
  <c r="Y345" i="30301"/>
  <c r="AJ67" i="30308"/>
  <c r="M345" i="30301"/>
  <c r="AL65" i="30308"/>
  <c r="U345" i="30311"/>
  <c r="AM46" i="30308"/>
  <c r="C345" i="30298"/>
  <c r="AI74" i="30308"/>
  <c r="K345" i="30301"/>
  <c r="AJ65" i="30308"/>
  <c r="AW345" i="30311"/>
  <c r="AM50" i="30308"/>
  <c r="E345" i="30298"/>
  <c r="AK74" i="30308"/>
  <c r="AP345" i="30311"/>
  <c r="AM49" i="30308"/>
  <c r="W345" i="30301"/>
  <c r="AH67" i="30308"/>
  <c r="E345" i="30311"/>
  <c r="AK44" i="30308"/>
  <c r="D345" i="30301"/>
  <c r="AJ64" i="30308"/>
  <c r="B345" i="30298"/>
  <c r="AH74" i="30308"/>
  <c r="AL345" i="30301"/>
  <c r="AI69" i="30308"/>
  <c r="AG345" i="30311"/>
  <c r="AK48" i="30308"/>
  <c r="G345" i="30312"/>
  <c r="AM54" i="30308"/>
  <c r="N345" i="30298"/>
  <c r="AM75" i="30308"/>
  <c r="T345" i="30301"/>
  <c r="AL66" i="30308"/>
  <c r="AL345" i="30311"/>
  <c r="AI49" i="30308"/>
  <c r="R345" i="30301"/>
  <c r="AJ66" i="30308"/>
  <c r="D345" i="30298"/>
  <c r="AJ74" i="30308"/>
  <c r="AV345" i="30301"/>
  <c r="AL70" i="30308"/>
  <c r="AE345" i="30301"/>
  <c r="AI68" i="30308"/>
  <c r="AW345" i="30312"/>
  <c r="AM60" i="30308"/>
  <c r="M345" i="30311"/>
  <c r="AL45" i="30308"/>
  <c r="AV345" i="30311"/>
  <c r="AL50" i="30308"/>
  <c r="AK345" i="30311"/>
  <c r="AH49" i="30308"/>
  <c r="J345" i="30301"/>
  <c r="AI65" i="30308"/>
  <c r="AH345" i="30301"/>
  <c r="AL68" i="30308"/>
  <c r="Z345" i="30301"/>
  <c r="AK67" i="30308"/>
  <c r="AD345" i="30311"/>
  <c r="AH48" i="30308"/>
  <c r="G345" i="30298"/>
  <c r="AM74" i="30308"/>
  <c r="AS345" i="30301"/>
  <c r="AI70" i="30308"/>
  <c r="F345" i="30301"/>
  <c r="AL64" i="30308"/>
  <c r="AE345" i="30311"/>
  <c r="AI48" i="30308"/>
  <c r="AB345" i="30311"/>
  <c r="AM47" i="30308"/>
  <c r="Z345" i="30311"/>
  <c r="AK47" i="30308"/>
  <c r="AW345" i="30301"/>
  <c r="AM70" i="30308"/>
  <c r="N345" i="30311"/>
  <c r="AM45" i="30308"/>
  <c r="F345" i="30311"/>
  <c r="AL44" i="30308"/>
  <c r="AR345" i="30311"/>
  <c r="AH50" i="30308"/>
  <c r="AK345" i="30301"/>
  <c r="AH69" i="30308"/>
  <c r="S345" i="30311"/>
  <c r="AK46" i="30308"/>
  <c r="AF345" i="30311"/>
  <c r="AJ48" i="30308"/>
  <c r="N345" i="30312"/>
  <c r="AM55" i="30308"/>
  <c r="P345" i="30301"/>
  <c r="AH66" i="30308"/>
  <c r="C345" i="30312"/>
  <c r="AI54" i="30308"/>
  <c r="E345" i="30301"/>
  <c r="AK64" i="30308"/>
  <c r="AB345" i="30298"/>
  <c r="AM77" i="30308"/>
  <c r="F345" i="30298"/>
  <c r="AL74" i="30308"/>
  <c r="X345" i="30301"/>
  <c r="AI67" i="30308"/>
  <c r="AB345" i="30312"/>
  <c r="AM57" i="30308"/>
  <c r="K345" i="30311"/>
  <c r="AJ45" i="30308"/>
  <c r="C345" i="30301"/>
  <c r="AI64" i="30308"/>
  <c r="I345" i="30311"/>
  <c r="AH45" i="30308"/>
  <c r="W345" i="30311"/>
  <c r="AH47" i="30308"/>
  <c r="AH345" i="30311"/>
  <c r="AL48" i="30308"/>
  <c r="AD345" i="30301"/>
  <c r="AH68" i="30308"/>
  <c r="AI345" i="30301"/>
  <c r="AM68" i="30308"/>
  <c r="AO345" i="30301"/>
  <c r="AL69" i="30308"/>
  <c r="AW345" i="30298"/>
  <c r="AM80" i="30308"/>
  <c r="AF345" i="30301"/>
  <c r="AJ68" i="30308"/>
  <c r="F345" i="30312"/>
  <c r="AL54" i="30308"/>
  <c r="AT345" i="30301"/>
  <c r="AJ70" i="30308"/>
  <c r="AR345" i="30301"/>
  <c r="AH70" i="30308"/>
  <c r="Q345" i="30311"/>
  <c r="AI46" i="30308"/>
  <c r="AG345" i="30301"/>
  <c r="AK68" i="30308"/>
  <c r="J345" i="30311"/>
  <c r="AI45" i="30308"/>
  <c r="U345" i="30301"/>
  <c r="AM66" i="30308"/>
  <c r="E345" i="30312"/>
  <c r="AK54" i="30308"/>
  <c r="G345" i="30301"/>
  <c r="AM64" i="30308"/>
  <c r="U345" i="30312"/>
  <c r="AM56" i="30308"/>
  <c r="AB345" i="30301"/>
  <c r="AM67" i="30308"/>
  <c r="Y345" i="30311"/>
  <c r="AJ47" i="30308"/>
  <c r="AT345" i="30311"/>
  <c r="AJ50" i="30308"/>
  <c r="AO345" i="30311"/>
  <c r="AL49" i="30308"/>
  <c r="B345" i="30312"/>
  <c r="AH54" i="30308"/>
  <c r="AF256" i="30298"/>
  <c r="AF257" i="30298" s="1"/>
  <c r="AF312" i="30298" s="1"/>
  <c r="AF302" i="30298"/>
  <c r="M8" i="30298"/>
  <c r="M242" i="30298" s="1"/>
  <c r="R338" i="30298"/>
  <c r="AK1" i="30298"/>
  <c r="R301" i="30298"/>
  <c r="AV8" i="30298"/>
  <c r="AV330" i="30298" s="1"/>
  <c r="AG307" i="30298"/>
  <c r="R237" i="30298"/>
  <c r="AF337" i="30298"/>
  <c r="AF329" i="30298"/>
  <c r="AG249" i="30298"/>
  <c r="AF239" i="30298"/>
  <c r="AG332" i="30298"/>
  <c r="AF304" i="30298"/>
  <c r="AF305" i="30298" s="1"/>
  <c r="AG247" i="30298"/>
  <c r="AF253" i="30298"/>
  <c r="AF317" i="30298" s="1"/>
  <c r="AF335" i="30298"/>
  <c r="AG256" i="30298"/>
  <c r="AG257" i="30298" s="1"/>
  <c r="AG312" i="30298" s="1"/>
  <c r="AF322" i="30298"/>
  <c r="AF336" i="30298"/>
  <c r="AG239" i="30298"/>
  <c r="AF246" i="30298"/>
  <c r="AF293" i="30298" s="1"/>
  <c r="AF240" i="30298"/>
  <c r="AG304" i="30298"/>
  <c r="AG305" i="30298" s="1"/>
  <c r="AF250" i="30298"/>
  <c r="AF251" i="30298" s="1"/>
  <c r="AF301" i="30298"/>
  <c r="AG333" i="30298"/>
  <c r="R335" i="30298"/>
  <c r="AF310" i="30298"/>
  <c r="AF325" i="30298"/>
  <c r="AU8" i="30298"/>
  <c r="AU248" i="30298" s="1"/>
  <c r="AG254" i="30298"/>
  <c r="AF340" i="30298"/>
  <c r="AG323" i="30298"/>
  <c r="AF330" i="30298"/>
  <c r="AA333" i="30298"/>
  <c r="AG246" i="30298"/>
  <c r="AG283" i="30298" s="1"/>
  <c r="AG314" i="30298"/>
  <c r="P249" i="30312"/>
  <c r="P302" i="30312"/>
  <c r="Q339" i="30312"/>
  <c r="Q321" i="30312"/>
  <c r="Q336" i="30312"/>
  <c r="Q244" i="30312"/>
  <c r="Q246" i="30312"/>
  <c r="Q299" i="30312" s="1"/>
  <c r="Q322" i="30312"/>
  <c r="Q253" i="30312"/>
  <c r="Q317" i="30312" s="1"/>
  <c r="Q302" i="30312"/>
  <c r="Q239" i="30312"/>
  <c r="Q340" i="30312"/>
  <c r="P256" i="30312"/>
  <c r="P257" i="30312" s="1"/>
  <c r="P312" i="30312" s="1"/>
  <c r="X8" i="30312"/>
  <c r="X329" i="30312" s="1"/>
  <c r="Q310" i="30312"/>
  <c r="Q241" i="30312"/>
  <c r="P339" i="30312"/>
  <c r="P240" i="30312"/>
  <c r="P307" i="30312"/>
  <c r="Q256" i="30312"/>
  <c r="Q257" i="30312" s="1"/>
  <c r="Q312" i="30312" s="1"/>
  <c r="P329" i="30312"/>
  <c r="P241" i="30312"/>
  <c r="AT239" i="30312"/>
  <c r="AT244" i="30312"/>
  <c r="AT328" i="30312"/>
  <c r="AT301" i="30312"/>
  <c r="AT310" i="30312"/>
  <c r="AT333" i="30312"/>
  <c r="AT321" i="30312"/>
  <c r="AT302" i="30312"/>
  <c r="AT320" i="30312"/>
  <c r="AT250" i="30312"/>
  <c r="AT251" i="30312" s="1"/>
  <c r="AT255" i="30312"/>
  <c r="AT246" i="30312"/>
  <c r="AT293" i="30312" s="1"/>
  <c r="Q238" i="30312"/>
  <c r="P315" i="30312"/>
  <c r="P323" i="30312"/>
  <c r="Q242" i="30312"/>
  <c r="Q308" i="30312"/>
  <c r="P259" i="30312"/>
  <c r="P260" i="30312" s="1"/>
  <c r="AN244" i="30312"/>
  <c r="Q330" i="30312"/>
  <c r="Q250" i="30312"/>
  <c r="Q251" i="30312" s="1"/>
  <c r="P335" i="30312"/>
  <c r="AN255" i="30312"/>
  <c r="Q331" i="30312"/>
  <c r="Q307" i="30312"/>
  <c r="AK8" i="30312"/>
  <c r="AK301" i="30312" s="1"/>
  <c r="P314" i="30312"/>
  <c r="AN319" i="30312"/>
  <c r="Q328" i="30312"/>
  <c r="Q243" i="30312"/>
  <c r="P336" i="30312"/>
  <c r="P248" i="30312"/>
  <c r="AT306" i="30312"/>
  <c r="Q332" i="30312"/>
  <c r="AL8" i="30312"/>
  <c r="AL301" i="30312" s="1"/>
  <c r="AH339" i="30312"/>
  <c r="AH304" i="30312"/>
  <c r="AH305" i="30312" s="1"/>
  <c r="AH255" i="30312"/>
  <c r="AH338" i="30312"/>
  <c r="AH321" i="30312"/>
  <c r="S333" i="30312"/>
  <c r="S307" i="30312"/>
  <c r="S322" i="30312"/>
  <c r="S332" i="30312"/>
  <c r="Z321" i="30312"/>
  <c r="Z335" i="30312"/>
  <c r="Z315" i="30312"/>
  <c r="Z253" i="30312"/>
  <c r="Z317" i="30312" s="1"/>
  <c r="AD243" i="30312"/>
  <c r="AD340" i="30312"/>
  <c r="AD259" i="30312"/>
  <c r="AD260" i="30312" s="1"/>
  <c r="AD306" i="30312"/>
  <c r="AD303" i="30312"/>
  <c r="AD334" i="30312"/>
  <c r="AD249" i="30312"/>
  <c r="AD320" i="30312"/>
  <c r="AD237" i="30312"/>
  <c r="AT338" i="30312"/>
  <c r="AT308" i="30312"/>
  <c r="Z259" i="30312"/>
  <c r="Z260" i="30312" s="1"/>
  <c r="AA247" i="30298"/>
  <c r="Q335" i="30312"/>
  <c r="Q316" i="30312"/>
  <c r="Q338" i="30312"/>
  <c r="I8" i="30298"/>
  <c r="I323" i="30298" s="1"/>
  <c r="AG253" i="30298"/>
  <c r="AG317" i="30298" s="1"/>
  <c r="AG331" i="30298"/>
  <c r="AT241" i="30312"/>
  <c r="AT259" i="30312"/>
  <c r="AT260" i="30312" s="1"/>
  <c r="Z304" i="30312"/>
  <c r="Z305" i="30312" s="1"/>
  <c r="R8" i="30312"/>
  <c r="R250" i="30312" s="1"/>
  <c r="AA250" i="30298"/>
  <c r="AA269" i="30298" s="1"/>
  <c r="AT330" i="30312"/>
  <c r="AT307" i="30312"/>
  <c r="R238" i="30298"/>
  <c r="Z303" i="30312"/>
  <c r="AA253" i="30298"/>
  <c r="AA300" i="30298" s="1"/>
  <c r="Q237" i="30312"/>
  <c r="Q306" i="30312"/>
  <c r="Q301" i="30312"/>
  <c r="P304" i="30312"/>
  <c r="P305" i="30312" s="1"/>
  <c r="P301" i="30312"/>
  <c r="AG337" i="30298"/>
  <c r="AG329" i="30298"/>
  <c r="AT253" i="30312"/>
  <c r="AT317" i="30312" s="1"/>
  <c r="AT315" i="30312"/>
  <c r="Z324" i="30312"/>
  <c r="Q255" i="30312"/>
  <c r="Q248" i="30312"/>
  <c r="Q303" i="30312"/>
  <c r="S320" i="30312"/>
  <c r="P325" i="30312"/>
  <c r="P316" i="30312"/>
  <c r="P353" i="30312" s="1"/>
  <c r="B56" i="30308" s="1"/>
  <c r="AL8" i="30298"/>
  <c r="AL322" i="30298" s="1"/>
  <c r="AG330" i="30298"/>
  <c r="AT249" i="30312"/>
  <c r="AT339" i="30312"/>
  <c r="AT323" i="30312"/>
  <c r="Q245" i="30312"/>
  <c r="AG325" i="30298"/>
  <c r="Y8" i="30298"/>
  <c r="Y332" i="30298" s="1"/>
  <c r="AE8" i="30298"/>
  <c r="AE316" i="30298" s="1"/>
  <c r="S336" i="30312"/>
  <c r="AT242" i="30312"/>
  <c r="AT319" i="30312"/>
  <c r="AS8" i="30298"/>
  <c r="AS338" i="30298" s="1"/>
  <c r="Q240" i="30312"/>
  <c r="Q333" i="30312"/>
  <c r="Q323" i="30312"/>
  <c r="Q259" i="30312"/>
  <c r="Q260" i="30312" s="1"/>
  <c r="P328" i="30312"/>
  <c r="P245" i="30312"/>
  <c r="AG245" i="30298"/>
  <c r="AT324" i="30312"/>
  <c r="AF328" i="30298"/>
  <c r="AF306" i="30298"/>
  <c r="Q254" i="30312"/>
  <c r="Q325" i="30312"/>
  <c r="P238" i="30312"/>
  <c r="AG336" i="30298"/>
  <c r="AG320" i="30298"/>
  <c r="AH259" i="30312"/>
  <c r="AH260" i="30312" s="1"/>
  <c r="T8" i="30312"/>
  <c r="T324" i="30312" s="1"/>
  <c r="AD310" i="30312"/>
  <c r="AA1" i="30298"/>
  <c r="R306" i="30298"/>
  <c r="R259" i="30298"/>
  <c r="R260" i="30298" s="1"/>
  <c r="R244" i="30298"/>
  <c r="R322" i="30298"/>
  <c r="R314" i="30298"/>
  <c r="R323" i="30298"/>
  <c r="R308" i="30298"/>
  <c r="R320" i="30298"/>
  <c r="R315" i="30298"/>
  <c r="K1" i="30312"/>
  <c r="R1" i="30312"/>
  <c r="K8" i="30312"/>
  <c r="K308" i="30312" s="1"/>
  <c r="AO1" i="30298"/>
  <c r="AV1" i="30298"/>
  <c r="AF8" i="30312"/>
  <c r="AF237" i="30312" s="1"/>
  <c r="AO8" i="30298"/>
  <c r="AO329" i="30298" s="1"/>
  <c r="AT237" i="30312"/>
  <c r="R256" i="30298"/>
  <c r="R257" i="30298" s="1"/>
  <c r="R307" i="30298"/>
  <c r="R302" i="30298"/>
  <c r="R331" i="30298"/>
  <c r="I343" i="30311"/>
  <c r="I267" i="30311"/>
  <c r="AT8" i="30298"/>
  <c r="AT316" i="30298" s="1"/>
  <c r="W343" i="30311"/>
  <c r="W267" i="30311"/>
  <c r="AT332" i="30312"/>
  <c r="AT325" i="30312"/>
  <c r="AG343" i="30301"/>
  <c r="AG267" i="30301"/>
  <c r="R337" i="30298"/>
  <c r="R248" i="30298"/>
  <c r="R336" i="30298"/>
  <c r="Z249" i="30312"/>
  <c r="AA339" i="30298"/>
  <c r="R245" i="30298"/>
  <c r="R241" i="30298"/>
  <c r="R339" i="30298"/>
  <c r="AW267" i="30311"/>
  <c r="AW343" i="30311"/>
  <c r="AH8" i="30298"/>
  <c r="AH241" i="30298" s="1"/>
  <c r="AG2" i="30312"/>
  <c r="Z240" i="30312"/>
  <c r="Z243" i="30312"/>
  <c r="Z250" i="30312"/>
  <c r="AA301" i="30298"/>
  <c r="L343" i="30311"/>
  <c r="L267" i="30311"/>
  <c r="AT314" i="30312"/>
  <c r="AT240" i="30312"/>
  <c r="AT336" i="30312"/>
  <c r="C346" i="30298"/>
  <c r="C351" i="30298" s="1"/>
  <c r="C343" i="30298"/>
  <c r="C267" i="30298"/>
  <c r="K267" i="30301"/>
  <c r="K343" i="30301"/>
  <c r="R316" i="30298"/>
  <c r="R329" i="30298"/>
  <c r="R303" i="30298"/>
  <c r="Z254" i="30312"/>
  <c r="Z333" i="30312"/>
  <c r="AO8" i="30312"/>
  <c r="AO340" i="30312" s="1"/>
  <c r="AV1" i="30312"/>
  <c r="AD2" i="30298"/>
  <c r="W301" i="30298"/>
  <c r="W245" i="30298"/>
  <c r="W248" i="30298"/>
  <c r="W242" i="30298"/>
  <c r="W340" i="30298"/>
  <c r="W241" i="30298"/>
  <c r="W246" i="30298"/>
  <c r="W330" i="30298"/>
  <c r="W244" i="30298"/>
  <c r="W237" i="30298"/>
  <c r="W254" i="30298"/>
  <c r="W308" i="30298"/>
  <c r="W323" i="30298"/>
  <c r="W315" i="30298"/>
  <c r="W306" i="30298"/>
  <c r="W337" i="30298"/>
  <c r="W247" i="30298"/>
  <c r="W240" i="30298"/>
  <c r="W324" i="30298"/>
  <c r="W314" i="30298"/>
  <c r="W304" i="30298"/>
  <c r="W305" i="30298" s="1"/>
  <c r="W307" i="30298"/>
  <c r="AP343" i="30301"/>
  <c r="AP267" i="30301"/>
  <c r="AM1" i="30312"/>
  <c r="AH343" i="30301"/>
  <c r="AH267" i="30301"/>
  <c r="AT329" i="30312"/>
  <c r="AT254" i="30312"/>
  <c r="AT334" i="30312"/>
  <c r="AT243" i="30312"/>
  <c r="AT238" i="30312"/>
  <c r="AT337" i="30312"/>
  <c r="AT316" i="30312"/>
  <c r="AT247" i="30312"/>
  <c r="AT248" i="30312"/>
  <c r="AT331" i="30312"/>
  <c r="AT245" i="30312"/>
  <c r="R325" i="30298"/>
  <c r="R321" i="30298"/>
  <c r="R242" i="30298"/>
  <c r="AA329" i="30298"/>
  <c r="AA302" i="30298"/>
  <c r="AA324" i="30298"/>
  <c r="AA259" i="30298"/>
  <c r="AA260" i="30298" s="1"/>
  <c r="AA246" i="30298"/>
  <c r="AA335" i="30298"/>
  <c r="AA314" i="30298"/>
  <c r="AA331" i="30298"/>
  <c r="AA242" i="30298"/>
  <c r="AA323" i="30298"/>
  <c r="AA322" i="30298"/>
  <c r="Q343" i="30311"/>
  <c r="Q267" i="30311"/>
  <c r="AN343" i="30301"/>
  <c r="AN267" i="30301"/>
  <c r="C343" i="30301"/>
  <c r="C346" i="30301"/>
  <c r="C351" i="30301" s="1"/>
  <c r="C267" i="30301"/>
  <c r="R240" i="30298"/>
  <c r="R255" i="30298"/>
  <c r="R254" i="30298"/>
  <c r="AA248" i="30298"/>
  <c r="AT322" i="30312"/>
  <c r="AT256" i="30312"/>
  <c r="AT257" i="30312" s="1"/>
  <c r="AT335" i="30312"/>
  <c r="R330" i="30298"/>
  <c r="R333" i="30298"/>
  <c r="R332" i="30298"/>
  <c r="R324" i="30298"/>
  <c r="Z319" i="30312"/>
  <c r="AA267" i="30311"/>
  <c r="AA343" i="30311"/>
  <c r="AT303" i="30312"/>
  <c r="AT340" i="30312"/>
  <c r="AT304" i="30312"/>
  <c r="AT305" i="30312" s="1"/>
  <c r="R328" i="30298"/>
  <c r="R239" i="30298"/>
  <c r="R304" i="30298"/>
  <c r="R305" i="30298" s="1"/>
  <c r="R340" i="30298"/>
  <c r="N343" i="30312"/>
  <c r="N267" i="30312"/>
  <c r="Z301" i="30312"/>
  <c r="AA321" i="30298"/>
  <c r="AS343" i="30301"/>
  <c r="AS267" i="30301"/>
  <c r="R334" i="30298"/>
  <c r="R310" i="30298"/>
  <c r="R253" i="30298"/>
  <c r="R243" i="30298"/>
  <c r="Z338" i="30312"/>
  <c r="AA254" i="30298"/>
  <c r="AN331" i="30312"/>
  <c r="AN246" i="30312"/>
  <c r="AN316" i="30312"/>
  <c r="AN336" i="30312"/>
  <c r="T8" i="30298"/>
  <c r="T338" i="30298" s="1"/>
  <c r="R246" i="30298"/>
  <c r="R249" i="30298"/>
  <c r="R250" i="30298"/>
  <c r="R247" i="30298"/>
  <c r="S1" i="30312"/>
  <c r="L1" i="30312"/>
  <c r="L8" i="30312"/>
  <c r="L335" i="30312" s="1"/>
  <c r="B346" i="30301"/>
  <c r="B351" i="30301" s="1"/>
  <c r="B267" i="30301"/>
  <c r="B343" i="30301"/>
  <c r="J343" i="30311"/>
  <c r="J267" i="30311"/>
  <c r="Z248" i="30312"/>
  <c r="Z320" i="30312"/>
  <c r="Z241" i="30312"/>
  <c r="Z242" i="30312"/>
  <c r="AA319" i="30298"/>
  <c r="AA328" i="30298"/>
  <c r="AA320" i="30298"/>
  <c r="AA241" i="30298"/>
  <c r="AF319" i="30298"/>
  <c r="AF307" i="30298"/>
  <c r="AF315" i="30298"/>
  <c r="AF245" i="30298"/>
  <c r="AN315" i="30312"/>
  <c r="AN321" i="30312"/>
  <c r="AN333" i="30312"/>
  <c r="AN338" i="30312"/>
  <c r="AF1" i="30312"/>
  <c r="E343" i="30312"/>
  <c r="E346" i="30312"/>
  <c r="E351" i="30312" s="1"/>
  <c r="E267" i="30312"/>
  <c r="Q337" i="30312"/>
  <c r="S254" i="30312"/>
  <c r="S248" i="30312"/>
  <c r="S324" i="30312"/>
  <c r="S243" i="30312"/>
  <c r="W331" i="30298"/>
  <c r="W329" i="30298"/>
  <c r="W328" i="30298"/>
  <c r="AL343" i="30311"/>
  <c r="AL267" i="30311"/>
  <c r="AF343" i="30311"/>
  <c r="AF267" i="30311"/>
  <c r="Z323" i="30312"/>
  <c r="Z302" i="30312"/>
  <c r="Z330" i="30312"/>
  <c r="AM267" i="30301"/>
  <c r="AM343" i="30301"/>
  <c r="AA337" i="30298"/>
  <c r="AA316" i="30298"/>
  <c r="AB353" i="30298" s="1"/>
  <c r="G77" i="30308" s="1"/>
  <c r="AA334" i="30298"/>
  <c r="AA330" i="30298"/>
  <c r="AF238" i="30298"/>
  <c r="AF237" i="30298"/>
  <c r="AN340" i="30312"/>
  <c r="AN237" i="30312"/>
  <c r="AN249" i="30312"/>
  <c r="AN250" i="30312"/>
  <c r="C346" i="30312"/>
  <c r="C351" i="30312" s="1"/>
  <c r="C343" i="30312"/>
  <c r="C267" i="30312"/>
  <c r="S247" i="30312"/>
  <c r="S306" i="30312"/>
  <c r="S325" i="30312"/>
  <c r="D343" i="30301"/>
  <c r="D346" i="30301"/>
  <c r="D351" i="30301" s="1"/>
  <c r="D267" i="30301"/>
  <c r="AE1" i="30298"/>
  <c r="G267" i="30298"/>
  <c r="G346" i="30298"/>
  <c r="G351" i="30298" s="1"/>
  <c r="G343" i="30298"/>
  <c r="Z343" i="30301"/>
  <c r="Z267" i="30301"/>
  <c r="K267" i="30311"/>
  <c r="K343" i="30311"/>
  <c r="Z325" i="30312"/>
  <c r="Z334" i="30312"/>
  <c r="Z316" i="30312"/>
  <c r="Z339" i="30312"/>
  <c r="AA237" i="30298"/>
  <c r="AA249" i="30298"/>
  <c r="AA332" i="30298"/>
  <c r="AF303" i="30298"/>
  <c r="AF259" i="30298"/>
  <c r="AF260" i="30298" s="1"/>
  <c r="AF247" i="30298"/>
  <c r="AF242" i="30298"/>
  <c r="AN259" i="30312"/>
  <c r="AN260" i="30312" s="1"/>
  <c r="AN256" i="30312"/>
  <c r="AN257" i="30312" s="1"/>
  <c r="AN254" i="30312"/>
  <c r="AN304" i="30312"/>
  <c r="AN305" i="30312" s="1"/>
  <c r="AN240" i="30312"/>
  <c r="E343" i="30301"/>
  <c r="E346" i="30301"/>
  <c r="E351" i="30301" s="1"/>
  <c r="E267" i="30301"/>
  <c r="Q315" i="30312"/>
  <c r="Q314" i="30312"/>
  <c r="Q304" i="30312"/>
  <c r="Q305" i="30312" s="1"/>
  <c r="S250" i="30312"/>
  <c r="S334" i="30312"/>
  <c r="S255" i="30312"/>
  <c r="S331" i="30312"/>
  <c r="AS267" i="30311"/>
  <c r="AS343" i="30311"/>
  <c r="W303" i="30298"/>
  <c r="W256" i="30298"/>
  <c r="W257" i="30298" s="1"/>
  <c r="W320" i="30298"/>
  <c r="AR1" i="30312"/>
  <c r="X8" i="30298"/>
  <c r="X316" i="30298" s="1"/>
  <c r="Z247" i="30312"/>
  <c r="Z256" i="30312"/>
  <c r="Z257" i="30312" s="1"/>
  <c r="Z340" i="30312"/>
  <c r="Z237" i="30312"/>
  <c r="AA306" i="30298"/>
  <c r="AA336" i="30298"/>
  <c r="AA243" i="30298"/>
  <c r="AA308" i="30298"/>
  <c r="AF249" i="30298"/>
  <c r="AF334" i="30298"/>
  <c r="AF243" i="30298"/>
  <c r="AR8" i="30298"/>
  <c r="AR230" i="30298" s="1"/>
  <c r="AN324" i="30312"/>
  <c r="AN310" i="30312"/>
  <c r="AN330" i="30312"/>
  <c r="AN339" i="30312"/>
  <c r="N267" i="30298"/>
  <c r="N343" i="30298"/>
  <c r="G346" i="30301"/>
  <c r="G351" i="30301" s="1"/>
  <c r="G267" i="30301"/>
  <c r="G343" i="30301"/>
  <c r="Q319" i="30312"/>
  <c r="Q324" i="30312"/>
  <c r="Q334" i="30312"/>
  <c r="Q329" i="30312"/>
  <c r="X1" i="30312"/>
  <c r="Q230" i="30312"/>
  <c r="I1" i="30298"/>
  <c r="P1" i="30298"/>
  <c r="S314" i="30312"/>
  <c r="S242" i="30312"/>
  <c r="S239" i="30312"/>
  <c r="S308" i="30312"/>
  <c r="W250" i="30298"/>
  <c r="W259" i="30298"/>
  <c r="W260" i="30298" s="1"/>
  <c r="Z246" i="30312"/>
  <c r="Z329" i="30312"/>
  <c r="Z336" i="30312"/>
  <c r="Z245" i="30312"/>
  <c r="Z244" i="30312"/>
  <c r="F343" i="30301"/>
  <c r="F346" i="30301"/>
  <c r="F351" i="30301" s="1"/>
  <c r="F267" i="30301"/>
  <c r="AA304" i="30298"/>
  <c r="AA305" i="30298" s="1"/>
  <c r="AA325" i="30298"/>
  <c r="U343" i="30301"/>
  <c r="U267" i="30301"/>
  <c r="W343" i="30301"/>
  <c r="W267" i="30301"/>
  <c r="AF254" i="30298"/>
  <c r="AF244" i="30298"/>
  <c r="AN334" i="30312"/>
  <c r="AN335" i="30312"/>
  <c r="AN323" i="30312"/>
  <c r="AN239" i="30312"/>
  <c r="AN325" i="30312"/>
  <c r="S253" i="30312"/>
  <c r="S329" i="30312"/>
  <c r="S240" i="30312"/>
  <c r="S316" i="30312"/>
  <c r="S245" i="30312"/>
  <c r="R267" i="30311"/>
  <c r="R343" i="30311"/>
  <c r="N267" i="30301"/>
  <c r="N343" i="30301"/>
  <c r="AL343" i="30301"/>
  <c r="AL267" i="30301"/>
  <c r="Z238" i="30312"/>
  <c r="AF255" i="30298"/>
  <c r="AF332" i="30298"/>
  <c r="AF323" i="30298"/>
  <c r="AN242" i="30312"/>
  <c r="AN328" i="30312"/>
  <c r="AN245" i="30312"/>
  <c r="AN238" i="30312"/>
  <c r="S310" i="30312"/>
  <c r="S339" i="30312"/>
  <c r="S301" i="30312"/>
  <c r="S328" i="30312"/>
  <c r="AN230" i="30312"/>
  <c r="AU1" i="30312"/>
  <c r="E343" i="30311"/>
  <c r="E267" i="30311"/>
  <c r="E346" i="30311"/>
  <c r="E351" i="30311" s="1"/>
  <c r="S338" i="30312"/>
  <c r="S302" i="30312"/>
  <c r="S303" i="30312"/>
  <c r="S246" i="30312"/>
  <c r="AM8" i="30312"/>
  <c r="AM241" i="30312" s="1"/>
  <c r="AT1" i="30312"/>
  <c r="AM343" i="30311"/>
  <c r="AM267" i="30311"/>
  <c r="Z2" i="30312"/>
  <c r="T343" i="30301"/>
  <c r="T267" i="30301"/>
  <c r="D343" i="30312"/>
  <c r="D346" i="30312"/>
  <c r="D351" i="30312" s="1"/>
  <c r="D267" i="30312"/>
  <c r="Z1" i="30312"/>
  <c r="AG1" i="30312"/>
  <c r="Z230" i="30312"/>
  <c r="AA230" i="30298"/>
  <c r="AH1" i="30298"/>
  <c r="AN243" i="30312"/>
  <c r="AN307" i="30312"/>
  <c r="AN329" i="30312"/>
  <c r="AN247" i="30312"/>
  <c r="AN343" i="30311"/>
  <c r="AN267" i="30311"/>
  <c r="AA343" i="30301"/>
  <c r="AA267" i="30301"/>
  <c r="S335" i="30312"/>
  <c r="S319" i="30312"/>
  <c r="S259" i="30312"/>
  <c r="S260" i="30312" s="1"/>
  <c r="S241" i="30312"/>
  <c r="S230" i="30312"/>
  <c r="AL1" i="30312"/>
  <c r="AE8" i="30312"/>
  <c r="AE248" i="30312" s="1"/>
  <c r="Z308" i="30312"/>
  <c r="Z332" i="30312"/>
  <c r="Z310" i="30312"/>
  <c r="Z337" i="30312"/>
  <c r="AA307" i="30298"/>
  <c r="AA340" i="30298"/>
  <c r="AA315" i="30298"/>
  <c r="AA255" i="30298"/>
  <c r="U343" i="30311"/>
  <c r="U267" i="30311"/>
  <c r="AF331" i="30298"/>
  <c r="AF316" i="30298"/>
  <c r="AF320" i="30298"/>
  <c r="AF248" i="30298"/>
  <c r="AM1" i="30298"/>
  <c r="AF230" i="30298"/>
  <c r="AN302" i="30312"/>
  <c r="AN322" i="30312"/>
  <c r="AN241" i="30312"/>
  <c r="AN320" i="30312"/>
  <c r="AE343" i="30311"/>
  <c r="AE267" i="30311"/>
  <c r="S238" i="30312"/>
  <c r="S249" i="30312"/>
  <c r="S244" i="30312"/>
  <c r="S323" i="30312"/>
  <c r="U267" i="30312"/>
  <c r="U343" i="30312"/>
  <c r="AV8" i="30312"/>
  <c r="AV238" i="30312" s="1"/>
  <c r="AP343" i="30312"/>
  <c r="AP267" i="30312"/>
  <c r="E346" i="30298"/>
  <c r="E351" i="30298" s="1"/>
  <c r="E343" i="30298"/>
  <c r="E267" i="30298"/>
  <c r="AP343" i="30311"/>
  <c r="AP267" i="30311"/>
  <c r="Z306" i="30312"/>
  <c r="Z239" i="30312"/>
  <c r="Z255" i="30312"/>
  <c r="Z331" i="30312"/>
  <c r="Y1" i="30312"/>
  <c r="AA303" i="30298"/>
  <c r="AA244" i="30298"/>
  <c r="AA240" i="30298"/>
  <c r="AA338" i="30298"/>
  <c r="P343" i="30301"/>
  <c r="P267" i="30301"/>
  <c r="AF333" i="30298"/>
  <c r="AF308" i="30298"/>
  <c r="AF339" i="30298"/>
  <c r="AF338" i="30298"/>
  <c r="AN248" i="30312"/>
  <c r="AN253" i="30312"/>
  <c r="AN301" i="30312"/>
  <c r="AN303" i="30312"/>
  <c r="AS1" i="30298"/>
  <c r="S337" i="30312"/>
  <c r="S315" i="30312"/>
  <c r="S237" i="30312"/>
  <c r="S330" i="30312"/>
  <c r="AI343" i="30298"/>
  <c r="AI267" i="30298"/>
  <c r="W1" i="30298"/>
  <c r="W230" i="30298"/>
  <c r="W243" i="30298"/>
  <c r="W321" i="30298"/>
  <c r="W255" i="30298"/>
  <c r="W319" i="30298"/>
  <c r="W238" i="30298"/>
  <c r="W335" i="30298"/>
  <c r="W249" i="30298"/>
  <c r="W325" i="30298"/>
  <c r="W239" i="30298"/>
  <c r="W333" i="30298"/>
  <c r="W332" i="30298"/>
  <c r="W339" i="30298"/>
  <c r="W253" i="30298"/>
  <c r="W316" i="30298"/>
  <c r="W353" i="30298" s="1"/>
  <c r="B77" i="30308" s="1"/>
  <c r="W302" i="30298"/>
  <c r="W310" i="30298"/>
  <c r="W322" i="30298"/>
  <c r="W334" i="30298"/>
  <c r="AH267" i="30311"/>
  <c r="AH343" i="30311"/>
  <c r="P336" i="30298"/>
  <c r="W2" i="30298"/>
  <c r="P315" i="30298"/>
  <c r="P325" i="30298"/>
  <c r="P249" i="30298"/>
  <c r="P314" i="30298"/>
  <c r="P319" i="30298"/>
  <c r="P238" i="30298"/>
  <c r="P340" i="30298"/>
  <c r="P335" i="30298"/>
  <c r="P329" i="30298"/>
  <c r="P308" i="30298"/>
  <c r="P240" i="30298"/>
  <c r="P250" i="30298"/>
  <c r="P321" i="30298"/>
  <c r="P337" i="30298"/>
  <c r="P302" i="30298"/>
  <c r="P259" i="30298"/>
  <c r="P260" i="30298" s="1"/>
  <c r="P338" i="30298"/>
  <c r="P330" i="30298"/>
  <c r="P306" i="30298"/>
  <c r="P254" i="30298"/>
  <c r="AK309" i="30298"/>
  <c r="B343" i="30311"/>
  <c r="B346" i="30311"/>
  <c r="B351" i="30311" s="1"/>
  <c r="B267" i="30311"/>
  <c r="AT230" i="30312"/>
  <c r="AD343" i="30311"/>
  <c r="AD267" i="30311"/>
  <c r="R230" i="30298"/>
  <c r="Y1" i="30298"/>
  <c r="Z307" i="30312"/>
  <c r="Z322" i="30312"/>
  <c r="Z328" i="30312"/>
  <c r="Z314" i="30312"/>
  <c r="AA256" i="30298"/>
  <c r="AA257" i="30298" s="1"/>
  <c r="AA310" i="30298"/>
  <c r="AA239" i="30298"/>
  <c r="AA238" i="30298"/>
  <c r="AF324" i="30298"/>
  <c r="AF321" i="30298"/>
  <c r="AF241" i="30298"/>
  <c r="AF314" i="30298"/>
  <c r="AN306" i="30312"/>
  <c r="AN314" i="30312"/>
  <c r="AN308" i="30312"/>
  <c r="AN337" i="30312"/>
  <c r="Y8" i="30312"/>
  <c r="Y230" i="30312" s="1"/>
  <c r="Q320" i="30312"/>
  <c r="Q249" i="30312"/>
  <c r="Q247" i="30312"/>
  <c r="S256" i="30312"/>
  <c r="S257" i="30312" s="1"/>
  <c r="S340" i="30312"/>
  <c r="S304" i="30312"/>
  <c r="S305" i="30312" s="1"/>
  <c r="S321" i="30312"/>
  <c r="AB343" i="30311"/>
  <c r="AB267" i="30311"/>
  <c r="W338" i="30298"/>
  <c r="W336" i="30298"/>
  <c r="AS8" i="30312"/>
  <c r="AS247" i="30312" s="1"/>
  <c r="B267" i="30298"/>
  <c r="B343" i="30298"/>
  <c r="B346" i="30298"/>
  <c r="B351" i="30298" s="1"/>
  <c r="P337" i="30312"/>
  <c r="P246" i="30312"/>
  <c r="P250" i="30312"/>
  <c r="P239" i="30312"/>
  <c r="C267" i="30311"/>
  <c r="C346" i="30311"/>
  <c r="C351" i="30311" s="1"/>
  <c r="C343" i="30311"/>
  <c r="P242" i="30298"/>
  <c r="P333" i="30298"/>
  <c r="P320" i="30298"/>
  <c r="P332" i="30298"/>
  <c r="Z1" i="30298"/>
  <c r="S8" i="30298"/>
  <c r="S333" i="30298" s="1"/>
  <c r="AG302" i="30298"/>
  <c r="AE343" i="30301"/>
  <c r="AE267" i="30301"/>
  <c r="AH308" i="30312"/>
  <c r="AH244" i="30312"/>
  <c r="AG267" i="30311"/>
  <c r="AG343" i="30311"/>
  <c r="N267" i="30311"/>
  <c r="N343" i="30311"/>
  <c r="AH238" i="30312"/>
  <c r="AH315" i="30312"/>
  <c r="I267" i="30301"/>
  <c r="I343" i="30301"/>
  <c r="Z343" i="30311"/>
  <c r="Z267" i="30311"/>
  <c r="AB267" i="30301"/>
  <c r="AB343" i="30301"/>
  <c r="AU343" i="30301"/>
  <c r="AU267" i="30301"/>
  <c r="F343" i="30298"/>
  <c r="F267" i="30298"/>
  <c r="F346" i="30298"/>
  <c r="F351" i="30298" s="1"/>
  <c r="P331" i="30312"/>
  <c r="P310" i="30312"/>
  <c r="P237" i="30312"/>
  <c r="P243" i="30312"/>
  <c r="J8" i="30312"/>
  <c r="J331" i="30312" s="1"/>
  <c r="P331" i="30298"/>
  <c r="P316" i="30298"/>
  <c r="P322" i="30298"/>
  <c r="AA8" i="30312"/>
  <c r="AA301" i="30312" s="1"/>
  <c r="AH1" i="30312"/>
  <c r="T343" i="30311"/>
  <c r="T267" i="30311"/>
  <c r="AG238" i="30298"/>
  <c r="AG259" i="30298"/>
  <c r="AG260" i="30298" s="1"/>
  <c r="AG316" i="30298"/>
  <c r="AN1" i="30298"/>
  <c r="AG230" i="30298"/>
  <c r="AG334" i="30298"/>
  <c r="AG335" i="30298"/>
  <c r="AG322" i="30298"/>
  <c r="AG242" i="30298"/>
  <c r="AG248" i="30298"/>
  <c r="AG303" i="30298"/>
  <c r="AG340" i="30298"/>
  <c r="AG306" i="30298"/>
  <c r="AG308" i="30298"/>
  <c r="AG324" i="30298"/>
  <c r="AG315" i="30298"/>
  <c r="AG255" i="30298"/>
  <c r="AG237" i="30298"/>
  <c r="M267" i="30311"/>
  <c r="M343" i="30311"/>
  <c r="AH249" i="30312"/>
  <c r="AH303" i="30312"/>
  <c r="AH336" i="30312"/>
  <c r="AG1" i="30298"/>
  <c r="P319" i="30312"/>
  <c r="P255" i="30312"/>
  <c r="P254" i="30312"/>
  <c r="AD267" i="30301"/>
  <c r="AD343" i="30301"/>
  <c r="D346" i="30298"/>
  <c r="D351" i="30298" s="1"/>
  <c r="D343" i="30298"/>
  <c r="D267" i="30298"/>
  <c r="P241" i="30298"/>
  <c r="P245" i="30298"/>
  <c r="P243" i="30298"/>
  <c r="P301" i="30298"/>
  <c r="AV343" i="30301"/>
  <c r="AV267" i="30301"/>
  <c r="AG250" i="30298"/>
  <c r="AG319" i="30298"/>
  <c r="AG321" i="30298"/>
  <c r="AF343" i="30301"/>
  <c r="AF267" i="30301"/>
  <c r="AH242" i="30312"/>
  <c r="AH324" i="30312"/>
  <c r="AH302" i="30312"/>
  <c r="P242" i="30312"/>
  <c r="J1" i="30312"/>
  <c r="Q1" i="30312"/>
  <c r="AG299" i="30298"/>
  <c r="AG293" i="30298"/>
  <c r="AR8" i="30312"/>
  <c r="AR334" i="30312" s="1"/>
  <c r="J1" i="30298"/>
  <c r="Q1" i="30298"/>
  <c r="AG230" i="30312"/>
  <c r="AN2" i="30312"/>
  <c r="AG255" i="30312"/>
  <c r="AG306" i="30312"/>
  <c r="AG316" i="30312"/>
  <c r="AG242" i="30312"/>
  <c r="AG324" i="30312"/>
  <c r="AG237" i="30312"/>
  <c r="AG332" i="30312"/>
  <c r="AG301" i="30312"/>
  <c r="AG254" i="30312"/>
  <c r="AG307" i="30312"/>
  <c r="AG337" i="30312"/>
  <c r="AG331" i="30312"/>
  <c r="AG304" i="30312"/>
  <c r="AG305" i="30312" s="1"/>
  <c r="AG240" i="30312"/>
  <c r="AG322" i="30312"/>
  <c r="AG329" i="30312"/>
  <c r="AG247" i="30312"/>
  <c r="AG244" i="30312"/>
  <c r="AG308" i="30312"/>
  <c r="AG335" i="30312"/>
  <c r="AG249" i="30312"/>
  <c r="AG250" i="30312"/>
  <c r="AG241" i="30312"/>
  <c r="AG340" i="30312"/>
  <c r="AG238" i="30312"/>
  <c r="AG334" i="30312"/>
  <c r="AG323" i="30312"/>
  <c r="AG315" i="30312"/>
  <c r="AG338" i="30312"/>
  <c r="AG320" i="30312"/>
  <c r="AG339" i="30312"/>
  <c r="AG333" i="30312"/>
  <c r="AG330" i="30312"/>
  <c r="AI343" i="30301"/>
  <c r="AI267" i="30301"/>
  <c r="P324" i="30298"/>
  <c r="P303" i="30298"/>
  <c r="P239" i="30298"/>
  <c r="P334" i="30298"/>
  <c r="P310" i="30298"/>
  <c r="AG310" i="30298"/>
  <c r="S343" i="30301"/>
  <c r="S267" i="30301"/>
  <c r="AW267" i="30298"/>
  <c r="AW343" i="30298"/>
  <c r="AH310" i="30312"/>
  <c r="AH329" i="30312"/>
  <c r="AI267" i="30312"/>
  <c r="AI343" i="30312"/>
  <c r="AH241" i="30312"/>
  <c r="R267" i="30301"/>
  <c r="R343" i="30301"/>
  <c r="M8" i="30312"/>
  <c r="M337" i="30312" s="1"/>
  <c r="P306" i="30312"/>
  <c r="P332" i="30312"/>
  <c r="P340" i="30312"/>
  <c r="P230" i="30312"/>
  <c r="W1" i="30312"/>
  <c r="AW267" i="30301"/>
  <c r="AW343" i="30301"/>
  <c r="P248" i="30298"/>
  <c r="P307" i="30298"/>
  <c r="AI343" i="30311"/>
  <c r="AI267" i="30311"/>
  <c r="J8" i="30298"/>
  <c r="J244" i="30298" s="1"/>
  <c r="AH319" i="30312"/>
  <c r="AH328" i="30312"/>
  <c r="AO1" i="30312"/>
  <c r="AH230" i="30312"/>
  <c r="AH239" i="30312"/>
  <c r="AH301" i="30312"/>
  <c r="AH250" i="30312"/>
  <c r="AH323" i="30312"/>
  <c r="AH332" i="30312"/>
  <c r="AH314" i="30312"/>
  <c r="AH247" i="30312"/>
  <c r="AH330" i="30312"/>
  <c r="AH306" i="30312"/>
  <c r="AH307" i="30312"/>
  <c r="AH337" i="30312"/>
  <c r="AH316" i="30312"/>
  <c r="AH322" i="30312"/>
  <c r="AH340" i="30312"/>
  <c r="AH256" i="30312"/>
  <c r="AH257" i="30312" s="1"/>
  <c r="AH312" i="30312" s="1"/>
  <c r="AH331" i="30312"/>
  <c r="AH243" i="30312"/>
  <c r="AH246" i="30312"/>
  <c r="AH325" i="30312"/>
  <c r="AH240" i="30312"/>
  <c r="AH248" i="30312"/>
  <c r="I1" i="30312"/>
  <c r="P1" i="30312"/>
  <c r="I8" i="30312"/>
  <c r="I239" i="30312" s="1"/>
  <c r="Y343" i="30301"/>
  <c r="Y267" i="30301"/>
  <c r="P244" i="30312"/>
  <c r="P320" i="30312"/>
  <c r="P343" i="30311"/>
  <c r="P267" i="30311"/>
  <c r="P230" i="30298"/>
  <c r="AU267" i="30311"/>
  <c r="AU343" i="30311"/>
  <c r="AH245" i="30312"/>
  <c r="AH253" i="30312"/>
  <c r="AH254" i="30312"/>
  <c r="P334" i="30312"/>
  <c r="P308" i="30312"/>
  <c r="P303" i="30312"/>
  <c r="P321" i="30312"/>
  <c r="P339" i="30298"/>
  <c r="P323" i="30298"/>
  <c r="P247" i="30298"/>
  <c r="P244" i="30298"/>
  <c r="AG328" i="30298"/>
  <c r="AG240" i="30298"/>
  <c r="AH333" i="30312"/>
  <c r="Y343" i="30311"/>
  <c r="Y267" i="30311"/>
  <c r="T1" i="30312"/>
  <c r="M1" i="30312"/>
  <c r="P247" i="30312"/>
  <c r="P324" i="30312"/>
  <c r="P333" i="30312"/>
  <c r="F267" i="30311"/>
  <c r="F343" i="30311"/>
  <c r="F346" i="30311"/>
  <c r="F351" i="30311" s="1"/>
  <c r="P256" i="30298"/>
  <c r="P257" i="30298" s="1"/>
  <c r="P246" i="30298"/>
  <c r="P304" i="30298"/>
  <c r="P305" i="30298" s="1"/>
  <c r="AG339" i="30298"/>
  <c r="AW267" i="30312"/>
  <c r="AW343" i="30312"/>
  <c r="AH334" i="30312"/>
  <c r="AH320" i="30312"/>
  <c r="T1" i="30298"/>
  <c r="M1" i="30298"/>
  <c r="AB343" i="30298"/>
  <c r="AB267" i="30298"/>
  <c r="AN8" i="30298"/>
  <c r="AN230" i="30298" s="1"/>
  <c r="AU1" i="30298"/>
  <c r="Z8" i="30298"/>
  <c r="Z315" i="30298" s="1"/>
  <c r="P338" i="30312"/>
  <c r="P322" i="30312"/>
  <c r="P330" i="30312"/>
  <c r="P253" i="30312"/>
  <c r="P317" i="30312" s="1"/>
  <c r="AT343" i="30311"/>
  <c r="AT267" i="30311"/>
  <c r="P237" i="30298"/>
  <c r="P253" i="30298"/>
  <c r="P317" i="30298" s="1"/>
  <c r="P328" i="30298"/>
  <c r="P255" i="30298"/>
  <c r="AG244" i="30298"/>
  <c r="AG338" i="30298"/>
  <c r="AG243" i="30298"/>
  <c r="AG241" i="30298"/>
  <c r="AH237" i="30312"/>
  <c r="AH335" i="30312"/>
  <c r="AD332" i="30298"/>
  <c r="AD249" i="30298"/>
  <c r="AD334" i="30298"/>
  <c r="AD338" i="30298"/>
  <c r="AD307" i="30298"/>
  <c r="AD239" i="30298"/>
  <c r="AD323" i="30298"/>
  <c r="AD319" i="30298"/>
  <c r="AD330" i="30298"/>
  <c r="AD247" i="30298"/>
  <c r="AD237" i="30298"/>
  <c r="AD302" i="30298"/>
  <c r="AD303" i="30298"/>
  <c r="AD322" i="30298"/>
  <c r="AD245" i="30298"/>
  <c r="AD248" i="30298"/>
  <c r="AD238" i="30298"/>
  <c r="AD243" i="30298"/>
  <c r="AD244" i="30298"/>
  <c r="AD340" i="30298"/>
  <c r="AD314" i="30298"/>
  <c r="AD337" i="30298"/>
  <c r="AD250" i="30298"/>
  <c r="AD310" i="30298"/>
  <c r="AD240" i="30298"/>
  <c r="AD339" i="30298"/>
  <c r="AD320" i="30298"/>
  <c r="AD255" i="30298"/>
  <c r="AD241" i="30298"/>
  <c r="AD315" i="30298"/>
  <c r="AD242" i="30298"/>
  <c r="AD306" i="30298"/>
  <c r="AD324" i="30298"/>
  <c r="AD301" i="30298"/>
  <c r="AD254" i="30298"/>
  <c r="AD259" i="30298"/>
  <c r="AD260" i="30298" s="1"/>
  <c r="AO343" i="30301"/>
  <c r="AO267" i="30301"/>
  <c r="AK267" i="30301"/>
  <c r="AK343" i="30301"/>
  <c r="S343" i="30311"/>
  <c r="S267" i="30311"/>
  <c r="AD302" i="30312"/>
  <c r="AD308" i="30312"/>
  <c r="AD245" i="30312"/>
  <c r="AD247" i="30312"/>
  <c r="AD254" i="30312"/>
  <c r="B346" i="30312"/>
  <c r="B351" i="30312" s="1"/>
  <c r="B267" i="30312"/>
  <c r="B343" i="30312"/>
  <c r="AL1" i="30298"/>
  <c r="AM8" i="30298"/>
  <c r="AM230" i="30298" s="1"/>
  <c r="AG302" i="30312"/>
  <c r="AG303" i="30312"/>
  <c r="AG321" i="30312"/>
  <c r="AG245" i="30312"/>
  <c r="G346" i="30311"/>
  <c r="G351" i="30311" s="1"/>
  <c r="G343" i="30311"/>
  <c r="G267" i="30311"/>
  <c r="AU8" i="30312"/>
  <c r="AU337" i="30312" s="1"/>
  <c r="AD328" i="30298"/>
  <c r="AD253" i="30298"/>
  <c r="AD317" i="30298" s="1"/>
  <c r="L267" i="30301"/>
  <c r="L343" i="30301"/>
  <c r="K8" i="30298"/>
  <c r="AD239" i="30312"/>
  <c r="AD321" i="30312"/>
  <c r="AD335" i="30312"/>
  <c r="AD330" i="30312"/>
  <c r="AD241" i="30312"/>
  <c r="AD325" i="30298"/>
  <c r="AD301" i="30312"/>
  <c r="AD337" i="30312"/>
  <c r="AD333" i="30312"/>
  <c r="AD329" i="30312"/>
  <c r="AD323" i="30312"/>
  <c r="AE1" i="30312"/>
  <c r="AG336" i="30312"/>
  <c r="AG248" i="30312"/>
  <c r="AG239" i="30312"/>
  <c r="AG328" i="30312"/>
  <c r="AD336" i="30298"/>
  <c r="AD329" i="30298"/>
  <c r="AS1" i="30312"/>
  <c r="AR343" i="30311"/>
  <c r="AR267" i="30311"/>
  <c r="X343" i="30311"/>
  <c r="X267" i="30311"/>
  <c r="AD242" i="30312"/>
  <c r="AD246" i="30312"/>
  <c r="AD339" i="30312"/>
  <c r="AD328" i="30312"/>
  <c r="W8" i="30312"/>
  <c r="W339" i="30312" s="1"/>
  <c r="G343" i="30312"/>
  <c r="G346" i="30312"/>
  <c r="G351" i="30312" s="1"/>
  <c r="G267" i="30312"/>
  <c r="AT1" i="30298"/>
  <c r="AG325" i="30312"/>
  <c r="AG310" i="30312"/>
  <c r="AG246" i="30312"/>
  <c r="AR267" i="30301"/>
  <c r="AR343" i="30301"/>
  <c r="AD333" i="30298"/>
  <c r="Q8" i="30298"/>
  <c r="Q259" i="30298" s="1"/>
  <c r="Q260" i="30298" s="1"/>
  <c r="AD244" i="30312"/>
  <c r="AD314" i="30312"/>
  <c r="AD315" i="30312"/>
  <c r="AD253" i="30312"/>
  <c r="AK1" i="30312"/>
  <c r="AD230" i="30312"/>
  <c r="AV267" i="30311"/>
  <c r="AV343" i="30311"/>
  <c r="D267" i="30311"/>
  <c r="D343" i="30311"/>
  <c r="D346" i="30311"/>
  <c r="D351" i="30311" s="1"/>
  <c r="J343" i="30301"/>
  <c r="J267" i="30301"/>
  <c r="AD321" i="30298"/>
  <c r="AP267" i="30298"/>
  <c r="AP343" i="30298"/>
  <c r="AD238" i="30312"/>
  <c r="AD331" i="30312"/>
  <c r="AD336" i="30312"/>
  <c r="AD319" i="30312"/>
  <c r="F343" i="30312"/>
  <c r="F346" i="30312"/>
  <c r="F351" i="30312" s="1"/>
  <c r="F267" i="30312"/>
  <c r="Q343" i="30301"/>
  <c r="Q267" i="30301"/>
  <c r="AN1" i="30312"/>
  <c r="AD331" i="30298"/>
  <c r="R1" i="30298"/>
  <c r="K1" i="30298"/>
  <c r="X343" i="30301"/>
  <c r="X267" i="30301"/>
  <c r="AB343" i="30312"/>
  <c r="AB267" i="30312"/>
  <c r="AD304" i="30298"/>
  <c r="AD305" i="30298" s="1"/>
  <c r="X1" i="30298"/>
  <c r="AD248" i="30312"/>
  <c r="AD324" i="30312"/>
  <c r="AD246" i="30298"/>
  <c r="AA1" i="30312"/>
  <c r="AD332" i="30312"/>
  <c r="AD240" i="30312"/>
  <c r="AD316" i="30312"/>
  <c r="AD304" i="30312"/>
  <c r="AD305" i="30312" s="1"/>
  <c r="AG259" i="30312"/>
  <c r="AG260" i="30312" s="1"/>
  <c r="AG314" i="30312"/>
  <c r="AG319" i="30312"/>
  <c r="AG243" i="30312"/>
  <c r="AG253" i="30312"/>
  <c r="AG317" i="30312" s="1"/>
  <c r="AD316" i="30298"/>
  <c r="AD335" i="30298"/>
  <c r="AD308" i="30298"/>
  <c r="AF1" i="30298"/>
  <c r="AO267" i="30311"/>
  <c r="AO343" i="30311"/>
  <c r="AD256" i="30312"/>
  <c r="AD257" i="30312" s="1"/>
  <c r="AD307" i="30312"/>
  <c r="AD255" i="30312"/>
  <c r="AD1" i="30312"/>
  <c r="AT343" i="30301"/>
  <c r="AT267" i="30301"/>
  <c r="AD256" i="30298"/>
  <c r="AD257" i="30298" s="1"/>
  <c r="AK343" i="30311"/>
  <c r="AK267" i="30311"/>
  <c r="AG256" i="30312"/>
  <c r="AG257" i="30312" s="1"/>
  <c r="U343" i="30298"/>
  <c r="U267" i="30298"/>
  <c r="AD250" i="30312"/>
  <c r="AD322" i="30312"/>
  <c r="AD325" i="30312"/>
  <c r="AD338" i="30312"/>
  <c r="L8" i="30298"/>
  <c r="L336" i="30298" s="1"/>
  <c r="S1" i="30298"/>
  <c r="L1" i="30298"/>
  <c r="M343" i="30301"/>
  <c r="M267" i="30301"/>
  <c r="AD1" i="30298"/>
  <c r="AD230" i="30298"/>
  <c r="AK311" i="30298"/>
  <c r="AK312" i="30298"/>
  <c r="AK313" i="30298" s="1"/>
  <c r="AK258" i="30298"/>
  <c r="AK353" i="30298"/>
  <c r="B79" i="30308" s="1"/>
  <c r="AK262" i="30298"/>
  <c r="AK261" i="30298"/>
  <c r="AK233" i="30298"/>
  <c r="AK269" i="30298"/>
  <c r="AK251" i="30298"/>
  <c r="AK252" i="30298"/>
  <c r="AK348" i="30298" s="1"/>
  <c r="AK293" i="30298"/>
  <c r="AK299" i="30298"/>
  <c r="AK283" i="30298"/>
  <c r="AK298" i="30298"/>
  <c r="AK300" i="30298"/>
  <c r="AK317" i="30298"/>
  <c r="B267" i="30300"/>
  <c r="B346" i="30300"/>
  <c r="B351" i="30300" s="1"/>
  <c r="B343" i="30300"/>
  <c r="L343" i="30300"/>
  <c r="L267" i="30300"/>
  <c r="D343" i="30300"/>
  <c r="D346" i="30300"/>
  <c r="D351" i="30300" s="1"/>
  <c r="D267" i="30300"/>
  <c r="Q343" i="30290"/>
  <c r="Q267" i="30290"/>
  <c r="S343" i="30300"/>
  <c r="S267" i="30300"/>
  <c r="AM267" i="30290"/>
  <c r="AM343" i="30290"/>
  <c r="AL343" i="30300"/>
  <c r="AL267" i="30300"/>
  <c r="AL343" i="30290"/>
  <c r="AL267" i="30290"/>
  <c r="AI343" i="30300"/>
  <c r="AI267" i="30300"/>
  <c r="X267" i="30300"/>
  <c r="X343" i="30300"/>
  <c r="M343" i="30290"/>
  <c r="M267" i="30290"/>
  <c r="AM343" i="30300"/>
  <c r="AM267" i="30300"/>
  <c r="AP343" i="30290"/>
  <c r="AP267" i="30290"/>
  <c r="P343" i="30300"/>
  <c r="P267" i="30300"/>
  <c r="G343" i="30290"/>
  <c r="G351" i="30290"/>
  <c r="W4" i="30308" s="1"/>
  <c r="G267" i="30290"/>
  <c r="W343" i="30290"/>
  <c r="W267" i="30290"/>
  <c r="AV343" i="30290"/>
  <c r="AV267" i="30290"/>
  <c r="K267" i="30300"/>
  <c r="K343" i="30300"/>
  <c r="AT343" i="30300"/>
  <c r="AT267" i="30300"/>
  <c r="AK267" i="30290"/>
  <c r="AK343" i="30290"/>
  <c r="AS343" i="30300"/>
  <c r="AS267" i="30300"/>
  <c r="AN343" i="30290"/>
  <c r="AN267" i="30290"/>
  <c r="AS343" i="30290"/>
  <c r="AS267" i="30290"/>
  <c r="I343" i="30290"/>
  <c r="I267" i="30290"/>
  <c r="T267" i="30300"/>
  <c r="T343" i="30300"/>
  <c r="R343" i="30290"/>
  <c r="R267" i="30290"/>
  <c r="C351" i="30290"/>
  <c r="C267" i="30290"/>
  <c r="C343" i="30290"/>
  <c r="Z343" i="30290"/>
  <c r="Z267" i="30290"/>
  <c r="U343" i="30300"/>
  <c r="U267" i="30300"/>
  <c r="D267" i="30290"/>
  <c r="D343" i="30290"/>
  <c r="Y343" i="30300"/>
  <c r="Y267" i="30300"/>
  <c r="AT267" i="30290"/>
  <c r="AT343" i="30290"/>
  <c r="AU343" i="30300"/>
  <c r="AU267" i="30300"/>
  <c r="AR343" i="30290"/>
  <c r="AR267" i="30290"/>
  <c r="AD343" i="30290"/>
  <c r="AD267" i="30290"/>
  <c r="G343" i="30300"/>
  <c r="G346" i="30300"/>
  <c r="G351" i="30300" s="1"/>
  <c r="G267" i="30300"/>
  <c r="L343" i="30290"/>
  <c r="L267" i="30290"/>
  <c r="R343" i="30300"/>
  <c r="R267" i="30300"/>
  <c r="J343" i="30290"/>
  <c r="J267" i="30290"/>
  <c r="S343" i="30290"/>
  <c r="S267" i="30290"/>
  <c r="AE267" i="30300"/>
  <c r="AE343" i="30300"/>
  <c r="Y343" i="30290"/>
  <c r="Y267" i="30290"/>
  <c r="AG343" i="30290"/>
  <c r="AG267" i="30290"/>
  <c r="AA343" i="30290"/>
  <c r="AA267" i="30290"/>
  <c r="C346" i="30300"/>
  <c r="C351" i="30300" s="1"/>
  <c r="C267" i="30300"/>
  <c r="C343" i="30300"/>
  <c r="T343" i="30290"/>
  <c r="T267" i="30290"/>
  <c r="AK343" i="30300"/>
  <c r="AK267" i="30300"/>
  <c r="AR343" i="30300"/>
  <c r="AR267" i="30300"/>
  <c r="J267" i="30300"/>
  <c r="J343" i="30300"/>
  <c r="Z343" i="30300"/>
  <c r="Z267" i="30300"/>
  <c r="AB267" i="30290"/>
  <c r="AB343" i="30290"/>
  <c r="F267" i="30300"/>
  <c r="F343" i="30300"/>
  <c r="F346" i="30300"/>
  <c r="F351" i="30300" s="1"/>
  <c r="W267" i="30300"/>
  <c r="W343" i="30300"/>
  <c r="E343" i="30300"/>
  <c r="E346" i="30300"/>
  <c r="E351" i="30300" s="1"/>
  <c r="E267" i="30300"/>
  <c r="I343" i="30300"/>
  <c r="I267" i="30300"/>
  <c r="AF267" i="30300"/>
  <c r="AF343" i="30300"/>
  <c r="P343" i="30290"/>
  <c r="P267" i="30290"/>
  <c r="AO267" i="30300"/>
  <c r="AO343" i="30300"/>
  <c r="K343" i="30290"/>
  <c r="K267" i="30290"/>
  <c r="U343" i="30290"/>
  <c r="U267" i="30290"/>
  <c r="AV343" i="30300"/>
  <c r="AV267" i="30300"/>
  <c r="X343" i="30290"/>
  <c r="X267" i="30290"/>
  <c r="N343" i="30300"/>
  <c r="N267" i="30300"/>
  <c r="AW267" i="30290"/>
  <c r="AW343" i="30290"/>
  <c r="AP267" i="30300"/>
  <c r="AP343" i="30300"/>
  <c r="Q267" i="30300"/>
  <c r="Q343" i="30300"/>
  <c r="AD343" i="30300"/>
  <c r="AD267" i="30300"/>
  <c r="AE343" i="30290"/>
  <c r="AE267" i="30290"/>
  <c r="AB267" i="30300"/>
  <c r="AB343" i="30300"/>
  <c r="AG343" i="30300"/>
  <c r="AG267" i="30300"/>
  <c r="F343" i="30290"/>
  <c r="F351" i="30290"/>
  <c r="F267" i="30290"/>
  <c r="AO343" i="30290"/>
  <c r="AO267" i="30290"/>
  <c r="AW343" i="30300"/>
  <c r="AW267" i="30300"/>
  <c r="AF343" i="30290"/>
  <c r="AF267" i="30290"/>
  <c r="N343" i="30290"/>
  <c r="N267" i="30290"/>
  <c r="E267" i="30290"/>
  <c r="E351" i="30290"/>
  <c r="E343" i="30290"/>
  <c r="AH343" i="30300"/>
  <c r="AH267" i="30300"/>
  <c r="AU267" i="30290"/>
  <c r="AU343" i="30290"/>
  <c r="AA343" i="30300"/>
  <c r="AA267" i="30300"/>
  <c r="M267" i="30300"/>
  <c r="M343" i="30300"/>
  <c r="AI267" i="30290"/>
  <c r="AI343" i="30290"/>
  <c r="AN267" i="30300"/>
  <c r="AN343" i="30300"/>
  <c r="B343" i="30290"/>
  <c r="B267" i="30290"/>
  <c r="AH343" i="30290"/>
  <c r="AH267" i="30290"/>
  <c r="J4" i="30308"/>
  <c r="AG298" i="30298" l="1"/>
  <c r="AU230" i="30298"/>
  <c r="AU323" i="30298"/>
  <c r="AU254" i="30298"/>
  <c r="T247" i="30312"/>
  <c r="AF311" i="30298"/>
  <c r="M2" i="30298"/>
  <c r="AU310" i="30298"/>
  <c r="AU316" i="30298"/>
  <c r="AU353" i="30298" s="1"/>
  <c r="E80" i="30308" s="1"/>
  <c r="AU315" i="30298"/>
  <c r="AU322" i="30298"/>
  <c r="AU329" i="30298"/>
  <c r="AU319" i="30298"/>
  <c r="AU328" i="30298"/>
  <c r="AU255" i="30298"/>
  <c r="AU302" i="30298"/>
  <c r="AU256" i="30298"/>
  <c r="AU257" i="30298" s="1"/>
  <c r="AU312" i="30298" s="1"/>
  <c r="AU325" i="30298"/>
  <c r="AU332" i="30298"/>
  <c r="AU335" i="30298"/>
  <c r="AU324" i="30298"/>
  <c r="AU308" i="30298"/>
  <c r="AU307" i="30298"/>
  <c r="AU241" i="30298"/>
  <c r="AU333" i="30298"/>
  <c r="AU259" i="30298"/>
  <c r="AU260" i="30298" s="1"/>
  <c r="AE230" i="30298"/>
  <c r="M230" i="30298"/>
  <c r="M339" i="30298"/>
  <c r="T325" i="30312"/>
  <c r="Y303" i="30298"/>
  <c r="Y306" i="30298"/>
  <c r="Y302" i="30298"/>
  <c r="AL338" i="30312"/>
  <c r="Q283" i="30312"/>
  <c r="Q298" i="30312"/>
  <c r="Q293" i="30312"/>
  <c r="AV268" i="30290"/>
  <c r="AV265" i="30290" s="1"/>
  <c r="AL241" i="30298"/>
  <c r="AS307" i="30298"/>
  <c r="AS314" i="30298"/>
  <c r="AS230" i="30298"/>
  <c r="AS319" i="30298"/>
  <c r="AS315" i="30298"/>
  <c r="AS255" i="30298"/>
  <c r="AS329" i="30298"/>
  <c r="AS244" i="30298"/>
  <c r="AS334" i="30298"/>
  <c r="AS322" i="30298"/>
  <c r="AS246" i="30298"/>
  <c r="AS283" i="30298" s="1"/>
  <c r="AS303" i="30298"/>
  <c r="AF283" i="30298"/>
  <c r="AS247" i="30298"/>
  <c r="AF299" i="30298"/>
  <c r="AS238" i="30298"/>
  <c r="AS237" i="30298"/>
  <c r="AS302" i="30298"/>
  <c r="AF258" i="30298"/>
  <c r="AL319" i="30298"/>
  <c r="AL340" i="30298"/>
  <c r="M323" i="30298"/>
  <c r="M245" i="30298"/>
  <c r="M315" i="30298"/>
  <c r="M239" i="30298"/>
  <c r="M328" i="30298"/>
  <c r="M243" i="30298"/>
  <c r="M253" i="30298"/>
  <c r="M317" i="30298" s="1"/>
  <c r="M334" i="30298"/>
  <c r="M248" i="30298"/>
  <c r="M247" i="30298"/>
  <c r="M322" i="30298"/>
  <c r="M333" i="30298"/>
  <c r="M320" i="30298"/>
  <c r="M246" i="30298"/>
  <c r="M283" i="30298" s="1"/>
  <c r="M330" i="30298"/>
  <c r="M238" i="30298"/>
  <c r="M302" i="30298"/>
  <c r="M314" i="30298"/>
  <c r="M325" i="30298"/>
  <c r="M316" i="30298"/>
  <c r="N353" i="30298" s="1"/>
  <c r="G75" i="30308" s="1"/>
  <c r="M307" i="30298"/>
  <c r="Y259" i="30298"/>
  <c r="Y260" i="30298" s="1"/>
  <c r="Y328" i="30298"/>
  <c r="Y304" i="30298"/>
  <c r="Y305" i="30298" s="1"/>
  <c r="Y248" i="30298"/>
  <c r="AS250" i="30298"/>
  <c r="AS252" i="30298" s="1"/>
  <c r="Y246" i="30298"/>
  <c r="Y283" i="30298" s="1"/>
  <c r="AE2" i="30312"/>
  <c r="AF2" i="30298"/>
  <c r="Y247" i="30298"/>
  <c r="Y329" i="30298"/>
  <c r="Y340" i="30298"/>
  <c r="Y2" i="30298"/>
  <c r="Y237" i="30298"/>
  <c r="Y253" i="30298"/>
  <c r="Y317" i="30298" s="1"/>
  <c r="Y339" i="30298"/>
  <c r="Y337" i="30298"/>
  <c r="Y242" i="30298"/>
  <c r="Y324" i="30298"/>
  <c r="Y330" i="30298"/>
  <c r="Y256" i="30298"/>
  <c r="Y257" i="30298" s="1"/>
  <c r="Y312" i="30298" s="1"/>
  <c r="Y245" i="30298"/>
  <c r="Y240" i="30298"/>
  <c r="I334" i="30298"/>
  <c r="Y301" i="30298"/>
  <c r="Y308" i="30298"/>
  <c r="Y335" i="30298"/>
  <c r="Y315" i="30298"/>
  <c r="Y322" i="30298"/>
  <c r="M240" i="30298"/>
  <c r="M329" i="30298"/>
  <c r="X304" i="30298"/>
  <c r="X305" i="30298" s="1"/>
  <c r="I339" i="30298"/>
  <c r="M331" i="30298"/>
  <c r="M338" i="30298"/>
  <c r="M259" i="30298"/>
  <c r="M260" i="30298" s="1"/>
  <c r="T301" i="30312"/>
  <c r="T319" i="30312"/>
  <c r="T339" i="30312"/>
  <c r="M250" i="30298"/>
  <c r="M233" i="30298" s="1"/>
  <c r="T314" i="30312"/>
  <c r="M340" i="30298"/>
  <c r="M308" i="30298"/>
  <c r="X302" i="30312"/>
  <c r="X238" i="30312"/>
  <c r="T230" i="30312"/>
  <c r="X335" i="30312"/>
  <c r="M306" i="30298"/>
  <c r="M319" i="30298"/>
  <c r="M241" i="30298"/>
  <c r="X316" i="30312"/>
  <c r="K77" i="30308" s="1"/>
  <c r="AS323" i="30298"/>
  <c r="AL328" i="30298"/>
  <c r="M324" i="30298"/>
  <c r="T337" i="30312"/>
  <c r="T333" i="30312"/>
  <c r="X230" i="30312"/>
  <c r="AS325" i="30298"/>
  <c r="M336" i="30298"/>
  <c r="AU339" i="30298"/>
  <c r="AU321" i="30298"/>
  <c r="AU239" i="30298"/>
  <c r="T303" i="30312"/>
  <c r="M237" i="30298"/>
  <c r="X315" i="30312"/>
  <c r="AE237" i="30312"/>
  <c r="R230" i="30312"/>
  <c r="R314" i="30312"/>
  <c r="R247" i="30312"/>
  <c r="AT298" i="30312"/>
  <c r="R332" i="30312"/>
  <c r="R325" i="30312"/>
  <c r="R301" i="30312"/>
  <c r="R331" i="30312"/>
  <c r="R323" i="30312"/>
  <c r="R335" i="30312"/>
  <c r="R254" i="30312"/>
  <c r="R302" i="30312"/>
  <c r="AE250" i="30312"/>
  <c r="AE252" i="30312" s="1"/>
  <c r="W262" i="30298"/>
  <c r="AK2" i="30312"/>
  <c r="AK322" i="30312"/>
  <c r="AG311" i="30298"/>
  <c r="AK230" i="30312"/>
  <c r="AH259" i="30298"/>
  <c r="AH260" i="30298" s="1"/>
  <c r="AH314" i="30298"/>
  <c r="AH239" i="30298"/>
  <c r="I254" i="30298"/>
  <c r="AM255" i="30298"/>
  <c r="AG258" i="30298"/>
  <c r="AK324" i="30312"/>
  <c r="AK246" i="30312"/>
  <c r="AK283" i="30312" s="1"/>
  <c r="AK303" i="30312"/>
  <c r="AK255" i="30312"/>
  <c r="J316" i="30312"/>
  <c r="K75" i="30308" s="1"/>
  <c r="AK336" i="30312"/>
  <c r="AK315" i="30312"/>
  <c r="AK237" i="30312"/>
  <c r="AK249" i="30312"/>
  <c r="AK335" i="30312"/>
  <c r="AK338" i="30312"/>
  <c r="AK241" i="30312"/>
  <c r="AK247" i="30312"/>
  <c r="AK321" i="30312"/>
  <c r="AK329" i="30312"/>
  <c r="AK320" i="30312"/>
  <c r="AK242" i="30312"/>
  <c r="AK244" i="30312"/>
  <c r="J238" i="30312"/>
  <c r="X250" i="30298"/>
  <c r="X252" i="30298" s="1"/>
  <c r="AK245" i="30312"/>
  <c r="AK307" i="30312"/>
  <c r="AK323" i="30312"/>
  <c r="X332" i="30312"/>
  <c r="X249" i="30312"/>
  <c r="AK316" i="30312"/>
  <c r="J79" i="30308" s="1"/>
  <c r="AK330" i="30312"/>
  <c r="AF313" i="30298"/>
  <c r="AK333" i="30312"/>
  <c r="I268" i="30290"/>
  <c r="I265" i="30290" s="1"/>
  <c r="AK253" i="30312"/>
  <c r="AK317" i="30312" s="1"/>
  <c r="AK248" i="30312"/>
  <c r="AK332" i="30312"/>
  <c r="P311" i="30312"/>
  <c r="L230" i="30298"/>
  <c r="AK239" i="30312"/>
  <c r="AK325" i="30312"/>
  <c r="J325" i="30312"/>
  <c r="AK331" i="30312"/>
  <c r="T2" i="30298"/>
  <c r="I244" i="30298"/>
  <c r="I255" i="30298"/>
  <c r="AV230" i="30298"/>
  <c r="I243" i="30298"/>
  <c r="AG262" i="30298"/>
  <c r="I329" i="30298"/>
  <c r="I315" i="30298"/>
  <c r="I247" i="30298"/>
  <c r="I242" i="30298"/>
  <c r="I316" i="30298"/>
  <c r="I353" i="30298" s="1"/>
  <c r="B75" i="30308" s="1"/>
  <c r="Z325" i="30298"/>
  <c r="L259" i="30298"/>
  <c r="L260" i="30298" s="1"/>
  <c r="I237" i="30298"/>
  <c r="I310" i="30298"/>
  <c r="I248" i="30298"/>
  <c r="I335" i="30298"/>
  <c r="I246" i="30298"/>
  <c r="AV321" i="30298"/>
  <c r="I333" i="30298"/>
  <c r="I328" i="30298"/>
  <c r="AF269" i="30298"/>
  <c r="I230" i="30298"/>
  <c r="I238" i="30298"/>
  <c r="I330" i="30298"/>
  <c r="AV331" i="30298"/>
  <c r="I319" i="30298"/>
  <c r="I331" i="30298"/>
  <c r="AF233" i="30298"/>
  <c r="I340" i="30298"/>
  <c r="I249" i="30298"/>
  <c r="AF252" i="30298"/>
  <c r="AF348" i="30298" s="1"/>
  <c r="I259" i="30298"/>
  <c r="I260" i="30298" s="1"/>
  <c r="I337" i="30298"/>
  <c r="I239" i="30298"/>
  <c r="I2" i="30298"/>
  <c r="I256" i="30298"/>
  <c r="I257" i="30298" s="1"/>
  <c r="I312" i="30298" s="1"/>
  <c r="I302" i="30298"/>
  <c r="I304" i="30298"/>
  <c r="I305" i="30298" s="1"/>
  <c r="J303" i="30298"/>
  <c r="I306" i="30298"/>
  <c r="I308" i="30298"/>
  <c r="P2" i="30298"/>
  <c r="I336" i="30298"/>
  <c r="I320" i="30298"/>
  <c r="I307" i="30298"/>
  <c r="I332" i="30298"/>
  <c r="I253" i="30298"/>
  <c r="I317" i="30298" s="1"/>
  <c r="I240" i="30298"/>
  <c r="I314" i="30298"/>
  <c r="I322" i="30298"/>
  <c r="I321" i="30298"/>
  <c r="I241" i="30298"/>
  <c r="AV338" i="30298"/>
  <c r="AV246" i="30298"/>
  <c r="AV315" i="30298"/>
  <c r="AV335" i="30298"/>
  <c r="AV238" i="30298"/>
  <c r="AU242" i="30298"/>
  <c r="AV310" i="30298"/>
  <c r="AV340" i="30298"/>
  <c r="AV308" i="30298"/>
  <c r="AV339" i="30298"/>
  <c r="AV322" i="30298"/>
  <c r="AV303" i="30298"/>
  <c r="AV328" i="30298"/>
  <c r="AV332" i="30298"/>
  <c r="AV319" i="30298"/>
  <c r="AV333" i="30298"/>
  <c r="AV247" i="30298"/>
  <c r="AV306" i="30298"/>
  <c r="AV241" i="30298"/>
  <c r="AV240" i="30298"/>
  <c r="AH301" i="30298"/>
  <c r="AV323" i="30298"/>
  <c r="AV307" i="30298"/>
  <c r="AV302" i="30298"/>
  <c r="L268" i="30300"/>
  <c r="L265" i="30300" s="1"/>
  <c r="AV334" i="30298"/>
  <c r="AV248" i="30298"/>
  <c r="R311" i="30298"/>
  <c r="AV320" i="30298"/>
  <c r="M303" i="30298"/>
  <c r="AV245" i="30298"/>
  <c r="AU340" i="30298"/>
  <c r="AU240" i="30298"/>
  <c r="AM339" i="30298"/>
  <c r="AU330" i="30298"/>
  <c r="AV337" i="30298"/>
  <c r="AV301" i="30298"/>
  <c r="R339" i="30312"/>
  <c r="R308" i="30312"/>
  <c r="Q309" i="30312"/>
  <c r="J339" i="30312"/>
  <c r="R307" i="30312"/>
  <c r="R315" i="30312"/>
  <c r="R237" i="30312"/>
  <c r="R322" i="30312"/>
  <c r="R244" i="30312"/>
  <c r="R329" i="30312"/>
  <c r="J256" i="30312"/>
  <c r="J257" i="30312" s="1"/>
  <c r="J312" i="30312" s="1"/>
  <c r="J250" i="30312"/>
  <c r="J252" i="30312" s="1"/>
  <c r="R303" i="30312"/>
  <c r="R256" i="30312"/>
  <c r="R257" i="30312" s="1"/>
  <c r="R312" i="30312" s="1"/>
  <c r="Q262" i="30312"/>
  <c r="J249" i="30312"/>
  <c r="R316" i="30312"/>
  <c r="L76" i="30308" s="1"/>
  <c r="R328" i="30312"/>
  <c r="L250" i="30312"/>
  <c r="L251" i="30312" s="1"/>
  <c r="AD262" i="30312"/>
  <c r="R321" i="30312"/>
  <c r="R245" i="30312"/>
  <c r="R249" i="30312"/>
  <c r="R241" i="30312"/>
  <c r="R340" i="30312"/>
  <c r="J338" i="30312"/>
  <c r="BA44" i="30308"/>
  <c r="BJ44" i="30308" s="1"/>
  <c r="U44" i="30308"/>
  <c r="U54" i="30308"/>
  <c r="BA54" i="30308"/>
  <c r="BJ54" i="30308" s="1"/>
  <c r="AE319" i="30298"/>
  <c r="K76" i="30308"/>
  <c r="K56" i="30308"/>
  <c r="BB54" i="30308"/>
  <c r="BK54" i="30308" s="1"/>
  <c r="V54" i="30308"/>
  <c r="R54" i="30308"/>
  <c r="AX54" i="30308"/>
  <c r="BG54" i="30308" s="1"/>
  <c r="M78" i="30308"/>
  <c r="M58" i="30308"/>
  <c r="AZ64" i="30308"/>
  <c r="BI64" i="30308" s="1"/>
  <c r="T64" i="30308"/>
  <c r="AY54" i="30308"/>
  <c r="BH54" i="30308" s="1"/>
  <c r="S54" i="30308"/>
  <c r="L80" i="30308"/>
  <c r="L60" i="30308"/>
  <c r="AE307" i="30298"/>
  <c r="Q315" i="30298"/>
  <c r="AE310" i="30298"/>
  <c r="BC44" i="30308"/>
  <c r="BL44" i="30308" s="1"/>
  <c r="W44" i="30308"/>
  <c r="S254" i="30298"/>
  <c r="S44" i="30308"/>
  <c r="AY44" i="30308"/>
  <c r="BH44" i="30308" s="1"/>
  <c r="AZ54" i="30308"/>
  <c r="BI54" i="30308" s="1"/>
  <c r="T54" i="30308"/>
  <c r="AH255" i="30298"/>
  <c r="S64" i="30308"/>
  <c r="AY64" i="30308"/>
  <c r="BH64" i="30308" s="1"/>
  <c r="AE255" i="30298"/>
  <c r="M57" i="30308"/>
  <c r="M77" i="30308"/>
  <c r="AT299" i="30312"/>
  <c r="R248" i="30312"/>
  <c r="M332" i="30298"/>
  <c r="M76" i="30308"/>
  <c r="M56" i="30308"/>
  <c r="AT302" i="30298"/>
  <c r="AT283" i="30312"/>
  <c r="Q319" i="30298"/>
  <c r="BB44" i="30308"/>
  <c r="BK44" i="30308" s="1"/>
  <c r="V44" i="30308"/>
  <c r="AE310" i="30312"/>
  <c r="AI353" i="30312"/>
  <c r="G58" i="30308" s="1"/>
  <c r="N78" i="30308"/>
  <c r="N58" i="30308"/>
  <c r="V74" i="30308"/>
  <c r="BB74" i="30308"/>
  <c r="BK74" i="30308" s="1"/>
  <c r="BC74" i="30308"/>
  <c r="BL74" i="30308" s="1"/>
  <c r="W74" i="30308"/>
  <c r="J78" i="30308"/>
  <c r="J58" i="30308"/>
  <c r="AX44" i="30308"/>
  <c r="BG44" i="30308" s="1"/>
  <c r="R44" i="30308"/>
  <c r="AE254" i="30312"/>
  <c r="AE242" i="30312"/>
  <c r="L319" i="30312"/>
  <c r="T321" i="30312"/>
  <c r="AV254" i="30298"/>
  <c r="M335" i="30298"/>
  <c r="M310" i="30298"/>
  <c r="M304" i="30298"/>
  <c r="M305" i="30298" s="1"/>
  <c r="AZ74" i="30308"/>
  <c r="BI74" i="30308" s="1"/>
  <c r="T74" i="30308"/>
  <c r="AZ44" i="30308"/>
  <c r="BI44" i="30308" s="1"/>
  <c r="T44" i="30308"/>
  <c r="M59" i="30308"/>
  <c r="M79" i="30308"/>
  <c r="AT309" i="30312"/>
  <c r="M244" i="30298"/>
  <c r="W54" i="30308"/>
  <c r="BC54" i="30308"/>
  <c r="BL54" i="30308" s="1"/>
  <c r="AW268" i="30290"/>
  <c r="AW265" i="30290" s="1"/>
  <c r="R74" i="30308"/>
  <c r="AX74" i="30308"/>
  <c r="BG74" i="30308" s="1"/>
  <c r="BA74" i="30308"/>
  <c r="BJ74" i="30308" s="1"/>
  <c r="U74" i="30308"/>
  <c r="BA64" i="30308"/>
  <c r="BJ64" i="30308" s="1"/>
  <c r="U64" i="30308"/>
  <c r="AX64" i="30308"/>
  <c r="BG64" i="30308" s="1"/>
  <c r="R64" i="30308"/>
  <c r="AV259" i="30298"/>
  <c r="AV260" i="30298" s="1"/>
  <c r="BC64" i="30308"/>
  <c r="BL64" i="30308" s="1"/>
  <c r="W64" i="30308"/>
  <c r="AL2" i="30298"/>
  <c r="BB64" i="30308"/>
  <c r="BK64" i="30308" s="1"/>
  <c r="V64" i="30308"/>
  <c r="AY74" i="30308"/>
  <c r="BH74" i="30308" s="1"/>
  <c r="S74" i="30308"/>
  <c r="J76" i="30308"/>
  <c r="J56" i="30308"/>
  <c r="AS304" i="30298"/>
  <c r="AS305" i="30298" s="1"/>
  <c r="AH316" i="30298"/>
  <c r="AI353" i="30298" s="1"/>
  <c r="G78" i="30308" s="1"/>
  <c r="AH244" i="30298"/>
  <c r="AH336" i="30298"/>
  <c r="AH329" i="30298"/>
  <c r="AA233" i="30298"/>
  <c r="X239" i="30312"/>
  <c r="X237" i="30312"/>
  <c r="M301" i="30298"/>
  <c r="M337" i="30298"/>
  <c r="M249" i="30298"/>
  <c r="M255" i="30298"/>
  <c r="Q325" i="30298"/>
  <c r="Q254" i="30298"/>
  <c r="Q262" i="30298" s="1"/>
  <c r="X248" i="30312"/>
  <c r="J334" i="30312"/>
  <c r="J315" i="30312"/>
  <c r="AL301" i="30298"/>
  <c r="AL308" i="30312"/>
  <c r="AS335" i="30298"/>
  <c r="AS243" i="30298"/>
  <c r="AS239" i="30298"/>
  <c r="AS339" i="30298"/>
  <c r="AH334" i="30298"/>
  <c r="AO303" i="30298"/>
  <c r="K307" i="30312"/>
  <c r="AA252" i="30298"/>
  <c r="AA348" i="30298" s="1"/>
  <c r="AE340" i="30298"/>
  <c r="X324" i="30312"/>
  <c r="X255" i="30312"/>
  <c r="X328" i="30312"/>
  <c r="Q242" i="30298"/>
  <c r="Q302" i="30298"/>
  <c r="X253" i="30312"/>
  <c r="X317" i="30312" s="1"/>
  <c r="Q335" i="30298"/>
  <c r="AL319" i="30312"/>
  <c r="Q239" i="30298"/>
  <c r="X321" i="30312"/>
  <c r="Q339" i="30298"/>
  <c r="X259" i="30312"/>
  <c r="X260" i="30312" s="1"/>
  <c r="J323" i="30312"/>
  <c r="AG300" i="30298"/>
  <c r="AL248" i="30298"/>
  <c r="AL230" i="30298"/>
  <c r="AS320" i="30298"/>
  <c r="AS324" i="30298"/>
  <c r="AS332" i="30298"/>
  <c r="K242" i="30312"/>
  <c r="T239" i="30298"/>
  <c r="AH304" i="30298"/>
  <c r="AH305" i="30298" s="1"/>
  <c r="AF307" i="30312"/>
  <c r="AA251" i="30298"/>
  <c r="AA350" i="30298" s="1"/>
  <c r="X333" i="30312"/>
  <c r="X303" i="30312"/>
  <c r="X340" i="30312"/>
  <c r="X243" i="30312"/>
  <c r="X330" i="30312"/>
  <c r="Q308" i="30298"/>
  <c r="X254" i="30312"/>
  <c r="AD309" i="30312"/>
  <c r="AR240" i="30312"/>
  <c r="AL246" i="30298"/>
  <c r="AL304" i="30298"/>
  <c r="AL305" i="30298" s="1"/>
  <c r="X2" i="30312"/>
  <c r="T253" i="30298"/>
  <c r="T317" i="30298" s="1"/>
  <c r="AH246" i="30298"/>
  <c r="AH283" i="30298" s="1"/>
  <c r="AF244" i="30312"/>
  <c r="X250" i="30312"/>
  <c r="X252" i="30312" s="1"/>
  <c r="X323" i="30312"/>
  <c r="X240" i="30312"/>
  <c r="X244" i="30312"/>
  <c r="Q313" i="30312"/>
  <c r="AV336" i="30298"/>
  <c r="AV242" i="30298"/>
  <c r="AV244" i="30298"/>
  <c r="AV304" i="30298"/>
  <c r="AV305" i="30298" s="1"/>
  <c r="AV253" i="30298"/>
  <c r="AV243" i="30298"/>
  <c r="AV237" i="30298"/>
  <c r="AV239" i="30298"/>
  <c r="AV329" i="30298"/>
  <c r="AV316" i="30298"/>
  <c r="AW353" i="30298" s="1"/>
  <c r="G80" i="30308" s="1"/>
  <c r="AV256" i="30298"/>
  <c r="AV257" i="30298" s="1"/>
  <c r="AV250" i="30298"/>
  <c r="AV249" i="30298"/>
  <c r="AV324" i="30298"/>
  <c r="AV255" i="30298"/>
  <c r="AV325" i="30298"/>
  <c r="AV314" i="30298"/>
  <c r="X322" i="30312"/>
  <c r="Q321" i="30298"/>
  <c r="X320" i="30312"/>
  <c r="Q324" i="30298"/>
  <c r="X339" i="30312"/>
  <c r="Q230" i="30298"/>
  <c r="Q256" i="30298"/>
  <c r="Q257" i="30298" s="1"/>
  <c r="Q312" i="30298" s="1"/>
  <c r="AL310" i="30298"/>
  <c r="AS2" i="30298"/>
  <c r="AS249" i="30298"/>
  <c r="AS310" i="30298"/>
  <c r="AS253" i="30298"/>
  <c r="AS317" i="30298" s="1"/>
  <c r="AS321" i="30298"/>
  <c r="AH308" i="30298"/>
  <c r="AO302" i="30298"/>
  <c r="AH238" i="30298"/>
  <c r="T336" i="30312"/>
  <c r="X334" i="30312"/>
  <c r="Q310" i="30298"/>
  <c r="Q333" i="30298"/>
  <c r="X314" i="30312"/>
  <c r="Q247" i="30298"/>
  <c r="X245" i="30312"/>
  <c r="AL339" i="30298"/>
  <c r="AH247" i="30298"/>
  <c r="AL329" i="30298"/>
  <c r="X306" i="30312"/>
  <c r="Y230" i="30298"/>
  <c r="Y238" i="30298"/>
  <c r="Y321" i="30298"/>
  <c r="X301" i="30312"/>
  <c r="Y239" i="30298"/>
  <c r="T245" i="30312"/>
  <c r="AL337" i="30298"/>
  <c r="J335" i="30312"/>
  <c r="AM325" i="30312"/>
  <c r="AS256" i="30298"/>
  <c r="AS257" i="30298" s="1"/>
  <c r="AS312" i="30298" s="1"/>
  <c r="AS242" i="30298"/>
  <c r="AS328" i="30298"/>
  <c r="AS331" i="30298"/>
  <c r="AH254" i="30298"/>
  <c r="AH245" i="30298"/>
  <c r="AA317" i="30298"/>
  <c r="AE250" i="30298"/>
  <c r="X325" i="30312"/>
  <c r="X337" i="30312"/>
  <c r="X331" i="30312"/>
  <c r="AO324" i="30298"/>
  <c r="X336" i="30312"/>
  <c r="AM268" i="30300"/>
  <c r="AM265" i="30300" s="1"/>
  <c r="X242" i="30312"/>
  <c r="AL314" i="30298"/>
  <c r="X256" i="30312"/>
  <c r="X257" i="30312" s="1"/>
  <c r="X312" i="30312" s="1"/>
  <c r="Q334" i="30298"/>
  <c r="Q320" i="30298"/>
  <c r="Y255" i="30298"/>
  <c r="X307" i="30312"/>
  <c r="Y316" i="30298"/>
  <c r="Y353" i="30298" s="1"/>
  <c r="D77" i="30308" s="1"/>
  <c r="Y307" i="30298"/>
  <c r="L307" i="30298"/>
  <c r="T307" i="30312"/>
  <c r="AL243" i="30298"/>
  <c r="J330" i="30312"/>
  <c r="AL316" i="30312"/>
  <c r="AR250" i="30298"/>
  <c r="AR252" i="30298" s="1"/>
  <c r="AS240" i="30298"/>
  <c r="AS340" i="30298"/>
  <c r="AS336" i="30298"/>
  <c r="AS301" i="30298"/>
  <c r="AT310" i="30298"/>
  <c r="AH328" i="30298"/>
  <c r="AS254" i="30298"/>
  <c r="AL321" i="30312"/>
  <c r="Q306" i="30298"/>
  <c r="Q329" i="30298"/>
  <c r="X319" i="30312"/>
  <c r="AH338" i="30298"/>
  <c r="AO336" i="30298"/>
  <c r="AO323" i="30298"/>
  <c r="X304" i="30312"/>
  <c r="X305" i="30312" s="1"/>
  <c r="Q330" i="30298"/>
  <c r="Y323" i="30298"/>
  <c r="Q331" i="30298"/>
  <c r="Y333" i="30298"/>
  <c r="X246" i="30312"/>
  <c r="X293" i="30312" s="1"/>
  <c r="Y250" i="30298"/>
  <c r="Y233" i="30298" s="1"/>
  <c r="T340" i="30312"/>
  <c r="Y310" i="30298"/>
  <c r="X310" i="30312"/>
  <c r="Y336" i="30298"/>
  <c r="S320" i="30298"/>
  <c r="J245" i="30312"/>
  <c r="AL245" i="30312"/>
  <c r="AL246" i="30312"/>
  <c r="AL304" i="30312"/>
  <c r="AL305" i="30312" s="1"/>
  <c r="AS241" i="30298"/>
  <c r="AS259" i="30298"/>
  <c r="AS260" i="30298" s="1"/>
  <c r="AS330" i="30298"/>
  <c r="AO245" i="30312"/>
  <c r="AH323" i="30298"/>
  <c r="X308" i="30312"/>
  <c r="M321" i="30298"/>
  <c r="M254" i="30298"/>
  <c r="M256" i="30298"/>
  <c r="M257" i="30298" s="1"/>
  <c r="M312" i="30298" s="1"/>
  <c r="T241" i="30298"/>
  <c r="AU301" i="30298"/>
  <c r="AU320" i="30298"/>
  <c r="AU304" i="30298"/>
  <c r="AU305" i="30298" s="1"/>
  <c r="AU303" i="30298"/>
  <c r="AU314" i="30298"/>
  <c r="AU250" i="30298"/>
  <c r="AU243" i="30298"/>
  <c r="AU338" i="30298"/>
  <c r="AU337" i="30298"/>
  <c r="AU247" i="30298"/>
  <c r="AU306" i="30298"/>
  <c r="AU336" i="30298"/>
  <c r="AU244" i="30298"/>
  <c r="AU238" i="30298"/>
  <c r="AU246" i="30298"/>
  <c r="AU334" i="30298"/>
  <c r="AU331" i="30298"/>
  <c r="AU245" i="30298"/>
  <c r="Q322" i="30298"/>
  <c r="Q323" i="30298"/>
  <c r="Q245" i="30298"/>
  <c r="W248" i="30312"/>
  <c r="L331" i="30298"/>
  <c r="Q307" i="30298"/>
  <c r="P311" i="30298"/>
  <c r="AE339" i="30312"/>
  <c r="AE314" i="30312"/>
  <c r="T322" i="30298"/>
  <c r="AH237" i="30298"/>
  <c r="AF353" i="30298"/>
  <c r="D78" i="30308" s="1"/>
  <c r="R309" i="30298"/>
  <c r="Y320" i="30298"/>
  <c r="L250" i="30298"/>
  <c r="L252" i="30298" s="1"/>
  <c r="Q337" i="30298"/>
  <c r="Q244" i="30298"/>
  <c r="X256" i="30298"/>
  <c r="X257" i="30298" s="1"/>
  <c r="X312" i="30298" s="1"/>
  <c r="T244" i="30298"/>
  <c r="AH2" i="30298"/>
  <c r="AO238" i="30312"/>
  <c r="AH332" i="30298"/>
  <c r="AH307" i="30298"/>
  <c r="Q314" i="30298"/>
  <c r="T255" i="30298"/>
  <c r="AO247" i="30312"/>
  <c r="AH242" i="30298"/>
  <c r="AU253" i="30298"/>
  <c r="AU317" i="30298" s="1"/>
  <c r="L302" i="30298"/>
  <c r="Q246" i="30298"/>
  <c r="Q293" i="30298" s="1"/>
  <c r="T307" i="30298"/>
  <c r="AO259" i="30312"/>
  <c r="AO260" i="30312" s="1"/>
  <c r="X338" i="30312"/>
  <c r="Q248" i="30298"/>
  <c r="J328" i="30312"/>
  <c r="L249" i="30312"/>
  <c r="AH319" i="30298"/>
  <c r="AO333" i="30312"/>
  <c r="AF336" i="30312"/>
  <c r="AH335" i="30298"/>
  <c r="R255" i="30312"/>
  <c r="T246" i="30312"/>
  <c r="T293" i="30312" s="1"/>
  <c r="AU249" i="30298"/>
  <c r="AK342" i="30298"/>
  <c r="Z79" i="30308" s="1"/>
  <c r="L339" i="30298"/>
  <c r="Q249" i="30298"/>
  <c r="L246" i="30298"/>
  <c r="L299" i="30298" s="1"/>
  <c r="T243" i="30298"/>
  <c r="AO324" i="30312"/>
  <c r="AS241" i="30312"/>
  <c r="T339" i="30298"/>
  <c r="AO332" i="30312"/>
  <c r="S255" i="30298"/>
  <c r="T315" i="30298"/>
  <c r="L334" i="30312"/>
  <c r="T319" i="30298"/>
  <c r="T337" i="30298"/>
  <c r="AO230" i="30312"/>
  <c r="AU237" i="30298"/>
  <c r="AW268" i="30298"/>
  <c r="AW265" i="30298" s="1"/>
  <c r="AP268" i="30298"/>
  <c r="AP265" i="30298" s="1"/>
  <c r="AI268" i="30298"/>
  <c r="AI265" i="30298" s="1"/>
  <c r="AB268" i="30298"/>
  <c r="AB265" i="30298" s="1"/>
  <c r="U268" i="30298"/>
  <c r="U265" i="30298" s="1"/>
  <c r="AR268" i="30311"/>
  <c r="AR265" i="30311" s="1"/>
  <c r="I268" i="30300"/>
  <c r="I265" i="30300" s="1"/>
  <c r="R268" i="30300"/>
  <c r="R265" i="30300" s="1"/>
  <c r="L303" i="30312"/>
  <c r="L316" i="30312"/>
  <c r="AK340" i="30312"/>
  <c r="AM315" i="30312"/>
  <c r="Q258" i="30312"/>
  <c r="P300" i="30312"/>
  <c r="R306" i="30312"/>
  <c r="R338" i="30312"/>
  <c r="AM336" i="30312"/>
  <c r="AM237" i="30312"/>
  <c r="AM328" i="30312"/>
  <c r="R304" i="30312"/>
  <c r="R305" i="30312" s="1"/>
  <c r="AM303" i="30312"/>
  <c r="R239" i="30312"/>
  <c r="Q311" i="30312"/>
  <c r="Q353" i="30312"/>
  <c r="C56" i="30308" s="1"/>
  <c r="AV314" i="30312"/>
  <c r="AU323" i="30312"/>
  <c r="X247" i="30312"/>
  <c r="W340" i="30312"/>
  <c r="AA230" i="30312"/>
  <c r="AV230" i="30312"/>
  <c r="AO253" i="30312"/>
  <c r="AO317" i="30312" s="1"/>
  <c r="X241" i="30312"/>
  <c r="AF304" i="30312"/>
  <c r="AF305" i="30312" s="1"/>
  <c r="T316" i="30312"/>
  <c r="T353" i="30312" s="1"/>
  <c r="F56" i="30308" s="1"/>
  <c r="T302" i="30312"/>
  <c r="AL328" i="30312"/>
  <c r="AR246" i="30312"/>
  <c r="AR299" i="30312" s="1"/>
  <c r="AL237" i="30312"/>
  <c r="AL302" i="30312"/>
  <c r="AF259" i="30312"/>
  <c r="AF260" i="30312" s="1"/>
  <c r="Y336" i="30312"/>
  <c r="AF239" i="30312"/>
  <c r="AL253" i="30312"/>
  <c r="AL317" i="30312" s="1"/>
  <c r="AM337" i="30312"/>
  <c r="AM239" i="30312"/>
  <c r="Y314" i="30312"/>
  <c r="AS334" i="30312"/>
  <c r="AF253" i="30312"/>
  <c r="AF317" i="30312" s="1"/>
  <c r="AF238" i="30312"/>
  <c r="AO239" i="30312"/>
  <c r="AO328" i="30312"/>
  <c r="AO338" i="30312"/>
  <c r="AL254" i="30312"/>
  <c r="AK243" i="30312"/>
  <c r="AK302" i="30312"/>
  <c r="AK334" i="30312"/>
  <c r="AK319" i="30312"/>
  <c r="AK328" i="30312"/>
  <c r="AK339" i="30312"/>
  <c r="AK314" i="30312"/>
  <c r="AK308" i="30312"/>
  <c r="AK238" i="30312"/>
  <c r="AK306" i="30312"/>
  <c r="AK337" i="30312"/>
  <c r="AK259" i="30312"/>
  <c r="AK260" i="30312" s="1"/>
  <c r="AK256" i="30312"/>
  <c r="AK257" i="30312" s="1"/>
  <c r="AK312" i="30312" s="1"/>
  <c r="AK250" i="30312"/>
  <c r="AK304" i="30312"/>
  <c r="AK305" i="30312" s="1"/>
  <c r="AL248" i="30312"/>
  <c r="AR331" i="30312"/>
  <c r="AL335" i="30312"/>
  <c r="AF247" i="30312"/>
  <c r="AL332" i="30312"/>
  <c r="AR250" i="30312"/>
  <c r="AR252" i="30312" s="1"/>
  <c r="L230" i="30312"/>
  <c r="AR248" i="30312"/>
  <c r="AF334" i="30312"/>
  <c r="AL240" i="30312"/>
  <c r="AR245" i="30312"/>
  <c r="AA2" i="30312"/>
  <c r="W240" i="30312"/>
  <c r="T328" i="30312"/>
  <c r="AL310" i="30312"/>
  <c r="J254" i="30312"/>
  <c r="J241" i="30312"/>
  <c r="J306" i="30312"/>
  <c r="AR328" i="30312"/>
  <c r="AL243" i="30312"/>
  <c r="J314" i="30312"/>
  <c r="AM338" i="30312"/>
  <c r="AM230" i="30312"/>
  <c r="AF240" i="30312"/>
  <c r="AO330" i="30312"/>
  <c r="AO315" i="30312"/>
  <c r="T329" i="30312"/>
  <c r="AL339" i="30312"/>
  <c r="AL333" i="30312"/>
  <c r="AK310" i="30312"/>
  <c r="AF303" i="30312"/>
  <c r="AA241" i="30312"/>
  <c r="M254" i="30312"/>
  <c r="AL256" i="30312"/>
  <c r="AL257" i="30312" s="1"/>
  <c r="AL312" i="30312" s="1"/>
  <c r="AO2" i="30312"/>
  <c r="AG309" i="30312"/>
  <c r="AR333" i="30312"/>
  <c r="AR319" i="30312"/>
  <c r="M250" i="30312"/>
  <c r="M251" i="30312" s="1"/>
  <c r="J329" i="30312"/>
  <c r="Q269" i="30312"/>
  <c r="AF323" i="30312"/>
  <c r="AO307" i="30312"/>
  <c r="AO301" i="30312"/>
  <c r="AL306" i="30312"/>
  <c r="Q261" i="30312"/>
  <c r="AL307" i="30312"/>
  <c r="W310" i="30312"/>
  <c r="W328" i="30312"/>
  <c r="AA310" i="30312"/>
  <c r="AL331" i="30312"/>
  <c r="Q233" i="30312"/>
  <c r="AM254" i="30312"/>
  <c r="L237" i="30312"/>
  <c r="AT269" i="30312"/>
  <c r="AF328" i="30312"/>
  <c r="AO303" i="30312"/>
  <c r="AO249" i="30312"/>
  <c r="AF249" i="30312"/>
  <c r="AL337" i="30312"/>
  <c r="AL330" i="30312"/>
  <c r="AL322" i="30312"/>
  <c r="AF338" i="30312"/>
  <c r="AL250" i="30312"/>
  <c r="AL324" i="30312"/>
  <c r="AL329" i="30312"/>
  <c r="W308" i="30312"/>
  <c r="AE268" i="30290"/>
  <c r="AE265" i="30290" s="1"/>
  <c r="X268" i="30290"/>
  <c r="X265" i="30290" s="1"/>
  <c r="AL325" i="30312"/>
  <c r="M331" i="30312"/>
  <c r="AR253" i="30312"/>
  <c r="AL320" i="30312"/>
  <c r="AA323" i="30312"/>
  <c r="M310" i="30312"/>
  <c r="AL255" i="30312"/>
  <c r="AL239" i="30312"/>
  <c r="AR324" i="30312"/>
  <c r="J243" i="30312"/>
  <c r="Q252" i="30312"/>
  <c r="Q348" i="30312" s="1"/>
  <c r="L253" i="30312"/>
  <c r="L317" i="30312" s="1"/>
  <c r="L331" i="30312"/>
  <c r="AT233" i="30312"/>
  <c r="AF306" i="30312"/>
  <c r="AO323" i="30312"/>
  <c r="AO321" i="30312"/>
  <c r="AL238" i="30312"/>
  <c r="AL340" i="30312"/>
  <c r="AK240" i="30312"/>
  <c r="AR256" i="30312"/>
  <c r="AR257" i="30312" s="1"/>
  <c r="AR312" i="30312" s="1"/>
  <c r="AL323" i="30312"/>
  <c r="AR247" i="30312"/>
  <c r="AF248" i="30312"/>
  <c r="W238" i="30312"/>
  <c r="AL242" i="30312"/>
  <c r="AA244" i="30312"/>
  <c r="AL314" i="30312"/>
  <c r="AL247" i="30312"/>
  <c r="AR308" i="30312"/>
  <c r="P313" i="30312"/>
  <c r="AR301" i="30312"/>
  <c r="L244" i="30312"/>
  <c r="AT252" i="30312"/>
  <c r="AT348" i="30312" s="1"/>
  <c r="AF314" i="30312"/>
  <c r="AO329" i="30312"/>
  <c r="AO254" i="30312"/>
  <c r="AF340" i="30312"/>
  <c r="AL241" i="30312"/>
  <c r="AL249" i="30312"/>
  <c r="AL334" i="30312"/>
  <c r="AK254" i="30312"/>
  <c r="AL303" i="30312"/>
  <c r="AL230" i="30312"/>
  <c r="AR241" i="30312"/>
  <c r="AA250" i="30312"/>
  <c r="AA252" i="30312" s="1"/>
  <c r="AL315" i="30312"/>
  <c r="AS2" i="30312"/>
  <c r="AR230" i="30312"/>
  <c r="AL336" i="30312"/>
  <c r="AL259" i="30312"/>
  <c r="AL260" i="30312" s="1"/>
  <c r="AM339" i="30312"/>
  <c r="AE333" i="30312"/>
  <c r="L241" i="30312"/>
  <c r="AF337" i="30312"/>
  <c r="AF230" i="30312"/>
  <c r="AO250" i="30312"/>
  <c r="AO269" i="30312" s="1"/>
  <c r="AO337" i="30312"/>
  <c r="AL244" i="30312"/>
  <c r="R251" i="30312"/>
  <c r="R252" i="30312"/>
  <c r="R233" i="30312"/>
  <c r="R269" i="30312"/>
  <c r="AT255" i="30298"/>
  <c r="I259" i="30312"/>
  <c r="I260" i="30312" s="1"/>
  <c r="Z230" i="30298"/>
  <c r="AM2" i="30298"/>
  <c r="X247" i="30298"/>
  <c r="AS238" i="30312"/>
  <c r="AT304" i="30298"/>
  <c r="AT305" i="30298" s="1"/>
  <c r="AT238" i="30298"/>
  <c r="AL333" i="30298"/>
  <c r="AL259" i="30298"/>
  <c r="AL260" i="30298" s="1"/>
  <c r="AL245" i="30298"/>
  <c r="AL330" i="30298"/>
  <c r="AL331" i="30298"/>
  <c r="AL244" i="30298"/>
  <c r="AL306" i="30298"/>
  <c r="AL255" i="30298"/>
  <c r="AL338" i="30298"/>
  <c r="AL336" i="30298"/>
  <c r="AL315" i="30298"/>
  <c r="AL302" i="30298"/>
  <c r="AL325" i="30298"/>
  <c r="AL242" i="30298"/>
  <c r="AL307" i="30298"/>
  <c r="AL250" i="30298"/>
  <c r="AL303" i="30298"/>
  <c r="AL334" i="30298"/>
  <c r="AL240" i="30298"/>
  <c r="AL332" i="30298"/>
  <c r="AL316" i="30298"/>
  <c r="AL353" i="30298" s="1"/>
  <c r="C79" i="30308" s="1"/>
  <c r="AL320" i="30298"/>
  <c r="AL249" i="30298"/>
  <c r="J324" i="30298"/>
  <c r="I308" i="30312"/>
  <c r="J247" i="30298"/>
  <c r="J339" i="30298"/>
  <c r="S230" i="30298"/>
  <c r="J340" i="30312"/>
  <c r="AE325" i="30312"/>
  <c r="AS304" i="30312"/>
  <c r="AS305" i="30312" s="1"/>
  <c r="AT323" i="30298"/>
  <c r="AT303" i="30298"/>
  <c r="T304" i="30312"/>
  <c r="T305" i="30312" s="1"/>
  <c r="T308" i="30312"/>
  <c r="T253" i="30312"/>
  <c r="T320" i="30312"/>
  <c r="T254" i="30312"/>
  <c r="T322" i="30312"/>
  <c r="T315" i="30312"/>
  <c r="T335" i="30312"/>
  <c r="T240" i="30312"/>
  <c r="T259" i="30312"/>
  <c r="T260" i="30312" s="1"/>
  <c r="T243" i="30312"/>
  <c r="T330" i="30312"/>
  <c r="T249" i="30312"/>
  <c r="T239" i="30312"/>
  <c r="T237" i="30312"/>
  <c r="T242" i="30312"/>
  <c r="T332" i="30312"/>
  <c r="T256" i="30312"/>
  <c r="T257" i="30312" s="1"/>
  <c r="T323" i="30312"/>
  <c r="T250" i="30312"/>
  <c r="AL321" i="30298"/>
  <c r="Y244" i="30298"/>
  <c r="Y249" i="30298"/>
  <c r="Y243" i="30298"/>
  <c r="Y334" i="30298"/>
  <c r="Y325" i="30298"/>
  <c r="Y314" i="30298"/>
  <c r="Y319" i="30298"/>
  <c r="AL237" i="30298"/>
  <c r="AL335" i="30298"/>
  <c r="Y254" i="30298"/>
  <c r="J237" i="30298"/>
  <c r="I304" i="30312"/>
  <c r="I305" i="30312" s="1"/>
  <c r="AR340" i="30312"/>
  <c r="S321" i="30298"/>
  <c r="M320" i="30312"/>
  <c r="AR243" i="30312"/>
  <c r="AR322" i="30312"/>
  <c r="M321" i="30312"/>
  <c r="AE328" i="30312"/>
  <c r="AM248" i="30312"/>
  <c r="AS340" i="30312"/>
  <c r="L243" i="30312"/>
  <c r="AT243" i="30298"/>
  <c r="AT256" i="30298"/>
  <c r="AT257" i="30298" s="1"/>
  <c r="AT312" i="30298" s="1"/>
  <c r="AT332" i="30298"/>
  <c r="T248" i="30312"/>
  <c r="AL238" i="30298"/>
  <c r="R336" i="30312"/>
  <c r="Q268" i="30300"/>
  <c r="Q265" i="30300" s="1"/>
  <c r="X237" i="30298"/>
  <c r="R268" i="30290"/>
  <c r="R265" i="30290" s="1"/>
  <c r="S238" i="30298"/>
  <c r="AR314" i="30312"/>
  <c r="AR315" i="30312"/>
  <c r="I237" i="30312"/>
  <c r="AR339" i="30312"/>
  <c r="J308" i="30312"/>
  <c r="AR323" i="30312"/>
  <c r="M307" i="30312"/>
  <c r="AR306" i="30312"/>
  <c r="J325" i="30298"/>
  <c r="AR325" i="30312"/>
  <c r="M259" i="30312"/>
  <c r="M260" i="30312" s="1"/>
  <c r="Y335" i="30312"/>
  <c r="AF309" i="30298"/>
  <c r="AS243" i="30312"/>
  <c r="AE247" i="30312"/>
  <c r="AT337" i="30298"/>
  <c r="L329" i="30312"/>
  <c r="AO316" i="30312"/>
  <c r="AO322" i="30312"/>
  <c r="AO255" i="30312"/>
  <c r="AO237" i="30312"/>
  <c r="T304" i="30298"/>
  <c r="T305" i="30298" s="1"/>
  <c r="AT333" i="30298"/>
  <c r="AT324" i="30298"/>
  <c r="AT240" i="30298"/>
  <c r="AE246" i="30298"/>
  <c r="T244" i="30312"/>
  <c r="AL254" i="30298"/>
  <c r="I244" i="30312"/>
  <c r="K268" i="30290"/>
  <c r="K265" i="30290" s="1"/>
  <c r="AU333" i="30312"/>
  <c r="W268" i="30300"/>
  <c r="W265" i="30300" s="1"/>
  <c r="AK268" i="30300"/>
  <c r="AK265" i="30300" s="1"/>
  <c r="Y268" i="30300"/>
  <c r="Y265" i="30300" s="1"/>
  <c r="AU255" i="30312"/>
  <c r="L338" i="30298"/>
  <c r="L319" i="30298"/>
  <c r="L303" i="30298"/>
  <c r="AM301" i="30298"/>
  <c r="AD311" i="30298"/>
  <c r="J320" i="30298"/>
  <c r="S245" i="30298"/>
  <c r="J307" i="30312"/>
  <c r="J333" i="30298"/>
  <c r="M230" i="30312"/>
  <c r="AR316" i="30312"/>
  <c r="I303" i="30312"/>
  <c r="I242" i="30312"/>
  <c r="AH313" i="30312"/>
  <c r="AR244" i="30312"/>
  <c r="J302" i="30312"/>
  <c r="J242" i="30298"/>
  <c r="AR249" i="30312"/>
  <c r="I322" i="30312"/>
  <c r="AV332" i="30312"/>
  <c r="AM332" i="30312"/>
  <c r="AV319" i="30312"/>
  <c r="AM256" i="30312"/>
  <c r="AM257" i="30312" s="1"/>
  <c r="AM312" i="30312" s="1"/>
  <c r="AS256" i="30312"/>
  <c r="AS257" i="30312" s="1"/>
  <c r="L302" i="30312"/>
  <c r="AT307" i="30298"/>
  <c r="L238" i="30312"/>
  <c r="T247" i="30298"/>
  <c r="AT242" i="30298"/>
  <c r="AO320" i="30312"/>
  <c r="AO244" i="30312"/>
  <c r="AO339" i="30312"/>
  <c r="AO304" i="30312"/>
  <c r="AO305" i="30312" s="1"/>
  <c r="T335" i="30298"/>
  <c r="AT336" i="30298"/>
  <c r="AT339" i="30298"/>
  <c r="Y331" i="30298"/>
  <c r="AE338" i="30298"/>
  <c r="AL308" i="30298"/>
  <c r="T306" i="30312"/>
  <c r="T255" i="30312"/>
  <c r="AL256" i="30298"/>
  <c r="AL257" i="30298" s="1"/>
  <c r="AL312" i="30298" s="1"/>
  <c r="I338" i="30312"/>
  <c r="S311" i="30312"/>
  <c r="AU238" i="30312"/>
  <c r="AF268" i="30290"/>
  <c r="AF265" i="30290" s="1"/>
  <c r="AD261" i="30312"/>
  <c r="J301" i="30298"/>
  <c r="S243" i="30298"/>
  <c r="J248" i="30312"/>
  <c r="J322" i="30298"/>
  <c r="J244" i="30312"/>
  <c r="AR337" i="30312"/>
  <c r="J247" i="30312"/>
  <c r="I241" i="30312"/>
  <c r="I340" i="30312"/>
  <c r="J240" i="30298"/>
  <c r="J239" i="30312"/>
  <c r="J319" i="30298"/>
  <c r="AR332" i="30312"/>
  <c r="J230" i="30312"/>
  <c r="AR310" i="30312"/>
  <c r="W311" i="30298"/>
  <c r="AM322" i="30312"/>
  <c r="Q300" i="30312"/>
  <c r="AV244" i="30312"/>
  <c r="AM242" i="30312"/>
  <c r="AM304" i="30312"/>
  <c r="AM305" i="30312" s="1"/>
  <c r="X329" i="30298"/>
  <c r="AM247" i="30312"/>
  <c r="X330" i="30298"/>
  <c r="AT239" i="30298"/>
  <c r="L255" i="30312"/>
  <c r="T340" i="30298"/>
  <c r="AT322" i="30298"/>
  <c r="L325" i="30312"/>
  <c r="AT321" i="30298"/>
  <c r="T323" i="30298"/>
  <c r="AO243" i="30312"/>
  <c r="AO256" i="30312"/>
  <c r="AO257" i="30312" s="1"/>
  <c r="AO312" i="30312" s="1"/>
  <c r="AO240" i="30312"/>
  <c r="AO306" i="30312"/>
  <c r="L338" i="30312"/>
  <c r="AT254" i="30298"/>
  <c r="AT259" i="30298"/>
  <c r="AT260" i="30298" s="1"/>
  <c r="T303" i="30298"/>
  <c r="AL324" i="30298"/>
  <c r="AS337" i="30298"/>
  <c r="AS306" i="30298"/>
  <c r="AS248" i="30298"/>
  <c r="AS316" i="30298"/>
  <c r="AT353" i="30298" s="1"/>
  <c r="D80" i="30308" s="1"/>
  <c r="AS308" i="30298"/>
  <c r="AS333" i="30298"/>
  <c r="AS245" i="30298"/>
  <c r="T331" i="30312"/>
  <c r="Y241" i="30298"/>
  <c r="I301" i="30298"/>
  <c r="I303" i="30298"/>
  <c r="I250" i="30298"/>
  <c r="I338" i="30298"/>
  <c r="I245" i="30298"/>
  <c r="I324" i="30298"/>
  <c r="J337" i="30298"/>
  <c r="Z331" i="30298"/>
  <c r="I238" i="30312"/>
  <c r="I307" i="30312"/>
  <c r="J254" i="30298"/>
  <c r="AR239" i="30312"/>
  <c r="AS336" i="30312"/>
  <c r="AV307" i="30312"/>
  <c r="AS321" i="30312"/>
  <c r="AM245" i="30312"/>
  <c r="X320" i="30298"/>
  <c r="AM301" i="30312"/>
  <c r="X337" i="30298"/>
  <c r="X331" i="30298"/>
  <c r="AT328" i="30298"/>
  <c r="AT338" i="30298"/>
  <c r="AO242" i="30312"/>
  <c r="AO308" i="30312"/>
  <c r="AO334" i="30312"/>
  <c r="AT314" i="30298"/>
  <c r="L337" i="30312"/>
  <c r="AT330" i="30298"/>
  <c r="T334" i="30298"/>
  <c r="AL323" i="30298"/>
  <c r="AE259" i="30298"/>
  <c r="AE260" i="30298" s="1"/>
  <c r="AE334" i="30298"/>
  <c r="AE302" i="30298"/>
  <c r="AE244" i="30298"/>
  <c r="AE249" i="30298"/>
  <c r="AE254" i="30298"/>
  <c r="AE323" i="30298"/>
  <c r="AE331" i="30298"/>
  <c r="AE248" i="30298"/>
  <c r="AE304" i="30298"/>
  <c r="AE305" i="30298" s="1"/>
  <c r="AE336" i="30298"/>
  <c r="AE247" i="30298"/>
  <c r="AE330" i="30298"/>
  <c r="AE315" i="30298"/>
  <c r="AE325" i="30298"/>
  <c r="AE308" i="30298"/>
  <c r="AE238" i="30298"/>
  <c r="AE245" i="30298"/>
  <c r="AE242" i="30298"/>
  <c r="AE333" i="30298"/>
  <c r="AE240" i="30298"/>
  <c r="AE321" i="30298"/>
  <c r="AE328" i="30298"/>
  <c r="AE301" i="30298"/>
  <c r="AE256" i="30298"/>
  <c r="AE257" i="30298" s="1"/>
  <c r="AE241" i="30298"/>
  <c r="AE303" i="30298"/>
  <c r="AE243" i="30298"/>
  <c r="AE332" i="30298"/>
  <c r="AE337" i="30298"/>
  <c r="AE324" i="30298"/>
  <c r="AE322" i="30298"/>
  <c r="AE320" i="30298"/>
  <c r="AE306" i="30298"/>
  <c r="AE237" i="30298"/>
  <c r="AE339" i="30298"/>
  <c r="AE239" i="30298"/>
  <c r="AE253" i="30298"/>
  <c r="AE329" i="30298"/>
  <c r="AE335" i="30298"/>
  <c r="Y338" i="30298"/>
  <c r="T310" i="30312"/>
  <c r="Z337" i="30298"/>
  <c r="I319" i="30312"/>
  <c r="I337" i="30312"/>
  <c r="J314" i="30298"/>
  <c r="X335" i="30298"/>
  <c r="AV316" i="30312"/>
  <c r="X339" i="30298"/>
  <c r="AM340" i="30312"/>
  <c r="AM243" i="30312"/>
  <c r="X323" i="30298"/>
  <c r="L245" i="30312"/>
  <c r="T238" i="30298"/>
  <c r="AO241" i="30312"/>
  <c r="AO246" i="30312"/>
  <c r="AO310" i="30312"/>
  <c r="AO314" i="30312"/>
  <c r="AT245" i="30298"/>
  <c r="AT230" i="30298"/>
  <c r="T334" i="30312"/>
  <c r="R337" i="30312"/>
  <c r="R259" i="30312"/>
  <c r="R260" i="30312" s="1"/>
  <c r="R243" i="30312"/>
  <c r="R253" i="30312"/>
  <c r="R317" i="30312" s="1"/>
  <c r="R330" i="30312"/>
  <c r="R238" i="30312"/>
  <c r="R319" i="30312"/>
  <c r="R242" i="30312"/>
  <c r="R334" i="30312"/>
  <c r="R333" i="30312"/>
  <c r="R310" i="30312"/>
  <c r="R240" i="30312"/>
  <c r="R324" i="30312"/>
  <c r="R246" i="30312"/>
  <c r="I325" i="30298"/>
  <c r="I321" i="30312"/>
  <c r="J248" i="30298"/>
  <c r="AN2" i="30298"/>
  <c r="S259" i="30298"/>
  <c r="S260" i="30298" s="1"/>
  <c r="X307" i="30298"/>
  <c r="Z309" i="30312"/>
  <c r="Y301" i="30312"/>
  <c r="X303" i="30298"/>
  <c r="T249" i="30298"/>
  <c r="T250" i="30298"/>
  <c r="T251" i="30298" s="1"/>
  <c r="AO325" i="30312"/>
  <c r="AT241" i="30298"/>
  <c r="T338" i="30312"/>
  <c r="AL253" i="30298"/>
  <c r="AL317" i="30298" s="1"/>
  <c r="T241" i="30312"/>
  <c r="AL247" i="30298"/>
  <c r="R320" i="30312"/>
  <c r="Z335" i="30298"/>
  <c r="J239" i="30298"/>
  <c r="I316" i="30312"/>
  <c r="J245" i="30298"/>
  <c r="AR307" i="30312"/>
  <c r="AR330" i="30312"/>
  <c r="J322" i="30312"/>
  <c r="M246" i="30312"/>
  <c r="M283" i="30312" s="1"/>
  <c r="AS250" i="30312"/>
  <c r="AS251" i="30312" s="1"/>
  <c r="P309" i="30298"/>
  <c r="X254" i="30298"/>
  <c r="AV330" i="30312"/>
  <c r="AE307" i="30312"/>
  <c r="AE243" i="30312"/>
  <c r="AV322" i="30312"/>
  <c r="AV256" i="30312"/>
  <c r="AV257" i="30312" s="1"/>
  <c r="AV312" i="30312" s="1"/>
  <c r="AM307" i="30312"/>
  <c r="Y306" i="30312"/>
  <c r="X338" i="30298"/>
  <c r="AT331" i="30298"/>
  <c r="T333" i="30298"/>
  <c r="AT319" i="30298"/>
  <c r="T330" i="30298"/>
  <c r="AO319" i="30312"/>
  <c r="AO335" i="30312"/>
  <c r="AO302" i="30312"/>
  <c r="L242" i="30312"/>
  <c r="AT329" i="30298"/>
  <c r="T238" i="30312"/>
  <c r="AL239" i="30298"/>
  <c r="AE314" i="30298"/>
  <c r="X353" i="30298"/>
  <c r="C77" i="30308" s="1"/>
  <c r="P299" i="30312"/>
  <c r="P293" i="30312"/>
  <c r="P283" i="30312"/>
  <c r="W322" i="30312"/>
  <c r="AG298" i="30312"/>
  <c r="AG300" i="30312"/>
  <c r="AN251" i="30312"/>
  <c r="AN252" i="30312"/>
  <c r="AN348" i="30312" s="1"/>
  <c r="AN233" i="30312"/>
  <c r="AN269" i="30312"/>
  <c r="AF300" i="30298"/>
  <c r="AF298" i="30298"/>
  <c r="R293" i="30298"/>
  <c r="R283" i="30298"/>
  <c r="R299" i="30298"/>
  <c r="K315" i="30312"/>
  <c r="AO334" i="30298"/>
  <c r="AO239" i="30298"/>
  <c r="AO314" i="30298"/>
  <c r="K240" i="30312"/>
  <c r="Q268" i="30301"/>
  <c r="Q265" i="30301" s="1"/>
  <c r="X268" i="30301"/>
  <c r="X265" i="30301" s="1"/>
  <c r="AL268" i="30301"/>
  <c r="AL265" i="30301" s="1"/>
  <c r="J268" i="30301"/>
  <c r="J265" i="30301" s="1"/>
  <c r="AS268" i="30301"/>
  <c r="AS265" i="30301" s="1"/>
  <c r="AE268" i="30301"/>
  <c r="AE265" i="30301" s="1"/>
  <c r="AT350" i="30312"/>
  <c r="AO307" i="30298"/>
  <c r="K330" i="30312"/>
  <c r="AO325" i="30298"/>
  <c r="AO304" i="30298"/>
  <c r="AO305" i="30298" s="1"/>
  <c r="AO306" i="30298"/>
  <c r="K246" i="30312"/>
  <c r="I314" i="30312"/>
  <c r="I328" i="30312"/>
  <c r="J307" i="30298"/>
  <c r="AR304" i="30312"/>
  <c r="AR305" i="30312" s="1"/>
  <c r="AR255" i="30312"/>
  <c r="Q2" i="30312"/>
  <c r="J2" i="30312"/>
  <c r="J320" i="30312"/>
  <c r="J321" i="30312"/>
  <c r="J304" i="30312"/>
  <c r="J305" i="30312" s="1"/>
  <c r="J237" i="30312"/>
  <c r="J324" i="30312"/>
  <c r="J259" i="30312"/>
  <c r="J260" i="30312" s="1"/>
  <c r="J246" i="30312"/>
  <c r="J255" i="30312"/>
  <c r="J240" i="30312"/>
  <c r="J337" i="30312"/>
  <c r="J333" i="30312"/>
  <c r="J310" i="30312"/>
  <c r="J303" i="30312"/>
  <c r="J332" i="30312"/>
  <c r="J301" i="30312"/>
  <c r="AG313" i="30298"/>
  <c r="M328" i="30312"/>
  <c r="AV302" i="30312"/>
  <c r="AG353" i="30298"/>
  <c r="E78" i="30308" s="1"/>
  <c r="AE321" i="30312"/>
  <c r="S317" i="30312"/>
  <c r="AV338" i="30312"/>
  <c r="AP268" i="30301"/>
  <c r="AP265" i="30301" s="1"/>
  <c r="U268" i="30301"/>
  <c r="U265" i="30301" s="1"/>
  <c r="AI268" i="30301"/>
  <c r="AI265" i="30301" s="1"/>
  <c r="AB268" i="30301"/>
  <c r="AB265" i="30301" s="1"/>
  <c r="AW268" i="30301"/>
  <c r="AW265" i="30301" s="1"/>
  <c r="N268" i="30301"/>
  <c r="N265" i="30301" s="1"/>
  <c r="J323" i="30298"/>
  <c r="AS268" i="30311"/>
  <c r="AS265" i="30311" s="1"/>
  <c r="Y334" i="30312"/>
  <c r="X322" i="30298"/>
  <c r="AM244" i="30312"/>
  <c r="AS315" i="30312"/>
  <c r="AS337" i="30312"/>
  <c r="S262" i="30312"/>
  <c r="S261" i="30312"/>
  <c r="AN299" i="30312"/>
  <c r="AN293" i="30312"/>
  <c r="AN283" i="30312"/>
  <c r="K248" i="30312"/>
  <c r="AO259" i="30298"/>
  <c r="AO260" i="30298" s="1"/>
  <c r="AO238" i="30298"/>
  <c r="K254" i="30312"/>
  <c r="AO333" i="30298"/>
  <c r="W261" i="30298"/>
  <c r="K303" i="30312"/>
  <c r="AO321" i="30298"/>
  <c r="AO2" i="30298"/>
  <c r="AH306" i="30298"/>
  <c r="AH330" i="30298"/>
  <c r="AH331" i="30298"/>
  <c r="AH337" i="30298"/>
  <c r="R300" i="30298"/>
  <c r="R298" i="30298"/>
  <c r="L254" i="30312"/>
  <c r="AT249" i="30298"/>
  <c r="AH324" i="30298"/>
  <c r="AO240" i="30298"/>
  <c r="AO320" i="30298"/>
  <c r="AH315" i="30298"/>
  <c r="AH253" i="30298"/>
  <c r="AH317" i="30298" s="1"/>
  <c r="K324" i="30312"/>
  <c r="T245" i="30298"/>
  <c r="R2" i="30298"/>
  <c r="K2" i="30298"/>
  <c r="K339" i="30298"/>
  <c r="K306" i="30298"/>
  <c r="K340" i="30298"/>
  <c r="K241" i="30298"/>
  <c r="K304" i="30298"/>
  <c r="K305" i="30298" s="1"/>
  <c r="K256" i="30298"/>
  <c r="K257" i="30298" s="1"/>
  <c r="W302" i="30312"/>
  <c r="AU301" i="30312"/>
  <c r="K323" i="30298"/>
  <c r="K315" i="30298"/>
  <c r="W337" i="30312"/>
  <c r="W321" i="30312"/>
  <c r="W320" i="30312"/>
  <c r="AN268" i="30300"/>
  <c r="AN265" i="30300" s="1"/>
  <c r="W334" i="30312"/>
  <c r="K325" i="30298"/>
  <c r="AD311" i="30312"/>
  <c r="W319" i="30312"/>
  <c r="L238" i="30298"/>
  <c r="Q253" i="30298"/>
  <c r="P2" i="30312"/>
  <c r="I2" i="30312"/>
  <c r="I243" i="30312"/>
  <c r="I334" i="30312"/>
  <c r="I320" i="30312"/>
  <c r="I306" i="30312"/>
  <c r="I301" i="30312"/>
  <c r="I325" i="30312"/>
  <c r="I324" i="30312"/>
  <c r="I230" i="30312"/>
  <c r="J249" i="30298"/>
  <c r="AV241" i="30312"/>
  <c r="U268" i="30312"/>
  <c r="U265" i="30312" s="1"/>
  <c r="AE319" i="30312"/>
  <c r="AV334" i="30312"/>
  <c r="AV240" i="30312"/>
  <c r="Z300" i="30312"/>
  <c r="Z298" i="30312"/>
  <c r="AV320" i="30312"/>
  <c r="AE2" i="30298"/>
  <c r="X243" i="30298"/>
  <c r="X310" i="30298"/>
  <c r="X239" i="30298"/>
  <c r="X328" i="30298"/>
  <c r="X248" i="30298"/>
  <c r="X333" i="30298"/>
  <c r="X324" i="30298"/>
  <c r="X240" i="30298"/>
  <c r="X245" i="30298"/>
  <c r="X319" i="30298"/>
  <c r="X253" i="30298"/>
  <c r="X255" i="30298"/>
  <c r="X308" i="30298"/>
  <c r="X241" i="30298"/>
  <c r="X332" i="30298"/>
  <c r="X314" i="30298"/>
  <c r="X321" i="30298"/>
  <c r="X315" i="30298"/>
  <c r="X244" i="30298"/>
  <c r="X249" i="30298"/>
  <c r="AV336" i="30312"/>
  <c r="S251" i="30312"/>
  <c r="S252" i="30312"/>
  <c r="S348" i="30312" s="1"/>
  <c r="S233" i="30312"/>
  <c r="S269" i="30312"/>
  <c r="X259" i="30298"/>
  <c r="X260" i="30298" s="1"/>
  <c r="X301" i="30298"/>
  <c r="AM238" i="30312"/>
  <c r="AS253" i="30312"/>
  <c r="AS259" i="30312"/>
  <c r="AS260" i="30312" s="1"/>
  <c r="AS240" i="30312"/>
  <c r="AE241" i="30312"/>
  <c r="K302" i="30312"/>
  <c r="K336" i="30312"/>
  <c r="AO254" i="30298"/>
  <c r="AM333" i="30312"/>
  <c r="AH256" i="30298"/>
  <c r="AH257" i="30298" s="1"/>
  <c r="AO247" i="30298"/>
  <c r="AO340" i="30298"/>
  <c r="AH250" i="30298"/>
  <c r="AH230" i="30298"/>
  <c r="W298" i="30298"/>
  <c r="W300" i="30298"/>
  <c r="R2" i="30312"/>
  <c r="K2" i="30312"/>
  <c r="K245" i="30312"/>
  <c r="K323" i="30312"/>
  <c r="K306" i="30312"/>
  <c r="K319" i="30312"/>
  <c r="K253" i="30312"/>
  <c r="K335" i="30312"/>
  <c r="AD2" i="30312"/>
  <c r="W239" i="30312"/>
  <c r="W254" i="30312"/>
  <c r="W241" i="30312"/>
  <c r="W303" i="30312"/>
  <c r="W307" i="30312"/>
  <c r="W255" i="30312"/>
  <c r="W301" i="30312"/>
  <c r="W333" i="30312"/>
  <c r="W306" i="30312"/>
  <c r="W253" i="30312"/>
  <c r="W250" i="30312"/>
  <c r="W332" i="30312"/>
  <c r="W249" i="30312"/>
  <c r="W304" i="30312"/>
  <c r="W305" i="30312" s="1"/>
  <c r="W246" i="30312"/>
  <c r="W335" i="30312"/>
  <c r="W329" i="30312"/>
  <c r="W338" i="30312"/>
  <c r="W331" i="30312"/>
  <c r="K248" i="30298"/>
  <c r="W314" i="30312"/>
  <c r="AD309" i="30298"/>
  <c r="W2" i="30312"/>
  <c r="K334" i="30298"/>
  <c r="K249" i="30298"/>
  <c r="AD293" i="30298"/>
  <c r="AD299" i="30298"/>
  <c r="AD283" i="30298"/>
  <c r="W325" i="30312"/>
  <c r="AU308" i="30312"/>
  <c r="AV268" i="30311"/>
  <c r="AV265" i="30311" s="1"/>
  <c r="W247" i="30312"/>
  <c r="AU259" i="30312"/>
  <c r="AU260" i="30312" s="1"/>
  <c r="K246" i="30298"/>
  <c r="AR268" i="30300"/>
  <c r="AR265" i="30300" s="1"/>
  <c r="AG312" i="30312"/>
  <c r="AG313" i="30312" s="1"/>
  <c r="AG258" i="30312"/>
  <c r="K321" i="30298"/>
  <c r="AE353" i="30298"/>
  <c r="C78" i="30308" s="1"/>
  <c r="AD353" i="30298"/>
  <c r="B78" i="30308" s="1"/>
  <c r="K259" i="30298"/>
  <c r="K260" i="30298" s="1"/>
  <c r="K316" i="30298"/>
  <c r="W256" i="30312"/>
  <c r="W257" i="30312" s="1"/>
  <c r="AD299" i="30312"/>
  <c r="AD283" i="30312"/>
  <c r="AD293" i="30312"/>
  <c r="L315" i="30298"/>
  <c r="L243" i="30298"/>
  <c r="AD298" i="30312"/>
  <c r="AD300" i="30312"/>
  <c r="L248" i="30298"/>
  <c r="AG268" i="30300"/>
  <c r="AG265" i="30300" s="1"/>
  <c r="Y268" i="30290"/>
  <c r="Y265" i="30290" s="1"/>
  <c r="AT268" i="30290"/>
  <c r="AT265" i="30290" s="1"/>
  <c r="W237" i="30312"/>
  <c r="K238" i="30298"/>
  <c r="AU319" i="30312"/>
  <c r="W330" i="30312"/>
  <c r="K337" i="30298"/>
  <c r="L324" i="30298"/>
  <c r="K253" i="30298"/>
  <c r="K317" i="30298" s="1"/>
  <c r="L328" i="30298"/>
  <c r="K242" i="30298"/>
  <c r="W324" i="30312"/>
  <c r="L301" i="30298"/>
  <c r="L325" i="30298"/>
  <c r="W245" i="30312"/>
  <c r="M314" i="30312"/>
  <c r="I329" i="30312"/>
  <c r="AH262" i="30312"/>
  <c r="AH261" i="30312"/>
  <c r="I332" i="30312"/>
  <c r="I333" i="30312"/>
  <c r="I335" i="30312"/>
  <c r="AR242" i="30312"/>
  <c r="AH353" i="30312"/>
  <c r="F58" i="30308" s="1"/>
  <c r="J310" i="30298"/>
  <c r="J306" i="30298"/>
  <c r="AR329" i="30312"/>
  <c r="AA306" i="30312"/>
  <c r="M323" i="30312"/>
  <c r="AG309" i="30298"/>
  <c r="J336" i="30312"/>
  <c r="M248" i="30312"/>
  <c r="J328" i="30298"/>
  <c r="AA333" i="30312"/>
  <c r="AL268" i="30311"/>
  <c r="AL265" i="30311" s="1"/>
  <c r="J268" i="30311"/>
  <c r="J265" i="30311" s="1"/>
  <c r="X268" i="30311"/>
  <c r="X265" i="30311" s="1"/>
  <c r="AE268" i="30311"/>
  <c r="AE265" i="30311" s="1"/>
  <c r="Q268" i="30311"/>
  <c r="Q265" i="30311" s="1"/>
  <c r="M255" i="30312"/>
  <c r="S312" i="30312"/>
  <c r="S313" i="30312" s="1"/>
  <c r="S258" i="30312"/>
  <c r="P262" i="30298"/>
  <c r="P261" i="30298"/>
  <c r="AV308" i="30312"/>
  <c r="AE322" i="30312"/>
  <c r="AE336" i="30312"/>
  <c r="AV324" i="30312"/>
  <c r="AM240" i="30312"/>
  <c r="AV253" i="30312"/>
  <c r="AM330" i="30312"/>
  <c r="X334" i="30298"/>
  <c r="AV339" i="30312"/>
  <c r="X306" i="30298"/>
  <c r="X230" i="30298"/>
  <c r="AM310" i="30312"/>
  <c r="AS242" i="30312"/>
  <c r="AS319" i="30312"/>
  <c r="AS248" i="30312"/>
  <c r="L330" i="30312"/>
  <c r="AA2" i="30298"/>
  <c r="T331" i="30298"/>
  <c r="T336" i="30298"/>
  <c r="T246" i="30298"/>
  <c r="T320" i="30298"/>
  <c r="T301" i="30298"/>
  <c r="T316" i="30298"/>
  <c r="U353" i="30298" s="1"/>
  <c r="G76" i="30308" s="1"/>
  <c r="T324" i="30298"/>
  <c r="AU2" i="30312"/>
  <c r="L308" i="30312"/>
  <c r="K250" i="30312"/>
  <c r="T329" i="30298"/>
  <c r="T332" i="30298"/>
  <c r="AO250" i="30298"/>
  <c r="AV2" i="30312"/>
  <c r="AO248" i="30312"/>
  <c r="K237" i="30312"/>
  <c r="AT308" i="30298"/>
  <c r="AT306" i="30298"/>
  <c r="K301" i="30312"/>
  <c r="R312" i="30298"/>
  <c r="R313" i="30298" s="1"/>
  <c r="R258" i="30298"/>
  <c r="AM2" i="30312"/>
  <c r="AF339" i="30312"/>
  <c r="AF241" i="30312"/>
  <c r="AF325" i="30312"/>
  <c r="AF302" i="30312"/>
  <c r="AF333" i="30312"/>
  <c r="AF315" i="30312"/>
  <c r="AF250" i="30312"/>
  <c r="AF329" i="30312"/>
  <c r="AF316" i="30312"/>
  <c r="AF242" i="30312"/>
  <c r="AF322" i="30312"/>
  <c r="AF245" i="30312"/>
  <c r="AF256" i="30312"/>
  <c r="AF257" i="30312" s="1"/>
  <c r="AF324" i="30312"/>
  <c r="AF331" i="30312"/>
  <c r="AF243" i="30312"/>
  <c r="AF308" i="30312"/>
  <c r="AF301" i="30312"/>
  <c r="AF335" i="30312"/>
  <c r="AF246" i="30312"/>
  <c r="AF310" i="30312"/>
  <c r="AF320" i="30312"/>
  <c r="AF330" i="30312"/>
  <c r="AF332" i="30312"/>
  <c r="AF255" i="30312"/>
  <c r="AF321" i="30312"/>
  <c r="AF319" i="30312"/>
  <c r="AH303" i="30298"/>
  <c r="K328" i="30312"/>
  <c r="T230" i="30298"/>
  <c r="AG299" i="30312"/>
  <c r="AG293" i="30312"/>
  <c r="AG283" i="30312"/>
  <c r="AH233" i="30312"/>
  <c r="AH251" i="30312"/>
  <c r="AH252" i="30312"/>
  <c r="AH348" i="30312" s="1"/>
  <c r="AH269" i="30312"/>
  <c r="P251" i="30298"/>
  <c r="P252" i="30298"/>
  <c r="P348" i="30298" s="1"/>
  <c r="P233" i="30298"/>
  <c r="P269" i="30298"/>
  <c r="AD268" i="30301"/>
  <c r="AD265" i="30301" s="1"/>
  <c r="W268" i="30301"/>
  <c r="W265" i="30301" s="1"/>
  <c r="P268" i="30301"/>
  <c r="P265" i="30301" s="1"/>
  <c r="AK268" i="30301"/>
  <c r="AK265" i="30301" s="1"/>
  <c r="AR268" i="30301"/>
  <c r="AR265" i="30301" s="1"/>
  <c r="I268" i="30301"/>
  <c r="I265" i="30301" s="1"/>
  <c r="AA261" i="30298"/>
  <c r="AA262" i="30298"/>
  <c r="K329" i="30312"/>
  <c r="AO335" i="30298"/>
  <c r="K321" i="30312"/>
  <c r="AO330" i="30298"/>
  <c r="K331" i="30312"/>
  <c r="AO230" i="30298"/>
  <c r="K310" i="30312"/>
  <c r="K256" i="30312"/>
  <c r="K257" i="30312" s="1"/>
  <c r="AG252" i="30298"/>
  <c r="AG348" i="30298" s="1"/>
  <c r="AG233" i="30298"/>
  <c r="AG251" i="30298"/>
  <c r="AG269" i="30298"/>
  <c r="Z312" i="30312"/>
  <c r="Z313" i="30312" s="1"/>
  <c r="Z258" i="30312"/>
  <c r="AO337" i="30298"/>
  <c r="K254" i="30298"/>
  <c r="K247" i="30298"/>
  <c r="K307" i="30298"/>
  <c r="AA268" i="30311"/>
  <c r="AA265" i="30311" s="1"/>
  <c r="AO268" i="30311"/>
  <c r="AO265" i="30311" s="1"/>
  <c r="M268" i="30311"/>
  <c r="M265" i="30311" s="1"/>
  <c r="T268" i="30311"/>
  <c r="T265" i="30311" s="1"/>
  <c r="K325" i="30312"/>
  <c r="AU303" i="30312"/>
  <c r="AU243" i="30312"/>
  <c r="K255" i="30298"/>
  <c r="L332" i="30298"/>
  <c r="K336" i="30298"/>
  <c r="L334" i="30298"/>
  <c r="K328" i="30298"/>
  <c r="AU241" i="30312"/>
  <c r="L330" i="30298"/>
  <c r="K330" i="30298"/>
  <c r="AD298" i="30298"/>
  <c r="AD300" i="30298"/>
  <c r="AH300" i="30312"/>
  <c r="AH298" i="30312"/>
  <c r="I246" i="30312"/>
  <c r="I302" i="30312"/>
  <c r="I336" i="30312"/>
  <c r="AH309" i="30312"/>
  <c r="P298" i="30312"/>
  <c r="AG311" i="30312"/>
  <c r="J304" i="30298"/>
  <c r="J305" i="30298" s="1"/>
  <c r="J316" i="30298"/>
  <c r="J353" i="30298" s="1"/>
  <c r="C75" i="30308" s="1"/>
  <c r="AR2" i="30312"/>
  <c r="AR259" i="30312"/>
  <c r="AR260" i="30312" s="1"/>
  <c r="AR335" i="30312"/>
  <c r="AR238" i="30312"/>
  <c r="AR338" i="30312"/>
  <c r="AR303" i="30312"/>
  <c r="I253" i="30312"/>
  <c r="J338" i="30298"/>
  <c r="M322" i="30312"/>
  <c r="J315" i="30298"/>
  <c r="M244" i="30312"/>
  <c r="J259" i="30298"/>
  <c r="J260" i="30298" s="1"/>
  <c r="AV239" i="30312"/>
  <c r="AA258" i="30298"/>
  <c r="AA312" i="30298"/>
  <c r="AA313" i="30298" s="1"/>
  <c r="J242" i="30312"/>
  <c r="AV304" i="30312"/>
  <c r="AV305" i="30312" s="1"/>
  <c r="AA311" i="30298"/>
  <c r="AE340" i="30312"/>
  <c r="AF350" i="30298"/>
  <c r="AE238" i="30312"/>
  <c r="AM255" i="30312"/>
  <c r="Z283" i="30312"/>
  <c r="Z293" i="30312"/>
  <c r="Z299" i="30312"/>
  <c r="AE301" i="30312"/>
  <c r="AM324" i="30312"/>
  <c r="AA309" i="30298"/>
  <c r="X246" i="30298"/>
  <c r="AS328" i="30312"/>
  <c r="AS244" i="30312"/>
  <c r="AS239" i="30312"/>
  <c r="K337" i="30312"/>
  <c r="L323" i="30312"/>
  <c r="S2" i="30312"/>
  <c r="L2" i="30312"/>
  <c r="L248" i="30312"/>
  <c r="L246" i="30312"/>
  <c r="L315" i="30312"/>
  <c r="L314" i="30312"/>
  <c r="L307" i="30312"/>
  <c r="L240" i="30312"/>
  <c r="L239" i="30312"/>
  <c r="L324" i="30312"/>
  <c r="L333" i="30312"/>
  <c r="L259" i="30312"/>
  <c r="L260" i="30312" s="1"/>
  <c r="L310" i="30312"/>
  <c r="K316" i="30312"/>
  <c r="AN311" i="30312"/>
  <c r="L306" i="30312"/>
  <c r="T328" i="30298"/>
  <c r="AT262" i="30312"/>
  <c r="AT261" i="30312"/>
  <c r="K249" i="30312"/>
  <c r="AO339" i="30298"/>
  <c r="AT253" i="30298"/>
  <c r="AT317" i="30298" s="1"/>
  <c r="K322" i="30312"/>
  <c r="T256" i="30298"/>
  <c r="T257" i="30298" s="1"/>
  <c r="AH321" i="30298"/>
  <c r="AH243" i="30298"/>
  <c r="K320" i="30312"/>
  <c r="K247" i="30312"/>
  <c r="AF254" i="30312"/>
  <c r="AN312" i="30312"/>
  <c r="AN313" i="30312" s="1"/>
  <c r="AN258" i="30312"/>
  <c r="K310" i="30298"/>
  <c r="AB268" i="30312"/>
  <c r="AB265" i="30312" s="1"/>
  <c r="AI268" i="30312"/>
  <c r="AI265" i="30312" s="1"/>
  <c r="AW268" i="30312"/>
  <c r="AW265" i="30312" s="1"/>
  <c r="AP268" i="30312"/>
  <c r="AP265" i="30312" s="1"/>
  <c r="K333" i="30312"/>
  <c r="W259" i="30312"/>
  <c r="W260" i="30312" s="1"/>
  <c r="AD312" i="30298"/>
  <c r="AD313" i="30298" s="1"/>
  <c r="AD258" i="30298"/>
  <c r="AU324" i="30312"/>
  <c r="W323" i="30312"/>
  <c r="AU329" i="30312"/>
  <c r="L308" i="30298"/>
  <c r="K308" i="30298"/>
  <c r="K239" i="30298"/>
  <c r="AU248" i="30312"/>
  <c r="AU310" i="30312"/>
  <c r="AT2" i="30298"/>
  <c r="AM241" i="30298"/>
  <c r="AM310" i="30298"/>
  <c r="AM302" i="30298"/>
  <c r="AM249" i="30298"/>
  <c r="AM320" i="30298"/>
  <c r="AM340" i="30298"/>
  <c r="AM316" i="30298"/>
  <c r="AM243" i="30298"/>
  <c r="AM334" i="30298"/>
  <c r="AM314" i="30298"/>
  <c r="AM306" i="30298"/>
  <c r="AM242" i="30298"/>
  <c r="AM244" i="30298"/>
  <c r="AM335" i="30298"/>
  <c r="AM254" i="30298"/>
  <c r="AM253" i="30298"/>
  <c r="AM247" i="30298"/>
  <c r="AM325" i="30298"/>
  <c r="AM238" i="30298"/>
  <c r="AM331" i="30298"/>
  <c r="AM240" i="30298"/>
  <c r="AM259" i="30298"/>
  <c r="AM260" i="30298" s="1"/>
  <c r="AM248" i="30298"/>
  <c r="AM303" i="30298"/>
  <c r="AM307" i="30298"/>
  <c r="AM256" i="30298"/>
  <c r="AM257" i="30298" s="1"/>
  <c r="AM312" i="30298" s="1"/>
  <c r="AM313" i="30298" s="1"/>
  <c r="AM330" i="30298"/>
  <c r="AM333" i="30298"/>
  <c r="AM332" i="30298"/>
  <c r="AM321" i="30298"/>
  <c r="AM250" i="30298"/>
  <c r="AM319" i="30298"/>
  <c r="AM338" i="30298"/>
  <c r="AM308" i="30298"/>
  <c r="AM322" i="30298"/>
  <c r="AM323" i="30298"/>
  <c r="AM336" i="30298"/>
  <c r="AM245" i="30298"/>
  <c r="AM337" i="30298"/>
  <c r="AM237" i="30298"/>
  <c r="AM315" i="30298"/>
  <c r="AM239" i="30298"/>
  <c r="AM304" i="30298"/>
  <c r="AM305" i="30298" s="1"/>
  <c r="AM329" i="30298"/>
  <c r="AM324" i="30298"/>
  <c r="AM246" i="30298"/>
  <c r="K314" i="30298"/>
  <c r="AU2" i="30298"/>
  <c r="AN303" i="30298"/>
  <c r="AN244" i="30298"/>
  <c r="AN243" i="30298"/>
  <c r="AN334" i="30298"/>
  <c r="AN304" i="30298"/>
  <c r="AN305" i="30298" s="1"/>
  <c r="AN330" i="30298"/>
  <c r="AN337" i="30298"/>
  <c r="AN314" i="30298"/>
  <c r="AN249" i="30298"/>
  <c r="AN308" i="30298"/>
  <c r="AN306" i="30298"/>
  <c r="AN332" i="30298"/>
  <c r="AN335" i="30298"/>
  <c r="AN328" i="30298"/>
  <c r="AN319" i="30298"/>
  <c r="AN240" i="30298"/>
  <c r="AN253" i="30298"/>
  <c r="AN316" i="30298"/>
  <c r="AN329" i="30298"/>
  <c r="AN250" i="30298"/>
  <c r="AN339" i="30298"/>
  <c r="AN310" i="30298"/>
  <c r="AN254" i="30298"/>
  <c r="AN338" i="30298"/>
  <c r="AN323" i="30298"/>
  <c r="AN315" i="30298"/>
  <c r="AN238" i="30298"/>
  <c r="AN259" i="30298"/>
  <c r="AN260" i="30298" s="1"/>
  <c r="AN248" i="30298"/>
  <c r="AN239" i="30298"/>
  <c r="AN325" i="30298"/>
  <c r="AN241" i="30298"/>
  <c r="AN340" i="30298"/>
  <c r="AN245" i="30298"/>
  <c r="AN322" i="30298"/>
  <c r="AN336" i="30298"/>
  <c r="AN302" i="30298"/>
  <c r="AN242" i="30298"/>
  <c r="AN255" i="30298"/>
  <c r="AN321" i="30298"/>
  <c r="AN331" i="30298"/>
  <c r="AN247" i="30298"/>
  <c r="AN301" i="30298"/>
  <c r="AN333" i="30298"/>
  <c r="AN256" i="30298"/>
  <c r="AN257" i="30298" s="1"/>
  <c r="AN237" i="30298"/>
  <c r="AN320" i="30298"/>
  <c r="AN324" i="30298"/>
  <c r="AN246" i="30298"/>
  <c r="AN307" i="30298"/>
  <c r="I248" i="30312"/>
  <c r="AG261" i="30298"/>
  <c r="J241" i="30298"/>
  <c r="J329" i="30298"/>
  <c r="I249" i="30312"/>
  <c r="J335" i="30298"/>
  <c r="P298" i="30298"/>
  <c r="P300" i="30298"/>
  <c r="I254" i="30312"/>
  <c r="AV321" i="30312"/>
  <c r="AB268" i="30311"/>
  <c r="AB265" i="30311" s="1"/>
  <c r="AF2" i="30312"/>
  <c r="Y339" i="30312"/>
  <c r="Y308" i="30312"/>
  <c r="Y319" i="30312"/>
  <c r="Y310" i="30312"/>
  <c r="Y320" i="30312"/>
  <c r="Y331" i="30312"/>
  <c r="Y259" i="30312"/>
  <c r="Y260" i="30312" s="1"/>
  <c r="Y303" i="30312"/>
  <c r="Y246" i="30312"/>
  <c r="Y238" i="30312"/>
  <c r="Y302" i="30312"/>
  <c r="Y248" i="30312"/>
  <c r="Y239" i="30312"/>
  <c r="Y247" i="30312"/>
  <c r="Y240" i="30312"/>
  <c r="Y315" i="30312"/>
  <c r="Y316" i="30312"/>
  <c r="Y304" i="30312"/>
  <c r="Y305" i="30312" s="1"/>
  <c r="Y307" i="30312"/>
  <c r="Y330" i="30312"/>
  <c r="Y325" i="30312"/>
  <c r="Y255" i="30312"/>
  <c r="Y254" i="30312"/>
  <c r="Y244" i="30312"/>
  <c r="Y242" i="30312"/>
  <c r="Y328" i="30312"/>
  <c r="Y322" i="30312"/>
  <c r="Y241" i="30312"/>
  <c r="Y321" i="30312"/>
  <c r="Y323" i="30312"/>
  <c r="Y253" i="30312"/>
  <c r="Y329" i="30312"/>
  <c r="Y250" i="30312"/>
  <c r="Y243" i="30312"/>
  <c r="Y249" i="30312"/>
  <c r="Y337" i="30312"/>
  <c r="Y338" i="30312"/>
  <c r="Y332" i="30312"/>
  <c r="AN309" i="30312"/>
  <c r="Z311" i="30312"/>
  <c r="AV325" i="30312"/>
  <c r="AV335" i="30312"/>
  <c r="AE249" i="30312"/>
  <c r="Q350" i="30312"/>
  <c r="AV329" i="30312"/>
  <c r="AE331" i="30312"/>
  <c r="Y2" i="30312"/>
  <c r="AS302" i="30312"/>
  <c r="W312" i="30298"/>
  <c r="W313" i="30298" s="1"/>
  <c r="W258" i="30298"/>
  <c r="AM253" i="30312"/>
  <c r="AM317" i="30312" s="1"/>
  <c r="X340" i="30298"/>
  <c r="AV315" i="30312"/>
  <c r="AS249" i="30312"/>
  <c r="AS254" i="30312"/>
  <c r="AS316" i="30312"/>
  <c r="K338" i="30312"/>
  <c r="AO242" i="30298"/>
  <c r="K334" i="30312"/>
  <c r="K314" i="30312"/>
  <c r="W299" i="30298"/>
  <c r="W293" i="30298"/>
  <c r="W283" i="30298"/>
  <c r="Z252" i="30312"/>
  <c r="Z348" i="30312" s="1"/>
  <c r="Z233" i="30312"/>
  <c r="Z251" i="30312"/>
  <c r="Z269" i="30312"/>
  <c r="T237" i="30298"/>
  <c r="AT250" i="30298"/>
  <c r="AT301" i="30298"/>
  <c r="AT247" i="30298"/>
  <c r="AT246" i="30298"/>
  <c r="AT335" i="30298"/>
  <c r="AT244" i="30298"/>
  <c r="L340" i="30312"/>
  <c r="T310" i="30298"/>
  <c r="AH320" i="30298"/>
  <c r="AH310" i="30298"/>
  <c r="K259" i="30312"/>
  <c r="K260" i="30312" s="1"/>
  <c r="K230" i="30312"/>
  <c r="T302" i="30298"/>
  <c r="AO331" i="30312"/>
  <c r="AV2" i="30298"/>
  <c r="AO237" i="30298"/>
  <c r="AO253" i="30298"/>
  <c r="AO316" i="30298"/>
  <c r="AP353" i="30298" s="1"/>
  <c r="G79" i="30308" s="1"/>
  <c r="AO308" i="30298"/>
  <c r="AO319" i="30298"/>
  <c r="AO322" i="30298"/>
  <c r="AU336" i="30312"/>
  <c r="K243" i="30298"/>
  <c r="AU325" i="30312"/>
  <c r="P258" i="30312"/>
  <c r="AG252" i="30312"/>
  <c r="AG348" i="30312" s="1"/>
  <c r="AG233" i="30312"/>
  <c r="AG251" i="30312"/>
  <c r="AG269" i="30312"/>
  <c r="AV301" i="30312"/>
  <c r="AV247" i="30312"/>
  <c r="AV237" i="30312"/>
  <c r="AV249" i="30312"/>
  <c r="AV328" i="30312"/>
  <c r="AV255" i="30312"/>
  <c r="AV259" i="30312"/>
  <c r="AV260" i="30312" s="1"/>
  <c r="AV303" i="30312"/>
  <c r="R353" i="30312"/>
  <c r="D56" i="30308" s="1"/>
  <c r="AL2" i="30312"/>
  <c r="AE308" i="30312"/>
  <c r="AE316" i="30312"/>
  <c r="AE335" i="30312"/>
  <c r="AE320" i="30312"/>
  <c r="AE256" i="30312"/>
  <c r="AE257" i="30312" s="1"/>
  <c r="AE306" i="30312"/>
  <c r="AE315" i="30312"/>
  <c r="AE255" i="30312"/>
  <c r="AE337" i="30312"/>
  <c r="AE324" i="30312"/>
  <c r="AV333" i="30312"/>
  <c r="I255" i="30312"/>
  <c r="AE332" i="30312"/>
  <c r="AE239" i="30312"/>
  <c r="AV248" i="30312"/>
  <c r="AR336" i="30312"/>
  <c r="AS303" i="30312"/>
  <c r="AS308" i="30312"/>
  <c r="AS307" i="30312"/>
  <c r="AV337" i="30312"/>
  <c r="AM335" i="30312"/>
  <c r="K238" i="30312"/>
  <c r="AO331" i="30298"/>
  <c r="AV250" i="30312"/>
  <c r="AA299" i="30298"/>
  <c r="AA283" i="30298"/>
  <c r="AA293" i="30298"/>
  <c r="K239" i="30312"/>
  <c r="AH268" i="30301"/>
  <c r="AH265" i="30301" s="1"/>
  <c r="Z262" i="30312"/>
  <c r="Z261" i="30312"/>
  <c r="T314" i="30298"/>
  <c r="AW268" i="30311"/>
  <c r="AW265" i="30311" s="1"/>
  <c r="T306" i="30298"/>
  <c r="L336" i="30312"/>
  <c r="AO241" i="30298"/>
  <c r="AH302" i="30298"/>
  <c r="AH322" i="30298"/>
  <c r="K304" i="30312"/>
  <c r="K305" i="30312" s="1"/>
  <c r="T240" i="30298"/>
  <c r="AO245" i="30298"/>
  <c r="AD233" i="30312"/>
  <c r="AD251" i="30312"/>
  <c r="AD252" i="30312"/>
  <c r="AD348" i="30312" s="1"/>
  <c r="AD269" i="30312"/>
  <c r="AH317" i="30312"/>
  <c r="W317" i="30298"/>
  <c r="K329" i="30298"/>
  <c r="R268" i="30311"/>
  <c r="R265" i="30311" s="1"/>
  <c r="AT268" i="30311"/>
  <c r="AT265" i="30311" s="1"/>
  <c r="Y268" i="30311"/>
  <c r="Y265" i="30311" s="1"/>
  <c r="K268" i="30311"/>
  <c r="K265" i="30311" s="1"/>
  <c r="AM268" i="30311"/>
  <c r="AM265" i="30311" s="1"/>
  <c r="AF268" i="30311"/>
  <c r="AF265" i="30311" s="1"/>
  <c r="K338" i="30298"/>
  <c r="P268" i="30300"/>
  <c r="P265" i="30300" s="1"/>
  <c r="L2" i="30298"/>
  <c r="S2" i="30298"/>
  <c r="L237" i="30298"/>
  <c r="L337" i="30298"/>
  <c r="L254" i="30298"/>
  <c r="L321" i="30298"/>
  <c r="L241" i="30298"/>
  <c r="L314" i="30298"/>
  <c r="L255" i="30298"/>
  <c r="L239" i="30298"/>
  <c r="L304" i="30298"/>
  <c r="L305" i="30298" s="1"/>
  <c r="L249" i="30298"/>
  <c r="L240" i="30298"/>
  <c r="L253" i="30298"/>
  <c r="L340" i="30298"/>
  <c r="L256" i="30298"/>
  <c r="L257" i="30298" s="1"/>
  <c r="L306" i="30298"/>
  <c r="L323" i="30298"/>
  <c r="L320" i="30298"/>
  <c r="L245" i="30298"/>
  <c r="L247" i="30298"/>
  <c r="L310" i="30298"/>
  <c r="L242" i="30298"/>
  <c r="L335" i="30298"/>
  <c r="L333" i="30298"/>
  <c r="L244" i="30298"/>
  <c r="L316" i="30298"/>
  <c r="K250" i="30298"/>
  <c r="K302" i="30298"/>
  <c r="W244" i="30312"/>
  <c r="K332" i="30298"/>
  <c r="U268" i="30311"/>
  <c r="U265" i="30311" s="1"/>
  <c r="AI268" i="30311"/>
  <c r="AI265" i="30311" s="1"/>
  <c r="N268" i="30311"/>
  <c r="N265" i="30311" s="1"/>
  <c r="AP268" i="30311"/>
  <c r="AP265" i="30311" s="1"/>
  <c r="K240" i="30298"/>
  <c r="P312" i="30298"/>
  <c r="P313" i="30298" s="1"/>
  <c r="P258" i="30298"/>
  <c r="I247" i="30312"/>
  <c r="I245" i="30312"/>
  <c r="AH258" i="30312"/>
  <c r="AH299" i="30312"/>
  <c r="AH293" i="30312"/>
  <c r="AH283" i="30312"/>
  <c r="J255" i="30298"/>
  <c r="J2" i="30298"/>
  <c r="Q2" i="30298"/>
  <c r="J256" i="30298"/>
  <c r="J257" i="30298" s="1"/>
  <c r="J312" i="30298" s="1"/>
  <c r="J246" i="30298"/>
  <c r="J330" i="30298"/>
  <c r="J238" i="30298"/>
  <c r="J336" i="30298"/>
  <c r="P309" i="30312"/>
  <c r="J250" i="30298"/>
  <c r="J340" i="30298"/>
  <c r="J230" i="30298"/>
  <c r="AH2" i="30312"/>
  <c r="AA308" i="30312"/>
  <c r="AA243" i="30312"/>
  <c r="AA324" i="30312"/>
  <c r="AA339" i="30312"/>
  <c r="AA259" i="30312"/>
  <c r="AA260" i="30312" s="1"/>
  <c r="AA329" i="30312"/>
  <c r="AA237" i="30312"/>
  <c r="AA316" i="30312"/>
  <c r="AA239" i="30312"/>
  <c r="AA328" i="30312"/>
  <c r="AA249" i="30312"/>
  <c r="AA322" i="30312"/>
  <c r="AA246" i="30312"/>
  <c r="AA255" i="30312"/>
  <c r="AA254" i="30312"/>
  <c r="AA240" i="30312"/>
  <c r="AA340" i="30312"/>
  <c r="AA303" i="30312"/>
  <c r="AA321" i="30312"/>
  <c r="AA253" i="30312"/>
  <c r="AA317" i="30312" s="1"/>
  <c r="AA334" i="30312"/>
  <c r="AA242" i="30312"/>
  <c r="AA314" i="30312"/>
  <c r="AA331" i="30312"/>
  <c r="AA337" i="30312"/>
  <c r="AA325" i="30312"/>
  <c r="AA304" i="30312"/>
  <c r="AA305" i="30312" s="1"/>
  <c r="AA336" i="30312"/>
  <c r="AA330" i="30312"/>
  <c r="AA247" i="30312"/>
  <c r="AA315" i="30312"/>
  <c r="AA238" i="30312"/>
  <c r="AA256" i="30312"/>
  <c r="AA257" i="30312" s="1"/>
  <c r="AA332" i="30312"/>
  <c r="AA302" i="30312"/>
  <c r="AA320" i="30312"/>
  <c r="AA338" i="30312"/>
  <c r="AA248" i="30312"/>
  <c r="AA335" i="30312"/>
  <c r="AA307" i="30312"/>
  <c r="AA319" i="30312"/>
  <c r="AA245" i="30312"/>
  <c r="AR302" i="30312"/>
  <c r="J302" i="30298"/>
  <c r="Y340" i="30312"/>
  <c r="AH268" i="30311"/>
  <c r="AH265" i="30311" s="1"/>
  <c r="AE244" i="30312"/>
  <c r="AV243" i="30312"/>
  <c r="AV306" i="30312"/>
  <c r="AE230" i="30312"/>
  <c r="AV246" i="30312"/>
  <c r="AE245" i="30312"/>
  <c r="AF262" i="30298"/>
  <c r="AF261" i="30298"/>
  <c r="AE329" i="30312"/>
  <c r="AE246" i="30312"/>
  <c r="AM314" i="30312"/>
  <c r="X242" i="30298"/>
  <c r="AV323" i="30312"/>
  <c r="AS301" i="30312"/>
  <c r="AS306" i="30312"/>
  <c r="AV242" i="30312"/>
  <c r="AO243" i="30298"/>
  <c r="AT312" i="30312"/>
  <c r="AT313" i="30312" s="1"/>
  <c r="AT258" i="30312"/>
  <c r="L322" i="30312"/>
  <c r="K332" i="30312"/>
  <c r="AO332" i="30298"/>
  <c r="T248" i="30298"/>
  <c r="L320" i="30312"/>
  <c r="K339" i="30312"/>
  <c r="T259" i="30298"/>
  <c r="T260" i="30298" s="1"/>
  <c r="AE259" i="30312"/>
  <c r="AE260" i="30312" s="1"/>
  <c r="AT248" i="30298"/>
  <c r="AT325" i="30298"/>
  <c r="AT340" i="30298"/>
  <c r="L321" i="30312"/>
  <c r="AO246" i="30298"/>
  <c r="AH325" i="30298"/>
  <c r="AH339" i="30298"/>
  <c r="K244" i="30312"/>
  <c r="T321" i="30298"/>
  <c r="AA298" i="30298"/>
  <c r="S268" i="30301"/>
  <c r="S265" i="30301" s="1"/>
  <c r="AN268" i="30301"/>
  <c r="AN265" i="30301" s="1"/>
  <c r="L268" i="30301"/>
  <c r="L265" i="30301" s="1"/>
  <c r="AG268" i="30301"/>
  <c r="AG265" i="30301" s="1"/>
  <c r="AU268" i="30301"/>
  <c r="AU265" i="30301" s="1"/>
  <c r="Z268" i="30301"/>
  <c r="Z265" i="30301" s="1"/>
  <c r="AD312" i="30312"/>
  <c r="AD313" i="30312" s="1"/>
  <c r="AD258" i="30312"/>
  <c r="AD353" i="30312"/>
  <c r="B58" i="30308" s="1"/>
  <c r="K331" i="30298"/>
  <c r="K320" i="30298"/>
  <c r="AU335" i="30312"/>
  <c r="AU340" i="30312"/>
  <c r="AU338" i="30312"/>
  <c r="AU253" i="30312"/>
  <c r="AU317" i="30312" s="1"/>
  <c r="AU314" i="30312"/>
  <c r="AU315" i="30312"/>
  <c r="AU339" i="30312"/>
  <c r="AU330" i="30312"/>
  <c r="AU237" i="30312"/>
  <c r="AU331" i="30312"/>
  <c r="AU254" i="30312"/>
  <c r="AU304" i="30312"/>
  <c r="AU305" i="30312" s="1"/>
  <c r="AU332" i="30312"/>
  <c r="AU306" i="30312"/>
  <c r="AU316" i="30312"/>
  <c r="AU307" i="30312"/>
  <c r="AU320" i="30312"/>
  <c r="AU242" i="30312"/>
  <c r="AU244" i="30312"/>
  <c r="AU322" i="30312"/>
  <c r="AU328" i="30312"/>
  <c r="AU239" i="30312"/>
  <c r="AU247" i="30312"/>
  <c r="AU250" i="30312"/>
  <c r="AU249" i="30312"/>
  <c r="AU240" i="30312"/>
  <c r="AU321" i="30312"/>
  <c r="AU334" i="30312"/>
  <c r="AU246" i="30312"/>
  <c r="AU245" i="30312"/>
  <c r="W251" i="30298"/>
  <c r="W233" i="30298"/>
  <c r="W252" i="30298"/>
  <c r="W348" i="30298" s="1"/>
  <c r="W269" i="30298"/>
  <c r="K301" i="30298"/>
  <c r="K335" i="30298"/>
  <c r="P299" i="30298"/>
  <c r="P283" i="30298"/>
  <c r="P293" i="30298"/>
  <c r="AT268" i="30300"/>
  <c r="AT265" i="30300" s="1"/>
  <c r="L329" i="30298"/>
  <c r="AD317" i="30312"/>
  <c r="AU256" i="30312"/>
  <c r="AU257" i="30312" s="1"/>
  <c r="K322" i="30298"/>
  <c r="AD268" i="30300"/>
  <c r="AD265" i="30300" s="1"/>
  <c r="AF268" i="30300"/>
  <c r="AF265" i="30300" s="1"/>
  <c r="K303" i="30298"/>
  <c r="L322" i="30298"/>
  <c r="K245" i="30298"/>
  <c r="W243" i="30312"/>
  <c r="X2" i="30298"/>
  <c r="Q243" i="30298"/>
  <c r="Q301" i="30298"/>
  <c r="Q241" i="30298"/>
  <c r="Q240" i="30298"/>
  <c r="Q336" i="30298"/>
  <c r="Q328" i="30298"/>
  <c r="Q303" i="30298"/>
  <c r="Q255" i="30298"/>
  <c r="Q238" i="30298"/>
  <c r="Q250" i="30298"/>
  <c r="Q340" i="30298"/>
  <c r="Q338" i="30298"/>
  <c r="Q237" i="30298"/>
  <c r="K319" i="30298"/>
  <c r="Q316" i="30298"/>
  <c r="R353" i="30298" s="1"/>
  <c r="D76" i="30308" s="1"/>
  <c r="Q332" i="30298"/>
  <c r="Q304" i="30298"/>
  <c r="Q305" i="30298" s="1"/>
  <c r="AD261" i="30298"/>
  <c r="AD262" i="30298"/>
  <c r="AD251" i="30298"/>
  <c r="AD233" i="30298"/>
  <c r="AD252" i="30298"/>
  <c r="AD348" i="30298" s="1"/>
  <c r="AD269" i="30298"/>
  <c r="I240" i="30312"/>
  <c r="AG2" i="30298"/>
  <c r="Z314" i="30298"/>
  <c r="Z237" i="30298"/>
  <c r="Z321" i="30298"/>
  <c r="Z334" i="30298"/>
  <c r="Z248" i="30298"/>
  <c r="Z254" i="30298"/>
  <c r="Z256" i="30298"/>
  <c r="Z257" i="30298" s="1"/>
  <c r="Z303" i="30298"/>
  <c r="Z246" i="30298"/>
  <c r="Z336" i="30298"/>
  <c r="Z307" i="30298"/>
  <c r="Z301" i="30298"/>
  <c r="Z328" i="30298"/>
  <c r="Z319" i="30298"/>
  <c r="Z240" i="30298"/>
  <c r="Z238" i="30298"/>
  <c r="Z241" i="30298"/>
  <c r="Z245" i="30298"/>
  <c r="Z338" i="30298"/>
  <c r="Z320" i="30298"/>
  <c r="Z249" i="30298"/>
  <c r="Z310" i="30298"/>
  <c r="Z259" i="30298"/>
  <c r="Z260" i="30298" s="1"/>
  <c r="Z255" i="30298"/>
  <c r="Z324" i="30298"/>
  <c r="Z330" i="30298"/>
  <c r="Z306" i="30298"/>
  <c r="Z333" i="30298"/>
  <c r="Z242" i="30298"/>
  <c r="Z323" i="30298"/>
  <c r="Z322" i="30298"/>
  <c r="Z329" i="30298"/>
  <c r="Z247" i="30298"/>
  <c r="Z316" i="30298"/>
  <c r="AA353" i="30298" s="1"/>
  <c r="F77" i="30308" s="1"/>
  <c r="Z250" i="30298"/>
  <c r="Z239" i="30298"/>
  <c r="Z304" i="30298"/>
  <c r="Z305" i="30298" s="1"/>
  <c r="Z339" i="30298"/>
  <c r="Z308" i="30298"/>
  <c r="Z253" i="30298"/>
  <c r="Z317" i="30298" s="1"/>
  <c r="Z244" i="30298"/>
  <c r="Z332" i="30298"/>
  <c r="Z340" i="30298"/>
  <c r="Z302" i="30298"/>
  <c r="Z243" i="30298"/>
  <c r="J308" i="30298"/>
  <c r="J253" i="30298"/>
  <c r="J317" i="30298" s="1"/>
  <c r="I330" i="30312"/>
  <c r="I310" i="30312"/>
  <c r="I250" i="30312"/>
  <c r="J334" i="30298"/>
  <c r="M340" i="30312"/>
  <c r="T2" i="30312"/>
  <c r="M2" i="30312"/>
  <c r="M339" i="30312"/>
  <c r="M324" i="30312"/>
  <c r="M334" i="30312"/>
  <c r="M330" i="30312"/>
  <c r="M242" i="30312"/>
  <c r="M332" i="30312"/>
  <c r="M329" i="30312"/>
  <c r="M256" i="30312"/>
  <c r="M257" i="30312" s="1"/>
  <c r="M239" i="30312"/>
  <c r="M308" i="30312"/>
  <c r="M253" i="30312"/>
  <c r="M245" i="30312"/>
  <c r="M237" i="30312"/>
  <c r="M238" i="30312"/>
  <c r="M316" i="30312"/>
  <c r="M249" i="30312"/>
  <c r="M301" i="30312"/>
  <c r="M302" i="30312"/>
  <c r="M333" i="30312"/>
  <c r="M247" i="30312"/>
  <c r="M335" i="30312"/>
  <c r="M303" i="30312"/>
  <c r="M336" i="30312"/>
  <c r="M315" i="30312"/>
  <c r="M338" i="30312"/>
  <c r="M304" i="30312"/>
  <c r="M305" i="30312" s="1"/>
  <c r="M241" i="30312"/>
  <c r="M243" i="30312"/>
  <c r="M240" i="30312"/>
  <c r="M319" i="30312"/>
  <c r="M325" i="30312"/>
  <c r="M306" i="30312"/>
  <c r="I323" i="30312"/>
  <c r="AR237" i="30312"/>
  <c r="AG262" i="30312"/>
  <c r="AG261" i="30312"/>
  <c r="J331" i="30298"/>
  <c r="AR320" i="30312"/>
  <c r="J319" i="30312"/>
  <c r="P262" i="30312"/>
  <c r="P261" i="30312"/>
  <c r="AR254" i="30312"/>
  <c r="AM328" i="30298"/>
  <c r="J321" i="30298"/>
  <c r="Z2" i="30298"/>
  <c r="S308" i="30298"/>
  <c r="S237" i="30298"/>
  <c r="S249" i="30298"/>
  <c r="S338" i="30298"/>
  <c r="S314" i="30298"/>
  <c r="S256" i="30298"/>
  <c r="S257" i="30298" s="1"/>
  <c r="S248" i="30298"/>
  <c r="S244" i="30298"/>
  <c r="S340" i="30298"/>
  <c r="S339" i="30298"/>
  <c r="S253" i="30298"/>
  <c r="S242" i="30298"/>
  <c r="S335" i="30298"/>
  <c r="S303" i="30298"/>
  <c r="S250" i="30298"/>
  <c r="S240" i="30298"/>
  <c r="S241" i="30298"/>
  <c r="S328" i="30298"/>
  <c r="S323" i="30298"/>
  <c r="S337" i="30298"/>
  <c r="S322" i="30298"/>
  <c r="S306" i="30298"/>
  <c r="S246" i="30298"/>
  <c r="S324" i="30298"/>
  <c r="S336" i="30298"/>
  <c r="S316" i="30298"/>
  <c r="S304" i="30298"/>
  <c r="S305" i="30298" s="1"/>
  <c r="S330" i="30298"/>
  <c r="S331" i="30298"/>
  <c r="S239" i="30298"/>
  <c r="S325" i="30298"/>
  <c r="S302" i="30298"/>
  <c r="S319" i="30298"/>
  <c r="S332" i="30298"/>
  <c r="S301" i="30298"/>
  <c r="S310" i="30298"/>
  <c r="S315" i="30298"/>
  <c r="S307" i="30298"/>
  <c r="S334" i="30298"/>
  <c r="S247" i="30298"/>
  <c r="S329" i="30298"/>
  <c r="J253" i="30312"/>
  <c r="J317" i="30312" s="1"/>
  <c r="AS324" i="30312"/>
  <c r="AS310" i="30312"/>
  <c r="AS323" i="30312"/>
  <c r="AS333" i="30312"/>
  <c r="AS314" i="30312"/>
  <c r="AS332" i="30312"/>
  <c r="AS246" i="30312"/>
  <c r="AS330" i="30312"/>
  <c r="AS335" i="30312"/>
  <c r="AS331" i="30312"/>
  <c r="AS325" i="30312"/>
  <c r="AS338" i="30312"/>
  <c r="AS237" i="30312"/>
  <c r="AS255" i="30312"/>
  <c r="Y333" i="30312"/>
  <c r="AV310" i="30312"/>
  <c r="AE323" i="30312"/>
  <c r="AN317" i="30312"/>
  <c r="AV245" i="30312"/>
  <c r="AT2" i="30312"/>
  <c r="AM334" i="30312"/>
  <c r="AM329" i="30312"/>
  <c r="AM302" i="30312"/>
  <c r="AM331" i="30312"/>
  <c r="AM306" i="30312"/>
  <c r="AM323" i="30312"/>
  <c r="AM250" i="30312"/>
  <c r="AM316" i="30312"/>
  <c r="AM308" i="30312"/>
  <c r="AM246" i="30312"/>
  <c r="AM249" i="30312"/>
  <c r="AM320" i="30312"/>
  <c r="AE253" i="30312"/>
  <c r="AE317" i="30312" s="1"/>
  <c r="S298" i="30312"/>
  <c r="S300" i="30312"/>
  <c r="AV268" i="30301"/>
  <c r="AV265" i="30301" s="1"/>
  <c r="M268" i="30301"/>
  <c r="M265" i="30301" s="1"/>
  <c r="AA268" i="30301"/>
  <c r="AA265" i="30301" s="1"/>
  <c r="AO268" i="30301"/>
  <c r="AO265" i="30301" s="1"/>
  <c r="T268" i="30301"/>
  <c r="T265" i="30301" s="1"/>
  <c r="X302" i="30298"/>
  <c r="Y245" i="30312"/>
  <c r="AE302" i="30312"/>
  <c r="AM321" i="30312"/>
  <c r="X336" i="30298"/>
  <c r="AE334" i="30312"/>
  <c r="AS320" i="30312"/>
  <c r="AS245" i="30312"/>
  <c r="AS339" i="30312"/>
  <c r="AM319" i="30312"/>
  <c r="AO249" i="30298"/>
  <c r="R317" i="30298"/>
  <c r="AO244" i="30298"/>
  <c r="N268" i="30312"/>
  <c r="N265" i="30312" s="1"/>
  <c r="L304" i="30312"/>
  <c r="L305" i="30312" s="1"/>
  <c r="R261" i="30298"/>
  <c r="R262" i="30298"/>
  <c r="L301" i="30312"/>
  <c r="W309" i="30298"/>
  <c r="AH240" i="30298"/>
  <c r="AO301" i="30298"/>
  <c r="T325" i="30298"/>
  <c r="L247" i="30312"/>
  <c r="K255" i="30312"/>
  <c r="AO336" i="30312"/>
  <c r="AT315" i="30298"/>
  <c r="AT237" i="30298"/>
  <c r="AT334" i="30298"/>
  <c r="AO255" i="30298"/>
  <c r="AH333" i="30298"/>
  <c r="AH248" i="30298"/>
  <c r="K241" i="30312"/>
  <c r="T254" i="30298"/>
  <c r="AM268" i="30301"/>
  <c r="AM265" i="30301" s="1"/>
  <c r="Y268" i="30301"/>
  <c r="Y265" i="30301" s="1"/>
  <c r="K268" i="30301"/>
  <c r="K265" i="30301" s="1"/>
  <c r="R268" i="30301"/>
  <c r="R265" i="30301" s="1"/>
  <c r="AF268" i="30301"/>
  <c r="AF265" i="30301" s="1"/>
  <c r="AT268" i="30301"/>
  <c r="AT265" i="30301" s="1"/>
  <c r="AU230" i="30312"/>
  <c r="W230" i="30312"/>
  <c r="K333" i="30298"/>
  <c r="K237" i="30298"/>
  <c r="K230" i="30298"/>
  <c r="W336" i="30312"/>
  <c r="W315" i="30312"/>
  <c r="AU302" i="30312"/>
  <c r="W316" i="30312"/>
  <c r="W242" i="30312"/>
  <c r="K244" i="30298"/>
  <c r="K324" i="30298"/>
  <c r="I256" i="30312"/>
  <c r="I257" i="30312" s="1"/>
  <c r="I315" i="30312"/>
  <c r="I339" i="30312"/>
  <c r="J243" i="30298"/>
  <c r="AH311" i="30312"/>
  <c r="J332" i="30298"/>
  <c r="P353" i="30298"/>
  <c r="B76" i="30308" s="1"/>
  <c r="I331" i="30312"/>
  <c r="AR321" i="30312"/>
  <c r="P252" i="30312"/>
  <c r="P348" i="30312" s="1"/>
  <c r="P251" i="30312"/>
  <c r="P233" i="30312"/>
  <c r="P269" i="30312"/>
  <c r="AE338" i="30312"/>
  <c r="Y237" i="30312"/>
  <c r="W268" i="30311"/>
  <c r="W265" i="30311" s="1"/>
  <c r="AK268" i="30311"/>
  <c r="AK265" i="30311" s="1"/>
  <c r="AD268" i="30311"/>
  <c r="AD265" i="30311" s="1"/>
  <c r="I268" i="30311"/>
  <c r="I265" i="30311" s="1"/>
  <c r="P268" i="30311"/>
  <c r="P265" i="30311" s="1"/>
  <c r="AV331" i="30312"/>
  <c r="AV254" i="30312"/>
  <c r="AV340" i="30312"/>
  <c r="AE240" i="30312"/>
  <c r="S283" i="30312"/>
  <c r="S293" i="30312"/>
  <c r="S299" i="30312"/>
  <c r="Z268" i="30311"/>
  <c r="Z265" i="30311" s="1"/>
  <c r="L268" i="30311"/>
  <c r="L265" i="30311" s="1"/>
  <c r="AG268" i="30311"/>
  <c r="AG265" i="30311" s="1"/>
  <c r="S268" i="30311"/>
  <c r="S265" i="30311" s="1"/>
  <c r="AU268" i="30311"/>
  <c r="AU265" i="30311" s="1"/>
  <c r="AN268" i="30311"/>
  <c r="AN265" i="30311" s="1"/>
  <c r="AE330" i="30312"/>
  <c r="AN298" i="30312"/>
  <c r="AN300" i="30312"/>
  <c r="Y256" i="30312"/>
  <c r="Y257" i="30312" s="1"/>
  <c r="AR324" i="30298"/>
  <c r="AR301" i="30298"/>
  <c r="AR337" i="30298"/>
  <c r="AR249" i="30298"/>
  <c r="AR334" i="30298"/>
  <c r="AR247" i="30298"/>
  <c r="AR239" i="30298"/>
  <c r="AR338" i="30298"/>
  <c r="AR331" i="30298"/>
  <c r="AR243" i="30298"/>
  <c r="AR308" i="30298"/>
  <c r="AR315" i="30298"/>
  <c r="AR310" i="30298"/>
  <c r="AR238" i="30298"/>
  <c r="AR307" i="30298"/>
  <c r="AR245" i="30298"/>
  <c r="AR303" i="30298"/>
  <c r="AR339" i="30298"/>
  <c r="AR302" i="30298"/>
  <c r="AR240" i="30298"/>
  <c r="AR332" i="30298"/>
  <c r="AR244" i="30298"/>
  <c r="AR304" i="30298"/>
  <c r="AR305" i="30298" s="1"/>
  <c r="AR336" i="30298"/>
  <c r="AR316" i="30298"/>
  <c r="AR254" i="30298"/>
  <c r="AR329" i="30298"/>
  <c r="AR314" i="30298"/>
  <c r="AR256" i="30298"/>
  <c r="AR257" i="30298" s="1"/>
  <c r="AR323" i="30298"/>
  <c r="AR246" i="30298"/>
  <c r="AR340" i="30298"/>
  <c r="AR319" i="30298"/>
  <c r="AR322" i="30298"/>
  <c r="AR248" i="30298"/>
  <c r="AR321" i="30298"/>
  <c r="AR333" i="30298"/>
  <c r="AR242" i="30298"/>
  <c r="AR335" i="30298"/>
  <c r="AR253" i="30298"/>
  <c r="AR317" i="30298" s="1"/>
  <c r="AR255" i="30298"/>
  <c r="AR237" i="30298"/>
  <c r="AR330" i="30298"/>
  <c r="AR320" i="30298"/>
  <c r="AR241" i="30298"/>
  <c r="AR325" i="30298"/>
  <c r="AR306" i="30298"/>
  <c r="AR328" i="30298"/>
  <c r="AR259" i="30298"/>
  <c r="AR260" i="30298" s="1"/>
  <c r="AR2" i="30298"/>
  <c r="AE304" i="30312"/>
  <c r="AE305" i="30312" s="1"/>
  <c r="AM259" i="30312"/>
  <c r="AM260" i="30312" s="1"/>
  <c r="Y324" i="30312"/>
  <c r="AN261" i="30312"/>
  <c r="AN262" i="30312"/>
  <c r="N268" i="30298"/>
  <c r="N265" i="30298" s="1"/>
  <c r="X238" i="30298"/>
  <c r="AE303" i="30312"/>
  <c r="S309" i="30312"/>
  <c r="AS322" i="30312"/>
  <c r="AS329" i="30312"/>
  <c r="AS230" i="30312"/>
  <c r="R233" i="30298"/>
  <c r="R252" i="30298"/>
  <c r="R348" i="30298" s="1"/>
  <c r="R251" i="30298"/>
  <c r="R269" i="30298"/>
  <c r="X325" i="30298"/>
  <c r="AO310" i="30298"/>
  <c r="AO315" i="30298"/>
  <c r="L256" i="30312"/>
  <c r="L257" i="30312" s="1"/>
  <c r="AO256" i="30298"/>
  <c r="AO257" i="30298" s="1"/>
  <c r="L328" i="30312"/>
  <c r="AO328" i="30298"/>
  <c r="T242" i="30298"/>
  <c r="AO248" i="30298"/>
  <c r="AT311" i="30312"/>
  <c r="L339" i="30312"/>
  <c r="K340" i="30312"/>
  <c r="AT320" i="30298"/>
  <c r="AT300" i="30312"/>
  <c r="AO338" i="30298"/>
  <c r="AH249" i="30298"/>
  <c r="AH340" i="30298"/>
  <c r="K243" i="30312"/>
  <c r="T308" i="30298"/>
  <c r="L332" i="30312"/>
  <c r="AK344" i="30298"/>
  <c r="AK350" i="30298"/>
  <c r="AK349" i="30298"/>
  <c r="AK347" i="30298"/>
  <c r="J268" i="30290"/>
  <c r="J265" i="30290" s="1"/>
  <c r="AU268" i="30300"/>
  <c r="AU265" i="30300" s="1"/>
  <c r="Z268" i="30290"/>
  <c r="Z265" i="30290" s="1"/>
  <c r="AH268" i="30290"/>
  <c r="AH265" i="30290" s="1"/>
  <c r="T268" i="30290"/>
  <c r="T265" i="30290" s="1"/>
  <c r="AV268" i="30300"/>
  <c r="AV265" i="30300" s="1"/>
  <c r="AB268" i="30290"/>
  <c r="AB265" i="30290" s="1"/>
  <c r="AO268" i="30290"/>
  <c r="AO265" i="30290" s="1"/>
  <c r="AA268" i="30290"/>
  <c r="AA265" i="30290" s="1"/>
  <c r="U268" i="30290"/>
  <c r="U265" i="30290" s="1"/>
  <c r="AN268" i="30290"/>
  <c r="AN265" i="30290" s="1"/>
  <c r="AB268" i="30300"/>
  <c r="AB265" i="30300" s="1"/>
  <c r="U268" i="30300"/>
  <c r="U265" i="30300" s="1"/>
  <c r="S268" i="30300"/>
  <c r="S265" i="30300" s="1"/>
  <c r="X268" i="30300"/>
  <c r="X265" i="30300" s="1"/>
  <c r="N268" i="30300"/>
  <c r="N265" i="30300" s="1"/>
  <c r="AO268" i="30300"/>
  <c r="AO265" i="30300" s="1"/>
  <c r="AA268" i="30300"/>
  <c r="AA265" i="30300" s="1"/>
  <c r="M268" i="30300"/>
  <c r="M265" i="30300" s="1"/>
  <c r="AH268" i="30300"/>
  <c r="AH265" i="30300" s="1"/>
  <c r="T268" i="30300"/>
  <c r="T265" i="30300" s="1"/>
  <c r="AI268" i="30300"/>
  <c r="AI265" i="30300" s="1"/>
  <c r="AW268" i="30300"/>
  <c r="AW265" i="30300" s="1"/>
  <c r="AD268" i="30290"/>
  <c r="AD265" i="30290" s="1"/>
  <c r="AP268" i="30290"/>
  <c r="AP265" i="30290" s="1"/>
  <c r="AK268" i="30290"/>
  <c r="AK265" i="30290" s="1"/>
  <c r="W268" i="30290"/>
  <c r="W265" i="30290" s="1"/>
  <c r="AL268" i="30290"/>
  <c r="AL265" i="30290" s="1"/>
  <c r="Q268" i="30290"/>
  <c r="Q265" i="30290" s="1"/>
  <c r="AS268" i="30290"/>
  <c r="AS265" i="30290" s="1"/>
  <c r="N268" i="30290"/>
  <c r="N265" i="30290" s="1"/>
  <c r="AI268" i="30290"/>
  <c r="AI265" i="30290" s="1"/>
  <c r="M268" i="30290"/>
  <c r="M265" i="30290" s="1"/>
  <c r="AL268" i="30300"/>
  <c r="AL265" i="30300" s="1"/>
  <c r="K268" i="30300"/>
  <c r="K265" i="30300" s="1"/>
  <c r="AE268" i="30300"/>
  <c r="AE265" i="30300" s="1"/>
  <c r="AP268" i="30300"/>
  <c r="AP265" i="30300" s="1"/>
  <c r="P268" i="30290"/>
  <c r="P265" i="30290" s="1"/>
  <c r="J268" i="30300"/>
  <c r="J265" i="30300" s="1"/>
  <c r="S268" i="30290"/>
  <c r="L268" i="30290"/>
  <c r="L265" i="30290" s="1"/>
  <c r="AR268" i="30290"/>
  <c r="AR265" i="30290" s="1"/>
  <c r="AU268" i="30290"/>
  <c r="AU265" i="30290" s="1"/>
  <c r="Z268" i="30300"/>
  <c r="Z265" i="30300" s="1"/>
  <c r="AM268" i="30290"/>
  <c r="AM265" i="30290" s="1"/>
  <c r="AG268" i="30290"/>
  <c r="AG265" i="30290" s="1"/>
  <c r="AS268" i="30300"/>
  <c r="AS265" i="30300" s="1"/>
  <c r="B4" i="30308"/>
  <c r="AK299" i="30312" l="1"/>
  <c r="AK293" i="30312"/>
  <c r="AU261" i="30298"/>
  <c r="AB351" i="30298"/>
  <c r="BC77" i="30308" s="1"/>
  <c r="BL77" i="30308" s="1"/>
  <c r="AU313" i="30298"/>
  <c r="AU262" i="30298"/>
  <c r="AW351" i="30290"/>
  <c r="Q349" i="30312"/>
  <c r="AU309" i="30298"/>
  <c r="J351" i="30290"/>
  <c r="I351" i="30290"/>
  <c r="I346" i="30290" s="1"/>
  <c r="Q313" i="30298"/>
  <c r="AI351" i="30298"/>
  <c r="L233" i="30298"/>
  <c r="L269" i="30298"/>
  <c r="L251" i="30298"/>
  <c r="L342" i="30298" s="1"/>
  <c r="AC75" i="30308" s="1"/>
  <c r="Q344" i="30312"/>
  <c r="Q345" i="30312" s="1"/>
  <c r="Q347" i="30312"/>
  <c r="Y311" i="30298"/>
  <c r="AH299" i="30298"/>
  <c r="AU311" i="30298"/>
  <c r="AU258" i="30298"/>
  <c r="AH293" i="30298"/>
  <c r="AK353" i="30312"/>
  <c r="B59" i="30308" s="1"/>
  <c r="S353" i="30312"/>
  <c r="E56" i="30308" s="1"/>
  <c r="AL353" i="30312"/>
  <c r="C59" i="30308" s="1"/>
  <c r="X299" i="30312"/>
  <c r="S300" i="30298"/>
  <c r="AO298" i="30312"/>
  <c r="S298" i="30298"/>
  <c r="AM298" i="30312"/>
  <c r="M353" i="30298"/>
  <c r="F75" i="30308" s="1"/>
  <c r="Q351" i="30300"/>
  <c r="AS299" i="30298"/>
  <c r="Y258" i="30298"/>
  <c r="M293" i="30298"/>
  <c r="AR351" i="30300"/>
  <c r="AR346" i="30300" s="1"/>
  <c r="I351" i="30300"/>
  <c r="I346" i="30300" s="1"/>
  <c r="R351" i="30300"/>
  <c r="AE262" i="30312"/>
  <c r="Q311" i="30298"/>
  <c r="L293" i="30298"/>
  <c r="L269" i="30312"/>
  <c r="L252" i="30312"/>
  <c r="L348" i="30312" s="1"/>
  <c r="M313" i="30298"/>
  <c r="S261" i="30298"/>
  <c r="AS348" i="30298"/>
  <c r="M298" i="30298"/>
  <c r="R309" i="30312"/>
  <c r="X351" i="30290"/>
  <c r="M252" i="30298"/>
  <c r="M348" i="30298" s="1"/>
  <c r="M299" i="30298"/>
  <c r="AS251" i="30298"/>
  <c r="AS350" i="30298" s="1"/>
  <c r="AF342" i="30298"/>
  <c r="AB78" i="30308" s="1"/>
  <c r="AV351" i="30290"/>
  <c r="AF344" i="30298"/>
  <c r="AF345" i="30298" s="1"/>
  <c r="S262" i="30298"/>
  <c r="AF347" i="30298"/>
  <c r="AS293" i="30298"/>
  <c r="AF349" i="30298"/>
  <c r="R258" i="30312"/>
  <c r="R262" i="30312"/>
  <c r="AA344" i="30298"/>
  <c r="AL77" i="30308" s="1"/>
  <c r="X311" i="30298"/>
  <c r="AS269" i="30298"/>
  <c r="AS233" i="30298"/>
  <c r="Y293" i="30298"/>
  <c r="Y299" i="30298"/>
  <c r="AT313" i="30298"/>
  <c r="AW351" i="30298"/>
  <c r="W80" i="30308" s="1"/>
  <c r="AS261" i="30298"/>
  <c r="AO300" i="30312"/>
  <c r="AE269" i="30312"/>
  <c r="AE233" i="30312"/>
  <c r="Y313" i="30298"/>
  <c r="AE251" i="30312"/>
  <c r="AE347" i="30312" s="1"/>
  <c r="R313" i="30312"/>
  <c r="AH262" i="30298"/>
  <c r="Y298" i="30298"/>
  <c r="Y262" i="30298"/>
  <c r="M252" i="30312"/>
  <c r="M344" i="30312" s="1"/>
  <c r="M300" i="30298"/>
  <c r="L233" i="30312"/>
  <c r="Y300" i="30298"/>
  <c r="X298" i="30312"/>
  <c r="Q300" i="30298"/>
  <c r="M269" i="30312"/>
  <c r="AA269" i="30312"/>
  <c r="M262" i="30312"/>
  <c r="U351" i="30298"/>
  <c r="BC76" i="30308" s="1"/>
  <c r="BL76" i="30308" s="1"/>
  <c r="Y351" i="30300"/>
  <c r="R351" i="30290"/>
  <c r="Y309" i="30298"/>
  <c r="AT344" i="30312"/>
  <c r="AT345" i="30312" s="1"/>
  <c r="M233" i="30312"/>
  <c r="AL313" i="30312"/>
  <c r="X251" i="30312"/>
  <c r="X344" i="30312" s="1"/>
  <c r="X233" i="30312"/>
  <c r="I258" i="30298"/>
  <c r="AR300" i="30312"/>
  <c r="AO262" i="30312"/>
  <c r="AA233" i="30312"/>
  <c r="X269" i="30298"/>
  <c r="AA251" i="30312"/>
  <c r="AA349" i="30312" s="1"/>
  <c r="AS300" i="30298"/>
  <c r="I262" i="30298"/>
  <c r="AK300" i="30312"/>
  <c r="AF311" i="30312"/>
  <c r="AP351" i="30312"/>
  <c r="W59" i="30308" s="1"/>
  <c r="J59" i="30308"/>
  <c r="AH261" i="30298"/>
  <c r="M309" i="30298"/>
  <c r="AR317" i="30312"/>
  <c r="I299" i="30298"/>
  <c r="M251" i="30298"/>
  <c r="M350" i="30298" s="1"/>
  <c r="J269" i="30312"/>
  <c r="I283" i="30298"/>
  <c r="X283" i="30312"/>
  <c r="J233" i="30312"/>
  <c r="M293" i="30312"/>
  <c r="I293" i="30298"/>
  <c r="J251" i="30312"/>
  <c r="J342" i="30312" s="1"/>
  <c r="AA55" i="30308" s="1"/>
  <c r="K57" i="30308"/>
  <c r="AS252" i="30312"/>
  <c r="AS342" i="30312" s="1"/>
  <c r="AA60" i="30308" s="1"/>
  <c r="AG351" i="30300"/>
  <c r="AS233" i="30312"/>
  <c r="AK298" i="30312"/>
  <c r="X233" i="30298"/>
  <c r="AT347" i="30312"/>
  <c r="X269" i="30312"/>
  <c r="AS269" i="30312"/>
  <c r="X251" i="30298"/>
  <c r="X342" i="30298" s="1"/>
  <c r="AA77" i="30308" s="1"/>
  <c r="J311" i="30312"/>
  <c r="AT349" i="30312"/>
  <c r="AN351" i="30300"/>
  <c r="L351" i="30300"/>
  <c r="J258" i="30312"/>
  <c r="M269" i="30298"/>
  <c r="L300" i="30312"/>
  <c r="I261" i="30298"/>
  <c r="AW351" i="30312"/>
  <c r="BC60" i="30308" s="1"/>
  <c r="BL60" i="30308" s="1"/>
  <c r="AO261" i="30312"/>
  <c r="L56" i="30308"/>
  <c r="K309" i="30312"/>
  <c r="K55" i="30308"/>
  <c r="AO283" i="30312"/>
  <c r="I311" i="30298"/>
  <c r="I313" i="30298"/>
  <c r="AP351" i="30298"/>
  <c r="W79" i="30308" s="1"/>
  <c r="AO258" i="30312"/>
  <c r="AM262" i="30312"/>
  <c r="K353" i="30312"/>
  <c r="D55" i="30308" s="1"/>
  <c r="AV298" i="30298"/>
  <c r="AA349" i="30298"/>
  <c r="AA347" i="30298"/>
  <c r="AF309" i="30312"/>
  <c r="I309" i="30298"/>
  <c r="T269" i="30298"/>
  <c r="T233" i="30298"/>
  <c r="T252" i="30298"/>
  <c r="T348" i="30298" s="1"/>
  <c r="J298" i="30298"/>
  <c r="AA342" i="30298"/>
  <c r="AD77" i="30308" s="1"/>
  <c r="R311" i="30312"/>
  <c r="X262" i="30298"/>
  <c r="AH298" i="30298"/>
  <c r="AN342" i="30312"/>
  <c r="AC59" i="30308" s="1"/>
  <c r="X313" i="30312"/>
  <c r="AL298" i="30298"/>
  <c r="AV309" i="30298"/>
  <c r="AL313" i="30298"/>
  <c r="AH353" i="30298"/>
  <c r="F78" i="30308" s="1"/>
  <c r="J313" i="30298"/>
  <c r="AL293" i="30298"/>
  <c r="Y269" i="30298"/>
  <c r="AR269" i="30298"/>
  <c r="Y251" i="30298"/>
  <c r="AR233" i="30298"/>
  <c r="AL283" i="30298"/>
  <c r="AL299" i="30298"/>
  <c r="AR251" i="30298"/>
  <c r="AR349" i="30298" s="1"/>
  <c r="Y252" i="30298"/>
  <c r="Y348" i="30298" s="1"/>
  <c r="AS313" i="30298"/>
  <c r="L283" i="30298"/>
  <c r="AV299" i="30298"/>
  <c r="AV293" i="30298"/>
  <c r="AV283" i="30298"/>
  <c r="AT262" i="30298"/>
  <c r="R347" i="30312"/>
  <c r="J262" i="30312"/>
  <c r="T300" i="30312"/>
  <c r="X262" i="30312"/>
  <c r="AR298" i="30312"/>
  <c r="AO313" i="30312"/>
  <c r="AO251" i="30312"/>
  <c r="AO350" i="30312" s="1"/>
  <c r="AK313" i="30312"/>
  <c r="X309" i="30312"/>
  <c r="P342" i="30312"/>
  <c r="Z56" i="30308" s="1"/>
  <c r="AR283" i="30312"/>
  <c r="AR293" i="30312"/>
  <c r="L75" i="30308"/>
  <c r="L55" i="30308"/>
  <c r="AL311" i="30312"/>
  <c r="AN353" i="30312"/>
  <c r="E59" i="30308" s="1"/>
  <c r="L79" i="30308"/>
  <c r="L59" i="30308"/>
  <c r="AO293" i="30312"/>
  <c r="N353" i="30312"/>
  <c r="G55" i="30308" s="1"/>
  <c r="N75" i="30308"/>
  <c r="N55" i="30308"/>
  <c r="J77" i="30308"/>
  <c r="J57" i="30308"/>
  <c r="AR353" i="30312"/>
  <c r="B60" i="30308" s="1"/>
  <c r="J80" i="30308"/>
  <c r="J60" i="30308"/>
  <c r="BC78" i="30308"/>
  <c r="BL78" i="30308" s="1"/>
  <c r="W78" i="30308"/>
  <c r="AO299" i="30312"/>
  <c r="K311" i="30298"/>
  <c r="AG353" i="30312"/>
  <c r="E58" i="30308" s="1"/>
  <c r="L78" i="30308"/>
  <c r="L58" i="30308"/>
  <c r="AS351" i="30311"/>
  <c r="AV262" i="30298"/>
  <c r="U353" i="30312"/>
  <c r="G56" i="30308" s="1"/>
  <c r="N76" i="30308"/>
  <c r="N56" i="30308"/>
  <c r="M75" i="30308"/>
  <c r="M55" i="30308"/>
  <c r="K79" i="30308"/>
  <c r="K59" i="30308"/>
  <c r="J353" i="30312"/>
  <c r="C55" i="30308" s="1"/>
  <c r="J55" i="30308"/>
  <c r="J75" i="30308"/>
  <c r="AW353" i="30312"/>
  <c r="G60" i="30308" s="1"/>
  <c r="N80" i="30308"/>
  <c r="N60" i="30308"/>
  <c r="U351" i="30301"/>
  <c r="AT353" i="30312"/>
  <c r="D60" i="30308" s="1"/>
  <c r="K80" i="30308"/>
  <c r="K60" i="30308"/>
  <c r="Q309" i="30298"/>
  <c r="AV353" i="30312"/>
  <c r="F60" i="30308" s="1"/>
  <c r="M80" i="30308"/>
  <c r="M60" i="30308"/>
  <c r="P342" i="30298"/>
  <c r="Z76" i="30308" s="1"/>
  <c r="AL309" i="30312"/>
  <c r="AL258" i="30312"/>
  <c r="AB353" i="30312"/>
  <c r="G57" i="30308" s="1"/>
  <c r="N57" i="30308"/>
  <c r="N77" i="30308"/>
  <c r="AK345" i="30298"/>
  <c r="AH79" i="30308"/>
  <c r="AP353" i="30312"/>
  <c r="G59" i="30308" s="1"/>
  <c r="N59" i="30308"/>
  <c r="N79" i="30308"/>
  <c r="X313" i="30298"/>
  <c r="AL300" i="30312"/>
  <c r="Z353" i="30312"/>
  <c r="E57" i="30308" s="1"/>
  <c r="L77" i="30308"/>
  <c r="L57" i="30308"/>
  <c r="J298" i="30312"/>
  <c r="AF353" i="30312"/>
  <c r="D58" i="30308" s="1"/>
  <c r="K78" i="30308"/>
  <c r="K58" i="30308"/>
  <c r="AO252" i="30312"/>
  <c r="AO348" i="30312" s="1"/>
  <c r="S342" i="30312"/>
  <c r="AC56" i="30308" s="1"/>
  <c r="AE351" i="30290"/>
  <c r="K311" i="30312"/>
  <c r="AL298" i="30312"/>
  <c r="W342" i="30298"/>
  <c r="Z77" i="30308" s="1"/>
  <c r="T298" i="30312"/>
  <c r="Q298" i="30298"/>
  <c r="AP351" i="30301"/>
  <c r="M261" i="30298"/>
  <c r="M262" i="30298"/>
  <c r="AR258" i="30312"/>
  <c r="AS298" i="30298"/>
  <c r="J313" i="30312"/>
  <c r="R261" i="30312"/>
  <c r="X351" i="30301"/>
  <c r="X348" i="30312"/>
  <c r="AV258" i="30298"/>
  <c r="AV312" i="30298"/>
  <c r="AV313" i="30298" s="1"/>
  <c r="AT258" i="30298"/>
  <c r="AO233" i="30312"/>
  <c r="X258" i="30298"/>
  <c r="AL299" i="30312"/>
  <c r="AR351" i="30311"/>
  <c r="Y261" i="30298"/>
  <c r="AE251" i="30298"/>
  <c r="AE252" i="30298"/>
  <c r="AE348" i="30298" s="1"/>
  <c r="AE233" i="30298"/>
  <c r="AE269" i="30298"/>
  <c r="X311" i="30312"/>
  <c r="M299" i="30312"/>
  <c r="AS311" i="30298"/>
  <c r="R342" i="30298"/>
  <c r="AB76" i="30308" s="1"/>
  <c r="Q283" i="30298"/>
  <c r="X300" i="30312"/>
  <c r="AL283" i="30312"/>
  <c r="T311" i="30312"/>
  <c r="AV353" i="30298"/>
  <c r="F80" i="30308" s="1"/>
  <c r="AV317" i="30298"/>
  <c r="AV300" i="30298"/>
  <c r="L311" i="30298"/>
  <c r="AL293" i="30312"/>
  <c r="T309" i="30312"/>
  <c r="M258" i="30298"/>
  <c r="AR311" i="30312"/>
  <c r="T299" i="30312"/>
  <c r="R300" i="30312"/>
  <c r="Q299" i="30298"/>
  <c r="X261" i="30312"/>
  <c r="AM351" i="30300"/>
  <c r="Q258" i="30298"/>
  <c r="AH309" i="30298"/>
  <c r="AS262" i="30298"/>
  <c r="AV261" i="30298"/>
  <c r="AV311" i="30298"/>
  <c r="AH342" i="30312"/>
  <c r="AD58" i="30308" s="1"/>
  <c r="AT300" i="30298"/>
  <c r="T283" i="30312"/>
  <c r="R350" i="30312"/>
  <c r="AS258" i="30298"/>
  <c r="AL258" i="30298"/>
  <c r="X258" i="30312"/>
  <c r="AI351" i="30312"/>
  <c r="T353" i="30298"/>
  <c r="F76" i="30308" s="1"/>
  <c r="R344" i="30312"/>
  <c r="AV252" i="30298"/>
  <c r="AV348" i="30298" s="1"/>
  <c r="AV233" i="30298"/>
  <c r="AV251" i="30298"/>
  <c r="AV269" i="30298"/>
  <c r="M311" i="30298"/>
  <c r="AB351" i="30301"/>
  <c r="AT351" i="30301"/>
  <c r="N351" i="30312"/>
  <c r="AD342" i="30312"/>
  <c r="Z58" i="30308" s="1"/>
  <c r="J262" i="30298"/>
  <c r="AR309" i="30298"/>
  <c r="AO309" i="30312"/>
  <c r="AL311" i="30298"/>
  <c r="AR313" i="30312"/>
  <c r="AD342" i="30298"/>
  <c r="Z78" i="30308" s="1"/>
  <c r="AV309" i="30312"/>
  <c r="L353" i="30312"/>
  <c r="E55" i="30308" s="1"/>
  <c r="AL351" i="30301"/>
  <c r="AU300" i="30298"/>
  <c r="AU298" i="30298"/>
  <c r="AU233" i="30298"/>
  <c r="AU252" i="30298"/>
  <c r="AU348" i="30298" s="1"/>
  <c r="AU251" i="30298"/>
  <c r="AU269" i="30298"/>
  <c r="Z342" i="30312"/>
  <c r="AC57" i="30308" s="1"/>
  <c r="AR348" i="30312"/>
  <c r="AT342" i="30312"/>
  <c r="AB60" i="30308" s="1"/>
  <c r="U351" i="30312"/>
  <c r="X261" i="30298"/>
  <c r="AG342" i="30312"/>
  <c r="AC58" i="30308" s="1"/>
  <c r="R349" i="30312"/>
  <c r="L298" i="30312"/>
  <c r="AG342" i="30298"/>
  <c r="AC78" i="30308" s="1"/>
  <c r="AU283" i="30298"/>
  <c r="AU293" i="30298"/>
  <c r="AU299" i="30298"/>
  <c r="AF351" i="30300"/>
  <c r="S353" i="30298"/>
  <c r="E76" i="30308" s="1"/>
  <c r="AS309" i="30298"/>
  <c r="AE309" i="30298"/>
  <c r="R342" i="30312"/>
  <c r="R267" i="30312" s="1"/>
  <c r="R268" i="30312" s="1"/>
  <c r="Q342" i="30312"/>
  <c r="AA56" i="30308" s="1"/>
  <c r="AB351" i="30312"/>
  <c r="X351" i="30311"/>
  <c r="AU351" i="30300"/>
  <c r="AD351" i="30300"/>
  <c r="AD346" i="30300" s="1"/>
  <c r="P351" i="30300"/>
  <c r="P346" i="30300" s="1"/>
  <c r="AK351" i="30300"/>
  <c r="AK346" i="30300" s="1"/>
  <c r="W351" i="30300"/>
  <c r="W346" i="30300" s="1"/>
  <c r="N351" i="30300"/>
  <c r="AD351" i="30290"/>
  <c r="AD346" i="30290" s="1"/>
  <c r="I353" i="30312"/>
  <c r="B55" i="30308" s="1"/>
  <c r="AR269" i="30312"/>
  <c r="AM311" i="30312"/>
  <c r="AR233" i="30312"/>
  <c r="AR251" i="30312"/>
  <c r="AR342" i="30312" s="1"/>
  <c r="Z60" i="30308" s="1"/>
  <c r="AR309" i="30312"/>
  <c r="AK309" i="30312"/>
  <c r="AL269" i="30312"/>
  <c r="AL251" i="30312"/>
  <c r="AL233" i="30312"/>
  <c r="AL252" i="30312"/>
  <c r="AL348" i="30312" s="1"/>
  <c r="AL261" i="30312"/>
  <c r="L309" i="30312"/>
  <c r="AO353" i="30312"/>
  <c r="F59" i="30308" s="1"/>
  <c r="AL262" i="30312"/>
  <c r="J309" i="30312"/>
  <c r="AM309" i="30312"/>
  <c r="I309" i="30312"/>
  <c r="AT351" i="30290"/>
  <c r="AM261" i="30312"/>
  <c r="U351" i="30290"/>
  <c r="AF351" i="30290"/>
  <c r="AV258" i="30312"/>
  <c r="Y351" i="30290"/>
  <c r="AV311" i="30312"/>
  <c r="AK311" i="30312"/>
  <c r="AS258" i="30312"/>
  <c r="AO311" i="30312"/>
  <c r="AK262" i="30312"/>
  <c r="AK261" i="30312"/>
  <c r="AK251" i="30312"/>
  <c r="AK269" i="30312"/>
  <c r="AK233" i="30312"/>
  <c r="AK252" i="30312"/>
  <c r="AK348" i="30312" s="1"/>
  <c r="AK258" i="30312"/>
  <c r="N351" i="30290"/>
  <c r="AL309" i="30298"/>
  <c r="AO311" i="30298"/>
  <c r="AA351" i="30290"/>
  <c r="AN311" i="30298"/>
  <c r="W309" i="30312"/>
  <c r="Q351" i="30301"/>
  <c r="AE317" i="30298"/>
  <c r="AL262" i="30298"/>
  <c r="AL261" i="30298"/>
  <c r="T312" i="30312"/>
  <c r="T313" i="30312" s="1"/>
  <c r="T258" i="30312"/>
  <c r="T233" i="30312"/>
  <c r="T251" i="30312"/>
  <c r="T252" i="30312"/>
  <c r="T348" i="30312" s="1"/>
  <c r="T269" i="30312"/>
  <c r="V269" i="30312" s="1"/>
  <c r="AE312" i="30298"/>
  <c r="AE313" i="30298" s="1"/>
  <c r="AE258" i="30298"/>
  <c r="T262" i="30312"/>
  <c r="T261" i="30312"/>
  <c r="AX265" i="30311"/>
  <c r="R299" i="30312"/>
  <c r="R283" i="30312"/>
  <c r="R293" i="30312"/>
  <c r="J311" i="30298"/>
  <c r="AS312" i="30312"/>
  <c r="AS313" i="30312" s="1"/>
  <c r="AS351" i="30301"/>
  <c r="M351" i="30311"/>
  <c r="AE299" i="30298"/>
  <c r="AE293" i="30298"/>
  <c r="AE283" i="30298"/>
  <c r="AL252" i="30298"/>
  <c r="AL348" i="30298" s="1"/>
  <c r="AL251" i="30298"/>
  <c r="AL233" i="30298"/>
  <c r="AL269" i="30298"/>
  <c r="AE311" i="30298"/>
  <c r="X351" i="30300"/>
  <c r="AT351" i="30300"/>
  <c r="AS351" i="30290"/>
  <c r="P351" i="30290"/>
  <c r="P346" i="30290" s="1"/>
  <c r="T309" i="30298"/>
  <c r="AR311" i="30298"/>
  <c r="Q353" i="30298"/>
  <c r="C76" i="30308" s="1"/>
  <c r="R298" i="30312"/>
  <c r="S309" i="30298"/>
  <c r="J351" i="30301"/>
  <c r="AA351" i="30311"/>
  <c r="T317" i="30312"/>
  <c r="AL300" i="30298"/>
  <c r="AT311" i="30298"/>
  <c r="AS311" i="30312"/>
  <c r="I300" i="30298"/>
  <c r="I298" i="30298"/>
  <c r="AH300" i="30298"/>
  <c r="K351" i="30290"/>
  <c r="AE311" i="30312"/>
  <c r="AT261" i="30298"/>
  <c r="Y309" i="30312"/>
  <c r="AI351" i="30301"/>
  <c r="I252" i="30298"/>
  <c r="I348" i="30298" s="1"/>
  <c r="I251" i="30298"/>
  <c r="I233" i="30298"/>
  <c r="I269" i="30298"/>
  <c r="AS309" i="30312"/>
  <c r="J261" i="30312"/>
  <c r="AE298" i="30298"/>
  <c r="AE300" i="30298"/>
  <c r="AE262" i="30298"/>
  <c r="AE261" i="30298"/>
  <c r="R348" i="30312"/>
  <c r="AO351" i="30301"/>
  <c r="AH258" i="30298"/>
  <c r="AH312" i="30298"/>
  <c r="AH313" i="30298" s="1"/>
  <c r="K309" i="30298"/>
  <c r="AU351" i="30311"/>
  <c r="AF298" i="30312"/>
  <c r="AF300" i="30312"/>
  <c r="AR312" i="30298"/>
  <c r="AR313" i="30298" s="1"/>
  <c r="AR258" i="30298"/>
  <c r="AU262" i="30312"/>
  <c r="AU261" i="30312"/>
  <c r="AD349" i="30312"/>
  <c r="AD347" i="30312"/>
  <c r="AD344" i="30312"/>
  <c r="AD350" i="30312"/>
  <c r="J300" i="30298"/>
  <c r="AC265" i="30301"/>
  <c r="AA351" i="30301"/>
  <c r="K317" i="30312"/>
  <c r="S350" i="30312"/>
  <c r="S344" i="30312"/>
  <c r="S347" i="30312"/>
  <c r="S349" i="30312"/>
  <c r="L261" i="30312"/>
  <c r="L262" i="30312"/>
  <c r="L351" i="30311"/>
  <c r="S312" i="30298"/>
  <c r="S313" i="30298" s="1"/>
  <c r="S258" i="30298"/>
  <c r="AA261" i="30312"/>
  <c r="AA262" i="30312"/>
  <c r="J258" i="30298"/>
  <c r="J293" i="30298"/>
  <c r="J299" i="30298"/>
  <c r="J283" i="30298"/>
  <c r="Q261" i="30298"/>
  <c r="L298" i="30298"/>
  <c r="L300" i="30298"/>
  <c r="AT252" i="30298"/>
  <c r="AT348" i="30298" s="1"/>
  <c r="AT251" i="30298"/>
  <c r="AT233" i="30298"/>
  <c r="AT269" i="30298"/>
  <c r="I261" i="30312"/>
  <c r="I262" i="30312"/>
  <c r="AF261" i="30312"/>
  <c r="AF262" i="30312"/>
  <c r="AU311" i="30312"/>
  <c r="AG350" i="30298"/>
  <c r="AG349" i="30298"/>
  <c r="AG347" i="30298"/>
  <c r="AG344" i="30298"/>
  <c r="AJ265" i="30301"/>
  <c r="AO251" i="30298"/>
  <c r="AO252" i="30298"/>
  <c r="AO348" i="30298" s="1"/>
  <c r="AO233" i="30298"/>
  <c r="AO269" i="30298"/>
  <c r="T299" i="30298"/>
  <c r="T283" i="30298"/>
  <c r="T293" i="30298"/>
  <c r="X309" i="30298"/>
  <c r="M351" i="30301"/>
  <c r="T311" i="30298"/>
  <c r="X348" i="30298"/>
  <c r="X317" i="30298"/>
  <c r="N351" i="30301"/>
  <c r="K258" i="30298"/>
  <c r="K312" i="30298"/>
  <c r="K313" i="30298" s="1"/>
  <c r="K262" i="30312"/>
  <c r="K261" i="30312"/>
  <c r="AO309" i="30298"/>
  <c r="AV313" i="30312"/>
  <c r="AF351" i="30311"/>
  <c r="AW351" i="30311"/>
  <c r="L351" i="30301"/>
  <c r="AN351" i="30311"/>
  <c r="AU312" i="30312"/>
  <c r="AU313" i="30312" s="1"/>
  <c r="AU258" i="30312"/>
  <c r="V265" i="30301"/>
  <c r="AL351" i="30290"/>
  <c r="U351" i="30300"/>
  <c r="T262" i="30298"/>
  <c r="T261" i="30298"/>
  <c r="AE353" i="30312"/>
  <c r="C58" i="30308" s="1"/>
  <c r="M353" i="30312"/>
  <c r="F55" i="30308" s="1"/>
  <c r="AA311" i="30312"/>
  <c r="AG349" i="30312"/>
  <c r="AG347" i="30312"/>
  <c r="AG350" i="30312"/>
  <c r="AG344" i="30312"/>
  <c r="AS261" i="30312"/>
  <c r="AS262" i="30312"/>
  <c r="AM300" i="30312"/>
  <c r="Y262" i="30312"/>
  <c r="Y261" i="30312"/>
  <c r="AN262" i="30298"/>
  <c r="AN261" i="30298"/>
  <c r="AN309" i="30298"/>
  <c r="K261" i="30298"/>
  <c r="K262" i="30298"/>
  <c r="W312" i="30312"/>
  <c r="W313" i="30312" s="1"/>
  <c r="W258" i="30312"/>
  <c r="K293" i="30298"/>
  <c r="K299" i="30298"/>
  <c r="K283" i="30298"/>
  <c r="W311" i="30312"/>
  <c r="Q317" i="30298"/>
  <c r="I351" i="30311"/>
  <c r="AT351" i="30311"/>
  <c r="U351" i="30311"/>
  <c r="AN351" i="30301"/>
  <c r="Z351" i="30311"/>
  <c r="AE299" i="30312"/>
  <c r="AE293" i="30312"/>
  <c r="AE283" i="30312"/>
  <c r="Y300" i="30312"/>
  <c r="Y298" i="30312"/>
  <c r="Z309" i="30298"/>
  <c r="AH351" i="30290"/>
  <c r="K351" i="30300"/>
  <c r="AO312" i="30298"/>
  <c r="AO313" i="30298" s="1"/>
  <c r="AO258" i="30298"/>
  <c r="AR261" i="30298"/>
  <c r="AR262" i="30298"/>
  <c r="S233" i="30298"/>
  <c r="S251" i="30298"/>
  <c r="S252" i="30298"/>
  <c r="S348" i="30298" s="1"/>
  <c r="S269" i="30298"/>
  <c r="J300" i="30312"/>
  <c r="K300" i="30298"/>
  <c r="K298" i="30298"/>
  <c r="M350" i="30312"/>
  <c r="AA283" i="30312"/>
  <c r="AA293" i="30312"/>
  <c r="AA299" i="30312"/>
  <c r="AV251" i="30312"/>
  <c r="AV233" i="30312"/>
  <c r="AV252" i="30312"/>
  <c r="AV348" i="30312" s="1"/>
  <c r="AV269" i="30312"/>
  <c r="AR348" i="30298"/>
  <c r="Y311" i="30312"/>
  <c r="AN312" i="30298"/>
  <c r="AN313" i="30298" s="1"/>
  <c r="AN258" i="30298"/>
  <c r="AN298" i="30298"/>
  <c r="AN300" i="30298"/>
  <c r="AM258" i="30298"/>
  <c r="AM299" i="30298"/>
  <c r="AM283" i="30298"/>
  <c r="AM293" i="30298"/>
  <c r="AM309" i="30298"/>
  <c r="AM353" i="30312"/>
  <c r="D59" i="30308" s="1"/>
  <c r="AF293" i="30312"/>
  <c r="AF299" i="30312"/>
  <c r="AF283" i="30312"/>
  <c r="L353" i="30298"/>
  <c r="E75" i="30308" s="1"/>
  <c r="X298" i="30298"/>
  <c r="X300" i="30298"/>
  <c r="L311" i="30312"/>
  <c r="W351" i="30311"/>
  <c r="AM351" i="30311"/>
  <c r="AI351" i="30311"/>
  <c r="Z351" i="30301"/>
  <c r="Z262" i="30298"/>
  <c r="Z261" i="30298"/>
  <c r="AM262" i="30298"/>
  <c r="AM261" i="30298"/>
  <c r="W353" i="30312"/>
  <c r="B57" i="30308" s="1"/>
  <c r="X353" i="30312"/>
  <c r="C57" i="30308" s="1"/>
  <c r="AR298" i="30298"/>
  <c r="AR300" i="30298"/>
  <c r="T351" i="30290"/>
  <c r="AV351" i="30300"/>
  <c r="L312" i="30312"/>
  <c r="L313" i="30312" s="1"/>
  <c r="L258" i="30312"/>
  <c r="AR353" i="30298"/>
  <c r="B80" i="30308" s="1"/>
  <c r="AS353" i="30298"/>
  <c r="C80" i="30308" s="1"/>
  <c r="AS350" i="30312"/>
  <c r="AM299" i="30312"/>
  <c r="AM283" i="30312"/>
  <c r="AM293" i="30312"/>
  <c r="AV298" i="30312"/>
  <c r="AV300" i="30312"/>
  <c r="Z269" i="30298"/>
  <c r="Z251" i="30298"/>
  <c r="Z252" i="30298"/>
  <c r="Z348" i="30298" s="1"/>
  <c r="Z233" i="30298"/>
  <c r="Z311" i="30298"/>
  <c r="L309" i="30298"/>
  <c r="S311" i="30298"/>
  <c r="AO317" i="30298"/>
  <c r="Y233" i="30312"/>
  <c r="Y252" i="30312"/>
  <c r="Y348" i="30312" s="1"/>
  <c r="Y251" i="30312"/>
  <c r="Y269" i="30312"/>
  <c r="L350" i="30312"/>
  <c r="K353" i="30298"/>
  <c r="D75" i="30308" s="1"/>
  <c r="Y353" i="30312"/>
  <c r="D57" i="30308" s="1"/>
  <c r="K312" i="30312"/>
  <c r="K313" i="30312" s="1"/>
  <c r="K258" i="30312"/>
  <c r="AT309" i="30298"/>
  <c r="K251" i="30312"/>
  <c r="K252" i="30312"/>
  <c r="K348" i="30312" s="1"/>
  <c r="K233" i="30312"/>
  <c r="K269" i="30312"/>
  <c r="K298" i="30312"/>
  <c r="K300" i="30312"/>
  <c r="AE261" i="30312"/>
  <c r="W351" i="30301"/>
  <c r="K351" i="30311"/>
  <c r="AP351" i="30311"/>
  <c r="AU351" i="30301"/>
  <c r="AR299" i="30298"/>
  <c r="AR293" i="30298"/>
  <c r="AR283" i="30298"/>
  <c r="AU252" i="30312"/>
  <c r="AU348" i="30312" s="1"/>
  <c r="AU233" i="30312"/>
  <c r="AU251" i="30312"/>
  <c r="AU269" i="30312"/>
  <c r="AM300" i="30298"/>
  <c r="AM298" i="30298"/>
  <c r="Y258" i="30312"/>
  <c r="Y312" i="30312"/>
  <c r="Y313" i="30312" s="1"/>
  <c r="N351" i="30298"/>
  <c r="AS283" i="30312"/>
  <c r="AS299" i="30312"/>
  <c r="AS293" i="30312"/>
  <c r="M298" i="30312"/>
  <c r="M300" i="30312"/>
  <c r="AU300" i="30312"/>
  <c r="AU298" i="30312"/>
  <c r="AE298" i="30312"/>
  <c r="AE300" i="30312"/>
  <c r="K251" i="30298"/>
  <c r="K252" i="30298"/>
  <c r="K348" i="30298" s="1"/>
  <c r="K233" i="30298"/>
  <c r="K269" i="30298"/>
  <c r="L258" i="30298"/>
  <c r="L312" i="30298"/>
  <c r="L313" i="30298" s="1"/>
  <c r="L261" i="30298"/>
  <c r="L262" i="30298"/>
  <c r="Y299" i="30312"/>
  <c r="Y293" i="30312"/>
  <c r="Y283" i="30312"/>
  <c r="AN269" i="30298"/>
  <c r="AN233" i="30298"/>
  <c r="AN252" i="30298"/>
  <c r="AN348" i="30298" s="1"/>
  <c r="AN251" i="30298"/>
  <c r="AF233" i="30312"/>
  <c r="AF252" i="30312"/>
  <c r="AF348" i="30312" s="1"/>
  <c r="AF251" i="30312"/>
  <c r="AF269" i="30312"/>
  <c r="AE348" i="30312"/>
  <c r="W283" i="30312"/>
  <c r="W299" i="30312"/>
  <c r="W293" i="30312"/>
  <c r="AD351" i="30301"/>
  <c r="AD351" i="30311"/>
  <c r="Y351" i="30311"/>
  <c r="AB351" i="30311"/>
  <c r="S351" i="30301"/>
  <c r="AV261" i="30312"/>
  <c r="AV262" i="30312"/>
  <c r="AS300" i="30312"/>
  <c r="AS298" i="30312"/>
  <c r="Q233" i="30298"/>
  <c r="Q251" i="30298"/>
  <c r="Q252" i="30298"/>
  <c r="Q348" i="30298" s="1"/>
  <c r="Q269" i="30298"/>
  <c r="AN283" i="30298"/>
  <c r="AN293" i="30298"/>
  <c r="AN299" i="30298"/>
  <c r="I293" i="30312"/>
  <c r="I283" i="30312"/>
  <c r="I299" i="30312"/>
  <c r="Z351" i="30290"/>
  <c r="AR351" i="30290"/>
  <c r="AR346" i="30290" s="1"/>
  <c r="AP351" i="30290"/>
  <c r="AN351" i="30290"/>
  <c r="V265" i="30311"/>
  <c r="M317" i="30312"/>
  <c r="W344" i="30298"/>
  <c r="W347" i="30298"/>
  <c r="W350" i="30298"/>
  <c r="W349" i="30298"/>
  <c r="AU283" i="30312"/>
  <c r="AU299" i="30312"/>
  <c r="AU293" i="30312"/>
  <c r="AO283" i="30298"/>
  <c r="AO299" i="30298"/>
  <c r="AO293" i="30298"/>
  <c r="AV299" i="30312"/>
  <c r="AV283" i="30312"/>
  <c r="AV293" i="30312"/>
  <c r="J348" i="30312"/>
  <c r="K351" i="30301"/>
  <c r="Z347" i="30312"/>
  <c r="Z350" i="30312"/>
  <c r="Z349" i="30312"/>
  <c r="Z344" i="30312"/>
  <c r="Y317" i="30312"/>
  <c r="T258" i="30298"/>
  <c r="T312" i="30298"/>
  <c r="T313" i="30298" s="1"/>
  <c r="AV317" i="30312"/>
  <c r="M311" i="30312"/>
  <c r="AA309" i="30312"/>
  <c r="W262" i="30312"/>
  <c r="W261" i="30312"/>
  <c r="AW351" i="30301"/>
  <c r="K283" i="30312"/>
  <c r="K293" i="30312"/>
  <c r="K299" i="30312"/>
  <c r="AU353" i="30312"/>
  <c r="E60" i="30308" s="1"/>
  <c r="I351" i="30301"/>
  <c r="AK351" i="30311"/>
  <c r="R351" i="30311"/>
  <c r="N351" i="30311"/>
  <c r="AG351" i="30301"/>
  <c r="AR262" i="30312"/>
  <c r="AR261" i="30312"/>
  <c r="O265" i="30311"/>
  <c r="P344" i="30312"/>
  <c r="P347" i="30312"/>
  <c r="P349" i="30312"/>
  <c r="P350" i="30312"/>
  <c r="S299" i="30298"/>
  <c r="S283" i="30298"/>
  <c r="S293" i="30298"/>
  <c r="AA312" i="30312"/>
  <c r="AA313" i="30312" s="1"/>
  <c r="AA258" i="30312"/>
  <c r="L348" i="30298"/>
  <c r="L317" i="30298"/>
  <c r="Y351" i="30301"/>
  <c r="AO353" i="30298"/>
  <c r="F79" i="30308" s="1"/>
  <c r="AM251" i="30298"/>
  <c r="AM233" i="30298"/>
  <c r="AM252" i="30298"/>
  <c r="AM348" i="30298" s="1"/>
  <c r="AM269" i="30298"/>
  <c r="AN353" i="30298"/>
  <c r="E79" i="30308" s="1"/>
  <c r="AM353" i="30298"/>
  <c r="D79" i="30308" s="1"/>
  <c r="L299" i="30312"/>
  <c r="L283" i="30312"/>
  <c r="L293" i="30312"/>
  <c r="P350" i="30298"/>
  <c r="P344" i="30298"/>
  <c r="P347" i="30298"/>
  <c r="P349" i="30298"/>
  <c r="AA353" i="30312"/>
  <c r="F57" i="30308" s="1"/>
  <c r="Q351" i="30311"/>
  <c r="AH311" i="30298"/>
  <c r="AR351" i="30301"/>
  <c r="P351" i="30311"/>
  <c r="T351" i="30311"/>
  <c r="AC265" i="30311"/>
  <c r="AD344" i="30298"/>
  <c r="AD350" i="30298"/>
  <c r="AD347" i="30298"/>
  <c r="AD349" i="30298"/>
  <c r="AK351" i="30290"/>
  <c r="AK346" i="30290" s="1"/>
  <c r="AM233" i="30312"/>
  <c r="AM251" i="30312"/>
  <c r="AM252" i="30312"/>
  <c r="AM348" i="30312" s="1"/>
  <c r="AM269" i="30312"/>
  <c r="S317" i="30298"/>
  <c r="Z299" i="30298"/>
  <c r="Z283" i="30298"/>
  <c r="Z293" i="30298"/>
  <c r="AJ265" i="30311"/>
  <c r="I258" i="30312"/>
  <c r="I312" i="30312"/>
  <c r="I313" i="30312" s="1"/>
  <c r="M309" i="30312"/>
  <c r="J251" i="30298"/>
  <c r="J233" i="30298"/>
  <c r="J252" i="30298"/>
  <c r="J348" i="30298" s="1"/>
  <c r="J269" i="30298"/>
  <c r="R351" i="30301"/>
  <c r="I311" i="30312"/>
  <c r="AE309" i="30312"/>
  <c r="J261" i="30298"/>
  <c r="T350" i="30298"/>
  <c r="AN317" i="30298"/>
  <c r="X299" i="30298"/>
  <c r="X283" i="30298"/>
  <c r="X293" i="30298"/>
  <c r="O265" i="30301"/>
  <c r="W298" i="30312"/>
  <c r="W300" i="30312"/>
  <c r="AH351" i="30301"/>
  <c r="AS353" i="30312"/>
  <c r="C60" i="30308" s="1"/>
  <c r="AH233" i="30298"/>
  <c r="AH251" i="30298"/>
  <c r="AH252" i="30298"/>
  <c r="AH348" i="30298" s="1"/>
  <c r="AH269" i="30298"/>
  <c r="AO261" i="30298"/>
  <c r="AO262" i="30298"/>
  <c r="AE351" i="30311"/>
  <c r="Z353" i="30298"/>
  <c r="E77" i="30308" s="1"/>
  <c r="T298" i="30298"/>
  <c r="T300" i="30298"/>
  <c r="AE351" i="30301"/>
  <c r="P351" i="30301"/>
  <c r="AV351" i="30311"/>
  <c r="Z300" i="30298"/>
  <c r="Z298" i="30298"/>
  <c r="W351" i="30290"/>
  <c r="W346" i="30290" s="1"/>
  <c r="R344" i="30298"/>
  <c r="R347" i="30298"/>
  <c r="R349" i="30298"/>
  <c r="R350" i="30298"/>
  <c r="AQ265" i="30311"/>
  <c r="M312" i="30312"/>
  <c r="M313" i="30312" s="1"/>
  <c r="M258" i="30312"/>
  <c r="I252" i="30312"/>
  <c r="I348" i="30312" s="1"/>
  <c r="I251" i="30312"/>
  <c r="I233" i="30312"/>
  <c r="I269" i="30312"/>
  <c r="Z312" i="30298"/>
  <c r="Z313" i="30298" s="1"/>
  <c r="Z258" i="30298"/>
  <c r="AU309" i="30312"/>
  <c r="AA298" i="30312"/>
  <c r="AA300" i="30312"/>
  <c r="AO300" i="30298"/>
  <c r="AO298" i="30298"/>
  <c r="AM351" i="30301"/>
  <c r="AE312" i="30312"/>
  <c r="AE313" i="30312" s="1"/>
  <c r="AE258" i="30312"/>
  <c r="AM313" i="30312"/>
  <c r="I317" i="30312"/>
  <c r="AX265" i="30301"/>
  <c r="T351" i="30301"/>
  <c r="M261" i="30312"/>
  <c r="W252" i="30312"/>
  <c r="W348" i="30312" s="1"/>
  <c r="W251" i="30312"/>
  <c r="W233" i="30312"/>
  <c r="W269" i="30312"/>
  <c r="J351" i="30311"/>
  <c r="J309" i="30298"/>
  <c r="AK351" i="30301"/>
  <c r="AO351" i="30311"/>
  <c r="AG351" i="30311"/>
  <c r="I300" i="30312"/>
  <c r="I298" i="30312"/>
  <c r="AF351" i="30301"/>
  <c r="AM258" i="30312"/>
  <c r="AT299" i="30298"/>
  <c r="AT283" i="30298"/>
  <c r="AT293" i="30298"/>
  <c r="AM317" i="30298"/>
  <c r="AM311" i="30298"/>
  <c r="AQ265" i="30301"/>
  <c r="AH349" i="30312"/>
  <c r="AH347" i="30312"/>
  <c r="AH350" i="30312"/>
  <c r="AH344" i="30312"/>
  <c r="AF312" i="30312"/>
  <c r="AF313" i="30312" s="1"/>
  <c r="AF258" i="30312"/>
  <c r="AV351" i="30301"/>
  <c r="W317" i="30312"/>
  <c r="AS317" i="30312"/>
  <c r="AL351" i="30311"/>
  <c r="AT298" i="30298"/>
  <c r="J299" i="30312"/>
  <c r="J283" i="30312"/>
  <c r="J293" i="30312"/>
  <c r="AN347" i="30312"/>
  <c r="AN350" i="30312"/>
  <c r="AN344" i="30312"/>
  <c r="AN349" i="30312"/>
  <c r="AA348" i="30312"/>
  <c r="AH351" i="30311"/>
  <c r="S351" i="30311"/>
  <c r="AK343" i="30298"/>
  <c r="AK267" i="30298"/>
  <c r="AK268" i="30298" s="1"/>
  <c r="AB351" i="30300"/>
  <c r="AE351" i="30300"/>
  <c r="AH351" i="30300"/>
  <c r="J351" i="30300"/>
  <c r="AX265" i="30300"/>
  <c r="AO351" i="30290"/>
  <c r="AB351" i="30290"/>
  <c r="V265" i="30300"/>
  <c r="AS351" i="30300"/>
  <c r="AU351" i="30290"/>
  <c r="AP351" i="30300"/>
  <c r="AA351" i="30300"/>
  <c r="AL351" i="30300"/>
  <c r="AM351" i="30290"/>
  <c r="Q351" i="30290"/>
  <c r="L351" i="30290"/>
  <c r="Z351" i="30300"/>
  <c r="AJ265" i="30290"/>
  <c r="AX265" i="30290"/>
  <c r="S351" i="30290"/>
  <c r="S265" i="30290"/>
  <c r="M351" i="30290"/>
  <c r="AJ265" i="30300"/>
  <c r="AC265" i="30300"/>
  <c r="S351" i="30300"/>
  <c r="AI351" i="30300"/>
  <c r="AC265" i="30290"/>
  <c r="AQ265" i="30300"/>
  <c r="AQ265" i="30290"/>
  <c r="O265" i="30300"/>
  <c r="O265" i="30290"/>
  <c r="M351" i="30300"/>
  <c r="AG351" i="30290"/>
  <c r="T351" i="30300"/>
  <c r="AI351" i="30290"/>
  <c r="AW351" i="30300"/>
  <c r="AO351" i="30300"/>
  <c r="L346" i="30300" l="1"/>
  <c r="W77" i="30308"/>
  <c r="L344" i="30298"/>
  <c r="L345" i="30298" s="1"/>
  <c r="L347" i="30298"/>
  <c r="AS349" i="30312"/>
  <c r="L349" i="30298"/>
  <c r="AE342" i="30312"/>
  <c r="AA58" i="30308" s="1"/>
  <c r="AS347" i="30312"/>
  <c r="AS348" i="30312"/>
  <c r="L350" i="30298"/>
  <c r="AE349" i="30312"/>
  <c r="M346" i="30300"/>
  <c r="T349" i="30298"/>
  <c r="T347" i="30298"/>
  <c r="AW346" i="30290"/>
  <c r="AI56" i="30308"/>
  <c r="X349" i="30298"/>
  <c r="R346" i="30300"/>
  <c r="T344" i="30298"/>
  <c r="T345" i="30298" s="1"/>
  <c r="X350" i="30298"/>
  <c r="AS342" i="30298"/>
  <c r="AA80" i="30308" s="1"/>
  <c r="AS349" i="30298"/>
  <c r="Z346" i="30300"/>
  <c r="AH346" i="30300"/>
  <c r="AS344" i="30298"/>
  <c r="AI80" i="30308" s="1"/>
  <c r="AS347" i="30298"/>
  <c r="AS344" i="30312"/>
  <c r="AS345" i="30312" s="1"/>
  <c r="M347" i="30312"/>
  <c r="J347" i="30312"/>
  <c r="AJ269" i="30312"/>
  <c r="Y346" i="30300"/>
  <c r="Y346" i="30290"/>
  <c r="S346" i="30290"/>
  <c r="AS346" i="30300"/>
  <c r="AA343" i="30298"/>
  <c r="J349" i="30312"/>
  <c r="J350" i="30312"/>
  <c r="L347" i="30312"/>
  <c r="AF267" i="30298"/>
  <c r="AF268" i="30298" s="1"/>
  <c r="AF265" i="30298" s="1"/>
  <c r="J346" i="30300"/>
  <c r="AO346" i="30300"/>
  <c r="S346" i="30300"/>
  <c r="X347" i="30298"/>
  <c r="BT75" i="30308"/>
  <c r="L344" i="30312"/>
  <c r="L345" i="30312" s="1"/>
  <c r="AA347" i="30312"/>
  <c r="AJ78" i="30308"/>
  <c r="L342" i="30312"/>
  <c r="AC55" i="30308" s="1"/>
  <c r="L349" i="30312"/>
  <c r="BT55" i="30308"/>
  <c r="M342" i="30312"/>
  <c r="AD55" i="30308" s="1"/>
  <c r="AA345" i="30298"/>
  <c r="AF343" i="30298"/>
  <c r="J344" i="30312"/>
  <c r="J345" i="30312" s="1"/>
  <c r="AA267" i="30298"/>
  <c r="AA268" i="30298" s="1"/>
  <c r="AA265" i="30298" s="1"/>
  <c r="X344" i="30298"/>
  <c r="AI77" i="30308" s="1"/>
  <c r="AE350" i="30312"/>
  <c r="AE344" i="30312"/>
  <c r="AI58" i="30308" s="1"/>
  <c r="AN346" i="30300"/>
  <c r="AA350" i="30312"/>
  <c r="AA344" i="30312"/>
  <c r="AA345" i="30312" s="1"/>
  <c r="M348" i="30312"/>
  <c r="M349" i="30312"/>
  <c r="AO344" i="30312"/>
  <c r="AO345" i="30312" s="1"/>
  <c r="AO349" i="30312"/>
  <c r="AO347" i="30312"/>
  <c r="BC80" i="30308"/>
  <c r="BL80" i="30308" s="1"/>
  <c r="W76" i="30308"/>
  <c r="AA342" i="30312"/>
  <c r="AD57" i="30308" s="1"/>
  <c r="M347" i="30298"/>
  <c r="M344" i="30298"/>
  <c r="M345" i="30298" s="1"/>
  <c r="Y349" i="30298"/>
  <c r="BC59" i="30308"/>
  <c r="BL59" i="30308" s="1"/>
  <c r="AG346" i="30290"/>
  <c r="AJ60" i="30308"/>
  <c r="X345" i="30312"/>
  <c r="AI57" i="30308"/>
  <c r="X347" i="30312"/>
  <c r="AR344" i="30312"/>
  <c r="AH60" i="30308" s="1"/>
  <c r="X350" i="30312"/>
  <c r="X342" i="30312"/>
  <c r="AA57" i="30308" s="1"/>
  <c r="X349" i="30312"/>
  <c r="AT343" i="30312"/>
  <c r="AT267" i="30312"/>
  <c r="AT268" i="30312" s="1"/>
  <c r="AT265" i="30312" s="1"/>
  <c r="M342" i="30298"/>
  <c r="T342" i="30298"/>
  <c r="AD76" i="30308" s="1"/>
  <c r="M349" i="30298"/>
  <c r="AB346" i="30290"/>
  <c r="W60" i="30308"/>
  <c r="BC79" i="30308"/>
  <c r="BL79" i="30308" s="1"/>
  <c r="AR342" i="30298"/>
  <c r="Z80" i="30308" s="1"/>
  <c r="L346" i="30290"/>
  <c r="AR347" i="30312"/>
  <c r="Q343" i="30312"/>
  <c r="AS346" i="30311"/>
  <c r="AE346" i="30290"/>
  <c r="AO342" i="30312"/>
  <c r="AD59" i="30308" s="1"/>
  <c r="AR350" i="30298"/>
  <c r="AR344" i="30298"/>
  <c r="AR345" i="30298" s="1"/>
  <c r="AU346" i="30300"/>
  <c r="AR347" i="30298"/>
  <c r="Q267" i="30312"/>
  <c r="Q268" i="30312" s="1"/>
  <c r="Q265" i="30312" s="1"/>
  <c r="AP346" i="30301"/>
  <c r="AE346" i="30300"/>
  <c r="AF346" i="30300"/>
  <c r="Y342" i="30298"/>
  <c r="AB77" i="30308" s="1"/>
  <c r="AG346" i="30300"/>
  <c r="Y347" i="30298"/>
  <c r="Y344" i="30298"/>
  <c r="Y345" i="30298" s="1"/>
  <c r="Y350" i="30298"/>
  <c r="AN342" i="30298"/>
  <c r="AC79" i="30308" s="1"/>
  <c r="AV346" i="30300"/>
  <c r="U346" i="30290"/>
  <c r="AF346" i="30290"/>
  <c r="AT346" i="30290"/>
  <c r="K346" i="30290"/>
  <c r="V50" i="30308"/>
  <c r="BB50" i="30308"/>
  <c r="BK50" i="30308" s="1"/>
  <c r="P346" i="30311"/>
  <c r="AX46" i="30308"/>
  <c r="BG46" i="30308" s="1"/>
  <c r="R46" i="30308"/>
  <c r="AZ46" i="30308"/>
  <c r="BI46" i="30308" s="1"/>
  <c r="T46" i="30308"/>
  <c r="W345" i="30298"/>
  <c r="AH77" i="30308"/>
  <c r="AZ47" i="30308"/>
  <c r="BI47" i="30308" s="1"/>
  <c r="T47" i="30308"/>
  <c r="W346" i="30311"/>
  <c r="AX47" i="30308"/>
  <c r="BG47" i="30308" s="1"/>
  <c r="R47" i="30308"/>
  <c r="AD345" i="30312"/>
  <c r="AH58" i="30308"/>
  <c r="J346" i="30311"/>
  <c r="AY45" i="30308"/>
  <c r="BH45" i="30308" s="1"/>
  <c r="S45" i="30308"/>
  <c r="P346" i="30301"/>
  <c r="AX66" i="30308"/>
  <c r="BG66" i="30308" s="1"/>
  <c r="R66" i="30308"/>
  <c r="AR346" i="30301"/>
  <c r="R70" i="30308"/>
  <c r="AX70" i="30308"/>
  <c r="BG70" i="30308" s="1"/>
  <c r="BB69" i="30308"/>
  <c r="BK69" i="30308" s="1"/>
  <c r="V69" i="30308"/>
  <c r="W68" i="30308"/>
  <c r="BC68" i="30308"/>
  <c r="BL68" i="30308" s="1"/>
  <c r="BB47" i="30308"/>
  <c r="BK47" i="30308" s="1"/>
  <c r="V47" i="30308"/>
  <c r="AM346" i="30301"/>
  <c r="AZ69" i="30308"/>
  <c r="BI69" i="30308" s="1"/>
  <c r="T69" i="30308"/>
  <c r="S68" i="30308"/>
  <c r="AY68" i="30308"/>
  <c r="BH68" i="30308" s="1"/>
  <c r="AK346" i="30311"/>
  <c r="R49" i="30308"/>
  <c r="AX49" i="30308"/>
  <c r="BG49" i="30308" s="1"/>
  <c r="AD346" i="30311"/>
  <c r="AX48" i="30308"/>
  <c r="BG48" i="30308" s="1"/>
  <c r="R48" i="30308"/>
  <c r="AF342" i="30312"/>
  <c r="AB58" i="30308" s="1"/>
  <c r="BC75" i="30308"/>
  <c r="BL75" i="30308" s="1"/>
  <c r="W75" i="30308"/>
  <c r="M345" i="30312"/>
  <c r="AL55" i="30308"/>
  <c r="BA49" i="30308"/>
  <c r="BJ49" i="30308" s="1"/>
  <c r="U49" i="30308"/>
  <c r="W65" i="30308"/>
  <c r="BC65" i="30308"/>
  <c r="BL65" i="30308" s="1"/>
  <c r="AY65" i="30308"/>
  <c r="BH65" i="30308" s="1"/>
  <c r="S65" i="30308"/>
  <c r="AY67" i="30308"/>
  <c r="BH67" i="30308" s="1"/>
  <c r="S67" i="30308"/>
  <c r="I346" i="30301"/>
  <c r="AX65" i="30308"/>
  <c r="BG65" i="30308" s="1"/>
  <c r="R65" i="30308"/>
  <c r="AD346" i="30301"/>
  <c r="AX68" i="30308"/>
  <c r="BG68" i="30308" s="1"/>
  <c r="R68" i="30308"/>
  <c r="BA65" i="30308"/>
  <c r="BJ65" i="30308" s="1"/>
  <c r="U65" i="30308"/>
  <c r="R345" i="30312"/>
  <c r="AJ56" i="30308"/>
  <c r="AH345" i="30312"/>
  <c r="AL58" i="30308"/>
  <c r="U46" i="30308"/>
  <c r="BA46" i="30308"/>
  <c r="BJ46" i="30308" s="1"/>
  <c r="AY49" i="30308"/>
  <c r="BH49" i="30308" s="1"/>
  <c r="S49" i="30308"/>
  <c r="AZ68" i="30308"/>
  <c r="BI68" i="30308" s="1"/>
  <c r="T68" i="30308"/>
  <c r="AU346" i="30301"/>
  <c r="U70" i="30308"/>
  <c r="BA70" i="30308"/>
  <c r="BJ70" i="30308" s="1"/>
  <c r="BA47" i="30308"/>
  <c r="BJ47" i="30308" s="1"/>
  <c r="U47" i="30308"/>
  <c r="W50" i="30308"/>
  <c r="BC50" i="30308"/>
  <c r="BL50" i="30308" s="1"/>
  <c r="AY69" i="30308"/>
  <c r="BH69" i="30308" s="1"/>
  <c r="S69" i="30308"/>
  <c r="BB48" i="30308"/>
  <c r="BK48" i="30308" s="1"/>
  <c r="V48" i="30308"/>
  <c r="BA69" i="30308"/>
  <c r="BJ69" i="30308" s="1"/>
  <c r="U69" i="30308"/>
  <c r="T48" i="30308"/>
  <c r="AZ48" i="30308"/>
  <c r="BI48" i="30308" s="1"/>
  <c r="AG345" i="30298"/>
  <c r="AK78" i="30308"/>
  <c r="S345" i="30312"/>
  <c r="AK56" i="30308"/>
  <c r="W56" i="30308"/>
  <c r="BC56" i="30308"/>
  <c r="BL56" i="30308" s="1"/>
  <c r="AR346" i="30311"/>
  <c r="R50" i="30308"/>
  <c r="AX50" i="30308"/>
  <c r="BG50" i="30308" s="1"/>
  <c r="BC49" i="30308"/>
  <c r="BL49" i="30308" s="1"/>
  <c r="W49" i="30308"/>
  <c r="AI346" i="30301"/>
  <c r="V68" i="30308"/>
  <c r="BB68" i="30308"/>
  <c r="BK68" i="30308" s="1"/>
  <c r="Z345" i="30312"/>
  <c r="AK57" i="30308"/>
  <c r="AZ45" i="30308"/>
  <c r="BI45" i="30308" s="1"/>
  <c r="T45" i="30308"/>
  <c r="BC46" i="30308"/>
  <c r="BL46" i="30308" s="1"/>
  <c r="W46" i="30308"/>
  <c r="V65" i="30308"/>
  <c r="BB65" i="30308"/>
  <c r="BK65" i="30308" s="1"/>
  <c r="AT342" i="30298"/>
  <c r="AB80" i="30308" s="1"/>
  <c r="AY47" i="30308"/>
  <c r="BH47" i="30308" s="1"/>
  <c r="S47" i="30308"/>
  <c r="BC55" i="30308"/>
  <c r="BL55" i="30308" s="1"/>
  <c r="W55" i="30308"/>
  <c r="BC58" i="30308"/>
  <c r="BL58" i="30308" s="1"/>
  <c r="W58" i="30308"/>
  <c r="BC66" i="30308"/>
  <c r="BL66" i="30308" s="1"/>
  <c r="W66" i="30308"/>
  <c r="P345" i="30312"/>
  <c r="AH56" i="30308"/>
  <c r="BA48" i="30308"/>
  <c r="BJ48" i="30308" s="1"/>
  <c r="U48" i="30308"/>
  <c r="BB66" i="30308"/>
  <c r="BK66" i="30308" s="1"/>
  <c r="V66" i="30308"/>
  <c r="P345" i="30298"/>
  <c r="AH76" i="30308"/>
  <c r="Y346" i="30301"/>
  <c r="AZ67" i="30308"/>
  <c r="BI67" i="30308" s="1"/>
  <c r="T67" i="30308"/>
  <c r="Z346" i="30290"/>
  <c r="AT346" i="30311"/>
  <c r="AZ50" i="30308"/>
  <c r="BI50" i="30308" s="1"/>
  <c r="T50" i="30308"/>
  <c r="BA45" i="30308"/>
  <c r="BJ45" i="30308" s="1"/>
  <c r="U45" i="30308"/>
  <c r="BC57" i="30308"/>
  <c r="BL57" i="30308" s="1"/>
  <c r="W57" i="30308"/>
  <c r="AZ70" i="30308"/>
  <c r="BI70" i="30308" s="1"/>
  <c r="T70" i="30308"/>
  <c r="Q346" i="30311"/>
  <c r="AY46" i="30308"/>
  <c r="BH46" i="30308" s="1"/>
  <c r="S46" i="30308"/>
  <c r="V70" i="30308"/>
  <c r="BB70" i="30308"/>
  <c r="BK70" i="30308" s="1"/>
  <c r="BC70" i="30308"/>
  <c r="BL70" i="30308" s="1"/>
  <c r="W70" i="30308"/>
  <c r="W346" i="30301"/>
  <c r="AX67" i="30308"/>
  <c r="BG67" i="30308" s="1"/>
  <c r="R67" i="30308"/>
  <c r="BA67" i="30308"/>
  <c r="BJ67" i="30308" s="1"/>
  <c r="U67" i="30308"/>
  <c r="AG345" i="30312"/>
  <c r="AK58" i="30308"/>
  <c r="BB67" i="30308"/>
  <c r="BK67" i="30308" s="1"/>
  <c r="V67" i="30308"/>
  <c r="BC67" i="30308"/>
  <c r="BL67" i="30308" s="1"/>
  <c r="W67" i="30308"/>
  <c r="AN345" i="30312"/>
  <c r="AK59" i="30308"/>
  <c r="BB49" i="30308"/>
  <c r="BK49" i="30308" s="1"/>
  <c r="V49" i="30308"/>
  <c r="R345" i="30298"/>
  <c r="AJ76" i="30308"/>
  <c r="AD345" i="30298"/>
  <c r="AH78" i="30308"/>
  <c r="W48" i="30308"/>
  <c r="BC48" i="30308"/>
  <c r="BL48" i="30308" s="1"/>
  <c r="I346" i="30311"/>
  <c r="AX45" i="30308"/>
  <c r="BG45" i="30308" s="1"/>
  <c r="R45" i="30308"/>
  <c r="U50" i="30308"/>
  <c r="BA50" i="30308"/>
  <c r="BJ50" i="30308" s="1"/>
  <c r="AY66" i="30308"/>
  <c r="BH66" i="30308" s="1"/>
  <c r="S66" i="30308"/>
  <c r="R343" i="30312"/>
  <c r="AB56" i="30308"/>
  <c r="AY50" i="30308"/>
  <c r="BH50" i="30308" s="1"/>
  <c r="S50" i="30308"/>
  <c r="AK346" i="30301"/>
  <c r="R69" i="30308"/>
  <c r="AX69" i="30308"/>
  <c r="BG69" i="30308" s="1"/>
  <c r="AE346" i="30311"/>
  <c r="AY48" i="30308"/>
  <c r="BH48" i="30308" s="1"/>
  <c r="S48" i="30308"/>
  <c r="BA68" i="30308"/>
  <c r="BJ68" i="30308" s="1"/>
  <c r="U68" i="30308"/>
  <c r="AZ65" i="30308"/>
  <c r="BI65" i="30308" s="1"/>
  <c r="T65" i="30308"/>
  <c r="BA66" i="30308"/>
  <c r="BJ66" i="30308" s="1"/>
  <c r="U66" i="30308"/>
  <c r="AZ49" i="30308"/>
  <c r="BI49" i="30308" s="1"/>
  <c r="T49" i="30308"/>
  <c r="V45" i="30308"/>
  <c r="BB45" i="30308"/>
  <c r="BK45" i="30308" s="1"/>
  <c r="R346" i="30301"/>
  <c r="T66" i="30308"/>
  <c r="AZ66" i="30308"/>
  <c r="BI66" i="30308" s="1"/>
  <c r="BB46" i="30308"/>
  <c r="BK46" i="30308" s="1"/>
  <c r="V46" i="30308"/>
  <c r="N346" i="30311"/>
  <c r="W45" i="30308"/>
  <c r="BC45" i="30308"/>
  <c r="BL45" i="30308" s="1"/>
  <c r="BC47" i="30308"/>
  <c r="BL47" i="30308" s="1"/>
  <c r="W47" i="30308"/>
  <c r="AT346" i="30301"/>
  <c r="AY70" i="30308"/>
  <c r="BH70" i="30308" s="1"/>
  <c r="S70" i="30308"/>
  <c r="BC69" i="30308"/>
  <c r="BL69" i="30308" s="1"/>
  <c r="W69" i="30308"/>
  <c r="I342" i="30312"/>
  <c r="Z55" i="30308" s="1"/>
  <c r="K346" i="30301"/>
  <c r="AV342" i="30298"/>
  <c r="AD80" i="30308" s="1"/>
  <c r="AV349" i="30298"/>
  <c r="AV347" i="30298"/>
  <c r="AV344" i="30298"/>
  <c r="AV350" i="30298"/>
  <c r="Y346" i="30311"/>
  <c r="K342" i="30312"/>
  <c r="AB55" i="30308" s="1"/>
  <c r="AE342" i="30298"/>
  <c r="AA78" i="30308" s="1"/>
  <c r="S342" i="30298"/>
  <c r="AC76" i="30308" s="1"/>
  <c r="AE344" i="30298"/>
  <c r="AE347" i="30298"/>
  <c r="AE349" i="30298"/>
  <c r="AE350" i="30298"/>
  <c r="W342" i="30312"/>
  <c r="Z57" i="30308" s="1"/>
  <c r="Q342" i="30298"/>
  <c r="AA76" i="30308" s="1"/>
  <c r="AM346" i="30290"/>
  <c r="AM342" i="30298"/>
  <c r="AB79" i="30308" s="1"/>
  <c r="AR349" i="30312"/>
  <c r="AV346" i="30301"/>
  <c r="X346" i="30300"/>
  <c r="AO346" i="30311"/>
  <c r="AR350" i="30312"/>
  <c r="AV342" i="30312"/>
  <c r="AD60" i="30308" s="1"/>
  <c r="AU342" i="30298"/>
  <c r="AC80" i="30308" s="1"/>
  <c r="AU344" i="30298"/>
  <c r="AU347" i="30298"/>
  <c r="AU349" i="30298"/>
  <c r="AU350" i="30298"/>
  <c r="AH342" i="30298"/>
  <c r="AD78" i="30308" s="1"/>
  <c r="AM342" i="30312"/>
  <c r="AB59" i="30308" s="1"/>
  <c r="AL342" i="30312"/>
  <c r="AA59" i="30308" s="1"/>
  <c r="T342" i="30312"/>
  <c r="AD56" i="30308" s="1"/>
  <c r="AK342" i="30312"/>
  <c r="Z59" i="30308" s="1"/>
  <c r="Q346" i="30300"/>
  <c r="AL342" i="30298"/>
  <c r="AA79" i="30308" s="1"/>
  <c r="AP346" i="30290"/>
  <c r="K342" i="30298"/>
  <c r="AB75" i="30308" s="1"/>
  <c r="I342" i="30298"/>
  <c r="Z75" i="30308" s="1"/>
  <c r="M346" i="30311"/>
  <c r="N346" i="30301"/>
  <c r="Z342" i="30298"/>
  <c r="AC77" i="30308" s="1"/>
  <c r="J342" i="30298"/>
  <c r="AA75" i="30308" s="1"/>
  <c r="AU342" i="30312"/>
  <c r="AC60" i="30308" s="1"/>
  <c r="Y342" i="30312"/>
  <c r="AB57" i="30308" s="1"/>
  <c r="AO342" i="30298"/>
  <c r="AD79" i="30308" s="1"/>
  <c r="AE346" i="30301"/>
  <c r="Q346" i="30301"/>
  <c r="X346" i="30301"/>
  <c r="AG346" i="30301"/>
  <c r="AL346" i="30311"/>
  <c r="AG346" i="30311"/>
  <c r="AB346" i="30311"/>
  <c r="AV346" i="30311"/>
  <c r="S346" i="30311"/>
  <c r="AL346" i="30300"/>
  <c r="K346" i="30300"/>
  <c r="AW346" i="30300"/>
  <c r="J346" i="30290"/>
  <c r="Q346" i="30290"/>
  <c r="AU346" i="30290"/>
  <c r="AS346" i="30290"/>
  <c r="V265" i="30290"/>
  <c r="AA346" i="30290"/>
  <c r="AK350" i="30312"/>
  <c r="AK347" i="30312"/>
  <c r="AK349" i="30312"/>
  <c r="AK344" i="30312"/>
  <c r="AL350" i="30312"/>
  <c r="AL344" i="30312"/>
  <c r="AL349" i="30312"/>
  <c r="AL347" i="30312"/>
  <c r="AA346" i="30301"/>
  <c r="I344" i="30298"/>
  <c r="I347" i="30298"/>
  <c r="I350" i="30298"/>
  <c r="I349" i="30298"/>
  <c r="AT346" i="30300"/>
  <c r="AL347" i="30298"/>
  <c r="AL350" i="30298"/>
  <c r="AL344" i="30298"/>
  <c r="AL349" i="30298"/>
  <c r="AX269" i="30298"/>
  <c r="AX269" i="30312"/>
  <c r="T350" i="30312"/>
  <c r="T344" i="30312"/>
  <c r="T349" i="30312"/>
  <c r="T347" i="30312"/>
  <c r="AW346" i="30301"/>
  <c r="Z346" i="30311"/>
  <c r="AF346" i="30311"/>
  <c r="AO346" i="30290"/>
  <c r="T346" i="30301"/>
  <c r="AI346" i="30290"/>
  <c r="AL346" i="30290"/>
  <c r="AL346" i="30301"/>
  <c r="AF346" i="30301"/>
  <c r="X346" i="30311"/>
  <c r="AM350" i="30312"/>
  <c r="AM344" i="30312"/>
  <c r="AM347" i="30312"/>
  <c r="AM349" i="30312"/>
  <c r="T346" i="30311"/>
  <c r="R346" i="30311"/>
  <c r="AN347" i="30298"/>
  <c r="AN350" i="30298"/>
  <c r="AN344" i="30298"/>
  <c r="AN349" i="30298"/>
  <c r="AP346" i="30311"/>
  <c r="K349" i="30312"/>
  <c r="K350" i="30312"/>
  <c r="K344" i="30312"/>
  <c r="K347" i="30312"/>
  <c r="AM346" i="30311"/>
  <c r="M346" i="30301"/>
  <c r="AO347" i="30298"/>
  <c r="AO349" i="30298"/>
  <c r="AO344" i="30298"/>
  <c r="AO350" i="30298"/>
  <c r="AV346" i="30290"/>
  <c r="T346" i="30300"/>
  <c r="AH267" i="30312"/>
  <c r="AH268" i="30312" s="1"/>
  <c r="AH343" i="30312"/>
  <c r="AH346" i="30311"/>
  <c r="Z267" i="30312"/>
  <c r="Z268" i="30312" s="1"/>
  <c r="Z343" i="30312"/>
  <c r="AJ269" i="30298"/>
  <c r="K346" i="30311"/>
  <c r="L267" i="30298"/>
  <c r="L268" i="30298" s="1"/>
  <c r="S343" i="30312"/>
  <c r="S267" i="30312"/>
  <c r="S268" i="30312" s="1"/>
  <c r="I350" i="30312"/>
  <c r="I349" i="30312"/>
  <c r="I344" i="30312"/>
  <c r="I347" i="30312"/>
  <c r="R346" i="30290"/>
  <c r="P343" i="30298"/>
  <c r="P267" i="30298"/>
  <c r="P268" i="30298" s="1"/>
  <c r="V269" i="30298"/>
  <c r="S350" i="30298"/>
  <c r="S349" i="30298"/>
  <c r="S344" i="30298"/>
  <c r="S347" i="30298"/>
  <c r="AB346" i="30301"/>
  <c r="O269" i="30312"/>
  <c r="AQ269" i="30298"/>
  <c r="Q344" i="30298"/>
  <c r="Q347" i="30298"/>
  <c r="Q349" i="30298"/>
  <c r="Q350" i="30298"/>
  <c r="AU349" i="30312"/>
  <c r="AU347" i="30312"/>
  <c r="AU344" i="30312"/>
  <c r="AU350" i="30312"/>
  <c r="Y349" i="30312"/>
  <c r="Y347" i="30312"/>
  <c r="Y350" i="30312"/>
  <c r="Y344" i="30312"/>
  <c r="AG343" i="30312"/>
  <c r="AG267" i="30312"/>
  <c r="AG268" i="30312" s="1"/>
  <c r="AG267" i="30298"/>
  <c r="AG268" i="30298" s="1"/>
  <c r="AG343" i="30298"/>
  <c r="X267" i="30298"/>
  <c r="X268" i="30298" s="1"/>
  <c r="X346" i="30290"/>
  <c r="AB346" i="30300"/>
  <c r="AN343" i="30312"/>
  <c r="AN267" i="30312"/>
  <c r="AN268" i="30312" s="1"/>
  <c r="R343" i="30298"/>
  <c r="R267" i="30298"/>
  <c r="R268" i="30298" s="1"/>
  <c r="AR267" i="30312"/>
  <c r="AR268" i="30312" s="1"/>
  <c r="J267" i="30312"/>
  <c r="J268" i="30312" s="1"/>
  <c r="AS267" i="30312"/>
  <c r="AS268" i="30312" s="1"/>
  <c r="AD267" i="30312"/>
  <c r="AD268" i="30312" s="1"/>
  <c r="AD343" i="30312"/>
  <c r="AU346" i="30311"/>
  <c r="AD267" i="30298"/>
  <c r="AD268" i="30298" s="1"/>
  <c r="AD343" i="30298"/>
  <c r="K349" i="30298"/>
  <c r="K347" i="30298"/>
  <c r="K344" i="30298"/>
  <c r="K350" i="30298"/>
  <c r="AN346" i="30311"/>
  <c r="AM347" i="30298"/>
  <c r="AM350" i="30298"/>
  <c r="AM349" i="30298"/>
  <c r="AM344" i="30298"/>
  <c r="Z350" i="30298"/>
  <c r="Z349" i="30298"/>
  <c r="Z347" i="30298"/>
  <c r="Z344" i="30298"/>
  <c r="AC269" i="30298"/>
  <c r="AN346" i="30301"/>
  <c r="L346" i="30301"/>
  <c r="AS346" i="30301"/>
  <c r="R265" i="30312"/>
  <c r="R351" i="30312"/>
  <c r="AC269" i="30312"/>
  <c r="O269" i="30298"/>
  <c r="AF349" i="30312"/>
  <c r="AF347" i="30312"/>
  <c r="AF350" i="30312"/>
  <c r="AF344" i="30312"/>
  <c r="AV347" i="30312"/>
  <c r="AV350" i="30312"/>
  <c r="AV349" i="30312"/>
  <c r="AV344" i="30312"/>
  <c r="U346" i="30311"/>
  <c r="AW346" i="30311"/>
  <c r="AT349" i="30298"/>
  <c r="AT347" i="30298"/>
  <c r="AT344" i="30298"/>
  <c r="AT350" i="30298"/>
  <c r="J346" i="30301"/>
  <c r="AH350" i="30298"/>
  <c r="AH344" i="30298"/>
  <c r="AH349" i="30298"/>
  <c r="AH347" i="30298"/>
  <c r="W344" i="30312"/>
  <c r="W349" i="30312"/>
  <c r="W347" i="30312"/>
  <c r="W350" i="30312"/>
  <c r="S346" i="30301"/>
  <c r="Z346" i="30301"/>
  <c r="L346" i="30311"/>
  <c r="W267" i="30298"/>
  <c r="W268" i="30298" s="1"/>
  <c r="W343" i="30298"/>
  <c r="J349" i="30298"/>
  <c r="J347" i="30298"/>
  <c r="J344" i="30298"/>
  <c r="J350" i="30298"/>
  <c r="AQ269" i="30312"/>
  <c r="AH346" i="30301"/>
  <c r="P343" i="30312"/>
  <c r="P267" i="30312"/>
  <c r="P268" i="30312" s="1"/>
  <c r="U346" i="30301"/>
  <c r="AI346" i="30311"/>
  <c r="AA346" i="30311"/>
  <c r="AO346" i="30301"/>
  <c r="AK351" i="30298"/>
  <c r="AK265" i="30298"/>
  <c r="M346" i="30290"/>
  <c r="AN346" i="30290"/>
  <c r="AM346" i="30300"/>
  <c r="AI346" i="30300"/>
  <c r="N346" i="30300"/>
  <c r="AH346" i="30290"/>
  <c r="T346" i="30290"/>
  <c r="U346" i="30300"/>
  <c r="N346" i="30290"/>
  <c r="AA346" i="30300"/>
  <c r="AP346" i="30300"/>
  <c r="AH4" i="30308"/>
  <c r="AP4" i="30308" s="1"/>
  <c r="L343" i="30298" l="1"/>
  <c r="AK75" i="30308"/>
  <c r="AE267" i="30312"/>
  <c r="AE268" i="30312" s="1"/>
  <c r="AE351" i="30312" s="1"/>
  <c r="AL76" i="30308"/>
  <c r="AE343" i="30312"/>
  <c r="AS345" i="30298"/>
  <c r="AF351" i="30298"/>
  <c r="AZ78" i="30308" s="1"/>
  <c r="BI78" i="30308" s="1"/>
  <c r="M343" i="30312"/>
  <c r="AI60" i="30308"/>
  <c r="AS343" i="30312"/>
  <c r="AL59" i="30308"/>
  <c r="AS267" i="30298"/>
  <c r="AS268" i="30298" s="1"/>
  <c r="AS351" i="30298" s="1"/>
  <c r="AS343" i="30298"/>
  <c r="AL57" i="30308"/>
  <c r="AT351" i="30312"/>
  <c r="AZ60" i="30308" s="1"/>
  <c r="BI60" i="30308" s="1"/>
  <c r="AK55" i="30308"/>
  <c r="T343" i="30298"/>
  <c r="T267" i="30298"/>
  <c r="T268" i="30298" s="1"/>
  <c r="T351" i="30298" s="1"/>
  <c r="L267" i="30312"/>
  <c r="L268" i="30312" s="1"/>
  <c r="L265" i="30312" s="1"/>
  <c r="AE345" i="30312"/>
  <c r="L343" i="30312"/>
  <c r="M267" i="30312"/>
  <c r="M268" i="30312" s="1"/>
  <c r="M265" i="30312" s="1"/>
  <c r="AA351" i="30298"/>
  <c r="BB77" i="30308" s="1"/>
  <c r="BK77" i="30308" s="1"/>
  <c r="J343" i="30312"/>
  <c r="AI55" i="30308"/>
  <c r="Q351" i="30312"/>
  <c r="AY56" i="30308" s="1"/>
  <c r="BH56" i="30308" s="1"/>
  <c r="AR267" i="30298"/>
  <c r="AR268" i="30298" s="1"/>
  <c r="AR351" i="30298" s="1"/>
  <c r="AR343" i="30312"/>
  <c r="AR343" i="30298"/>
  <c r="X343" i="30298"/>
  <c r="AO267" i="30312"/>
  <c r="AO268" i="30312" s="1"/>
  <c r="AO351" i="30312" s="1"/>
  <c r="AA343" i="30312"/>
  <c r="X345" i="30298"/>
  <c r="AA267" i="30312"/>
  <c r="AA268" i="30312" s="1"/>
  <c r="AA351" i="30312" s="1"/>
  <c r="AL75" i="30308"/>
  <c r="Y343" i="30298"/>
  <c r="Y267" i="30298"/>
  <c r="Y268" i="30298" s="1"/>
  <c r="Y265" i="30298" s="1"/>
  <c r="AO343" i="30312"/>
  <c r="M343" i="30298"/>
  <c r="AR345" i="30312"/>
  <c r="X343" i="30312"/>
  <c r="X267" i="30312"/>
  <c r="X268" i="30312" s="1"/>
  <c r="X265" i="30312" s="1"/>
  <c r="AD75" i="30308"/>
  <c r="M267" i="30298"/>
  <c r="M268" i="30298" s="1"/>
  <c r="AH80" i="30308"/>
  <c r="AJ77" i="30308"/>
  <c r="AT345" i="30298"/>
  <c r="AJ80" i="30308"/>
  <c r="Q345" i="30298"/>
  <c r="AI76" i="30308"/>
  <c r="AM345" i="30312"/>
  <c r="AJ59" i="30308"/>
  <c r="AE345" i="30298"/>
  <c r="AI78" i="30308"/>
  <c r="Y345" i="30312"/>
  <c r="AJ57" i="30308"/>
  <c r="AH345" i="30298"/>
  <c r="AL78" i="30308"/>
  <c r="K345" i="30298"/>
  <c r="AJ75" i="30308"/>
  <c r="T345" i="30312"/>
  <c r="AL56" i="30308"/>
  <c r="I345" i="30298"/>
  <c r="AH75" i="30308"/>
  <c r="AF345" i="30312"/>
  <c r="AJ58" i="30308"/>
  <c r="Z345" i="30298"/>
  <c r="AK77" i="30308"/>
  <c r="I345" i="30312"/>
  <c r="AH55" i="30308"/>
  <c r="AO345" i="30298"/>
  <c r="AL79" i="30308"/>
  <c r="AV345" i="30312"/>
  <c r="AL60" i="30308"/>
  <c r="W345" i="30312"/>
  <c r="AH57" i="30308"/>
  <c r="AN345" i="30298"/>
  <c r="AK79" i="30308"/>
  <c r="S345" i="30298"/>
  <c r="AK76" i="30308"/>
  <c r="AU345" i="30312"/>
  <c r="AK60" i="30308"/>
  <c r="AU345" i="30298"/>
  <c r="AK80" i="30308"/>
  <c r="AV345" i="30298"/>
  <c r="AL80" i="30308"/>
  <c r="AL345" i="30298"/>
  <c r="AI79" i="30308"/>
  <c r="AL345" i="30312"/>
  <c r="AI59" i="30308"/>
  <c r="AZ56" i="30308"/>
  <c r="BI56" i="30308" s="1"/>
  <c r="T56" i="30308"/>
  <c r="AM345" i="30298"/>
  <c r="AJ79" i="30308"/>
  <c r="AX79" i="30308"/>
  <c r="BG79" i="30308" s="1"/>
  <c r="R79" i="30308"/>
  <c r="K345" i="30312"/>
  <c r="AJ55" i="30308"/>
  <c r="AK345" i="30312"/>
  <c r="AH59" i="30308"/>
  <c r="J345" i="30298"/>
  <c r="AI75" i="30308"/>
  <c r="AV267" i="30298"/>
  <c r="AV268" i="30298" s="1"/>
  <c r="AV343" i="30298"/>
  <c r="AE343" i="30298"/>
  <c r="AE267" i="30298"/>
  <c r="AE268" i="30298" s="1"/>
  <c r="AU343" i="30298"/>
  <c r="AU267" i="30298"/>
  <c r="AU268" i="30298" s="1"/>
  <c r="AL343" i="30312"/>
  <c r="AL267" i="30312"/>
  <c r="AL268" i="30312" s="1"/>
  <c r="AK343" i="30312"/>
  <c r="AK267" i="30312"/>
  <c r="AK268" i="30312" s="1"/>
  <c r="AL343" i="30298"/>
  <c r="AL267" i="30298"/>
  <c r="AL268" i="30298" s="1"/>
  <c r="T267" i="30312"/>
  <c r="T268" i="30312" s="1"/>
  <c r="T343" i="30312"/>
  <c r="I343" i="30298"/>
  <c r="I267" i="30298"/>
  <c r="I268" i="30298" s="1"/>
  <c r="W351" i="30298"/>
  <c r="W265" i="30298"/>
  <c r="AD265" i="30298"/>
  <c r="AD351" i="30298"/>
  <c r="AN265" i="30312"/>
  <c r="AN351" i="30312"/>
  <c r="AU267" i="30312"/>
  <c r="AU268" i="30312" s="1"/>
  <c r="AU343" i="30312"/>
  <c r="J265" i="30312"/>
  <c r="J351" i="30312"/>
  <c r="L265" i="30298"/>
  <c r="L351" i="30298"/>
  <c r="AV343" i="30312"/>
  <c r="AV267" i="30312"/>
  <c r="AV268" i="30312" s="1"/>
  <c r="K343" i="30298"/>
  <c r="K267" i="30298"/>
  <c r="K268" i="30298" s="1"/>
  <c r="Q343" i="30298"/>
  <c r="Q267" i="30298"/>
  <c r="Q268" i="30298" s="1"/>
  <c r="AD265" i="30312"/>
  <c r="AD351" i="30312"/>
  <c r="AT343" i="30298"/>
  <c r="AT267" i="30298"/>
  <c r="AT268" i="30298" s="1"/>
  <c r="P265" i="30312"/>
  <c r="P351" i="30312"/>
  <c r="W343" i="30312"/>
  <c r="W267" i="30312"/>
  <c r="W268" i="30312" s="1"/>
  <c r="AM343" i="30298"/>
  <c r="AM267" i="30298"/>
  <c r="AM268" i="30298" s="1"/>
  <c r="AR265" i="30312"/>
  <c r="AR351" i="30312"/>
  <c r="X265" i="30298"/>
  <c r="X351" i="30298"/>
  <c r="I267" i="30312"/>
  <c r="I268" i="30312" s="1"/>
  <c r="I343" i="30312"/>
  <c r="AO343" i="30298"/>
  <c r="AO267" i="30298"/>
  <c r="AO268" i="30298" s="1"/>
  <c r="K267" i="30312"/>
  <c r="K268" i="30312" s="1"/>
  <c r="K343" i="30312"/>
  <c r="J267" i="30298"/>
  <c r="J268" i="30298" s="1"/>
  <c r="J343" i="30298"/>
  <c r="Z267" i="30298"/>
  <c r="Z268" i="30298" s="1"/>
  <c r="Z343" i="30298"/>
  <c r="AG265" i="30298"/>
  <c r="AG351" i="30298"/>
  <c r="AS265" i="30312"/>
  <c r="AS351" i="30312"/>
  <c r="R265" i="30298"/>
  <c r="R351" i="30298"/>
  <c r="Y267" i="30312"/>
  <c r="Y268" i="30312" s="1"/>
  <c r="Y343" i="30312"/>
  <c r="S343" i="30298"/>
  <c r="S267" i="30298"/>
  <c r="S268" i="30298" s="1"/>
  <c r="AM343" i="30312"/>
  <c r="AM267" i="30312"/>
  <c r="AM268" i="30312" s="1"/>
  <c r="S265" i="30312"/>
  <c r="S351" i="30312"/>
  <c r="AF343" i="30312"/>
  <c r="AF267" i="30312"/>
  <c r="AF268" i="30312" s="1"/>
  <c r="AG265" i="30312"/>
  <c r="AG351" i="30312"/>
  <c r="Z265" i="30312"/>
  <c r="Z351" i="30312"/>
  <c r="AH343" i="30298"/>
  <c r="AH267" i="30298"/>
  <c r="AH268" i="30298" s="1"/>
  <c r="P265" i="30298"/>
  <c r="P351" i="30298"/>
  <c r="AH265" i="30312"/>
  <c r="AH351" i="30312"/>
  <c r="AN343" i="30298"/>
  <c r="AN267" i="30298"/>
  <c r="AN268" i="30298" s="1"/>
  <c r="AK346" i="30298"/>
  <c r="Z4" i="30308"/>
  <c r="A114" i="30294"/>
  <c r="A115" i="30294"/>
  <c r="A117" i="30294"/>
  <c r="A118" i="30294"/>
  <c r="A119" i="30294"/>
  <c r="A120" i="30294"/>
  <c r="A121" i="30294"/>
  <c r="A122" i="30294"/>
  <c r="A123" i="30294"/>
  <c r="A124" i="30294"/>
  <c r="A125" i="30294"/>
  <c r="A129" i="30294"/>
  <c r="A130" i="30294"/>
  <c r="A131" i="30294"/>
  <c r="A132" i="30294"/>
  <c r="A133" i="30294"/>
  <c r="A134" i="30294"/>
  <c r="A135" i="30294"/>
  <c r="A136" i="30294"/>
  <c r="A137" i="30294"/>
  <c r="A138" i="30294"/>
  <c r="A139" i="30294"/>
  <c r="A140" i="30294"/>
  <c r="A141" i="30294"/>
  <c r="A142" i="30294"/>
  <c r="A143" i="30294"/>
  <c r="A144" i="30294"/>
  <c r="A145" i="30294"/>
  <c r="A146" i="30294"/>
  <c r="A147" i="30294"/>
  <c r="A148" i="30294"/>
  <c r="A149" i="30294"/>
  <c r="A150" i="30294"/>
  <c r="A151" i="30294"/>
  <c r="A152" i="30294"/>
  <c r="A153" i="30294"/>
  <c r="A154" i="30294"/>
  <c r="A155" i="30294"/>
  <c r="A156" i="30294"/>
  <c r="A157" i="30294"/>
  <c r="A158" i="30294"/>
  <c r="A159" i="30294"/>
  <c r="A160" i="30294"/>
  <c r="A161" i="30294"/>
  <c r="A162" i="30294"/>
  <c r="A163" i="30294"/>
  <c r="A164" i="30294"/>
  <c r="A165" i="30294"/>
  <c r="A166" i="30294"/>
  <c r="A167" i="30294"/>
  <c r="A168" i="30294"/>
  <c r="A169" i="30294"/>
  <c r="A170" i="30294"/>
  <c r="A171" i="30294"/>
  <c r="A172" i="30294"/>
  <c r="A173" i="30294"/>
  <c r="A174" i="30294"/>
  <c r="A175" i="30294"/>
  <c r="A176" i="30294"/>
  <c r="A177" i="30294"/>
  <c r="A178" i="30294"/>
  <c r="A179" i="30294"/>
  <c r="A180" i="30294"/>
  <c r="A181" i="30294"/>
  <c r="A182" i="30294"/>
  <c r="A183" i="30294"/>
  <c r="A184" i="30294"/>
  <c r="A185" i="30294"/>
  <c r="A186" i="30294"/>
  <c r="A187" i="30294"/>
  <c r="A188" i="30294"/>
  <c r="A189" i="30294"/>
  <c r="A190" i="30294"/>
  <c r="A191" i="30294"/>
  <c r="A192" i="30294"/>
  <c r="A193" i="30294"/>
  <c r="A194" i="30294"/>
  <c r="A195" i="30294"/>
  <c r="A196" i="30294"/>
  <c r="A197" i="30294"/>
  <c r="A198" i="30294"/>
  <c r="A199" i="30294"/>
  <c r="A200" i="30294"/>
  <c r="A201" i="30294"/>
  <c r="A202" i="30294"/>
  <c r="A203" i="30294"/>
  <c r="A204" i="30294"/>
  <c r="A205" i="30294"/>
  <c r="A206" i="30294"/>
  <c r="A207" i="30294"/>
  <c r="A208" i="30294"/>
  <c r="A209" i="30294"/>
  <c r="A210" i="30294"/>
  <c r="A211" i="30294"/>
  <c r="A212" i="30294"/>
  <c r="A213" i="30294"/>
  <c r="A214" i="30294"/>
  <c r="A215" i="30294"/>
  <c r="A216" i="30294"/>
  <c r="A217" i="30294"/>
  <c r="A218" i="30294"/>
  <c r="A219" i="30294"/>
  <c r="A220" i="30294"/>
  <c r="AS265" i="30298" l="1"/>
  <c r="AE265" i="30312"/>
  <c r="T78" i="30308"/>
  <c r="T60" i="30308"/>
  <c r="T265" i="30298"/>
  <c r="L351" i="30312"/>
  <c r="BA55" i="30308" s="1"/>
  <c r="BJ55" i="30308" s="1"/>
  <c r="R346" i="30312"/>
  <c r="M351" i="30312"/>
  <c r="BB55" i="30308" s="1"/>
  <c r="BK55" i="30308" s="1"/>
  <c r="AB346" i="30298"/>
  <c r="AR265" i="30298"/>
  <c r="V77" i="30308"/>
  <c r="S56" i="30308"/>
  <c r="AO265" i="30312"/>
  <c r="AA265" i="30312"/>
  <c r="Y351" i="30298"/>
  <c r="Y346" i="30298" s="1"/>
  <c r="X351" i="30312"/>
  <c r="AY57" i="30308" s="1"/>
  <c r="BH57" i="30308" s="1"/>
  <c r="M351" i="30298"/>
  <c r="M346" i="30298" s="1"/>
  <c r="M265" i="30298"/>
  <c r="R76" i="30308"/>
  <c r="AX76" i="30308"/>
  <c r="BG76" i="30308" s="1"/>
  <c r="BA78" i="30308"/>
  <c r="BJ78" i="30308" s="1"/>
  <c r="U78" i="30308"/>
  <c r="AX77" i="30308"/>
  <c r="BG77" i="30308" s="1"/>
  <c r="R77" i="30308"/>
  <c r="S346" i="30312"/>
  <c r="BA56" i="30308"/>
  <c r="BJ56" i="30308" s="1"/>
  <c r="U56" i="30308"/>
  <c r="U57" i="30308"/>
  <c r="BA57" i="30308"/>
  <c r="BJ57" i="30308" s="1"/>
  <c r="BA58" i="30308"/>
  <c r="BJ58" i="30308" s="1"/>
  <c r="U58" i="30308"/>
  <c r="AR346" i="30312"/>
  <c r="AX60" i="30308"/>
  <c r="BG60" i="30308" s="1"/>
  <c r="R60" i="30308"/>
  <c r="BB76" i="30308"/>
  <c r="BK76" i="30308" s="1"/>
  <c r="V76" i="30308"/>
  <c r="AT346" i="30312"/>
  <c r="AY60" i="30308"/>
  <c r="BH60" i="30308" s="1"/>
  <c r="S60" i="30308"/>
  <c r="V57" i="30308"/>
  <c r="BB57" i="30308"/>
  <c r="BK57" i="30308" s="1"/>
  <c r="P346" i="30312"/>
  <c r="AX56" i="30308"/>
  <c r="BG56" i="30308" s="1"/>
  <c r="R56" i="30308"/>
  <c r="AX78" i="30308"/>
  <c r="BG78" i="30308" s="1"/>
  <c r="R78" i="30308"/>
  <c r="AX80" i="30308"/>
  <c r="BG80" i="30308" s="1"/>
  <c r="R80" i="30308"/>
  <c r="AY58" i="30308"/>
  <c r="BH58" i="30308" s="1"/>
  <c r="S58" i="30308"/>
  <c r="AY80" i="30308"/>
  <c r="BH80" i="30308" s="1"/>
  <c r="S80" i="30308"/>
  <c r="BA59" i="30308"/>
  <c r="BJ59" i="30308" s="1"/>
  <c r="U59" i="30308"/>
  <c r="BA75" i="30308"/>
  <c r="BJ75" i="30308" s="1"/>
  <c r="U75" i="30308"/>
  <c r="S77" i="30308"/>
  <c r="AY77" i="30308"/>
  <c r="BH77" i="30308" s="1"/>
  <c r="AD346" i="30312"/>
  <c r="AX58" i="30308"/>
  <c r="BG58" i="30308" s="1"/>
  <c r="R58" i="30308"/>
  <c r="AY55" i="30308"/>
  <c r="BH55" i="30308" s="1"/>
  <c r="S55" i="30308"/>
  <c r="BB58" i="30308"/>
  <c r="BK58" i="30308" s="1"/>
  <c r="V58" i="30308"/>
  <c r="V59" i="30308"/>
  <c r="BB59" i="30308"/>
  <c r="BK59" i="30308" s="1"/>
  <c r="AZ76" i="30308"/>
  <c r="BI76" i="30308" s="1"/>
  <c r="T76" i="30308"/>
  <c r="AE265" i="30298"/>
  <c r="AE351" i="30298"/>
  <c r="AV265" i="30298"/>
  <c r="AV351" i="30298"/>
  <c r="AU265" i="30298"/>
  <c r="AU351" i="30298"/>
  <c r="AE346" i="30312"/>
  <c r="AK265" i="30312"/>
  <c r="AK351" i="30312"/>
  <c r="AL265" i="30312"/>
  <c r="AL351" i="30312"/>
  <c r="AS346" i="30312"/>
  <c r="I265" i="30298"/>
  <c r="I351" i="30298"/>
  <c r="T265" i="30312"/>
  <c r="T351" i="30312"/>
  <c r="AL265" i="30298"/>
  <c r="AL351" i="30298"/>
  <c r="K265" i="30312"/>
  <c r="K351" i="30312"/>
  <c r="Q346" i="30312"/>
  <c r="AF265" i="30312"/>
  <c r="AF351" i="30312"/>
  <c r="W265" i="30312"/>
  <c r="W351" i="30312"/>
  <c r="Y265" i="30312"/>
  <c r="Y351" i="30312"/>
  <c r="J265" i="30298"/>
  <c r="J351" i="30298"/>
  <c r="I265" i="30312"/>
  <c r="I351" i="30312"/>
  <c r="AU351" i="30312"/>
  <c r="AU265" i="30312"/>
  <c r="AO346" i="30312"/>
  <c r="AP346" i="30312"/>
  <c r="AN351" i="30298"/>
  <c r="AN265" i="30298"/>
  <c r="P346" i="30298"/>
  <c r="Z351" i="30298"/>
  <c r="Z265" i="30298"/>
  <c r="AV265" i="30312"/>
  <c r="AV351" i="30312"/>
  <c r="AO265" i="30298"/>
  <c r="AO351" i="30298"/>
  <c r="AG346" i="30298"/>
  <c r="X346" i="30298"/>
  <c r="AM265" i="30298"/>
  <c r="AM351" i="30298"/>
  <c r="AH351" i="30298"/>
  <c r="AH265" i="30298"/>
  <c r="S351" i="30298"/>
  <c r="S265" i="30298"/>
  <c r="AA346" i="30312"/>
  <c r="AB346" i="30312"/>
  <c r="AR346" i="30298"/>
  <c r="AH346" i="30312"/>
  <c r="AI346" i="30312"/>
  <c r="AM265" i="30312"/>
  <c r="AM351" i="30312"/>
  <c r="Q265" i="30298"/>
  <c r="Q351" i="30298"/>
  <c r="AD346" i="30298"/>
  <c r="AT351" i="30298"/>
  <c r="AT265" i="30298"/>
  <c r="AS346" i="30298"/>
  <c r="U346" i="30298"/>
  <c r="K265" i="30298"/>
  <c r="K351" i="30298"/>
  <c r="W346" i="30298"/>
  <c r="R4" i="30308"/>
  <c r="AX4" i="30308"/>
  <c r="BG4" i="30308" s="1"/>
  <c r="N346" i="30312" l="1"/>
  <c r="V55" i="30308"/>
  <c r="M346" i="30312"/>
  <c r="U55" i="30308"/>
  <c r="AZ77" i="30308"/>
  <c r="BI77" i="30308" s="1"/>
  <c r="T77" i="30308"/>
  <c r="S57" i="30308"/>
  <c r="N346" i="30298"/>
  <c r="V75" i="30308"/>
  <c r="BB75" i="30308"/>
  <c r="BK75" i="30308" s="1"/>
  <c r="T79" i="30308"/>
  <c r="AZ79" i="30308"/>
  <c r="BI79" i="30308" s="1"/>
  <c r="AX57" i="30308"/>
  <c r="BG57" i="30308" s="1"/>
  <c r="R57" i="30308"/>
  <c r="AF346" i="30298"/>
  <c r="AY78" i="30308"/>
  <c r="BH78" i="30308" s="1"/>
  <c r="S78" i="30308"/>
  <c r="K346" i="30312"/>
  <c r="AZ55" i="30308"/>
  <c r="BI55" i="30308" s="1"/>
  <c r="T55" i="30308"/>
  <c r="U79" i="30308"/>
  <c r="BA79" i="30308"/>
  <c r="BJ79" i="30308" s="1"/>
  <c r="AZ80" i="30308"/>
  <c r="BI80" i="30308" s="1"/>
  <c r="T80" i="30308"/>
  <c r="BA76" i="30308"/>
  <c r="BJ76" i="30308" s="1"/>
  <c r="U76" i="30308"/>
  <c r="U77" i="30308"/>
  <c r="BA77" i="30308"/>
  <c r="BJ77" i="30308" s="1"/>
  <c r="AY75" i="30308"/>
  <c r="BH75" i="30308" s="1"/>
  <c r="S75" i="30308"/>
  <c r="BB78" i="30308"/>
  <c r="BK78" i="30308" s="1"/>
  <c r="V78" i="30308"/>
  <c r="U346" i="30312"/>
  <c r="BB56" i="30308"/>
  <c r="BK56" i="30308" s="1"/>
  <c r="V56" i="30308"/>
  <c r="AF346" i="30312"/>
  <c r="AZ58" i="30308"/>
  <c r="BI58" i="30308" s="1"/>
  <c r="T58" i="30308"/>
  <c r="BB79" i="30308"/>
  <c r="BK79" i="30308" s="1"/>
  <c r="V79" i="30308"/>
  <c r="AY59" i="30308"/>
  <c r="BH59" i="30308" s="1"/>
  <c r="S59" i="30308"/>
  <c r="AU346" i="30312"/>
  <c r="BA60" i="30308"/>
  <c r="BJ60" i="30308" s="1"/>
  <c r="U60" i="30308"/>
  <c r="AW346" i="30298"/>
  <c r="BB80" i="30308"/>
  <c r="BK80" i="30308" s="1"/>
  <c r="V80" i="30308"/>
  <c r="Y346" i="30312"/>
  <c r="T57" i="30308"/>
  <c r="AZ57" i="30308"/>
  <c r="BI57" i="30308" s="1"/>
  <c r="L346" i="30298"/>
  <c r="T75" i="30308"/>
  <c r="AZ75" i="30308"/>
  <c r="BI75" i="30308" s="1"/>
  <c r="BB60" i="30308"/>
  <c r="BK60" i="30308" s="1"/>
  <c r="V60" i="30308"/>
  <c r="AK346" i="30312"/>
  <c r="AX59" i="30308"/>
  <c r="BG59" i="30308" s="1"/>
  <c r="R59" i="30308"/>
  <c r="I346" i="30312"/>
  <c r="R55" i="30308"/>
  <c r="AX55" i="30308"/>
  <c r="BG55" i="30308" s="1"/>
  <c r="AY79" i="30308"/>
  <c r="BH79" i="30308" s="1"/>
  <c r="S79" i="30308"/>
  <c r="AV346" i="30298"/>
  <c r="BA80" i="30308"/>
  <c r="BJ80" i="30308" s="1"/>
  <c r="U80" i="30308"/>
  <c r="AY76" i="30308"/>
  <c r="BH76" i="30308" s="1"/>
  <c r="S76" i="30308"/>
  <c r="AM346" i="30312"/>
  <c r="AZ59" i="30308"/>
  <c r="BI59" i="30308" s="1"/>
  <c r="T59" i="30308"/>
  <c r="I346" i="30298"/>
  <c r="R75" i="30308"/>
  <c r="AX75" i="30308"/>
  <c r="BG75" i="30308" s="1"/>
  <c r="AE346" i="30298"/>
  <c r="AX265" i="30312"/>
  <c r="AG346" i="30312"/>
  <c r="AJ265" i="30312"/>
  <c r="AL346" i="30312"/>
  <c r="V265" i="30312"/>
  <c r="J346" i="30312"/>
  <c r="AX265" i="30298"/>
  <c r="AL346" i="30298"/>
  <c r="T346" i="30312"/>
  <c r="Z346" i="30312"/>
  <c r="W346" i="30312"/>
  <c r="X346" i="30312"/>
  <c r="T346" i="30298"/>
  <c r="S346" i="30298"/>
  <c r="AI346" i="30298"/>
  <c r="AH346" i="30298"/>
  <c r="AC265" i="30298"/>
  <c r="R346" i="30298"/>
  <c r="V265" i="30298"/>
  <c r="AQ265" i="30312"/>
  <c r="AM346" i="30298"/>
  <c r="AJ265" i="30298"/>
  <c r="AQ265" i="30298"/>
  <c r="Z346" i="30298"/>
  <c r="AA346" i="30298"/>
  <c r="AC265" i="30312"/>
  <c r="K346" i="30298"/>
  <c r="AT346" i="30298"/>
  <c r="AU346" i="30298"/>
  <c r="L346" i="30312"/>
  <c r="AN346" i="30312"/>
  <c r="O265" i="30312"/>
  <c r="AN346" i="30298"/>
  <c r="J346" i="30298"/>
  <c r="Q346" i="30298"/>
  <c r="AO346" i="30298"/>
  <c r="AP346" i="30298"/>
  <c r="O265" i="30298"/>
  <c r="AV346" i="30312"/>
  <c r="AW346" i="30312"/>
  <c r="J6" i="30308"/>
  <c r="O4" i="30308"/>
  <c r="K7" i="30308"/>
  <c r="L4" i="30308"/>
  <c r="L7" i="30308"/>
  <c r="M4" i="30308"/>
  <c r="N9" i="30308"/>
  <c r="L5" i="30308"/>
  <c r="M7" i="30308"/>
  <c r="M9" i="30308"/>
  <c r="O8" i="30308"/>
  <c r="K9" i="30308"/>
  <c r="J9" i="30308"/>
  <c r="N4" i="30308"/>
  <c r="M5" i="30308"/>
  <c r="L8" i="30308"/>
  <c r="K5" i="30308"/>
  <c r="O9" i="30308"/>
  <c r="N6" i="30308"/>
  <c r="L9" i="30308"/>
  <c r="N8" i="30308" l="1"/>
  <c r="K4" i="30308"/>
  <c r="N5" i="30308"/>
  <c r="L6" i="30308"/>
  <c r="N7" i="30308"/>
  <c r="N10" i="30308"/>
  <c r="K8" i="30308"/>
  <c r="O5" i="30308"/>
  <c r="J8" i="30308"/>
  <c r="J7" i="30308"/>
  <c r="O10" i="30308"/>
  <c r="O7" i="30308"/>
  <c r="O6" i="30308"/>
  <c r="J10" i="30308"/>
  <c r="K10" i="30308"/>
  <c r="K6" i="30308"/>
  <c r="M10" i="30308"/>
  <c r="L10" i="30308"/>
  <c r="M6" i="30308" l="1"/>
  <c r="J5" i="30308"/>
  <c r="M8" i="30308"/>
  <c r="G232" i="30295" l="1"/>
  <c r="F232" i="30295"/>
  <c r="E232" i="30295"/>
  <c r="D232" i="30295"/>
  <c r="C232" i="30295"/>
  <c r="B232" i="30295"/>
  <c r="F79" i="30248"/>
  <c r="I101" i="30294" l="1"/>
  <c r="P101" i="30294"/>
  <c r="AD101" i="30294"/>
  <c r="W101" i="30294"/>
  <c r="AK101" i="30294"/>
  <c r="AR101" i="30294"/>
  <c r="H265" i="30295"/>
  <c r="AL7" i="30308" l="1"/>
  <c r="AT7" i="30308" s="1"/>
  <c r="AK6" i="30308"/>
  <c r="AS6" i="30308" s="1"/>
  <c r="AJ7" i="30308"/>
  <c r="AR7" i="30308" s="1"/>
  <c r="AM4" i="30308"/>
  <c r="AU4" i="30308" s="1"/>
  <c r="AM6" i="30308"/>
  <c r="AM9" i="30308"/>
  <c r="AL10" i="30308"/>
  <c r="AT10" i="30308" s="1"/>
  <c r="AM8" i="30308"/>
  <c r="AI5" i="30308"/>
  <c r="AQ5" i="30308" s="1"/>
  <c r="AM5" i="30308"/>
  <c r="AK8" i="30308"/>
  <c r="AS8" i="30308" s="1"/>
  <c r="AI6" i="30308"/>
  <c r="AQ6" i="30308" s="1"/>
  <c r="AJ10" i="30308"/>
  <c r="AR10" i="30308" s="1"/>
  <c r="AM10" i="30308"/>
  <c r="AH9" i="30308"/>
  <c r="AP9" i="30308" s="1"/>
  <c r="AK7" i="30308"/>
  <c r="AS7" i="30308" s="1"/>
  <c r="AI7" i="30308"/>
  <c r="AQ7" i="30308" s="1"/>
  <c r="AL6" i="30308"/>
  <c r="AT6" i="30308" s="1"/>
  <c r="AL9" i="30308"/>
  <c r="AT9" i="30308" s="1"/>
  <c r="AH7" i="30308"/>
  <c r="AP7" i="30308" s="1"/>
  <c r="AH8" i="30308"/>
  <c r="AP8" i="30308" s="1"/>
  <c r="AL8" i="30308"/>
  <c r="AT8" i="30308" s="1"/>
  <c r="AK4" i="30308"/>
  <c r="AS4" i="30308" s="1"/>
  <c r="AJ4" i="30308"/>
  <c r="AR4" i="30308" s="1"/>
  <c r="AI8" i="30308"/>
  <c r="AQ8" i="30308" s="1"/>
  <c r="AJ6" i="30308"/>
  <c r="AR6" i="30308" s="1"/>
  <c r="AH10" i="30308"/>
  <c r="AP10" i="30308" s="1"/>
  <c r="AJ9" i="30308"/>
  <c r="AR9" i="30308" s="1"/>
  <c r="AI4" i="30308"/>
  <c r="AQ4" i="30308" s="1"/>
  <c r="AJ8" i="30308"/>
  <c r="AR8" i="30308" s="1"/>
  <c r="AK9" i="30308"/>
  <c r="AS9" i="30308" s="1"/>
  <c r="AL4" i="30308"/>
  <c r="AT4" i="30308" s="1"/>
  <c r="AI9" i="30308"/>
  <c r="AQ9" i="30308" s="1"/>
  <c r="AL5" i="30308"/>
  <c r="AT5" i="30308" s="1"/>
  <c r="AK10" i="30308"/>
  <c r="AH5" i="30308"/>
  <c r="AP5" i="30308" s="1"/>
  <c r="AM7" i="30308"/>
  <c r="AH6" i="30308"/>
  <c r="AP6" i="30308" s="1"/>
  <c r="AK5" i="30308"/>
  <c r="AS5" i="30308" s="1"/>
  <c r="AI10" i="30308"/>
  <c r="AQ10" i="30308" s="1"/>
  <c r="AJ5" i="30308"/>
  <c r="AR5" i="30308" s="1"/>
  <c r="DX128" i="30248"/>
  <c r="DX127" i="30248"/>
  <c r="DX126" i="30248"/>
  <c r="DX125" i="30248"/>
  <c r="DX124" i="30248"/>
  <c r="DX100" i="30248"/>
  <c r="DX119" i="30248"/>
  <c r="DX115" i="30248"/>
  <c r="DX219" i="30248"/>
  <c r="AS10" i="30308" l="1"/>
  <c r="AU8" i="30308"/>
  <c r="AU6" i="30308"/>
  <c r="AU9" i="30308"/>
  <c r="AU5" i="30308"/>
  <c r="AU10" i="30308"/>
  <c r="AU7" i="30308"/>
  <c r="AE4" i="30308" l="1"/>
  <c r="AE7" i="30308" l="1"/>
  <c r="AE6" i="30308"/>
  <c r="AE5" i="30308"/>
  <c r="BC4" i="30308"/>
  <c r="BL4" i="30308" s="1"/>
  <c r="AE10" i="30308" l="1"/>
  <c r="AE8" i="30308"/>
  <c r="AE9" i="30308"/>
  <c r="AT54" i="30308" l="1"/>
  <c r="AR47" i="30308"/>
  <c r="AT50" i="30308"/>
  <c r="AT44" i="30308"/>
  <c r="AP45" i="30308"/>
  <c r="AT45" i="30308"/>
  <c r="AP49" i="30308"/>
  <c r="AR49" i="30308"/>
  <c r="AS48" i="30308"/>
  <c r="AT46" i="30308"/>
  <c r="AT48" i="30308"/>
  <c r="AQ49" i="30308"/>
  <c r="AP54" i="30308"/>
  <c r="AS54" i="30308"/>
  <c r="AP47" i="30308"/>
  <c r="AT47" i="30308"/>
  <c r="AQ47" i="30308"/>
  <c r="AU44" i="30308"/>
  <c r="AS50" i="30308"/>
  <c r="AR54" i="30308"/>
  <c r="AQ44" i="30308"/>
  <c r="AT49" i="30308"/>
  <c r="AS47" i="30308"/>
  <c r="AR44" i="30308"/>
  <c r="AU54" i="30308"/>
  <c r="AS45" i="30308"/>
  <c r="AQ54" i="30308"/>
  <c r="AP50" i="30308"/>
  <c r="AQ48" i="30308"/>
  <c r="AS49" i="30308"/>
  <c r="AR45" i="30308"/>
  <c r="AS46" i="30308"/>
  <c r="AP44" i="30308"/>
  <c r="AR48" i="30308"/>
  <c r="AR50" i="30308"/>
  <c r="AQ50" i="30308"/>
  <c r="AR46" i="30308"/>
  <c r="AQ45" i="30308"/>
  <c r="AP46" i="30308"/>
  <c r="AS44" i="30308"/>
  <c r="AQ46" i="30308"/>
  <c r="AP48" i="30308"/>
  <c r="AU57" i="30308" l="1"/>
  <c r="AU48" i="30308"/>
  <c r="AU49" i="30308"/>
  <c r="AU50" i="30308"/>
  <c r="AU56" i="30308"/>
  <c r="AU60" i="30308"/>
  <c r="AU58" i="30308"/>
  <c r="AU47" i="30308"/>
  <c r="AU55" i="30308"/>
  <c r="AU59" i="30308"/>
  <c r="AU45" i="30308"/>
  <c r="AU46" i="30308"/>
  <c r="BO44" i="30308" l="1"/>
  <c r="BP44" i="30308" l="1"/>
  <c r="BQ44" i="30308" l="1"/>
  <c r="O8" i="30307"/>
  <c r="Q14" i="30307"/>
  <c r="Q9" i="30307"/>
  <c r="BR44" i="30308" l="1"/>
  <c r="BS44" i="30308" l="1"/>
  <c r="G29" i="30307" l="1"/>
  <c r="B29" i="30307"/>
  <c r="B28" i="30307"/>
  <c r="L26" i="30307"/>
  <c r="G26" i="30307"/>
  <c r="B26" i="30307"/>
  <c r="N25" i="30307"/>
  <c r="M25" i="30307"/>
  <c r="I25" i="30307"/>
  <c r="H25" i="30307"/>
  <c r="D25" i="30307"/>
  <c r="C25" i="30307"/>
  <c r="L15" i="30307"/>
  <c r="G15" i="30307"/>
  <c r="B15" i="30307"/>
  <c r="O14" i="30307"/>
  <c r="L14" i="30307"/>
  <c r="L31" i="30307" s="1"/>
  <c r="J14" i="30307"/>
  <c r="I14" i="30307"/>
  <c r="G14" i="30307"/>
  <c r="G31" i="30307" s="1"/>
  <c r="E14" i="30307"/>
  <c r="D14" i="30307"/>
  <c r="B14" i="30307"/>
  <c r="B31" i="30307" s="1"/>
  <c r="L13" i="30307"/>
  <c r="Q13" i="30307" s="1"/>
  <c r="J13" i="30307"/>
  <c r="I13" i="30307"/>
  <c r="G13" i="30307"/>
  <c r="G30" i="30307" s="1"/>
  <c r="E13" i="30307"/>
  <c r="D13" i="30307"/>
  <c r="B13" i="30307"/>
  <c r="B30" i="30307" s="1"/>
  <c r="L12" i="30307"/>
  <c r="J12" i="30307"/>
  <c r="I12" i="30307" s="1"/>
  <c r="G12" i="30307"/>
  <c r="E12" i="30307"/>
  <c r="D12" i="30307"/>
  <c r="B12" i="30307"/>
  <c r="L11" i="30307"/>
  <c r="J11" i="30307"/>
  <c r="I11" i="30307"/>
  <c r="G11" i="30307"/>
  <c r="G28" i="30307" s="1"/>
  <c r="E11" i="30307"/>
  <c r="D11" i="30307" s="1"/>
  <c r="B11" i="30307"/>
  <c r="L10" i="30307"/>
  <c r="J10" i="30307"/>
  <c r="I10" i="30307"/>
  <c r="G10" i="30307"/>
  <c r="G27" i="30307" s="1"/>
  <c r="E10" i="30307"/>
  <c r="D10" i="30307"/>
  <c r="B10" i="30307"/>
  <c r="B27" i="30307" s="1"/>
  <c r="J9" i="30307"/>
  <c r="E9" i="30307"/>
  <c r="J8" i="30307"/>
  <c r="I9" i="30307" s="1"/>
  <c r="E8" i="30307"/>
  <c r="D9" i="30307" s="1"/>
  <c r="BT44" i="30308" l="1"/>
  <c r="BT46" i="30308" s="1"/>
  <c r="L30" i="30307"/>
  <c r="O12" i="30307"/>
  <c r="L29" i="30307"/>
  <c r="Q12" i="30307"/>
  <c r="O10" i="30307"/>
  <c r="Q11" i="30307"/>
  <c r="L28" i="30307"/>
  <c r="L27" i="30307"/>
  <c r="O9" i="30307"/>
  <c r="N9" i="30307" s="1"/>
  <c r="Q10" i="30307"/>
  <c r="O11" i="30307"/>
  <c r="O13" i="30307"/>
  <c r="N13" i="30307" l="1"/>
  <c r="N14" i="30307"/>
  <c r="N11" i="30307"/>
  <c r="N12" i="30307"/>
  <c r="N10" i="30307"/>
  <c r="DX112" i="30248" l="1"/>
  <c r="AR65" i="30308" l="1"/>
  <c r="AT65" i="30308"/>
  <c r="AP65" i="30308"/>
  <c r="AQ65" i="30308"/>
  <c r="AS65" i="30308" l="1"/>
  <c r="AU65" i="30308"/>
  <c r="AW292" i="30295"/>
  <c r="AV292" i="30295"/>
  <c r="AU292" i="30295"/>
  <c r="AT292" i="30295"/>
  <c r="AS292" i="30295"/>
  <c r="AR292" i="30295"/>
  <c r="AP292" i="30295"/>
  <c r="AO292" i="30295"/>
  <c r="AN292" i="30295"/>
  <c r="AM292" i="30295"/>
  <c r="AL292" i="30295"/>
  <c r="AK292" i="30295"/>
  <c r="AI292" i="30295"/>
  <c r="AH292" i="30295"/>
  <c r="AG292" i="30295"/>
  <c r="AF292" i="30295"/>
  <c r="AE292" i="30295"/>
  <c r="AD292" i="30295"/>
  <c r="AB292" i="30295"/>
  <c r="AA292" i="30295"/>
  <c r="Z292" i="30295"/>
  <c r="Y292" i="30295"/>
  <c r="X292" i="30295"/>
  <c r="W292" i="30295"/>
  <c r="U292" i="30295"/>
  <c r="T292" i="30295"/>
  <c r="S292" i="30295"/>
  <c r="R292" i="30295"/>
  <c r="Q292" i="30295"/>
  <c r="P292" i="30295"/>
  <c r="N292" i="30295"/>
  <c r="M292" i="30295"/>
  <c r="L292" i="30295"/>
  <c r="K292" i="30295"/>
  <c r="J292" i="30295"/>
  <c r="I292" i="30295"/>
  <c r="G292" i="30295"/>
  <c r="F292" i="30295"/>
  <c r="E292" i="30295"/>
  <c r="D292" i="30295"/>
  <c r="C292" i="30295"/>
  <c r="B292" i="30295"/>
  <c r="AW232" i="30295"/>
  <c r="AV232" i="30295"/>
  <c r="AU232" i="30295"/>
  <c r="AT232" i="30295"/>
  <c r="AS232" i="30295"/>
  <c r="AR232" i="30295"/>
  <c r="AP232" i="30295"/>
  <c r="AO232" i="30295"/>
  <c r="AN232" i="30295"/>
  <c r="AM232" i="30295"/>
  <c r="AL232" i="30295"/>
  <c r="AI232" i="30295"/>
  <c r="AH232" i="30295"/>
  <c r="AG232" i="30295"/>
  <c r="AF232" i="30295"/>
  <c r="AE232" i="30295"/>
  <c r="AD232" i="30295"/>
  <c r="AB232" i="30295"/>
  <c r="AA232" i="30295"/>
  <c r="Z232" i="30295"/>
  <c r="Y232" i="30295"/>
  <c r="X232" i="30295"/>
  <c r="W232" i="30295"/>
  <c r="U232" i="30295"/>
  <c r="T232" i="30295"/>
  <c r="S232" i="30295"/>
  <c r="R232" i="30295"/>
  <c r="Q232" i="30295"/>
  <c r="P232" i="30295"/>
  <c r="N232" i="30295"/>
  <c r="M232" i="30295"/>
  <c r="L232" i="30295"/>
  <c r="K232" i="30295"/>
  <c r="J232" i="30295"/>
  <c r="I232" i="30295"/>
  <c r="A229" i="30295"/>
  <c r="A228" i="30295"/>
  <c r="A227" i="30295"/>
  <c r="A226" i="30295"/>
  <c r="A225" i="30295"/>
  <c r="A224" i="30295"/>
  <c r="A223" i="30295"/>
  <c r="A222" i="30295"/>
  <c r="A221" i="30295"/>
  <c r="A112" i="30295"/>
  <c r="A111" i="30295"/>
  <c r="A110" i="30295"/>
  <c r="A109" i="30295"/>
  <c r="A108" i="30295"/>
  <c r="A107" i="30295"/>
  <c r="A106" i="30295"/>
  <c r="A105" i="30295"/>
  <c r="A104" i="30295"/>
  <c r="A103" i="30295"/>
  <c r="A102" i="30295"/>
  <c r="A101" i="30295"/>
  <c r="A100" i="30295"/>
  <c r="A99" i="30295"/>
  <c r="A98" i="30295"/>
  <c r="A97" i="30295"/>
  <c r="A96" i="30295"/>
  <c r="A95" i="30295"/>
  <c r="A94" i="30295"/>
  <c r="A93" i="30295"/>
  <c r="A92" i="30295"/>
  <c r="A91" i="30295"/>
  <c r="A90" i="30295"/>
  <c r="A89" i="30295"/>
  <c r="A88" i="30295"/>
  <c r="A87" i="30295"/>
  <c r="A86" i="30295"/>
  <c r="A85" i="30295"/>
  <c r="A84" i="30295"/>
  <c r="A83" i="30295"/>
  <c r="A82" i="30295"/>
  <c r="A81" i="30295"/>
  <c r="A80" i="30295"/>
  <c r="A79" i="30295"/>
  <c r="A78" i="30295"/>
  <c r="A77" i="30295"/>
  <c r="A76" i="30295"/>
  <c r="A75" i="30295"/>
  <c r="A74" i="30295"/>
  <c r="A73" i="30295"/>
  <c r="A72" i="30295"/>
  <c r="A71" i="30295"/>
  <c r="A70" i="30295"/>
  <c r="A69" i="30295"/>
  <c r="A68" i="30295"/>
  <c r="A67" i="30295"/>
  <c r="A66" i="30295"/>
  <c r="A65" i="30295"/>
  <c r="A64" i="30295"/>
  <c r="A63" i="30295"/>
  <c r="A62" i="30295"/>
  <c r="A61" i="30295"/>
  <c r="A60" i="30295"/>
  <c r="A59" i="30295"/>
  <c r="A58" i="30295"/>
  <c r="A57" i="30295"/>
  <c r="A56" i="30295"/>
  <c r="A55" i="30295"/>
  <c r="A54" i="30295"/>
  <c r="A53" i="30295"/>
  <c r="A52" i="30295"/>
  <c r="A51" i="30295"/>
  <c r="A50" i="30295"/>
  <c r="A49" i="30295"/>
  <c r="A48" i="30295"/>
  <c r="A47" i="30295"/>
  <c r="A46" i="30295"/>
  <c r="A45" i="30295"/>
  <c r="A44" i="30295"/>
  <c r="A43" i="30295"/>
  <c r="A42" i="30295"/>
  <c r="A41" i="30295"/>
  <c r="A40" i="30295"/>
  <c r="A39" i="30295"/>
  <c r="A38" i="30295"/>
  <c r="A37" i="30295"/>
  <c r="A36" i="30295"/>
  <c r="A35" i="30295"/>
  <c r="A34" i="30295"/>
  <c r="A33" i="30295"/>
  <c r="A32" i="30295"/>
  <c r="A31" i="30295"/>
  <c r="A30" i="30295"/>
  <c r="A29" i="30295"/>
  <c r="A28" i="30295"/>
  <c r="A27" i="30295"/>
  <c r="A26" i="30295"/>
  <c r="A25" i="30295"/>
  <c r="A24" i="30295"/>
  <c r="A23" i="30295"/>
  <c r="A22" i="30295"/>
  <c r="A21" i="30295"/>
  <c r="A20" i="30295"/>
  <c r="A19" i="30295"/>
  <c r="A18" i="30295"/>
  <c r="A17" i="30295"/>
  <c r="A16" i="30295"/>
  <c r="A15" i="30295"/>
  <c r="A14" i="30295"/>
  <c r="A13" i="30295"/>
  <c r="A12" i="30295"/>
  <c r="A11" i="30295"/>
  <c r="A10" i="30295"/>
  <c r="A9" i="30295"/>
  <c r="AW292" i="30294" l="1"/>
  <c r="AV292" i="30294"/>
  <c r="AU292" i="30294"/>
  <c r="AT292" i="30294"/>
  <c r="AS292" i="30294"/>
  <c r="AR292" i="30294"/>
  <c r="AP292" i="30294"/>
  <c r="AO292" i="30294"/>
  <c r="AN292" i="30294"/>
  <c r="AM292" i="30294"/>
  <c r="AL292" i="30294"/>
  <c r="AK292" i="30294"/>
  <c r="AI292" i="30294"/>
  <c r="AH292" i="30294"/>
  <c r="AG292" i="30294"/>
  <c r="AF292" i="30294"/>
  <c r="AE292" i="30294"/>
  <c r="AD292" i="30294"/>
  <c r="AB292" i="30294"/>
  <c r="AA292" i="30294"/>
  <c r="Z292" i="30294"/>
  <c r="Y292" i="30294"/>
  <c r="X292" i="30294"/>
  <c r="W292" i="30294"/>
  <c r="U292" i="30294"/>
  <c r="T292" i="30294"/>
  <c r="S292" i="30294"/>
  <c r="R292" i="30294"/>
  <c r="Q292" i="30294"/>
  <c r="P292" i="30294"/>
  <c r="N292" i="30294"/>
  <c r="M292" i="30294"/>
  <c r="L292" i="30294"/>
  <c r="K292" i="30294"/>
  <c r="J292" i="30294"/>
  <c r="I292" i="30294"/>
  <c r="G292" i="30294"/>
  <c r="F292" i="30294"/>
  <c r="E292" i="30294"/>
  <c r="D292" i="30294"/>
  <c r="C292" i="30294"/>
  <c r="B292" i="30294"/>
  <c r="AW232" i="30294"/>
  <c r="AV232" i="30294"/>
  <c r="AU232" i="30294"/>
  <c r="AT232" i="30294"/>
  <c r="AS232" i="30294"/>
  <c r="AR232" i="30294"/>
  <c r="AP232" i="30294"/>
  <c r="AO232" i="30294"/>
  <c r="AN232" i="30294"/>
  <c r="AM232" i="30294"/>
  <c r="AL232" i="30294"/>
  <c r="AK232" i="30294"/>
  <c r="AI232" i="30294"/>
  <c r="AH232" i="30294"/>
  <c r="AG232" i="30294"/>
  <c r="AF232" i="30294"/>
  <c r="AE232" i="30294"/>
  <c r="AD232" i="30294"/>
  <c r="AB232" i="30294"/>
  <c r="AA232" i="30294"/>
  <c r="Z232" i="30294"/>
  <c r="Y232" i="30294"/>
  <c r="X232" i="30294"/>
  <c r="W232" i="30294"/>
  <c r="U232" i="30294"/>
  <c r="T232" i="30294"/>
  <c r="S232" i="30294"/>
  <c r="R232" i="30294"/>
  <c r="Q232" i="30294"/>
  <c r="P232" i="30294"/>
  <c r="N232" i="30294"/>
  <c r="M232" i="30294"/>
  <c r="L232" i="30294"/>
  <c r="K232" i="30294"/>
  <c r="J232" i="30294"/>
  <c r="I232" i="30294"/>
  <c r="G232" i="30294"/>
  <c r="F232" i="30294"/>
  <c r="E232" i="30294"/>
  <c r="D232" i="30294"/>
  <c r="C232" i="30294"/>
  <c r="B232" i="30294"/>
  <c r="A229" i="30294"/>
  <c r="A228" i="30294"/>
  <c r="A227" i="30294"/>
  <c r="A226" i="30294"/>
  <c r="A225" i="30294"/>
  <c r="A224" i="30294"/>
  <c r="A223" i="30294"/>
  <c r="A222" i="30294"/>
  <c r="A221" i="30294"/>
  <c r="A112" i="30294"/>
  <c r="A111" i="30294"/>
  <c r="A110" i="30294"/>
  <c r="A109" i="30294"/>
  <c r="A108" i="30294"/>
  <c r="A107" i="30294"/>
  <c r="A106" i="30294"/>
  <c r="A105" i="30294"/>
  <c r="A104" i="30294"/>
  <c r="A103" i="30294"/>
  <c r="A102" i="30294"/>
  <c r="A101" i="30294"/>
  <c r="A100" i="30294"/>
  <c r="A99" i="30294"/>
  <c r="A98" i="30294"/>
  <c r="A97" i="30294"/>
  <c r="A96" i="30294"/>
  <c r="A95" i="30294"/>
  <c r="A94" i="30294"/>
  <c r="A93" i="30294"/>
  <c r="A92" i="30294"/>
  <c r="A91" i="30294"/>
  <c r="A90" i="30294"/>
  <c r="A89" i="30294"/>
  <c r="A88" i="30294"/>
  <c r="A87" i="30294"/>
  <c r="A86" i="30294"/>
  <c r="A85" i="30294"/>
  <c r="A84" i="30294"/>
  <c r="A83" i="30294"/>
  <c r="A82" i="30294"/>
  <c r="A81" i="30294"/>
  <c r="A80" i="30294"/>
  <c r="A79" i="30294"/>
  <c r="A78" i="30294"/>
  <c r="A77" i="30294"/>
  <c r="A76" i="30294"/>
  <c r="A75" i="30294"/>
  <c r="A74" i="30294"/>
  <c r="A73" i="30294"/>
  <c r="A72" i="30294"/>
  <c r="A71" i="30294"/>
  <c r="A70" i="30294"/>
  <c r="A69" i="30294"/>
  <c r="A68" i="30294"/>
  <c r="A67" i="30294"/>
  <c r="A66" i="30294"/>
  <c r="A65" i="30294"/>
  <c r="A64" i="30294"/>
  <c r="A63" i="30294"/>
  <c r="A62" i="30294"/>
  <c r="A61" i="30294"/>
  <c r="A60" i="30294"/>
  <c r="A59" i="30294"/>
  <c r="A58" i="30294"/>
  <c r="A57" i="30294"/>
  <c r="A56" i="30294"/>
  <c r="A55" i="30294"/>
  <c r="A54" i="30294"/>
  <c r="A53" i="30294"/>
  <c r="A52" i="30294"/>
  <c r="A51" i="30294"/>
  <c r="A50" i="30294"/>
  <c r="A49" i="30294"/>
  <c r="A48" i="30294"/>
  <c r="A47" i="30294"/>
  <c r="A46" i="30294"/>
  <c r="A45" i="30294"/>
  <c r="A44" i="30294"/>
  <c r="A43" i="30294"/>
  <c r="A42" i="30294"/>
  <c r="A41" i="30294"/>
  <c r="A40" i="30294"/>
  <c r="A39" i="30294"/>
  <c r="A38" i="30294"/>
  <c r="A37" i="30294"/>
  <c r="A36" i="30294"/>
  <c r="A35" i="30294"/>
  <c r="A34" i="30294"/>
  <c r="A33" i="30294"/>
  <c r="A32" i="30294"/>
  <c r="A31" i="30294"/>
  <c r="A30" i="30294"/>
  <c r="A29" i="30294"/>
  <c r="A28" i="30294"/>
  <c r="A27" i="30294"/>
  <c r="A26" i="30294"/>
  <c r="A25" i="30294"/>
  <c r="A24" i="30294"/>
  <c r="A23" i="30294"/>
  <c r="A22" i="30294"/>
  <c r="A21" i="30294"/>
  <c r="A20" i="30294"/>
  <c r="A19" i="30294"/>
  <c r="A18" i="30294"/>
  <c r="A17" i="30294"/>
  <c r="A16" i="30294"/>
  <c r="A15" i="30294"/>
  <c r="A14" i="30294"/>
  <c r="A13" i="30294"/>
  <c r="A12" i="30294"/>
  <c r="A11" i="30294"/>
  <c r="A10" i="30294"/>
  <c r="A9" i="30294"/>
  <c r="DX79" i="30248" l="1"/>
  <c r="DX24" i="30248"/>
  <c r="DR115" i="30248"/>
  <c r="EH219" i="30248" l="1"/>
  <c r="EC219" i="30248"/>
  <c r="EB219" i="30248"/>
  <c r="DW219" i="30248"/>
  <c r="DR219" i="30248"/>
  <c r="DQ219" i="30248"/>
  <c r="CW219" i="30248"/>
  <c r="CX219" i="30248"/>
  <c r="CY219" i="30248"/>
  <c r="CZ219" i="30248"/>
  <c r="DA219" i="30248"/>
  <c r="DB219" i="30248"/>
  <c r="DC219" i="30248"/>
  <c r="DD219" i="30248"/>
  <c r="DE219" i="30248" s="1"/>
  <c r="DF219" i="30248"/>
  <c r="DG219" i="30248"/>
  <c r="DH219" i="30248"/>
  <c r="DI219" i="30248"/>
  <c r="DJ219" i="30248"/>
  <c r="DK219" i="30248"/>
  <c r="DL219" i="30248"/>
  <c r="DM219" i="30248"/>
  <c r="G297" i="30295" l="1"/>
  <c r="G7" i="30295" s="1"/>
  <c r="C297" i="30295"/>
  <c r="C7" i="30295" s="1"/>
  <c r="B297" i="30295"/>
  <c r="B7" i="30295" s="1"/>
  <c r="E297" i="30295"/>
  <c r="E7" i="30295" s="1"/>
  <c r="F297" i="30295"/>
  <c r="F7" i="30295" s="1"/>
  <c r="D297" i="30295"/>
  <c r="D7" i="30295" s="1"/>
  <c r="G297" i="30294"/>
  <c r="G7" i="30294" s="1"/>
  <c r="D297" i="30294"/>
  <c r="D7" i="30294" s="1"/>
  <c r="B297" i="30294"/>
  <c r="B7" i="30294" s="1"/>
  <c r="C297" i="30294"/>
  <c r="C7" i="30294" s="1"/>
  <c r="F297" i="30294"/>
  <c r="F7" i="30294" s="1"/>
  <c r="E297" i="30294"/>
  <c r="E7" i="30294" s="1"/>
  <c r="G8" i="30294" l="1"/>
  <c r="G8" i="30295"/>
  <c r="G319" i="30295" s="1"/>
  <c r="E8" i="30295"/>
  <c r="E319" i="30295" s="1"/>
  <c r="B8" i="30295"/>
  <c r="B323" i="30295" s="1"/>
  <c r="D8" i="30295"/>
  <c r="D259" i="30295" s="1"/>
  <c r="D260" i="30295" s="1"/>
  <c r="F8" i="30294"/>
  <c r="C8" i="30294"/>
  <c r="B8" i="30294"/>
  <c r="F8" i="30295"/>
  <c r="F323" i="30295" s="1"/>
  <c r="E8" i="30294"/>
  <c r="D8" i="30294"/>
  <c r="C8" i="30295"/>
  <c r="C247" i="30295" s="1"/>
  <c r="D245" i="30294" l="1"/>
  <c r="G255" i="30294"/>
  <c r="E259" i="30294"/>
  <c r="E260" i="30294" s="1"/>
  <c r="B243" i="30294"/>
  <c r="F302" i="30294"/>
  <c r="C340" i="30294"/>
  <c r="L25" i="30308"/>
  <c r="B316" i="30294"/>
  <c r="J14" i="30308" s="1"/>
  <c r="G230" i="30295"/>
  <c r="B230" i="30295"/>
  <c r="D230" i="30295"/>
  <c r="F230" i="30295"/>
  <c r="E230" i="30295"/>
  <c r="C230" i="30295"/>
  <c r="E332" i="30294"/>
  <c r="B336" i="30294"/>
  <c r="G247" i="30294"/>
  <c r="E237" i="30295"/>
  <c r="O24" i="30308"/>
  <c r="B241" i="30295"/>
  <c r="B245" i="30295"/>
  <c r="B336" i="30295"/>
  <c r="B304" i="30295"/>
  <c r="B305" i="30295" s="1"/>
  <c r="C323" i="30295"/>
  <c r="C245" i="30295"/>
  <c r="C255" i="30295"/>
  <c r="F248" i="30295"/>
  <c r="F244" i="30295"/>
  <c r="F336" i="30294"/>
  <c r="F253" i="30294"/>
  <c r="E319" i="30294"/>
  <c r="F254" i="30294"/>
  <c r="F303" i="30294"/>
  <c r="B307" i="30294"/>
  <c r="F333" i="30294"/>
  <c r="E302" i="30294"/>
  <c r="C330" i="30294"/>
  <c r="F247" i="30294"/>
  <c r="B255" i="30294"/>
  <c r="C325" i="30294"/>
  <c r="F310" i="30294"/>
  <c r="F242" i="30294"/>
  <c r="F320" i="30294"/>
  <c r="D310" i="30294"/>
  <c r="B335" i="30294"/>
  <c r="C254" i="30294"/>
  <c r="F332" i="30294"/>
  <c r="F243" i="30294"/>
  <c r="F322" i="30294"/>
  <c r="B331" i="30294"/>
  <c r="F337" i="30294"/>
  <c r="F255" i="30294"/>
  <c r="B242" i="30294"/>
  <c r="F250" i="30294"/>
  <c r="F259" i="30294"/>
  <c r="F260" i="30294" s="1"/>
  <c r="F319" i="30294"/>
  <c r="B302" i="30294"/>
  <c r="F323" i="30294"/>
  <c r="B321" i="30294"/>
  <c r="F241" i="30294"/>
  <c r="B322" i="30294"/>
  <c r="F256" i="30294"/>
  <c r="F257" i="30294" s="1"/>
  <c r="F312" i="30294" s="1"/>
  <c r="F340" i="30294"/>
  <c r="B325" i="30294"/>
  <c r="F306" i="30294"/>
  <c r="F248" i="30294"/>
  <c r="F339" i="30294"/>
  <c r="F304" i="30294"/>
  <c r="F305" i="30294" s="1"/>
  <c r="B338" i="30294"/>
  <c r="F308" i="30294"/>
  <c r="F239" i="30294"/>
  <c r="G244" i="30294"/>
  <c r="D338" i="30294"/>
  <c r="G254" i="30294"/>
  <c r="G261" i="30294" s="1"/>
  <c r="D330" i="30294"/>
  <c r="D303" i="30294"/>
  <c r="G302" i="30294"/>
  <c r="D250" i="30294"/>
  <c r="E321" i="30294"/>
  <c r="D254" i="30294"/>
  <c r="D307" i="30294"/>
  <c r="E250" i="30294"/>
  <c r="G242" i="30294"/>
  <c r="D306" i="30294"/>
  <c r="G332" i="30294"/>
  <c r="E256" i="30294"/>
  <c r="E257" i="30294" s="1"/>
  <c r="E312" i="30294" s="1"/>
  <c r="G340" i="30294"/>
  <c r="D248" i="30294"/>
  <c r="D339" i="30294"/>
  <c r="E339" i="30294"/>
  <c r="C339" i="30294"/>
  <c r="G325" i="30294"/>
  <c r="D320" i="30294"/>
  <c r="E320" i="30294"/>
  <c r="G316" i="30294"/>
  <c r="O14" i="30308" s="1"/>
  <c r="E337" i="30294"/>
  <c r="G330" i="30294"/>
  <c r="G323" i="30294"/>
  <c r="D321" i="30294"/>
  <c r="D334" i="30294"/>
  <c r="D336" i="30294"/>
  <c r="D324" i="30294"/>
  <c r="D325" i="30294"/>
  <c r="G322" i="30294"/>
  <c r="G314" i="30294"/>
  <c r="D308" i="30294"/>
  <c r="D230" i="30294"/>
  <c r="G333" i="30294"/>
  <c r="D247" i="30294"/>
  <c r="D253" i="30294"/>
  <c r="D302" i="30294"/>
  <c r="D240" i="30294"/>
  <c r="D337" i="30294"/>
  <c r="G334" i="30294"/>
  <c r="G319" i="30294"/>
  <c r="B315" i="30295"/>
  <c r="G321" i="30295"/>
  <c r="F245" i="30295"/>
  <c r="B240" i="30295"/>
  <c r="B237" i="30295"/>
  <c r="B337" i="30295"/>
  <c r="F338" i="30295"/>
  <c r="B255" i="30295"/>
  <c r="B238" i="30295"/>
  <c r="B328" i="30295"/>
  <c r="F241" i="30295"/>
  <c r="B243" i="30295"/>
  <c r="F325" i="30295"/>
  <c r="B335" i="30295"/>
  <c r="G239" i="30295"/>
  <c r="G332" i="30295"/>
  <c r="F336" i="30295"/>
  <c r="G259" i="30295"/>
  <c r="G260" i="30295" s="1"/>
  <c r="F334" i="30295"/>
  <c r="F259" i="30295"/>
  <c r="F260" i="30295" s="1"/>
  <c r="F340" i="30295"/>
  <c r="F316" i="30295"/>
  <c r="N34" i="30308" s="1"/>
  <c r="F306" i="30295"/>
  <c r="G254" i="30295"/>
  <c r="F315" i="30295"/>
  <c r="C259" i="30294"/>
  <c r="C260" i="30294" s="1"/>
  <c r="D333" i="30294"/>
  <c r="D256" i="30294"/>
  <c r="D257" i="30294" s="1"/>
  <c r="D312" i="30294" s="1"/>
  <c r="C256" i="30294"/>
  <c r="C257" i="30294" s="1"/>
  <c r="C312" i="30294" s="1"/>
  <c r="D340" i="30294"/>
  <c r="D315" i="30294"/>
  <c r="D335" i="30294"/>
  <c r="G304" i="30294"/>
  <c r="G305" i="30294" s="1"/>
  <c r="B334" i="30294"/>
  <c r="C310" i="30294"/>
  <c r="F338" i="30294"/>
  <c r="F307" i="30294"/>
  <c r="F316" i="30294"/>
  <c r="N14" i="30308" s="1"/>
  <c r="G324" i="30294"/>
  <c r="D332" i="30294"/>
  <c r="D316" i="30294"/>
  <c r="L14" i="30308" s="1"/>
  <c r="D322" i="30294"/>
  <c r="D328" i="30294"/>
  <c r="D241" i="30294"/>
  <c r="B240" i="30294"/>
  <c r="C338" i="30294"/>
  <c r="F331" i="30294"/>
  <c r="F314" i="30294"/>
  <c r="F325" i="30294"/>
  <c r="G321" i="30294"/>
  <c r="C331" i="30294"/>
  <c r="C247" i="30294"/>
  <c r="D314" i="30294"/>
  <c r="C243" i="30294"/>
  <c r="D323" i="30294"/>
  <c r="B324" i="30294"/>
  <c r="D255" i="30294"/>
  <c r="D329" i="30294"/>
  <c r="D239" i="30294"/>
  <c r="D319" i="30294"/>
  <c r="B253" i="30294"/>
  <c r="C333" i="30294"/>
  <c r="F230" i="30294"/>
  <c r="F330" i="30294"/>
  <c r="F324" i="30294"/>
  <c r="G239" i="30294"/>
  <c r="G331" i="30294"/>
  <c r="D242" i="30294"/>
  <c r="D259" i="30294"/>
  <c r="D260" i="30294" s="1"/>
  <c r="D331" i="30294"/>
  <c r="D243" i="30294"/>
  <c r="B320" i="30294"/>
  <c r="F329" i="30294"/>
  <c r="F315" i="30294"/>
  <c r="F334" i="30294"/>
  <c r="G329" i="30294"/>
  <c r="J30" i="30308"/>
  <c r="J29" i="30308"/>
  <c r="L30" i="30308"/>
  <c r="M25" i="30308"/>
  <c r="L27" i="30308"/>
  <c r="M29" i="30308"/>
  <c r="L24" i="30308"/>
  <c r="L26" i="30308"/>
  <c r="M24" i="30308"/>
  <c r="L29" i="30308"/>
  <c r="O29" i="30308"/>
  <c r="J26" i="30308"/>
  <c r="M27" i="30308"/>
  <c r="C337" i="30295"/>
  <c r="C316" i="30295"/>
  <c r="K34" i="30308" s="1"/>
  <c r="C248" i="30295"/>
  <c r="C329" i="30295"/>
  <c r="C334" i="30295"/>
  <c r="C333" i="30295"/>
  <c r="C330" i="30295"/>
  <c r="C308" i="30295"/>
  <c r="C335" i="30295"/>
  <c r="C241" i="30295"/>
  <c r="C259" i="30295"/>
  <c r="C260" i="30295" s="1"/>
  <c r="C243" i="30295"/>
  <c r="C322" i="30295"/>
  <c r="C256" i="30295"/>
  <c r="C257" i="30295" s="1"/>
  <c r="C312" i="30295" s="1"/>
  <c r="C253" i="30295"/>
  <c r="C336" i="30295"/>
  <c r="C321" i="30295"/>
  <c r="C240" i="30295"/>
  <c r="C331" i="30295"/>
  <c r="C314" i="30295"/>
  <c r="C319" i="30295"/>
  <c r="K27" i="30308"/>
  <c r="C338" i="30295"/>
  <c r="K24" i="30308"/>
  <c r="C302" i="30295"/>
  <c r="C328" i="30295"/>
  <c r="C303" i="30295"/>
  <c r="C315" i="30295"/>
  <c r="J24" i="30308"/>
  <c r="K28" i="30308"/>
  <c r="C336" i="30294"/>
  <c r="C324" i="30294"/>
  <c r="C337" i="30294"/>
  <c r="C316" i="30294"/>
  <c r="K14" i="30308" s="1"/>
  <c r="C328" i="30294"/>
  <c r="B239" i="30294"/>
  <c r="C242" i="30294"/>
  <c r="C334" i="30294"/>
  <c r="C319" i="30294"/>
  <c r="C241" i="30294"/>
  <c r="C248" i="30294"/>
  <c r="C255" i="30294"/>
  <c r="C329" i="30294"/>
  <c r="C307" i="30294"/>
  <c r="B329" i="30294"/>
  <c r="B259" i="30294"/>
  <c r="B260" i="30294" s="1"/>
  <c r="C323" i="30294"/>
  <c r="C320" i="30294"/>
  <c r="K30" i="30308"/>
  <c r="O30" i="30308"/>
  <c r="B321" i="30295"/>
  <c r="B329" i="30295"/>
  <c r="B339" i="30295"/>
  <c r="B319" i="30295"/>
  <c r="B306" i="30295"/>
  <c r="B239" i="30295"/>
  <c r="B247" i="30295"/>
  <c r="B254" i="30295"/>
  <c r="B256" i="30295"/>
  <c r="B257" i="30295" s="1"/>
  <c r="B312" i="30295" s="1"/>
  <c r="B302" i="30295"/>
  <c r="B322" i="30295"/>
  <c r="B338" i="30295"/>
  <c r="B303" i="30295"/>
  <c r="B250" i="30295"/>
  <c r="B333" i="30295"/>
  <c r="O25" i="30308"/>
  <c r="B314" i="30295"/>
  <c r="O27" i="30308"/>
  <c r="E248" i="30295"/>
  <c r="E244" i="30295"/>
  <c r="G307" i="30295"/>
  <c r="G303" i="30295"/>
  <c r="G243" i="30295"/>
  <c r="G338" i="30295"/>
  <c r="G310" i="30295"/>
  <c r="G302" i="30295"/>
  <c r="G250" i="30295"/>
  <c r="G243" i="30294"/>
  <c r="G335" i="30294"/>
  <c r="G328" i="30294"/>
  <c r="G241" i="30294"/>
  <c r="G310" i="30294"/>
  <c r="G320" i="30294"/>
  <c r="G307" i="30294"/>
  <c r="G338" i="30294"/>
  <c r="G259" i="30294"/>
  <c r="G260" i="30294" s="1"/>
  <c r="G308" i="30294"/>
  <c r="G303" i="30294"/>
  <c r="G306" i="30294"/>
  <c r="G248" i="30294"/>
  <c r="G245" i="30294"/>
  <c r="G306" i="30295"/>
  <c r="G315" i="30294"/>
  <c r="G253" i="30294"/>
  <c r="M28" i="30308"/>
  <c r="F335" i="30294"/>
  <c r="F240" i="30294"/>
  <c r="G253" i="30295"/>
  <c r="J27" i="30308"/>
  <c r="G240" i="30294"/>
  <c r="G339" i="30294"/>
  <c r="K25" i="30308"/>
  <c r="G247" i="30295"/>
  <c r="G256" i="30294"/>
  <c r="G257" i="30294" s="1"/>
  <c r="G312" i="30294" s="1"/>
  <c r="G336" i="30294"/>
  <c r="G329" i="30295"/>
  <c r="G331" i="30295"/>
  <c r="G250" i="30294"/>
  <c r="G337" i="30294"/>
  <c r="E242" i="30294"/>
  <c r="E245" i="30294"/>
  <c r="E322" i="30294"/>
  <c r="F337" i="30295"/>
  <c r="F240" i="30295"/>
  <c r="J25" i="30308"/>
  <c r="E303" i="30294"/>
  <c r="E334" i="30294"/>
  <c r="E335" i="30294"/>
  <c r="F250" i="30295"/>
  <c r="F308" i="30295"/>
  <c r="F314" i="30295"/>
  <c r="E340" i="30294"/>
  <c r="E314" i="30294"/>
  <c r="E331" i="30294"/>
  <c r="F307" i="30295"/>
  <c r="F310" i="30295"/>
  <c r="E315" i="30294"/>
  <c r="E254" i="30294"/>
  <c r="F304" i="30295"/>
  <c r="F305" i="30295" s="1"/>
  <c r="F238" i="30295"/>
  <c r="F237" i="30295"/>
  <c r="F256" i="30295"/>
  <c r="F257" i="30295" s="1"/>
  <c r="F312" i="30295" s="1"/>
  <c r="F333" i="30295"/>
  <c r="F247" i="30295"/>
  <c r="F328" i="30295"/>
  <c r="F322" i="30295"/>
  <c r="F320" i="30295"/>
  <c r="F254" i="30295"/>
  <c r="F339" i="30295"/>
  <c r="F324" i="30295"/>
  <c r="F330" i="30295"/>
  <c r="F239" i="30295"/>
  <c r="F302" i="30295"/>
  <c r="F243" i="30295"/>
  <c r="F329" i="30295"/>
  <c r="F332" i="30295"/>
  <c r="E248" i="30294"/>
  <c r="E244" i="30294"/>
  <c r="E238" i="30294"/>
  <c r="E304" i="30294"/>
  <c r="E305" i="30294" s="1"/>
  <c r="E237" i="30294"/>
  <c r="E324" i="30294"/>
  <c r="E338" i="30294"/>
  <c r="E307" i="30294"/>
  <c r="E329" i="30294"/>
  <c r="E308" i="30294"/>
  <c r="E255" i="30294"/>
  <c r="E323" i="30294"/>
  <c r="E336" i="30294"/>
  <c r="E239" i="30294"/>
  <c r="E333" i="30294"/>
  <c r="E325" i="30294"/>
  <c r="E230" i="30294"/>
  <c r="E316" i="30294"/>
  <c r="M14" i="30308" s="1"/>
  <c r="E330" i="30294"/>
  <c r="E310" i="30294"/>
  <c r="F303" i="30295"/>
  <c r="F331" i="30295"/>
  <c r="O26" i="30308"/>
  <c r="E240" i="30294"/>
  <c r="E328" i="30294"/>
  <c r="F255" i="30295"/>
  <c r="F335" i="30295"/>
  <c r="C306" i="30295"/>
  <c r="C320" i="30295"/>
  <c r="E241" i="30294"/>
  <c r="E247" i="30294"/>
  <c r="F242" i="30295"/>
  <c r="F321" i="30295"/>
  <c r="M30" i="30308"/>
  <c r="C250" i="30295"/>
  <c r="C244" i="30295"/>
  <c r="C304" i="30295"/>
  <c r="C305" i="30295" s="1"/>
  <c r="C238" i="30295"/>
  <c r="C237" i="30295"/>
  <c r="C242" i="30295"/>
  <c r="C324" i="30295"/>
  <c r="C325" i="30295"/>
  <c r="C239" i="30295"/>
  <c r="C332" i="30295"/>
  <c r="C339" i="30295"/>
  <c r="C254" i="30295"/>
  <c r="C310" i="30295"/>
  <c r="C307" i="30295"/>
  <c r="C340" i="30295"/>
  <c r="E306" i="30294"/>
  <c r="E243" i="30294"/>
  <c r="E253" i="30294"/>
  <c r="O28" i="30308"/>
  <c r="F319" i="30295"/>
  <c r="F253" i="30295"/>
  <c r="D306" i="30295"/>
  <c r="B237" i="30294"/>
  <c r="B244" i="30294"/>
  <c r="B238" i="30294"/>
  <c r="B304" i="30294"/>
  <c r="B305" i="30294" s="1"/>
  <c r="B303" i="30294"/>
  <c r="B332" i="30294"/>
  <c r="B328" i="30294"/>
  <c r="B250" i="30294"/>
  <c r="B245" i="30294"/>
  <c r="B310" i="30294"/>
  <c r="B314" i="30294"/>
  <c r="B333" i="30294"/>
  <c r="B256" i="30294"/>
  <c r="B257" i="30294" s="1"/>
  <c r="B312" i="30294" s="1"/>
  <c r="B308" i="30294"/>
  <c r="B241" i="30294"/>
  <c r="B337" i="30294"/>
  <c r="B340" i="30294"/>
  <c r="B339" i="30294"/>
  <c r="D308" i="30295"/>
  <c r="K29" i="30308"/>
  <c r="D304" i="30295"/>
  <c r="D305" i="30295" s="1"/>
  <c r="D238" i="30295"/>
  <c r="D244" i="30295"/>
  <c r="D325" i="30295"/>
  <c r="D314" i="30295"/>
  <c r="D323" i="30295"/>
  <c r="D242" i="30295"/>
  <c r="D329" i="30295"/>
  <c r="D331" i="30295"/>
  <c r="D243" i="30295"/>
  <c r="D303" i="30295"/>
  <c r="D332" i="30295"/>
  <c r="D337" i="30295"/>
  <c r="D245" i="30295"/>
  <c r="D237" i="30295"/>
  <c r="D340" i="30295"/>
  <c r="D256" i="30295"/>
  <c r="D257" i="30295" s="1"/>
  <c r="D312" i="30295" s="1"/>
  <c r="D339" i="30295"/>
  <c r="D254" i="30295"/>
  <c r="D250" i="30295"/>
  <c r="D253" i="30295"/>
  <c r="D321" i="30295"/>
  <c r="D319" i="30295"/>
  <c r="D315" i="30295"/>
  <c r="D324" i="30295"/>
  <c r="D338" i="30295"/>
  <c r="D336" i="30295"/>
  <c r="D330" i="30295"/>
  <c r="D316" i="30295"/>
  <c r="L34" i="30308" s="1"/>
  <c r="D302" i="30295"/>
  <c r="D248" i="30295"/>
  <c r="D328" i="30295"/>
  <c r="D310" i="30295"/>
  <c r="D320" i="30295"/>
  <c r="D247" i="30295"/>
  <c r="D307" i="30295"/>
  <c r="D335" i="30295"/>
  <c r="D333" i="30295"/>
  <c r="D334" i="30295"/>
  <c r="D255" i="30295"/>
  <c r="D239" i="30295"/>
  <c r="D241" i="30295"/>
  <c r="D322" i="30295"/>
  <c r="B230" i="30294"/>
  <c r="E241" i="30295"/>
  <c r="E242" i="30295"/>
  <c r="E245" i="30295"/>
  <c r="E335" i="30295"/>
  <c r="E253" i="30295"/>
  <c r="E340" i="30295"/>
  <c r="E328" i="30295"/>
  <c r="E310" i="30295"/>
  <c r="E247" i="30295"/>
  <c r="E325" i="30295"/>
  <c r="E321" i="30295"/>
  <c r="E336" i="30295"/>
  <c r="E338" i="30295"/>
  <c r="E240" i="30295"/>
  <c r="E250" i="30295"/>
  <c r="E243" i="30295"/>
  <c r="E307" i="30295"/>
  <c r="E330" i="30295"/>
  <c r="E339" i="30295"/>
  <c r="E304" i="30295"/>
  <c r="E305" i="30295" s="1"/>
  <c r="E302" i="30295"/>
  <c r="E331" i="30295"/>
  <c r="E337" i="30295"/>
  <c r="E254" i="30295"/>
  <c r="E256" i="30295"/>
  <c r="E257" i="30295" s="1"/>
  <c r="E312" i="30295" s="1"/>
  <c r="E315" i="30295"/>
  <c r="E322" i="30295"/>
  <c r="E239" i="30295"/>
  <c r="E323" i="30295"/>
  <c r="E320" i="30295"/>
  <c r="E332" i="30295"/>
  <c r="E324" i="30295"/>
  <c r="E314" i="30295"/>
  <c r="E329" i="30295"/>
  <c r="E308" i="30295"/>
  <c r="E303" i="30295"/>
  <c r="E238" i="30295"/>
  <c r="E259" i="30295"/>
  <c r="E260" i="30295" s="1"/>
  <c r="E255" i="30295"/>
  <c r="E333" i="30295"/>
  <c r="E306" i="30295"/>
  <c r="E316" i="30295"/>
  <c r="M34" i="30308" s="1"/>
  <c r="E334" i="30295"/>
  <c r="B248" i="30294"/>
  <c r="B254" i="30294"/>
  <c r="B323" i="30294"/>
  <c r="B315" i="30294"/>
  <c r="B306" i="30294"/>
  <c r="D244" i="30294"/>
  <c r="D238" i="30294"/>
  <c r="D237" i="30294"/>
  <c r="D304" i="30294"/>
  <c r="D305" i="30294" s="1"/>
  <c r="L28" i="30308"/>
  <c r="B247" i="30294"/>
  <c r="B319" i="30294"/>
  <c r="B330" i="30294"/>
  <c r="D240" i="30295"/>
  <c r="C306" i="30294"/>
  <c r="C302" i="30294"/>
  <c r="B330" i="30295"/>
  <c r="B332" i="30295"/>
  <c r="B316" i="30295"/>
  <c r="J34" i="30308" s="1"/>
  <c r="B325" i="30295"/>
  <c r="B244" i="30295"/>
  <c r="B340" i="30295"/>
  <c r="B310" i="30295"/>
  <c r="B259" i="30295"/>
  <c r="B260" i="30295" s="1"/>
  <c r="B324" i="30295"/>
  <c r="B253" i="30295"/>
  <c r="B242" i="30295"/>
  <c r="B331" i="30295"/>
  <c r="B334" i="30295"/>
  <c r="B307" i="30295"/>
  <c r="B248" i="30295"/>
  <c r="B308" i="30295"/>
  <c r="B320" i="30295"/>
  <c r="C230" i="30294"/>
  <c r="C244" i="30294"/>
  <c r="C237" i="30294"/>
  <c r="C238" i="30294"/>
  <c r="C304" i="30294"/>
  <c r="C305" i="30294" s="1"/>
  <c r="C315" i="30294"/>
  <c r="C240" i="30294"/>
  <c r="C321" i="30294"/>
  <c r="C253" i="30294"/>
  <c r="C250" i="30294"/>
  <c r="C239" i="30294"/>
  <c r="C314" i="30294"/>
  <c r="C308" i="30294"/>
  <c r="C303" i="30294"/>
  <c r="C332" i="30294"/>
  <c r="C335" i="30294"/>
  <c r="C245" i="30294"/>
  <c r="C322" i="30294"/>
  <c r="M26" i="30308"/>
  <c r="G339" i="30295"/>
  <c r="G336" i="30295"/>
  <c r="G316" i="30295"/>
  <c r="O34" i="30308" s="1"/>
  <c r="G308" i="30295"/>
  <c r="G256" i="30295"/>
  <c r="G257" i="30295" s="1"/>
  <c r="G312" i="30295" s="1"/>
  <c r="G242" i="30295"/>
  <c r="G237" i="30295"/>
  <c r="G304" i="30295"/>
  <c r="G305" i="30295" s="1"/>
  <c r="G238" i="30295"/>
  <c r="G244" i="30295"/>
  <c r="G335" i="30295"/>
  <c r="G337" i="30295"/>
  <c r="G315" i="30295"/>
  <c r="G314" i="30295"/>
  <c r="G334" i="30295"/>
  <c r="G333" i="30295"/>
  <c r="G320" i="30295"/>
  <c r="J28" i="30308"/>
  <c r="G328" i="30295"/>
  <c r="G245" i="30295"/>
  <c r="G325" i="30295"/>
  <c r="G330" i="30295"/>
  <c r="G241" i="30295"/>
  <c r="G340" i="30295"/>
  <c r="G240" i="30295"/>
  <c r="G322" i="30295"/>
  <c r="G323" i="30295"/>
  <c r="G248" i="30295"/>
  <c r="G324" i="30295"/>
  <c r="G255" i="30295"/>
  <c r="F328" i="30294"/>
  <c r="F245" i="30294"/>
  <c r="F321" i="30294"/>
  <c r="G230" i="30294"/>
  <c r="G237" i="30294"/>
  <c r="G238" i="30294"/>
  <c r="K26" i="30308"/>
  <c r="F237" i="30294"/>
  <c r="F244" i="30294"/>
  <c r="F238" i="30294"/>
  <c r="N26" i="30308" l="1"/>
  <c r="N24" i="30308"/>
  <c r="G24" i="30308"/>
  <c r="N29" i="30308"/>
  <c r="N25" i="30308"/>
  <c r="G25" i="30308"/>
  <c r="N30" i="30308"/>
  <c r="N28" i="30308"/>
  <c r="BT25" i="30308" s="1"/>
  <c r="N27" i="30308"/>
  <c r="G27" i="30308"/>
  <c r="E233" i="30295"/>
  <c r="B25" i="30308"/>
  <c r="D233" i="30295"/>
  <c r="F233" i="30295"/>
  <c r="G233" i="30295"/>
  <c r="C233" i="30295"/>
  <c r="B233" i="30295"/>
  <c r="B233" i="30294"/>
  <c r="D353" i="30295"/>
  <c r="D34" i="30308" s="1"/>
  <c r="G353" i="30295"/>
  <c r="G34" i="30308" s="1"/>
  <c r="E29" i="30308"/>
  <c r="F26" i="30308"/>
  <c r="E353" i="30295"/>
  <c r="E34" i="30308" s="1"/>
  <c r="C353" i="30295"/>
  <c r="C34" i="30308" s="1"/>
  <c r="B353" i="30295"/>
  <c r="B34" i="30308" s="1"/>
  <c r="F353" i="30295"/>
  <c r="F34" i="30308" s="1"/>
  <c r="F27" i="30308"/>
  <c r="B5" i="30308"/>
  <c r="D27" i="30308"/>
  <c r="G30" i="30308"/>
  <c r="F29" i="30308"/>
  <c r="F28" i="30308"/>
  <c r="E26" i="30308"/>
  <c r="E30" i="30308"/>
  <c r="B26" i="30308"/>
  <c r="C26" i="30308"/>
  <c r="D30" i="30308"/>
  <c r="D353" i="30294"/>
  <c r="D14" i="30308" s="1"/>
  <c r="F353" i="30294"/>
  <c r="F14" i="30308" s="1"/>
  <c r="G353" i="30294"/>
  <c r="G14" i="30308" s="1"/>
  <c r="B353" i="30294"/>
  <c r="B14" i="30308" s="1"/>
  <c r="C353" i="30294"/>
  <c r="C14" i="30308" s="1"/>
  <c r="E353" i="30294"/>
  <c r="E14" i="30308" s="1"/>
  <c r="E233" i="30294"/>
  <c r="I101" i="30295"/>
  <c r="B317" i="30294"/>
  <c r="C317" i="30294"/>
  <c r="F317" i="30294"/>
  <c r="E317" i="30294"/>
  <c r="D317" i="30294"/>
  <c r="G317" i="30294"/>
  <c r="B311" i="30294"/>
  <c r="AI101" i="30295"/>
  <c r="B317" i="30295"/>
  <c r="AB101" i="30295"/>
  <c r="D317" i="30295"/>
  <c r="E317" i="30295"/>
  <c r="G300" i="30295"/>
  <c r="D311" i="30295"/>
  <c r="C317" i="30295"/>
  <c r="G317" i="30295"/>
  <c r="F317" i="30295"/>
  <c r="U101" i="30295"/>
  <c r="AW101" i="30295"/>
  <c r="AP101" i="30295"/>
  <c r="AF101" i="30295"/>
  <c r="AT101" i="30295"/>
  <c r="R101" i="30295"/>
  <c r="AM101" i="30295"/>
  <c r="Y101" i="30295"/>
  <c r="AA101" i="30295"/>
  <c r="AV101" i="30295"/>
  <c r="T101" i="30295"/>
  <c r="AH101" i="30295"/>
  <c r="AO101" i="30295"/>
  <c r="W101" i="30295"/>
  <c r="P101" i="30295"/>
  <c r="N101" i="30295"/>
  <c r="AG101" i="30295"/>
  <c r="S101" i="30295"/>
  <c r="AU101" i="30295"/>
  <c r="AN101" i="30295"/>
  <c r="Z101" i="30295"/>
  <c r="AS101" i="30295"/>
  <c r="AL101" i="30295"/>
  <c r="X101" i="30295"/>
  <c r="Q101" i="30295"/>
  <c r="C313" i="30295"/>
  <c r="B251" i="30295"/>
  <c r="G251" i="30295"/>
  <c r="AE101" i="30295"/>
  <c r="J101" i="30295"/>
  <c r="K101" i="30295"/>
  <c r="L101" i="30295"/>
  <c r="M101" i="30295"/>
  <c r="AR101" i="30295"/>
  <c r="F300" i="30294"/>
  <c r="D251" i="30294"/>
  <c r="G233" i="30294"/>
  <c r="F233" i="30294"/>
  <c r="F262" i="30294"/>
  <c r="E251" i="30294"/>
  <c r="F261" i="30294"/>
  <c r="G309" i="30295"/>
  <c r="G262" i="30295"/>
  <c r="F252" i="30294"/>
  <c r="F251" i="30294"/>
  <c r="G311" i="30294"/>
  <c r="D261" i="30294"/>
  <c r="D313" i="30294"/>
  <c r="C262" i="30294"/>
  <c r="G262" i="30294"/>
  <c r="D262" i="30294"/>
  <c r="F313" i="30294"/>
  <c r="E311" i="30294"/>
  <c r="E313" i="30294"/>
  <c r="C313" i="30294"/>
  <c r="C261" i="30294"/>
  <c r="F311" i="30294"/>
  <c r="F309" i="30294"/>
  <c r="D252" i="30294"/>
  <c r="D309" i="30294"/>
  <c r="D233" i="30294"/>
  <c r="D311" i="30294"/>
  <c r="E252" i="30294"/>
  <c r="D300" i="30294"/>
  <c r="B261" i="30295"/>
  <c r="E313" i="30295"/>
  <c r="B311" i="30295"/>
  <c r="B252" i="30295"/>
  <c r="B348" i="30295" s="1"/>
  <c r="B313" i="30295"/>
  <c r="G311" i="30295"/>
  <c r="E300" i="30295"/>
  <c r="F309" i="30295"/>
  <c r="B300" i="30294"/>
  <c r="G300" i="30294"/>
  <c r="B313" i="30294"/>
  <c r="C311" i="30294"/>
  <c r="G309" i="30294"/>
  <c r="B309" i="30294"/>
  <c r="B262" i="30295"/>
  <c r="G313" i="30294"/>
  <c r="C309" i="30295"/>
  <c r="C300" i="30295"/>
  <c r="G251" i="30294"/>
  <c r="G252" i="30295"/>
  <c r="G348" i="30295" s="1"/>
  <c r="B309" i="30295"/>
  <c r="G252" i="30294"/>
  <c r="F313" i="30295"/>
  <c r="B300" i="30295"/>
  <c r="C309" i="30294"/>
  <c r="E311" i="30295"/>
  <c r="G313" i="30295"/>
  <c r="C300" i="30294"/>
  <c r="C311" i="30295"/>
  <c r="G261" i="30295"/>
  <c r="D300" i="30295"/>
  <c r="C262" i="30295"/>
  <c r="C261" i="30295"/>
  <c r="C252" i="30295"/>
  <c r="C348" i="30295" s="1"/>
  <c r="C251" i="30295"/>
  <c r="F300" i="30295"/>
  <c r="F252" i="30295"/>
  <c r="F348" i="30295" s="1"/>
  <c r="F251" i="30295"/>
  <c r="E309" i="30295"/>
  <c r="E309" i="30294"/>
  <c r="E251" i="30295"/>
  <c r="E252" i="30295"/>
  <c r="E348" i="30295" s="1"/>
  <c r="B261" i="30294"/>
  <c r="B262" i="30294"/>
  <c r="F261" i="30295"/>
  <c r="F262" i="30295"/>
  <c r="E262" i="30295"/>
  <c r="E261" i="30295"/>
  <c r="D252" i="30295"/>
  <c r="D348" i="30295" s="1"/>
  <c r="D251" i="30295"/>
  <c r="D309" i="30295"/>
  <c r="D261" i="30295"/>
  <c r="D262" i="30295"/>
  <c r="F311" i="30295"/>
  <c r="E261" i="30294"/>
  <c r="E262" i="30294"/>
  <c r="E300" i="30294"/>
  <c r="D313" i="30295"/>
  <c r="B251" i="30294"/>
  <c r="B252" i="30294"/>
  <c r="C233" i="30294"/>
  <c r="C252" i="30294"/>
  <c r="C251" i="30294"/>
  <c r="B342" i="30294" l="1"/>
  <c r="F342" i="30294"/>
  <c r="B342" i="30295"/>
  <c r="C342" i="30294"/>
  <c r="D342" i="30294"/>
  <c r="G342" i="30294"/>
  <c r="E342" i="30295"/>
  <c r="D342" i="30295"/>
  <c r="F342" i="30295"/>
  <c r="E342" i="30294"/>
  <c r="G342" i="30295"/>
  <c r="C342" i="30295"/>
  <c r="AE25" i="30308"/>
  <c r="F348" i="30294"/>
  <c r="E348" i="30294"/>
  <c r="G348" i="30294"/>
  <c r="D348" i="30294"/>
  <c r="B348" i="30294"/>
  <c r="C348" i="30294"/>
  <c r="Z30" i="30308"/>
  <c r="AC30" i="30308"/>
  <c r="AB30" i="30308"/>
  <c r="AE30" i="30308"/>
  <c r="F344" i="30294"/>
  <c r="E10" i="30308"/>
  <c r="F8" i="30308"/>
  <c r="E5" i="30308"/>
  <c r="F5" i="30308"/>
  <c r="G5" i="30308"/>
  <c r="C6" i="30308"/>
  <c r="B6" i="30308"/>
  <c r="C7" i="30308"/>
  <c r="C27" i="30308"/>
  <c r="D25" i="30308"/>
  <c r="C25" i="30308"/>
  <c r="E25" i="30308"/>
  <c r="E24" i="30308"/>
  <c r="F25" i="30308"/>
  <c r="D24" i="30308"/>
  <c r="F24" i="30308"/>
  <c r="G26" i="30308"/>
  <c r="F30" i="30308"/>
  <c r="D26" i="30308"/>
  <c r="B30" i="30308"/>
  <c r="B27" i="30308"/>
  <c r="D28" i="30308"/>
  <c r="C30" i="30308"/>
  <c r="G28" i="30308"/>
  <c r="B28" i="30308"/>
  <c r="E27" i="30308"/>
  <c r="E28" i="30308"/>
  <c r="C28" i="30308"/>
  <c r="G29" i="30308"/>
  <c r="B29" i="30308"/>
  <c r="D29" i="30308"/>
  <c r="B24" i="30308"/>
  <c r="C29" i="30308"/>
  <c r="C24" i="30308"/>
  <c r="F10" i="30308"/>
  <c r="D10" i="30308"/>
  <c r="G6" i="30308"/>
  <c r="G9" i="30308"/>
  <c r="E8" i="30308"/>
  <c r="C8" i="30308"/>
  <c r="E6" i="30308"/>
  <c r="F7" i="30308"/>
  <c r="D8" i="30308"/>
  <c r="F9" i="30308"/>
  <c r="G10" i="30308"/>
  <c r="E9" i="30308"/>
  <c r="D9" i="30308"/>
  <c r="B8" i="30308"/>
  <c r="C10" i="30308"/>
  <c r="D7" i="30308"/>
  <c r="B10" i="30308"/>
  <c r="E7" i="30308"/>
  <c r="B7" i="30308"/>
  <c r="B9" i="30308"/>
  <c r="G7" i="30308"/>
  <c r="G8" i="30308"/>
  <c r="C9" i="30308"/>
  <c r="D6" i="30308"/>
  <c r="F6" i="30308"/>
  <c r="C350" i="30295"/>
  <c r="C349" i="30295"/>
  <c r="C344" i="30295"/>
  <c r="C347" i="30295"/>
  <c r="G350" i="30295"/>
  <c r="G349" i="30295"/>
  <c r="G347" i="30295"/>
  <c r="G344" i="30295"/>
  <c r="B350" i="30295"/>
  <c r="B349" i="30295"/>
  <c r="B344" i="30295"/>
  <c r="B347" i="30295"/>
  <c r="E350" i="30295"/>
  <c r="E349" i="30295"/>
  <c r="E347" i="30295"/>
  <c r="E344" i="30295"/>
  <c r="F350" i="30295"/>
  <c r="F349" i="30295"/>
  <c r="F347" i="30295"/>
  <c r="F344" i="30295"/>
  <c r="D344" i="30295"/>
  <c r="D350" i="30295"/>
  <c r="D349" i="30295"/>
  <c r="D347" i="30295"/>
  <c r="F349" i="30294"/>
  <c r="F347" i="30294"/>
  <c r="F350" i="30294"/>
  <c r="C347" i="30294"/>
  <c r="C344" i="30294"/>
  <c r="C349" i="30294"/>
  <c r="C350" i="30294"/>
  <c r="E344" i="30294"/>
  <c r="E347" i="30294"/>
  <c r="E349" i="30294"/>
  <c r="E350" i="30294"/>
  <c r="B350" i="30294"/>
  <c r="B344" i="30294"/>
  <c r="B349" i="30294"/>
  <c r="B347" i="30294"/>
  <c r="G344" i="30294"/>
  <c r="G349" i="30294"/>
  <c r="G347" i="30294"/>
  <c r="G350" i="30294"/>
  <c r="D344" i="30294"/>
  <c r="D350" i="30294"/>
  <c r="D349" i="30294"/>
  <c r="D347" i="30294"/>
  <c r="FM218" i="30248"/>
  <c r="FQ218" i="30248"/>
  <c r="FM219" i="30248"/>
  <c r="FN219" i="30248"/>
  <c r="FO219" i="30248"/>
  <c r="FP219" i="30248"/>
  <c r="FQ219" i="30248"/>
  <c r="FM220" i="30248"/>
  <c r="FN220" i="30248"/>
  <c r="FO220" i="30248"/>
  <c r="FP220" i="30248"/>
  <c r="FQ220" i="30248"/>
  <c r="FM221" i="30248"/>
  <c r="FN221" i="30248"/>
  <c r="FO221" i="30248"/>
  <c r="FP221" i="30248"/>
  <c r="FQ221" i="30248"/>
  <c r="FM222" i="30248"/>
  <c r="FN222" i="30248"/>
  <c r="FO222" i="30248"/>
  <c r="FP222" i="30248"/>
  <c r="FQ222" i="30248"/>
  <c r="FM223" i="30248"/>
  <c r="FN223" i="30248"/>
  <c r="FO223" i="30248"/>
  <c r="FP223" i="30248"/>
  <c r="FQ223" i="30248"/>
  <c r="FM224" i="30248"/>
  <c r="FN224" i="30248"/>
  <c r="FO224" i="30248"/>
  <c r="FP224" i="30248"/>
  <c r="FQ224" i="30248"/>
  <c r="FM225" i="30248"/>
  <c r="FN225" i="30248"/>
  <c r="FO225" i="30248"/>
  <c r="FP225" i="30248"/>
  <c r="FQ225" i="30248"/>
  <c r="FM226" i="30248"/>
  <c r="FN226" i="30248"/>
  <c r="FO226" i="30248"/>
  <c r="FP226" i="30248"/>
  <c r="FQ226" i="30248"/>
  <c r="FM227" i="30248"/>
  <c r="FN227" i="30248"/>
  <c r="FO227" i="30248"/>
  <c r="FP227" i="30248"/>
  <c r="FQ227" i="30248"/>
  <c r="FM228" i="30248"/>
  <c r="FN228" i="30248"/>
  <c r="FO228" i="30248"/>
  <c r="FP228" i="30248"/>
  <c r="FQ228" i="30248"/>
  <c r="CW218" i="30248"/>
  <c r="CX218" i="30248"/>
  <c r="CY218" i="30248"/>
  <c r="FN218" i="30248" s="1"/>
  <c r="CZ218" i="30248"/>
  <c r="DA218" i="30248"/>
  <c r="DB218" i="30248"/>
  <c r="DC218" i="30248"/>
  <c r="DD218" i="30248"/>
  <c r="DE218" i="30248" s="1"/>
  <c r="DF218" i="30248"/>
  <c r="DG218" i="30248"/>
  <c r="FP218" i="30248" s="1"/>
  <c r="DH218" i="30248"/>
  <c r="FO218" i="30248" s="1"/>
  <c r="DI218" i="30248"/>
  <c r="DJ218" i="30248"/>
  <c r="DK218" i="30248"/>
  <c r="DL218" i="30248"/>
  <c r="DM218" i="30248"/>
  <c r="DN218" i="30248"/>
  <c r="DO218" i="30248"/>
  <c r="DP218" i="30248"/>
  <c r="DN219" i="30248"/>
  <c r="DO219" i="30248"/>
  <c r="DP219" i="30248"/>
  <c r="CW220" i="30248"/>
  <c r="CX220" i="30248"/>
  <c r="CY220" i="30248"/>
  <c r="CZ220" i="30248"/>
  <c r="DA220" i="30248"/>
  <c r="DB220" i="30248"/>
  <c r="DC220" i="30248"/>
  <c r="DD220" i="30248"/>
  <c r="DE220" i="30248"/>
  <c r="DF220" i="30248"/>
  <c r="DG220" i="30248"/>
  <c r="DH220" i="30248"/>
  <c r="DI220" i="30248"/>
  <c r="DJ220" i="30248"/>
  <c r="DK220" i="30248"/>
  <c r="DL220" i="30248"/>
  <c r="DM220" i="30248"/>
  <c r="DN220" i="30248"/>
  <c r="DO220" i="30248"/>
  <c r="DP220" i="30248"/>
  <c r="CW221" i="30248"/>
  <c r="CX221" i="30248"/>
  <c r="CY221" i="30248"/>
  <c r="CZ221" i="30248"/>
  <c r="DA221" i="30248"/>
  <c r="DB221" i="30248"/>
  <c r="DC221" i="30248"/>
  <c r="DD221" i="30248"/>
  <c r="DE221" i="30248"/>
  <c r="DF221" i="30248"/>
  <c r="DG221" i="30248"/>
  <c r="DH221" i="30248"/>
  <c r="DI221" i="30248"/>
  <c r="DJ221" i="30248"/>
  <c r="DK221" i="30248"/>
  <c r="DL221" i="30248"/>
  <c r="DM221" i="30248"/>
  <c r="DN221" i="30248"/>
  <c r="DO221" i="30248"/>
  <c r="DP221" i="30248"/>
  <c r="CW222" i="30248"/>
  <c r="CX222" i="30248"/>
  <c r="CY222" i="30248"/>
  <c r="CZ222" i="30248"/>
  <c r="DA222" i="30248"/>
  <c r="DB222" i="30248"/>
  <c r="DC222" i="30248"/>
  <c r="DD222" i="30248"/>
  <c r="DE222" i="30248"/>
  <c r="DF222" i="30248"/>
  <c r="DG222" i="30248"/>
  <c r="DH222" i="30248"/>
  <c r="DI222" i="30248"/>
  <c r="DJ222" i="30248"/>
  <c r="DK222" i="30248"/>
  <c r="DL222" i="30248"/>
  <c r="DM222" i="30248"/>
  <c r="DN222" i="30248"/>
  <c r="DO222" i="30248"/>
  <c r="DP222" i="30248"/>
  <c r="CW223" i="30248"/>
  <c r="CX223" i="30248"/>
  <c r="CY223" i="30248"/>
  <c r="CZ223" i="30248"/>
  <c r="DA223" i="30248"/>
  <c r="DB223" i="30248"/>
  <c r="DC223" i="30248"/>
  <c r="DD223" i="30248"/>
  <c r="DE223" i="30248"/>
  <c r="DF223" i="30248"/>
  <c r="DG223" i="30248"/>
  <c r="DH223" i="30248"/>
  <c r="DI223" i="30248"/>
  <c r="DJ223" i="30248"/>
  <c r="DK223" i="30248"/>
  <c r="DL223" i="30248"/>
  <c r="DM223" i="30248"/>
  <c r="DN223" i="30248"/>
  <c r="DO223" i="30248"/>
  <c r="DP223" i="30248"/>
  <c r="CW224" i="30248"/>
  <c r="CX224" i="30248"/>
  <c r="CY224" i="30248"/>
  <c r="CZ224" i="30248"/>
  <c r="DA224" i="30248"/>
  <c r="DB224" i="30248"/>
  <c r="DC224" i="30248"/>
  <c r="DD224" i="30248"/>
  <c r="DE224" i="30248"/>
  <c r="DF224" i="30248"/>
  <c r="DG224" i="30248"/>
  <c r="DH224" i="30248"/>
  <c r="DI224" i="30248"/>
  <c r="DJ224" i="30248"/>
  <c r="DK224" i="30248"/>
  <c r="DL224" i="30248"/>
  <c r="DM224" i="30248"/>
  <c r="DN224" i="30248"/>
  <c r="DO224" i="30248"/>
  <c r="DP224" i="30248"/>
  <c r="CW225" i="30248"/>
  <c r="CX225" i="30248"/>
  <c r="CY225" i="30248"/>
  <c r="CZ225" i="30248"/>
  <c r="DA225" i="30248"/>
  <c r="DB225" i="30248"/>
  <c r="DC225" i="30248"/>
  <c r="DD225" i="30248"/>
  <c r="DE225" i="30248"/>
  <c r="DF225" i="30248"/>
  <c r="DG225" i="30248"/>
  <c r="DH225" i="30248"/>
  <c r="DI225" i="30248"/>
  <c r="DJ225" i="30248"/>
  <c r="DK225" i="30248"/>
  <c r="DL225" i="30248"/>
  <c r="DM225" i="30248"/>
  <c r="DN225" i="30248"/>
  <c r="DO225" i="30248"/>
  <c r="DP225" i="30248"/>
  <c r="CW226" i="30248"/>
  <c r="CX226" i="30248"/>
  <c r="CY226" i="30248"/>
  <c r="CZ226" i="30248"/>
  <c r="DA226" i="30248"/>
  <c r="DB226" i="30248"/>
  <c r="DC226" i="30248"/>
  <c r="DD226" i="30248"/>
  <c r="DE226" i="30248"/>
  <c r="DF226" i="30248"/>
  <c r="DG226" i="30248"/>
  <c r="DH226" i="30248"/>
  <c r="DI226" i="30248"/>
  <c r="DJ226" i="30248"/>
  <c r="DK226" i="30248"/>
  <c r="DL226" i="30248"/>
  <c r="DM226" i="30248"/>
  <c r="DN226" i="30248"/>
  <c r="DO226" i="30248"/>
  <c r="DP226" i="30248"/>
  <c r="CW227" i="30248"/>
  <c r="CX227" i="30248"/>
  <c r="CY227" i="30248"/>
  <c r="CZ227" i="30248"/>
  <c r="DA227" i="30248"/>
  <c r="DB227" i="30248"/>
  <c r="DC227" i="30248"/>
  <c r="DD227" i="30248"/>
  <c r="DE227" i="30248"/>
  <c r="DF227" i="30248"/>
  <c r="DG227" i="30248"/>
  <c r="DH227" i="30248"/>
  <c r="DI227" i="30248"/>
  <c r="DJ227" i="30248"/>
  <c r="DK227" i="30248"/>
  <c r="DL227" i="30248"/>
  <c r="DM227" i="30248"/>
  <c r="DN227" i="30248"/>
  <c r="DO227" i="30248"/>
  <c r="DP227" i="30248"/>
  <c r="CW228" i="30248"/>
  <c r="CX228" i="30248"/>
  <c r="CY228" i="30248"/>
  <c r="CZ228" i="30248"/>
  <c r="DA228" i="30248"/>
  <c r="DB228" i="30248"/>
  <c r="DC228" i="30248"/>
  <c r="DD228" i="30248"/>
  <c r="DE228" i="30248"/>
  <c r="DF228" i="30248"/>
  <c r="DG228" i="30248"/>
  <c r="DH228" i="30248"/>
  <c r="DI228" i="30248"/>
  <c r="DJ228" i="30248"/>
  <c r="DK228" i="30248"/>
  <c r="DL228" i="30248"/>
  <c r="DM228" i="30248"/>
  <c r="DN228" i="30248"/>
  <c r="DO228" i="30248"/>
  <c r="DP228" i="30248"/>
  <c r="DA180" i="30248"/>
  <c r="CV179" i="30248"/>
  <c r="E179" i="30248"/>
  <c r="CV173" i="30248"/>
  <c r="EG179" i="30248"/>
  <c r="EG173" i="30248"/>
  <c r="EG98" i="30248"/>
  <c r="EG42" i="30248"/>
  <c r="EG41" i="30248"/>
  <c r="EG61" i="30248"/>
  <c r="EG59" i="30248"/>
  <c r="EG56" i="30248"/>
  <c r="EG85" i="30248"/>
  <c r="EG81" i="30248"/>
  <c r="EG72" i="30248"/>
  <c r="EG73" i="30248"/>
  <c r="EG74" i="30248"/>
  <c r="EG75" i="30248"/>
  <c r="EF177" i="30248"/>
  <c r="EE146" i="30248"/>
  <c r="EE150" i="30248"/>
  <c r="EE151" i="30248"/>
  <c r="EE152" i="30248"/>
  <c r="EE153" i="30248"/>
  <c r="EE154" i="30248"/>
  <c r="EE155" i="30248"/>
  <c r="EE156" i="30248"/>
  <c r="EE149" i="30248"/>
  <c r="CW214" i="30248"/>
  <c r="CX214" i="30248"/>
  <c r="CY214" i="30248"/>
  <c r="CZ214" i="30248"/>
  <c r="FN214" i="30248" s="1"/>
  <c r="DA214" i="30248"/>
  <c r="DB214" i="30248"/>
  <c r="DC214" i="30248"/>
  <c r="DD214" i="30248"/>
  <c r="DE214" i="30248"/>
  <c r="DF214" i="30248"/>
  <c r="DG214" i="30248"/>
  <c r="DH214" i="30248"/>
  <c r="FM214" i="30248" s="1"/>
  <c r="DI214" i="30248"/>
  <c r="DJ214" i="30248"/>
  <c r="DK214" i="30248"/>
  <c r="DL214" i="30248"/>
  <c r="DM214" i="30248"/>
  <c r="DN214" i="30248"/>
  <c r="DO214" i="30248"/>
  <c r="DP214" i="30248"/>
  <c r="CW215" i="30248"/>
  <c r="CX215" i="30248"/>
  <c r="CY215" i="30248"/>
  <c r="CZ215" i="30248"/>
  <c r="FN215" i="30248" s="1"/>
  <c r="DA215" i="30248"/>
  <c r="DB215" i="30248"/>
  <c r="DC215" i="30248"/>
  <c r="DD215" i="30248"/>
  <c r="DE215" i="30248"/>
  <c r="DF215" i="30248"/>
  <c r="DG215" i="30248"/>
  <c r="DH215" i="30248"/>
  <c r="FM215" i="30248" s="1"/>
  <c r="DI215" i="30248"/>
  <c r="DJ215" i="30248"/>
  <c r="DK215" i="30248"/>
  <c r="DL215" i="30248"/>
  <c r="DM215" i="30248"/>
  <c r="DN215" i="30248"/>
  <c r="DO215" i="30248"/>
  <c r="DP215" i="30248"/>
  <c r="CW216" i="30248"/>
  <c r="CX216" i="30248"/>
  <c r="CY216" i="30248"/>
  <c r="CZ216" i="30248"/>
  <c r="FP216" i="30248" s="1"/>
  <c r="DA216" i="30248"/>
  <c r="DB216" i="30248"/>
  <c r="DC216" i="30248"/>
  <c r="DD216" i="30248"/>
  <c r="DE216" i="30248"/>
  <c r="DF216" i="30248"/>
  <c r="DG216" i="30248"/>
  <c r="DH216" i="30248"/>
  <c r="FO216" i="30248" s="1"/>
  <c r="DI216" i="30248"/>
  <c r="DJ216" i="30248"/>
  <c r="DK216" i="30248"/>
  <c r="DL216" i="30248"/>
  <c r="DM216" i="30248"/>
  <c r="DN216" i="30248"/>
  <c r="DO216" i="30248"/>
  <c r="DP216" i="30248"/>
  <c r="CW217" i="30248"/>
  <c r="CX217" i="30248"/>
  <c r="CY217" i="30248"/>
  <c r="CZ217" i="30248"/>
  <c r="FN217" i="30248" s="1"/>
  <c r="FQ217" i="30248"/>
  <c r="DA217" i="30248"/>
  <c r="DB217" i="30248"/>
  <c r="DC217" i="30248"/>
  <c r="DD217" i="30248"/>
  <c r="DE217" i="30248" s="1"/>
  <c r="DF217" i="30248"/>
  <c r="DG217" i="30248"/>
  <c r="DH217" i="30248"/>
  <c r="FO217" i="30248" s="1"/>
  <c r="DI217" i="30248"/>
  <c r="DJ217" i="30248"/>
  <c r="DK217" i="30248"/>
  <c r="DL217" i="30248"/>
  <c r="DM217" i="30248"/>
  <c r="DN217" i="30248"/>
  <c r="DO217" i="30248"/>
  <c r="DP217" i="30248"/>
  <c r="FN216" i="30248"/>
  <c r="FP217" i="30248"/>
  <c r="FM217" i="30248"/>
  <c r="FQ216" i="30248"/>
  <c r="G79" i="30248"/>
  <c r="G177" i="30248" s="1"/>
  <c r="EB215" i="30248"/>
  <c r="DT215" i="30248"/>
  <c r="DS214" i="30248"/>
  <c r="DS215" i="30248"/>
  <c r="DQ214" i="30248"/>
  <c r="DQ215" i="30248"/>
  <c r="DR215" i="30248"/>
  <c r="FP215" i="30248"/>
  <c r="FQ215" i="30248"/>
  <c r="EB214" i="30248"/>
  <c r="DR214" i="30248"/>
  <c r="DT214" i="30248"/>
  <c r="FO214" i="30248"/>
  <c r="FP214" i="30248"/>
  <c r="DP213" i="30248"/>
  <c r="DO213" i="30248"/>
  <c r="DN213" i="30248"/>
  <c r="DM213" i="30248"/>
  <c r="DL213" i="30248"/>
  <c r="DK213" i="30248"/>
  <c r="DJ213" i="30248"/>
  <c r="DI213" i="30248"/>
  <c r="DH213" i="30248"/>
  <c r="DG213" i="30248"/>
  <c r="FP213" i="30248" s="1"/>
  <c r="DF213" i="30248"/>
  <c r="DD213" i="30248"/>
  <c r="DE213" i="30248"/>
  <c r="DC213" i="30248"/>
  <c r="DB213" i="30248"/>
  <c r="DA213" i="30248"/>
  <c r="CZ213" i="30248"/>
  <c r="FQ213" i="30248"/>
  <c r="CY213" i="30248"/>
  <c r="FN213" i="30248" s="1"/>
  <c r="CX213" i="30248"/>
  <c r="CW213" i="30248"/>
  <c r="FM213" i="30248"/>
  <c r="FO213" i="30248"/>
  <c r="DR172" i="30248"/>
  <c r="DQ172" i="30248"/>
  <c r="DQ173" i="30248"/>
  <c r="DR173" i="30248"/>
  <c r="DC172" i="30248"/>
  <c r="DQ208" i="30248"/>
  <c r="DR208" i="30248"/>
  <c r="DS208" i="30248"/>
  <c r="DT208" i="30248"/>
  <c r="DQ209" i="30248"/>
  <c r="DR209" i="30248"/>
  <c r="DS209" i="30248"/>
  <c r="DT209" i="30248"/>
  <c r="DQ210" i="30248"/>
  <c r="DR210" i="30248"/>
  <c r="DS210" i="30248"/>
  <c r="DT210" i="30248"/>
  <c r="DQ211" i="30248"/>
  <c r="DR211" i="30248"/>
  <c r="DS211" i="30248"/>
  <c r="DT211" i="30248"/>
  <c r="DQ212" i="30248"/>
  <c r="DR212" i="30248"/>
  <c r="DS212" i="30248"/>
  <c r="DT212" i="30248"/>
  <c r="EA177" i="30248"/>
  <c r="EB211" i="30248"/>
  <c r="EB212" i="30248"/>
  <c r="CW211" i="30248"/>
  <c r="CX211" i="30248"/>
  <c r="CY211" i="30248"/>
  <c r="CZ211" i="30248"/>
  <c r="FQ211" i="30248"/>
  <c r="DA211" i="30248"/>
  <c r="DB211" i="30248"/>
  <c r="DC211" i="30248"/>
  <c r="DD211" i="30248"/>
  <c r="DE211" i="30248" s="1"/>
  <c r="DF211" i="30248"/>
  <c r="DG211" i="30248"/>
  <c r="FP211" i="30248" s="1"/>
  <c r="DH211" i="30248"/>
  <c r="FM211" i="30248" s="1"/>
  <c r="DI211" i="30248"/>
  <c r="DJ211" i="30248"/>
  <c r="DK211" i="30248"/>
  <c r="DL211" i="30248"/>
  <c r="DM211" i="30248"/>
  <c r="DN211" i="30248"/>
  <c r="DO211" i="30248"/>
  <c r="DP211" i="30248"/>
  <c r="CW212" i="30248"/>
  <c r="CX212" i="30248"/>
  <c r="CY212" i="30248"/>
  <c r="FO212" i="30248" s="1"/>
  <c r="CZ212" i="30248"/>
  <c r="FM212" i="30248" s="1"/>
  <c r="DA212" i="30248"/>
  <c r="DB212" i="30248"/>
  <c r="DC212" i="30248"/>
  <c r="DD212" i="30248"/>
  <c r="DE212" i="30248" s="1"/>
  <c r="DF212" i="30248"/>
  <c r="DG212" i="30248"/>
  <c r="FP212" i="30248" s="1"/>
  <c r="DH212" i="30248"/>
  <c r="DI212" i="30248"/>
  <c r="DJ212" i="30248"/>
  <c r="DK212" i="30248"/>
  <c r="DL212" i="30248"/>
  <c r="DM212" i="30248"/>
  <c r="DN212" i="30248"/>
  <c r="DO212" i="30248"/>
  <c r="DP212" i="30248"/>
  <c r="FN212" i="30248"/>
  <c r="FN211" i="30248"/>
  <c r="EB208" i="30248"/>
  <c r="EB209" i="30248"/>
  <c r="EB210" i="30248"/>
  <c r="CW209" i="30248"/>
  <c r="CX209" i="30248"/>
  <c r="CY209" i="30248"/>
  <c r="CZ209" i="30248"/>
  <c r="FQ209" i="30248" s="1"/>
  <c r="DA209" i="30248"/>
  <c r="DB209" i="30248"/>
  <c r="DC209" i="30248"/>
  <c r="DD209" i="30248"/>
  <c r="DE209" i="30248" s="1"/>
  <c r="DF209" i="30248"/>
  <c r="DG209" i="30248"/>
  <c r="FP209" i="30248" s="1"/>
  <c r="DH209" i="30248"/>
  <c r="DI209" i="30248"/>
  <c r="DJ209" i="30248"/>
  <c r="DK209" i="30248"/>
  <c r="DL209" i="30248"/>
  <c r="DM209" i="30248"/>
  <c r="DN209" i="30248"/>
  <c r="DO209" i="30248"/>
  <c r="DP209" i="30248"/>
  <c r="CW210" i="30248"/>
  <c r="CX210" i="30248"/>
  <c r="CY210" i="30248"/>
  <c r="FN210" i="30248" s="1"/>
  <c r="CZ210" i="30248"/>
  <c r="FQ210" i="30248"/>
  <c r="DA210" i="30248"/>
  <c r="DB210" i="30248"/>
  <c r="DC210" i="30248"/>
  <c r="DD210" i="30248"/>
  <c r="DE210" i="30248"/>
  <c r="DF210" i="30248"/>
  <c r="DG210" i="30248"/>
  <c r="DH210" i="30248"/>
  <c r="FM210" i="30248" s="1"/>
  <c r="DI210" i="30248"/>
  <c r="DJ210" i="30248"/>
  <c r="DK210" i="30248"/>
  <c r="DL210" i="30248"/>
  <c r="DM210" i="30248"/>
  <c r="DN210" i="30248"/>
  <c r="DO210" i="30248"/>
  <c r="DP210" i="30248"/>
  <c r="FN209" i="30248"/>
  <c r="FO209" i="30248"/>
  <c r="FO210" i="30248"/>
  <c r="FP210" i="30248"/>
  <c r="AS208" i="30248"/>
  <c r="BQ208" i="30248"/>
  <c r="BP208" i="30248"/>
  <c r="BO208" i="30248"/>
  <c r="BN208" i="30248"/>
  <c r="DM208" i="30248" s="1"/>
  <c r="BM208" i="30248"/>
  <c r="BL208" i="30248"/>
  <c r="BK208" i="30248"/>
  <c r="BJ208" i="30248"/>
  <c r="BI208" i="30248"/>
  <c r="BH208" i="30248"/>
  <c r="BG208" i="30248"/>
  <c r="BF208" i="30248"/>
  <c r="BE208" i="30248"/>
  <c r="DC208" i="30248" s="1"/>
  <c r="BD208" i="30248"/>
  <c r="BC208" i="30248"/>
  <c r="BB208" i="30248"/>
  <c r="BA208" i="30248"/>
  <c r="AZ208" i="30248"/>
  <c r="AY208" i="30248"/>
  <c r="AW208" i="30248"/>
  <c r="AV208" i="30248"/>
  <c r="AU208" i="30248"/>
  <c r="AT208" i="30248"/>
  <c r="AR208" i="30248"/>
  <c r="DK208" i="30248" s="1"/>
  <c r="AQ208" i="30248"/>
  <c r="DJ208" i="30248" s="1"/>
  <c r="AP208" i="30248"/>
  <c r="AO208" i="30248"/>
  <c r="DH208" i="30248" s="1"/>
  <c r="AN208" i="30248"/>
  <c r="DG208" i="30248" s="1"/>
  <c r="FP208" i="30248" s="1"/>
  <c r="AM208" i="30248"/>
  <c r="AL208" i="30248"/>
  <c r="AK208" i="30248"/>
  <c r="AJ208" i="30248"/>
  <c r="DA208" i="30248" s="1"/>
  <c r="AI208" i="30248"/>
  <c r="CZ208" i="30248" s="1"/>
  <c r="AH208" i="30248"/>
  <c r="AG208" i="30248"/>
  <c r="AF208" i="30248"/>
  <c r="CW208" i="30248" s="1"/>
  <c r="CX208" i="30248"/>
  <c r="DN208" i="30248"/>
  <c r="CY208" i="30248"/>
  <c r="DI208" i="30248"/>
  <c r="DF208" i="30248"/>
  <c r="DO208" i="30248"/>
  <c r="DP208" i="30248"/>
  <c r="DD208" i="30248"/>
  <c r="DE208" i="30248" s="1"/>
  <c r="DB208" i="30248"/>
  <c r="DL208" i="30248"/>
  <c r="AW207" i="30248"/>
  <c r="AY207" i="30248"/>
  <c r="AZ207" i="30248"/>
  <c r="BA207" i="30248"/>
  <c r="BB207" i="30248"/>
  <c r="BC207" i="30248"/>
  <c r="BD207" i="30248"/>
  <c r="BE207" i="30248"/>
  <c r="BF207" i="30248"/>
  <c r="BG207" i="30248"/>
  <c r="BH207" i="30248"/>
  <c r="BI207" i="30248"/>
  <c r="BJ207" i="30248"/>
  <c r="BK207" i="30248"/>
  <c r="BL207" i="30248"/>
  <c r="BM207" i="30248"/>
  <c r="BN207" i="30248"/>
  <c r="BO207" i="30248"/>
  <c r="BP207" i="30248"/>
  <c r="BQ207" i="30248"/>
  <c r="AG207" i="30248"/>
  <c r="AH207" i="30248"/>
  <c r="AI207" i="30248"/>
  <c r="AJ207" i="30248"/>
  <c r="AK207" i="30248"/>
  <c r="AL207" i="30248"/>
  <c r="AM207" i="30248"/>
  <c r="AN207" i="30248"/>
  <c r="AO207" i="30248"/>
  <c r="AP207" i="30248"/>
  <c r="AQ207" i="30248"/>
  <c r="AR207" i="30248"/>
  <c r="AS207" i="30248"/>
  <c r="AT207" i="30248"/>
  <c r="AU207" i="30248"/>
  <c r="AV207" i="30248"/>
  <c r="AF207" i="30248"/>
  <c r="EB199" i="30248"/>
  <c r="EB200" i="30248"/>
  <c r="EB201" i="30248"/>
  <c r="EB202" i="30248"/>
  <c r="EB203" i="30248"/>
  <c r="EB204" i="30248"/>
  <c r="EB205" i="30248"/>
  <c r="EB206" i="30248"/>
  <c r="EB207" i="30248"/>
  <c r="DQ185" i="30248"/>
  <c r="DR185" i="30248"/>
  <c r="DS185" i="30248"/>
  <c r="DT185" i="30248"/>
  <c r="DQ186" i="30248"/>
  <c r="DR186" i="30248"/>
  <c r="DS186" i="30248"/>
  <c r="DT186" i="30248"/>
  <c r="DQ187" i="30248"/>
  <c r="DR187" i="30248"/>
  <c r="DS187" i="30248"/>
  <c r="DT187" i="30248"/>
  <c r="DQ188" i="30248"/>
  <c r="DR188" i="30248"/>
  <c r="DS188" i="30248"/>
  <c r="DT188" i="30248"/>
  <c r="DQ189" i="30248"/>
  <c r="DR189" i="30248"/>
  <c r="DS189" i="30248"/>
  <c r="DT189" i="30248"/>
  <c r="DQ190" i="30248"/>
  <c r="DR190" i="30248"/>
  <c r="DS190" i="30248"/>
  <c r="DT190" i="30248"/>
  <c r="DQ191" i="30248"/>
  <c r="DR191" i="30248"/>
  <c r="DS191" i="30248"/>
  <c r="DT191" i="30248"/>
  <c r="DQ192" i="30248"/>
  <c r="DR192" i="30248"/>
  <c r="DS192" i="30248"/>
  <c r="DT192" i="30248"/>
  <c r="DQ193" i="30248"/>
  <c r="DR193" i="30248"/>
  <c r="DS193" i="30248"/>
  <c r="DT193" i="30248"/>
  <c r="DQ194" i="30248"/>
  <c r="DR194" i="30248"/>
  <c r="DS194" i="30248"/>
  <c r="DT194" i="30248"/>
  <c r="DQ195" i="30248"/>
  <c r="DR195" i="30248"/>
  <c r="DS195" i="30248"/>
  <c r="DT195" i="30248"/>
  <c r="DQ196" i="30248"/>
  <c r="DR196" i="30248"/>
  <c r="DS196" i="30248"/>
  <c r="DT196" i="30248"/>
  <c r="DQ197" i="30248"/>
  <c r="DR197" i="30248"/>
  <c r="DS197" i="30248"/>
  <c r="DT197" i="30248"/>
  <c r="DQ198" i="30248"/>
  <c r="DR198" i="30248"/>
  <c r="DS198" i="30248"/>
  <c r="DT198" i="30248"/>
  <c r="DQ199" i="30248"/>
  <c r="DR199" i="30248"/>
  <c r="DS199" i="30248"/>
  <c r="DT199" i="30248"/>
  <c r="DQ200" i="30248"/>
  <c r="DR200" i="30248"/>
  <c r="DS200" i="30248"/>
  <c r="DT200" i="30248"/>
  <c r="DQ201" i="30248"/>
  <c r="DR201" i="30248"/>
  <c r="DS201" i="30248"/>
  <c r="DT201" i="30248"/>
  <c r="DQ202" i="30248"/>
  <c r="DR202" i="30248"/>
  <c r="DS202" i="30248"/>
  <c r="DT202" i="30248"/>
  <c r="DQ203" i="30248"/>
  <c r="DR203" i="30248"/>
  <c r="DS203" i="30248"/>
  <c r="DT203" i="30248"/>
  <c r="DQ204" i="30248"/>
  <c r="DR204" i="30248"/>
  <c r="DS204" i="30248"/>
  <c r="DT204" i="30248"/>
  <c r="DQ205" i="30248"/>
  <c r="DR205" i="30248"/>
  <c r="DS205" i="30248"/>
  <c r="DT205" i="30248"/>
  <c r="DQ206" i="30248"/>
  <c r="DR206" i="30248"/>
  <c r="DS206" i="30248"/>
  <c r="DT206" i="30248"/>
  <c r="DQ207" i="30248"/>
  <c r="DR207" i="30248"/>
  <c r="DS207" i="30248"/>
  <c r="DT207" i="30248"/>
  <c r="CW199" i="30248"/>
  <c r="CX199" i="30248"/>
  <c r="CY199" i="30248"/>
  <c r="CZ199" i="30248"/>
  <c r="DA199" i="30248"/>
  <c r="DB199" i="30248"/>
  <c r="DC199" i="30248"/>
  <c r="DD199" i="30248"/>
  <c r="DE199" i="30248"/>
  <c r="DF199" i="30248"/>
  <c r="DG199" i="30248"/>
  <c r="DH199" i="30248"/>
  <c r="DI199" i="30248"/>
  <c r="DJ199" i="30248"/>
  <c r="DK199" i="30248"/>
  <c r="DL199" i="30248"/>
  <c r="DM199" i="30248"/>
  <c r="DN199" i="30248"/>
  <c r="DO199" i="30248"/>
  <c r="DP199" i="30248"/>
  <c r="CW200" i="30248"/>
  <c r="CX200" i="30248"/>
  <c r="CY200" i="30248"/>
  <c r="CZ200" i="30248"/>
  <c r="DA200" i="30248"/>
  <c r="DB200" i="30248"/>
  <c r="DC200" i="30248"/>
  <c r="DD200" i="30248"/>
  <c r="DE200" i="30248"/>
  <c r="DF200" i="30248"/>
  <c r="DG200" i="30248"/>
  <c r="DH200" i="30248"/>
  <c r="DI200" i="30248"/>
  <c r="DJ200" i="30248"/>
  <c r="DK200" i="30248"/>
  <c r="DL200" i="30248"/>
  <c r="DM200" i="30248"/>
  <c r="DN200" i="30248"/>
  <c r="DO200" i="30248"/>
  <c r="DP200" i="30248"/>
  <c r="CW201" i="30248"/>
  <c r="CX201" i="30248"/>
  <c r="CY201" i="30248"/>
  <c r="CZ201" i="30248"/>
  <c r="FQ201" i="30248"/>
  <c r="DA201" i="30248"/>
  <c r="DB201" i="30248"/>
  <c r="DC201" i="30248"/>
  <c r="DD201" i="30248"/>
  <c r="DE201" i="30248"/>
  <c r="DF201" i="30248"/>
  <c r="DG201" i="30248"/>
  <c r="DH201" i="30248"/>
  <c r="DI201" i="30248"/>
  <c r="DJ201" i="30248"/>
  <c r="DK201" i="30248"/>
  <c r="DL201" i="30248"/>
  <c r="DM201" i="30248"/>
  <c r="DN201" i="30248"/>
  <c r="DO201" i="30248"/>
  <c r="DP201" i="30248"/>
  <c r="CW202" i="30248"/>
  <c r="CX202" i="30248"/>
  <c r="CY202" i="30248"/>
  <c r="CZ202" i="30248"/>
  <c r="FQ202" i="30248"/>
  <c r="DA202" i="30248"/>
  <c r="DB202" i="30248"/>
  <c r="DC202" i="30248"/>
  <c r="DD202" i="30248"/>
  <c r="DE202" i="30248" s="1"/>
  <c r="DF202" i="30248"/>
  <c r="DG202" i="30248"/>
  <c r="DH202" i="30248"/>
  <c r="DI202" i="30248"/>
  <c r="DJ202" i="30248"/>
  <c r="DK202" i="30248"/>
  <c r="DL202" i="30248"/>
  <c r="DM202" i="30248"/>
  <c r="DN202" i="30248"/>
  <c r="DO202" i="30248"/>
  <c r="DP202" i="30248"/>
  <c r="CW203" i="30248"/>
  <c r="CX203" i="30248"/>
  <c r="CY203" i="30248"/>
  <c r="CZ203" i="30248"/>
  <c r="FQ203" i="30248" s="1"/>
  <c r="DA203" i="30248"/>
  <c r="DB203" i="30248"/>
  <c r="DC203" i="30248"/>
  <c r="DD203" i="30248"/>
  <c r="DE203" i="30248" s="1"/>
  <c r="DF203" i="30248"/>
  <c r="DG203" i="30248"/>
  <c r="DH203" i="30248"/>
  <c r="DI203" i="30248"/>
  <c r="DJ203" i="30248"/>
  <c r="DK203" i="30248"/>
  <c r="DL203" i="30248"/>
  <c r="DM203" i="30248"/>
  <c r="DN203" i="30248"/>
  <c r="DO203" i="30248"/>
  <c r="DP203" i="30248"/>
  <c r="CW204" i="30248"/>
  <c r="CX204" i="30248"/>
  <c r="CY204" i="30248"/>
  <c r="CZ204" i="30248"/>
  <c r="DA204" i="30248"/>
  <c r="DB204" i="30248"/>
  <c r="DC204" i="30248"/>
  <c r="DD204" i="30248"/>
  <c r="DE204" i="30248" s="1"/>
  <c r="DF204" i="30248"/>
  <c r="DG204" i="30248"/>
  <c r="DH204" i="30248"/>
  <c r="FO204" i="30248" s="1"/>
  <c r="DI204" i="30248"/>
  <c r="DJ204" i="30248"/>
  <c r="DK204" i="30248"/>
  <c r="DL204" i="30248"/>
  <c r="DM204" i="30248"/>
  <c r="DN204" i="30248"/>
  <c r="DO204" i="30248"/>
  <c r="DP204" i="30248"/>
  <c r="CW205" i="30248"/>
  <c r="CX205" i="30248"/>
  <c r="CY205" i="30248"/>
  <c r="CZ205" i="30248"/>
  <c r="DA205" i="30248"/>
  <c r="DB205" i="30248"/>
  <c r="DC205" i="30248"/>
  <c r="DD205" i="30248"/>
  <c r="DE205" i="30248"/>
  <c r="DF205" i="30248"/>
  <c r="DG205" i="30248"/>
  <c r="DH205" i="30248"/>
  <c r="DI205" i="30248"/>
  <c r="DJ205" i="30248"/>
  <c r="DK205" i="30248"/>
  <c r="DL205" i="30248"/>
  <c r="DM205" i="30248"/>
  <c r="DN205" i="30248"/>
  <c r="DO205" i="30248"/>
  <c r="DP205" i="30248"/>
  <c r="CW206" i="30248"/>
  <c r="CX206" i="30248"/>
  <c r="CY206" i="30248"/>
  <c r="CZ206" i="30248"/>
  <c r="DA206" i="30248"/>
  <c r="DB206" i="30248"/>
  <c r="DC206" i="30248"/>
  <c r="DD206" i="30248"/>
  <c r="DE206" i="30248"/>
  <c r="DF206" i="30248"/>
  <c r="DG206" i="30248"/>
  <c r="DH206" i="30248"/>
  <c r="DI206" i="30248"/>
  <c r="DJ206" i="30248"/>
  <c r="DK206" i="30248"/>
  <c r="DL206" i="30248"/>
  <c r="DM206" i="30248"/>
  <c r="DN206" i="30248"/>
  <c r="DO206" i="30248"/>
  <c r="DP206" i="30248"/>
  <c r="EB178" i="30248"/>
  <c r="EB198" i="30248"/>
  <c r="EB191" i="30248"/>
  <c r="EB192" i="30248"/>
  <c r="EB193" i="30248"/>
  <c r="EB194" i="30248"/>
  <c r="EB195" i="30248"/>
  <c r="EB196" i="30248"/>
  <c r="EB197" i="30248"/>
  <c r="DH172" i="30248"/>
  <c r="DI172" i="30248"/>
  <c r="DJ172" i="30248"/>
  <c r="DK172" i="30248"/>
  <c r="DL172" i="30248"/>
  <c r="DM172" i="30248"/>
  <c r="DN172" i="30248"/>
  <c r="DO172" i="30248"/>
  <c r="DP172" i="30248"/>
  <c r="DH173" i="30248"/>
  <c r="DI173" i="30248"/>
  <c r="DJ173" i="30248"/>
  <c r="DK173" i="30248"/>
  <c r="DL173" i="30248"/>
  <c r="DM173" i="30248"/>
  <c r="DN173" i="30248"/>
  <c r="DO173" i="30248"/>
  <c r="DP173" i="30248"/>
  <c r="DH174" i="30248"/>
  <c r="DI174" i="30248"/>
  <c r="DJ174" i="30248"/>
  <c r="DK174" i="30248"/>
  <c r="DL174" i="30248"/>
  <c r="DM174" i="30248"/>
  <c r="DN174" i="30248"/>
  <c r="DO174" i="30248"/>
  <c r="DP174" i="30248"/>
  <c r="DH175" i="30248"/>
  <c r="DI175" i="30248"/>
  <c r="DJ175" i="30248"/>
  <c r="DK175" i="30248"/>
  <c r="DL175" i="30248"/>
  <c r="DM175" i="30248"/>
  <c r="DN175" i="30248"/>
  <c r="DO175" i="30248"/>
  <c r="DP175" i="30248"/>
  <c r="DI176" i="30248"/>
  <c r="DJ176" i="30248"/>
  <c r="DL176" i="30248"/>
  <c r="DM176" i="30248"/>
  <c r="DN176" i="30248"/>
  <c r="DO176" i="30248"/>
  <c r="DH178" i="30248"/>
  <c r="DI178" i="30248"/>
  <c r="DJ178" i="30248"/>
  <c r="DK178" i="30248"/>
  <c r="DL178" i="30248"/>
  <c r="DM178" i="30248"/>
  <c r="DN178" i="30248"/>
  <c r="DO178" i="30248"/>
  <c r="DP178" i="30248"/>
  <c r="DH179" i="30248"/>
  <c r="DI179" i="30248"/>
  <c r="DJ179" i="30248"/>
  <c r="DK179" i="30248"/>
  <c r="DL179" i="30248"/>
  <c r="DM179" i="30248"/>
  <c r="DN179" i="30248"/>
  <c r="DO179" i="30248"/>
  <c r="DP179" i="30248"/>
  <c r="DH180" i="30248"/>
  <c r="DI180" i="30248"/>
  <c r="DJ180" i="30248"/>
  <c r="DK180" i="30248"/>
  <c r="DL180" i="30248"/>
  <c r="DM180" i="30248"/>
  <c r="DN180" i="30248"/>
  <c r="DO180" i="30248"/>
  <c r="DP180" i="30248"/>
  <c r="DH181" i="30248"/>
  <c r="DI181" i="30248"/>
  <c r="DJ181" i="30248"/>
  <c r="DK181" i="30248"/>
  <c r="DL181" i="30248"/>
  <c r="DM181" i="30248"/>
  <c r="DN181" i="30248"/>
  <c r="DO181" i="30248"/>
  <c r="DP181" i="30248"/>
  <c r="DH182" i="30248"/>
  <c r="DI182" i="30248"/>
  <c r="DJ182" i="30248"/>
  <c r="DK182" i="30248"/>
  <c r="DL182" i="30248"/>
  <c r="DM182" i="30248"/>
  <c r="DN182" i="30248"/>
  <c r="DO182" i="30248"/>
  <c r="DP182" i="30248"/>
  <c r="DH183" i="30248"/>
  <c r="DI183" i="30248"/>
  <c r="DJ183" i="30248"/>
  <c r="DK183" i="30248"/>
  <c r="DL183" i="30248"/>
  <c r="DM183" i="30248"/>
  <c r="DN183" i="30248"/>
  <c r="DO183" i="30248"/>
  <c r="DP183" i="30248"/>
  <c r="DH184" i="30248"/>
  <c r="DI184" i="30248"/>
  <c r="DJ184" i="30248"/>
  <c r="DK184" i="30248"/>
  <c r="DL184" i="30248"/>
  <c r="DM184" i="30248"/>
  <c r="DN184" i="30248"/>
  <c r="DO184" i="30248"/>
  <c r="DP184" i="30248"/>
  <c r="DH185" i="30248"/>
  <c r="DI185" i="30248"/>
  <c r="DJ185" i="30248"/>
  <c r="DK185" i="30248"/>
  <c r="DL185" i="30248"/>
  <c r="DM185" i="30248"/>
  <c r="DN185" i="30248"/>
  <c r="DO185" i="30248"/>
  <c r="DP185" i="30248"/>
  <c r="DH186" i="30248"/>
  <c r="DI186" i="30248"/>
  <c r="DJ186" i="30248"/>
  <c r="DK186" i="30248"/>
  <c r="DL186" i="30248"/>
  <c r="DM186" i="30248"/>
  <c r="DN186" i="30248"/>
  <c r="DO186" i="30248"/>
  <c r="DP186" i="30248"/>
  <c r="DH187" i="30248"/>
  <c r="DI187" i="30248"/>
  <c r="DJ187" i="30248"/>
  <c r="DK187" i="30248"/>
  <c r="DL187" i="30248"/>
  <c r="DM187" i="30248"/>
  <c r="DN187" i="30248"/>
  <c r="DO187" i="30248"/>
  <c r="DP187" i="30248"/>
  <c r="DH188" i="30248"/>
  <c r="DI188" i="30248"/>
  <c r="DJ188" i="30248"/>
  <c r="DK188" i="30248"/>
  <c r="DL188" i="30248"/>
  <c r="DM188" i="30248"/>
  <c r="DN188" i="30248"/>
  <c r="DO188" i="30248"/>
  <c r="DP188" i="30248"/>
  <c r="DH189" i="30248"/>
  <c r="DI189" i="30248"/>
  <c r="DJ189" i="30248"/>
  <c r="DK189" i="30248"/>
  <c r="DL189" i="30248"/>
  <c r="DM189" i="30248"/>
  <c r="DN189" i="30248"/>
  <c r="DO189" i="30248"/>
  <c r="DP189" i="30248"/>
  <c r="DH190" i="30248"/>
  <c r="DI190" i="30248"/>
  <c r="DJ190" i="30248"/>
  <c r="DK190" i="30248"/>
  <c r="DL190" i="30248"/>
  <c r="DM190" i="30248"/>
  <c r="DN190" i="30248"/>
  <c r="DO190" i="30248"/>
  <c r="DP190" i="30248"/>
  <c r="DH191" i="30248"/>
  <c r="DI191" i="30248"/>
  <c r="DJ191" i="30248"/>
  <c r="DK191" i="30248"/>
  <c r="DL191" i="30248"/>
  <c r="DM191" i="30248"/>
  <c r="DN191" i="30248"/>
  <c r="DO191" i="30248"/>
  <c r="DP191" i="30248"/>
  <c r="DH192" i="30248"/>
  <c r="DI192" i="30248"/>
  <c r="DJ192" i="30248"/>
  <c r="DK192" i="30248"/>
  <c r="DL192" i="30248"/>
  <c r="DM192" i="30248"/>
  <c r="DN192" i="30248"/>
  <c r="DO192" i="30248"/>
  <c r="DP192" i="30248"/>
  <c r="DH193" i="30248"/>
  <c r="DI193" i="30248"/>
  <c r="DJ193" i="30248"/>
  <c r="DK193" i="30248"/>
  <c r="DL193" i="30248"/>
  <c r="DM193" i="30248"/>
  <c r="DN193" i="30248"/>
  <c r="DO193" i="30248"/>
  <c r="DP193" i="30248"/>
  <c r="DH194" i="30248"/>
  <c r="DI194" i="30248"/>
  <c r="DJ194" i="30248"/>
  <c r="DK194" i="30248"/>
  <c r="DL194" i="30248"/>
  <c r="DM194" i="30248"/>
  <c r="DN194" i="30248"/>
  <c r="DO194" i="30248"/>
  <c r="DP194" i="30248"/>
  <c r="DH195" i="30248"/>
  <c r="DI195" i="30248"/>
  <c r="DJ195" i="30248"/>
  <c r="DK195" i="30248"/>
  <c r="DL195" i="30248"/>
  <c r="DM195" i="30248"/>
  <c r="DN195" i="30248"/>
  <c r="DO195" i="30248"/>
  <c r="DP195" i="30248"/>
  <c r="DH196" i="30248"/>
  <c r="DI196" i="30248"/>
  <c r="DJ196" i="30248"/>
  <c r="DK196" i="30248"/>
  <c r="DL196" i="30248"/>
  <c r="DM196" i="30248"/>
  <c r="DN196" i="30248"/>
  <c r="DO196" i="30248"/>
  <c r="DP196" i="30248"/>
  <c r="DH197" i="30248"/>
  <c r="DI197" i="30248"/>
  <c r="DJ197" i="30248"/>
  <c r="DK197" i="30248"/>
  <c r="DL197" i="30248"/>
  <c r="DM197" i="30248"/>
  <c r="DN197" i="30248"/>
  <c r="DO197" i="30248"/>
  <c r="DP197" i="30248"/>
  <c r="DH198" i="30248"/>
  <c r="DI198" i="30248"/>
  <c r="DJ198" i="30248"/>
  <c r="DK198" i="30248"/>
  <c r="DL198" i="30248"/>
  <c r="DM198" i="30248"/>
  <c r="DN198" i="30248"/>
  <c r="DO198" i="30248"/>
  <c r="DP198" i="30248"/>
  <c r="CW197" i="30248"/>
  <c r="CX197" i="30248"/>
  <c r="CY197" i="30248"/>
  <c r="CZ197" i="30248"/>
  <c r="FQ197" i="30248"/>
  <c r="DA197" i="30248"/>
  <c r="DB197" i="30248"/>
  <c r="DC197" i="30248"/>
  <c r="DD197" i="30248"/>
  <c r="DE197" i="30248"/>
  <c r="DF197" i="30248"/>
  <c r="DG197" i="30248"/>
  <c r="CW198" i="30248"/>
  <c r="CX198" i="30248"/>
  <c r="CY198" i="30248"/>
  <c r="CZ198" i="30248"/>
  <c r="FQ198" i="30248"/>
  <c r="DA198" i="30248"/>
  <c r="DB198" i="30248"/>
  <c r="DC198" i="30248"/>
  <c r="DD198" i="30248"/>
  <c r="DE198" i="30248"/>
  <c r="DF198" i="30248"/>
  <c r="DG198" i="30248"/>
  <c r="FO201" i="30248"/>
  <c r="FM202" i="30248"/>
  <c r="DP207" i="30248"/>
  <c r="DJ207" i="30248"/>
  <c r="CY207" i="30248"/>
  <c r="FO207" i="30248" s="1"/>
  <c r="FM206" i="30248"/>
  <c r="DN207" i="30248"/>
  <c r="CW207" i="30248"/>
  <c r="DL207" i="30248"/>
  <c r="DB207" i="30248"/>
  <c r="FP198" i="30248"/>
  <c r="DH207" i="30248"/>
  <c r="FM203" i="30248"/>
  <c r="FM200" i="30248"/>
  <c r="FM198" i="30248"/>
  <c r="CZ207" i="30248"/>
  <c r="FQ207" i="30248"/>
  <c r="DK207" i="30248"/>
  <c r="DA207" i="30248"/>
  <c r="FP204" i="30248"/>
  <c r="DO207" i="30248"/>
  <c r="DG207" i="30248"/>
  <c r="FP207" i="30248" s="1"/>
  <c r="CX207" i="30248"/>
  <c r="FM197" i="30248"/>
  <c r="FP203" i="30248"/>
  <c r="FN200" i="30248"/>
  <c r="FN198" i="30248"/>
  <c r="DM207" i="30248"/>
  <c r="DD207" i="30248"/>
  <c r="DE207" i="30248" s="1"/>
  <c r="FM204" i="30248"/>
  <c r="FN202" i="30248"/>
  <c r="FM199" i="30248"/>
  <c r="FN197" i="30248"/>
  <c r="FP197" i="30248"/>
  <c r="DI207" i="30248"/>
  <c r="DF207" i="30248"/>
  <c r="DC207" i="30248"/>
  <c r="FN206" i="30248"/>
  <c r="FO198" i="30248"/>
  <c r="FN204" i="30248"/>
  <c r="FN199" i="30248"/>
  <c r="FP206" i="30248"/>
  <c r="FN201" i="30248"/>
  <c r="FQ204" i="30248"/>
  <c r="FO200" i="30248"/>
  <c r="FO203" i="30248"/>
  <c r="FP199" i="30248"/>
  <c r="FO197" i="30248"/>
  <c r="FP202" i="30248"/>
  <c r="FP201" i="30248"/>
  <c r="FQ199" i="30248"/>
  <c r="FQ206" i="30248"/>
  <c r="FM201" i="30248"/>
  <c r="FO199" i="30248"/>
  <c r="FO205" i="30248"/>
  <c r="FO202" i="30248"/>
  <c r="FQ200" i="30248"/>
  <c r="FO206" i="30248"/>
  <c r="FP200" i="30248"/>
  <c r="FN203" i="30248"/>
  <c r="FM205" i="30248"/>
  <c r="FN205" i="30248"/>
  <c r="FQ205" i="30248"/>
  <c r="FP205" i="30248"/>
  <c r="FN207" i="30248"/>
  <c r="FM207" i="30248"/>
  <c r="CW191" i="30248"/>
  <c r="CX191" i="30248"/>
  <c r="CY191" i="30248"/>
  <c r="CZ191" i="30248"/>
  <c r="FM191" i="30248" s="1"/>
  <c r="DA191" i="30248"/>
  <c r="DB191" i="30248"/>
  <c r="DC191" i="30248"/>
  <c r="DD191" i="30248"/>
  <c r="DE191" i="30248" s="1"/>
  <c r="DF191" i="30248"/>
  <c r="DG191" i="30248"/>
  <c r="CW192" i="30248"/>
  <c r="CX192" i="30248"/>
  <c r="CY192" i="30248"/>
  <c r="CZ192" i="30248"/>
  <c r="DA192" i="30248"/>
  <c r="DB192" i="30248"/>
  <c r="DC192" i="30248"/>
  <c r="DD192" i="30248"/>
  <c r="DE192" i="30248"/>
  <c r="DF192" i="30248"/>
  <c r="DG192" i="30248"/>
  <c r="CW193" i="30248"/>
  <c r="CX193" i="30248"/>
  <c r="CY193" i="30248"/>
  <c r="FN193" i="30248" s="1"/>
  <c r="CZ193" i="30248"/>
  <c r="DA193" i="30248"/>
  <c r="DB193" i="30248"/>
  <c r="DC193" i="30248"/>
  <c r="DD193" i="30248"/>
  <c r="DE193" i="30248"/>
  <c r="DF193" i="30248"/>
  <c r="DG193" i="30248"/>
  <c r="CW194" i="30248"/>
  <c r="CX194" i="30248"/>
  <c r="CY194" i="30248"/>
  <c r="FO194" i="30248" s="1"/>
  <c r="CZ194" i="30248"/>
  <c r="FQ194" i="30248" s="1"/>
  <c r="DA194" i="30248"/>
  <c r="DB194" i="30248"/>
  <c r="DC194" i="30248"/>
  <c r="DD194" i="30248"/>
  <c r="DE194" i="30248" s="1"/>
  <c r="DF194" i="30248"/>
  <c r="DG194" i="30248"/>
  <c r="CW195" i="30248"/>
  <c r="CX195" i="30248"/>
  <c r="CY195" i="30248"/>
  <c r="CZ195" i="30248"/>
  <c r="FM195" i="30248" s="1"/>
  <c r="DA195" i="30248"/>
  <c r="DB195" i="30248"/>
  <c r="DC195" i="30248"/>
  <c r="DD195" i="30248"/>
  <c r="DE195" i="30248" s="1"/>
  <c r="DF195" i="30248"/>
  <c r="DG195" i="30248"/>
  <c r="CW196" i="30248"/>
  <c r="CX196" i="30248"/>
  <c r="CY196" i="30248"/>
  <c r="CZ196" i="30248"/>
  <c r="DA196" i="30248"/>
  <c r="DB196" i="30248"/>
  <c r="DC196" i="30248"/>
  <c r="DD196" i="30248"/>
  <c r="DE196" i="30248"/>
  <c r="DF196" i="30248"/>
  <c r="DG196" i="30248"/>
  <c r="EB179" i="30248"/>
  <c r="EB180" i="30248"/>
  <c r="EB181" i="30248"/>
  <c r="EB182" i="30248"/>
  <c r="EB183" i="30248"/>
  <c r="EB184" i="30248"/>
  <c r="EB186" i="30248"/>
  <c r="EB187" i="30248"/>
  <c r="EB188" i="30248"/>
  <c r="EB189" i="30248"/>
  <c r="EB190" i="30248"/>
  <c r="CW188" i="30248"/>
  <c r="CX188" i="30248"/>
  <c r="CY188" i="30248"/>
  <c r="FO188" i="30248" s="1"/>
  <c r="CZ188" i="30248"/>
  <c r="FQ188" i="30248" s="1"/>
  <c r="DA188" i="30248"/>
  <c r="DB188" i="30248"/>
  <c r="DC188" i="30248"/>
  <c r="DD188" i="30248"/>
  <c r="DE188" i="30248"/>
  <c r="DF188" i="30248"/>
  <c r="DG188" i="30248"/>
  <c r="FP188" i="30248" s="1"/>
  <c r="CW189" i="30248"/>
  <c r="CX189" i="30248"/>
  <c r="CY189" i="30248"/>
  <c r="CZ189" i="30248"/>
  <c r="FM189" i="30248" s="1"/>
  <c r="DA189" i="30248"/>
  <c r="DB189" i="30248"/>
  <c r="DC189" i="30248"/>
  <c r="DD189" i="30248"/>
  <c r="DE189" i="30248"/>
  <c r="DF189" i="30248"/>
  <c r="DG189" i="30248"/>
  <c r="CW190" i="30248"/>
  <c r="CX190" i="30248"/>
  <c r="CY190" i="30248"/>
  <c r="FN190" i="30248" s="1"/>
  <c r="CZ190" i="30248"/>
  <c r="FQ190" i="30248" s="1"/>
  <c r="DA190" i="30248"/>
  <c r="DB190" i="30248"/>
  <c r="DC190" i="30248"/>
  <c r="DD190" i="30248"/>
  <c r="DE190" i="30248"/>
  <c r="DF190" i="30248"/>
  <c r="DG190" i="30248"/>
  <c r="FP190" i="30248" s="1"/>
  <c r="FP193" i="30248"/>
  <c r="FP189" i="30248"/>
  <c r="FN189" i="30248"/>
  <c r="FN188" i="30248"/>
  <c r="FP196" i="30248"/>
  <c r="FP192" i="30248"/>
  <c r="FP195" i="30248"/>
  <c r="FP194" i="30248"/>
  <c r="FO196" i="30248"/>
  <c r="FN196" i="30248"/>
  <c r="FQ195" i="30248"/>
  <c r="FQ192" i="30248"/>
  <c r="FM192" i="30248"/>
  <c r="FN195" i="30248"/>
  <c r="FO195" i="30248"/>
  <c r="FN192" i="30248"/>
  <c r="FO192" i="30248"/>
  <c r="FO189" i="30248"/>
  <c r="FQ191" i="30248"/>
  <c r="FM194" i="30248"/>
  <c r="FN191" i="30248"/>
  <c r="FO191" i="30248"/>
  <c r="FN194" i="30248"/>
  <c r="FO190" i="30248"/>
  <c r="FQ193" i="30248"/>
  <c r="FM193" i="30248"/>
  <c r="FQ196" i="30248"/>
  <c r="FM196" i="30248"/>
  <c r="ED175" i="30248"/>
  <c r="F174" i="30248"/>
  <c r="FQ175" i="30248"/>
  <c r="D171" i="30248"/>
  <c r="D170" i="30248"/>
  <c r="F171" i="30248"/>
  <c r="F170" i="30248"/>
  <c r="D169" i="30248"/>
  <c r="F169" i="30248"/>
  <c r="FP175" i="30248"/>
  <c r="FM175" i="30248"/>
  <c r="FN175" i="30248"/>
  <c r="FO175" i="30248"/>
  <c r="F177" i="30248"/>
  <c r="E177" i="30248"/>
  <c r="H177" i="30248"/>
  <c r="I177" i="30248"/>
  <c r="J177" i="30248"/>
  <c r="K177" i="30248"/>
  <c r="L177" i="30248"/>
  <c r="M177" i="30248"/>
  <c r="N177" i="30248"/>
  <c r="O177" i="30248"/>
  <c r="P177" i="30248"/>
  <c r="Q177" i="30248"/>
  <c r="R177" i="30248"/>
  <c r="S177" i="30248"/>
  <c r="T177" i="30248"/>
  <c r="U177" i="30248"/>
  <c r="V177" i="30248"/>
  <c r="W177" i="30248"/>
  <c r="X177" i="30248"/>
  <c r="Y177" i="30248"/>
  <c r="Z177" i="30248"/>
  <c r="AA177" i="30248"/>
  <c r="AB177" i="30248"/>
  <c r="AC177" i="30248"/>
  <c r="AD177" i="30248"/>
  <c r="AE177" i="30248"/>
  <c r="AF177" i="30248"/>
  <c r="AG177" i="30248"/>
  <c r="AH177" i="30248"/>
  <c r="AI177" i="30248"/>
  <c r="AJ177" i="30248"/>
  <c r="AK177" i="30248"/>
  <c r="AL177" i="30248"/>
  <c r="AM177" i="30248"/>
  <c r="AN177" i="30248"/>
  <c r="AO177" i="30248"/>
  <c r="AP177" i="30248"/>
  <c r="AQ177" i="30248"/>
  <c r="AR177" i="30248"/>
  <c r="AS177" i="30248"/>
  <c r="AT177" i="30248"/>
  <c r="AU177" i="30248"/>
  <c r="AV177" i="30248"/>
  <c r="AW177" i="30248"/>
  <c r="AX177" i="30248"/>
  <c r="AY177" i="30248"/>
  <c r="AZ177" i="30248"/>
  <c r="BA177" i="30248"/>
  <c r="BB177" i="30248"/>
  <c r="BC177" i="30248"/>
  <c r="BD177" i="30248"/>
  <c r="BE177" i="30248"/>
  <c r="BF177" i="30248"/>
  <c r="BG177" i="30248"/>
  <c r="BH177" i="30248"/>
  <c r="BI177" i="30248"/>
  <c r="BJ177" i="30248"/>
  <c r="BK177" i="30248"/>
  <c r="BL177" i="30248"/>
  <c r="BM177" i="30248"/>
  <c r="BN177" i="30248"/>
  <c r="BO177" i="30248"/>
  <c r="BP177" i="30248"/>
  <c r="BQ177" i="30248"/>
  <c r="BR177" i="30248"/>
  <c r="BS177" i="30248"/>
  <c r="BT177" i="30248"/>
  <c r="BU177" i="30248"/>
  <c r="BV177" i="30248"/>
  <c r="BW177" i="30248"/>
  <c r="BX177" i="30248"/>
  <c r="BY177" i="30248"/>
  <c r="BZ177" i="30248"/>
  <c r="CA177" i="30248"/>
  <c r="CB177" i="30248"/>
  <c r="CC177" i="30248"/>
  <c r="CD177" i="30248"/>
  <c r="CE177" i="30248"/>
  <c r="CF177" i="30248"/>
  <c r="CG177" i="30248"/>
  <c r="CH177" i="30248"/>
  <c r="CI177" i="30248"/>
  <c r="CJ177" i="30248"/>
  <c r="CK177" i="30248"/>
  <c r="CL177" i="30248"/>
  <c r="CM177" i="30248"/>
  <c r="CN177" i="30248"/>
  <c r="CO177" i="30248"/>
  <c r="CP177" i="30248"/>
  <c r="CQ177" i="30248"/>
  <c r="CR177" i="30248"/>
  <c r="CS177" i="30248"/>
  <c r="CT177" i="30248"/>
  <c r="CU177" i="30248"/>
  <c r="CV177" i="30248"/>
  <c r="DU177" i="30248"/>
  <c r="DV177" i="30248"/>
  <c r="DX177" i="30248"/>
  <c r="DY177" i="30248"/>
  <c r="DZ177" i="30248"/>
  <c r="EC177" i="30248"/>
  <c r="ED177" i="30248"/>
  <c r="EE177" i="30248"/>
  <c r="EJ177" i="30248"/>
  <c r="FG177" i="30248"/>
  <c r="FH177" i="30248"/>
  <c r="FI177" i="30248"/>
  <c r="FJ177" i="30248"/>
  <c r="FL177" i="30248"/>
  <c r="D177" i="30248"/>
  <c r="DK177" i="30248"/>
  <c r="EB177" i="30248"/>
  <c r="DJ177" i="30248"/>
  <c r="DI177" i="30248"/>
  <c r="DP177" i="30248"/>
  <c r="DH177" i="30248"/>
  <c r="DO177" i="30248"/>
  <c r="DN177" i="30248"/>
  <c r="DM177" i="30248"/>
  <c r="DL177" i="30248"/>
  <c r="AP8" i="30248"/>
  <c r="AQ8" i="30248"/>
  <c r="AR8" i="30248"/>
  <c r="AS8" i="30248"/>
  <c r="AT8" i="30248"/>
  <c r="AU8" i="30248"/>
  <c r="AV8" i="30248"/>
  <c r="AW8" i="30248"/>
  <c r="AP9" i="30248"/>
  <c r="AQ9" i="30248"/>
  <c r="AR9" i="30248"/>
  <c r="AS9" i="30248"/>
  <c r="AT9" i="30248"/>
  <c r="AU9" i="30248"/>
  <c r="AV9" i="30248"/>
  <c r="AW9" i="30248"/>
  <c r="BJ8" i="30248"/>
  <c r="BK8" i="30248"/>
  <c r="DJ8" i="30248"/>
  <c r="BL8" i="30248"/>
  <c r="BM8" i="30248"/>
  <c r="DL8" i="30248"/>
  <c r="BN8" i="30248"/>
  <c r="DM8" i="30248"/>
  <c r="BO8" i="30248"/>
  <c r="BP8" i="30248"/>
  <c r="BQ8" i="30248"/>
  <c r="BJ9" i="30248"/>
  <c r="BK9" i="30248"/>
  <c r="BL9" i="30248"/>
  <c r="BM9" i="30248"/>
  <c r="DL9" i="30248"/>
  <c r="BN9" i="30248"/>
  <c r="BO9" i="30248"/>
  <c r="BP9" i="30248"/>
  <c r="BQ9" i="30248"/>
  <c r="DI169" i="30248"/>
  <c r="DJ169" i="30248"/>
  <c r="DK169" i="30248"/>
  <c r="DL169" i="30248"/>
  <c r="DM169" i="30248"/>
  <c r="DN169" i="30248"/>
  <c r="DO169" i="30248"/>
  <c r="DP169" i="30248"/>
  <c r="DI93" i="30248"/>
  <c r="DJ93" i="30248"/>
  <c r="DK93" i="30248"/>
  <c r="DL93" i="30248"/>
  <c r="DM93" i="30248"/>
  <c r="DO93" i="30248"/>
  <c r="DP93" i="30248"/>
  <c r="DI77" i="30248"/>
  <c r="DJ77" i="30248"/>
  <c r="DK77" i="30248"/>
  <c r="DL77" i="30248"/>
  <c r="DM77" i="30248"/>
  <c r="DN77" i="30248"/>
  <c r="DO77" i="30248"/>
  <c r="DP77" i="30248"/>
  <c r="DI24" i="30248"/>
  <c r="DJ24" i="30248"/>
  <c r="DK24" i="30248"/>
  <c r="DL24" i="30248"/>
  <c r="DM24" i="30248"/>
  <c r="DN24" i="30248"/>
  <c r="DO24" i="30248"/>
  <c r="DP24" i="30248"/>
  <c r="AP171" i="30248"/>
  <c r="DI171" i="30248"/>
  <c r="AQ171" i="30248"/>
  <c r="DJ171" i="30248"/>
  <c r="AR171" i="30248"/>
  <c r="DK171" i="30248"/>
  <c r="AS171" i="30248"/>
  <c r="DL171" i="30248"/>
  <c r="AT171" i="30248"/>
  <c r="DM171" i="30248"/>
  <c r="AU171" i="30248"/>
  <c r="DN171" i="30248"/>
  <c r="AV171" i="30248"/>
  <c r="DO171" i="30248"/>
  <c r="AS170" i="30248"/>
  <c r="DL170" i="30248"/>
  <c r="AT170" i="30248"/>
  <c r="DM170" i="30248"/>
  <c r="AU170" i="30248"/>
  <c r="DN170" i="30248"/>
  <c r="AV170" i="30248"/>
  <c r="DO170" i="30248"/>
  <c r="AP170" i="30248"/>
  <c r="DI170" i="30248"/>
  <c r="AQ170" i="30248"/>
  <c r="DJ170" i="30248"/>
  <c r="AR170" i="30248"/>
  <c r="DK170" i="30248"/>
  <c r="AU93" i="30248"/>
  <c r="DN93" i="30248"/>
  <c r="DI8" i="30248"/>
  <c r="DK8" i="30248"/>
  <c r="DO9" i="30248"/>
  <c r="DM9" i="30248"/>
  <c r="DJ9" i="30248"/>
  <c r="DP8" i="30248"/>
  <c r="DK9" i="30248"/>
  <c r="DI9" i="30248"/>
  <c r="DP9" i="30248"/>
  <c r="DO8" i="30248"/>
  <c r="DN9" i="30248"/>
  <c r="DN8" i="30248"/>
  <c r="EA176" i="30248"/>
  <c r="EB176" i="30248"/>
  <c r="DT176" i="30248"/>
  <c r="DW176" i="30248"/>
  <c r="CH176" i="30248"/>
  <c r="CC176" i="30248"/>
  <c r="DR176" i="30248"/>
  <c r="CB176" i="30248"/>
  <c r="DQ176" i="30248"/>
  <c r="BF176" i="30248"/>
  <c r="DD176" i="30248"/>
  <c r="BG176" i="30248"/>
  <c r="DF176" i="30248"/>
  <c r="BH176" i="30248"/>
  <c r="DG176" i="30248"/>
  <c r="BI176" i="30248"/>
  <c r="DH176" i="30248"/>
  <c r="FO176" i="30248" s="1"/>
  <c r="BL176" i="30248"/>
  <c r="DK176" i="30248"/>
  <c r="BQ176" i="30248"/>
  <c r="DP176" i="30248"/>
  <c r="BE176" i="30248"/>
  <c r="DB176" i="30248"/>
  <c r="BD176" i="30248"/>
  <c r="DA176" i="30248"/>
  <c r="BA176" i="30248"/>
  <c r="CX176" i="30248"/>
  <c r="BB176" i="30248"/>
  <c r="CY176" i="30248"/>
  <c r="FN176" i="30248" s="1"/>
  <c r="BC176" i="30248"/>
  <c r="CZ176" i="30248"/>
  <c r="FQ176" i="30248" s="1"/>
  <c r="AZ176" i="30248"/>
  <c r="CW176" i="30248"/>
  <c r="F176" i="30248"/>
  <c r="E176" i="30248"/>
  <c r="D176" i="30248"/>
  <c r="DE176" i="30248"/>
  <c r="DC176" i="30248"/>
  <c r="FM176" i="30248"/>
  <c r="FP176" i="30248"/>
  <c r="E169" i="30248"/>
  <c r="P169" i="30248"/>
  <c r="O169" i="30248"/>
  <c r="Q170" i="30248"/>
  <c r="DS125" i="30248"/>
  <c r="DS10" i="30248"/>
  <c r="DA10" i="30248"/>
  <c r="DT11" i="30248"/>
  <c r="DT12" i="30248"/>
  <c r="DT13" i="30248"/>
  <c r="DT14" i="30248"/>
  <c r="DT15" i="30248"/>
  <c r="DT16" i="30248"/>
  <c r="DT17" i="30248"/>
  <c r="DT18" i="30248"/>
  <c r="DT19" i="30248"/>
  <c r="DT20" i="30248"/>
  <c r="DT21" i="30248"/>
  <c r="DT22" i="30248"/>
  <c r="DT37" i="30248"/>
  <c r="DT38" i="30248"/>
  <c r="DT39" i="30248"/>
  <c r="DT40" i="30248"/>
  <c r="DT41" i="30248"/>
  <c r="DT42" i="30248"/>
  <c r="DT43" i="30248"/>
  <c r="DT44" i="30248"/>
  <c r="DT45" i="30248"/>
  <c r="DT46" i="30248"/>
  <c r="DT47" i="30248"/>
  <c r="DT48" i="30248"/>
  <c r="DT49" i="30248"/>
  <c r="DT50" i="30248"/>
  <c r="DT51" i="30248"/>
  <c r="DT52" i="30248"/>
  <c r="DT53" i="30248"/>
  <c r="DT54" i="30248"/>
  <c r="DT55" i="30248"/>
  <c r="DT56" i="30248"/>
  <c r="DT57" i="30248"/>
  <c r="DT58" i="30248"/>
  <c r="DT59" i="30248"/>
  <c r="DT60" i="30248"/>
  <c r="DT61" i="30248"/>
  <c r="DT62" i="30248"/>
  <c r="DT63" i="30248"/>
  <c r="DT64" i="30248"/>
  <c r="DT65" i="30248"/>
  <c r="DT66" i="30248"/>
  <c r="DT67" i="30248"/>
  <c r="DT68" i="30248"/>
  <c r="DT69" i="30248"/>
  <c r="DT70" i="30248"/>
  <c r="DT9" i="30248"/>
  <c r="DT71" i="30248"/>
  <c r="DT72" i="30248"/>
  <c r="DT73" i="30248"/>
  <c r="DT74" i="30248"/>
  <c r="DT75" i="30248"/>
  <c r="DT76" i="30248"/>
  <c r="DT77" i="30248"/>
  <c r="DT78" i="30248"/>
  <c r="DT79" i="30248"/>
  <c r="DT177" i="30248"/>
  <c r="DT80" i="30248"/>
  <c r="DT81" i="30248"/>
  <c r="DT82" i="30248"/>
  <c r="DT83" i="30248"/>
  <c r="DT84" i="30248"/>
  <c r="DT85" i="30248"/>
  <c r="DT86" i="30248"/>
  <c r="DT87" i="30248"/>
  <c r="DT88" i="30248"/>
  <c r="DT89" i="30248"/>
  <c r="DT97" i="30248"/>
  <c r="DT98" i="30248"/>
  <c r="DT99" i="30248"/>
  <c r="DT100" i="30248"/>
  <c r="DT101" i="30248"/>
  <c r="DT102" i="30248"/>
  <c r="DT103" i="30248"/>
  <c r="DT104" i="30248"/>
  <c r="DT105" i="30248"/>
  <c r="DT106" i="30248"/>
  <c r="DT107" i="30248"/>
  <c r="DT108" i="30248"/>
  <c r="DT109" i="30248"/>
  <c r="DT110" i="30248"/>
  <c r="DT111" i="30248"/>
  <c r="DT112" i="30248"/>
  <c r="DT113" i="30248"/>
  <c r="DT114" i="30248"/>
  <c r="DT115" i="30248"/>
  <c r="DT116" i="30248"/>
  <c r="DT117" i="30248"/>
  <c r="DT118" i="30248"/>
  <c r="DT119" i="30248"/>
  <c r="DT120" i="30248"/>
  <c r="DT121" i="30248"/>
  <c r="DT122" i="30248"/>
  <c r="DT123" i="30248"/>
  <c r="DT124" i="30248"/>
  <c r="DT125" i="30248"/>
  <c r="DT126" i="30248"/>
  <c r="DT127" i="30248"/>
  <c r="DT128" i="30248"/>
  <c r="DT129" i="30248"/>
  <c r="DT130" i="30248"/>
  <c r="DT131" i="30248"/>
  <c r="DT132" i="30248"/>
  <c r="DT133" i="30248"/>
  <c r="DT134" i="30248"/>
  <c r="DT135" i="30248"/>
  <c r="DT136" i="30248"/>
  <c r="DT137" i="30248"/>
  <c r="DT138" i="30248"/>
  <c r="DT139" i="30248"/>
  <c r="DT140" i="30248"/>
  <c r="DT141" i="30248"/>
  <c r="DT142" i="30248"/>
  <c r="DT143" i="30248"/>
  <c r="DT144" i="30248"/>
  <c r="DT145" i="30248"/>
  <c r="DT146" i="30248"/>
  <c r="DT147" i="30248"/>
  <c r="DT148" i="30248"/>
  <c r="DT149" i="30248"/>
  <c r="DT150" i="30248"/>
  <c r="DT151" i="30248"/>
  <c r="DT152" i="30248"/>
  <c r="DT153" i="30248"/>
  <c r="DT154" i="30248"/>
  <c r="DT155" i="30248"/>
  <c r="DT156" i="30248"/>
  <c r="DT157" i="30248"/>
  <c r="DT158" i="30248"/>
  <c r="DT159" i="30248"/>
  <c r="DT160" i="30248"/>
  <c r="DT161" i="30248"/>
  <c r="DT162" i="30248"/>
  <c r="DT163" i="30248"/>
  <c r="DT164" i="30248"/>
  <c r="DT165" i="30248"/>
  <c r="DT166" i="30248"/>
  <c r="DT167" i="30248"/>
  <c r="DT168" i="30248"/>
  <c r="DT169" i="30248"/>
  <c r="DT170" i="30248"/>
  <c r="DT171" i="30248"/>
  <c r="DT172" i="30248"/>
  <c r="DT173" i="30248"/>
  <c r="DT174" i="30248"/>
  <c r="DT175" i="30248"/>
  <c r="DT178" i="30248"/>
  <c r="DT179" i="30248"/>
  <c r="DT180" i="30248"/>
  <c r="DT181" i="30248"/>
  <c r="DT182" i="30248"/>
  <c r="DT183" i="30248"/>
  <c r="DT184" i="30248"/>
  <c r="DT10" i="30248"/>
  <c r="DS11" i="30248"/>
  <c r="DS12" i="30248"/>
  <c r="DS13" i="30248"/>
  <c r="DS14" i="30248"/>
  <c r="DS15" i="30248"/>
  <c r="DS16" i="30248"/>
  <c r="DS17" i="30248"/>
  <c r="DS18" i="30248"/>
  <c r="DS19" i="30248"/>
  <c r="DS20" i="30248"/>
  <c r="DS21" i="30248"/>
  <c r="DS22" i="30248"/>
  <c r="DS23" i="30248"/>
  <c r="DS24" i="30248"/>
  <c r="DS8" i="30248"/>
  <c r="DS25" i="30248"/>
  <c r="DS26" i="30248"/>
  <c r="DS27" i="30248"/>
  <c r="DS28" i="30248"/>
  <c r="DS29" i="30248"/>
  <c r="DS30" i="30248"/>
  <c r="DS31" i="30248"/>
  <c r="DS32" i="30248"/>
  <c r="DS33" i="30248"/>
  <c r="DS34" i="30248"/>
  <c r="DS35" i="30248"/>
  <c r="DS36" i="30248"/>
  <c r="DS37" i="30248"/>
  <c r="DS38" i="30248"/>
  <c r="DS39" i="30248"/>
  <c r="DS40" i="30248"/>
  <c r="DS41" i="30248"/>
  <c r="DS42" i="30248"/>
  <c r="DS43" i="30248"/>
  <c r="DS44" i="30248"/>
  <c r="DS45" i="30248"/>
  <c r="DS46" i="30248"/>
  <c r="DS47" i="30248"/>
  <c r="DS48" i="30248"/>
  <c r="DS49" i="30248"/>
  <c r="DS50" i="30248"/>
  <c r="DS51" i="30248"/>
  <c r="DS52" i="30248"/>
  <c r="DS53" i="30248"/>
  <c r="DS54" i="30248"/>
  <c r="DS55" i="30248"/>
  <c r="DS56" i="30248"/>
  <c r="DS57" i="30248"/>
  <c r="DS58" i="30248"/>
  <c r="DS59" i="30248"/>
  <c r="DS60" i="30248"/>
  <c r="DS61" i="30248"/>
  <c r="DS62" i="30248"/>
  <c r="DS63" i="30248"/>
  <c r="DS64" i="30248"/>
  <c r="DS65" i="30248"/>
  <c r="DS66" i="30248"/>
  <c r="DS67" i="30248"/>
  <c r="DS68" i="30248"/>
  <c r="DS69" i="30248"/>
  <c r="DS70" i="30248"/>
  <c r="DS9" i="30248"/>
  <c r="DS71" i="30248"/>
  <c r="DS72" i="30248"/>
  <c r="DS73" i="30248"/>
  <c r="DS74" i="30248"/>
  <c r="DS75" i="30248"/>
  <c r="DS76" i="30248"/>
  <c r="DS77" i="30248"/>
  <c r="DS78" i="30248"/>
  <c r="DS79" i="30248"/>
  <c r="DS177" i="30248"/>
  <c r="DS80" i="30248"/>
  <c r="DS81" i="30248"/>
  <c r="DS82" i="30248"/>
  <c r="DS83" i="30248"/>
  <c r="DS84" i="30248"/>
  <c r="DS85" i="30248"/>
  <c r="DS86" i="30248"/>
  <c r="DS87" i="30248"/>
  <c r="DS88" i="30248"/>
  <c r="DS89" i="30248"/>
  <c r="DS90" i="30248"/>
  <c r="DS91" i="30248"/>
  <c r="DS92" i="30248"/>
  <c r="DS93" i="30248"/>
  <c r="DS94" i="30248"/>
  <c r="DS95" i="30248"/>
  <c r="DS96" i="30248"/>
  <c r="DS97" i="30248"/>
  <c r="DS98" i="30248"/>
  <c r="DS99" i="30248"/>
  <c r="DS100" i="30248"/>
  <c r="DS101" i="30248"/>
  <c r="DS102" i="30248"/>
  <c r="DS103" i="30248"/>
  <c r="DS104" i="30248"/>
  <c r="DS105" i="30248"/>
  <c r="DS106" i="30248"/>
  <c r="DS107" i="30248"/>
  <c r="DS108" i="30248"/>
  <c r="DS109" i="30248"/>
  <c r="DS110" i="30248"/>
  <c r="DS111" i="30248"/>
  <c r="DS112" i="30248"/>
  <c r="DS113" i="30248"/>
  <c r="DS114" i="30248"/>
  <c r="DS115" i="30248"/>
  <c r="DS116" i="30248"/>
  <c r="DS117" i="30248"/>
  <c r="DS118" i="30248"/>
  <c r="DS119" i="30248"/>
  <c r="DS120" i="30248"/>
  <c r="DS121" i="30248"/>
  <c r="DS122" i="30248"/>
  <c r="DS123" i="30248"/>
  <c r="DS124" i="30248"/>
  <c r="DS126" i="30248"/>
  <c r="DS127" i="30248"/>
  <c r="DS128" i="30248"/>
  <c r="DS129" i="30248"/>
  <c r="DS130" i="30248"/>
  <c r="DS131" i="30248"/>
  <c r="DS132" i="30248"/>
  <c r="DS133" i="30248"/>
  <c r="DS134" i="30248"/>
  <c r="DS135" i="30248"/>
  <c r="DS136" i="30248"/>
  <c r="DS137" i="30248"/>
  <c r="DS138" i="30248"/>
  <c r="DS139" i="30248"/>
  <c r="DS140" i="30248"/>
  <c r="DS141" i="30248"/>
  <c r="DS142" i="30248"/>
  <c r="DS143" i="30248"/>
  <c r="DS144" i="30248"/>
  <c r="DS145" i="30248"/>
  <c r="DS146" i="30248"/>
  <c r="DS147" i="30248"/>
  <c r="DS148" i="30248"/>
  <c r="DS149" i="30248"/>
  <c r="DS150" i="30248"/>
  <c r="DS151" i="30248"/>
  <c r="DS152" i="30248"/>
  <c r="DS153" i="30248"/>
  <c r="DS154" i="30248"/>
  <c r="DS155" i="30248"/>
  <c r="DS156" i="30248"/>
  <c r="DS157" i="30248"/>
  <c r="DS158" i="30248"/>
  <c r="DS159" i="30248"/>
  <c r="DS160" i="30248"/>
  <c r="DS161" i="30248"/>
  <c r="DS162" i="30248"/>
  <c r="DS163" i="30248"/>
  <c r="DS164" i="30248"/>
  <c r="DS165" i="30248"/>
  <c r="DS166" i="30248"/>
  <c r="DS167" i="30248"/>
  <c r="DS168" i="30248"/>
  <c r="DS169" i="30248"/>
  <c r="DS170" i="30248"/>
  <c r="DS171" i="30248"/>
  <c r="DS172" i="30248"/>
  <c r="DS173" i="30248"/>
  <c r="DS174" i="30248"/>
  <c r="DS175" i="30248"/>
  <c r="DS178" i="30248"/>
  <c r="DS179" i="30248"/>
  <c r="DS180" i="30248"/>
  <c r="DS181" i="30248"/>
  <c r="DS182" i="30248"/>
  <c r="DS183" i="30248"/>
  <c r="DS184" i="30248"/>
  <c r="CE96" i="30248"/>
  <c r="DT96" i="30248"/>
  <c r="CE95" i="30248"/>
  <c r="DT95" i="30248"/>
  <c r="CE94" i="30248"/>
  <c r="DT94" i="30248"/>
  <c r="CE93" i="30248"/>
  <c r="DT93" i="30248"/>
  <c r="CE92" i="30248"/>
  <c r="DT92" i="30248"/>
  <c r="CE91" i="30248"/>
  <c r="DT91" i="30248"/>
  <c r="CE90" i="30248"/>
  <c r="DT90" i="30248"/>
  <c r="CE24" i="30248"/>
  <c r="DT24" i="30248"/>
  <c r="DT8" i="30248"/>
  <c r="CE25" i="30248"/>
  <c r="DT25" i="30248"/>
  <c r="CE26" i="30248"/>
  <c r="DT26" i="30248"/>
  <c r="CE27" i="30248"/>
  <c r="DT27" i="30248"/>
  <c r="CE28" i="30248"/>
  <c r="DT28" i="30248"/>
  <c r="CE29" i="30248"/>
  <c r="DT29" i="30248"/>
  <c r="CE30" i="30248"/>
  <c r="DT30" i="30248"/>
  <c r="CE31" i="30248"/>
  <c r="DT31" i="30248"/>
  <c r="CE32" i="30248"/>
  <c r="DT32" i="30248"/>
  <c r="CE33" i="30248"/>
  <c r="DT33" i="30248"/>
  <c r="CE34" i="30248"/>
  <c r="DT34" i="30248"/>
  <c r="CE35" i="30248"/>
  <c r="DT35" i="30248"/>
  <c r="CE36" i="30248"/>
  <c r="DT36" i="30248"/>
  <c r="CE23" i="30248"/>
  <c r="DT23" i="30248"/>
  <c r="DA79" i="30248"/>
  <c r="DA177" i="30248"/>
  <c r="AJ8" i="30248"/>
  <c r="BD8" i="30248"/>
  <c r="AJ9" i="30248"/>
  <c r="BD9" i="30248"/>
  <c r="BD50" i="30248"/>
  <c r="DA50" i="30248"/>
  <c r="AJ170" i="30248"/>
  <c r="DA170" i="30248"/>
  <c r="AJ171" i="30248"/>
  <c r="DA171" i="30248"/>
  <c r="BS8" i="30248"/>
  <c r="BS9" i="30248"/>
  <c r="J8" i="30248"/>
  <c r="J9" i="30248"/>
  <c r="EM8" i="30248"/>
  <c r="EM9" i="30248"/>
  <c r="AN8" i="30248"/>
  <c r="BH8" i="30248"/>
  <c r="AN9" i="30248"/>
  <c r="BH9" i="30248"/>
  <c r="BH50" i="30248"/>
  <c r="DG50" i="30248"/>
  <c r="AN170" i="30248"/>
  <c r="DG170" i="30248"/>
  <c r="AN171" i="30248"/>
  <c r="DG171" i="30248"/>
  <c r="DG10" i="30248"/>
  <c r="EB10" i="30248"/>
  <c r="EE8" i="30248"/>
  <c r="EE9" i="30248"/>
  <c r="BU8" i="30248"/>
  <c r="BU9" i="30248"/>
  <c r="EO8" i="30248"/>
  <c r="EO9" i="30248"/>
  <c r="BX8" i="30248"/>
  <c r="BX9" i="30248"/>
  <c r="DZ8" i="30248"/>
  <c r="DZ9" i="30248"/>
  <c r="AK8" i="30248"/>
  <c r="BE8" i="30248"/>
  <c r="AK9" i="30248"/>
  <c r="BE9" i="30248"/>
  <c r="DB10" i="30248"/>
  <c r="BE50" i="30248"/>
  <c r="DB50" i="30248"/>
  <c r="AK170" i="30248"/>
  <c r="DB170" i="30248"/>
  <c r="AK171" i="30248"/>
  <c r="DB171" i="30248"/>
  <c r="E8" i="30248"/>
  <c r="E9" i="30248"/>
  <c r="EP8" i="30248"/>
  <c r="EP9" i="30248"/>
  <c r="I8" i="30248"/>
  <c r="I9" i="30248"/>
  <c r="AH8" i="30248"/>
  <c r="BB8" i="30248"/>
  <c r="AH9" i="30248"/>
  <c r="BB9" i="30248"/>
  <c r="CY10" i="30248"/>
  <c r="BB50" i="30248"/>
  <c r="CY50" i="30248"/>
  <c r="DR10" i="30248"/>
  <c r="F8" i="30248"/>
  <c r="F9" i="30248"/>
  <c r="AO8" i="30248"/>
  <c r="BI8" i="30248"/>
  <c r="AO9" i="30248"/>
  <c r="BI9" i="30248"/>
  <c r="BI50" i="30248"/>
  <c r="DH50" i="30248"/>
  <c r="AO170" i="30248"/>
  <c r="DH170" i="30248"/>
  <c r="AO171" i="30248"/>
  <c r="DH171" i="30248"/>
  <c r="DH10" i="30248"/>
  <c r="BT8" i="30248"/>
  <c r="BT9" i="30248"/>
  <c r="EN8" i="30248"/>
  <c r="EN9" i="30248"/>
  <c r="EH10" i="30248"/>
  <c r="ED8" i="30248"/>
  <c r="ED9" i="30248"/>
  <c r="K8" i="30248"/>
  <c r="K9" i="30248"/>
  <c r="AM8" i="30248"/>
  <c r="BG8" i="30248"/>
  <c r="AM9" i="30248"/>
  <c r="BG9" i="30248"/>
  <c r="BG50" i="30248"/>
  <c r="DF50" i="30248"/>
  <c r="AM170" i="30248"/>
  <c r="DF170" i="30248"/>
  <c r="AM171" i="30248"/>
  <c r="DF171" i="30248"/>
  <c r="DF10" i="30248"/>
  <c r="BL50" i="30248"/>
  <c r="EI50" i="30248"/>
  <c r="EI170" i="30248"/>
  <c r="EI171" i="30248"/>
  <c r="DC10" i="30248"/>
  <c r="CW172" i="30248"/>
  <c r="CX172" i="30248"/>
  <c r="CY172" i="30248"/>
  <c r="CZ172" i="30248"/>
  <c r="DA172" i="30248"/>
  <c r="DB172" i="30248"/>
  <c r="DD172" i="30248"/>
  <c r="DE172" i="30248" s="1"/>
  <c r="DF172" i="30248"/>
  <c r="DG172" i="30248"/>
  <c r="EB172" i="30248"/>
  <c r="DW172" i="30248"/>
  <c r="DX9" i="30248"/>
  <c r="BW8" i="30248"/>
  <c r="BW9" i="30248"/>
  <c r="D8" i="30248"/>
  <c r="D9" i="30248"/>
  <c r="EQ8" i="30248"/>
  <c r="EQ9" i="30248"/>
  <c r="EL8" i="30248"/>
  <c r="EL9" i="30248"/>
  <c r="ES8" i="30248"/>
  <c r="ES9" i="30248"/>
  <c r="EK8" i="30248"/>
  <c r="EK9" i="30248"/>
  <c r="DY8" i="30248"/>
  <c r="DY9" i="30248"/>
  <c r="AI8" i="30248"/>
  <c r="BC8" i="30248"/>
  <c r="AI9" i="30248"/>
  <c r="BC9" i="30248"/>
  <c r="CZ10" i="30248"/>
  <c r="FQ10" i="30248"/>
  <c r="BC50" i="30248"/>
  <c r="CZ50" i="30248"/>
  <c r="FQ50" i="30248"/>
  <c r="AI170" i="30248"/>
  <c r="CZ170" i="30248"/>
  <c r="FQ170" i="30248"/>
  <c r="AI171" i="30248"/>
  <c r="CZ171" i="30248"/>
  <c r="FQ171" i="30248"/>
  <c r="ET8" i="30248"/>
  <c r="ET9" i="30248"/>
  <c r="EB36" i="30248"/>
  <c r="EB37" i="30248"/>
  <c r="EB38" i="30248"/>
  <c r="EB39" i="30248"/>
  <c r="EB40" i="30248"/>
  <c r="EB41" i="30248"/>
  <c r="EB42" i="30248"/>
  <c r="EB43" i="30248"/>
  <c r="EB44" i="30248"/>
  <c r="EB45" i="30248"/>
  <c r="EB46" i="30248"/>
  <c r="EB47" i="30248"/>
  <c r="EB48" i="30248"/>
  <c r="EB49" i="30248"/>
  <c r="EB50" i="30248"/>
  <c r="EB51" i="30248"/>
  <c r="EB52" i="30248"/>
  <c r="EB53" i="30248"/>
  <c r="EB54" i="30248"/>
  <c r="EB55" i="30248"/>
  <c r="EB56" i="30248"/>
  <c r="EB57" i="30248"/>
  <c r="EB58" i="30248"/>
  <c r="EB59" i="30248"/>
  <c r="EB60" i="30248"/>
  <c r="EB61" i="30248"/>
  <c r="EB62" i="30248"/>
  <c r="EB63" i="30248"/>
  <c r="EB64" i="30248"/>
  <c r="EB65" i="30248"/>
  <c r="EB66" i="30248"/>
  <c r="EB67" i="30248"/>
  <c r="EB68" i="30248"/>
  <c r="EB69" i="30248"/>
  <c r="EB70" i="30248"/>
  <c r="EB9" i="30248"/>
  <c r="EB71" i="30248"/>
  <c r="EB72" i="30248"/>
  <c r="EB73" i="30248"/>
  <c r="EB74" i="30248"/>
  <c r="EB75" i="30248"/>
  <c r="EB76" i="30248"/>
  <c r="EB77" i="30248"/>
  <c r="EB78" i="30248"/>
  <c r="EB79" i="30248"/>
  <c r="EB80" i="30248"/>
  <c r="EB81" i="30248"/>
  <c r="EB82" i="30248"/>
  <c r="EB83" i="30248"/>
  <c r="EB84" i="30248"/>
  <c r="EB85" i="30248"/>
  <c r="EB86" i="30248"/>
  <c r="EB87" i="30248"/>
  <c r="EB88" i="30248"/>
  <c r="EB89" i="30248"/>
  <c r="EB90" i="30248"/>
  <c r="EB91" i="30248"/>
  <c r="EB92" i="30248"/>
  <c r="EB93" i="30248"/>
  <c r="EB94" i="30248"/>
  <c r="EB95" i="30248"/>
  <c r="EB96" i="30248"/>
  <c r="EB97" i="30248"/>
  <c r="EB98" i="30248"/>
  <c r="EB99" i="30248"/>
  <c r="EB100" i="30248"/>
  <c r="EB101" i="30248"/>
  <c r="EB102" i="30248"/>
  <c r="EB103" i="30248"/>
  <c r="EB104" i="30248"/>
  <c r="EB105" i="30248"/>
  <c r="EB106" i="30248"/>
  <c r="EB107" i="30248"/>
  <c r="EB108" i="30248"/>
  <c r="EB109" i="30248"/>
  <c r="EB110" i="30248"/>
  <c r="EB111" i="30248"/>
  <c r="EB112" i="30248"/>
  <c r="EB113" i="30248"/>
  <c r="EB114" i="30248"/>
  <c r="EB115" i="30248"/>
  <c r="EB116" i="30248"/>
  <c r="EB117" i="30248"/>
  <c r="EB118" i="30248"/>
  <c r="EB119" i="30248"/>
  <c r="EB120" i="30248"/>
  <c r="EB121" i="30248"/>
  <c r="EB122" i="30248"/>
  <c r="EB123" i="30248"/>
  <c r="EB124" i="30248"/>
  <c r="EB125" i="30248"/>
  <c r="EB126" i="30248"/>
  <c r="EB127" i="30248"/>
  <c r="EB128" i="30248"/>
  <c r="EB129" i="30248"/>
  <c r="EB130" i="30248"/>
  <c r="EB131" i="30248"/>
  <c r="EB132" i="30248"/>
  <c r="EB133" i="30248"/>
  <c r="EB134" i="30248"/>
  <c r="EB135" i="30248"/>
  <c r="EB136" i="30248"/>
  <c r="EB137" i="30248"/>
  <c r="EB138" i="30248"/>
  <c r="EB139" i="30248"/>
  <c r="EB140" i="30248"/>
  <c r="EB141" i="30248"/>
  <c r="EB142" i="30248"/>
  <c r="EB143" i="30248"/>
  <c r="EB144" i="30248"/>
  <c r="EB145" i="30248"/>
  <c r="EB146" i="30248"/>
  <c r="EB147" i="30248"/>
  <c r="EB148" i="30248"/>
  <c r="EB149" i="30248"/>
  <c r="EB150" i="30248"/>
  <c r="EB151" i="30248"/>
  <c r="EB152" i="30248"/>
  <c r="EB153" i="30248"/>
  <c r="EB154" i="30248"/>
  <c r="EB155" i="30248"/>
  <c r="EB156" i="30248"/>
  <c r="EB157" i="30248"/>
  <c r="EB158" i="30248"/>
  <c r="EB159" i="30248"/>
  <c r="EB160" i="30248"/>
  <c r="EB161" i="30248"/>
  <c r="EB162" i="30248"/>
  <c r="EB163" i="30248"/>
  <c r="EB164" i="30248"/>
  <c r="EB165" i="30248"/>
  <c r="EB166" i="30248"/>
  <c r="EB167" i="30248"/>
  <c r="EB168" i="30248"/>
  <c r="EB169" i="30248"/>
  <c r="EB170" i="30248"/>
  <c r="EB171" i="30248"/>
  <c r="EB173" i="30248"/>
  <c r="EB174" i="30248"/>
  <c r="EB175" i="30248"/>
  <c r="EB35" i="30248"/>
  <c r="EB34" i="30248"/>
  <c r="EB33" i="30248"/>
  <c r="EB32" i="30248"/>
  <c r="EB31" i="30248"/>
  <c r="EB30" i="30248"/>
  <c r="EB29" i="30248"/>
  <c r="EB28" i="30248"/>
  <c r="EB27" i="30248"/>
  <c r="EB26" i="30248"/>
  <c r="EB25" i="30248"/>
  <c r="EB24" i="30248"/>
  <c r="EB8" i="30248"/>
  <c r="EB23" i="30248"/>
  <c r="EB22" i="30248"/>
  <c r="EB21" i="30248"/>
  <c r="EB20" i="30248"/>
  <c r="EB19" i="30248"/>
  <c r="EB17" i="30248"/>
  <c r="EB18" i="30248"/>
  <c r="EB13" i="30248"/>
  <c r="EB14" i="30248"/>
  <c r="DW13" i="30248"/>
  <c r="DW14" i="30248"/>
  <c r="DW15" i="30248"/>
  <c r="DW16" i="30248"/>
  <c r="DW17" i="30248"/>
  <c r="DW18" i="30248"/>
  <c r="DW19" i="30248"/>
  <c r="DW20" i="30248"/>
  <c r="DW21" i="30248"/>
  <c r="DW22" i="30248"/>
  <c r="DW23" i="30248"/>
  <c r="DW25" i="30248"/>
  <c r="DW26" i="30248"/>
  <c r="DW27" i="30248"/>
  <c r="DW28" i="30248"/>
  <c r="DW29" i="30248"/>
  <c r="DW30" i="30248"/>
  <c r="DW31" i="30248"/>
  <c r="DW32" i="30248"/>
  <c r="DW33" i="30248"/>
  <c r="DW34" i="30248"/>
  <c r="DW35" i="30248"/>
  <c r="DW36" i="30248"/>
  <c r="DW37" i="30248"/>
  <c r="DW38" i="30248"/>
  <c r="DW39" i="30248"/>
  <c r="DW40" i="30248"/>
  <c r="DW41" i="30248"/>
  <c r="DW42" i="30248"/>
  <c r="DW43" i="30248"/>
  <c r="DW44" i="30248"/>
  <c r="DW45" i="30248"/>
  <c r="DW46" i="30248"/>
  <c r="DW47" i="30248"/>
  <c r="DW48" i="30248"/>
  <c r="DW49" i="30248"/>
  <c r="DW50" i="30248"/>
  <c r="DW51" i="30248"/>
  <c r="DW52" i="30248"/>
  <c r="DW53" i="30248"/>
  <c r="DW54" i="30248"/>
  <c r="DW55" i="30248"/>
  <c r="DW56" i="30248"/>
  <c r="DW57" i="30248"/>
  <c r="DW58" i="30248"/>
  <c r="DW59" i="30248"/>
  <c r="DW60" i="30248"/>
  <c r="DW61" i="30248"/>
  <c r="DW62" i="30248"/>
  <c r="DW63" i="30248"/>
  <c r="DW64" i="30248"/>
  <c r="DW65" i="30248"/>
  <c r="DW66" i="30248"/>
  <c r="DW67" i="30248"/>
  <c r="DW68" i="30248"/>
  <c r="DW69" i="30248"/>
  <c r="DW70" i="30248"/>
  <c r="DW9" i="30248"/>
  <c r="DW71" i="30248"/>
  <c r="DW72" i="30248"/>
  <c r="DW73" i="30248"/>
  <c r="DW74" i="30248"/>
  <c r="DW75" i="30248"/>
  <c r="DW76" i="30248"/>
  <c r="DW77" i="30248"/>
  <c r="DW78" i="30248"/>
  <c r="DW79" i="30248"/>
  <c r="DW177" i="30248" s="1"/>
  <c r="DW80" i="30248"/>
  <c r="DW81" i="30248"/>
  <c r="DW82" i="30248"/>
  <c r="DW83" i="30248"/>
  <c r="DW84" i="30248"/>
  <c r="DW85" i="30248"/>
  <c r="DW86" i="30248"/>
  <c r="DW87" i="30248"/>
  <c r="DW88" i="30248"/>
  <c r="DW89" i="30248"/>
  <c r="DW90" i="30248"/>
  <c r="DW91" i="30248"/>
  <c r="DW92" i="30248"/>
  <c r="DW93" i="30248"/>
  <c r="DW94" i="30248"/>
  <c r="DW95" i="30248"/>
  <c r="DW96" i="30248"/>
  <c r="DW97" i="30248"/>
  <c r="DW98" i="30248"/>
  <c r="DW99" i="30248"/>
  <c r="DW100" i="30248"/>
  <c r="DW101" i="30248"/>
  <c r="DW102" i="30248"/>
  <c r="DW103" i="30248"/>
  <c r="DW104" i="30248"/>
  <c r="DW105" i="30248"/>
  <c r="DW106" i="30248"/>
  <c r="DW107" i="30248"/>
  <c r="DW108" i="30248"/>
  <c r="DW109" i="30248"/>
  <c r="DW110" i="30248"/>
  <c r="DW111" i="30248"/>
  <c r="DW112" i="30248"/>
  <c r="DW113" i="30248"/>
  <c r="DW114" i="30248"/>
  <c r="DW115" i="30248"/>
  <c r="DW116" i="30248"/>
  <c r="DW117" i="30248"/>
  <c r="DW118" i="30248"/>
  <c r="DW119" i="30248"/>
  <c r="DW120" i="30248"/>
  <c r="DW121" i="30248"/>
  <c r="DW122" i="30248"/>
  <c r="DW123" i="30248"/>
  <c r="DW167" i="30248"/>
  <c r="DW168" i="30248"/>
  <c r="DW169" i="30248"/>
  <c r="DW170" i="30248"/>
  <c r="DW171" i="30248"/>
  <c r="DW173" i="30248"/>
  <c r="DW174" i="30248"/>
  <c r="DW175" i="30248"/>
  <c r="DW180" i="30248"/>
  <c r="DW184" i="30248"/>
  <c r="DW185" i="30248"/>
  <c r="DW186" i="30248"/>
  <c r="DW187" i="30248"/>
  <c r="ET168" i="30248"/>
  <c r="EU168" i="30248"/>
  <c r="EV168" i="30248"/>
  <c r="EW168" i="30248"/>
  <c r="EX168" i="30248"/>
  <c r="EY168" i="30248"/>
  <c r="EZ168" i="30248"/>
  <c r="ES168" i="30248"/>
  <c r="ET167" i="30248"/>
  <c r="EU167" i="30248"/>
  <c r="EV167" i="30248"/>
  <c r="EW167" i="30248"/>
  <c r="EX167" i="30248"/>
  <c r="EY167" i="30248"/>
  <c r="EZ167" i="30248"/>
  <c r="ES167" i="30248"/>
  <c r="EE167" i="30248"/>
  <c r="EE141" i="30248"/>
  <c r="EE147" i="30248"/>
  <c r="ET146" i="30248"/>
  <c r="EU146" i="30248"/>
  <c r="EV146" i="30248"/>
  <c r="EW146" i="30248"/>
  <c r="EX146" i="30248"/>
  <c r="EY146" i="30248"/>
  <c r="EZ146" i="30248"/>
  <c r="ET147" i="30248"/>
  <c r="EU147" i="30248"/>
  <c r="EV147" i="30248"/>
  <c r="EW147" i="30248"/>
  <c r="EX147" i="30248"/>
  <c r="EY147" i="30248"/>
  <c r="EZ147" i="30248"/>
  <c r="ES147" i="30248"/>
  <c r="ES146" i="30248"/>
  <c r="ET141" i="30248"/>
  <c r="EU145" i="30248"/>
  <c r="EU141" i="30248"/>
  <c r="EV141" i="30248"/>
  <c r="EW141" i="30248"/>
  <c r="EX141" i="30248"/>
  <c r="EY141" i="30248"/>
  <c r="EZ141" i="30248"/>
  <c r="ES145" i="30248"/>
  <c r="ES141" i="30248"/>
  <c r="EL147" i="30248"/>
  <c r="EM147" i="30248"/>
  <c r="EK147" i="30248"/>
  <c r="EL146" i="30248"/>
  <c r="EM146" i="30248"/>
  <c r="EK146" i="30248"/>
  <c r="FE141" i="30248"/>
  <c r="FD141" i="30248"/>
  <c r="FC141" i="30248"/>
  <c r="FB141" i="30248"/>
  <c r="FA141" i="30248"/>
  <c r="EL141" i="30248"/>
  <c r="EM141" i="30248"/>
  <c r="EK141" i="30248"/>
  <c r="BW141" i="30248"/>
  <c r="BT141" i="30248"/>
  <c r="ET138" i="30248"/>
  <c r="EU138" i="30248"/>
  <c r="EV138" i="30248"/>
  <c r="EW138" i="30248"/>
  <c r="EX138" i="30248"/>
  <c r="EY138" i="30248"/>
  <c r="ES138" i="30248"/>
  <c r="EL138" i="30248"/>
  <c r="EM138" i="30248"/>
  <c r="EK138" i="30248"/>
  <c r="BW139" i="30248"/>
  <c r="BT139" i="30248"/>
  <c r="BT138" i="30248"/>
  <c r="BW138" i="30248"/>
  <c r="EE139" i="30248"/>
  <c r="ET139" i="30248"/>
  <c r="EU139" i="30248"/>
  <c r="EV139" i="30248"/>
  <c r="EW139" i="30248"/>
  <c r="EX139" i="30248"/>
  <c r="EY139" i="30248"/>
  <c r="EZ139" i="30248"/>
  <c r="ES139" i="30248"/>
  <c r="EL139" i="30248"/>
  <c r="EM139" i="30248"/>
  <c r="EK139" i="30248"/>
  <c r="DD175" i="30248"/>
  <c r="DE175" i="30248" s="1"/>
  <c r="CW175" i="30248"/>
  <c r="CH175" i="30248"/>
  <c r="FK170" i="30248"/>
  <c r="FK171" i="30248"/>
  <c r="FK169" i="30248"/>
  <c r="FK111" i="30248"/>
  <c r="FK108" i="30248"/>
  <c r="FK107" i="30248"/>
  <c r="FK106" i="30248"/>
  <c r="FK105" i="30248"/>
  <c r="FK103" i="30248"/>
  <c r="FK102" i="30248"/>
  <c r="FK101" i="30248"/>
  <c r="FK100" i="30248"/>
  <c r="FK99" i="30248"/>
  <c r="FK96" i="30248"/>
  <c r="FK95" i="30248"/>
  <c r="FK94" i="30248"/>
  <c r="FK93" i="30248"/>
  <c r="FK92" i="30248"/>
  <c r="FK91" i="30248"/>
  <c r="FK85" i="30248"/>
  <c r="FK84" i="30248"/>
  <c r="FK83" i="30248"/>
  <c r="FK82" i="30248"/>
  <c r="FK81" i="30248"/>
  <c r="FK80" i="30248"/>
  <c r="FK79" i="30248"/>
  <c r="FK177" i="30248"/>
  <c r="FK78" i="30248"/>
  <c r="FK77" i="30248"/>
  <c r="FK76" i="30248"/>
  <c r="FK75" i="30248"/>
  <c r="FK74" i="30248"/>
  <c r="FK72" i="30248"/>
  <c r="FK71" i="30248"/>
  <c r="FK70" i="30248"/>
  <c r="FK9" i="30248"/>
  <c r="FK33" i="30248"/>
  <c r="FK32" i="30248"/>
  <c r="FK31" i="30248"/>
  <c r="FK30" i="30248"/>
  <c r="FK29" i="30248"/>
  <c r="FK28" i="30248"/>
  <c r="FK27" i="30248"/>
  <c r="FK24" i="30248"/>
  <c r="FK8" i="30248"/>
  <c r="FK13" i="30248"/>
  <c r="FK12" i="30248"/>
  <c r="EH29" i="30248"/>
  <c r="EH30" i="30248"/>
  <c r="EH171" i="30248"/>
  <c r="EC171" i="30248"/>
  <c r="DZ171" i="30248"/>
  <c r="DY171" i="30248"/>
  <c r="DR171" i="30248"/>
  <c r="DQ171" i="30248"/>
  <c r="AW171" i="30248"/>
  <c r="DP171" i="30248"/>
  <c r="AL171" i="30248"/>
  <c r="DD171" i="30248"/>
  <c r="AH171" i="30248"/>
  <c r="CY171" i="30248"/>
  <c r="AG171" i="30248"/>
  <c r="CX171" i="30248"/>
  <c r="AF171" i="30248"/>
  <c r="CW171" i="30248"/>
  <c r="Q171" i="30248"/>
  <c r="EH170" i="30248"/>
  <c r="EC170" i="30248"/>
  <c r="DZ170" i="30248"/>
  <c r="DY170" i="30248"/>
  <c r="DR170" i="30248"/>
  <c r="DQ170" i="30248"/>
  <c r="AG170" i="30248"/>
  <c r="CX170" i="30248"/>
  <c r="AF170" i="30248"/>
  <c r="CW170" i="30248"/>
  <c r="AW170" i="30248"/>
  <c r="DP170" i="30248"/>
  <c r="AL170" i="30248"/>
  <c r="DD170" i="30248"/>
  <c r="AH170" i="30248"/>
  <c r="CY170" i="30248"/>
  <c r="EI169" i="30248"/>
  <c r="EH169" i="30248"/>
  <c r="EC169" i="30248"/>
  <c r="DZ169" i="30248"/>
  <c r="DY169" i="30248"/>
  <c r="DR169" i="30248"/>
  <c r="DQ169" i="30248"/>
  <c r="DH169" i="30248"/>
  <c r="DG169" i="30248"/>
  <c r="DF169" i="30248"/>
  <c r="DD169" i="30248"/>
  <c r="DE169" i="30248"/>
  <c r="DC169" i="30248"/>
  <c r="DB169" i="30248"/>
  <c r="DA169" i="30248"/>
  <c r="CZ169" i="30248"/>
  <c r="FQ169" i="30248"/>
  <c r="CY169" i="30248"/>
  <c r="CX169" i="30248"/>
  <c r="CW169" i="30248"/>
  <c r="Q169" i="30248"/>
  <c r="CW167" i="30248"/>
  <c r="CX167" i="30248"/>
  <c r="CY167" i="30248"/>
  <c r="CZ167" i="30248"/>
  <c r="FQ167" i="30248"/>
  <c r="DA167" i="30248"/>
  <c r="DB167" i="30248"/>
  <c r="DC167" i="30248"/>
  <c r="DD167" i="30248"/>
  <c r="DE167" i="30248"/>
  <c r="DF167" i="30248"/>
  <c r="DG167" i="30248"/>
  <c r="DH167" i="30248"/>
  <c r="DQ167" i="30248"/>
  <c r="DR167" i="30248"/>
  <c r="CW168" i="30248"/>
  <c r="CX168" i="30248"/>
  <c r="CY168" i="30248"/>
  <c r="CZ168" i="30248"/>
  <c r="FQ168" i="30248"/>
  <c r="DA168" i="30248"/>
  <c r="DB168" i="30248"/>
  <c r="DC168" i="30248"/>
  <c r="DD168" i="30248"/>
  <c r="DE168" i="30248"/>
  <c r="DF168" i="30248"/>
  <c r="DG168" i="30248"/>
  <c r="DH168" i="30248"/>
  <c r="DQ168" i="30248"/>
  <c r="DR168" i="30248"/>
  <c r="AK55" i="30248"/>
  <c r="DC55" i="30248"/>
  <c r="DW24" i="30248"/>
  <c r="DW8" i="30248" s="1"/>
  <c r="DQ10" i="30248"/>
  <c r="DQ11" i="30248"/>
  <c r="DQ12" i="30248"/>
  <c r="DQ13" i="30248"/>
  <c r="DQ14" i="30248"/>
  <c r="DQ15" i="30248"/>
  <c r="DQ16" i="30248"/>
  <c r="DQ17" i="30248"/>
  <c r="DQ18" i="30248"/>
  <c r="DQ19" i="30248"/>
  <c r="DQ20" i="30248"/>
  <c r="DQ21" i="30248"/>
  <c r="DQ22" i="30248"/>
  <c r="DQ23" i="30248"/>
  <c r="DQ24" i="30248"/>
  <c r="DQ8" i="30248"/>
  <c r="DQ25" i="30248"/>
  <c r="DQ26" i="30248"/>
  <c r="DQ27" i="30248"/>
  <c r="DQ28" i="30248"/>
  <c r="DQ29" i="30248"/>
  <c r="DQ30" i="30248"/>
  <c r="DQ31" i="30248"/>
  <c r="DQ32" i="30248"/>
  <c r="DQ33" i="30248"/>
  <c r="DQ34" i="30248"/>
  <c r="DQ35" i="30248"/>
  <c r="DQ36" i="30248"/>
  <c r="DQ37" i="30248"/>
  <c r="DQ38" i="30248"/>
  <c r="DQ39" i="30248"/>
  <c r="DQ40" i="30248"/>
  <c r="DQ41" i="30248"/>
  <c r="DQ42" i="30248"/>
  <c r="DQ43" i="30248"/>
  <c r="DQ44" i="30248"/>
  <c r="DQ45" i="30248"/>
  <c r="DQ46" i="30248"/>
  <c r="DQ47" i="30248"/>
  <c r="DQ48" i="30248"/>
  <c r="DQ49" i="30248"/>
  <c r="DQ50" i="30248"/>
  <c r="DQ51" i="30248"/>
  <c r="DQ52" i="30248"/>
  <c r="DQ53" i="30248"/>
  <c r="DQ54" i="30248"/>
  <c r="DQ55" i="30248"/>
  <c r="DQ56" i="30248"/>
  <c r="DQ57" i="30248"/>
  <c r="DQ58" i="30248"/>
  <c r="DQ59" i="30248"/>
  <c r="DQ60" i="30248"/>
  <c r="DQ61" i="30248"/>
  <c r="DQ62" i="30248"/>
  <c r="DQ63" i="30248"/>
  <c r="DQ64" i="30248"/>
  <c r="DQ65" i="30248"/>
  <c r="DQ66" i="30248"/>
  <c r="DQ67" i="30248"/>
  <c r="DQ68" i="30248"/>
  <c r="DQ69" i="30248"/>
  <c r="DQ70" i="30248"/>
  <c r="DQ71" i="30248"/>
  <c r="DQ72" i="30248"/>
  <c r="DQ73" i="30248"/>
  <c r="DQ74" i="30248"/>
  <c r="DQ75" i="30248"/>
  <c r="DQ76" i="30248"/>
  <c r="DQ77" i="30248"/>
  <c r="DQ78" i="30248"/>
  <c r="DQ79" i="30248"/>
  <c r="DQ177" i="30248"/>
  <c r="DQ80" i="30248"/>
  <c r="DQ81" i="30248"/>
  <c r="DQ82" i="30248"/>
  <c r="DQ83" i="30248"/>
  <c r="DQ84" i="30248"/>
  <c r="DQ85" i="30248"/>
  <c r="DQ86" i="30248"/>
  <c r="DQ87" i="30248"/>
  <c r="DQ88" i="30248"/>
  <c r="DQ89" i="30248"/>
  <c r="DQ90" i="30248"/>
  <c r="DQ91" i="30248"/>
  <c r="DQ92" i="30248"/>
  <c r="DQ93" i="30248"/>
  <c r="DQ94" i="30248"/>
  <c r="DQ95" i="30248"/>
  <c r="DQ96" i="30248"/>
  <c r="DQ97" i="30248"/>
  <c r="DQ98" i="30248"/>
  <c r="DQ99" i="30248"/>
  <c r="DQ100" i="30248"/>
  <c r="DQ101" i="30248"/>
  <c r="DQ102" i="30248"/>
  <c r="DQ103" i="30248"/>
  <c r="DQ104" i="30248"/>
  <c r="DQ105" i="30248"/>
  <c r="DQ106" i="30248"/>
  <c r="DQ107" i="30248"/>
  <c r="DQ108" i="30248"/>
  <c r="DQ109" i="30248"/>
  <c r="DQ110" i="30248"/>
  <c r="DQ111" i="30248"/>
  <c r="DQ112" i="30248"/>
  <c r="DQ113" i="30248"/>
  <c r="DQ114" i="30248"/>
  <c r="DQ115" i="30248"/>
  <c r="DQ116" i="30248"/>
  <c r="DQ117" i="30248"/>
  <c r="DQ118" i="30248"/>
  <c r="DQ119" i="30248"/>
  <c r="DQ120" i="30248"/>
  <c r="DQ121" i="30248"/>
  <c r="DQ122" i="30248"/>
  <c r="DQ123" i="30248"/>
  <c r="DQ124" i="30248"/>
  <c r="DQ125" i="30248"/>
  <c r="DQ126" i="30248"/>
  <c r="DQ127" i="30248"/>
  <c r="DQ128" i="30248"/>
  <c r="DQ129" i="30248"/>
  <c r="DQ131" i="30248"/>
  <c r="DQ132" i="30248"/>
  <c r="DQ133" i="30248"/>
  <c r="DQ134" i="30248"/>
  <c r="DQ135" i="30248"/>
  <c r="DQ136" i="30248"/>
  <c r="DQ137" i="30248"/>
  <c r="DQ138" i="30248"/>
  <c r="DQ139" i="30248"/>
  <c r="DQ140" i="30248"/>
  <c r="DQ141" i="30248"/>
  <c r="DQ142" i="30248"/>
  <c r="DQ143" i="30248"/>
  <c r="DQ144" i="30248"/>
  <c r="DQ145" i="30248"/>
  <c r="DQ146" i="30248"/>
  <c r="DQ147" i="30248"/>
  <c r="DQ148" i="30248"/>
  <c r="DQ149" i="30248"/>
  <c r="DQ150" i="30248"/>
  <c r="DQ151" i="30248"/>
  <c r="DQ152" i="30248"/>
  <c r="DQ153" i="30248"/>
  <c r="DQ154" i="30248"/>
  <c r="DQ155" i="30248"/>
  <c r="DQ156" i="30248"/>
  <c r="DQ157" i="30248"/>
  <c r="DQ158" i="30248"/>
  <c r="DQ159" i="30248"/>
  <c r="DQ160" i="30248"/>
  <c r="DQ161" i="30248"/>
  <c r="DQ162" i="30248"/>
  <c r="DQ163" i="30248"/>
  <c r="DQ164" i="30248"/>
  <c r="DQ165" i="30248"/>
  <c r="DQ166" i="30248"/>
  <c r="DQ174" i="30248"/>
  <c r="DQ179" i="30248"/>
  <c r="DQ180" i="30248"/>
  <c r="DQ181" i="30248"/>
  <c r="DQ182" i="30248"/>
  <c r="DQ183" i="30248"/>
  <c r="DQ184" i="30248"/>
  <c r="DQ130" i="30248"/>
  <c r="DR174" i="30248"/>
  <c r="DR179" i="30248"/>
  <c r="DR180" i="30248"/>
  <c r="DR181" i="30248"/>
  <c r="DR182" i="30248"/>
  <c r="DR183" i="30248"/>
  <c r="DR184" i="30248"/>
  <c r="DR11" i="30248"/>
  <c r="DR12" i="30248"/>
  <c r="DR13" i="30248"/>
  <c r="DR14" i="30248"/>
  <c r="DR15" i="30248"/>
  <c r="DR16" i="30248"/>
  <c r="DR17" i="30248"/>
  <c r="DR18" i="30248"/>
  <c r="DR19" i="30248"/>
  <c r="DR20" i="30248"/>
  <c r="DR21" i="30248"/>
  <c r="DR22" i="30248"/>
  <c r="DR23" i="30248"/>
  <c r="DR24" i="30248"/>
  <c r="DR8" i="30248"/>
  <c r="DR25" i="30248"/>
  <c r="DR26" i="30248"/>
  <c r="DR27" i="30248"/>
  <c r="DR28" i="30248"/>
  <c r="DR29" i="30248"/>
  <c r="DR30" i="30248"/>
  <c r="DR31" i="30248"/>
  <c r="DR32" i="30248"/>
  <c r="DR33" i="30248"/>
  <c r="DR34" i="30248"/>
  <c r="DR35" i="30248"/>
  <c r="DR36" i="30248"/>
  <c r="DR37" i="30248"/>
  <c r="DR38" i="30248"/>
  <c r="DR39" i="30248"/>
  <c r="DR40" i="30248"/>
  <c r="DR41" i="30248"/>
  <c r="DR42" i="30248"/>
  <c r="DR43" i="30248"/>
  <c r="DR44" i="30248"/>
  <c r="DR45" i="30248"/>
  <c r="DR46" i="30248"/>
  <c r="DR47" i="30248"/>
  <c r="DR48" i="30248"/>
  <c r="DR49" i="30248"/>
  <c r="DR50" i="30248"/>
  <c r="DR51" i="30248"/>
  <c r="DR52" i="30248"/>
  <c r="DR53" i="30248"/>
  <c r="DR54" i="30248"/>
  <c r="DR55" i="30248"/>
  <c r="DR56" i="30248"/>
  <c r="DR57" i="30248"/>
  <c r="DR58" i="30248"/>
  <c r="DR59" i="30248"/>
  <c r="DR60" i="30248"/>
  <c r="DR61" i="30248"/>
  <c r="DR62" i="30248"/>
  <c r="DR63" i="30248"/>
  <c r="DR64" i="30248"/>
  <c r="DR65" i="30248"/>
  <c r="DR66" i="30248"/>
  <c r="DR67" i="30248"/>
  <c r="DR68" i="30248"/>
  <c r="DR69" i="30248"/>
  <c r="DR70" i="30248"/>
  <c r="DR9" i="30248"/>
  <c r="DR71" i="30248"/>
  <c r="DR72" i="30248"/>
  <c r="DR73" i="30248"/>
  <c r="DR74" i="30248"/>
  <c r="DR75" i="30248"/>
  <c r="DR76" i="30248"/>
  <c r="DR77" i="30248"/>
  <c r="DR78" i="30248"/>
  <c r="DR79" i="30248"/>
  <c r="DR177" i="30248"/>
  <c r="DR80" i="30248"/>
  <c r="DR81" i="30248"/>
  <c r="DR82" i="30248"/>
  <c r="DR83" i="30248"/>
  <c r="DR84" i="30248"/>
  <c r="DR85" i="30248"/>
  <c r="DR86" i="30248"/>
  <c r="DR87" i="30248"/>
  <c r="DR88" i="30248"/>
  <c r="DR89" i="30248"/>
  <c r="DR90" i="30248"/>
  <c r="DR91" i="30248"/>
  <c r="DR92" i="30248"/>
  <c r="DR93" i="30248"/>
  <c r="DR94" i="30248"/>
  <c r="DR95" i="30248"/>
  <c r="DR96" i="30248"/>
  <c r="DR97" i="30248"/>
  <c r="DR98" i="30248"/>
  <c r="DR99" i="30248"/>
  <c r="DR100" i="30248"/>
  <c r="DR101" i="30248"/>
  <c r="DR102" i="30248"/>
  <c r="DR103" i="30248"/>
  <c r="DR104" i="30248"/>
  <c r="DR105" i="30248"/>
  <c r="DR106" i="30248"/>
  <c r="DR107" i="30248"/>
  <c r="DR108" i="30248"/>
  <c r="DR109" i="30248"/>
  <c r="DR110" i="30248"/>
  <c r="DR111" i="30248"/>
  <c r="DR112" i="30248"/>
  <c r="DR113" i="30248"/>
  <c r="DR114" i="30248"/>
  <c r="DR116" i="30248"/>
  <c r="DR117" i="30248"/>
  <c r="DR118" i="30248"/>
  <c r="DR119" i="30248"/>
  <c r="DR120" i="30248"/>
  <c r="DR121" i="30248"/>
  <c r="DR122" i="30248"/>
  <c r="DR123" i="30248"/>
  <c r="DR124" i="30248"/>
  <c r="DR125" i="30248"/>
  <c r="DR126" i="30248"/>
  <c r="DR127" i="30248"/>
  <c r="DR128" i="30248"/>
  <c r="DR129" i="30248"/>
  <c r="DR130" i="30248"/>
  <c r="DR131" i="30248"/>
  <c r="DR132" i="30248"/>
  <c r="DR133" i="30248"/>
  <c r="DR134" i="30248"/>
  <c r="DR135" i="30248"/>
  <c r="DR136" i="30248"/>
  <c r="DR137" i="30248"/>
  <c r="DR138" i="30248"/>
  <c r="DR139" i="30248"/>
  <c r="DR140" i="30248"/>
  <c r="DR141" i="30248"/>
  <c r="DR142" i="30248"/>
  <c r="DR143" i="30248"/>
  <c r="DR144" i="30248"/>
  <c r="DR145" i="30248"/>
  <c r="DR146" i="30248"/>
  <c r="DR147" i="30248"/>
  <c r="DR148" i="30248"/>
  <c r="DR149" i="30248"/>
  <c r="DR150" i="30248"/>
  <c r="DR151" i="30248"/>
  <c r="DR152" i="30248"/>
  <c r="DR153" i="30248"/>
  <c r="DR154" i="30248"/>
  <c r="DR155" i="30248"/>
  <c r="DR156" i="30248"/>
  <c r="DR157" i="30248"/>
  <c r="DR158" i="30248"/>
  <c r="DR159" i="30248"/>
  <c r="DR160" i="30248"/>
  <c r="DR161" i="30248"/>
  <c r="DR162" i="30248"/>
  <c r="DR163" i="30248"/>
  <c r="DR164" i="30248"/>
  <c r="DR165" i="30248"/>
  <c r="DR166" i="30248"/>
  <c r="EC29" i="30248"/>
  <c r="DF11" i="30248"/>
  <c r="DG11" i="30248"/>
  <c r="DH11" i="30248"/>
  <c r="DF12" i="30248"/>
  <c r="DG12" i="30248"/>
  <c r="DH12" i="30248"/>
  <c r="DF13" i="30248"/>
  <c r="DG13" i="30248"/>
  <c r="DH13" i="30248"/>
  <c r="DF14" i="30248"/>
  <c r="DG14" i="30248"/>
  <c r="DH14" i="30248"/>
  <c r="DF15" i="30248"/>
  <c r="DG15" i="30248"/>
  <c r="DH15" i="30248"/>
  <c r="DF16" i="30248"/>
  <c r="DG16" i="30248"/>
  <c r="DH16" i="30248"/>
  <c r="DF17" i="30248"/>
  <c r="DG17" i="30248"/>
  <c r="DH17" i="30248"/>
  <c r="DF18" i="30248"/>
  <c r="DG18" i="30248"/>
  <c r="DH18" i="30248"/>
  <c r="DF19" i="30248"/>
  <c r="DG19" i="30248"/>
  <c r="DH19" i="30248"/>
  <c r="DF20" i="30248"/>
  <c r="DG20" i="30248"/>
  <c r="DH20" i="30248"/>
  <c r="DF21" i="30248"/>
  <c r="DG21" i="30248"/>
  <c r="DH21" i="30248"/>
  <c r="DF22" i="30248"/>
  <c r="DG22" i="30248"/>
  <c r="DH22" i="30248"/>
  <c r="DF23" i="30248"/>
  <c r="DG23" i="30248"/>
  <c r="DH23" i="30248"/>
  <c r="DF24" i="30248"/>
  <c r="DG24" i="30248"/>
  <c r="DH24" i="30248"/>
  <c r="DF25" i="30248"/>
  <c r="DG25" i="30248"/>
  <c r="DH25" i="30248"/>
  <c r="DF26" i="30248"/>
  <c r="DG26" i="30248"/>
  <c r="DH26" i="30248"/>
  <c r="DF27" i="30248"/>
  <c r="DG27" i="30248"/>
  <c r="DH27" i="30248"/>
  <c r="DF28" i="30248"/>
  <c r="DG28" i="30248"/>
  <c r="DH28" i="30248"/>
  <c r="DF29" i="30248"/>
  <c r="DG29" i="30248"/>
  <c r="DH29" i="30248"/>
  <c r="DF30" i="30248"/>
  <c r="DG30" i="30248"/>
  <c r="DH30" i="30248"/>
  <c r="DF31" i="30248"/>
  <c r="DG31" i="30248"/>
  <c r="DH31" i="30248"/>
  <c r="DF32" i="30248"/>
  <c r="DG32" i="30248"/>
  <c r="DH32" i="30248"/>
  <c r="DF33" i="30248"/>
  <c r="DG33" i="30248"/>
  <c r="DH33" i="30248"/>
  <c r="DF34" i="30248"/>
  <c r="DG34" i="30248"/>
  <c r="DH34" i="30248"/>
  <c r="DF35" i="30248"/>
  <c r="DG35" i="30248"/>
  <c r="DH35" i="30248"/>
  <c r="DF36" i="30248"/>
  <c r="DG36" i="30248"/>
  <c r="DH36" i="30248"/>
  <c r="DF37" i="30248"/>
  <c r="DG37" i="30248"/>
  <c r="DH37" i="30248"/>
  <c r="DF38" i="30248"/>
  <c r="DG38" i="30248"/>
  <c r="DH38" i="30248"/>
  <c r="DF39" i="30248"/>
  <c r="DG39" i="30248"/>
  <c r="DH39" i="30248"/>
  <c r="DF40" i="30248"/>
  <c r="DG40" i="30248"/>
  <c r="DH40" i="30248"/>
  <c r="DF41" i="30248"/>
  <c r="DG41" i="30248"/>
  <c r="DH41" i="30248"/>
  <c r="DF42" i="30248"/>
  <c r="DG42" i="30248"/>
  <c r="DH42" i="30248"/>
  <c r="DF43" i="30248"/>
  <c r="DG43" i="30248"/>
  <c r="DH43" i="30248"/>
  <c r="DF44" i="30248"/>
  <c r="DG44" i="30248"/>
  <c r="DH44" i="30248"/>
  <c r="DF45" i="30248"/>
  <c r="DG45" i="30248"/>
  <c r="DH45" i="30248"/>
  <c r="DF46" i="30248"/>
  <c r="DG46" i="30248"/>
  <c r="DH46" i="30248"/>
  <c r="DF47" i="30248"/>
  <c r="DG47" i="30248"/>
  <c r="DH47" i="30248"/>
  <c r="DF48" i="30248"/>
  <c r="DG48" i="30248"/>
  <c r="DH48" i="30248"/>
  <c r="DF49" i="30248"/>
  <c r="DG49" i="30248"/>
  <c r="DH49" i="30248"/>
  <c r="DF51" i="30248"/>
  <c r="DG51" i="30248"/>
  <c r="DH51" i="30248"/>
  <c r="DF52" i="30248"/>
  <c r="DG52" i="30248"/>
  <c r="DH52" i="30248"/>
  <c r="DF53" i="30248"/>
  <c r="DG53" i="30248"/>
  <c r="DH53" i="30248"/>
  <c r="DF54" i="30248"/>
  <c r="DG54" i="30248"/>
  <c r="DH54" i="30248"/>
  <c r="DF55" i="30248"/>
  <c r="DG55" i="30248"/>
  <c r="DH55" i="30248"/>
  <c r="DF56" i="30248"/>
  <c r="DG56" i="30248"/>
  <c r="DH56" i="30248"/>
  <c r="DF57" i="30248"/>
  <c r="DG57" i="30248"/>
  <c r="DH57" i="30248"/>
  <c r="DF58" i="30248"/>
  <c r="DG58" i="30248"/>
  <c r="DH58" i="30248"/>
  <c r="DF59" i="30248"/>
  <c r="DG59" i="30248"/>
  <c r="DH59" i="30248"/>
  <c r="DF60" i="30248"/>
  <c r="DG60" i="30248"/>
  <c r="DH60" i="30248"/>
  <c r="DF61" i="30248"/>
  <c r="DG61" i="30248"/>
  <c r="DH61" i="30248"/>
  <c r="DF62" i="30248"/>
  <c r="DG62" i="30248"/>
  <c r="DH62" i="30248"/>
  <c r="DF63" i="30248"/>
  <c r="DG63" i="30248"/>
  <c r="DH63" i="30248"/>
  <c r="DF64" i="30248"/>
  <c r="DG64" i="30248"/>
  <c r="DH64" i="30248"/>
  <c r="DF65" i="30248"/>
  <c r="DG65" i="30248"/>
  <c r="DH65" i="30248"/>
  <c r="DF66" i="30248"/>
  <c r="DG66" i="30248"/>
  <c r="DH66" i="30248"/>
  <c r="DF67" i="30248"/>
  <c r="DG67" i="30248"/>
  <c r="DH67" i="30248"/>
  <c r="DF68" i="30248"/>
  <c r="DG68" i="30248"/>
  <c r="DH68" i="30248"/>
  <c r="DF69" i="30248"/>
  <c r="DG69" i="30248"/>
  <c r="DH69" i="30248"/>
  <c r="DF70" i="30248"/>
  <c r="DG70" i="30248"/>
  <c r="DH70" i="30248"/>
  <c r="DF71" i="30248"/>
  <c r="DG71" i="30248"/>
  <c r="DH71" i="30248"/>
  <c r="DF72" i="30248"/>
  <c r="DG72" i="30248"/>
  <c r="DH72" i="30248"/>
  <c r="DF73" i="30248"/>
  <c r="DG73" i="30248"/>
  <c r="DH73" i="30248"/>
  <c r="DF74" i="30248"/>
  <c r="DG74" i="30248"/>
  <c r="DH74" i="30248"/>
  <c r="DF75" i="30248"/>
  <c r="DG75" i="30248"/>
  <c r="DH75" i="30248"/>
  <c r="DF76" i="30248"/>
  <c r="DG76" i="30248"/>
  <c r="DH76" i="30248"/>
  <c r="DF77" i="30248"/>
  <c r="DG77" i="30248"/>
  <c r="DH77" i="30248"/>
  <c r="DF78" i="30248"/>
  <c r="DG78" i="30248"/>
  <c r="DH78" i="30248"/>
  <c r="DF79" i="30248"/>
  <c r="DF177" i="30248"/>
  <c r="DG79" i="30248"/>
  <c r="DH79" i="30248"/>
  <c r="DF80" i="30248"/>
  <c r="DG80" i="30248"/>
  <c r="DH80" i="30248"/>
  <c r="DF81" i="30248"/>
  <c r="DG81" i="30248"/>
  <c r="DH81" i="30248"/>
  <c r="DF82" i="30248"/>
  <c r="DG82" i="30248"/>
  <c r="DH82" i="30248"/>
  <c r="DF83" i="30248"/>
  <c r="DG83" i="30248"/>
  <c r="DH83" i="30248"/>
  <c r="DF84" i="30248"/>
  <c r="DG84" i="30248"/>
  <c r="DH84" i="30248"/>
  <c r="DF85" i="30248"/>
  <c r="DG85" i="30248"/>
  <c r="DH85" i="30248"/>
  <c r="DF86" i="30248"/>
  <c r="DG86" i="30248"/>
  <c r="DH86" i="30248"/>
  <c r="DF87" i="30248"/>
  <c r="DG87" i="30248"/>
  <c r="DH87" i="30248"/>
  <c r="DF88" i="30248"/>
  <c r="DG88" i="30248"/>
  <c r="DH88" i="30248"/>
  <c r="DF89" i="30248"/>
  <c r="DG89" i="30248"/>
  <c r="DH89" i="30248"/>
  <c r="DF90" i="30248"/>
  <c r="DG90" i="30248"/>
  <c r="DH90" i="30248"/>
  <c r="DF91" i="30248"/>
  <c r="DG91" i="30248"/>
  <c r="DH91" i="30248"/>
  <c r="DF92" i="30248"/>
  <c r="DG92" i="30248"/>
  <c r="DH92" i="30248"/>
  <c r="DF93" i="30248"/>
  <c r="DG93" i="30248"/>
  <c r="DH93" i="30248"/>
  <c r="DF94" i="30248"/>
  <c r="DG94" i="30248"/>
  <c r="DH94" i="30248"/>
  <c r="DF95" i="30248"/>
  <c r="DG95" i="30248"/>
  <c r="DH95" i="30248"/>
  <c r="DF96" i="30248"/>
  <c r="DG96" i="30248"/>
  <c r="DH96" i="30248"/>
  <c r="DF97" i="30248"/>
  <c r="DG97" i="30248"/>
  <c r="DH97" i="30248"/>
  <c r="DF98" i="30248"/>
  <c r="DG98" i="30248"/>
  <c r="DH98" i="30248"/>
  <c r="DF99" i="30248"/>
  <c r="DG99" i="30248"/>
  <c r="DH99" i="30248"/>
  <c r="DF100" i="30248"/>
  <c r="DG100" i="30248"/>
  <c r="DH100" i="30248"/>
  <c r="DF101" i="30248"/>
  <c r="DG101" i="30248"/>
  <c r="DH101" i="30248"/>
  <c r="DF102" i="30248"/>
  <c r="DG102" i="30248"/>
  <c r="DH102" i="30248"/>
  <c r="DF103" i="30248"/>
  <c r="DG103" i="30248"/>
  <c r="DH103" i="30248"/>
  <c r="DF104" i="30248"/>
  <c r="DG104" i="30248"/>
  <c r="DH104" i="30248"/>
  <c r="DF105" i="30248"/>
  <c r="DG105" i="30248"/>
  <c r="DH105" i="30248"/>
  <c r="DF106" i="30248"/>
  <c r="DG106" i="30248"/>
  <c r="DH106" i="30248"/>
  <c r="DF107" i="30248"/>
  <c r="DG107" i="30248"/>
  <c r="DH107" i="30248"/>
  <c r="DF108" i="30248"/>
  <c r="DG108" i="30248"/>
  <c r="DH108" i="30248"/>
  <c r="DF109" i="30248"/>
  <c r="DG109" i="30248"/>
  <c r="DH109" i="30248"/>
  <c r="DF110" i="30248"/>
  <c r="DG110" i="30248"/>
  <c r="DH110" i="30248"/>
  <c r="DF111" i="30248"/>
  <c r="DG111" i="30248"/>
  <c r="DH111" i="30248"/>
  <c r="DF112" i="30248"/>
  <c r="DG112" i="30248"/>
  <c r="DH112" i="30248"/>
  <c r="DF113" i="30248"/>
  <c r="DG113" i="30248"/>
  <c r="DH113" i="30248"/>
  <c r="DF114" i="30248"/>
  <c r="DG114" i="30248"/>
  <c r="DH114" i="30248"/>
  <c r="DF115" i="30248"/>
  <c r="DG115" i="30248"/>
  <c r="DH115" i="30248"/>
  <c r="DF116" i="30248"/>
  <c r="DG116" i="30248"/>
  <c r="DH116" i="30248"/>
  <c r="DF117" i="30248"/>
  <c r="DG117" i="30248"/>
  <c r="DH117" i="30248"/>
  <c r="DF118" i="30248"/>
  <c r="DG118" i="30248"/>
  <c r="DH118" i="30248"/>
  <c r="DF119" i="30248"/>
  <c r="DG119" i="30248"/>
  <c r="DH119" i="30248"/>
  <c r="DF120" i="30248"/>
  <c r="DG120" i="30248"/>
  <c r="DH120" i="30248"/>
  <c r="DF121" i="30248"/>
  <c r="DG121" i="30248"/>
  <c r="DH121" i="30248"/>
  <c r="DF122" i="30248"/>
  <c r="DG122" i="30248"/>
  <c r="DH122" i="30248"/>
  <c r="DF123" i="30248"/>
  <c r="DG123" i="30248"/>
  <c r="DH123" i="30248"/>
  <c r="DF124" i="30248"/>
  <c r="DG124" i="30248"/>
  <c r="DH124" i="30248"/>
  <c r="DF125" i="30248"/>
  <c r="DG125" i="30248"/>
  <c r="DH125" i="30248"/>
  <c r="DF126" i="30248"/>
  <c r="DG126" i="30248"/>
  <c r="DH126" i="30248"/>
  <c r="DF127" i="30248"/>
  <c r="DG127" i="30248"/>
  <c r="DH127" i="30248"/>
  <c r="DF128" i="30248"/>
  <c r="DG128" i="30248"/>
  <c r="DH128" i="30248"/>
  <c r="DF129" i="30248"/>
  <c r="DG129" i="30248"/>
  <c r="DH129" i="30248"/>
  <c r="DF130" i="30248"/>
  <c r="DG130" i="30248"/>
  <c r="DH130" i="30248"/>
  <c r="DF131" i="30248"/>
  <c r="DG131" i="30248"/>
  <c r="DH131" i="30248"/>
  <c r="DF132" i="30248"/>
  <c r="DG132" i="30248"/>
  <c r="DH132" i="30248"/>
  <c r="DF133" i="30248"/>
  <c r="DG133" i="30248"/>
  <c r="DH133" i="30248"/>
  <c r="DF134" i="30248"/>
  <c r="DG134" i="30248"/>
  <c r="DH134" i="30248"/>
  <c r="DF135" i="30248"/>
  <c r="DG135" i="30248"/>
  <c r="DH135" i="30248"/>
  <c r="DF136" i="30248"/>
  <c r="DG136" i="30248"/>
  <c r="DH136" i="30248"/>
  <c r="DF137" i="30248"/>
  <c r="DG137" i="30248"/>
  <c r="DH137" i="30248"/>
  <c r="DF138" i="30248"/>
  <c r="DG138" i="30248"/>
  <c r="DH138" i="30248"/>
  <c r="DF139" i="30248"/>
  <c r="DG139" i="30248"/>
  <c r="DH139" i="30248"/>
  <c r="DF140" i="30248"/>
  <c r="DG140" i="30248"/>
  <c r="DH140" i="30248"/>
  <c r="DF141" i="30248"/>
  <c r="DG141" i="30248"/>
  <c r="DH141" i="30248"/>
  <c r="DF142" i="30248"/>
  <c r="DG142" i="30248"/>
  <c r="DH142" i="30248"/>
  <c r="DF143" i="30248"/>
  <c r="DG143" i="30248"/>
  <c r="DH143" i="30248"/>
  <c r="DF144" i="30248"/>
  <c r="DG144" i="30248"/>
  <c r="DH144" i="30248"/>
  <c r="DF145" i="30248"/>
  <c r="DG145" i="30248"/>
  <c r="DH145" i="30248"/>
  <c r="DF146" i="30248"/>
  <c r="DG146" i="30248"/>
  <c r="DH146" i="30248"/>
  <c r="DF147" i="30248"/>
  <c r="DG147" i="30248"/>
  <c r="DH147" i="30248"/>
  <c r="DF148" i="30248"/>
  <c r="DG148" i="30248"/>
  <c r="DH148" i="30248"/>
  <c r="DF149" i="30248"/>
  <c r="DG149" i="30248"/>
  <c r="DH149" i="30248"/>
  <c r="DF150" i="30248"/>
  <c r="DG150" i="30248"/>
  <c r="DH150" i="30248"/>
  <c r="DF151" i="30248"/>
  <c r="DG151" i="30248"/>
  <c r="DH151" i="30248"/>
  <c r="DF152" i="30248"/>
  <c r="DG152" i="30248"/>
  <c r="DH152" i="30248"/>
  <c r="DF153" i="30248"/>
  <c r="DG153" i="30248"/>
  <c r="DH153" i="30248"/>
  <c r="DF154" i="30248"/>
  <c r="DG154" i="30248"/>
  <c r="DH154" i="30248"/>
  <c r="DF155" i="30248"/>
  <c r="DG155" i="30248"/>
  <c r="DH155" i="30248"/>
  <c r="DF156" i="30248"/>
  <c r="DG156" i="30248"/>
  <c r="DH156" i="30248"/>
  <c r="DF157" i="30248"/>
  <c r="DG157" i="30248"/>
  <c r="DH157" i="30248"/>
  <c r="DF158" i="30248"/>
  <c r="DG158" i="30248"/>
  <c r="DH158" i="30248"/>
  <c r="DF159" i="30248"/>
  <c r="DG159" i="30248"/>
  <c r="DH159" i="30248"/>
  <c r="DF160" i="30248"/>
  <c r="DG160" i="30248"/>
  <c r="DH160" i="30248"/>
  <c r="DF161" i="30248"/>
  <c r="DG161" i="30248"/>
  <c r="DH161" i="30248"/>
  <c r="DF162" i="30248"/>
  <c r="DG162" i="30248"/>
  <c r="DH162" i="30248"/>
  <c r="DF163" i="30248"/>
  <c r="DG163" i="30248"/>
  <c r="DH163" i="30248"/>
  <c r="DF164" i="30248"/>
  <c r="DG164" i="30248"/>
  <c r="DH164" i="30248"/>
  <c r="DF165" i="30248"/>
  <c r="DG165" i="30248"/>
  <c r="DH165" i="30248"/>
  <c r="DF166" i="30248"/>
  <c r="DG166" i="30248"/>
  <c r="DH166" i="30248"/>
  <c r="DF173" i="30248"/>
  <c r="DG173" i="30248"/>
  <c r="DF174" i="30248"/>
  <c r="DG174" i="30248"/>
  <c r="DF178" i="30248"/>
  <c r="DG178" i="30248"/>
  <c r="DF179" i="30248"/>
  <c r="DG179" i="30248"/>
  <c r="DF180" i="30248"/>
  <c r="DG180" i="30248"/>
  <c r="DF181" i="30248"/>
  <c r="DG181" i="30248"/>
  <c r="DF182" i="30248"/>
  <c r="DG182" i="30248"/>
  <c r="DF183" i="30248"/>
  <c r="DG183" i="30248"/>
  <c r="DF184" i="30248"/>
  <c r="DG184" i="30248"/>
  <c r="DF185" i="30248"/>
  <c r="DG185" i="30248"/>
  <c r="DF186" i="30248"/>
  <c r="DG186" i="30248"/>
  <c r="DF187" i="30248"/>
  <c r="DG187" i="30248"/>
  <c r="DD10" i="30248"/>
  <c r="DE10" i="30248"/>
  <c r="DD11" i="30248"/>
  <c r="DE11" i="30248"/>
  <c r="DD12" i="30248"/>
  <c r="DE12" i="30248"/>
  <c r="DD13" i="30248"/>
  <c r="DE13" i="30248"/>
  <c r="DD14" i="30248"/>
  <c r="DE14" i="30248"/>
  <c r="DD15" i="30248"/>
  <c r="DE15" i="30248"/>
  <c r="DD16" i="30248"/>
  <c r="DE16" i="30248"/>
  <c r="DD17" i="30248"/>
  <c r="DE17" i="30248"/>
  <c r="DD18" i="30248"/>
  <c r="DE18" i="30248"/>
  <c r="DD19" i="30248"/>
  <c r="DE19" i="30248"/>
  <c r="DD20" i="30248"/>
  <c r="DE20" i="30248"/>
  <c r="DD21" i="30248"/>
  <c r="DE21" i="30248"/>
  <c r="DD22" i="30248"/>
  <c r="DE22" i="30248"/>
  <c r="DD23" i="30248"/>
  <c r="DE23" i="30248"/>
  <c r="DD24" i="30248"/>
  <c r="DE24" i="30248"/>
  <c r="DD25" i="30248"/>
  <c r="DE25" i="30248"/>
  <c r="DD26" i="30248"/>
  <c r="DE26" i="30248"/>
  <c r="DD27" i="30248"/>
  <c r="DE27" i="30248"/>
  <c r="DD28" i="30248"/>
  <c r="DE28" i="30248"/>
  <c r="DD29" i="30248"/>
  <c r="DE29" i="30248"/>
  <c r="DD30" i="30248"/>
  <c r="DE30" i="30248"/>
  <c r="DD31" i="30248"/>
  <c r="DE31" i="30248"/>
  <c r="DD32" i="30248"/>
  <c r="DE32" i="30248"/>
  <c r="DD33" i="30248"/>
  <c r="DE33" i="30248"/>
  <c r="DD34" i="30248"/>
  <c r="DE34" i="30248"/>
  <c r="DD35" i="30248"/>
  <c r="DE35" i="30248"/>
  <c r="DD36" i="30248"/>
  <c r="DE36" i="30248"/>
  <c r="DD37" i="30248"/>
  <c r="DE37" i="30248"/>
  <c r="DD38" i="30248"/>
  <c r="DE38" i="30248"/>
  <c r="DD39" i="30248"/>
  <c r="DE39" i="30248"/>
  <c r="DD40" i="30248"/>
  <c r="DE40" i="30248"/>
  <c r="DD41" i="30248"/>
  <c r="DE41" i="30248"/>
  <c r="DD42" i="30248"/>
  <c r="DE42" i="30248"/>
  <c r="DD43" i="30248"/>
  <c r="DE43" i="30248"/>
  <c r="DD44" i="30248"/>
  <c r="DE44" i="30248"/>
  <c r="DD45" i="30248"/>
  <c r="DE45" i="30248"/>
  <c r="DD46" i="30248"/>
  <c r="DE46" i="30248"/>
  <c r="DD47" i="30248"/>
  <c r="DE47" i="30248"/>
  <c r="DD48" i="30248"/>
  <c r="DE48" i="30248"/>
  <c r="DD49" i="30248"/>
  <c r="DE49" i="30248"/>
  <c r="DD51" i="30248"/>
  <c r="DE51" i="30248"/>
  <c r="DD52" i="30248"/>
  <c r="DE52" i="30248"/>
  <c r="DD53" i="30248"/>
  <c r="DE53" i="30248"/>
  <c r="DD54" i="30248"/>
  <c r="DE54" i="30248"/>
  <c r="DD55" i="30248"/>
  <c r="DE55" i="30248"/>
  <c r="DD56" i="30248"/>
  <c r="DE56" i="30248"/>
  <c r="DD57" i="30248"/>
  <c r="DE57" i="30248"/>
  <c r="DD58" i="30248"/>
  <c r="DE58" i="30248"/>
  <c r="DD59" i="30248"/>
  <c r="DE59" i="30248"/>
  <c r="DD60" i="30248"/>
  <c r="DE60" i="30248"/>
  <c r="DD61" i="30248"/>
  <c r="DE61" i="30248"/>
  <c r="DD62" i="30248"/>
  <c r="DE62" i="30248"/>
  <c r="DD63" i="30248"/>
  <c r="DE63" i="30248"/>
  <c r="DD64" i="30248"/>
  <c r="DE64" i="30248"/>
  <c r="DD65" i="30248"/>
  <c r="DE65" i="30248"/>
  <c r="DD66" i="30248"/>
  <c r="DE66" i="30248"/>
  <c r="DD67" i="30248"/>
  <c r="DE67" i="30248"/>
  <c r="DD68" i="30248"/>
  <c r="DE68" i="30248"/>
  <c r="DD69" i="30248"/>
  <c r="DE69" i="30248"/>
  <c r="DD70" i="30248"/>
  <c r="DE70" i="30248"/>
  <c r="DD71" i="30248"/>
  <c r="DE71" i="30248"/>
  <c r="DD72" i="30248"/>
  <c r="DE72" i="30248"/>
  <c r="DD73" i="30248"/>
  <c r="DE73" i="30248"/>
  <c r="DD74" i="30248"/>
  <c r="DE74" i="30248"/>
  <c r="DD75" i="30248"/>
  <c r="DE75" i="30248"/>
  <c r="DD76" i="30248"/>
  <c r="DE76" i="30248"/>
  <c r="DD77" i="30248"/>
  <c r="DE77" i="30248"/>
  <c r="DD78" i="30248"/>
  <c r="DE78" i="30248"/>
  <c r="DD79" i="30248"/>
  <c r="DD80" i="30248"/>
  <c r="DE80" i="30248"/>
  <c r="DD81" i="30248"/>
  <c r="DE81" i="30248"/>
  <c r="DD82" i="30248"/>
  <c r="DE82" i="30248"/>
  <c r="DD83" i="30248"/>
  <c r="DE83" i="30248"/>
  <c r="DD84" i="30248"/>
  <c r="DE84" i="30248"/>
  <c r="DD85" i="30248"/>
  <c r="DE85" i="30248"/>
  <c r="DD86" i="30248"/>
  <c r="DE86" i="30248"/>
  <c r="DD87" i="30248"/>
  <c r="DE87" i="30248"/>
  <c r="DD88" i="30248"/>
  <c r="DE88" i="30248"/>
  <c r="DD89" i="30248"/>
  <c r="DE89" i="30248"/>
  <c r="DD90" i="30248"/>
  <c r="DE90" i="30248"/>
  <c r="DD91" i="30248"/>
  <c r="DE91" i="30248"/>
  <c r="DD92" i="30248"/>
  <c r="DE92" i="30248"/>
  <c r="DD93" i="30248"/>
  <c r="DE93" i="30248"/>
  <c r="DD94" i="30248"/>
  <c r="DE94" i="30248"/>
  <c r="DD95" i="30248"/>
  <c r="DE95" i="30248"/>
  <c r="DD96" i="30248"/>
  <c r="DE96" i="30248"/>
  <c r="DD97" i="30248"/>
  <c r="DE97" i="30248"/>
  <c r="DD98" i="30248"/>
  <c r="DE98" i="30248"/>
  <c r="DD99" i="30248"/>
  <c r="DE99" i="30248"/>
  <c r="DD100" i="30248"/>
  <c r="DE100" i="30248"/>
  <c r="DD101" i="30248"/>
  <c r="DE101" i="30248"/>
  <c r="DD102" i="30248"/>
  <c r="DE102" i="30248"/>
  <c r="DD103" i="30248"/>
  <c r="DE103" i="30248"/>
  <c r="DD104" i="30248"/>
  <c r="DE104" i="30248"/>
  <c r="DD105" i="30248"/>
  <c r="DE105" i="30248"/>
  <c r="DD106" i="30248"/>
  <c r="DE106" i="30248"/>
  <c r="DD107" i="30248"/>
  <c r="DE107" i="30248"/>
  <c r="DD108" i="30248"/>
  <c r="DE108" i="30248"/>
  <c r="DD109" i="30248"/>
  <c r="DE109" i="30248"/>
  <c r="DD110" i="30248"/>
  <c r="DE110" i="30248"/>
  <c r="DD111" i="30248"/>
  <c r="DE111" i="30248"/>
  <c r="DD112" i="30248"/>
  <c r="DE112" i="30248"/>
  <c r="DD113" i="30248"/>
  <c r="DE113" i="30248"/>
  <c r="DD114" i="30248"/>
  <c r="DE114" i="30248"/>
  <c r="DD115" i="30248"/>
  <c r="DE115" i="30248"/>
  <c r="DD116" i="30248"/>
  <c r="DE116" i="30248"/>
  <c r="DD117" i="30248"/>
  <c r="DE117" i="30248"/>
  <c r="DD118" i="30248"/>
  <c r="DE118" i="30248"/>
  <c r="DD119" i="30248"/>
  <c r="DE119" i="30248"/>
  <c r="DD120" i="30248"/>
  <c r="DE120" i="30248"/>
  <c r="DD121" i="30248"/>
  <c r="DE121" i="30248"/>
  <c r="DD122" i="30248"/>
  <c r="DE122" i="30248"/>
  <c r="DD123" i="30248"/>
  <c r="DE123" i="30248"/>
  <c r="DD124" i="30248"/>
  <c r="DE124" i="30248"/>
  <c r="DD125" i="30248"/>
  <c r="DE125" i="30248"/>
  <c r="DD126" i="30248"/>
  <c r="DE126" i="30248"/>
  <c r="DD127" i="30248"/>
  <c r="DE127" i="30248"/>
  <c r="DD128" i="30248"/>
  <c r="DE128" i="30248"/>
  <c r="DD129" i="30248"/>
  <c r="DE129" i="30248"/>
  <c r="DD130" i="30248"/>
  <c r="DE130" i="30248"/>
  <c r="DD131" i="30248"/>
  <c r="DE131" i="30248"/>
  <c r="DD132" i="30248"/>
  <c r="DE132" i="30248"/>
  <c r="DD133" i="30248"/>
  <c r="DE133" i="30248"/>
  <c r="DD134" i="30248"/>
  <c r="DE134" i="30248"/>
  <c r="DD135" i="30248"/>
  <c r="DE135" i="30248"/>
  <c r="DD136" i="30248"/>
  <c r="DE136" i="30248"/>
  <c r="DD137" i="30248"/>
  <c r="DE137" i="30248"/>
  <c r="DD138" i="30248"/>
  <c r="DE138" i="30248"/>
  <c r="DD139" i="30248"/>
  <c r="DE139" i="30248"/>
  <c r="DD140" i="30248"/>
  <c r="DE140" i="30248"/>
  <c r="DD141" i="30248"/>
  <c r="DE141" i="30248"/>
  <c r="DD142" i="30248"/>
  <c r="DE142" i="30248"/>
  <c r="DD143" i="30248"/>
  <c r="DE143" i="30248"/>
  <c r="DD144" i="30248"/>
  <c r="DE144" i="30248"/>
  <c r="DD145" i="30248"/>
  <c r="DE145" i="30248"/>
  <c r="DD146" i="30248"/>
  <c r="DE146" i="30248"/>
  <c r="DD147" i="30248"/>
  <c r="DE147" i="30248"/>
  <c r="DD148" i="30248"/>
  <c r="DE148" i="30248"/>
  <c r="DD149" i="30248"/>
  <c r="DE149" i="30248"/>
  <c r="DD150" i="30248"/>
  <c r="DE150" i="30248"/>
  <c r="DD151" i="30248"/>
  <c r="DE151" i="30248"/>
  <c r="DD152" i="30248"/>
  <c r="DE152" i="30248"/>
  <c r="DD153" i="30248"/>
  <c r="DE153" i="30248"/>
  <c r="DD154" i="30248"/>
  <c r="DE154" i="30248"/>
  <c r="DD155" i="30248"/>
  <c r="DE155" i="30248"/>
  <c r="DD156" i="30248"/>
  <c r="DE156" i="30248"/>
  <c r="DD157" i="30248"/>
  <c r="DE157" i="30248"/>
  <c r="DD158" i="30248"/>
  <c r="DE158" i="30248"/>
  <c r="DD159" i="30248"/>
  <c r="DE159" i="30248"/>
  <c r="DD160" i="30248"/>
  <c r="DE160" i="30248"/>
  <c r="DD161" i="30248"/>
  <c r="DE161" i="30248"/>
  <c r="DD162" i="30248"/>
  <c r="DE162" i="30248"/>
  <c r="DD163" i="30248"/>
  <c r="DE163" i="30248"/>
  <c r="DD164" i="30248"/>
  <c r="DE164" i="30248"/>
  <c r="DD165" i="30248"/>
  <c r="DE165" i="30248"/>
  <c r="DD166" i="30248"/>
  <c r="DE166" i="30248"/>
  <c r="DD173" i="30248"/>
  <c r="DE173" i="30248" s="1"/>
  <c r="DD174" i="30248"/>
  <c r="DE174" i="30248"/>
  <c r="DD178" i="30248"/>
  <c r="DE178" i="30248" s="1"/>
  <c r="DD179" i="30248"/>
  <c r="DE179" i="30248"/>
  <c r="DD180" i="30248"/>
  <c r="DE180" i="30248" s="1"/>
  <c r="DD181" i="30248"/>
  <c r="DE181" i="30248"/>
  <c r="DD182" i="30248"/>
  <c r="DE182" i="30248" s="1"/>
  <c r="DD183" i="30248"/>
  <c r="DE183" i="30248"/>
  <c r="DD184" i="30248"/>
  <c r="DE184" i="30248" s="1"/>
  <c r="DD185" i="30248"/>
  <c r="DE185" i="30248"/>
  <c r="DD186" i="30248"/>
  <c r="DE186" i="30248" s="1"/>
  <c r="DD187" i="30248"/>
  <c r="DE187" i="30248"/>
  <c r="DC17" i="30248"/>
  <c r="DC18" i="30248"/>
  <c r="DC19" i="30248"/>
  <c r="DC20" i="30248"/>
  <c r="DC21" i="30248"/>
  <c r="DC22" i="30248"/>
  <c r="DC23" i="30248"/>
  <c r="DC24" i="30248"/>
  <c r="DC25" i="30248"/>
  <c r="DC26" i="30248"/>
  <c r="DC27" i="30248"/>
  <c r="DC28" i="30248"/>
  <c r="DC29" i="30248"/>
  <c r="DC30" i="30248"/>
  <c r="DC31" i="30248"/>
  <c r="DC32" i="30248"/>
  <c r="DC33" i="30248"/>
  <c r="DC34" i="30248"/>
  <c r="DC35" i="30248"/>
  <c r="DC36" i="30248"/>
  <c r="DC37" i="30248"/>
  <c r="DC38" i="30248"/>
  <c r="DC39" i="30248"/>
  <c r="DC40" i="30248"/>
  <c r="DC41" i="30248"/>
  <c r="DC42" i="30248"/>
  <c r="DC43" i="30248"/>
  <c r="DC44" i="30248"/>
  <c r="DC45" i="30248"/>
  <c r="DC46" i="30248"/>
  <c r="DC47" i="30248"/>
  <c r="DC48" i="30248"/>
  <c r="DC49" i="30248"/>
  <c r="DC51" i="30248"/>
  <c r="DC52" i="30248"/>
  <c r="DC53" i="30248"/>
  <c r="DC54" i="30248"/>
  <c r="DC56" i="30248"/>
  <c r="DC57" i="30248"/>
  <c r="DC58" i="30248"/>
  <c r="DC59" i="30248"/>
  <c r="DC60" i="30248"/>
  <c r="DC61" i="30248"/>
  <c r="DC62" i="30248"/>
  <c r="DC63" i="30248"/>
  <c r="DC64" i="30248"/>
  <c r="DC65" i="30248"/>
  <c r="DC66" i="30248"/>
  <c r="DC67" i="30248"/>
  <c r="DC68" i="30248"/>
  <c r="DC69" i="30248"/>
  <c r="DC70" i="30248"/>
  <c r="DC71" i="30248"/>
  <c r="DC72" i="30248"/>
  <c r="DC73" i="30248"/>
  <c r="DC74" i="30248"/>
  <c r="DC75" i="30248"/>
  <c r="DC76" i="30248"/>
  <c r="DC77" i="30248"/>
  <c r="DC78" i="30248"/>
  <c r="DC79" i="30248"/>
  <c r="DC177" i="30248"/>
  <c r="DC80" i="30248"/>
  <c r="DC81" i="30248"/>
  <c r="DC82" i="30248"/>
  <c r="DC83" i="30248"/>
  <c r="DC84" i="30248"/>
  <c r="DC85" i="30248"/>
  <c r="DC86" i="30248"/>
  <c r="DC87" i="30248"/>
  <c r="DC88" i="30248"/>
  <c r="DC89" i="30248"/>
  <c r="DC90" i="30248"/>
  <c r="DC91" i="30248"/>
  <c r="DC92" i="30248"/>
  <c r="DC93" i="30248"/>
  <c r="DC94" i="30248"/>
  <c r="DC95" i="30248"/>
  <c r="DC96" i="30248"/>
  <c r="DC97" i="30248"/>
  <c r="DC98" i="30248"/>
  <c r="DC99" i="30248"/>
  <c r="DC100" i="30248"/>
  <c r="DC101" i="30248"/>
  <c r="DC102" i="30248"/>
  <c r="DC103" i="30248"/>
  <c r="DC104" i="30248"/>
  <c r="DC105" i="30248"/>
  <c r="DC106" i="30248"/>
  <c r="DC107" i="30248"/>
  <c r="DC108" i="30248"/>
  <c r="DC109" i="30248"/>
  <c r="DC110" i="30248"/>
  <c r="DC111" i="30248"/>
  <c r="DC112" i="30248"/>
  <c r="DC113" i="30248"/>
  <c r="DC114" i="30248"/>
  <c r="DC115" i="30248"/>
  <c r="DC116" i="30248"/>
  <c r="DC117" i="30248"/>
  <c r="DC118" i="30248"/>
  <c r="DC119" i="30248"/>
  <c r="DC120" i="30248"/>
  <c r="DC121" i="30248"/>
  <c r="DC122" i="30248"/>
  <c r="DC123" i="30248"/>
  <c r="DC124" i="30248"/>
  <c r="DC125" i="30248"/>
  <c r="DC126" i="30248"/>
  <c r="DC127" i="30248"/>
  <c r="DC128" i="30248"/>
  <c r="DC129" i="30248"/>
  <c r="DC130" i="30248"/>
  <c r="DC131" i="30248"/>
  <c r="DC132" i="30248"/>
  <c r="DC133" i="30248"/>
  <c r="DC134" i="30248"/>
  <c r="DC135" i="30248"/>
  <c r="DC136" i="30248"/>
  <c r="DC137" i="30248"/>
  <c r="DC138" i="30248"/>
  <c r="DC139" i="30248"/>
  <c r="DC140" i="30248"/>
  <c r="DC141" i="30248"/>
  <c r="DC142" i="30248"/>
  <c r="DC143" i="30248"/>
  <c r="DC144" i="30248"/>
  <c r="DC145" i="30248"/>
  <c r="DC146" i="30248"/>
  <c r="DC147" i="30248"/>
  <c r="DC148" i="30248"/>
  <c r="DC149" i="30248"/>
  <c r="DC150" i="30248"/>
  <c r="DC151" i="30248"/>
  <c r="DC152" i="30248"/>
  <c r="DC153" i="30248"/>
  <c r="DC154" i="30248"/>
  <c r="DC155" i="30248"/>
  <c r="DC156" i="30248"/>
  <c r="DC157" i="30248"/>
  <c r="DC158" i="30248"/>
  <c r="DC159" i="30248"/>
  <c r="DC160" i="30248"/>
  <c r="DC161" i="30248"/>
  <c r="DC162" i="30248"/>
  <c r="DC163" i="30248"/>
  <c r="DC164" i="30248"/>
  <c r="DC165" i="30248"/>
  <c r="DC166" i="30248"/>
  <c r="DC173" i="30248"/>
  <c r="DC174" i="30248"/>
  <c r="DC178" i="30248"/>
  <c r="DC179" i="30248"/>
  <c r="DC180" i="30248"/>
  <c r="DC181" i="30248"/>
  <c r="DC182" i="30248"/>
  <c r="DC183" i="30248"/>
  <c r="DC184" i="30248"/>
  <c r="DC185" i="30248"/>
  <c r="DC186" i="30248"/>
  <c r="DC187" i="30248"/>
  <c r="DC11" i="30248"/>
  <c r="DC12" i="30248"/>
  <c r="DC13" i="30248"/>
  <c r="DC14" i="30248"/>
  <c r="DC15" i="30248"/>
  <c r="DC16" i="30248"/>
  <c r="CW130" i="30248"/>
  <c r="CX130" i="30248"/>
  <c r="CY130" i="30248"/>
  <c r="CZ130" i="30248"/>
  <c r="FQ130" i="30248"/>
  <c r="DA130" i="30248"/>
  <c r="DB130" i="30248"/>
  <c r="CW131" i="30248"/>
  <c r="CX131" i="30248"/>
  <c r="CY131" i="30248"/>
  <c r="CZ131" i="30248"/>
  <c r="DA131" i="30248"/>
  <c r="DB131" i="30248"/>
  <c r="CW132" i="30248"/>
  <c r="CX132" i="30248"/>
  <c r="CY132" i="30248"/>
  <c r="CZ132" i="30248"/>
  <c r="FQ132" i="30248"/>
  <c r="DA132" i="30248"/>
  <c r="DB132" i="30248"/>
  <c r="CW133" i="30248"/>
  <c r="CX133" i="30248"/>
  <c r="CY133" i="30248"/>
  <c r="CZ133" i="30248"/>
  <c r="FQ133" i="30248"/>
  <c r="DA133" i="30248"/>
  <c r="DB133" i="30248"/>
  <c r="CW134" i="30248"/>
  <c r="CX134" i="30248"/>
  <c r="CY134" i="30248"/>
  <c r="CZ134" i="30248"/>
  <c r="DA134" i="30248"/>
  <c r="DB134" i="30248"/>
  <c r="CW135" i="30248"/>
  <c r="CX135" i="30248"/>
  <c r="CY135" i="30248"/>
  <c r="CZ135" i="30248"/>
  <c r="FQ135" i="30248"/>
  <c r="DA135" i="30248"/>
  <c r="DB135" i="30248"/>
  <c r="CW136" i="30248"/>
  <c r="CX136" i="30248"/>
  <c r="CY136" i="30248"/>
  <c r="CZ136" i="30248"/>
  <c r="FQ136" i="30248"/>
  <c r="DA136" i="30248"/>
  <c r="DB136" i="30248"/>
  <c r="CW137" i="30248"/>
  <c r="CX137" i="30248"/>
  <c r="CY137" i="30248"/>
  <c r="CZ137" i="30248"/>
  <c r="FQ137" i="30248"/>
  <c r="DA137" i="30248"/>
  <c r="DB137" i="30248"/>
  <c r="CW138" i="30248"/>
  <c r="CX138" i="30248"/>
  <c r="CY138" i="30248"/>
  <c r="CZ138" i="30248"/>
  <c r="FQ138" i="30248"/>
  <c r="DA138" i="30248"/>
  <c r="DB138" i="30248"/>
  <c r="CW139" i="30248"/>
  <c r="CX139" i="30248"/>
  <c r="CY139" i="30248"/>
  <c r="CZ139" i="30248"/>
  <c r="FQ139" i="30248"/>
  <c r="DA139" i="30248"/>
  <c r="DB139" i="30248"/>
  <c r="CW140" i="30248"/>
  <c r="CX140" i="30248"/>
  <c r="CY140" i="30248"/>
  <c r="CZ140" i="30248"/>
  <c r="FQ140" i="30248"/>
  <c r="DA140" i="30248"/>
  <c r="DB140" i="30248"/>
  <c r="CW141" i="30248"/>
  <c r="CX141" i="30248"/>
  <c r="CY141" i="30248"/>
  <c r="CZ141" i="30248"/>
  <c r="FQ141" i="30248"/>
  <c r="DA141" i="30248"/>
  <c r="DB141" i="30248"/>
  <c r="CW142" i="30248"/>
  <c r="CX142" i="30248"/>
  <c r="CY142" i="30248"/>
  <c r="CZ142" i="30248"/>
  <c r="FQ142" i="30248"/>
  <c r="DA142" i="30248"/>
  <c r="DB142" i="30248"/>
  <c r="CW143" i="30248"/>
  <c r="CX143" i="30248"/>
  <c r="CY143" i="30248"/>
  <c r="CZ143" i="30248"/>
  <c r="FQ143" i="30248"/>
  <c r="DA143" i="30248"/>
  <c r="DB143" i="30248"/>
  <c r="CW144" i="30248"/>
  <c r="CX144" i="30248"/>
  <c r="CY144" i="30248"/>
  <c r="CZ144" i="30248"/>
  <c r="FQ144" i="30248"/>
  <c r="DA144" i="30248"/>
  <c r="DB144" i="30248"/>
  <c r="CW145" i="30248"/>
  <c r="CX145" i="30248"/>
  <c r="CY145" i="30248"/>
  <c r="CZ145" i="30248"/>
  <c r="FQ145" i="30248"/>
  <c r="DA145" i="30248"/>
  <c r="DB145" i="30248"/>
  <c r="CW146" i="30248"/>
  <c r="CX146" i="30248"/>
  <c r="CY146" i="30248"/>
  <c r="CZ146" i="30248"/>
  <c r="FQ146" i="30248"/>
  <c r="DA146" i="30248"/>
  <c r="DB146" i="30248"/>
  <c r="CW147" i="30248"/>
  <c r="CX147" i="30248"/>
  <c r="CY147" i="30248"/>
  <c r="CZ147" i="30248"/>
  <c r="FQ147" i="30248"/>
  <c r="DA147" i="30248"/>
  <c r="DB147" i="30248"/>
  <c r="CW148" i="30248"/>
  <c r="CX148" i="30248"/>
  <c r="CY148" i="30248"/>
  <c r="CZ148" i="30248"/>
  <c r="FQ148" i="30248"/>
  <c r="DA148" i="30248"/>
  <c r="DB148" i="30248"/>
  <c r="CW149" i="30248"/>
  <c r="CX149" i="30248"/>
  <c r="CY149" i="30248"/>
  <c r="CZ149" i="30248"/>
  <c r="FQ149" i="30248"/>
  <c r="DA149" i="30248"/>
  <c r="DB149" i="30248"/>
  <c r="CW150" i="30248"/>
  <c r="CX150" i="30248"/>
  <c r="CY150" i="30248"/>
  <c r="CZ150" i="30248"/>
  <c r="FQ150" i="30248"/>
  <c r="DA150" i="30248"/>
  <c r="DB150" i="30248"/>
  <c r="CW151" i="30248"/>
  <c r="CX151" i="30248"/>
  <c r="CY151" i="30248"/>
  <c r="CZ151" i="30248"/>
  <c r="FQ151" i="30248"/>
  <c r="DA151" i="30248"/>
  <c r="DB151" i="30248"/>
  <c r="CW152" i="30248"/>
  <c r="CX152" i="30248"/>
  <c r="CY152" i="30248"/>
  <c r="CZ152" i="30248"/>
  <c r="FQ152" i="30248"/>
  <c r="DA152" i="30248"/>
  <c r="DB152" i="30248"/>
  <c r="CW153" i="30248"/>
  <c r="CX153" i="30248"/>
  <c r="CY153" i="30248"/>
  <c r="CZ153" i="30248"/>
  <c r="FQ153" i="30248"/>
  <c r="DA153" i="30248"/>
  <c r="DB153" i="30248"/>
  <c r="CW154" i="30248"/>
  <c r="CX154" i="30248"/>
  <c r="CY154" i="30248"/>
  <c r="CZ154" i="30248"/>
  <c r="FQ154" i="30248"/>
  <c r="DA154" i="30248"/>
  <c r="DB154" i="30248"/>
  <c r="CW155" i="30248"/>
  <c r="CX155" i="30248"/>
  <c r="CY155" i="30248"/>
  <c r="CZ155" i="30248"/>
  <c r="FQ155" i="30248"/>
  <c r="DA155" i="30248"/>
  <c r="DB155" i="30248"/>
  <c r="CW156" i="30248"/>
  <c r="CX156" i="30248"/>
  <c r="CY156" i="30248"/>
  <c r="CZ156" i="30248"/>
  <c r="FQ156" i="30248"/>
  <c r="DA156" i="30248"/>
  <c r="DB156" i="30248"/>
  <c r="CW157" i="30248"/>
  <c r="CX157" i="30248"/>
  <c r="CY157" i="30248"/>
  <c r="CZ157" i="30248"/>
  <c r="FQ157" i="30248"/>
  <c r="DA157" i="30248"/>
  <c r="DB157" i="30248"/>
  <c r="CW158" i="30248"/>
  <c r="CX158" i="30248"/>
  <c r="CY158" i="30248"/>
  <c r="CZ158" i="30248"/>
  <c r="FQ158" i="30248"/>
  <c r="DA158" i="30248"/>
  <c r="DB158" i="30248"/>
  <c r="CW159" i="30248"/>
  <c r="CX159" i="30248"/>
  <c r="CY159" i="30248"/>
  <c r="CZ159" i="30248"/>
  <c r="FQ159" i="30248"/>
  <c r="DA159" i="30248"/>
  <c r="DB159" i="30248"/>
  <c r="CW160" i="30248"/>
  <c r="CX160" i="30248"/>
  <c r="CY160" i="30248"/>
  <c r="CZ160" i="30248"/>
  <c r="FQ160" i="30248"/>
  <c r="DA160" i="30248"/>
  <c r="DB160" i="30248"/>
  <c r="CW161" i="30248"/>
  <c r="CX161" i="30248"/>
  <c r="CY161" i="30248"/>
  <c r="CZ161" i="30248"/>
  <c r="FQ161" i="30248"/>
  <c r="DA161" i="30248"/>
  <c r="DB161" i="30248"/>
  <c r="CW162" i="30248"/>
  <c r="CX162" i="30248"/>
  <c r="CY162" i="30248"/>
  <c r="CZ162" i="30248"/>
  <c r="FQ162" i="30248"/>
  <c r="DA162" i="30248"/>
  <c r="DB162" i="30248"/>
  <c r="CW163" i="30248"/>
  <c r="CX163" i="30248"/>
  <c r="CY163" i="30248"/>
  <c r="CZ163" i="30248"/>
  <c r="FQ163" i="30248"/>
  <c r="DA163" i="30248"/>
  <c r="DB163" i="30248"/>
  <c r="CW164" i="30248"/>
  <c r="CX164" i="30248"/>
  <c r="CY164" i="30248"/>
  <c r="CZ164" i="30248"/>
  <c r="FQ164" i="30248"/>
  <c r="DA164" i="30248"/>
  <c r="DB164" i="30248"/>
  <c r="CW165" i="30248"/>
  <c r="CX165" i="30248"/>
  <c r="CY165" i="30248"/>
  <c r="CZ165" i="30248"/>
  <c r="FQ165" i="30248"/>
  <c r="DA165" i="30248"/>
  <c r="DB165" i="30248"/>
  <c r="CW166" i="30248"/>
  <c r="CX166" i="30248"/>
  <c r="CY166" i="30248"/>
  <c r="CZ166" i="30248"/>
  <c r="FQ166" i="30248"/>
  <c r="DA166" i="30248"/>
  <c r="DB166" i="30248"/>
  <c r="CW173" i="30248"/>
  <c r="CX173" i="30248"/>
  <c r="CY173" i="30248"/>
  <c r="CZ173" i="30248"/>
  <c r="FQ173" i="30248" s="1"/>
  <c r="DA173" i="30248"/>
  <c r="DB173" i="30248"/>
  <c r="CW174" i="30248"/>
  <c r="CX174" i="30248"/>
  <c r="CY174" i="30248"/>
  <c r="CZ174" i="30248"/>
  <c r="FQ174" i="30248"/>
  <c r="DA174" i="30248"/>
  <c r="DB174" i="30248"/>
  <c r="CW178" i="30248"/>
  <c r="CX178" i="30248"/>
  <c r="CY178" i="30248"/>
  <c r="CZ178" i="30248"/>
  <c r="FQ178" i="30248"/>
  <c r="DA178" i="30248"/>
  <c r="DB178" i="30248"/>
  <c r="CW179" i="30248"/>
  <c r="CX179" i="30248"/>
  <c r="CY179" i="30248"/>
  <c r="CZ179" i="30248"/>
  <c r="FQ179" i="30248" s="1"/>
  <c r="DA179" i="30248"/>
  <c r="DB179" i="30248"/>
  <c r="CW180" i="30248"/>
  <c r="CX180" i="30248"/>
  <c r="CY180" i="30248"/>
  <c r="CZ180" i="30248"/>
  <c r="FQ180" i="30248" s="1"/>
  <c r="DB180" i="30248"/>
  <c r="CW181" i="30248"/>
  <c r="CX181" i="30248"/>
  <c r="CY181" i="30248"/>
  <c r="CZ181" i="30248"/>
  <c r="FQ181" i="30248"/>
  <c r="DA181" i="30248"/>
  <c r="DB181" i="30248"/>
  <c r="CW182" i="30248"/>
  <c r="CX182" i="30248"/>
  <c r="CY182" i="30248"/>
  <c r="FN182" i="30248" s="1"/>
  <c r="CZ182" i="30248"/>
  <c r="FQ182" i="30248" s="1"/>
  <c r="DA182" i="30248"/>
  <c r="DB182" i="30248"/>
  <c r="CW183" i="30248"/>
  <c r="CX183" i="30248"/>
  <c r="CY183" i="30248"/>
  <c r="CZ183" i="30248"/>
  <c r="FQ183" i="30248" s="1"/>
  <c r="DA183" i="30248"/>
  <c r="DB183" i="30248"/>
  <c r="CW184" i="30248"/>
  <c r="CX184" i="30248"/>
  <c r="CY184" i="30248"/>
  <c r="CZ184" i="30248"/>
  <c r="FQ184" i="30248"/>
  <c r="DA184" i="30248"/>
  <c r="DB184" i="30248"/>
  <c r="CW185" i="30248"/>
  <c r="CX185" i="30248"/>
  <c r="CY185" i="30248"/>
  <c r="FN185" i="30248" s="1"/>
  <c r="CZ185" i="30248"/>
  <c r="FQ185" i="30248"/>
  <c r="DA185" i="30248"/>
  <c r="DB185" i="30248"/>
  <c r="CW186" i="30248"/>
  <c r="CX186" i="30248"/>
  <c r="CY186" i="30248"/>
  <c r="FN186" i="30248" s="1"/>
  <c r="CZ186" i="30248"/>
  <c r="FQ186" i="30248" s="1"/>
  <c r="DA186" i="30248"/>
  <c r="DB186" i="30248"/>
  <c r="CW187" i="30248"/>
  <c r="CX187" i="30248"/>
  <c r="CY187" i="30248"/>
  <c r="CZ187" i="30248"/>
  <c r="FP187" i="30248" s="1"/>
  <c r="DA187" i="30248"/>
  <c r="DB187" i="30248"/>
  <c r="CW37" i="30248"/>
  <c r="CX37" i="30248"/>
  <c r="CY37" i="30248"/>
  <c r="CZ37" i="30248"/>
  <c r="FQ37" i="30248"/>
  <c r="DA37" i="30248"/>
  <c r="DB37" i="30248"/>
  <c r="CW38" i="30248"/>
  <c r="CX38" i="30248"/>
  <c r="CY38" i="30248"/>
  <c r="CZ38" i="30248"/>
  <c r="FQ38" i="30248"/>
  <c r="DA38" i="30248"/>
  <c r="DB38" i="30248"/>
  <c r="CW39" i="30248"/>
  <c r="CX39" i="30248"/>
  <c r="CY39" i="30248"/>
  <c r="CZ39" i="30248"/>
  <c r="FQ39" i="30248"/>
  <c r="DA39" i="30248"/>
  <c r="DB39" i="30248"/>
  <c r="CW40" i="30248"/>
  <c r="CX40" i="30248"/>
  <c r="CY40" i="30248"/>
  <c r="CZ40" i="30248"/>
  <c r="FQ40" i="30248"/>
  <c r="DA40" i="30248"/>
  <c r="DB40" i="30248"/>
  <c r="CW41" i="30248"/>
  <c r="CX41" i="30248"/>
  <c r="CY41" i="30248"/>
  <c r="CZ41" i="30248"/>
  <c r="FQ41" i="30248"/>
  <c r="DA41" i="30248"/>
  <c r="DB41" i="30248"/>
  <c r="CW42" i="30248"/>
  <c r="CX42" i="30248"/>
  <c r="CY42" i="30248"/>
  <c r="CZ42" i="30248"/>
  <c r="FQ42" i="30248"/>
  <c r="DA42" i="30248"/>
  <c r="DB42" i="30248"/>
  <c r="CW43" i="30248"/>
  <c r="CX43" i="30248"/>
  <c r="CY43" i="30248"/>
  <c r="CZ43" i="30248"/>
  <c r="FQ43" i="30248"/>
  <c r="DA43" i="30248"/>
  <c r="DB43" i="30248"/>
  <c r="CW44" i="30248"/>
  <c r="CX44" i="30248"/>
  <c r="CY44" i="30248"/>
  <c r="CZ44" i="30248"/>
  <c r="FQ44" i="30248"/>
  <c r="DA44" i="30248"/>
  <c r="DB44" i="30248"/>
  <c r="CW45" i="30248"/>
  <c r="CX45" i="30248"/>
  <c r="CY45" i="30248"/>
  <c r="CZ45" i="30248"/>
  <c r="FQ45" i="30248"/>
  <c r="DA45" i="30248"/>
  <c r="DB45" i="30248"/>
  <c r="CW46" i="30248"/>
  <c r="CX46" i="30248"/>
  <c r="CY46" i="30248"/>
  <c r="CZ46" i="30248"/>
  <c r="FQ46" i="30248"/>
  <c r="DA46" i="30248"/>
  <c r="DB46" i="30248"/>
  <c r="CW47" i="30248"/>
  <c r="CX47" i="30248"/>
  <c r="CY47" i="30248"/>
  <c r="CZ47" i="30248"/>
  <c r="FQ47" i="30248"/>
  <c r="DA47" i="30248"/>
  <c r="DB47" i="30248"/>
  <c r="CW48" i="30248"/>
  <c r="CX48" i="30248"/>
  <c r="CY48" i="30248"/>
  <c r="CZ48" i="30248"/>
  <c r="FQ48" i="30248"/>
  <c r="DA48" i="30248"/>
  <c r="DB48" i="30248"/>
  <c r="CW49" i="30248"/>
  <c r="CX49" i="30248"/>
  <c r="CY49" i="30248"/>
  <c r="CZ49" i="30248"/>
  <c r="FQ49" i="30248"/>
  <c r="DA49" i="30248"/>
  <c r="DB49" i="30248"/>
  <c r="CW51" i="30248"/>
  <c r="CX51" i="30248"/>
  <c r="CY51" i="30248"/>
  <c r="CZ51" i="30248"/>
  <c r="FQ51" i="30248"/>
  <c r="DA51" i="30248"/>
  <c r="DB51" i="30248"/>
  <c r="CW52" i="30248"/>
  <c r="CX52" i="30248"/>
  <c r="CY52" i="30248"/>
  <c r="CZ52" i="30248"/>
  <c r="FQ52" i="30248"/>
  <c r="DA52" i="30248"/>
  <c r="DB52" i="30248"/>
  <c r="CW53" i="30248"/>
  <c r="CX53" i="30248"/>
  <c r="CY53" i="30248"/>
  <c r="CZ53" i="30248"/>
  <c r="FQ53" i="30248"/>
  <c r="DA53" i="30248"/>
  <c r="DB53" i="30248"/>
  <c r="CW54" i="30248"/>
  <c r="CX54" i="30248"/>
  <c r="CY54" i="30248"/>
  <c r="CZ54" i="30248"/>
  <c r="FQ54" i="30248"/>
  <c r="DA54" i="30248"/>
  <c r="DB54" i="30248"/>
  <c r="CW55" i="30248"/>
  <c r="CX55" i="30248"/>
  <c r="CY55" i="30248"/>
  <c r="CZ55" i="30248"/>
  <c r="FQ55" i="30248"/>
  <c r="DA55" i="30248"/>
  <c r="CW56" i="30248"/>
  <c r="CX56" i="30248"/>
  <c r="CY56" i="30248"/>
  <c r="CZ56" i="30248"/>
  <c r="FQ56" i="30248"/>
  <c r="DA56" i="30248"/>
  <c r="DB56" i="30248"/>
  <c r="CW57" i="30248"/>
  <c r="CX57" i="30248"/>
  <c r="CY57" i="30248"/>
  <c r="CZ57" i="30248"/>
  <c r="FQ57" i="30248"/>
  <c r="DA57" i="30248"/>
  <c r="DB57" i="30248"/>
  <c r="CW58" i="30248"/>
  <c r="CX58" i="30248"/>
  <c r="CY58" i="30248"/>
  <c r="CZ58" i="30248"/>
  <c r="FQ58" i="30248"/>
  <c r="DA58" i="30248"/>
  <c r="DB58" i="30248"/>
  <c r="CW59" i="30248"/>
  <c r="CX59" i="30248"/>
  <c r="CY59" i="30248"/>
  <c r="CZ59" i="30248"/>
  <c r="FQ59" i="30248"/>
  <c r="DA59" i="30248"/>
  <c r="DB59" i="30248"/>
  <c r="CW60" i="30248"/>
  <c r="CX60" i="30248"/>
  <c r="CY60" i="30248"/>
  <c r="CZ60" i="30248"/>
  <c r="FQ60" i="30248"/>
  <c r="DA60" i="30248"/>
  <c r="DB60" i="30248"/>
  <c r="CW61" i="30248"/>
  <c r="CX61" i="30248"/>
  <c r="CY61" i="30248"/>
  <c r="CZ61" i="30248"/>
  <c r="FQ61" i="30248"/>
  <c r="DA61" i="30248"/>
  <c r="DB61" i="30248"/>
  <c r="CW62" i="30248"/>
  <c r="CX62" i="30248"/>
  <c r="CY62" i="30248"/>
  <c r="CZ62" i="30248"/>
  <c r="FQ62" i="30248"/>
  <c r="DA62" i="30248"/>
  <c r="DB62" i="30248"/>
  <c r="CW63" i="30248"/>
  <c r="CX63" i="30248"/>
  <c r="CY63" i="30248"/>
  <c r="CZ63" i="30248"/>
  <c r="FQ63" i="30248"/>
  <c r="DA63" i="30248"/>
  <c r="DB63" i="30248"/>
  <c r="CW64" i="30248"/>
  <c r="CX64" i="30248"/>
  <c r="CY64" i="30248"/>
  <c r="CZ64" i="30248"/>
  <c r="FQ64" i="30248"/>
  <c r="DA64" i="30248"/>
  <c r="DB64" i="30248"/>
  <c r="CW65" i="30248"/>
  <c r="CX65" i="30248"/>
  <c r="CY65" i="30248"/>
  <c r="CZ65" i="30248"/>
  <c r="FQ65" i="30248"/>
  <c r="DA65" i="30248"/>
  <c r="DB65" i="30248"/>
  <c r="CW66" i="30248"/>
  <c r="CX66" i="30248"/>
  <c r="CY66" i="30248"/>
  <c r="CZ66" i="30248"/>
  <c r="FQ66" i="30248"/>
  <c r="DA66" i="30248"/>
  <c r="DB66" i="30248"/>
  <c r="CW67" i="30248"/>
  <c r="CX67" i="30248"/>
  <c r="CY67" i="30248"/>
  <c r="CZ67" i="30248"/>
  <c r="FQ67" i="30248"/>
  <c r="DA67" i="30248"/>
  <c r="DB67" i="30248"/>
  <c r="CW68" i="30248"/>
  <c r="CX68" i="30248"/>
  <c r="CY68" i="30248"/>
  <c r="CZ68" i="30248"/>
  <c r="FQ68" i="30248"/>
  <c r="DA68" i="30248"/>
  <c r="DB68" i="30248"/>
  <c r="CW69" i="30248"/>
  <c r="CX69" i="30248"/>
  <c r="CY69" i="30248"/>
  <c r="CZ69" i="30248"/>
  <c r="FQ69" i="30248"/>
  <c r="DA69" i="30248"/>
  <c r="DB69" i="30248"/>
  <c r="CW70" i="30248"/>
  <c r="CX70" i="30248"/>
  <c r="CY70" i="30248"/>
  <c r="CZ70" i="30248"/>
  <c r="FQ70" i="30248"/>
  <c r="DA70" i="30248"/>
  <c r="DB70" i="30248"/>
  <c r="CW71" i="30248"/>
  <c r="CX71" i="30248"/>
  <c r="CY71" i="30248"/>
  <c r="CZ71" i="30248"/>
  <c r="FQ71" i="30248"/>
  <c r="DA71" i="30248"/>
  <c r="DB71" i="30248"/>
  <c r="CW72" i="30248"/>
  <c r="CX72" i="30248"/>
  <c r="CY72" i="30248"/>
  <c r="CZ72" i="30248"/>
  <c r="FQ72" i="30248"/>
  <c r="DA72" i="30248"/>
  <c r="DB72" i="30248"/>
  <c r="CW73" i="30248"/>
  <c r="CX73" i="30248"/>
  <c r="CY73" i="30248"/>
  <c r="CZ73" i="30248"/>
  <c r="FQ73" i="30248"/>
  <c r="DA73" i="30248"/>
  <c r="DB73" i="30248"/>
  <c r="CW74" i="30248"/>
  <c r="CX74" i="30248"/>
  <c r="CY74" i="30248"/>
  <c r="CZ74" i="30248"/>
  <c r="FQ74" i="30248"/>
  <c r="DA74" i="30248"/>
  <c r="DB74" i="30248"/>
  <c r="CW75" i="30248"/>
  <c r="CX75" i="30248"/>
  <c r="CY75" i="30248"/>
  <c r="CZ75" i="30248"/>
  <c r="FQ75" i="30248"/>
  <c r="DA75" i="30248"/>
  <c r="DB75" i="30248"/>
  <c r="CW76" i="30248"/>
  <c r="CX76" i="30248"/>
  <c r="CY76" i="30248"/>
  <c r="CZ76" i="30248"/>
  <c r="FQ76" i="30248"/>
  <c r="DA76" i="30248"/>
  <c r="DB76" i="30248"/>
  <c r="CW77" i="30248"/>
  <c r="CX77" i="30248"/>
  <c r="CY77" i="30248"/>
  <c r="CZ77" i="30248"/>
  <c r="FQ77" i="30248"/>
  <c r="DA77" i="30248"/>
  <c r="DB77" i="30248"/>
  <c r="CW78" i="30248"/>
  <c r="CX78" i="30248"/>
  <c r="CY78" i="30248"/>
  <c r="CZ78" i="30248"/>
  <c r="FQ78" i="30248"/>
  <c r="DA78" i="30248"/>
  <c r="DB78" i="30248"/>
  <c r="CW79" i="30248"/>
  <c r="CW177" i="30248"/>
  <c r="CX79" i="30248"/>
  <c r="CX177" i="30248"/>
  <c r="CY79" i="30248"/>
  <c r="CZ79" i="30248"/>
  <c r="DB79" i="30248"/>
  <c r="DB177" i="30248"/>
  <c r="CW80" i="30248"/>
  <c r="CX80" i="30248"/>
  <c r="CY80" i="30248"/>
  <c r="CZ80" i="30248"/>
  <c r="FQ80" i="30248"/>
  <c r="DA80" i="30248"/>
  <c r="DB80" i="30248"/>
  <c r="CW81" i="30248"/>
  <c r="CX81" i="30248"/>
  <c r="CY81" i="30248"/>
  <c r="CZ81" i="30248"/>
  <c r="FQ81" i="30248"/>
  <c r="DA81" i="30248"/>
  <c r="DB81" i="30248"/>
  <c r="CW82" i="30248"/>
  <c r="CX82" i="30248"/>
  <c r="CY82" i="30248"/>
  <c r="CZ82" i="30248"/>
  <c r="FQ82" i="30248"/>
  <c r="DA82" i="30248"/>
  <c r="DB82" i="30248"/>
  <c r="CW83" i="30248"/>
  <c r="CX83" i="30248"/>
  <c r="CY83" i="30248"/>
  <c r="CZ83" i="30248"/>
  <c r="FQ83" i="30248"/>
  <c r="DA83" i="30248"/>
  <c r="DB83" i="30248"/>
  <c r="CW84" i="30248"/>
  <c r="CX84" i="30248"/>
  <c r="CY84" i="30248"/>
  <c r="CZ84" i="30248"/>
  <c r="FQ84" i="30248"/>
  <c r="DA84" i="30248"/>
  <c r="DB84" i="30248"/>
  <c r="CW85" i="30248"/>
  <c r="CX85" i="30248"/>
  <c r="CY85" i="30248"/>
  <c r="CZ85" i="30248"/>
  <c r="FQ85" i="30248"/>
  <c r="DA85" i="30248"/>
  <c r="DB85" i="30248"/>
  <c r="CW86" i="30248"/>
  <c r="CX86" i="30248"/>
  <c r="CY86" i="30248"/>
  <c r="CZ86" i="30248"/>
  <c r="FQ86" i="30248"/>
  <c r="DA86" i="30248"/>
  <c r="DB86" i="30248"/>
  <c r="CW87" i="30248"/>
  <c r="CX87" i="30248"/>
  <c r="CY87" i="30248"/>
  <c r="CZ87" i="30248"/>
  <c r="FQ87" i="30248"/>
  <c r="DA87" i="30248"/>
  <c r="DB87" i="30248"/>
  <c r="CW88" i="30248"/>
  <c r="CX88" i="30248"/>
  <c r="CY88" i="30248"/>
  <c r="CZ88" i="30248"/>
  <c r="FQ88" i="30248"/>
  <c r="DA88" i="30248"/>
  <c r="DB88" i="30248"/>
  <c r="CW89" i="30248"/>
  <c r="CX89" i="30248"/>
  <c r="CY89" i="30248"/>
  <c r="CZ89" i="30248"/>
  <c r="FQ89" i="30248"/>
  <c r="DA89" i="30248"/>
  <c r="DB89" i="30248"/>
  <c r="CW90" i="30248"/>
  <c r="CX90" i="30248"/>
  <c r="CY90" i="30248"/>
  <c r="CZ90" i="30248"/>
  <c r="FQ90" i="30248"/>
  <c r="DA90" i="30248"/>
  <c r="DB90" i="30248"/>
  <c r="CW91" i="30248"/>
  <c r="CX91" i="30248"/>
  <c r="CY91" i="30248"/>
  <c r="CZ91" i="30248"/>
  <c r="FQ91" i="30248"/>
  <c r="DA91" i="30248"/>
  <c r="DB91" i="30248"/>
  <c r="CW92" i="30248"/>
  <c r="CX92" i="30248"/>
  <c r="CY92" i="30248"/>
  <c r="CZ92" i="30248"/>
  <c r="FQ92" i="30248"/>
  <c r="DA92" i="30248"/>
  <c r="DB92" i="30248"/>
  <c r="CW93" i="30248"/>
  <c r="CX93" i="30248"/>
  <c r="CY93" i="30248"/>
  <c r="CZ93" i="30248"/>
  <c r="FQ93" i="30248"/>
  <c r="DA93" i="30248"/>
  <c r="DB93" i="30248"/>
  <c r="CW94" i="30248"/>
  <c r="CX94" i="30248"/>
  <c r="CY94" i="30248"/>
  <c r="CZ94" i="30248"/>
  <c r="FQ94" i="30248"/>
  <c r="DA94" i="30248"/>
  <c r="DB94" i="30248"/>
  <c r="CW95" i="30248"/>
  <c r="CX95" i="30248"/>
  <c r="CY95" i="30248"/>
  <c r="CZ95" i="30248"/>
  <c r="FQ95" i="30248"/>
  <c r="DA95" i="30248"/>
  <c r="DB95" i="30248"/>
  <c r="CW96" i="30248"/>
  <c r="CX96" i="30248"/>
  <c r="CY96" i="30248"/>
  <c r="CZ96" i="30248"/>
  <c r="FQ96" i="30248"/>
  <c r="DA96" i="30248"/>
  <c r="DB96" i="30248"/>
  <c r="CW97" i="30248"/>
  <c r="CX97" i="30248"/>
  <c r="CY97" i="30248"/>
  <c r="CZ97" i="30248"/>
  <c r="FQ97" i="30248"/>
  <c r="DA97" i="30248"/>
  <c r="DB97" i="30248"/>
  <c r="CW98" i="30248"/>
  <c r="CX98" i="30248"/>
  <c r="CY98" i="30248"/>
  <c r="CZ98" i="30248"/>
  <c r="FQ98" i="30248"/>
  <c r="DA98" i="30248"/>
  <c r="DB98" i="30248"/>
  <c r="CW99" i="30248"/>
  <c r="CX99" i="30248"/>
  <c r="CY99" i="30248"/>
  <c r="CZ99" i="30248"/>
  <c r="FQ99" i="30248"/>
  <c r="DA99" i="30248"/>
  <c r="DB99" i="30248"/>
  <c r="CW100" i="30248"/>
  <c r="CX100" i="30248"/>
  <c r="CY100" i="30248"/>
  <c r="CZ100" i="30248"/>
  <c r="FQ100" i="30248"/>
  <c r="DA100" i="30248"/>
  <c r="DB100" i="30248"/>
  <c r="CW101" i="30248"/>
  <c r="CX101" i="30248"/>
  <c r="CY101" i="30248"/>
  <c r="CZ101" i="30248"/>
  <c r="FQ101" i="30248"/>
  <c r="DA101" i="30248"/>
  <c r="DB101" i="30248"/>
  <c r="CW102" i="30248"/>
  <c r="CX102" i="30248"/>
  <c r="CY102" i="30248"/>
  <c r="CZ102" i="30248"/>
  <c r="FQ102" i="30248"/>
  <c r="DA102" i="30248"/>
  <c r="DB102" i="30248"/>
  <c r="CW103" i="30248"/>
  <c r="CX103" i="30248"/>
  <c r="CY103" i="30248"/>
  <c r="CZ103" i="30248"/>
  <c r="FQ103" i="30248"/>
  <c r="DA103" i="30248"/>
  <c r="DB103" i="30248"/>
  <c r="CW104" i="30248"/>
  <c r="CX104" i="30248"/>
  <c r="CY104" i="30248"/>
  <c r="CZ104" i="30248"/>
  <c r="FQ104" i="30248"/>
  <c r="DA104" i="30248"/>
  <c r="DB104" i="30248"/>
  <c r="CW105" i="30248"/>
  <c r="CX105" i="30248"/>
  <c r="CY105" i="30248"/>
  <c r="CZ105" i="30248"/>
  <c r="FQ105" i="30248"/>
  <c r="DA105" i="30248"/>
  <c r="DB105" i="30248"/>
  <c r="CW106" i="30248"/>
  <c r="CX106" i="30248"/>
  <c r="CY106" i="30248"/>
  <c r="CZ106" i="30248"/>
  <c r="FQ106" i="30248"/>
  <c r="DA106" i="30248"/>
  <c r="DB106" i="30248"/>
  <c r="CW107" i="30248"/>
  <c r="CX107" i="30248"/>
  <c r="CY107" i="30248"/>
  <c r="CZ107" i="30248"/>
  <c r="FQ107" i="30248"/>
  <c r="DA107" i="30248"/>
  <c r="DB107" i="30248"/>
  <c r="CW108" i="30248"/>
  <c r="CX108" i="30248"/>
  <c r="CY108" i="30248"/>
  <c r="CZ108" i="30248"/>
  <c r="FQ108" i="30248"/>
  <c r="DA108" i="30248"/>
  <c r="DB108" i="30248"/>
  <c r="CW109" i="30248"/>
  <c r="CX109" i="30248"/>
  <c r="CY109" i="30248"/>
  <c r="CZ109" i="30248"/>
  <c r="FQ109" i="30248"/>
  <c r="DA109" i="30248"/>
  <c r="DB109" i="30248"/>
  <c r="CW110" i="30248"/>
  <c r="CX110" i="30248"/>
  <c r="CY110" i="30248"/>
  <c r="CZ110" i="30248"/>
  <c r="FQ110" i="30248"/>
  <c r="DA110" i="30248"/>
  <c r="DB110" i="30248"/>
  <c r="CW111" i="30248"/>
  <c r="CX111" i="30248"/>
  <c r="CY111" i="30248"/>
  <c r="CZ111" i="30248"/>
  <c r="FQ111" i="30248"/>
  <c r="DA111" i="30248"/>
  <c r="DB111" i="30248"/>
  <c r="CW112" i="30248"/>
  <c r="CX112" i="30248"/>
  <c r="CY112" i="30248"/>
  <c r="CZ112" i="30248"/>
  <c r="FQ112" i="30248"/>
  <c r="DA112" i="30248"/>
  <c r="DB112" i="30248"/>
  <c r="CW113" i="30248"/>
  <c r="CX113" i="30248"/>
  <c r="CY113" i="30248"/>
  <c r="CZ113" i="30248"/>
  <c r="FQ113" i="30248"/>
  <c r="DA113" i="30248"/>
  <c r="DB113" i="30248"/>
  <c r="CW114" i="30248"/>
  <c r="CX114" i="30248"/>
  <c r="CY114" i="30248"/>
  <c r="CZ114" i="30248"/>
  <c r="FQ114" i="30248"/>
  <c r="DA114" i="30248"/>
  <c r="DB114" i="30248"/>
  <c r="CW115" i="30248"/>
  <c r="CX115" i="30248"/>
  <c r="CY115" i="30248"/>
  <c r="CZ115" i="30248"/>
  <c r="FQ115" i="30248"/>
  <c r="DA115" i="30248"/>
  <c r="DB115" i="30248"/>
  <c r="CW116" i="30248"/>
  <c r="CX116" i="30248"/>
  <c r="CY116" i="30248"/>
  <c r="CZ116" i="30248"/>
  <c r="FQ116" i="30248"/>
  <c r="DA116" i="30248"/>
  <c r="DB116" i="30248"/>
  <c r="CW117" i="30248"/>
  <c r="CX117" i="30248"/>
  <c r="CY117" i="30248"/>
  <c r="CZ117" i="30248"/>
  <c r="FQ117" i="30248"/>
  <c r="DA117" i="30248"/>
  <c r="DB117" i="30248"/>
  <c r="CW118" i="30248"/>
  <c r="CX118" i="30248"/>
  <c r="CY118" i="30248"/>
  <c r="CZ118" i="30248"/>
  <c r="FQ118" i="30248"/>
  <c r="DA118" i="30248"/>
  <c r="DB118" i="30248"/>
  <c r="CW119" i="30248"/>
  <c r="CX119" i="30248"/>
  <c r="CY119" i="30248"/>
  <c r="CZ119" i="30248"/>
  <c r="FQ119" i="30248"/>
  <c r="DA119" i="30248"/>
  <c r="DB119" i="30248"/>
  <c r="CW120" i="30248"/>
  <c r="CX120" i="30248"/>
  <c r="CY120" i="30248"/>
  <c r="CZ120" i="30248"/>
  <c r="FQ120" i="30248"/>
  <c r="DA120" i="30248"/>
  <c r="DB120" i="30248"/>
  <c r="CW121" i="30248"/>
  <c r="CX121" i="30248"/>
  <c r="CY121" i="30248"/>
  <c r="CZ121" i="30248"/>
  <c r="FQ121" i="30248"/>
  <c r="DA121" i="30248"/>
  <c r="DB121" i="30248"/>
  <c r="CW122" i="30248"/>
  <c r="CX122" i="30248"/>
  <c r="CY122" i="30248"/>
  <c r="CZ122" i="30248"/>
  <c r="FQ122" i="30248"/>
  <c r="DA122" i="30248"/>
  <c r="DB122" i="30248"/>
  <c r="CW123" i="30248"/>
  <c r="CX123" i="30248"/>
  <c r="CY123" i="30248"/>
  <c r="CZ123" i="30248"/>
  <c r="FQ123" i="30248"/>
  <c r="DA123" i="30248"/>
  <c r="DB123" i="30248"/>
  <c r="CW124" i="30248"/>
  <c r="CX124" i="30248"/>
  <c r="CY124" i="30248"/>
  <c r="CZ124" i="30248"/>
  <c r="FQ124" i="30248"/>
  <c r="DA124" i="30248"/>
  <c r="DB124" i="30248"/>
  <c r="CW125" i="30248"/>
  <c r="CX125" i="30248"/>
  <c r="CY125" i="30248"/>
  <c r="CZ125" i="30248"/>
  <c r="FQ125" i="30248"/>
  <c r="DA125" i="30248"/>
  <c r="DB125" i="30248"/>
  <c r="CW126" i="30248"/>
  <c r="CX126" i="30248"/>
  <c r="CY126" i="30248"/>
  <c r="CZ126" i="30248"/>
  <c r="FQ126" i="30248"/>
  <c r="DA126" i="30248"/>
  <c r="DB126" i="30248"/>
  <c r="CW127" i="30248"/>
  <c r="CX127" i="30248"/>
  <c r="CY127" i="30248"/>
  <c r="CZ127" i="30248"/>
  <c r="FQ127" i="30248"/>
  <c r="DA127" i="30248"/>
  <c r="DB127" i="30248"/>
  <c r="CW128" i="30248"/>
  <c r="CX128" i="30248"/>
  <c r="CY128" i="30248"/>
  <c r="CZ128" i="30248"/>
  <c r="FQ128" i="30248"/>
  <c r="DA128" i="30248"/>
  <c r="DB128" i="30248"/>
  <c r="CW129" i="30248"/>
  <c r="CX129" i="30248"/>
  <c r="CY129" i="30248"/>
  <c r="CZ129" i="30248"/>
  <c r="FQ129" i="30248"/>
  <c r="DA129" i="30248"/>
  <c r="DB129" i="30248"/>
  <c r="DB36" i="30248"/>
  <c r="DA36" i="30248"/>
  <c r="CZ36" i="30248"/>
  <c r="FQ36" i="30248"/>
  <c r="CY36" i="30248"/>
  <c r="CX36" i="30248"/>
  <c r="CW36" i="30248"/>
  <c r="DB35" i="30248"/>
  <c r="DA35" i="30248"/>
  <c r="CZ35" i="30248"/>
  <c r="FQ35" i="30248"/>
  <c r="CY35" i="30248"/>
  <c r="CX35" i="30248"/>
  <c r="CW35" i="30248"/>
  <c r="DB34" i="30248"/>
  <c r="DA34" i="30248"/>
  <c r="CZ34" i="30248"/>
  <c r="FQ34" i="30248"/>
  <c r="CY34" i="30248"/>
  <c r="CX34" i="30248"/>
  <c r="CW34" i="30248"/>
  <c r="DB33" i="30248"/>
  <c r="DA33" i="30248"/>
  <c r="CZ33" i="30248"/>
  <c r="FQ33" i="30248"/>
  <c r="CY33" i="30248"/>
  <c r="CX33" i="30248"/>
  <c r="CW33" i="30248"/>
  <c r="DB32" i="30248"/>
  <c r="DA32" i="30248"/>
  <c r="CZ32" i="30248"/>
  <c r="FQ32" i="30248"/>
  <c r="CY32" i="30248"/>
  <c r="CX32" i="30248"/>
  <c r="CW32" i="30248"/>
  <c r="DB31" i="30248"/>
  <c r="DA31" i="30248"/>
  <c r="CZ31" i="30248"/>
  <c r="FQ31" i="30248"/>
  <c r="CY31" i="30248"/>
  <c r="CX31" i="30248"/>
  <c r="CW31" i="30248"/>
  <c r="DB30" i="30248"/>
  <c r="DA30" i="30248"/>
  <c r="CZ30" i="30248"/>
  <c r="FQ30" i="30248"/>
  <c r="CY30" i="30248"/>
  <c r="CX30" i="30248"/>
  <c r="CW30" i="30248"/>
  <c r="DB29" i="30248"/>
  <c r="DA29" i="30248"/>
  <c r="CZ29" i="30248"/>
  <c r="FQ29" i="30248"/>
  <c r="CY29" i="30248"/>
  <c r="CX29" i="30248"/>
  <c r="CW29" i="30248"/>
  <c r="DB28" i="30248"/>
  <c r="DA28" i="30248"/>
  <c r="CZ28" i="30248"/>
  <c r="FQ28" i="30248"/>
  <c r="CY28" i="30248"/>
  <c r="CX28" i="30248"/>
  <c r="CW28" i="30248"/>
  <c r="DB27" i="30248"/>
  <c r="DA27" i="30248"/>
  <c r="CZ27" i="30248"/>
  <c r="FQ27" i="30248"/>
  <c r="CY27" i="30248"/>
  <c r="CX27" i="30248"/>
  <c r="CW27" i="30248"/>
  <c r="DB26" i="30248"/>
  <c r="DA26" i="30248"/>
  <c r="CZ26" i="30248"/>
  <c r="FQ26" i="30248"/>
  <c r="CY26" i="30248"/>
  <c r="CX26" i="30248"/>
  <c r="CW26" i="30248"/>
  <c r="DB25" i="30248"/>
  <c r="DA25" i="30248"/>
  <c r="CZ25" i="30248"/>
  <c r="FQ25" i="30248"/>
  <c r="CY25" i="30248"/>
  <c r="CX25" i="30248"/>
  <c r="CW25" i="30248"/>
  <c r="DB24" i="30248"/>
  <c r="DA24" i="30248"/>
  <c r="CZ24" i="30248"/>
  <c r="FQ24" i="30248"/>
  <c r="CY24" i="30248"/>
  <c r="CX24" i="30248"/>
  <c r="CW24" i="30248"/>
  <c r="DB23" i="30248"/>
  <c r="DA23" i="30248"/>
  <c r="CZ23" i="30248"/>
  <c r="FQ23" i="30248"/>
  <c r="CY23" i="30248"/>
  <c r="CX23" i="30248"/>
  <c r="CW23" i="30248"/>
  <c r="DB22" i="30248"/>
  <c r="DA22" i="30248"/>
  <c r="CZ22" i="30248"/>
  <c r="FQ22" i="30248"/>
  <c r="CY22" i="30248"/>
  <c r="CX22" i="30248"/>
  <c r="CW22" i="30248"/>
  <c r="DB21" i="30248"/>
  <c r="DA21" i="30248"/>
  <c r="CZ21" i="30248"/>
  <c r="FQ21" i="30248"/>
  <c r="CY21" i="30248"/>
  <c r="CX21" i="30248"/>
  <c r="CW21" i="30248"/>
  <c r="DB20" i="30248"/>
  <c r="DA20" i="30248"/>
  <c r="CZ20" i="30248"/>
  <c r="FQ20" i="30248"/>
  <c r="CY20" i="30248"/>
  <c r="CX20" i="30248"/>
  <c r="CW20" i="30248"/>
  <c r="DB19" i="30248"/>
  <c r="DA19" i="30248"/>
  <c r="CZ19" i="30248"/>
  <c r="FQ19" i="30248"/>
  <c r="CY19" i="30248"/>
  <c r="CX19" i="30248"/>
  <c r="CW19" i="30248"/>
  <c r="DB18" i="30248"/>
  <c r="DA18" i="30248"/>
  <c r="CZ18" i="30248"/>
  <c r="FQ18" i="30248"/>
  <c r="CY18" i="30248"/>
  <c r="CX18" i="30248"/>
  <c r="CW18" i="30248"/>
  <c r="DB17" i="30248"/>
  <c r="DA17" i="30248"/>
  <c r="CZ17" i="30248"/>
  <c r="FQ17" i="30248"/>
  <c r="CY17" i="30248"/>
  <c r="CX17" i="30248"/>
  <c r="CW17" i="30248"/>
  <c r="DB16" i="30248"/>
  <c r="DA16" i="30248"/>
  <c r="CZ16" i="30248"/>
  <c r="FQ16" i="30248"/>
  <c r="CY16" i="30248"/>
  <c r="CX16" i="30248"/>
  <c r="CW16" i="30248"/>
  <c r="DB15" i="30248"/>
  <c r="DA15" i="30248"/>
  <c r="CZ15" i="30248"/>
  <c r="FQ15" i="30248"/>
  <c r="CY15" i="30248"/>
  <c r="CX15" i="30248"/>
  <c r="CW15" i="30248"/>
  <c r="DB14" i="30248"/>
  <c r="DA14" i="30248"/>
  <c r="CZ14" i="30248"/>
  <c r="FQ14" i="30248"/>
  <c r="CY14" i="30248"/>
  <c r="CX14" i="30248"/>
  <c r="CW14" i="30248"/>
  <c r="DB13" i="30248"/>
  <c r="DA13" i="30248"/>
  <c r="CZ13" i="30248"/>
  <c r="FQ13" i="30248"/>
  <c r="CY13" i="30248"/>
  <c r="CX13" i="30248"/>
  <c r="CW13" i="30248"/>
  <c r="DB12" i="30248"/>
  <c r="DA12" i="30248"/>
  <c r="CZ12" i="30248"/>
  <c r="FQ12" i="30248"/>
  <c r="CY12" i="30248"/>
  <c r="CX12" i="30248"/>
  <c r="CW12" i="30248"/>
  <c r="DB11" i="30248"/>
  <c r="DA11" i="30248"/>
  <c r="CZ11" i="30248"/>
  <c r="FQ11" i="30248"/>
  <c r="CY11" i="30248"/>
  <c r="CX11" i="30248"/>
  <c r="CW11" i="30248"/>
  <c r="CX10" i="30248"/>
  <c r="CW10" i="30248"/>
  <c r="AZ50" i="30248"/>
  <c r="CW50" i="30248"/>
  <c r="BA50" i="30248"/>
  <c r="CX50" i="30248"/>
  <c r="BF50" i="30248"/>
  <c r="DD50" i="30248"/>
  <c r="BQ50" i="30248"/>
  <c r="AY50" i="30248"/>
  <c r="G8" i="30248"/>
  <c r="H8" i="30248"/>
  <c r="L8" i="30248"/>
  <c r="M8" i="30248"/>
  <c r="N8" i="30248"/>
  <c r="O8" i="30248"/>
  <c r="P8" i="30248"/>
  <c r="Q8" i="30248"/>
  <c r="R8" i="30248"/>
  <c r="S8" i="30248"/>
  <c r="T8" i="30248"/>
  <c r="U8" i="30248"/>
  <c r="V8" i="30248"/>
  <c r="W8" i="30248"/>
  <c r="X8" i="30248"/>
  <c r="Y8" i="30248"/>
  <c r="Z8" i="30248"/>
  <c r="AA8" i="30248"/>
  <c r="AB8" i="30248"/>
  <c r="AC8" i="30248"/>
  <c r="AD8" i="30248"/>
  <c r="AE8" i="30248"/>
  <c r="AF8" i="30248"/>
  <c r="AG8" i="30248"/>
  <c r="BA8" i="30248"/>
  <c r="AL8" i="30248"/>
  <c r="BF8" i="30248"/>
  <c r="AX8" i="30248"/>
  <c r="AY8" i="30248"/>
  <c r="AZ8" i="30248"/>
  <c r="BR8" i="30248"/>
  <c r="BV8" i="30248"/>
  <c r="BY8" i="30248"/>
  <c r="BZ8" i="30248"/>
  <c r="CA8" i="30248"/>
  <c r="CB8" i="30248"/>
  <c r="CC8" i="30248"/>
  <c r="CD8" i="30248"/>
  <c r="CE8" i="30248"/>
  <c r="CF8" i="30248"/>
  <c r="CG8" i="30248"/>
  <c r="CH8" i="30248"/>
  <c r="CI8" i="30248"/>
  <c r="CJ8" i="30248"/>
  <c r="CK8" i="30248"/>
  <c r="CL8" i="30248"/>
  <c r="CM8" i="30248"/>
  <c r="CN8" i="30248"/>
  <c r="CO8" i="30248"/>
  <c r="CP8" i="30248"/>
  <c r="CQ8" i="30248"/>
  <c r="CR8" i="30248"/>
  <c r="CS8" i="30248"/>
  <c r="CT8" i="30248"/>
  <c r="CU8" i="30248"/>
  <c r="CV8" i="30248"/>
  <c r="DU8" i="30248"/>
  <c r="DV8" i="30248"/>
  <c r="EA8" i="30248"/>
  <c r="EC8" i="30248"/>
  <c r="EJ8" i="30248"/>
  <c r="ER8" i="30248"/>
  <c r="EU8" i="30248"/>
  <c r="EV8" i="30248"/>
  <c r="EW8" i="30248"/>
  <c r="EX8" i="30248"/>
  <c r="EY8" i="30248"/>
  <c r="EZ8" i="30248"/>
  <c r="FA8" i="30248"/>
  <c r="FB8" i="30248"/>
  <c r="FC8" i="30248"/>
  <c r="FD8" i="30248"/>
  <c r="FE8" i="30248"/>
  <c r="FF8" i="30248"/>
  <c r="FG8" i="30248"/>
  <c r="FH8" i="30248"/>
  <c r="FI8" i="30248"/>
  <c r="FJ8" i="30248"/>
  <c r="FL8" i="30248"/>
  <c r="G9" i="30248"/>
  <c r="H9" i="30248"/>
  <c r="L9" i="30248"/>
  <c r="M9" i="30248"/>
  <c r="N9" i="30248"/>
  <c r="O9" i="30248"/>
  <c r="P9" i="30248"/>
  <c r="Q9" i="30248"/>
  <c r="R9" i="30248"/>
  <c r="S9" i="30248"/>
  <c r="T9" i="30248"/>
  <c r="U9" i="30248"/>
  <c r="V9" i="30248"/>
  <c r="W9" i="30248"/>
  <c r="X9" i="30248"/>
  <c r="Y9" i="30248"/>
  <c r="Z9" i="30248"/>
  <c r="AA9" i="30248"/>
  <c r="AB9" i="30248"/>
  <c r="AC9" i="30248"/>
  <c r="AD9" i="30248"/>
  <c r="AE9" i="30248"/>
  <c r="AF9" i="30248"/>
  <c r="AG9" i="30248"/>
  <c r="AL9" i="30248"/>
  <c r="BF9" i="30248"/>
  <c r="AX9" i="30248"/>
  <c r="AY9" i="30248"/>
  <c r="AZ9" i="30248"/>
  <c r="BA9" i="30248"/>
  <c r="BR9" i="30248"/>
  <c r="BV9" i="30248"/>
  <c r="BY9" i="30248"/>
  <c r="BZ9" i="30248"/>
  <c r="CA9" i="30248"/>
  <c r="CB9" i="30248"/>
  <c r="CC9" i="30248"/>
  <c r="CD9" i="30248"/>
  <c r="CE9" i="30248"/>
  <c r="CF9" i="30248"/>
  <c r="CG9" i="30248"/>
  <c r="CH9" i="30248"/>
  <c r="CI9" i="30248"/>
  <c r="CJ9" i="30248"/>
  <c r="CK9" i="30248"/>
  <c r="CL9" i="30248"/>
  <c r="CM9" i="30248"/>
  <c r="CN9" i="30248"/>
  <c r="CO9" i="30248"/>
  <c r="CP9" i="30248"/>
  <c r="CQ9" i="30248"/>
  <c r="CR9" i="30248"/>
  <c r="CS9" i="30248"/>
  <c r="CT9" i="30248"/>
  <c r="CU9" i="30248"/>
  <c r="CV9" i="30248"/>
  <c r="DQ9" i="30248"/>
  <c r="DU9" i="30248"/>
  <c r="DV9" i="30248"/>
  <c r="EA9" i="30248"/>
  <c r="EC9" i="30248"/>
  <c r="EJ9" i="30248"/>
  <c r="ER9" i="30248"/>
  <c r="EU9" i="30248"/>
  <c r="EV9" i="30248"/>
  <c r="EW9" i="30248"/>
  <c r="EX9" i="30248"/>
  <c r="EY9" i="30248"/>
  <c r="EZ9" i="30248"/>
  <c r="FA9" i="30248"/>
  <c r="FB9" i="30248"/>
  <c r="FC9" i="30248"/>
  <c r="FD9" i="30248"/>
  <c r="FE9" i="30248"/>
  <c r="FF9" i="30248"/>
  <c r="FG9" i="30248"/>
  <c r="FH9" i="30248"/>
  <c r="FI9" i="30248"/>
  <c r="FJ9" i="30248"/>
  <c r="FL9" i="30248"/>
  <c r="C9" i="30248"/>
  <c r="C8" i="30248"/>
  <c r="EI145" i="30248"/>
  <c r="DW145" i="30248"/>
  <c r="DW163" i="30248"/>
  <c r="EI129" i="30248"/>
  <c r="DZ129" i="30248"/>
  <c r="DY129" i="30248"/>
  <c r="DW129" i="30248"/>
  <c r="EI128" i="30248"/>
  <c r="DZ128" i="30248"/>
  <c r="DY128" i="30248"/>
  <c r="DW128" i="30248"/>
  <c r="EI127" i="30248"/>
  <c r="DW127" i="30248"/>
  <c r="EI126" i="30248"/>
  <c r="DW126" i="30248"/>
  <c r="EI125" i="30248"/>
  <c r="DW125" i="30248"/>
  <c r="EI124" i="30248"/>
  <c r="DW124" i="30248"/>
  <c r="EI121" i="30248"/>
  <c r="EI117" i="30248"/>
  <c r="EI115" i="30248"/>
  <c r="EI114" i="30248"/>
  <c r="EI108" i="30248"/>
  <c r="EI103" i="30248"/>
  <c r="EI99" i="30248"/>
  <c r="EI100" i="30248"/>
  <c r="EI57" i="30248"/>
  <c r="EH57" i="30248"/>
  <c r="EI84" i="30248"/>
  <c r="EH84" i="30248"/>
  <c r="EC84" i="30248"/>
  <c r="EI48" i="30248"/>
  <c r="EH48" i="30248"/>
  <c r="EI47" i="30248"/>
  <c r="EH47" i="30248"/>
  <c r="EH50" i="30248"/>
  <c r="EI49" i="30248"/>
  <c r="EH49" i="30248"/>
  <c r="EI40" i="30248"/>
  <c r="EH40" i="30248"/>
  <c r="EI15" i="30248"/>
  <c r="EH15" i="30248"/>
  <c r="EB15" i="30248"/>
  <c r="EI16" i="30248"/>
  <c r="EH16" i="30248"/>
  <c r="EB16" i="30248"/>
  <c r="EI63" i="30248"/>
  <c r="EH63" i="30248"/>
  <c r="EI45" i="30248"/>
  <c r="EH45" i="30248"/>
  <c r="EI71" i="30248"/>
  <c r="EH71" i="30248"/>
  <c r="EI60" i="30248"/>
  <c r="EH60" i="30248"/>
  <c r="EI19" i="30248"/>
  <c r="EH19" i="30248"/>
  <c r="EI10" i="30248"/>
  <c r="DW10" i="30248"/>
  <c r="EI94" i="30248"/>
  <c r="EH94" i="30248"/>
  <c r="EI93" i="30248"/>
  <c r="EH93" i="30248"/>
  <c r="EI36" i="30248"/>
  <c r="EH36" i="30248"/>
  <c r="EI31" i="30248"/>
  <c r="EH31" i="30248"/>
  <c r="EC31" i="30248"/>
  <c r="EI28" i="30248"/>
  <c r="EH28" i="30248"/>
  <c r="EC28" i="30248"/>
  <c r="DZ28" i="30248"/>
  <c r="DY28" i="30248"/>
  <c r="EI11" i="30248"/>
  <c r="EH11" i="30248"/>
  <c r="EB11" i="30248"/>
  <c r="DW11" i="30248"/>
  <c r="EI83" i="30248"/>
  <c r="EH83" i="30248"/>
  <c r="EC83" i="30248"/>
  <c r="EI25" i="30248"/>
  <c r="EH25" i="30248"/>
  <c r="EC25" i="30248"/>
  <c r="EI91" i="30248"/>
  <c r="EH91" i="30248"/>
  <c r="EI70" i="30248"/>
  <c r="EI9" i="30248"/>
  <c r="EH70" i="30248"/>
  <c r="EH9" i="30248"/>
  <c r="EG9" i="30248"/>
  <c r="EI24" i="30248"/>
  <c r="EI8" i="30248"/>
  <c r="EH24" i="30248"/>
  <c r="EH8" i="30248"/>
  <c r="EG8" i="30248"/>
  <c r="EI12" i="30248"/>
  <c r="EH12" i="30248"/>
  <c r="EB12" i="30248"/>
  <c r="DX12" i="30248"/>
  <c r="DW12" i="30248"/>
  <c r="DW136" i="30248"/>
  <c r="DW162" i="30248"/>
  <c r="DW161" i="30248"/>
  <c r="DW166" i="30248"/>
  <c r="DW165" i="30248"/>
  <c r="EI160" i="30248"/>
  <c r="DW160" i="30248"/>
  <c r="EI159" i="30248"/>
  <c r="DW159" i="30248"/>
  <c r="EI158" i="30248"/>
  <c r="DW158" i="30248"/>
  <c r="EI157" i="30248"/>
  <c r="DW157" i="30248"/>
  <c r="EQ144" i="30248"/>
  <c r="EQ141" i="30248"/>
  <c r="EI144" i="30248"/>
  <c r="DW144" i="30248"/>
  <c r="EP141" i="30248"/>
  <c r="EO138" i="30248"/>
  <c r="EI143" i="30248"/>
  <c r="DW143" i="30248"/>
  <c r="EI142" i="30248"/>
  <c r="DW142" i="30248"/>
  <c r="EI130" i="30248"/>
  <c r="DW130" i="30248"/>
  <c r="D130" i="30248"/>
  <c r="EI135" i="30248"/>
  <c r="DZ135" i="30248"/>
  <c r="DY135" i="30248"/>
  <c r="DW135" i="30248"/>
  <c r="F135" i="30248"/>
  <c r="D135" i="30248"/>
  <c r="EI134" i="30248"/>
  <c r="DW134" i="30248"/>
  <c r="I134" i="30248"/>
  <c r="EI133" i="30248"/>
  <c r="DY133" i="30248"/>
  <c r="F133" i="30248"/>
  <c r="DW133" i="30248"/>
  <c r="E133" i="30248"/>
  <c r="D133" i="30248"/>
  <c r="EI132" i="30248"/>
  <c r="DZ132" i="30248"/>
  <c r="DY132" i="30248"/>
  <c r="DW132" i="30248"/>
  <c r="F132" i="30248"/>
  <c r="D132" i="30248"/>
  <c r="EI131" i="30248"/>
  <c r="DW131" i="30248"/>
  <c r="I131" i="30248"/>
  <c r="E131" i="30248"/>
  <c r="F131" i="30248"/>
  <c r="D131" i="30248"/>
  <c r="DW156" i="30248"/>
  <c r="DW155" i="30248"/>
  <c r="DW154" i="30248"/>
  <c r="DW153" i="30248"/>
  <c r="DW152" i="30248"/>
  <c r="DW151" i="30248"/>
  <c r="DW150" i="30248"/>
  <c r="DW149" i="30248"/>
  <c r="FD148" i="30248"/>
  <c r="EI148" i="30248"/>
  <c r="DW148" i="30248"/>
  <c r="EI137" i="30248"/>
  <c r="EI147" i="30248"/>
  <c r="DW147" i="30248"/>
  <c r="EI146" i="30248"/>
  <c r="BT146" i="30248"/>
  <c r="BT147" i="30248"/>
  <c r="BW146" i="30248"/>
  <c r="BW147" i="30248"/>
  <c r="DW146" i="30248"/>
  <c r="EZ138" i="30248"/>
  <c r="DV238" i="30248"/>
  <c r="DW237" i="30248"/>
  <c r="DW236" i="30248"/>
  <c r="DV236" i="30248"/>
  <c r="DW235" i="30248"/>
  <c r="DV234" i="30248"/>
  <c r="DV233" i="30248"/>
  <c r="DV232" i="30248"/>
  <c r="EI187" i="30248"/>
  <c r="EI141" i="30248"/>
  <c r="DW141" i="30248"/>
  <c r="EI140" i="30248"/>
  <c r="EH140" i="30248"/>
  <c r="DW140" i="30248"/>
  <c r="EI139" i="30248"/>
  <c r="EH139" i="30248"/>
  <c r="DW139" i="30248"/>
  <c r="EI138" i="30248"/>
  <c r="DW138" i="30248"/>
  <c r="EI123" i="30248"/>
  <c r="EI113" i="30248"/>
  <c r="EI112" i="30248"/>
  <c r="EI111" i="30248"/>
  <c r="DZ111" i="30248"/>
  <c r="DY111" i="30248"/>
  <c r="EI110" i="30248"/>
  <c r="EI109" i="30248"/>
  <c r="DY109" i="30248"/>
  <c r="DZ109" i="30248"/>
  <c r="EI107" i="30248"/>
  <c r="EI106" i="30248"/>
  <c r="DZ106" i="30248"/>
  <c r="DY106" i="30248"/>
  <c r="EI105" i="30248"/>
  <c r="DZ105" i="30248"/>
  <c r="DY105" i="30248"/>
  <c r="EI104" i="30248"/>
  <c r="EI102" i="30248"/>
  <c r="EI101" i="30248"/>
  <c r="EI98" i="30248"/>
  <c r="EI97" i="30248"/>
  <c r="EI96" i="30248"/>
  <c r="EI95" i="30248"/>
  <c r="EI92" i="30248"/>
  <c r="EI90" i="30248"/>
  <c r="EI89" i="30248"/>
  <c r="EI88" i="30248"/>
  <c r="EI87" i="30248"/>
  <c r="EI86" i="30248"/>
  <c r="EI85" i="30248"/>
  <c r="EI82" i="30248"/>
  <c r="EI81" i="30248"/>
  <c r="EI80" i="30248"/>
  <c r="EH78" i="30248"/>
  <c r="EH77" i="30248"/>
  <c r="EC77" i="30248"/>
  <c r="EH79" i="30248"/>
  <c r="EH177" i="30248"/>
  <c r="EI78" i="30248"/>
  <c r="DY107" i="30248"/>
  <c r="EI79" i="30248"/>
  <c r="EI177" i="30248"/>
  <c r="EI77" i="30248"/>
  <c r="DZ107" i="30248"/>
  <c r="DB55" i="30248"/>
  <c r="FQ172" i="30248"/>
  <c r="DZ133" i="30248"/>
  <c r="FQ187" i="30248"/>
  <c r="FN187" i="30248"/>
  <c r="FO187" i="30248"/>
  <c r="CY9" i="30248"/>
  <c r="FP169" i="30248"/>
  <c r="FP167" i="30248"/>
  <c r="FN30" i="30248"/>
  <c r="FN34" i="30248"/>
  <c r="FN101" i="30248"/>
  <c r="FN97" i="30248"/>
  <c r="FN93" i="30248"/>
  <c r="FN89" i="30248"/>
  <c r="FN85" i="30248"/>
  <c r="FN81" i="30248"/>
  <c r="FN12" i="30248"/>
  <c r="FN16" i="30248"/>
  <c r="FN20" i="30248"/>
  <c r="FN24" i="30248"/>
  <c r="FN8" i="30248"/>
  <c r="FN28" i="30248"/>
  <c r="FN32" i="30248"/>
  <c r="FN36" i="30248"/>
  <c r="FN75" i="30248"/>
  <c r="FN67" i="30248"/>
  <c r="FN63" i="30248"/>
  <c r="FN59" i="30248"/>
  <c r="FN55" i="30248"/>
  <c r="FN51" i="30248"/>
  <c r="FN46" i="30248"/>
  <c r="FN42" i="30248"/>
  <c r="FN38" i="30248"/>
  <c r="FN164" i="30248"/>
  <c r="FN160" i="30248"/>
  <c r="FN156" i="30248"/>
  <c r="FN148" i="30248"/>
  <c r="FN144" i="30248"/>
  <c r="FN140" i="30248"/>
  <c r="FN136" i="30248"/>
  <c r="FN132" i="30248"/>
  <c r="FN167" i="30248"/>
  <c r="FN181" i="30248"/>
  <c r="FN14" i="30248"/>
  <c r="FN18" i="30248"/>
  <c r="FN22" i="30248"/>
  <c r="FN129" i="30248"/>
  <c r="FN125" i="30248"/>
  <c r="FN121" i="30248"/>
  <c r="FN117" i="30248"/>
  <c r="FN113" i="30248"/>
  <c r="FN109" i="30248"/>
  <c r="FN105" i="30248"/>
  <c r="FN169" i="30248"/>
  <c r="FN11" i="30248"/>
  <c r="FN15" i="30248"/>
  <c r="FN19" i="30248"/>
  <c r="FN23" i="30248"/>
  <c r="FN27" i="30248"/>
  <c r="FN31" i="30248"/>
  <c r="FN35" i="30248"/>
  <c r="FN174" i="30248"/>
  <c r="FN152" i="30248"/>
  <c r="FP50" i="30248"/>
  <c r="FN78" i="30248"/>
  <c r="FN74" i="30248"/>
  <c r="FN70" i="30248"/>
  <c r="FN9" i="30248"/>
  <c r="FN66" i="30248"/>
  <c r="FN62" i="30248"/>
  <c r="FN58" i="30248"/>
  <c r="FN54" i="30248"/>
  <c r="FN49" i="30248"/>
  <c r="FN45" i="30248"/>
  <c r="FN41" i="30248"/>
  <c r="FN37" i="30248"/>
  <c r="FN184" i="30248"/>
  <c r="FN180" i="30248"/>
  <c r="FN173" i="30248"/>
  <c r="FN163" i="30248"/>
  <c r="FN159" i="30248"/>
  <c r="FN155" i="30248"/>
  <c r="FN151" i="30248"/>
  <c r="FN147" i="30248"/>
  <c r="FN143" i="30248"/>
  <c r="FN139" i="30248"/>
  <c r="FN135" i="30248"/>
  <c r="FN131" i="30248"/>
  <c r="DG8" i="30248"/>
  <c r="FN71" i="30248"/>
  <c r="DE170" i="30248"/>
  <c r="FN171" i="30248"/>
  <c r="FN26" i="30248"/>
  <c r="FN76" i="30248"/>
  <c r="FN72" i="30248"/>
  <c r="FN68" i="30248"/>
  <c r="FN64" i="30248"/>
  <c r="FN60" i="30248"/>
  <c r="FN56" i="30248"/>
  <c r="FN52" i="30248"/>
  <c r="FN47" i="30248"/>
  <c r="FN43" i="30248"/>
  <c r="FN39" i="30248"/>
  <c r="FN178" i="30248"/>
  <c r="FN165" i="30248"/>
  <c r="FN161" i="30248"/>
  <c r="FN157" i="30248"/>
  <c r="FN153" i="30248"/>
  <c r="FN149" i="30248"/>
  <c r="FN145" i="30248"/>
  <c r="FN141" i="30248"/>
  <c r="FN137" i="30248"/>
  <c r="FN133" i="30248"/>
  <c r="FP185" i="30248"/>
  <c r="FP174" i="30248"/>
  <c r="FP160" i="30248"/>
  <c r="FP152" i="30248"/>
  <c r="FP144" i="30248"/>
  <c r="FP136" i="30248"/>
  <c r="FP128" i="30248"/>
  <c r="FP120" i="30248"/>
  <c r="FP112" i="30248"/>
  <c r="FP104" i="30248"/>
  <c r="FP96" i="30248"/>
  <c r="FP88" i="30248"/>
  <c r="FP80" i="30248"/>
  <c r="FP72" i="30248"/>
  <c r="FP64" i="30248"/>
  <c r="FP56" i="30248"/>
  <c r="FP47" i="30248"/>
  <c r="FP39" i="30248"/>
  <c r="FP31" i="30248"/>
  <c r="FP23" i="30248"/>
  <c r="FP15" i="30248"/>
  <c r="FN77" i="30248"/>
  <c r="FN73" i="30248"/>
  <c r="FN69" i="30248"/>
  <c r="FN65" i="30248"/>
  <c r="FN61" i="30248"/>
  <c r="FN57" i="30248"/>
  <c r="FP179" i="30248"/>
  <c r="FP162" i="30248"/>
  <c r="FP154" i="30248"/>
  <c r="FP146" i="30248"/>
  <c r="FP138" i="30248"/>
  <c r="FP130" i="30248"/>
  <c r="EP146" i="30248"/>
  <c r="FO149" i="30248"/>
  <c r="FM149" i="30248"/>
  <c r="FM109" i="30248"/>
  <c r="FO109" i="30248"/>
  <c r="FM53" i="30248"/>
  <c r="FO53" i="30248"/>
  <c r="FO36" i="30248"/>
  <c r="FM36" i="30248"/>
  <c r="FO28" i="30248"/>
  <c r="FM28" i="30248"/>
  <c r="FO20" i="30248"/>
  <c r="FM20" i="30248"/>
  <c r="FN127" i="30248"/>
  <c r="FN123" i="30248"/>
  <c r="FN119" i="30248"/>
  <c r="FN115" i="30248"/>
  <c r="FN111" i="30248"/>
  <c r="FN107" i="30248"/>
  <c r="FN103" i="30248"/>
  <c r="FN99" i="30248"/>
  <c r="FN95" i="30248"/>
  <c r="FN91" i="30248"/>
  <c r="FN87" i="30248"/>
  <c r="FN83" i="30248"/>
  <c r="DE79" i="30248"/>
  <c r="DE177" i="30248"/>
  <c r="DD177" i="30248"/>
  <c r="FP184" i="30248"/>
  <c r="FO181" i="30248"/>
  <c r="FM181" i="30248"/>
  <c r="FM164" i="30248"/>
  <c r="FO164" i="30248"/>
  <c r="FP159" i="30248"/>
  <c r="FM156" i="30248"/>
  <c r="FO156" i="30248"/>
  <c r="FP151" i="30248"/>
  <c r="FM148" i="30248"/>
  <c r="FO148" i="30248"/>
  <c r="FP143" i="30248"/>
  <c r="FM140" i="30248"/>
  <c r="FO140" i="30248"/>
  <c r="FP135" i="30248"/>
  <c r="FM132" i="30248"/>
  <c r="FO132" i="30248"/>
  <c r="FO124" i="30248"/>
  <c r="FM124" i="30248"/>
  <c r="FP119" i="30248"/>
  <c r="FO116" i="30248"/>
  <c r="FM116" i="30248"/>
  <c r="FP111" i="30248"/>
  <c r="FO108" i="30248"/>
  <c r="FM108" i="30248"/>
  <c r="FP103" i="30248"/>
  <c r="FO100" i="30248"/>
  <c r="FM100" i="30248"/>
  <c r="FP95" i="30248"/>
  <c r="FO92" i="30248"/>
  <c r="FM92" i="30248"/>
  <c r="FP87" i="30248"/>
  <c r="FO84" i="30248"/>
  <c r="FM84" i="30248"/>
  <c r="FP79" i="30248"/>
  <c r="DG177" i="30248"/>
  <c r="FO76" i="30248"/>
  <c r="FM76" i="30248"/>
  <c r="FP71" i="30248"/>
  <c r="FO68" i="30248"/>
  <c r="FM68" i="30248"/>
  <c r="FP63" i="30248"/>
  <c r="FO60" i="30248"/>
  <c r="FM60" i="30248"/>
  <c r="FP55" i="30248"/>
  <c r="FO52" i="30248"/>
  <c r="FM52" i="30248"/>
  <c r="FP46" i="30248"/>
  <c r="FM43" i="30248"/>
  <c r="FO43" i="30248"/>
  <c r="FP38" i="30248"/>
  <c r="FM35" i="30248"/>
  <c r="FO35" i="30248"/>
  <c r="FP30" i="30248"/>
  <c r="FM27" i="30248"/>
  <c r="FO27" i="30248"/>
  <c r="FP22" i="30248"/>
  <c r="FM19" i="30248"/>
  <c r="FO19" i="30248"/>
  <c r="FP14" i="30248"/>
  <c r="FM11" i="30248"/>
  <c r="FO11" i="30248"/>
  <c r="FM171" i="30248"/>
  <c r="FO171" i="30248"/>
  <c r="FM117" i="30248"/>
  <c r="FO117" i="30248"/>
  <c r="FP181" i="30248"/>
  <c r="FM178" i="30248"/>
  <c r="FO178" i="30248"/>
  <c r="FP164" i="30248"/>
  <c r="FM161" i="30248"/>
  <c r="FO161" i="30248"/>
  <c r="FP156" i="30248"/>
  <c r="FM153" i="30248"/>
  <c r="FO153" i="30248"/>
  <c r="FP148" i="30248"/>
  <c r="FM145" i="30248"/>
  <c r="FO145" i="30248"/>
  <c r="FP140" i="30248"/>
  <c r="FM137" i="30248"/>
  <c r="FO137" i="30248"/>
  <c r="FP132" i="30248"/>
  <c r="FM129" i="30248"/>
  <c r="FO129" i="30248"/>
  <c r="FP124" i="30248"/>
  <c r="FM121" i="30248"/>
  <c r="FO121" i="30248"/>
  <c r="FP116" i="30248"/>
  <c r="FO113" i="30248"/>
  <c r="FM113" i="30248"/>
  <c r="FP108" i="30248"/>
  <c r="FO105" i="30248"/>
  <c r="FM105" i="30248"/>
  <c r="FP100" i="30248"/>
  <c r="FM97" i="30248"/>
  <c r="FO97" i="30248"/>
  <c r="FP92" i="30248"/>
  <c r="FO89" i="30248"/>
  <c r="FM89" i="30248"/>
  <c r="FP84" i="30248"/>
  <c r="FM81" i="30248"/>
  <c r="FO81" i="30248"/>
  <c r="FP76" i="30248"/>
  <c r="FM73" i="30248"/>
  <c r="FO73" i="30248"/>
  <c r="FP68" i="30248"/>
  <c r="FM65" i="30248"/>
  <c r="FO65" i="30248"/>
  <c r="FP60" i="30248"/>
  <c r="FM57" i="30248"/>
  <c r="FO57" i="30248"/>
  <c r="FP52" i="30248"/>
  <c r="FM48" i="30248"/>
  <c r="FO48" i="30248"/>
  <c r="FP43" i="30248"/>
  <c r="FM40" i="30248"/>
  <c r="FO40" i="30248"/>
  <c r="FP35" i="30248"/>
  <c r="FM32" i="30248"/>
  <c r="FO32" i="30248"/>
  <c r="FP27" i="30248"/>
  <c r="FM24" i="30248"/>
  <c r="FM8" i="30248"/>
  <c r="FO24" i="30248"/>
  <c r="FP19" i="30248"/>
  <c r="FM16" i="30248"/>
  <c r="FO16" i="30248"/>
  <c r="FP11" i="30248"/>
  <c r="FM172" i="30248"/>
  <c r="FO172" i="30248"/>
  <c r="FO170" i="30248"/>
  <c r="FM170" i="30248"/>
  <c r="FO165" i="30248"/>
  <c r="FM165" i="30248"/>
  <c r="FO157" i="30248"/>
  <c r="FM157" i="30248"/>
  <c r="FO168" i="30248"/>
  <c r="FM168" i="30248"/>
  <c r="CW9" i="30248"/>
  <c r="FN128" i="30248"/>
  <c r="FN124" i="30248"/>
  <c r="FN120" i="30248"/>
  <c r="FN116" i="30248"/>
  <c r="FN112" i="30248"/>
  <c r="FN108" i="30248"/>
  <c r="FN104" i="30248"/>
  <c r="FN100" i="30248"/>
  <c r="FN96" i="30248"/>
  <c r="FN92" i="30248"/>
  <c r="FN88" i="30248"/>
  <c r="FN84" i="30248"/>
  <c r="FN80" i="30248"/>
  <c r="FQ134" i="30248"/>
  <c r="FP186" i="30248"/>
  <c r="FM183" i="30248"/>
  <c r="FO183" i="30248"/>
  <c r="FP178" i="30248"/>
  <c r="FM166" i="30248"/>
  <c r="FO166" i="30248"/>
  <c r="FP161" i="30248"/>
  <c r="FM158" i="30248"/>
  <c r="FO158" i="30248"/>
  <c r="FP153" i="30248"/>
  <c r="FM150" i="30248"/>
  <c r="FO150" i="30248"/>
  <c r="FP145" i="30248"/>
  <c r="FM142" i="30248"/>
  <c r="FO142" i="30248"/>
  <c r="FP137" i="30248"/>
  <c r="FO134" i="30248"/>
  <c r="FM134" i="30248"/>
  <c r="FP129" i="30248"/>
  <c r="FM126" i="30248"/>
  <c r="FO126" i="30248"/>
  <c r="FP121" i="30248"/>
  <c r="FM118" i="30248"/>
  <c r="FO118" i="30248"/>
  <c r="FP113" i="30248"/>
  <c r="FM110" i="30248"/>
  <c r="FO110" i="30248"/>
  <c r="FP105" i="30248"/>
  <c r="FM102" i="30248"/>
  <c r="FO102" i="30248"/>
  <c r="FP97" i="30248"/>
  <c r="FM94" i="30248"/>
  <c r="FO94" i="30248"/>
  <c r="FP89" i="30248"/>
  <c r="FM86" i="30248"/>
  <c r="FO86" i="30248"/>
  <c r="FP81" i="30248"/>
  <c r="FM78" i="30248"/>
  <c r="FO78" i="30248"/>
  <c r="FP73" i="30248"/>
  <c r="FM70" i="30248"/>
  <c r="FM9" i="30248"/>
  <c r="FO70" i="30248"/>
  <c r="FP65" i="30248"/>
  <c r="FM62" i="30248"/>
  <c r="FO62" i="30248"/>
  <c r="FP57" i="30248"/>
  <c r="FM54" i="30248"/>
  <c r="FO54" i="30248"/>
  <c r="FP48" i="30248"/>
  <c r="FM45" i="30248"/>
  <c r="FO45" i="30248"/>
  <c r="FP40" i="30248"/>
  <c r="FM37" i="30248"/>
  <c r="FO37" i="30248"/>
  <c r="FP32" i="30248"/>
  <c r="FM29" i="30248"/>
  <c r="FO29" i="30248"/>
  <c r="FP24" i="30248"/>
  <c r="FM21" i="30248"/>
  <c r="FO21" i="30248"/>
  <c r="FP16" i="30248"/>
  <c r="FM13" i="30248"/>
  <c r="FO13" i="30248"/>
  <c r="EO139" i="30248"/>
  <c r="FM50" i="30248"/>
  <c r="FO50" i="30248"/>
  <c r="FP10" i="30248"/>
  <c r="FM125" i="30248"/>
  <c r="FO125" i="30248"/>
  <c r="FM101" i="30248"/>
  <c r="FO101" i="30248"/>
  <c r="FM77" i="30248"/>
  <c r="FO77" i="30248"/>
  <c r="FO44" i="30248"/>
  <c r="FM44" i="30248"/>
  <c r="FN13" i="30248"/>
  <c r="FN17" i="30248"/>
  <c r="FN21" i="30248"/>
  <c r="FN25" i="30248"/>
  <c r="FN29" i="30248"/>
  <c r="FN33" i="30248"/>
  <c r="FN53" i="30248"/>
  <c r="FN48" i="30248"/>
  <c r="FN44" i="30248"/>
  <c r="FN40" i="30248"/>
  <c r="FN179" i="30248"/>
  <c r="FN166" i="30248"/>
  <c r="FN162" i="30248"/>
  <c r="FN158" i="30248"/>
  <c r="FN154" i="30248"/>
  <c r="FN150" i="30248"/>
  <c r="FN146" i="30248"/>
  <c r="FN142" i="30248"/>
  <c r="FN138" i="30248"/>
  <c r="FN134" i="30248"/>
  <c r="FN130" i="30248"/>
  <c r="FM180" i="30248"/>
  <c r="FO180" i="30248"/>
  <c r="FP166" i="30248"/>
  <c r="FM163" i="30248"/>
  <c r="FO163" i="30248"/>
  <c r="FP158" i="30248"/>
  <c r="FM155" i="30248"/>
  <c r="FO155" i="30248"/>
  <c r="FP150" i="30248"/>
  <c r="FM147" i="30248"/>
  <c r="FO147" i="30248"/>
  <c r="FP142" i="30248"/>
  <c r="FM139" i="30248"/>
  <c r="FO139" i="30248"/>
  <c r="FP134" i="30248"/>
  <c r="FO131" i="30248"/>
  <c r="FM131" i="30248"/>
  <c r="FP126" i="30248"/>
  <c r="FM123" i="30248"/>
  <c r="FO123" i="30248"/>
  <c r="FP118" i="30248"/>
  <c r="FM115" i="30248"/>
  <c r="FO115" i="30248"/>
  <c r="FP110" i="30248"/>
  <c r="FM107" i="30248"/>
  <c r="FO107" i="30248"/>
  <c r="FP102" i="30248"/>
  <c r="FM99" i="30248"/>
  <c r="FO99" i="30248"/>
  <c r="FP94" i="30248"/>
  <c r="FM91" i="30248"/>
  <c r="FO91" i="30248"/>
  <c r="FP86" i="30248"/>
  <c r="FM83" i="30248"/>
  <c r="FO83" i="30248"/>
  <c r="FP78" i="30248"/>
  <c r="FM75" i="30248"/>
  <c r="FO75" i="30248"/>
  <c r="FP70" i="30248"/>
  <c r="FM67" i="30248"/>
  <c r="FO67" i="30248"/>
  <c r="FP62" i="30248"/>
  <c r="FM59" i="30248"/>
  <c r="FO59" i="30248"/>
  <c r="FP54" i="30248"/>
  <c r="FM51" i="30248"/>
  <c r="FO51" i="30248"/>
  <c r="FP45" i="30248"/>
  <c r="FM42" i="30248"/>
  <c r="FO42" i="30248"/>
  <c r="FP37" i="30248"/>
  <c r="FM34" i="30248"/>
  <c r="FO34" i="30248"/>
  <c r="FP29" i="30248"/>
  <c r="FM26" i="30248"/>
  <c r="FO26" i="30248"/>
  <c r="FP21" i="30248"/>
  <c r="FM18" i="30248"/>
  <c r="FO18" i="30248"/>
  <c r="FP13" i="30248"/>
  <c r="FM167" i="30248"/>
  <c r="FO167" i="30248"/>
  <c r="FM169" i="30248"/>
  <c r="FO169" i="30248"/>
  <c r="FN50" i="30248"/>
  <c r="FP171" i="30248"/>
  <c r="FM133" i="30248"/>
  <c r="FO133" i="30248"/>
  <c r="FM93" i="30248"/>
  <c r="FO93" i="30248"/>
  <c r="FQ131" i="30248"/>
  <c r="FM185" i="30248"/>
  <c r="FO185" i="30248"/>
  <c r="FP180" i="30248"/>
  <c r="FM174" i="30248"/>
  <c r="FO174" i="30248"/>
  <c r="FP163" i="30248"/>
  <c r="FO160" i="30248"/>
  <c r="FM160" i="30248"/>
  <c r="FP155" i="30248"/>
  <c r="FO152" i="30248"/>
  <c r="FM152" i="30248"/>
  <c r="FP147" i="30248"/>
  <c r="FO144" i="30248"/>
  <c r="FM144" i="30248"/>
  <c r="FP139" i="30248"/>
  <c r="FO136" i="30248"/>
  <c r="FM136" i="30248"/>
  <c r="FP131" i="30248"/>
  <c r="FP123" i="30248"/>
  <c r="FM120" i="30248"/>
  <c r="FO120" i="30248"/>
  <c r="FP115" i="30248"/>
  <c r="FM112" i="30248"/>
  <c r="FO112" i="30248"/>
  <c r="FP107" i="30248"/>
  <c r="FM104" i="30248"/>
  <c r="FO104" i="30248"/>
  <c r="FP99" i="30248"/>
  <c r="FM96" i="30248"/>
  <c r="FO96" i="30248"/>
  <c r="FP91" i="30248"/>
  <c r="FM88" i="30248"/>
  <c r="FO88" i="30248"/>
  <c r="FP83" i="30248"/>
  <c r="FM80" i="30248"/>
  <c r="FO80" i="30248"/>
  <c r="FP75" i="30248"/>
  <c r="FM72" i="30248"/>
  <c r="FO72" i="30248"/>
  <c r="FP67" i="30248"/>
  <c r="FM64" i="30248"/>
  <c r="FO64" i="30248"/>
  <c r="FP59" i="30248"/>
  <c r="FM56" i="30248"/>
  <c r="FO56" i="30248"/>
  <c r="FP51" i="30248"/>
  <c r="FO47" i="30248"/>
  <c r="FM47" i="30248"/>
  <c r="FP42" i="30248"/>
  <c r="FO39" i="30248"/>
  <c r="FM39" i="30248"/>
  <c r="FP34" i="30248"/>
  <c r="FO31" i="30248"/>
  <c r="FM31" i="30248"/>
  <c r="FP26" i="30248"/>
  <c r="FO23" i="30248"/>
  <c r="FM23" i="30248"/>
  <c r="FP18" i="30248"/>
  <c r="FO15" i="30248"/>
  <c r="FM15" i="30248"/>
  <c r="FN170" i="30248"/>
  <c r="DE171" i="30248"/>
  <c r="FN10" i="30248"/>
  <c r="FP170" i="30248"/>
  <c r="FM61" i="30248"/>
  <c r="FO61" i="30248"/>
  <c r="FO12" i="30248"/>
  <c r="FM12" i="30248"/>
  <c r="FN126" i="30248"/>
  <c r="FN122" i="30248"/>
  <c r="FN118" i="30248"/>
  <c r="FN114" i="30248"/>
  <c r="FN110" i="30248"/>
  <c r="FN106" i="30248"/>
  <c r="FN102" i="30248"/>
  <c r="FN98" i="30248"/>
  <c r="FN94" i="30248"/>
  <c r="FN90" i="30248"/>
  <c r="FN86" i="30248"/>
  <c r="FN82" i="30248"/>
  <c r="FQ79" i="30248"/>
  <c r="CZ177" i="30248"/>
  <c r="FQ177" i="30248"/>
  <c r="FP182" i="30248"/>
  <c r="FM179" i="30248"/>
  <c r="FO179" i="30248"/>
  <c r="FP165" i="30248"/>
  <c r="FO162" i="30248"/>
  <c r="FM162" i="30248"/>
  <c r="FP157" i="30248"/>
  <c r="FM154" i="30248"/>
  <c r="FO154" i="30248"/>
  <c r="FP149" i="30248"/>
  <c r="FO146" i="30248"/>
  <c r="FM146" i="30248"/>
  <c r="FP141" i="30248"/>
  <c r="FO138" i="30248"/>
  <c r="FM138" i="30248"/>
  <c r="FP133" i="30248"/>
  <c r="FO130" i="30248"/>
  <c r="FM130" i="30248"/>
  <c r="FP125" i="30248"/>
  <c r="FM122" i="30248"/>
  <c r="FO122" i="30248"/>
  <c r="FP117" i="30248"/>
  <c r="FM114" i="30248"/>
  <c r="FO114" i="30248"/>
  <c r="FP109" i="30248"/>
  <c r="FM106" i="30248"/>
  <c r="FO106" i="30248"/>
  <c r="FP101" i="30248"/>
  <c r="FM98" i="30248"/>
  <c r="FO98" i="30248"/>
  <c r="FP93" i="30248"/>
  <c r="FM90" i="30248"/>
  <c r="FO90" i="30248"/>
  <c r="FP85" i="30248"/>
  <c r="FM82" i="30248"/>
  <c r="FO82" i="30248"/>
  <c r="FP77" i="30248"/>
  <c r="FM74" i="30248"/>
  <c r="FO74" i="30248"/>
  <c r="FP69" i="30248"/>
  <c r="FM66" i="30248"/>
  <c r="FO66" i="30248"/>
  <c r="FP61" i="30248"/>
  <c r="FM58" i="30248"/>
  <c r="FO58" i="30248"/>
  <c r="FP53" i="30248"/>
  <c r="FO49" i="30248"/>
  <c r="FM49" i="30248"/>
  <c r="FP44" i="30248"/>
  <c r="FO41" i="30248"/>
  <c r="FM41" i="30248"/>
  <c r="FP36" i="30248"/>
  <c r="FO33" i="30248"/>
  <c r="FM33" i="30248"/>
  <c r="FP28" i="30248"/>
  <c r="FO25" i="30248"/>
  <c r="FM25" i="30248"/>
  <c r="FP20" i="30248"/>
  <c r="FM17" i="30248"/>
  <c r="FO17" i="30248"/>
  <c r="FP12" i="30248"/>
  <c r="FP168" i="30248"/>
  <c r="FN168" i="30248"/>
  <c r="FN172" i="30248"/>
  <c r="FM182" i="30248"/>
  <c r="FO182" i="30248"/>
  <c r="FO141" i="30248"/>
  <c r="FM141" i="30248"/>
  <c r="FM85" i="30248"/>
  <c r="FO85" i="30248"/>
  <c r="FM69" i="30248"/>
  <c r="FO69" i="30248"/>
  <c r="CX9" i="30248"/>
  <c r="FN79" i="30248"/>
  <c r="CY177" i="30248"/>
  <c r="FO184" i="30248"/>
  <c r="FM184" i="30248"/>
  <c r="FO173" i="30248"/>
  <c r="FM173" i="30248"/>
  <c r="FM159" i="30248"/>
  <c r="FO159" i="30248"/>
  <c r="FM151" i="30248"/>
  <c r="FO151" i="30248"/>
  <c r="FM143" i="30248"/>
  <c r="FO143" i="30248"/>
  <c r="FM135" i="30248"/>
  <c r="FO135" i="30248"/>
  <c r="FM127" i="30248"/>
  <c r="FO127" i="30248"/>
  <c r="FP122" i="30248"/>
  <c r="FO119" i="30248"/>
  <c r="FM119" i="30248"/>
  <c r="FP114" i="30248"/>
  <c r="FO111" i="30248"/>
  <c r="FM111" i="30248"/>
  <c r="FP106" i="30248"/>
  <c r="FO103" i="30248"/>
  <c r="FM103" i="30248"/>
  <c r="FP98" i="30248"/>
  <c r="FO95" i="30248"/>
  <c r="FM95" i="30248"/>
  <c r="FP90" i="30248"/>
  <c r="FO87" i="30248"/>
  <c r="FM87" i="30248"/>
  <c r="FP82" i="30248"/>
  <c r="FO79" i="30248"/>
  <c r="FM79" i="30248"/>
  <c r="FP74" i="30248"/>
  <c r="FO71" i="30248"/>
  <c r="FM71" i="30248"/>
  <c r="FP66" i="30248"/>
  <c r="FO63" i="30248"/>
  <c r="FM63" i="30248"/>
  <c r="FP58" i="30248"/>
  <c r="FO55" i="30248"/>
  <c r="FM55" i="30248"/>
  <c r="FP49" i="30248"/>
  <c r="FM46" i="30248"/>
  <c r="FO46" i="30248"/>
  <c r="FP41" i="30248"/>
  <c r="FM38" i="30248"/>
  <c r="FO38" i="30248"/>
  <c r="FP33" i="30248"/>
  <c r="FM30" i="30248"/>
  <c r="FO30" i="30248"/>
  <c r="FP25" i="30248"/>
  <c r="FM22" i="30248"/>
  <c r="FO22" i="30248"/>
  <c r="FP17" i="30248"/>
  <c r="FM14" i="30248"/>
  <c r="FO14" i="30248"/>
  <c r="FP172" i="30248"/>
  <c r="FO10" i="30248"/>
  <c r="FM10" i="30248"/>
  <c r="FP127" i="30248"/>
  <c r="FO128" i="30248"/>
  <c r="FM128" i="30248"/>
  <c r="DE50" i="30248"/>
  <c r="DD9" i="30248"/>
  <c r="DE9" i="30248"/>
  <c r="CX8" i="30248"/>
  <c r="CY8" i="30248"/>
  <c r="DB9" i="30248"/>
  <c r="DH8" i="30248"/>
  <c r="DF8" i="30248"/>
  <c r="DC170" i="30248"/>
  <c r="DC9" i="30248"/>
  <c r="CZ8" i="30248"/>
  <c r="DB8" i="30248"/>
  <c r="DG9" i="30248"/>
  <c r="DA8" i="30248"/>
  <c r="DD8" i="30248"/>
  <c r="CW8" i="30248"/>
  <c r="CZ9" i="30248"/>
  <c r="DZ131" i="30248"/>
  <c r="DY131" i="30248"/>
  <c r="EN146" i="30248"/>
  <c r="EN141" i="30248"/>
  <c r="EN147" i="30248"/>
  <c r="EN138" i="30248"/>
  <c r="EN139" i="30248"/>
  <c r="O171" i="30248"/>
  <c r="E171" i="30248"/>
  <c r="P171" i="30248"/>
  <c r="EO141" i="30248"/>
  <c r="DH9" i="30248"/>
  <c r="EP147" i="30248"/>
  <c r="EP139" i="30248"/>
  <c r="O170" i="30248"/>
  <c r="E170" i="30248"/>
  <c r="EP138" i="30248"/>
  <c r="EO146" i="30248"/>
  <c r="EO147" i="30248"/>
  <c r="DC171" i="30248"/>
  <c r="DC50" i="30248"/>
  <c r="DF9" i="30248"/>
  <c r="DC8" i="30248"/>
  <c r="DA9" i="30248"/>
  <c r="DX8" i="30248"/>
  <c r="FN177" i="30248"/>
  <c r="FM177" i="30248"/>
  <c r="FO177" i="30248"/>
  <c r="FP177" i="30248"/>
  <c r="P170" i="30248"/>
  <c r="DE8" i="30248"/>
  <c r="AD263" i="30311" l="1"/>
  <c r="AD264" i="30311" s="1"/>
  <c r="AR263" i="30301"/>
  <c r="AR264" i="30301" s="1"/>
  <c r="AA263" i="30301"/>
  <c r="AA264" i="30301" s="1"/>
  <c r="L263" i="30301"/>
  <c r="L264" i="30301" s="1"/>
  <c r="B263" i="30301"/>
  <c r="B264" i="30301" s="1"/>
  <c r="AK263" i="30311"/>
  <c r="AK264" i="30311" s="1"/>
  <c r="AS263" i="30301"/>
  <c r="AS264" i="30301" s="1"/>
  <c r="C263" i="30312"/>
  <c r="C264" i="30312" s="1"/>
  <c r="L263" i="30311"/>
  <c r="L264" i="30311" s="1"/>
  <c r="AO263" i="30311"/>
  <c r="AO264" i="30311" s="1"/>
  <c r="AK263" i="30301"/>
  <c r="AK264" i="30301" s="1"/>
  <c r="C263" i="30301"/>
  <c r="C264" i="30301" s="1"/>
  <c r="T263" i="30301"/>
  <c r="T264" i="30301" s="1"/>
  <c r="F263" i="30312"/>
  <c r="F264" i="30312" s="1"/>
  <c r="S263" i="30311"/>
  <c r="S264" i="30311" s="1"/>
  <c r="E263" i="30301"/>
  <c r="E264" i="30301" s="1"/>
  <c r="R263" i="30301"/>
  <c r="R264" i="30301" s="1"/>
  <c r="W263" i="30301"/>
  <c r="W264" i="30301" s="1"/>
  <c r="I263" i="30301"/>
  <c r="I264" i="30301" s="1"/>
  <c r="Q263" i="30301"/>
  <c r="Q264" i="30301" s="1"/>
  <c r="AN263" i="30301"/>
  <c r="AN264" i="30301" s="1"/>
  <c r="P263" i="30301"/>
  <c r="P264" i="30301" s="1"/>
  <c r="E263" i="30312"/>
  <c r="E264" i="30312" s="1"/>
  <c r="Q263" i="30311"/>
  <c r="Q264" i="30311" s="1"/>
  <c r="AH263" i="30311"/>
  <c r="AH264" i="30311" s="1"/>
  <c r="G263" i="30311"/>
  <c r="G264" i="30311" s="1"/>
  <c r="F263" i="30298"/>
  <c r="F264" i="30298" s="1"/>
  <c r="K263" i="30301"/>
  <c r="K264" i="30301" s="1"/>
  <c r="AV263" i="30301"/>
  <c r="AV264" i="30301" s="1"/>
  <c r="B263" i="30311"/>
  <c r="B264" i="30311" s="1"/>
  <c r="C263" i="30298"/>
  <c r="C264" i="30298" s="1"/>
  <c r="D263" i="30301"/>
  <c r="D264" i="30301" s="1"/>
  <c r="AD263" i="30301"/>
  <c r="AD264" i="30301" s="1"/>
  <c r="AM263" i="30311"/>
  <c r="AM264" i="30311" s="1"/>
  <c r="C263" i="30311"/>
  <c r="C264" i="30311" s="1"/>
  <c r="M263" i="30311"/>
  <c r="M264" i="30311" s="1"/>
  <c r="G263" i="30298"/>
  <c r="G264" i="30298" s="1"/>
  <c r="D263" i="30298"/>
  <c r="D264" i="30298" s="1"/>
  <c r="AU263" i="30301"/>
  <c r="AU264" i="30301" s="1"/>
  <c r="Y263" i="30301"/>
  <c r="Y264" i="30301" s="1"/>
  <c r="M263" i="30301"/>
  <c r="M264" i="30301" s="1"/>
  <c r="AR263" i="30311"/>
  <c r="AR264" i="30311" s="1"/>
  <c r="AL263" i="30311"/>
  <c r="AL264" i="30311" s="1"/>
  <c r="X263" i="30311"/>
  <c r="X264" i="30311" s="1"/>
  <c r="AL263" i="30301"/>
  <c r="AL264" i="30301" s="1"/>
  <c r="AI263" i="30312"/>
  <c r="AI264" i="30312" s="1"/>
  <c r="G263" i="30312"/>
  <c r="G264" i="30312" s="1"/>
  <c r="U263" i="30311"/>
  <c r="U264" i="30311" s="1"/>
  <c r="X263" i="30301"/>
  <c r="X264" i="30301" s="1"/>
  <c r="G263" i="30301"/>
  <c r="G264" i="30301" s="1"/>
  <c r="AO263" i="30301"/>
  <c r="AO264" i="30301" s="1"/>
  <c r="Z263" i="30301"/>
  <c r="Z264" i="30301" s="1"/>
  <c r="AA263" i="30311"/>
  <c r="AA264" i="30311" s="1"/>
  <c r="E263" i="30298"/>
  <c r="E264" i="30298" s="1"/>
  <c r="F263" i="30311"/>
  <c r="F264" i="30311" s="1"/>
  <c r="R263" i="30311"/>
  <c r="R264" i="30311" s="1"/>
  <c r="AE263" i="30301"/>
  <c r="AE264" i="30301" s="1"/>
  <c r="Z263" i="30311"/>
  <c r="Z264" i="30311" s="1"/>
  <c r="AN263" i="30311"/>
  <c r="AN264" i="30311" s="1"/>
  <c r="B263" i="30300"/>
  <c r="B264" i="30300" s="1"/>
  <c r="J263" i="30311"/>
  <c r="J264" i="30311" s="1"/>
  <c r="AU263" i="30311"/>
  <c r="AU264" i="30311" s="1"/>
  <c r="D263" i="30300"/>
  <c r="D264" i="30300" s="1"/>
  <c r="AH263" i="30301"/>
  <c r="AH264" i="30301" s="1"/>
  <c r="AI263" i="30301"/>
  <c r="AI264" i="30301" s="1"/>
  <c r="N263" i="30301"/>
  <c r="N264" i="30301" s="1"/>
  <c r="AP263" i="30311"/>
  <c r="AP264" i="30311" s="1"/>
  <c r="Y263" i="30311"/>
  <c r="Y264" i="30311" s="1"/>
  <c r="C263" i="30300"/>
  <c r="C264" i="30300" s="1"/>
  <c r="N263" i="30298"/>
  <c r="N264" i="30298" s="1"/>
  <c r="J263" i="30301"/>
  <c r="J264" i="30301" s="1"/>
  <c r="S263" i="30301"/>
  <c r="S264" i="30301" s="1"/>
  <c r="AF263" i="30311"/>
  <c r="AF264" i="30311" s="1"/>
  <c r="T263" i="30311"/>
  <c r="T264" i="30311" s="1"/>
  <c r="AT263" i="30311"/>
  <c r="AT264" i="30311" s="1"/>
  <c r="W263" i="30311"/>
  <c r="W264" i="30311" s="1"/>
  <c r="G263" i="30300"/>
  <c r="G264" i="30300" s="1"/>
  <c r="U263" i="30301"/>
  <c r="U264" i="30301" s="1"/>
  <c r="AP263" i="30312"/>
  <c r="AP264" i="30312" s="1"/>
  <c r="AV263" i="30311"/>
  <c r="AV264" i="30311" s="1"/>
  <c r="S263" i="30300"/>
  <c r="S264" i="30300" s="1"/>
  <c r="F263" i="30300"/>
  <c r="F264" i="30300" s="1"/>
  <c r="AG263" i="30301"/>
  <c r="AG264" i="30301" s="1"/>
  <c r="AI263" i="30311"/>
  <c r="AI264" i="30311" s="1"/>
  <c r="E263" i="30311"/>
  <c r="E264" i="30311" s="1"/>
  <c r="AS263" i="30311"/>
  <c r="AS264" i="30311" s="1"/>
  <c r="AM263" i="30301"/>
  <c r="AM264" i="30301" s="1"/>
  <c r="N263" i="30312"/>
  <c r="N264" i="30312" s="1"/>
  <c r="L263" i="30300"/>
  <c r="L264" i="30300" s="1"/>
  <c r="AW263" i="30301"/>
  <c r="AW264" i="30301" s="1"/>
  <c r="AG263" i="30311"/>
  <c r="AG264" i="30311" s="1"/>
  <c r="D263" i="30311"/>
  <c r="D264" i="30311" s="1"/>
  <c r="P263" i="30311"/>
  <c r="P264" i="30311" s="1"/>
  <c r="I263" i="30311"/>
  <c r="I264" i="30311" s="1"/>
  <c r="J263" i="30300"/>
  <c r="J264" i="30300" s="1"/>
  <c r="U263" i="30300"/>
  <c r="U264" i="30300" s="1"/>
  <c r="I263" i="30300"/>
  <c r="I264" i="30300" s="1"/>
  <c r="D263" i="30312"/>
  <c r="D264" i="30312" s="1"/>
  <c r="B263" i="30312"/>
  <c r="B264" i="30312" s="1"/>
  <c r="AB263" i="30311"/>
  <c r="AB264" i="30311" s="1"/>
  <c r="AB263" i="30301"/>
  <c r="AB264" i="30301" s="1"/>
  <c r="AW263" i="30312"/>
  <c r="AW264" i="30312" s="1"/>
  <c r="E263" i="30300"/>
  <c r="E264" i="30300" s="1"/>
  <c r="AH263" i="30300"/>
  <c r="AH264" i="30300" s="1"/>
  <c r="B263" i="30298"/>
  <c r="B264" i="30298" s="1"/>
  <c r="AT263" i="30301"/>
  <c r="AT264" i="30301" s="1"/>
  <c r="AF263" i="30301"/>
  <c r="AF264" i="30301" s="1"/>
  <c r="AB263" i="30312"/>
  <c r="AB264" i="30312" s="1"/>
  <c r="AW263" i="30311"/>
  <c r="AW264" i="30311" s="1"/>
  <c r="M263" i="30300"/>
  <c r="M264" i="30300" s="1"/>
  <c r="T263" i="30300"/>
  <c r="T264" i="30300" s="1"/>
  <c r="AI263" i="30298"/>
  <c r="AI264" i="30298" s="1"/>
  <c r="AP263" i="30301"/>
  <c r="AP264" i="30301" s="1"/>
  <c r="F263" i="30301"/>
  <c r="F264" i="30301" s="1"/>
  <c r="N263" i="30311"/>
  <c r="N264" i="30311" s="1"/>
  <c r="K263" i="30311"/>
  <c r="K264" i="30311" s="1"/>
  <c r="AE263" i="30311"/>
  <c r="AE264" i="30311" s="1"/>
  <c r="K263" i="30300"/>
  <c r="K264" i="30300" s="1"/>
  <c r="AP263" i="30298"/>
  <c r="AP264" i="30298" s="1"/>
  <c r="AA263" i="30300"/>
  <c r="AA264" i="30300" s="1"/>
  <c r="U263" i="30298"/>
  <c r="U264" i="30298" s="1"/>
  <c r="AB263" i="30300"/>
  <c r="AB264" i="30300" s="1"/>
  <c r="AW263" i="30298"/>
  <c r="AW264" i="30298" s="1"/>
  <c r="P263" i="30300"/>
  <c r="P264" i="30300" s="1"/>
  <c r="N263" i="30300"/>
  <c r="N264" i="30300" s="1"/>
  <c r="Q263" i="30300"/>
  <c r="Q264" i="30300" s="1"/>
  <c r="AI263" i="30300"/>
  <c r="AI264" i="30300" s="1"/>
  <c r="AU263" i="30300"/>
  <c r="AU264" i="30300" s="1"/>
  <c r="R263" i="30300"/>
  <c r="R264" i="30300" s="1"/>
  <c r="AO263" i="30300"/>
  <c r="AO264" i="30300" s="1"/>
  <c r="AB263" i="30298"/>
  <c r="AB264" i="30298" s="1"/>
  <c r="U263" i="30312"/>
  <c r="U264" i="30312" s="1"/>
  <c r="AN263" i="30300"/>
  <c r="AN264" i="30300" s="1"/>
  <c r="AG263" i="30300"/>
  <c r="AG264" i="30300" s="1"/>
  <c r="AD263" i="30300"/>
  <c r="AD264" i="30300" s="1"/>
  <c r="Y263" i="30300"/>
  <c r="Y264" i="30300" s="1"/>
  <c r="B263" i="30290"/>
  <c r="B264" i="30290" s="1"/>
  <c r="B266" i="30290" s="1"/>
  <c r="C263" i="30290"/>
  <c r="C264" i="30290" s="1"/>
  <c r="AP263" i="30300"/>
  <c r="AP264" i="30300" s="1"/>
  <c r="AV263" i="30300"/>
  <c r="AV264" i="30300" s="1"/>
  <c r="D263" i="30290"/>
  <c r="D264" i="30290" s="1"/>
  <c r="Z263" i="30300"/>
  <c r="Z264" i="30300" s="1"/>
  <c r="AF263" i="30300"/>
  <c r="AF264" i="30300" s="1"/>
  <c r="X263" i="30300"/>
  <c r="X264" i="30300" s="1"/>
  <c r="R263" i="30290"/>
  <c r="R264" i="30290" s="1"/>
  <c r="L263" i="30290"/>
  <c r="L264" i="30290" s="1"/>
  <c r="AA263" i="30290"/>
  <c r="AA264" i="30290" s="1"/>
  <c r="AM263" i="30300"/>
  <c r="AM264" i="30300" s="1"/>
  <c r="AH263" i="30290"/>
  <c r="AH264" i="30290" s="1"/>
  <c r="AE263" i="30300"/>
  <c r="AE264" i="30300" s="1"/>
  <c r="F263" i="30290"/>
  <c r="F264" i="30290" s="1"/>
  <c r="AV263" i="30290"/>
  <c r="AV264" i="30290" s="1"/>
  <c r="AW263" i="30300"/>
  <c r="AW264" i="30300" s="1"/>
  <c r="W263" i="30300"/>
  <c r="W264" i="30300" s="1"/>
  <c r="P263" i="30290"/>
  <c r="P264" i="30290" s="1"/>
  <c r="I263" i="30290"/>
  <c r="I264" i="30290" s="1"/>
  <c r="J263" i="30290"/>
  <c r="J264" i="30290" s="1"/>
  <c r="E263" i="30290"/>
  <c r="E264" i="30290" s="1"/>
  <c r="Q263" i="30290"/>
  <c r="Q264" i="30290" s="1"/>
  <c r="AO263" i="30290"/>
  <c r="AO264" i="30290" s="1"/>
  <c r="N263" i="30290"/>
  <c r="N264" i="30290" s="1"/>
  <c r="W263" i="30290"/>
  <c r="W264" i="30290" s="1"/>
  <c r="G263" i="30290"/>
  <c r="G264" i="30290" s="1"/>
  <c r="AN263" i="30290"/>
  <c r="AN264" i="30290" s="1"/>
  <c r="AL263" i="30300"/>
  <c r="AL264" i="30300" s="1"/>
  <c r="M263" i="30290"/>
  <c r="M264" i="30290" s="1"/>
  <c r="K263" i="30290"/>
  <c r="K264" i="30290" s="1"/>
  <c r="S263" i="30290"/>
  <c r="S264" i="30290" s="1"/>
  <c r="Z263" i="30290"/>
  <c r="Z264" i="30290" s="1"/>
  <c r="AK263" i="30300"/>
  <c r="AK264" i="30300" s="1"/>
  <c r="U263" i="30290"/>
  <c r="U264" i="30290" s="1"/>
  <c r="AR263" i="30300"/>
  <c r="AR264" i="30300" s="1"/>
  <c r="AW263" i="30290"/>
  <c r="AW264" i="30290" s="1"/>
  <c r="AU263" i="30290"/>
  <c r="AU264" i="30290" s="1"/>
  <c r="Y263" i="30290"/>
  <c r="Y264" i="30290" s="1"/>
  <c r="AP263" i="30290"/>
  <c r="AP264" i="30290" s="1"/>
  <c r="AT263" i="30300"/>
  <c r="AT264" i="30300" s="1"/>
  <c r="AE263" i="30290"/>
  <c r="AE264" i="30290" s="1"/>
  <c r="T263" i="30290"/>
  <c r="T264" i="30290" s="1"/>
  <c r="AI263" i="30290"/>
  <c r="AI264" i="30290" s="1"/>
  <c r="AS263" i="30300"/>
  <c r="AS264" i="30300" s="1"/>
  <c r="AD263" i="30290"/>
  <c r="AD264" i="30290" s="1"/>
  <c r="AB263" i="30290"/>
  <c r="AB264" i="30290" s="1"/>
  <c r="AF263" i="30290"/>
  <c r="AF264" i="30290" s="1"/>
  <c r="AK263" i="30290"/>
  <c r="AK264" i="30290" s="1"/>
  <c r="X263" i="30290"/>
  <c r="X264" i="30290" s="1"/>
  <c r="AM263" i="30290"/>
  <c r="AM264" i="30290" s="1"/>
  <c r="AG263" i="30290"/>
  <c r="AG264" i="30290" s="1"/>
  <c r="AL263" i="30290"/>
  <c r="AL264" i="30290" s="1"/>
  <c r="AS263" i="30290"/>
  <c r="AS264" i="30290" s="1"/>
  <c r="AR263" i="30290"/>
  <c r="AR264" i="30290" s="1"/>
  <c r="AT263" i="30290"/>
  <c r="AT264" i="30290" s="1"/>
  <c r="AK263" i="30298"/>
  <c r="AK264" i="30298" s="1"/>
  <c r="AF263" i="30298"/>
  <c r="AF264" i="30298" s="1"/>
  <c r="AA263" i="30298"/>
  <c r="AA264" i="30298" s="1"/>
  <c r="AG263" i="30298"/>
  <c r="AG264" i="30298" s="1"/>
  <c r="AL263" i="30298"/>
  <c r="AL264" i="30298" s="1"/>
  <c r="AU263" i="30298"/>
  <c r="AU264" i="30298" s="1"/>
  <c r="AD263" i="30312"/>
  <c r="AD264" i="30312" s="1"/>
  <c r="Q263" i="30312"/>
  <c r="Q264" i="30312" s="1"/>
  <c r="P263" i="30312"/>
  <c r="P264" i="30312" s="1"/>
  <c r="X263" i="30312"/>
  <c r="X264" i="30312" s="1"/>
  <c r="AN263" i="30312"/>
  <c r="AN264" i="30312" s="1"/>
  <c r="AG263" i="30312"/>
  <c r="AG264" i="30312" s="1"/>
  <c r="AV263" i="30298"/>
  <c r="AV264" i="30298" s="1"/>
  <c r="AH263" i="30298"/>
  <c r="AH264" i="30298" s="1"/>
  <c r="S263" i="30312"/>
  <c r="S264" i="30312" s="1"/>
  <c r="R263" i="30298"/>
  <c r="R264" i="30298" s="1"/>
  <c r="W263" i="30298"/>
  <c r="W264" i="30298" s="1"/>
  <c r="AK263" i="30312"/>
  <c r="AK264" i="30312" s="1"/>
  <c r="M263" i="30298"/>
  <c r="M264" i="30298" s="1"/>
  <c r="AS263" i="30298"/>
  <c r="AS264" i="30298" s="1"/>
  <c r="AO263" i="30312"/>
  <c r="AO264" i="30312" s="1"/>
  <c r="Q263" i="30298"/>
  <c r="Q264" i="30298" s="1"/>
  <c r="R263" i="30312"/>
  <c r="R264" i="30312" s="1"/>
  <c r="I263" i="30298"/>
  <c r="I264" i="30298" s="1"/>
  <c r="AD263" i="30298"/>
  <c r="AD264" i="30298" s="1"/>
  <c r="P263" i="30298"/>
  <c r="P264" i="30298" s="1"/>
  <c r="Z263" i="30312"/>
  <c r="Z264" i="30312" s="1"/>
  <c r="AH263" i="30312"/>
  <c r="AH264" i="30312" s="1"/>
  <c r="AT263" i="30312"/>
  <c r="AT264" i="30312" s="1"/>
  <c r="T263" i="30312"/>
  <c r="T264" i="30312" s="1"/>
  <c r="W263" i="30312"/>
  <c r="W264" i="30312" s="1"/>
  <c r="AA263" i="30312"/>
  <c r="AA264" i="30312" s="1"/>
  <c r="Y263" i="30298"/>
  <c r="Y264" i="30298" s="1"/>
  <c r="AE263" i="30298"/>
  <c r="AE264" i="30298" s="1"/>
  <c r="I263" i="30312"/>
  <c r="I264" i="30312" s="1"/>
  <c r="Z263" i="30298"/>
  <c r="Z264" i="30298" s="1"/>
  <c r="J263" i="30298"/>
  <c r="J264" i="30298" s="1"/>
  <c r="AV263" i="30312"/>
  <c r="AV264" i="30312" s="1"/>
  <c r="AM263" i="30312"/>
  <c r="AM264" i="30312" s="1"/>
  <c r="AF263" i="30312"/>
  <c r="AF264" i="30312" s="1"/>
  <c r="L263" i="30312"/>
  <c r="L264" i="30312" s="1"/>
  <c r="K263" i="30298"/>
  <c r="K264" i="30298" s="1"/>
  <c r="AN263" i="30298"/>
  <c r="AN264" i="30298" s="1"/>
  <c r="J263" i="30312"/>
  <c r="J264" i="30312" s="1"/>
  <c r="AS263" i="30312"/>
  <c r="AS264" i="30312" s="1"/>
  <c r="L263" i="30298"/>
  <c r="L264" i="30298" s="1"/>
  <c r="K263" i="30312"/>
  <c r="K264" i="30312" s="1"/>
  <c r="AO263" i="30298"/>
  <c r="AO264" i="30298" s="1"/>
  <c r="AR263" i="30298"/>
  <c r="AR264" i="30298" s="1"/>
  <c r="X263" i="30298"/>
  <c r="X264" i="30298" s="1"/>
  <c r="AE263" i="30312"/>
  <c r="AE264" i="30312" s="1"/>
  <c r="AU263" i="30312"/>
  <c r="AU264" i="30312" s="1"/>
  <c r="Y263" i="30312"/>
  <c r="Y264" i="30312" s="1"/>
  <c r="S263" i="30298"/>
  <c r="S264" i="30298" s="1"/>
  <c r="AR263" i="30312"/>
  <c r="AR264" i="30312" s="1"/>
  <c r="AT263" i="30298"/>
  <c r="AT264" i="30298" s="1"/>
  <c r="AM263" i="30298"/>
  <c r="AM264" i="30298" s="1"/>
  <c r="M263" i="30312"/>
  <c r="M264" i="30312" s="1"/>
  <c r="AL263" i="30312"/>
  <c r="AL264" i="30312" s="1"/>
  <c r="T263" i="30298"/>
  <c r="T264" i="30298" s="1"/>
  <c r="B267" i="30295"/>
  <c r="F267" i="30295"/>
  <c r="E267" i="30295"/>
  <c r="G267" i="30295"/>
  <c r="D267" i="30295"/>
  <c r="C267" i="30295"/>
  <c r="G346" i="30294"/>
  <c r="G351" i="30294" s="1"/>
  <c r="G267" i="30294"/>
  <c r="F346" i="30294"/>
  <c r="F351" i="30294" s="1"/>
  <c r="F267" i="30294"/>
  <c r="E346" i="30294"/>
  <c r="E351" i="30294" s="1"/>
  <c r="E267" i="30294"/>
  <c r="C346" i="30294"/>
  <c r="C351" i="30294" s="1"/>
  <c r="C267" i="30294"/>
  <c r="B346" i="30294"/>
  <c r="B351" i="30294" s="1"/>
  <c r="B267" i="30294"/>
  <c r="D346" i="30294"/>
  <c r="D351" i="30294" s="1"/>
  <c r="D267" i="30294"/>
  <c r="AA27" i="30308"/>
  <c r="D346" i="30295"/>
  <c r="D351" i="30295" s="1"/>
  <c r="G346" i="30295"/>
  <c r="G351" i="30295" s="1"/>
  <c r="B346" i="30295"/>
  <c r="C346" i="30295"/>
  <c r="C351" i="30295" s="1"/>
  <c r="F346" i="30295"/>
  <c r="F351" i="30295" s="1"/>
  <c r="E346" i="30295"/>
  <c r="E351" i="30295" s="1"/>
  <c r="Z24" i="30308"/>
  <c r="AA29" i="30308"/>
  <c r="AD30" i="30308"/>
  <c r="AC29" i="30308"/>
  <c r="AA9" i="30308"/>
  <c r="Z8" i="30308"/>
  <c r="AC6" i="30308"/>
  <c r="AB7" i="30308"/>
  <c r="AC5" i="30308"/>
  <c r="AD8" i="30308"/>
  <c r="AB5" i="30308"/>
  <c r="Z7" i="30308"/>
  <c r="AA10" i="30308"/>
  <c r="Z9" i="30308"/>
  <c r="AB10" i="30308"/>
  <c r="AD6" i="30308"/>
  <c r="AC7" i="30308"/>
  <c r="Z10" i="30308"/>
  <c r="AD9" i="30308"/>
  <c r="AD7" i="30308"/>
  <c r="AC10" i="30308"/>
  <c r="AA7" i="30308"/>
  <c r="AB6" i="30308"/>
  <c r="AB8" i="30308"/>
  <c r="AB9" i="30308"/>
  <c r="AD5" i="30308"/>
  <c r="Z6" i="30308"/>
  <c r="AC8" i="30308"/>
  <c r="AA6" i="30308"/>
  <c r="AD10" i="30308"/>
  <c r="AC9" i="30308"/>
  <c r="AA8" i="30308"/>
  <c r="Z5" i="30308"/>
  <c r="AA30" i="30308"/>
  <c r="AE26" i="30308"/>
  <c r="H37" i="30291" s="1"/>
  <c r="AC27" i="30308"/>
  <c r="AB26" i="30308"/>
  <c r="AB14" i="30308"/>
  <c r="AB25" i="30308"/>
  <c r="AB29" i="30308"/>
  <c r="Z26" i="30308"/>
  <c r="AD14" i="30308"/>
  <c r="Z25" i="30308"/>
  <c r="AE14" i="30308"/>
  <c r="Z34" i="30308"/>
  <c r="AE28" i="30308"/>
  <c r="AE29" i="30308"/>
  <c r="AD29" i="30308"/>
  <c r="AE34" i="30308"/>
  <c r="Z28" i="30308"/>
  <c r="AC14" i="30308"/>
  <c r="AA34" i="30308"/>
  <c r="AD28" i="30308"/>
  <c r="Z27" i="30308"/>
  <c r="AC24" i="30308"/>
  <c r="AC34" i="30308"/>
  <c r="AD26" i="30308"/>
  <c r="AA28" i="30308"/>
  <c r="AE24" i="30308"/>
  <c r="AD34" i="30308"/>
  <c r="AA25" i="30308"/>
  <c r="AC25" i="30308"/>
  <c r="Z14" i="30308"/>
  <c r="AA24" i="30308"/>
  <c r="AD24" i="30308"/>
  <c r="AB28" i="30308"/>
  <c r="AA14" i="30308"/>
  <c r="AD27" i="30308"/>
  <c r="AC28" i="30308"/>
  <c r="AB34" i="30308"/>
  <c r="AB24" i="30308"/>
  <c r="Z29" i="30308"/>
  <c r="AT69" i="30308"/>
  <c r="C345" i="30294"/>
  <c r="AI14" i="30308"/>
  <c r="AQ14" i="30308" s="1"/>
  <c r="AP66" i="30308"/>
  <c r="AP70" i="30308"/>
  <c r="AK25" i="30308"/>
  <c r="AS25" i="30308" s="1"/>
  <c r="AR74" i="30308"/>
  <c r="AH26" i="30308"/>
  <c r="AP26" i="30308" s="1"/>
  <c r="AR67" i="30308"/>
  <c r="AH30" i="30308"/>
  <c r="AP30" i="30308" s="1"/>
  <c r="AK27" i="30308"/>
  <c r="AS27" i="30308" s="1"/>
  <c r="AJ24" i="30308"/>
  <c r="AR24" i="30308" s="1"/>
  <c r="AK30" i="30308"/>
  <c r="AS30" i="30308" s="1"/>
  <c r="AS70" i="30308"/>
  <c r="AJ27" i="30308"/>
  <c r="AR27" i="30308" s="1"/>
  <c r="AL24" i="30308"/>
  <c r="AT24" i="30308" s="1"/>
  <c r="AP69" i="30308"/>
  <c r="AS66" i="30308"/>
  <c r="AI26" i="30308"/>
  <c r="AQ26" i="30308" s="1"/>
  <c r="AI24" i="30308"/>
  <c r="AQ24" i="30308" s="1"/>
  <c r="AE27" i="30308"/>
  <c r="AP68" i="30308"/>
  <c r="AL30" i="30308"/>
  <c r="AT30" i="30308" s="1"/>
  <c r="AJ29" i="30308"/>
  <c r="AR29" i="30308" s="1"/>
  <c r="AI30" i="30308"/>
  <c r="AQ30" i="30308" s="1"/>
  <c r="AD25" i="30308"/>
  <c r="AP64" i="30308"/>
  <c r="AM28" i="30308"/>
  <c r="AT74" i="30308"/>
  <c r="AK29" i="30308"/>
  <c r="AS29" i="30308" s="1"/>
  <c r="AK26" i="30308"/>
  <c r="AS26" i="30308" s="1"/>
  <c r="AM27" i="30308"/>
  <c r="AJ26" i="30308"/>
  <c r="AR26" i="30308" s="1"/>
  <c r="AS69" i="30308"/>
  <c r="AM24" i="30308"/>
  <c r="AU24" i="30308" s="1"/>
  <c r="AL27" i="30308"/>
  <c r="AT27" i="30308" s="1"/>
  <c r="AJ30" i="30308"/>
  <c r="AR30" i="30308" s="1"/>
  <c r="AI27" i="30308"/>
  <c r="AQ27" i="30308" s="1"/>
  <c r="AR69" i="30308"/>
  <c r="AQ66" i="30308"/>
  <c r="AK24" i="30308"/>
  <c r="AS24" i="30308" s="1"/>
  <c r="D345" i="30294"/>
  <c r="AJ14" i="30308"/>
  <c r="AR14" i="30308" s="1"/>
  <c r="F345" i="30294"/>
  <c r="AL14" i="30308"/>
  <c r="AT14" i="30308" s="1"/>
  <c r="AM29" i="30308"/>
  <c r="AT67" i="30308"/>
  <c r="AI29" i="30308"/>
  <c r="AQ29" i="30308" s="1"/>
  <c r="AS74" i="30308"/>
  <c r="AT64" i="30308"/>
  <c r="AQ74" i="30308"/>
  <c r="AR68" i="30308"/>
  <c r="AI28" i="30308"/>
  <c r="AQ28" i="30308" s="1"/>
  <c r="AI25" i="30308"/>
  <c r="AQ25" i="30308" s="1"/>
  <c r="G345" i="30295"/>
  <c r="AM34" i="30308"/>
  <c r="AU34" i="30308" s="1"/>
  <c r="AH29" i="30308"/>
  <c r="AP29" i="30308" s="1"/>
  <c r="AQ67" i="30308"/>
  <c r="AT70" i="30308"/>
  <c r="AJ28" i="30308"/>
  <c r="AK28" i="30308"/>
  <c r="AS28" i="30308" s="1"/>
  <c r="AL25" i="30308"/>
  <c r="AT25" i="30308" s="1"/>
  <c r="E345" i="30295"/>
  <c r="AK34" i="30308"/>
  <c r="AS34" i="30308" s="1"/>
  <c r="AM25" i="30308"/>
  <c r="AQ70" i="30308"/>
  <c r="AM26" i="30308"/>
  <c r="AQ64" i="30308"/>
  <c r="AL29" i="30308"/>
  <c r="AT29" i="30308" s="1"/>
  <c r="AL28" i="30308"/>
  <c r="AT28" i="30308" s="1"/>
  <c r="AR66" i="30308"/>
  <c r="AT66" i="30308"/>
  <c r="AL26" i="30308"/>
  <c r="AT26" i="30308" s="1"/>
  <c r="AQ69" i="30308"/>
  <c r="AT68" i="30308"/>
  <c r="AR70" i="30308"/>
  <c r="C345" i="30295"/>
  <c r="AI34" i="30308"/>
  <c r="AQ34" i="30308" s="1"/>
  <c r="D345" i="30295"/>
  <c r="AJ34" i="30308"/>
  <c r="AR34" i="30308" s="1"/>
  <c r="B345" i="30295"/>
  <c r="AH34" i="30308"/>
  <c r="AP34" i="30308" s="1"/>
  <c r="AC26" i="30308"/>
  <c r="AS67" i="30308"/>
  <c r="E345" i="30294"/>
  <c r="AK14" i="30308"/>
  <c r="AS14" i="30308" s="1"/>
  <c r="AQ68" i="30308"/>
  <c r="F345" i="30295"/>
  <c r="AL34" i="30308"/>
  <c r="AT34" i="30308" s="1"/>
  <c r="AU74" i="30308"/>
  <c r="AS68" i="30308"/>
  <c r="AH25" i="30308"/>
  <c r="AP25" i="30308" s="1"/>
  <c r="AH27" i="30308"/>
  <c r="AP27" i="30308" s="1"/>
  <c r="AA26" i="30308"/>
  <c r="G345" i="30294"/>
  <c r="AM14" i="30308"/>
  <c r="AU14" i="30308" s="1"/>
  <c r="AR64" i="30308"/>
  <c r="AJ25" i="30308"/>
  <c r="AR25" i="30308" s="1"/>
  <c r="AM30" i="30308"/>
  <c r="AP74" i="30308"/>
  <c r="AH28" i="30308"/>
  <c r="AP28" i="30308" s="1"/>
  <c r="AP67" i="30308"/>
  <c r="AB27" i="30308"/>
  <c r="AH24" i="30308"/>
  <c r="AP24" i="30308" s="1"/>
  <c r="B345" i="30294"/>
  <c r="AH14" i="30308"/>
  <c r="AP14" i="30308" s="1"/>
  <c r="D343" i="30295"/>
  <c r="F343" i="30295"/>
  <c r="G343" i="30295"/>
  <c r="C343" i="30295"/>
  <c r="B343" i="30295"/>
  <c r="E343" i="30295"/>
  <c r="E343" i="30294"/>
  <c r="C343" i="30294"/>
  <c r="B343" i="30294"/>
  <c r="D343" i="30294"/>
  <c r="G343" i="30294"/>
  <c r="F343" i="30294"/>
  <c r="F263" i="30295"/>
  <c r="F264" i="30295" s="1"/>
  <c r="F266" i="30295" s="1"/>
  <c r="E263" i="30295"/>
  <c r="E264" i="30295" s="1"/>
  <c r="E266" i="30295" s="1"/>
  <c r="G263" i="30295"/>
  <c r="G264" i="30295" s="1"/>
  <c r="G266" i="30295" s="1"/>
  <c r="C263" i="30295"/>
  <c r="C264" i="30295" s="1"/>
  <c r="C266" i="30295" s="1"/>
  <c r="B263" i="30295"/>
  <c r="B264" i="30295" s="1"/>
  <c r="B266" i="30295" s="1"/>
  <c r="D263" i="30295"/>
  <c r="D264" i="30295" s="1"/>
  <c r="D266" i="30295" s="1"/>
  <c r="D263" i="30294"/>
  <c r="D264" i="30294" s="1"/>
  <c r="E263" i="30294"/>
  <c r="E264" i="30294" s="1"/>
  <c r="C263" i="30294"/>
  <c r="C264" i="30294" s="1"/>
  <c r="B263" i="30294"/>
  <c r="B264" i="30294" s="1"/>
  <c r="G263" i="30294"/>
  <c r="G264" i="30294" s="1"/>
  <c r="F263" i="30294"/>
  <c r="F264" i="30294" s="1"/>
  <c r="FQ208" i="30248"/>
  <c r="FN208" i="30248"/>
  <c r="FM208" i="30248"/>
  <c r="FO208" i="30248"/>
  <c r="FO186" i="30248"/>
  <c r="FM187" i="30248"/>
  <c r="FO193" i="30248"/>
  <c r="FM188" i="30248"/>
  <c r="FP191" i="30248"/>
  <c r="FM209" i="30248"/>
  <c r="FO211" i="30248"/>
  <c r="FQ214" i="30248"/>
  <c r="FO215" i="30248"/>
  <c r="FM216" i="30248"/>
  <c r="FP183" i="30248"/>
  <c r="FN183" i="30248"/>
  <c r="FM186" i="30248"/>
  <c r="FP173" i="30248"/>
  <c r="FQ189" i="30248"/>
  <c r="FM190" i="30248"/>
  <c r="FQ212" i="30248"/>
  <c r="G38" i="30291" l="1"/>
  <c r="E38" i="30291"/>
  <c r="C38" i="30291"/>
  <c r="D38" i="30291"/>
  <c r="C37" i="30291"/>
  <c r="AE270" i="30298"/>
  <c r="AE266" i="30298"/>
  <c r="J270" i="30312"/>
  <c r="J266" i="30312"/>
  <c r="S270" i="30298"/>
  <c r="S266" i="30298"/>
  <c r="K270" i="30298"/>
  <c r="K266" i="30298"/>
  <c r="T270" i="30312"/>
  <c r="T266" i="30312"/>
  <c r="AK270" i="30312"/>
  <c r="AK266" i="30312"/>
  <c r="AU270" i="30298"/>
  <c r="AU266" i="30298"/>
  <c r="X270" i="30290"/>
  <c r="X266" i="30290"/>
  <c r="AU270" i="30290"/>
  <c r="AU266" i="30290"/>
  <c r="W270" i="30290"/>
  <c r="W266" i="30290"/>
  <c r="AE270" i="30300"/>
  <c r="AE266" i="30300"/>
  <c r="C266" i="30290"/>
  <c r="C270" i="30290"/>
  <c r="Q270" i="30300"/>
  <c r="Q266" i="30300"/>
  <c r="F266" i="30301"/>
  <c r="F270" i="30301"/>
  <c r="AW270" i="30312"/>
  <c r="AW266" i="30312"/>
  <c r="AW270" i="30301"/>
  <c r="AW266" i="30301"/>
  <c r="U270" i="30301"/>
  <c r="U266" i="30301"/>
  <c r="N270" i="30301"/>
  <c r="N266" i="30301"/>
  <c r="E270" i="30298"/>
  <c r="E266" i="30298"/>
  <c r="AR270" i="30311"/>
  <c r="AR266" i="30311"/>
  <c r="B266" i="30311"/>
  <c r="B270" i="30311"/>
  <c r="W270" i="30301"/>
  <c r="W266" i="30301"/>
  <c r="AK270" i="30311"/>
  <c r="AK266" i="30311"/>
  <c r="M270" i="30312"/>
  <c r="M266" i="30312"/>
  <c r="AT270" i="30298"/>
  <c r="AT266" i="30298"/>
  <c r="Y270" i="30312"/>
  <c r="Y266" i="30312"/>
  <c r="L270" i="30312"/>
  <c r="L266" i="30312"/>
  <c r="AT270" i="30312"/>
  <c r="AT266" i="30312"/>
  <c r="W270" i="30298"/>
  <c r="W266" i="30298"/>
  <c r="AL270" i="30298"/>
  <c r="AL266" i="30298"/>
  <c r="AK270" i="30290"/>
  <c r="AK266" i="30290"/>
  <c r="AW270" i="30290"/>
  <c r="AW266" i="30290"/>
  <c r="N270" i="30290"/>
  <c r="N266" i="30290"/>
  <c r="AH270" i="30290"/>
  <c r="AH266" i="30290"/>
  <c r="B270" i="30290"/>
  <c r="N270" i="30300"/>
  <c r="N266" i="30300"/>
  <c r="AP270" i="30301"/>
  <c r="AP266" i="30301"/>
  <c r="AB270" i="30301"/>
  <c r="AB266" i="30301"/>
  <c r="L270" i="30300"/>
  <c r="L266" i="30300"/>
  <c r="G266" i="30300"/>
  <c r="G270" i="30300"/>
  <c r="AI270" i="30301"/>
  <c r="AI266" i="30301"/>
  <c r="AA270" i="30311"/>
  <c r="AA266" i="30311"/>
  <c r="M270" i="30301"/>
  <c r="M266" i="30301"/>
  <c r="AV270" i="30301"/>
  <c r="AV266" i="30301"/>
  <c r="R270" i="30301"/>
  <c r="R266" i="30301"/>
  <c r="B270" i="30301"/>
  <c r="B266" i="30301"/>
  <c r="AA270" i="30312"/>
  <c r="AA266" i="30312"/>
  <c r="AU270" i="30312"/>
  <c r="AU266" i="30312"/>
  <c r="AF270" i="30312"/>
  <c r="AF266" i="30312"/>
  <c r="AH270" i="30312"/>
  <c r="AH266" i="30312"/>
  <c r="R270" i="30298"/>
  <c r="R266" i="30298"/>
  <c r="AG270" i="30298"/>
  <c r="AG266" i="30298"/>
  <c r="AF270" i="30290"/>
  <c r="AF266" i="30290"/>
  <c r="AR270" i="30300"/>
  <c r="AR266" i="30300"/>
  <c r="AO270" i="30290"/>
  <c r="AO266" i="30290"/>
  <c r="AM270" i="30300"/>
  <c r="AM266" i="30300"/>
  <c r="Y270" i="30300"/>
  <c r="Y266" i="30300"/>
  <c r="P270" i="30300"/>
  <c r="P266" i="30300"/>
  <c r="AI270" i="30298"/>
  <c r="AI266" i="30298"/>
  <c r="AB270" i="30311"/>
  <c r="AB266" i="30311"/>
  <c r="N270" i="30312"/>
  <c r="N266" i="30312"/>
  <c r="W270" i="30311"/>
  <c r="W266" i="30311"/>
  <c r="AH270" i="30301"/>
  <c r="AH266" i="30301"/>
  <c r="Z270" i="30301"/>
  <c r="Z266" i="30301"/>
  <c r="Y270" i="30301"/>
  <c r="Y266" i="30301"/>
  <c r="K270" i="30301"/>
  <c r="K266" i="30301"/>
  <c r="E266" i="30301"/>
  <c r="E270" i="30301"/>
  <c r="L270" i="30301"/>
  <c r="L266" i="30301"/>
  <c r="AE270" i="30312"/>
  <c r="AE266" i="30312"/>
  <c r="AM270" i="30312"/>
  <c r="AM266" i="30312"/>
  <c r="Z270" i="30312"/>
  <c r="Z266" i="30312"/>
  <c r="S270" i="30312"/>
  <c r="S266" i="30312"/>
  <c r="AA270" i="30298"/>
  <c r="AA266" i="30298"/>
  <c r="AB270" i="30290"/>
  <c r="AB266" i="30290"/>
  <c r="U270" i="30290"/>
  <c r="U266" i="30290"/>
  <c r="Q270" i="30290"/>
  <c r="Q266" i="30290"/>
  <c r="AA270" i="30290"/>
  <c r="AA266" i="30290"/>
  <c r="AD270" i="30300"/>
  <c r="AD266" i="30300"/>
  <c r="AW270" i="30298"/>
  <c r="AW266" i="30298"/>
  <c r="T270" i="30300"/>
  <c r="T266" i="30300"/>
  <c r="B266" i="30312"/>
  <c r="B270" i="30312"/>
  <c r="AM270" i="30301"/>
  <c r="AM266" i="30301"/>
  <c r="AT270" i="30311"/>
  <c r="AT266" i="30311"/>
  <c r="D266" i="30300"/>
  <c r="D270" i="30300"/>
  <c r="AO270" i="30301"/>
  <c r="AO266" i="30301"/>
  <c r="AU270" i="30301"/>
  <c r="AU266" i="30301"/>
  <c r="F270" i="30298"/>
  <c r="F266" i="30298"/>
  <c r="S270" i="30311"/>
  <c r="S266" i="30311"/>
  <c r="AA270" i="30301"/>
  <c r="AA266" i="30301"/>
  <c r="X270" i="30298"/>
  <c r="X266" i="30298"/>
  <c r="AV270" i="30312"/>
  <c r="AV266" i="30312"/>
  <c r="P270" i="30298"/>
  <c r="P266" i="30298"/>
  <c r="AH270" i="30298"/>
  <c r="AH266" i="30298"/>
  <c r="AF270" i="30298"/>
  <c r="AF266" i="30298"/>
  <c r="AD270" i="30290"/>
  <c r="AD266" i="30290"/>
  <c r="AK270" i="30300"/>
  <c r="AK266" i="30300"/>
  <c r="E270" i="30290"/>
  <c r="E266" i="30290"/>
  <c r="L270" i="30290"/>
  <c r="L266" i="30290"/>
  <c r="AG270" i="30300"/>
  <c r="AG266" i="30300"/>
  <c r="AB270" i="30300"/>
  <c r="AB266" i="30300"/>
  <c r="M270" i="30300"/>
  <c r="M266" i="30300"/>
  <c r="D266" i="30312"/>
  <c r="D270" i="30312"/>
  <c r="AS270" i="30311"/>
  <c r="AS266" i="30311"/>
  <c r="T270" i="30311"/>
  <c r="T266" i="30311"/>
  <c r="AU270" i="30311"/>
  <c r="AU266" i="30311"/>
  <c r="G270" i="30301"/>
  <c r="G266" i="30301"/>
  <c r="D266" i="30298"/>
  <c r="D270" i="30298"/>
  <c r="G266" i="30311"/>
  <c r="G270" i="30311"/>
  <c r="F270" i="30312"/>
  <c r="F266" i="30312"/>
  <c r="AR270" i="30301"/>
  <c r="AR266" i="30301"/>
  <c r="AR270" i="30298"/>
  <c r="AR266" i="30298"/>
  <c r="J270" i="30298"/>
  <c r="J266" i="30298"/>
  <c r="AD270" i="30298"/>
  <c r="AD266" i="30298"/>
  <c r="AV270" i="30298"/>
  <c r="AV266" i="30298"/>
  <c r="AK270" i="30298"/>
  <c r="AK266" i="30298"/>
  <c r="AS270" i="30300"/>
  <c r="AS266" i="30300"/>
  <c r="Z270" i="30290"/>
  <c r="Z266" i="30290"/>
  <c r="J270" i="30290"/>
  <c r="J266" i="30290"/>
  <c r="R270" i="30290"/>
  <c r="R266" i="30290"/>
  <c r="AN270" i="30300"/>
  <c r="AN266" i="30300"/>
  <c r="U270" i="30298"/>
  <c r="U266" i="30298"/>
  <c r="AW270" i="30311"/>
  <c r="AW266" i="30311"/>
  <c r="I270" i="30300"/>
  <c r="I266" i="30300"/>
  <c r="E266" i="30311"/>
  <c r="E270" i="30311"/>
  <c r="AF270" i="30311"/>
  <c r="AF266" i="30311"/>
  <c r="J270" i="30311"/>
  <c r="J266" i="30311"/>
  <c r="X270" i="30301"/>
  <c r="X266" i="30301"/>
  <c r="G266" i="30298"/>
  <c r="G270" i="30298"/>
  <c r="AH270" i="30311"/>
  <c r="AH266" i="30311"/>
  <c r="T270" i="30301"/>
  <c r="T266" i="30301"/>
  <c r="AD270" i="30311"/>
  <c r="AD266" i="30311"/>
  <c r="T270" i="30298"/>
  <c r="T266" i="30298"/>
  <c r="AO270" i="30298"/>
  <c r="AO266" i="30298"/>
  <c r="Z270" i="30298"/>
  <c r="Z266" i="30298"/>
  <c r="I270" i="30298"/>
  <c r="I266" i="30298"/>
  <c r="AG270" i="30312"/>
  <c r="AG266" i="30312"/>
  <c r="AT270" i="30290"/>
  <c r="AT266" i="30290"/>
  <c r="AI270" i="30290"/>
  <c r="AI266" i="30290"/>
  <c r="S270" i="30290"/>
  <c r="S266" i="30290"/>
  <c r="I270" i="30290"/>
  <c r="I266" i="30290"/>
  <c r="X270" i="30300"/>
  <c r="X266" i="30300"/>
  <c r="U270" i="30312"/>
  <c r="U266" i="30312"/>
  <c r="AA270" i="30300"/>
  <c r="AA266" i="30300"/>
  <c r="AB270" i="30312"/>
  <c r="AB266" i="30312"/>
  <c r="U270" i="30300"/>
  <c r="U266" i="30300"/>
  <c r="AI270" i="30311"/>
  <c r="AI266" i="30311"/>
  <c r="S270" i="30301"/>
  <c r="S266" i="30301"/>
  <c r="B266" i="30300"/>
  <c r="B270" i="30300"/>
  <c r="U270" i="30311"/>
  <c r="U266" i="30311"/>
  <c r="M270" i="30311"/>
  <c r="M266" i="30311"/>
  <c r="Q270" i="30311"/>
  <c r="Q266" i="30311"/>
  <c r="C266" i="30301"/>
  <c r="C270" i="30301"/>
  <c r="K270" i="30312"/>
  <c r="K266" i="30312"/>
  <c r="I270" i="30312"/>
  <c r="I266" i="30312"/>
  <c r="R270" i="30312"/>
  <c r="R266" i="30312"/>
  <c r="AN270" i="30312"/>
  <c r="AN266" i="30312"/>
  <c r="AR270" i="30290"/>
  <c r="AR266" i="30290"/>
  <c r="T270" i="30290"/>
  <c r="T266" i="30290"/>
  <c r="K270" i="30290"/>
  <c r="K266" i="30290"/>
  <c r="P270" i="30290"/>
  <c r="P266" i="30290"/>
  <c r="AF270" i="30300"/>
  <c r="AF266" i="30300"/>
  <c r="AB270" i="30298"/>
  <c r="AB266" i="30298"/>
  <c r="AP270" i="30298"/>
  <c r="AP266" i="30298"/>
  <c r="AF270" i="30301"/>
  <c r="AF266" i="30301"/>
  <c r="J270" i="30300"/>
  <c r="J266" i="30300"/>
  <c r="AG270" i="30301"/>
  <c r="AG266" i="30301"/>
  <c r="J270" i="30301"/>
  <c r="J266" i="30301"/>
  <c r="AN270" i="30311"/>
  <c r="AN266" i="30311"/>
  <c r="G270" i="30312"/>
  <c r="G266" i="30312"/>
  <c r="C270" i="30311"/>
  <c r="C266" i="30311"/>
  <c r="E270" i="30312"/>
  <c r="E266" i="30312"/>
  <c r="AK270" i="30301"/>
  <c r="AK266" i="30301"/>
  <c r="AL270" i="30312"/>
  <c r="AL266" i="30312"/>
  <c r="Q270" i="30298"/>
  <c r="Q266" i="30298"/>
  <c r="X270" i="30312"/>
  <c r="X266" i="30312"/>
  <c r="AS270" i="30290"/>
  <c r="AS266" i="30290"/>
  <c r="AE270" i="30290"/>
  <c r="AE266" i="30290"/>
  <c r="M270" i="30290"/>
  <c r="M266" i="30290"/>
  <c r="W270" i="30300"/>
  <c r="W266" i="30300"/>
  <c r="Z270" i="30300"/>
  <c r="Z266" i="30300"/>
  <c r="AO270" i="30300"/>
  <c r="AO266" i="30300"/>
  <c r="K270" i="30300"/>
  <c r="K266" i="30300"/>
  <c r="AT270" i="30301"/>
  <c r="AT266" i="30301"/>
  <c r="I270" i="30311"/>
  <c r="I266" i="30311"/>
  <c r="F270" i="30300"/>
  <c r="F266" i="30300"/>
  <c r="N270" i="30298"/>
  <c r="N266" i="30298"/>
  <c r="Z270" i="30311"/>
  <c r="Z266" i="30311"/>
  <c r="AI270" i="30312"/>
  <c r="AI266" i="30312"/>
  <c r="AM270" i="30311"/>
  <c r="AM266" i="30311"/>
  <c r="P270" i="30301"/>
  <c r="P266" i="30301"/>
  <c r="AO270" i="30311"/>
  <c r="AO266" i="30311"/>
  <c r="AM270" i="30298"/>
  <c r="AM266" i="30298"/>
  <c r="AS270" i="30312"/>
  <c r="AS266" i="30312"/>
  <c r="Y270" i="30298"/>
  <c r="Y266" i="30298"/>
  <c r="AO270" i="30312"/>
  <c r="AO266" i="30312"/>
  <c r="P270" i="30312"/>
  <c r="P266" i="30312"/>
  <c r="AL270" i="30290"/>
  <c r="AL266" i="30290"/>
  <c r="AT270" i="30300"/>
  <c r="AT266" i="30300"/>
  <c r="AL270" i="30300"/>
  <c r="AL266" i="30300"/>
  <c r="AW270" i="30300"/>
  <c r="AW266" i="30300"/>
  <c r="D266" i="30290"/>
  <c r="D270" i="30290"/>
  <c r="R270" i="30300"/>
  <c r="R266" i="30300"/>
  <c r="AE270" i="30311"/>
  <c r="AE266" i="30311"/>
  <c r="B270" i="30298"/>
  <c r="B266" i="30298"/>
  <c r="P270" i="30311"/>
  <c r="P266" i="30311"/>
  <c r="S270" i="30300"/>
  <c r="S266" i="30300"/>
  <c r="C266" i="30300"/>
  <c r="C270" i="30300"/>
  <c r="AE270" i="30301"/>
  <c r="AE266" i="30301"/>
  <c r="AL270" i="30301"/>
  <c r="AL266" i="30301"/>
  <c r="AD270" i="30301"/>
  <c r="AD266" i="30301"/>
  <c r="AN270" i="30301"/>
  <c r="AN266" i="30301"/>
  <c r="L270" i="30311"/>
  <c r="L266" i="30311"/>
  <c r="Q270" i="30312"/>
  <c r="Q266" i="30312"/>
  <c r="AN270" i="30290"/>
  <c r="AN266" i="30290"/>
  <c r="AV270" i="30290"/>
  <c r="AV266" i="30290"/>
  <c r="AV270" i="30300"/>
  <c r="AV266" i="30300"/>
  <c r="AU270" i="30300"/>
  <c r="AU266" i="30300"/>
  <c r="K270" i="30311"/>
  <c r="K266" i="30311"/>
  <c r="AH270" i="30300"/>
  <c r="AH266" i="30300"/>
  <c r="D270" i="30311"/>
  <c r="D266" i="30311"/>
  <c r="AV270" i="30311"/>
  <c r="AV266" i="30311"/>
  <c r="Y270" i="30311"/>
  <c r="Y266" i="30311"/>
  <c r="R270" i="30311"/>
  <c r="R266" i="30311"/>
  <c r="X270" i="30311"/>
  <c r="X266" i="30311"/>
  <c r="D266" i="30301"/>
  <c r="D270" i="30301"/>
  <c r="Q270" i="30301"/>
  <c r="Q266" i="30301"/>
  <c r="C266" i="30312"/>
  <c r="C270" i="30312"/>
  <c r="L270" i="30298"/>
  <c r="L266" i="30298"/>
  <c r="AS270" i="30298"/>
  <c r="AS266" i="30298"/>
  <c r="AG270" i="30290"/>
  <c r="AG266" i="30290"/>
  <c r="AP270" i="30290"/>
  <c r="AP266" i="30290"/>
  <c r="AR270" i="30312"/>
  <c r="AR266" i="30312"/>
  <c r="AN270" i="30298"/>
  <c r="AN266" i="30298"/>
  <c r="W270" i="30312"/>
  <c r="W266" i="30312"/>
  <c r="M270" i="30298"/>
  <c r="M266" i="30298"/>
  <c r="AD270" i="30312"/>
  <c r="AD266" i="30312"/>
  <c r="AM270" i="30290"/>
  <c r="AM266" i="30290"/>
  <c r="Y270" i="30290"/>
  <c r="Y266" i="30290"/>
  <c r="G270" i="30290"/>
  <c r="G266" i="30290"/>
  <c r="F270" i="30290"/>
  <c r="F266" i="30290"/>
  <c r="AP270" i="30300"/>
  <c r="AP266" i="30300"/>
  <c r="AI270" i="30300"/>
  <c r="AI266" i="30300"/>
  <c r="N270" i="30311"/>
  <c r="N266" i="30311"/>
  <c r="E270" i="30300"/>
  <c r="E266" i="30300"/>
  <c r="AG270" i="30311"/>
  <c r="AG266" i="30311"/>
  <c r="AP270" i="30312"/>
  <c r="AP266" i="30312"/>
  <c r="AP270" i="30311"/>
  <c r="AP266" i="30311"/>
  <c r="F266" i="30311"/>
  <c r="F270" i="30311"/>
  <c r="AL270" i="30311"/>
  <c r="AL266" i="30311"/>
  <c r="C266" i="30298"/>
  <c r="C270" i="30298"/>
  <c r="I270" i="30301"/>
  <c r="I266" i="30301"/>
  <c r="AS270" i="30301"/>
  <c r="AS266" i="30301"/>
  <c r="R14" i="30308"/>
  <c r="B351" i="30295"/>
  <c r="AX34" i="30308" s="1"/>
  <c r="BG34" i="30308" s="1"/>
  <c r="F270" i="30294"/>
  <c r="F266" i="30294"/>
  <c r="G270" i="30294"/>
  <c r="G266" i="30294"/>
  <c r="B270" i="30294"/>
  <c r="B266" i="30294"/>
  <c r="C270" i="30294"/>
  <c r="C266" i="30294"/>
  <c r="E270" i="30294"/>
  <c r="E266" i="30294"/>
  <c r="D270" i="30294"/>
  <c r="D266" i="30294"/>
  <c r="AR28" i="30308"/>
  <c r="AS64" i="30308"/>
  <c r="F38" i="30291" s="1"/>
  <c r="AU28" i="30308"/>
  <c r="AU67" i="30308"/>
  <c r="AU69" i="30308"/>
  <c r="AU68" i="30308"/>
  <c r="AU64" i="30308"/>
  <c r="AU30" i="30308"/>
  <c r="AU27" i="30308"/>
  <c r="AU26" i="30308"/>
  <c r="AU29" i="30308"/>
  <c r="AU25" i="30308"/>
  <c r="AU70" i="30308"/>
  <c r="AU66" i="30308"/>
  <c r="C270" i="30295"/>
  <c r="G270" i="30295"/>
  <c r="F270" i="30295"/>
  <c r="D270" i="30295"/>
  <c r="B270" i="30295"/>
  <c r="E270" i="30295"/>
  <c r="R24" i="30308"/>
  <c r="AH31" i="30308"/>
  <c r="AX14" i="30308"/>
  <c r="BG14" i="30308" s="1"/>
  <c r="AX24" i="30308"/>
  <c r="BG24" i="30308" s="1"/>
  <c r="AZ14" i="30308"/>
  <c r="BI14" i="30308" s="1"/>
  <c r="BB24" i="30308"/>
  <c r="BK24" i="30308" s="1"/>
  <c r="AY14" i="30308"/>
  <c r="BH14" i="30308" s="1"/>
  <c r="BC24" i="30308"/>
  <c r="BL24" i="30308" s="1"/>
  <c r="AZ24" i="30308"/>
  <c r="BI24" i="30308" s="1"/>
  <c r="BA34" i="30308"/>
  <c r="BJ34" i="30308" s="1"/>
  <c r="BB34" i="30308"/>
  <c r="BK34" i="30308" s="1"/>
  <c r="AZ34" i="30308"/>
  <c r="BI34" i="30308" s="1"/>
  <c r="BA14" i="30308"/>
  <c r="BJ14" i="30308" s="1"/>
  <c r="AY34" i="30308"/>
  <c r="BH34" i="30308" s="1"/>
  <c r="BC34" i="30308"/>
  <c r="BL34" i="30308" s="1"/>
  <c r="BB14" i="30308"/>
  <c r="BK14" i="30308" s="1"/>
  <c r="BC14" i="30308"/>
  <c r="BL14" i="30308" s="1"/>
  <c r="BA24" i="30308"/>
  <c r="BJ24" i="30308" s="1"/>
  <c r="H38" i="30291" l="1"/>
  <c r="I38" i="30291" s="1"/>
  <c r="I271" i="30298"/>
  <c r="O266" i="30298"/>
  <c r="AK271" i="30298"/>
  <c r="AQ266" i="30298"/>
  <c r="P271" i="30290"/>
  <c r="AT271" i="30298"/>
  <c r="AC266" i="30301"/>
  <c r="R271" i="30311"/>
  <c r="AP271" i="30298"/>
  <c r="Z271" i="30298"/>
  <c r="H266" i="30301"/>
  <c r="AS271" i="30298"/>
  <c r="R271" i="30290"/>
  <c r="AV271" i="30298"/>
  <c r="AF271" i="30298"/>
  <c r="AW271" i="30298"/>
  <c r="AX266" i="30300"/>
  <c r="AL271" i="30298"/>
  <c r="Q271" i="30311"/>
  <c r="AB271" i="30298"/>
  <c r="AO271" i="30298"/>
  <c r="AI271" i="30298"/>
  <c r="P271" i="30311"/>
  <c r="K271" i="30298"/>
  <c r="M271" i="30298"/>
  <c r="Y271" i="30298"/>
  <c r="N271" i="30298"/>
  <c r="S271" i="30311"/>
  <c r="AD271" i="30298"/>
  <c r="AJ266" i="30298"/>
  <c r="AX266" i="30301"/>
  <c r="AH271" i="30298"/>
  <c r="AJ266" i="30300"/>
  <c r="W271" i="30298"/>
  <c r="AC266" i="30298"/>
  <c r="U271" i="30290"/>
  <c r="AN271" i="30298"/>
  <c r="T271" i="30311"/>
  <c r="T271" i="30298"/>
  <c r="O266" i="30300"/>
  <c r="AA271" i="30298"/>
  <c r="V266" i="30300"/>
  <c r="S271" i="30298"/>
  <c r="AC266" i="30300"/>
  <c r="J271" i="30298"/>
  <c r="V266" i="30298"/>
  <c r="P271" i="30298"/>
  <c r="AJ266" i="30301"/>
  <c r="H266" i="30298"/>
  <c r="Q271" i="30298"/>
  <c r="AQ266" i="30301"/>
  <c r="H266" i="30300"/>
  <c r="S271" i="30290"/>
  <c r="AG271" i="30298"/>
  <c r="L271" i="30298"/>
  <c r="T271" i="30290"/>
  <c r="AM271" i="30298"/>
  <c r="V266" i="30301"/>
  <c r="AR271" i="30298"/>
  <c r="AX266" i="30298"/>
  <c r="U271" i="30298"/>
  <c r="U271" i="30311"/>
  <c r="AQ266" i="30300"/>
  <c r="R271" i="30298"/>
  <c r="Q271" i="30290"/>
  <c r="AU271" i="30298"/>
  <c r="AE271" i="30298"/>
  <c r="O266" i="30301"/>
  <c r="X271" i="30298"/>
  <c r="R34" i="30308"/>
  <c r="H266" i="30295"/>
  <c r="W14" i="30308"/>
  <c r="AX27" i="30308" l="1"/>
  <c r="BG27" i="30308" s="1"/>
  <c r="AX26" i="30308"/>
  <c r="BG26" i="30308" s="1"/>
  <c r="AX28" i="30308"/>
  <c r="BG28" i="30308" s="1"/>
  <c r="AX30" i="30308"/>
  <c r="BG30" i="30308" s="1"/>
  <c r="AX29" i="30308"/>
  <c r="BG29" i="30308" s="1"/>
  <c r="AM101" i="30294"/>
  <c r="AM297" i="30294" s="1"/>
  <c r="W34" i="30308"/>
  <c r="G4" i="30308"/>
  <c r="V34" i="30308"/>
  <c r="W24" i="30308"/>
  <c r="R29" i="30308"/>
  <c r="R28" i="30308"/>
  <c r="R27" i="30308"/>
  <c r="R26" i="30308"/>
  <c r="R30" i="30308"/>
  <c r="AG101" i="30294"/>
  <c r="AG297" i="30294" s="1"/>
  <c r="Z101" i="30294"/>
  <c r="Z297" i="30294" s="1"/>
  <c r="Q101" i="30294"/>
  <c r="Q297" i="30294" s="1"/>
  <c r="AL101" i="30294"/>
  <c r="AL297" i="30294" s="1"/>
  <c r="AU101" i="30294"/>
  <c r="X101" i="30294"/>
  <c r="X297" i="30294" s="1"/>
  <c r="AN101" i="30294"/>
  <c r="AN297" i="30294" s="1"/>
  <c r="L101" i="30294"/>
  <c r="L297" i="30294" s="1"/>
  <c r="S101" i="30294"/>
  <c r="S297" i="30294" s="1"/>
  <c r="AE101" i="30294"/>
  <c r="AE297" i="30294" s="1"/>
  <c r="AS101" i="30294"/>
  <c r="AH101" i="30294"/>
  <c r="AH297" i="30294" s="1"/>
  <c r="AA101" i="30294"/>
  <c r="AA297" i="30294" s="1"/>
  <c r="Y101" i="30294"/>
  <c r="Y297" i="30294" s="1"/>
  <c r="AT101" i="30294"/>
  <c r="R101" i="30294"/>
  <c r="R297" i="30294" s="1"/>
  <c r="K101" i="30294"/>
  <c r="K297" i="30294" s="1"/>
  <c r="AF101" i="30294"/>
  <c r="AF297" i="30294" s="1"/>
  <c r="AV101" i="30294"/>
  <c r="M101" i="30294"/>
  <c r="M297" i="30294" s="1"/>
  <c r="T101" i="30294"/>
  <c r="T297" i="30294" s="1"/>
  <c r="AO101" i="30294"/>
  <c r="AO297" i="30294" s="1"/>
  <c r="AP101" i="30294"/>
  <c r="AW101" i="30294"/>
  <c r="AI101" i="30294"/>
  <c r="U101" i="30294"/>
  <c r="N101" i="30294"/>
  <c r="Y297" i="30295"/>
  <c r="Y7" i="30295" s="1"/>
  <c r="T297" i="30295"/>
  <c r="T7" i="30295" s="1"/>
  <c r="AE297" i="30295"/>
  <c r="AE7" i="30295" s="1"/>
  <c r="Z297" i="30295"/>
  <c r="Z7" i="30295" s="1"/>
  <c r="AM297" i="30295"/>
  <c r="AM7" i="30295" s="1"/>
  <c r="M297" i="30295"/>
  <c r="M7" i="30295" s="1"/>
  <c r="AH297" i="30295"/>
  <c r="AH7" i="30295" s="1"/>
  <c r="AS297" i="30295"/>
  <c r="AS7" i="30295" s="1"/>
  <c r="J297" i="30295"/>
  <c r="J7" i="30295" s="1"/>
  <c r="AN297" i="30295"/>
  <c r="AN7" i="30295" s="1"/>
  <c r="S297" i="30295"/>
  <c r="S7" i="30295" s="1"/>
  <c r="AF297" i="30295"/>
  <c r="AF7" i="30295" s="1"/>
  <c r="AV297" i="30295"/>
  <c r="AV7" i="30295" s="1"/>
  <c r="AA297" i="30295"/>
  <c r="AA7" i="30295" s="1"/>
  <c r="X297" i="30295"/>
  <c r="X7" i="30295" s="1"/>
  <c r="AG297" i="30295"/>
  <c r="AG7" i="30295" s="1"/>
  <c r="AT297" i="30295"/>
  <c r="AT7" i="30295" s="1"/>
  <c r="K297" i="30295"/>
  <c r="K7" i="30295" s="1"/>
  <c r="R297" i="30295"/>
  <c r="R7" i="30295" s="1"/>
  <c r="AO297" i="30295"/>
  <c r="AO7" i="30295" s="1"/>
  <c r="Q297" i="30295"/>
  <c r="Q7" i="30295" s="1"/>
  <c r="AL297" i="30295"/>
  <c r="AL7" i="30295" s="1"/>
  <c r="L297" i="30295"/>
  <c r="L7" i="30295" s="1"/>
  <c r="AU297" i="30295"/>
  <c r="AU7" i="30295" s="1"/>
  <c r="AV1" i="30295" l="1"/>
  <c r="X1" i="30295"/>
  <c r="Y1" i="30295"/>
  <c r="AM1" i="30295"/>
  <c r="AS1" i="30295"/>
  <c r="AU1" i="30295"/>
  <c r="AH8" i="30295"/>
  <c r="AH323" i="30295" s="1"/>
  <c r="AO1" i="30295"/>
  <c r="AT1" i="30295"/>
  <c r="AG8" i="30295"/>
  <c r="AG339" i="30295" s="1"/>
  <c r="AN1" i="30295"/>
  <c r="Z8" i="30295"/>
  <c r="Z240" i="30295" s="1"/>
  <c r="AG1" i="30295"/>
  <c r="AL1" i="30295"/>
  <c r="X8" i="30295"/>
  <c r="X330" i="30295" s="1"/>
  <c r="AE1" i="30295"/>
  <c r="AH1" i="30295"/>
  <c r="AF1" i="30295"/>
  <c r="T8" i="30295"/>
  <c r="T338" i="30295" s="1"/>
  <c r="AA1" i="30295"/>
  <c r="S8" i="30295"/>
  <c r="S334" i="30295" s="1"/>
  <c r="Z1" i="30295"/>
  <c r="T1" i="30295"/>
  <c r="M1" i="30295"/>
  <c r="S1" i="30295"/>
  <c r="L1" i="30295"/>
  <c r="K8" i="30295"/>
  <c r="K321" i="30295" s="1"/>
  <c r="K1" i="30295"/>
  <c r="R1" i="30295"/>
  <c r="J8" i="30295"/>
  <c r="J239" i="30295" s="1"/>
  <c r="Q1" i="30295"/>
  <c r="J1" i="30295"/>
  <c r="BO64" i="30308"/>
  <c r="BO24" i="30308"/>
  <c r="AM8" i="30295"/>
  <c r="AO8" i="30295"/>
  <c r="AN8" i="30295"/>
  <c r="AL8" i="30295"/>
  <c r="AU297" i="30294"/>
  <c r="AS297" i="30294"/>
  <c r="AV297" i="30294"/>
  <c r="AT297" i="30294"/>
  <c r="E4" i="30308"/>
  <c r="U14" i="30308"/>
  <c r="U24" i="30308"/>
  <c r="U34" i="30308"/>
  <c r="V24" i="30308"/>
  <c r="F4" i="30308"/>
  <c r="V14" i="30308"/>
  <c r="D4" i="30308"/>
  <c r="T34" i="30308"/>
  <c r="T24" i="30308"/>
  <c r="T14" i="30308"/>
  <c r="C4" i="30308"/>
  <c r="S14" i="30308"/>
  <c r="S34" i="30308"/>
  <c r="AC4" i="30308"/>
  <c r="F37" i="30291" s="1"/>
  <c r="AA4" i="30308"/>
  <c r="D37" i="30291" s="1"/>
  <c r="AB4" i="30308"/>
  <c r="E37" i="30291" s="1"/>
  <c r="AD4" i="30308"/>
  <c r="G37" i="30291" s="1"/>
  <c r="AF8" i="30295"/>
  <c r="L8" i="30295"/>
  <c r="AV8" i="30295"/>
  <c r="AV323" i="30295" s="1"/>
  <c r="AE8" i="30295"/>
  <c r="AS8" i="30295"/>
  <c r="AS332" i="30295" s="1"/>
  <c r="Q8" i="30295"/>
  <c r="AU8" i="30295"/>
  <c r="AU340" i="30295" s="1"/>
  <c r="R8" i="30295"/>
  <c r="AR297" i="30294"/>
  <c r="AR297" i="30295"/>
  <c r="AR7" i="30295" s="1"/>
  <c r="W297" i="30294"/>
  <c r="W297" i="30295"/>
  <c r="W7" i="30295" s="1"/>
  <c r="AK297" i="30294"/>
  <c r="AK297" i="30295"/>
  <c r="AK7" i="30295" s="1"/>
  <c r="P297" i="30294"/>
  <c r="P297" i="30295"/>
  <c r="P7" i="30295" s="1"/>
  <c r="AT8" i="30295"/>
  <c r="AT248" i="30295" s="1"/>
  <c r="AA8" i="30295"/>
  <c r="AD297" i="30294"/>
  <c r="AD297" i="30295"/>
  <c r="AD7" i="30295" s="1"/>
  <c r="I297" i="30294"/>
  <c r="I297" i="30295"/>
  <c r="I7" i="30295" s="1"/>
  <c r="Y8" i="30295"/>
  <c r="AW297" i="30294"/>
  <c r="AW297" i="30295"/>
  <c r="AW7" i="30295" s="1"/>
  <c r="AW8" i="30295" s="1"/>
  <c r="AP297" i="30294"/>
  <c r="AP297" i="30295"/>
  <c r="AP7" i="30295" s="1"/>
  <c r="M8" i="30295"/>
  <c r="U297" i="30294"/>
  <c r="U297" i="30295"/>
  <c r="U7" i="30295" s="1"/>
  <c r="N297" i="30294"/>
  <c r="N297" i="30295"/>
  <c r="N7" i="30295" s="1"/>
  <c r="AH245" i="30295"/>
  <c r="AI297" i="30294"/>
  <c r="AI297" i="30295"/>
  <c r="AI7" i="30295" s="1"/>
  <c r="AB297" i="30294"/>
  <c r="AB297" i="30295"/>
  <c r="AB7" i="30295" s="1"/>
  <c r="I37" i="30291" l="1"/>
  <c r="J240" i="30295"/>
  <c r="AH304" i="30295"/>
  <c r="AH305" i="30295" s="1"/>
  <c r="J320" i="30295"/>
  <c r="X314" i="30295"/>
  <c r="AK8" i="30295"/>
  <c r="AK230" i="30295" s="1"/>
  <c r="J338" i="30295"/>
  <c r="J243" i="30295"/>
  <c r="J230" i="30295"/>
  <c r="J303" i="30295"/>
  <c r="J337" i="30295"/>
  <c r="J315" i="30295"/>
  <c r="J237" i="30295"/>
  <c r="J238" i="30295"/>
  <c r="J302" i="30295"/>
  <c r="AH302" i="30295"/>
  <c r="AH259" i="30295"/>
  <c r="AH260" i="30295" s="1"/>
  <c r="AH306" i="30295"/>
  <c r="J241" i="30295"/>
  <c r="J332" i="30295"/>
  <c r="J245" i="30295"/>
  <c r="J263" i="30295"/>
  <c r="J264" i="30295" s="1"/>
  <c r="J322" i="30295"/>
  <c r="J324" i="30295"/>
  <c r="J250" i="30295"/>
  <c r="J269" i="30295" s="1"/>
  <c r="AH315" i="30295"/>
  <c r="AH255" i="30295"/>
  <c r="AH237" i="30295"/>
  <c r="AH239" i="30295"/>
  <c r="AH230" i="30295"/>
  <c r="AH335" i="30295"/>
  <c r="T336" i="30295"/>
  <c r="AH307" i="30295"/>
  <c r="AH253" i="30295"/>
  <c r="AH300" i="30295" s="1"/>
  <c r="T319" i="30295"/>
  <c r="AH333" i="30295"/>
  <c r="AH256" i="30295"/>
  <c r="AH257" i="30295" s="1"/>
  <c r="AH312" i="30295" s="1"/>
  <c r="AH330" i="30295"/>
  <c r="AH241" i="30295"/>
  <c r="AH336" i="30295"/>
  <c r="AH243" i="30295"/>
  <c r="AH248" i="30295"/>
  <c r="AH324" i="30295"/>
  <c r="AH263" i="30295"/>
  <c r="AH264" i="30295" s="1"/>
  <c r="AH316" i="30295"/>
  <c r="N38" i="30308" s="1"/>
  <c r="AH322" i="30295"/>
  <c r="AG323" i="30295"/>
  <c r="AH247" i="30295"/>
  <c r="AG250" i="30295"/>
  <c r="AG269" i="30295" s="1"/>
  <c r="AH240" i="30295"/>
  <c r="AH337" i="30295"/>
  <c r="AH321" i="30295"/>
  <c r="AH329" i="30295"/>
  <c r="AH254" i="30295"/>
  <c r="J330" i="30295"/>
  <c r="J335" i="30295"/>
  <c r="AH314" i="30295"/>
  <c r="T339" i="30295"/>
  <c r="AH244" i="30295"/>
  <c r="AH242" i="30295"/>
  <c r="AH338" i="30295"/>
  <c r="J256" i="30295"/>
  <c r="J257" i="30295" s="1"/>
  <c r="J312" i="30295" s="1"/>
  <c r="AH339" i="30295"/>
  <c r="AH308" i="30295"/>
  <c r="AG328" i="30295"/>
  <c r="AH325" i="30295"/>
  <c r="AH320" i="30295"/>
  <c r="T259" i="30295"/>
  <c r="T260" i="30295" s="1"/>
  <c r="AH238" i="30295"/>
  <c r="AH319" i="30295"/>
  <c r="AH334" i="30295"/>
  <c r="AH331" i="30295"/>
  <c r="AH310" i="30295"/>
  <c r="AH250" i="30295"/>
  <c r="AH269" i="30295" s="1"/>
  <c r="AH328" i="30295"/>
  <c r="T304" i="30295"/>
  <c r="T305" i="30295" s="1"/>
  <c r="AH303" i="30295"/>
  <c r="AH332" i="30295"/>
  <c r="J253" i="30295"/>
  <c r="J304" i="30295"/>
  <c r="J305" i="30295" s="1"/>
  <c r="AG304" i="30295"/>
  <c r="AG305" i="30295" s="1"/>
  <c r="AH340" i="30295"/>
  <c r="J334" i="30295"/>
  <c r="S239" i="30295"/>
  <c r="J310" i="30295"/>
  <c r="J323" i="30295"/>
  <c r="J321" i="30295"/>
  <c r="J331" i="30295"/>
  <c r="J333" i="30295"/>
  <c r="J259" i="30295"/>
  <c r="J260" i="30295" s="1"/>
  <c r="J328" i="30295"/>
  <c r="J336" i="30295"/>
  <c r="AG329" i="30295"/>
  <c r="AG336" i="30295"/>
  <c r="AG320" i="30295"/>
  <c r="AG307" i="30295"/>
  <c r="AG335" i="30295"/>
  <c r="AG333" i="30295"/>
  <c r="AG308" i="30295"/>
  <c r="AG331" i="30295"/>
  <c r="AG245" i="30295"/>
  <c r="AG324" i="30295"/>
  <c r="AG256" i="30295"/>
  <c r="AG257" i="30295" s="1"/>
  <c r="AG312" i="30295" s="1"/>
  <c r="AG247" i="30295"/>
  <c r="AG315" i="30295"/>
  <c r="AG332" i="30295"/>
  <c r="AG241" i="30295"/>
  <c r="AG334" i="30295"/>
  <c r="AG244" i="30295"/>
  <c r="AG237" i="30295"/>
  <c r="AG330" i="30295"/>
  <c r="AG230" i="30295"/>
  <c r="AG322" i="30295"/>
  <c r="AG303" i="30295"/>
  <c r="AG310" i="30295"/>
  <c r="AG239" i="30295"/>
  <c r="AG306" i="30295"/>
  <c r="AG248" i="30295"/>
  <c r="AG314" i="30295"/>
  <c r="AG316" i="30295"/>
  <c r="M38" i="30308" s="1"/>
  <c r="AG325" i="30295"/>
  <c r="AG238" i="30295"/>
  <c r="AG243" i="30295"/>
  <c r="AG321" i="30295"/>
  <c r="AG340" i="30295"/>
  <c r="AG240" i="30295"/>
  <c r="AG253" i="30295"/>
  <c r="AG317" i="30295" s="1"/>
  <c r="AG263" i="30295"/>
  <c r="AG264" i="30295" s="1"/>
  <c r="AG255" i="30295"/>
  <c r="AG302" i="30295"/>
  <c r="AG254" i="30295"/>
  <c r="AG338" i="30295"/>
  <c r="AG337" i="30295"/>
  <c r="AG259" i="30295"/>
  <c r="AG260" i="30295" s="1"/>
  <c r="AG242" i="30295"/>
  <c r="AG319" i="30295"/>
  <c r="T239" i="30295"/>
  <c r="T240" i="30295"/>
  <c r="T324" i="30295"/>
  <c r="T248" i="30295"/>
  <c r="T255" i="30295"/>
  <c r="T335" i="30295"/>
  <c r="T307" i="30295"/>
  <c r="T331" i="30295"/>
  <c r="T244" i="30295"/>
  <c r="T253" i="30295"/>
  <c r="T317" i="30295" s="1"/>
  <c r="T238" i="30295"/>
  <c r="T256" i="30295"/>
  <c r="T257" i="30295" s="1"/>
  <c r="T312" i="30295" s="1"/>
  <c r="S237" i="30295"/>
  <c r="T320" i="30295"/>
  <c r="T250" i="30295"/>
  <c r="T269" i="30295" s="1"/>
  <c r="T245" i="30295"/>
  <c r="T254" i="30295"/>
  <c r="T242" i="30295"/>
  <c r="S241" i="30295"/>
  <c r="T308" i="30295"/>
  <c r="T247" i="30295"/>
  <c r="T310" i="30295"/>
  <c r="T315" i="30295"/>
  <c r="T328" i="30295"/>
  <c r="T325" i="30295"/>
  <c r="T230" i="30295"/>
  <c r="T340" i="30295"/>
  <c r="T332" i="30295"/>
  <c r="T237" i="30295"/>
  <c r="S332" i="30295"/>
  <c r="T322" i="30295"/>
  <c r="T334" i="30295"/>
  <c r="T314" i="30295"/>
  <c r="S316" i="30295"/>
  <c r="M36" i="30308" s="1"/>
  <c r="T321" i="30295"/>
  <c r="T316" i="30295"/>
  <c r="N36" i="30308" s="1"/>
  <c r="T323" i="30295"/>
  <c r="T329" i="30295"/>
  <c r="S248" i="30295"/>
  <c r="T303" i="30295"/>
  <c r="T333" i="30295"/>
  <c r="T263" i="30295"/>
  <c r="T264" i="30295" s="1"/>
  <c r="T306" i="30295"/>
  <c r="T243" i="30295"/>
  <c r="T241" i="30295"/>
  <c r="T330" i="30295"/>
  <c r="T302" i="30295"/>
  <c r="T337" i="30295"/>
  <c r="J316" i="30295"/>
  <c r="K35" i="30308" s="1"/>
  <c r="J255" i="30295"/>
  <c r="J247" i="30295"/>
  <c r="J340" i="30295"/>
  <c r="J325" i="30295"/>
  <c r="J242" i="30295"/>
  <c r="J319" i="30295"/>
  <c r="J244" i="30295"/>
  <c r="J306" i="30295"/>
  <c r="J308" i="30295"/>
  <c r="J248" i="30295"/>
  <c r="J339" i="30295"/>
  <c r="J307" i="30295"/>
  <c r="J254" i="30295"/>
  <c r="J314" i="30295"/>
  <c r="AG2" i="30295"/>
  <c r="Z323" i="30295"/>
  <c r="Z304" i="30295"/>
  <c r="Z305" i="30295" s="1"/>
  <c r="Z244" i="30295"/>
  <c r="Z328" i="30295"/>
  <c r="Z310" i="30295"/>
  <c r="Z316" i="30295"/>
  <c r="M37" i="30308" s="1"/>
  <c r="Z339" i="30295"/>
  <c r="Z336" i="30295"/>
  <c r="S230" i="30295"/>
  <c r="S335" i="30295"/>
  <c r="S336" i="30295"/>
  <c r="S242" i="30295"/>
  <c r="S331" i="30295"/>
  <c r="S308" i="30295"/>
  <c r="S321" i="30295"/>
  <c r="S240" i="30295"/>
  <c r="S328" i="30295"/>
  <c r="S319" i="30295"/>
  <c r="S259" i="30295"/>
  <c r="S260" i="30295" s="1"/>
  <c r="S245" i="30295"/>
  <c r="S254" i="30295"/>
  <c r="S333" i="30295"/>
  <c r="S255" i="30295"/>
  <c r="S247" i="30295"/>
  <c r="S330" i="30295"/>
  <c r="S304" i="30295"/>
  <c r="S305" i="30295" s="1"/>
  <c r="S320" i="30295"/>
  <c r="S250" i="30295"/>
  <c r="S269" i="30295" s="1"/>
  <c r="S337" i="30295"/>
  <c r="S253" i="30295"/>
  <c r="S317" i="30295" s="1"/>
  <c r="S315" i="30295"/>
  <c r="S307" i="30295"/>
  <c r="S263" i="30295"/>
  <c r="S264" i="30295" s="1"/>
  <c r="S314" i="30295"/>
  <c r="S338" i="30295"/>
  <c r="S325" i="30295"/>
  <c r="S302" i="30295"/>
  <c r="S340" i="30295"/>
  <c r="S323" i="30295"/>
  <c r="S256" i="30295"/>
  <c r="S257" i="30295" s="1"/>
  <c r="S312" i="30295" s="1"/>
  <c r="S339" i="30295"/>
  <c r="AN2" i="30295"/>
  <c r="Z230" i="30295"/>
  <c r="Z334" i="30295"/>
  <c r="Z302" i="30295"/>
  <c r="Z331" i="30295"/>
  <c r="Z255" i="30295"/>
  <c r="Z242" i="30295"/>
  <c r="Z241" i="30295"/>
  <c r="Z324" i="30295"/>
  <c r="Z322" i="30295"/>
  <c r="Z250" i="30295"/>
  <c r="Z269" i="30295" s="1"/>
  <c r="Z315" i="30295"/>
  <c r="Z239" i="30295"/>
  <c r="Z329" i="30295"/>
  <c r="Z253" i="30295"/>
  <c r="Z317" i="30295" s="1"/>
  <c r="Z303" i="30295"/>
  <c r="Z254" i="30295"/>
  <c r="Z307" i="30295"/>
  <c r="Z306" i="30295"/>
  <c r="Z243" i="30295"/>
  <c r="Z338" i="30295"/>
  <c r="Z333" i="30295"/>
  <c r="Z330" i="30295"/>
  <c r="Z308" i="30295"/>
  <c r="Z238" i="30295"/>
  <c r="Z263" i="30295"/>
  <c r="Z264" i="30295" s="1"/>
  <c r="Z332" i="30295"/>
  <c r="Z340" i="30295"/>
  <c r="Z314" i="30295"/>
  <c r="Z325" i="30295"/>
  <c r="Z259" i="30295"/>
  <c r="Z260" i="30295" s="1"/>
  <c r="Z337" i="30295"/>
  <c r="Z321" i="30295"/>
  <c r="Z245" i="30295"/>
  <c r="Z335" i="30295"/>
  <c r="Z256" i="30295"/>
  <c r="Z257" i="30295" s="1"/>
  <c r="Z312" i="30295" s="1"/>
  <c r="Z313" i="30295" s="1"/>
  <c r="Z248" i="30295"/>
  <c r="Z237" i="30295"/>
  <c r="Z319" i="30295"/>
  <c r="Z247" i="30295"/>
  <c r="Z320" i="30295"/>
  <c r="S303" i="30295"/>
  <c r="S322" i="30295"/>
  <c r="S324" i="30295"/>
  <c r="S310" i="30295"/>
  <c r="S238" i="30295"/>
  <c r="S329" i="30295"/>
  <c r="S306" i="30295"/>
  <c r="S243" i="30295"/>
  <c r="S244" i="30295"/>
  <c r="X253" i="30295"/>
  <c r="X317" i="30295" s="1"/>
  <c r="X254" i="30295"/>
  <c r="X322" i="30295"/>
  <c r="X250" i="30295"/>
  <c r="X269" i="30295" s="1"/>
  <c r="X310" i="30295"/>
  <c r="X323" i="30295"/>
  <c r="X319" i="30295"/>
  <c r="K320" i="30295"/>
  <c r="X248" i="30295"/>
  <c r="K333" i="30295"/>
  <c r="X337" i="30295"/>
  <c r="K241" i="30295"/>
  <c r="K310" i="30295"/>
  <c r="X334" i="30295"/>
  <c r="K336" i="30295"/>
  <c r="X339" i="30295"/>
  <c r="K238" i="30295"/>
  <c r="X324" i="30295"/>
  <c r="K239" i="30295"/>
  <c r="X238" i="30295"/>
  <c r="K308" i="30295"/>
  <c r="X247" i="30295"/>
  <c r="X303" i="30295"/>
  <c r="W1" i="30295"/>
  <c r="X321" i="30295"/>
  <c r="X256" i="30295"/>
  <c r="X257" i="30295" s="1"/>
  <c r="X312" i="30295" s="1"/>
  <c r="X244" i="30295"/>
  <c r="K319" i="30295"/>
  <c r="X340" i="30295"/>
  <c r="K315" i="30295"/>
  <c r="K325" i="30295"/>
  <c r="K329" i="30295"/>
  <c r="X240" i="30295"/>
  <c r="X259" i="30295"/>
  <c r="X260" i="30295" s="1"/>
  <c r="X320" i="30295"/>
  <c r="K255" i="30295"/>
  <c r="X336" i="30295"/>
  <c r="K330" i="30295"/>
  <c r="K334" i="30295"/>
  <c r="K314" i="30295"/>
  <c r="K263" i="30295"/>
  <c r="K264" i="30295" s="1"/>
  <c r="X335" i="30295"/>
  <c r="K316" i="30295"/>
  <c r="L35" i="30308" s="1"/>
  <c r="K328" i="30295"/>
  <c r="K304" i="30295"/>
  <c r="K305" i="30295" s="1"/>
  <c r="X306" i="30295"/>
  <c r="X332" i="30295"/>
  <c r="K339" i="30295"/>
  <c r="X331" i="30295"/>
  <c r="K303" i="30295"/>
  <c r="K307" i="30295"/>
  <c r="K306" i="30295"/>
  <c r="X315" i="30295"/>
  <c r="X255" i="30295"/>
  <c r="X243" i="30295"/>
  <c r="K324" i="30295"/>
  <c r="K259" i="30295"/>
  <c r="K260" i="30295" s="1"/>
  <c r="K237" i="30295"/>
  <c r="X302" i="30295"/>
  <c r="X245" i="30295"/>
  <c r="K230" i="30295"/>
  <c r="X329" i="30295"/>
  <c r="K247" i="30295"/>
  <c r="X239" i="30295"/>
  <c r="K253" i="30295"/>
  <c r="K317" i="30295" s="1"/>
  <c r="K250" i="30295"/>
  <c r="K269" i="30295" s="1"/>
  <c r="K340" i="30295"/>
  <c r="X241" i="30295"/>
  <c r="K338" i="30295"/>
  <c r="X328" i="30295"/>
  <c r="X338" i="30295"/>
  <c r="K337" i="30295"/>
  <c r="K323" i="30295"/>
  <c r="K248" i="30295"/>
  <c r="X237" i="30295"/>
  <c r="K254" i="30295"/>
  <c r="X242" i="30295"/>
  <c r="K331" i="30295"/>
  <c r="K302" i="30295"/>
  <c r="K243" i="30295"/>
  <c r="K335" i="30295"/>
  <c r="X263" i="30295"/>
  <c r="X264" i="30295" s="1"/>
  <c r="X304" i="30295"/>
  <c r="X305" i="30295" s="1"/>
  <c r="X325" i="30295"/>
  <c r="K245" i="30295"/>
  <c r="X316" i="30295"/>
  <c r="K37" i="30308" s="1"/>
  <c r="K256" i="30295"/>
  <c r="K257" i="30295" s="1"/>
  <c r="K312" i="30295" s="1"/>
  <c r="K242" i="30295"/>
  <c r="K322" i="30295"/>
  <c r="X230" i="30295"/>
  <c r="AP1" i="30295"/>
  <c r="X308" i="30295"/>
  <c r="X307" i="30295"/>
  <c r="X333" i="30295"/>
  <c r="K240" i="30295"/>
  <c r="K332" i="30295"/>
  <c r="K244" i="30295"/>
  <c r="AR1" i="30295"/>
  <c r="AE2" i="30295"/>
  <c r="W8" i="30295"/>
  <c r="W337" i="30295" s="1"/>
  <c r="AD1" i="30295"/>
  <c r="AD8" i="30295"/>
  <c r="AD336" i="30295" s="1"/>
  <c r="AK1" i="30295"/>
  <c r="AW1" i="30295"/>
  <c r="AA308" i="30295"/>
  <c r="AH2" i="30295"/>
  <c r="AE242" i="30295"/>
  <c r="AL2" i="30295"/>
  <c r="AF337" i="30295"/>
  <c r="AM2" i="30295"/>
  <c r="AL337" i="30295"/>
  <c r="AS2" i="30295"/>
  <c r="Z2" i="30295"/>
  <c r="AN333" i="30295"/>
  <c r="AU2" i="30295"/>
  <c r="AB8" i="30295"/>
  <c r="AB302" i="30295" s="1"/>
  <c r="AI1" i="30295"/>
  <c r="AO253" i="30295"/>
  <c r="AO317" i="30295" s="1"/>
  <c r="AV2" i="30295"/>
  <c r="AA2" i="30295"/>
  <c r="AO2" i="30295"/>
  <c r="Y230" i="30295"/>
  <c r="AF2" i="30295"/>
  <c r="AM240" i="30295"/>
  <c r="AT2" i="30295"/>
  <c r="U8" i="30295"/>
  <c r="U333" i="30295" s="1"/>
  <c r="AB1" i="30295"/>
  <c r="R230" i="30295"/>
  <c r="Y2" i="30295"/>
  <c r="Q340" i="30295"/>
  <c r="X2" i="30295"/>
  <c r="U1" i="30295"/>
  <c r="N1" i="30295"/>
  <c r="M243" i="30295"/>
  <c r="T2" i="30295"/>
  <c r="M2" i="30295"/>
  <c r="L248" i="30295"/>
  <c r="S2" i="30295"/>
  <c r="L2" i="30295"/>
  <c r="K2" i="30295"/>
  <c r="R2" i="30295"/>
  <c r="J329" i="30295"/>
  <c r="Q2" i="30295"/>
  <c r="J2" i="30295"/>
  <c r="I1" i="30295"/>
  <c r="P1" i="30295"/>
  <c r="AM253" i="30295"/>
  <c r="AM317" i="30295" s="1"/>
  <c r="AM328" i="30295"/>
  <c r="AM248" i="30295"/>
  <c r="AM263" i="30295"/>
  <c r="AM264" i="30295" s="1"/>
  <c r="AM245" i="30295"/>
  <c r="AM321" i="30295"/>
  <c r="AM254" i="30295"/>
  <c r="AM325" i="30295"/>
  <c r="AM335" i="30295"/>
  <c r="AM340" i="30295"/>
  <c r="AM310" i="30295"/>
  <c r="AM239" i="30295"/>
  <c r="AM243" i="30295"/>
  <c r="AM250" i="30295"/>
  <c r="AM269" i="30295" s="1"/>
  <c r="AM332" i="30295"/>
  <c r="AM244" i="30295"/>
  <c r="AM304" i="30295"/>
  <c r="AM305" i="30295" s="1"/>
  <c r="AO239" i="30295"/>
  <c r="AM333" i="30295"/>
  <c r="AM230" i="30295"/>
  <c r="AM322" i="30295"/>
  <c r="AM336" i="30295"/>
  <c r="AM324" i="30295"/>
  <c r="AM337" i="30295"/>
  <c r="AM330" i="30295"/>
  <c r="AM329" i="30295"/>
  <c r="AM247" i="30295"/>
  <c r="AM316" i="30295"/>
  <c r="L39" i="30308" s="1"/>
  <c r="AM255" i="30295"/>
  <c r="AM308" i="30295"/>
  <c r="AM259" i="30295"/>
  <c r="AM260" i="30295" s="1"/>
  <c r="AM238" i="30295"/>
  <c r="AM302" i="30295"/>
  <c r="AM339" i="30295"/>
  <c r="AM306" i="30295"/>
  <c r="AM319" i="30295"/>
  <c r="AM314" i="30295"/>
  <c r="AM307" i="30295"/>
  <c r="AM331" i="30295"/>
  <c r="AM323" i="30295"/>
  <c r="AM256" i="30295"/>
  <c r="AM257" i="30295" s="1"/>
  <c r="AM312" i="30295" s="1"/>
  <c r="AM303" i="30295"/>
  <c r="AM242" i="30295"/>
  <c r="AM237" i="30295"/>
  <c r="AM320" i="30295"/>
  <c r="AM334" i="30295"/>
  <c r="AM241" i="30295"/>
  <c r="AM315" i="30295"/>
  <c r="AM338" i="30295"/>
  <c r="AO237" i="30295"/>
  <c r="AO320" i="30295"/>
  <c r="AO322" i="30295"/>
  <c r="AO254" i="30295"/>
  <c r="AO323" i="30295"/>
  <c r="AO263" i="30295"/>
  <c r="AO264" i="30295" s="1"/>
  <c r="AO331" i="30295"/>
  <c r="AO230" i="30295"/>
  <c r="AO306" i="30295"/>
  <c r="AO316" i="30295"/>
  <c r="N39" i="30308" s="1"/>
  <c r="AO303" i="30295"/>
  <c r="AO242" i="30295"/>
  <c r="AO335" i="30295"/>
  <c r="AO321" i="30295"/>
  <c r="AO325" i="30295"/>
  <c r="AO319" i="30295"/>
  <c r="AO339" i="30295"/>
  <c r="AO248" i="30295"/>
  <c r="AO308" i="30295"/>
  <c r="AN242" i="30295"/>
  <c r="AO307" i="30295"/>
  <c r="AL238" i="30295"/>
  <c r="AL331" i="30295"/>
  <c r="AN230" i="30295"/>
  <c r="AL335" i="30295"/>
  <c r="AL306" i="30295"/>
  <c r="AL240" i="30295"/>
  <c r="AN322" i="30295"/>
  <c r="AL256" i="30295"/>
  <c r="AL257" i="30295" s="1"/>
  <c r="AL312" i="30295" s="1"/>
  <c r="AN239" i="30295"/>
  <c r="AN243" i="30295"/>
  <c r="AN314" i="30295"/>
  <c r="AN328" i="30295"/>
  <c r="AN340" i="30295"/>
  <c r="AN323" i="30295"/>
  <c r="AL250" i="30295"/>
  <c r="AL269" i="30295" s="1"/>
  <c r="AN325" i="30295"/>
  <c r="AN259" i="30295"/>
  <c r="AN260" i="30295" s="1"/>
  <c r="AN310" i="30295"/>
  <c r="AN254" i="30295"/>
  <c r="AO314" i="30295"/>
  <c r="AN240" i="30295"/>
  <c r="AO304" i="30295"/>
  <c r="AO305" i="30295" s="1"/>
  <c r="AO241" i="30295"/>
  <c r="AO336" i="30295"/>
  <c r="AN245" i="30295"/>
  <c r="AO302" i="30295"/>
  <c r="AO244" i="30295"/>
  <c r="AO332" i="30295"/>
  <c r="AN308" i="30295"/>
  <c r="AO259" i="30295"/>
  <c r="AO260" i="30295" s="1"/>
  <c r="AO245" i="30295"/>
  <c r="AO334" i="30295"/>
  <c r="AN237" i="30295"/>
  <c r="AO310" i="30295"/>
  <c r="AO255" i="30295"/>
  <c r="AN329" i="30295"/>
  <c r="AO315" i="30295"/>
  <c r="AO256" i="30295"/>
  <c r="AO257" i="30295" s="1"/>
  <c r="AO312" i="30295" s="1"/>
  <c r="AL319" i="30295"/>
  <c r="AN339" i="30295"/>
  <c r="AO340" i="30295"/>
  <c r="AO238" i="30295"/>
  <c r="AN303" i="30295"/>
  <c r="AO243" i="30295"/>
  <c r="AN263" i="30295"/>
  <c r="AN264" i="30295" s="1"/>
  <c r="AO250" i="30295"/>
  <c r="AO269" i="30295" s="1"/>
  <c r="AO328" i="30295"/>
  <c r="AL315" i="30295"/>
  <c r="AN335" i="30295"/>
  <c r="AO330" i="30295"/>
  <c r="AO329" i="30295"/>
  <c r="AO338" i="30295"/>
  <c r="AN331" i="30295"/>
  <c r="AN238" i="30295"/>
  <c r="AN324" i="30295"/>
  <c r="AO324" i="30295"/>
  <c r="AO247" i="30295"/>
  <c r="AL340" i="30295"/>
  <c r="AL247" i="30295"/>
  <c r="AN256" i="30295"/>
  <c r="AN257" i="30295" s="1"/>
  <c r="AN312" i="30295" s="1"/>
  <c r="AO337" i="30295"/>
  <c r="AO333" i="30295"/>
  <c r="AO240" i="30295"/>
  <c r="BP64" i="30308"/>
  <c r="AL332" i="30295"/>
  <c r="AL248" i="30295"/>
  <c r="AL334" i="30295"/>
  <c r="AL255" i="30295"/>
  <c r="AL314" i="30295"/>
  <c r="AL303" i="30295"/>
  <c r="AL324" i="30295"/>
  <c r="AL308" i="30295"/>
  <c r="AN315" i="30295"/>
  <c r="AN319" i="30295"/>
  <c r="AL322" i="30295"/>
  <c r="AN304" i="30295"/>
  <c r="AN305" i="30295" s="1"/>
  <c r="AL239" i="30295"/>
  <c r="AL263" i="30295"/>
  <c r="AL264" i="30295" s="1"/>
  <c r="AN320" i="30295"/>
  <c r="AN247" i="30295"/>
  <c r="AL323" i="30295"/>
  <c r="AN302" i="30295"/>
  <c r="AN248" i="30295"/>
  <c r="AN321" i="30295"/>
  <c r="AL330" i="30295"/>
  <c r="AL339" i="30295"/>
  <c r="AL253" i="30295"/>
  <c r="AL329" i="30295"/>
  <c r="AL328" i="30295"/>
  <c r="AL241" i="30295"/>
  <c r="AN241" i="30295"/>
  <c r="AL310" i="30295"/>
  <c r="AL302" i="30295"/>
  <c r="AL230" i="30295"/>
  <c r="AN244" i="30295"/>
  <c r="AN330" i="30295"/>
  <c r="AL245" i="30295"/>
  <c r="AN307" i="30295"/>
  <c r="AN306" i="30295"/>
  <c r="AN253" i="30295"/>
  <c r="AN317" i="30295" s="1"/>
  <c r="AL307" i="30295"/>
  <c r="AL259" i="30295"/>
  <c r="AL260" i="30295" s="1"/>
  <c r="AL243" i="30295"/>
  <c r="AL338" i="30295"/>
  <c r="AN250" i="30295"/>
  <c r="AL242" i="30295"/>
  <c r="AL321" i="30295"/>
  <c r="AL325" i="30295"/>
  <c r="AL244" i="30295"/>
  <c r="AN255" i="30295"/>
  <c r="AN337" i="30295"/>
  <c r="AN336" i="30295"/>
  <c r="AL336" i="30295"/>
  <c r="AL254" i="30295"/>
  <c r="AN334" i="30295"/>
  <c r="AN338" i="30295"/>
  <c r="AL304" i="30295"/>
  <c r="AL305" i="30295" s="1"/>
  <c r="AL333" i="30295"/>
  <c r="AL316" i="30295"/>
  <c r="AL237" i="30295"/>
  <c r="AN316" i="30295"/>
  <c r="AN332" i="30295"/>
  <c r="AL320" i="30295"/>
  <c r="AP8" i="30295"/>
  <c r="AV321" i="30295"/>
  <c r="AV248" i="30295"/>
  <c r="AV237" i="30295"/>
  <c r="AS243" i="30295"/>
  <c r="AS242" i="30295"/>
  <c r="AV239" i="30295"/>
  <c r="AS322" i="30295"/>
  <c r="AV247" i="30295"/>
  <c r="AV308" i="30295"/>
  <c r="AV325" i="30295"/>
  <c r="AV306" i="30295"/>
  <c r="AV230" i="30295"/>
  <c r="AV243" i="30295"/>
  <c r="AV240" i="30295"/>
  <c r="AV303" i="30295"/>
  <c r="AV255" i="30295"/>
  <c r="AV314" i="30295"/>
  <c r="AV324" i="30295"/>
  <c r="AV322" i="30295"/>
  <c r="AE230" i="30295"/>
  <c r="AV332" i="30295"/>
  <c r="AV336" i="30295"/>
  <c r="AV340" i="30295"/>
  <c r="L245" i="30295"/>
  <c r="AF322" i="30295"/>
  <c r="AF259" i="30295"/>
  <c r="AF260" i="30295" s="1"/>
  <c r="AS230" i="30295"/>
  <c r="AS324" i="30295"/>
  <c r="AS254" i="30295"/>
  <c r="AS245" i="30295"/>
  <c r="L335" i="30295"/>
  <c r="AS338" i="30295"/>
  <c r="AF237" i="30295"/>
  <c r="AS244" i="30295"/>
  <c r="AS250" i="30295"/>
  <c r="AS269" i="30295" s="1"/>
  <c r="AS323" i="30295"/>
  <c r="L230" i="30295"/>
  <c r="L237" i="30295"/>
  <c r="L315" i="30295"/>
  <c r="L244" i="30295"/>
  <c r="L337" i="30295"/>
  <c r="L254" i="30295"/>
  <c r="L253" i="30295"/>
  <c r="AF333" i="30295"/>
  <c r="L338" i="30295"/>
  <c r="AV333" i="30295"/>
  <c r="AV304" i="30295"/>
  <c r="AV305" i="30295" s="1"/>
  <c r="AV238" i="30295"/>
  <c r="AV330" i="30295"/>
  <c r="L329" i="30295"/>
  <c r="L333" i="30295"/>
  <c r="AV259" i="30295"/>
  <c r="AV260" i="30295" s="1"/>
  <c r="AV320" i="30295"/>
  <c r="AV339" i="30295"/>
  <c r="L310" i="30295"/>
  <c r="L325" i="30295"/>
  <c r="L238" i="30295"/>
  <c r="L242" i="30295"/>
  <c r="L259" i="30295"/>
  <c r="L260" i="30295" s="1"/>
  <c r="L322" i="30295"/>
  <c r="L303" i="30295"/>
  <c r="L308" i="30295"/>
  <c r="L339" i="30295"/>
  <c r="L256" i="30295"/>
  <c r="L257" i="30295" s="1"/>
  <c r="L312" i="30295" s="1"/>
  <c r="L255" i="30295"/>
  <c r="L321" i="30295"/>
  <c r="L324" i="30295"/>
  <c r="AE331" i="30295"/>
  <c r="AF319" i="30295"/>
  <c r="AF321" i="30295"/>
  <c r="AF339" i="30295"/>
  <c r="AF306" i="30295"/>
  <c r="AF255" i="30295"/>
  <c r="AF303" i="30295"/>
  <c r="AF324" i="30295"/>
  <c r="AF263" i="30295"/>
  <c r="AF264" i="30295" s="1"/>
  <c r="AF240" i="30295"/>
  <c r="AF332" i="30295"/>
  <c r="AF250" i="30295"/>
  <c r="AF269" i="30295" s="1"/>
  <c r="AF302" i="30295"/>
  <c r="AF320" i="30295"/>
  <c r="L263" i="30295"/>
  <c r="L264" i="30295" s="1"/>
  <c r="AV250" i="30295"/>
  <c r="AV269" i="30295" s="1"/>
  <c r="AV337" i="30295"/>
  <c r="AV241" i="30295"/>
  <c r="AV242" i="30295"/>
  <c r="AV319" i="30295"/>
  <c r="AV331" i="30295"/>
  <c r="AV315" i="30295"/>
  <c r="AV253" i="30295"/>
  <c r="L319" i="30295"/>
  <c r="L334" i="30295"/>
  <c r="L336" i="30295"/>
  <c r="L304" i="30295"/>
  <c r="L305" i="30295" s="1"/>
  <c r="L323" i="30295"/>
  <c r="AF248" i="30295"/>
  <c r="AF323" i="30295"/>
  <c r="AF308" i="30295"/>
  <c r="AF243" i="30295"/>
  <c r="AF230" i="30295"/>
  <c r="AF245" i="30295"/>
  <c r="AF315" i="30295"/>
  <c r="AF241" i="30295"/>
  <c r="AF307" i="30295"/>
  <c r="AF254" i="30295"/>
  <c r="AF325" i="30295"/>
  <c r="AF256" i="30295"/>
  <c r="AF257" i="30295" s="1"/>
  <c r="AF312" i="30295" s="1"/>
  <c r="AF242" i="30295"/>
  <c r="AF244" i="30295"/>
  <c r="AF335" i="30295"/>
  <c r="AF329" i="30295"/>
  <c r="AF314" i="30295"/>
  <c r="L307" i="30295"/>
  <c r="L328" i="30295"/>
  <c r="L243" i="30295"/>
  <c r="L316" i="30295"/>
  <c r="M35" i="30308" s="1"/>
  <c r="L247" i="30295"/>
  <c r="L320" i="30295"/>
  <c r="M239" i="30295"/>
  <c r="L314" i="30295"/>
  <c r="L250" i="30295"/>
  <c r="L269" i="30295" s="1"/>
  <c r="L302" i="30295"/>
  <c r="L330" i="30295"/>
  <c r="AV254" i="30295"/>
  <c r="AV338" i="30295"/>
  <c r="AV302" i="30295"/>
  <c r="AV245" i="30295"/>
  <c r="AV316" i="30295"/>
  <c r="N40" i="30308" s="1"/>
  <c r="AV328" i="30295"/>
  <c r="AV310" i="30295"/>
  <c r="AV256" i="30295"/>
  <c r="AV257" i="30295" s="1"/>
  <c r="AV312" i="30295" s="1"/>
  <c r="AV263" i="30295"/>
  <c r="AV264" i="30295" s="1"/>
  <c r="AV334" i="30295"/>
  <c r="AV244" i="30295"/>
  <c r="AV329" i="30295"/>
  <c r="AE306" i="30295"/>
  <c r="AE310" i="30295"/>
  <c r="AE336" i="30295"/>
  <c r="AE238" i="30295"/>
  <c r="AE302" i="30295"/>
  <c r="AE333" i="30295"/>
  <c r="AE314" i="30295"/>
  <c r="AE334" i="30295"/>
  <c r="M325" i="30295"/>
  <c r="M308" i="30295"/>
  <c r="M248" i="30295"/>
  <c r="AS241" i="30295"/>
  <c r="AS304" i="30295"/>
  <c r="AS305" i="30295" s="1"/>
  <c r="AF336" i="30295"/>
  <c r="AF334" i="30295"/>
  <c r="AF330" i="30295"/>
  <c r="AF304" i="30295"/>
  <c r="AF305" i="30295" s="1"/>
  <c r="AF338" i="30295"/>
  <c r="AF310" i="30295"/>
  <c r="AF238" i="30295"/>
  <c r="AF328" i="30295"/>
  <c r="Q319" i="30295"/>
  <c r="Q263" i="30295"/>
  <c r="Q264" i="30295" s="1"/>
  <c r="Q244" i="30295"/>
  <c r="M306" i="30295"/>
  <c r="M334" i="30295"/>
  <c r="M329" i="30295"/>
  <c r="M250" i="30295"/>
  <c r="M269" i="30295" s="1"/>
  <c r="AS321" i="30295"/>
  <c r="M310" i="30295"/>
  <c r="AI8" i="30295"/>
  <c r="M332" i="30295"/>
  <c r="M303" i="30295"/>
  <c r="M237" i="30295"/>
  <c r="AA230" i="30295"/>
  <c r="Q241" i="30295"/>
  <c r="AS238" i="30295"/>
  <c r="AS329" i="30295"/>
  <c r="AS337" i="30295"/>
  <c r="AS259" i="30295"/>
  <c r="AF253" i="30295"/>
  <c r="AF239" i="30295"/>
  <c r="AF331" i="30295"/>
  <c r="AF316" i="30295"/>
  <c r="AF247" i="30295"/>
  <c r="AF340" i="30295"/>
  <c r="AE335" i="30295"/>
  <c r="AE239" i="30295"/>
  <c r="AE332" i="30295"/>
  <c r="AE244" i="30295"/>
  <c r="AE256" i="30295"/>
  <c r="AE257" i="30295" s="1"/>
  <c r="AE312" i="30295" s="1"/>
  <c r="AE321" i="30295"/>
  <c r="AE241" i="30295"/>
  <c r="AE304" i="30295"/>
  <c r="AE305" i="30295" s="1"/>
  <c r="AE259" i="30295"/>
  <c r="AE260" i="30295" s="1"/>
  <c r="AE248" i="30295"/>
  <c r="AE320" i="30295"/>
  <c r="AE240" i="30295"/>
  <c r="AE253" i="30295"/>
  <c r="AE324" i="30295"/>
  <c r="AE243" i="30295"/>
  <c r="AE254" i="30295"/>
  <c r="AE255" i="30295"/>
  <c r="AE307" i="30295"/>
  <c r="AE339" i="30295"/>
  <c r="AE316" i="30295"/>
  <c r="K38" i="30308" s="1"/>
  <c r="AE328" i="30295"/>
  <c r="AE263" i="30295"/>
  <c r="AE264" i="30295" s="1"/>
  <c r="AE323" i="30295"/>
  <c r="AE319" i="30295"/>
  <c r="AE325" i="30295"/>
  <c r="AE337" i="30295"/>
  <c r="AE322" i="30295"/>
  <c r="AE308" i="30295"/>
  <c r="M230" i="30295"/>
  <c r="AE237" i="30295"/>
  <c r="Q306" i="30295"/>
  <c r="Q324" i="30295"/>
  <c r="AS315" i="30295"/>
  <c r="AS335" i="30295"/>
  <c r="AE250" i="30295"/>
  <c r="AE269" i="30295" s="1"/>
  <c r="L340" i="30295"/>
  <c r="L332" i="30295"/>
  <c r="L241" i="30295"/>
  <c r="L240" i="30295"/>
  <c r="L331" i="30295"/>
  <c r="Q337" i="30295"/>
  <c r="Q329" i="30295"/>
  <c r="Q334" i="30295"/>
  <c r="AE340" i="30295"/>
  <c r="AE330" i="30295"/>
  <c r="AE303" i="30295"/>
  <c r="AE245" i="30295"/>
  <c r="AE329" i="30295"/>
  <c r="L306" i="30295"/>
  <c r="Q322" i="30295"/>
  <c r="Q321" i="30295"/>
  <c r="Q307" i="30295"/>
  <c r="AS331" i="30295"/>
  <c r="AE338" i="30295"/>
  <c r="AE315" i="30295"/>
  <c r="AE247" i="30295"/>
  <c r="AV335" i="30295"/>
  <c r="AV307" i="30295"/>
  <c r="L239" i="30295"/>
  <c r="P8" i="30295"/>
  <c r="M340" i="30295"/>
  <c r="AS328" i="30295"/>
  <c r="AS340" i="30295"/>
  <c r="AS263" i="30295"/>
  <c r="AS264" i="30295" s="1"/>
  <c r="Q336" i="30295"/>
  <c r="Q332" i="30295"/>
  <c r="Q242" i="30295"/>
  <c r="Q314" i="30295"/>
  <c r="Q308" i="30295"/>
  <c r="Q230" i="30295"/>
  <c r="AS339" i="30295"/>
  <c r="AS237" i="30295"/>
  <c r="AS336" i="30295"/>
  <c r="AS307" i="30295"/>
  <c r="AS334" i="30295"/>
  <c r="AS316" i="30295"/>
  <c r="K40" i="30308" s="1"/>
  <c r="AS306" i="30295"/>
  <c r="AS303" i="30295"/>
  <c r="AS253" i="30295"/>
  <c r="AS310" i="30295"/>
  <c r="AS325" i="30295"/>
  <c r="AS330" i="30295"/>
  <c r="AS240" i="30295"/>
  <c r="AS320" i="30295"/>
  <c r="AS319" i="30295"/>
  <c r="AS308" i="30295"/>
  <c r="AS333" i="30295"/>
  <c r="AS255" i="30295"/>
  <c r="Q239" i="30295"/>
  <c r="Q256" i="30295"/>
  <c r="Q257" i="30295" s="1"/>
  <c r="Q312" i="30295" s="1"/>
  <c r="Q253" i="30295"/>
  <c r="Q323" i="30295"/>
  <c r="AS239" i="30295"/>
  <c r="AS247" i="30295"/>
  <c r="AS256" i="30295"/>
  <c r="AS257" i="30295" s="1"/>
  <c r="AS312" i="30295" s="1"/>
  <c r="AS302" i="30295"/>
  <c r="AS314" i="30295"/>
  <c r="AS248" i="30295"/>
  <c r="AW338" i="30295"/>
  <c r="AW329" i="30295"/>
  <c r="AW306" i="30295"/>
  <c r="AW319" i="30295"/>
  <c r="AW248" i="30295"/>
  <c r="AW241" i="30295"/>
  <c r="AW321" i="30295"/>
  <c r="AW315" i="30295"/>
  <c r="AW303" i="30295"/>
  <c r="AW243" i="30295"/>
  <c r="AW253" i="30295"/>
  <c r="AW310" i="30295"/>
  <c r="AW302" i="30295"/>
  <c r="N8" i="30295"/>
  <c r="M324" i="30295"/>
  <c r="M255" i="30295"/>
  <c r="M339" i="30295"/>
  <c r="AW332" i="30295"/>
  <c r="AW335" i="30295"/>
  <c r="AW330" i="30295"/>
  <c r="AW316" i="30295"/>
  <c r="O40" i="30308" s="1"/>
  <c r="AW263" i="30295"/>
  <c r="AW264" i="30295" s="1"/>
  <c r="AW255" i="30295"/>
  <c r="AW324" i="30295"/>
  <c r="AW307" i="30295"/>
  <c r="AW328" i="30295"/>
  <c r="AW333" i="30295"/>
  <c r="AW254" i="30295"/>
  <c r="AW244" i="30295"/>
  <c r="M307" i="30295"/>
  <c r="M247" i="30295"/>
  <c r="M333" i="30295"/>
  <c r="AT230" i="30295"/>
  <c r="AA322" i="30295"/>
  <c r="AA245" i="30295"/>
  <c r="AT247" i="30295"/>
  <c r="AT335" i="30295"/>
  <c r="AT307" i="30295"/>
  <c r="M336" i="30295"/>
  <c r="AR8" i="30295"/>
  <c r="AR230" i="30295" s="1"/>
  <c r="AA332" i="30295"/>
  <c r="AA303" i="30295"/>
  <c r="AA237" i="30295"/>
  <c r="AT329" i="30295"/>
  <c r="AT308" i="30295"/>
  <c r="AU303" i="30295"/>
  <c r="AU330" i="30295"/>
  <c r="AU336" i="30295"/>
  <c r="AU245" i="30295"/>
  <c r="AU314" i="30295"/>
  <c r="AA333" i="30295"/>
  <c r="AU308" i="30295"/>
  <c r="AU307" i="30295"/>
  <c r="M254" i="30295"/>
  <c r="M338" i="30295"/>
  <c r="M314" i="30295"/>
  <c r="AW334" i="30295"/>
  <c r="AW322" i="30295"/>
  <c r="AW308" i="30295"/>
  <c r="AW323" i="30295"/>
  <c r="AW336" i="30295"/>
  <c r="AW339" i="30295"/>
  <c r="AW304" i="30295"/>
  <c r="AW305" i="30295" s="1"/>
  <c r="AW337" i="30295"/>
  <c r="AW247" i="30295"/>
  <c r="AW238" i="30295"/>
  <c r="AW320" i="30295"/>
  <c r="Y337" i="30295"/>
  <c r="Y321" i="30295"/>
  <c r="Y253" i="30295"/>
  <c r="Y339" i="30295"/>
  <c r="Y320" i="30295"/>
  <c r="Y254" i="30295"/>
  <c r="Y237" i="30295"/>
  <c r="Y325" i="30295"/>
  <c r="Y303" i="30295"/>
  <c r="Y243" i="30295"/>
  <c r="Y324" i="30295"/>
  <c r="Y263" i="30295"/>
  <c r="Y264" i="30295" s="1"/>
  <c r="Y333" i="30295"/>
  <c r="Y310" i="30295"/>
  <c r="Y242" i="30295"/>
  <c r="Y335" i="30295"/>
  <c r="Y319" i="30295"/>
  <c r="Y250" i="30295"/>
  <c r="Y269" i="30295" s="1"/>
  <c r="Y338" i="30295"/>
  <c r="Y315" i="30295"/>
  <c r="Y259" i="30295"/>
  <c r="Y260" i="30295" s="1"/>
  <c r="Y340" i="30295"/>
  <c r="Y323" i="30295"/>
  <c r="Y255" i="30295"/>
  <c r="Y331" i="30295"/>
  <c r="Y302" i="30295"/>
  <c r="Y247" i="30295"/>
  <c r="Y332" i="30295"/>
  <c r="Y308" i="30295"/>
  <c r="Y240" i="30295"/>
  <c r="Y336" i="30295"/>
  <c r="Y316" i="30295"/>
  <c r="Y248" i="30295"/>
  <c r="Y334" i="30295"/>
  <c r="Y314" i="30295"/>
  <c r="Y244" i="30295"/>
  <c r="Y322" i="30295"/>
  <c r="Y256" i="30295"/>
  <c r="Y257" i="30295" s="1"/>
  <c r="Y312" i="30295" s="1"/>
  <c r="Y239" i="30295"/>
  <c r="Y329" i="30295"/>
  <c r="Y307" i="30295"/>
  <c r="Y245" i="30295"/>
  <c r="Y330" i="30295"/>
  <c r="Y306" i="30295"/>
  <c r="Y238" i="30295"/>
  <c r="Y328" i="30295"/>
  <c r="Y304" i="30295"/>
  <c r="Y305" i="30295" s="1"/>
  <c r="Y241" i="30295"/>
  <c r="M241" i="30295"/>
  <c r="M335" i="30295"/>
  <c r="M315" i="30295"/>
  <c r="AT330" i="30295"/>
  <c r="AT304" i="30295"/>
  <c r="AT305" i="30295" s="1"/>
  <c r="AT244" i="30295"/>
  <c r="AT328" i="30295"/>
  <c r="AT302" i="30295"/>
  <c r="AT242" i="30295"/>
  <c r="AT323" i="30295"/>
  <c r="AT263" i="30295"/>
  <c r="AT264" i="30295" s="1"/>
  <c r="AT240" i="30295"/>
  <c r="AT321" i="30295"/>
  <c r="AT259" i="30295"/>
  <c r="AT260" i="30295" s="1"/>
  <c r="AT238" i="30295"/>
  <c r="AT340" i="30295"/>
  <c r="AT319" i="30295"/>
  <c r="AT255" i="30295"/>
  <c r="AT338" i="30295"/>
  <c r="AT316" i="30295"/>
  <c r="L40" i="30308" s="1"/>
  <c r="AT253" i="30295"/>
  <c r="AT337" i="30295"/>
  <c r="AT314" i="30295"/>
  <c r="AT256" i="30295"/>
  <c r="AT257" i="30295" s="1"/>
  <c r="AT312" i="30295" s="1"/>
  <c r="AT336" i="30295"/>
  <c r="AT324" i="30295"/>
  <c r="AT254" i="30295"/>
  <c r="AA307" i="30295"/>
  <c r="AA247" i="30295"/>
  <c r="AA335" i="30295"/>
  <c r="AT339" i="30295"/>
  <c r="AT315" i="30295"/>
  <c r="AT241" i="30295"/>
  <c r="AA306" i="30295"/>
  <c r="AA239" i="30295"/>
  <c r="AA325" i="30295"/>
  <c r="AT331" i="30295"/>
  <c r="AT310" i="30295"/>
  <c r="AT250" i="30295"/>
  <c r="AT269" i="30295" s="1"/>
  <c r="AU338" i="30295"/>
  <c r="AU337" i="30295"/>
  <c r="AU256" i="30295"/>
  <c r="AU257" i="30295" s="1"/>
  <c r="AU312" i="30295" s="1"/>
  <c r="AU315" i="30295"/>
  <c r="AU239" i="30295"/>
  <c r="AU323" i="30295"/>
  <c r="AU333" i="30295"/>
  <c r="AU242" i="30295"/>
  <c r="AU254" i="30295"/>
  <c r="AU259" i="30295"/>
  <c r="AU260" i="30295" s="1"/>
  <c r="AU238" i="30295"/>
  <c r="AU331" i="30295"/>
  <c r="AU339" i="30295"/>
  <c r="AU335" i="30295"/>
  <c r="AU306" i="30295"/>
  <c r="AU325" i="30295"/>
  <c r="AU237" i="30295"/>
  <c r="AT334" i="30295"/>
  <c r="Q250" i="30295"/>
  <c r="Q269" i="30295" s="1"/>
  <c r="Q255" i="30295"/>
  <c r="AU243" i="30295"/>
  <c r="AU244" i="30295"/>
  <c r="AU302" i="30295"/>
  <c r="M316" i="30295"/>
  <c r="N35" i="30308" s="1"/>
  <c r="M256" i="30295"/>
  <c r="M257" i="30295" s="1"/>
  <c r="M312" i="30295" s="1"/>
  <c r="AW230" i="30295"/>
  <c r="M337" i="30295"/>
  <c r="M320" i="30295"/>
  <c r="AA241" i="30295"/>
  <c r="AA337" i="30295"/>
  <c r="AA315" i="30295"/>
  <c r="AT320" i="30295"/>
  <c r="AT243" i="30295"/>
  <c r="AA248" i="30295"/>
  <c r="AA329" i="30295"/>
  <c r="AT303" i="30295"/>
  <c r="AT237" i="30295"/>
  <c r="AT332" i="30295"/>
  <c r="AU322" i="30295"/>
  <c r="AU321" i="30295"/>
  <c r="AU304" i="30295"/>
  <c r="AU305" i="30295" s="1"/>
  <c r="AU241" i="30295"/>
  <c r="AU247" i="30295"/>
  <c r="AU316" i="30295"/>
  <c r="M40" i="30308" s="1"/>
  <c r="AU263" i="30295"/>
  <c r="AU264" i="30295" s="1"/>
  <c r="Q331" i="30295"/>
  <c r="AU319" i="30295"/>
  <c r="AU310" i="30295"/>
  <c r="AU334" i="30295"/>
  <c r="M321" i="30295"/>
  <c r="M259" i="30295"/>
  <c r="M260" i="30295" s="1"/>
  <c r="M238" i="30295"/>
  <c r="M330" i="30295"/>
  <c r="M304" i="30295"/>
  <c r="M305" i="30295" s="1"/>
  <c r="M244" i="30295"/>
  <c r="M328" i="30295"/>
  <c r="M302" i="30295"/>
  <c r="M242" i="30295"/>
  <c r="M323" i="30295"/>
  <c r="M263" i="30295"/>
  <c r="M264" i="30295" s="1"/>
  <c r="M240" i="30295"/>
  <c r="M319" i="30295"/>
  <c r="M253" i="30295"/>
  <c r="AW237" i="30295"/>
  <c r="AW245" i="30295"/>
  <c r="AW325" i="30295"/>
  <c r="AW340" i="30295"/>
  <c r="AW331" i="30295"/>
  <c r="AW314" i="30295"/>
  <c r="AW256" i="30295"/>
  <c r="AW257" i="30295" s="1"/>
  <c r="AW312" i="30295" s="1"/>
  <c r="AW259" i="30295"/>
  <c r="AW260" i="30295" s="1"/>
  <c r="AW239" i="30295"/>
  <c r="AW240" i="30295"/>
  <c r="AW250" i="30295"/>
  <c r="AW269" i="30295" s="1"/>
  <c r="AW242" i="30295"/>
  <c r="M331" i="30295"/>
  <c r="M322" i="30295"/>
  <c r="M245" i="30295"/>
  <c r="I8" i="30295"/>
  <c r="AA321" i="30295"/>
  <c r="AA259" i="30295"/>
  <c r="AA260" i="30295" s="1"/>
  <c r="AA238" i="30295"/>
  <c r="AA330" i="30295"/>
  <c r="AA304" i="30295"/>
  <c r="AA305" i="30295" s="1"/>
  <c r="AA244" i="30295"/>
  <c r="AA328" i="30295"/>
  <c r="AA302" i="30295"/>
  <c r="AA242" i="30295"/>
  <c r="AA323" i="30295"/>
  <c r="AA263" i="30295"/>
  <c r="AA264" i="30295" s="1"/>
  <c r="AA240" i="30295"/>
  <c r="AA334" i="30295"/>
  <c r="AA324" i="30295"/>
  <c r="AA254" i="30295"/>
  <c r="AA340" i="30295"/>
  <c r="AA319" i="30295"/>
  <c r="AA255" i="30295"/>
  <c r="AA338" i="30295"/>
  <c r="AA316" i="30295"/>
  <c r="AA253" i="30295"/>
  <c r="AA336" i="30295"/>
  <c r="AA314" i="30295"/>
  <c r="AA256" i="30295"/>
  <c r="AA257" i="30295" s="1"/>
  <c r="AA312" i="30295" s="1"/>
  <c r="AA339" i="30295"/>
  <c r="AA320" i="30295"/>
  <c r="AA243" i="30295"/>
  <c r="AT322" i="30295"/>
  <c r="AT245" i="30295"/>
  <c r="AT333" i="30295"/>
  <c r="AA331" i="30295"/>
  <c r="AA310" i="30295"/>
  <c r="AA250" i="30295"/>
  <c r="AA269" i="30295" s="1"/>
  <c r="AT239" i="30295"/>
  <c r="AT325" i="30295"/>
  <c r="AT306" i="30295"/>
  <c r="R336" i="30295"/>
  <c r="R324" i="30295"/>
  <c r="R254" i="30295"/>
  <c r="R331" i="30295"/>
  <c r="R303" i="30295"/>
  <c r="R329" i="30295"/>
  <c r="R310" i="30295"/>
  <c r="R237" i="30295"/>
  <c r="R250" i="30295"/>
  <c r="R269" i="30295" s="1"/>
  <c r="R247" i="30295"/>
  <c r="R263" i="30295"/>
  <c r="R264" i="30295" s="1"/>
  <c r="R314" i="30295"/>
  <c r="R334" i="30295"/>
  <c r="R307" i="30295"/>
  <c r="R241" i="30295"/>
  <c r="R330" i="30295"/>
  <c r="R304" i="30295"/>
  <c r="R305" i="30295" s="1"/>
  <c r="R328" i="30295"/>
  <c r="R302" i="30295"/>
  <c r="R333" i="30295"/>
  <c r="R240" i="30295"/>
  <c r="R248" i="30295"/>
  <c r="R243" i="30295"/>
  <c r="R255" i="30295"/>
  <c r="R332" i="30295"/>
  <c r="R306" i="30295"/>
  <c r="R340" i="30295"/>
  <c r="R319" i="30295"/>
  <c r="R338" i="30295"/>
  <c r="R316" i="30295"/>
  <c r="R253" i="30295"/>
  <c r="R315" i="30295"/>
  <c r="R325" i="30295"/>
  <c r="R238" i="30295"/>
  <c r="R244" i="30295"/>
  <c r="R239" i="30295"/>
  <c r="R321" i="30295"/>
  <c r="R259" i="30295"/>
  <c r="R260" i="30295" s="1"/>
  <c r="R337" i="30295"/>
  <c r="R322" i="30295"/>
  <c r="R335" i="30295"/>
  <c r="R320" i="30295"/>
  <c r="R245" i="30295"/>
  <c r="R256" i="30295"/>
  <c r="R257" i="30295" s="1"/>
  <c r="R312" i="30295" s="1"/>
  <c r="R308" i="30295"/>
  <c r="R323" i="30295"/>
  <c r="R339" i="30295"/>
  <c r="R242" i="30295"/>
  <c r="AU240" i="30295"/>
  <c r="AU332" i="30295"/>
  <c r="AU230" i="30295"/>
  <c r="AU248" i="30295"/>
  <c r="AU324" i="30295"/>
  <c r="AU255" i="30295"/>
  <c r="AU250" i="30295"/>
  <c r="AU269" i="30295" s="1"/>
  <c r="Q338" i="30295"/>
  <c r="Q254" i="30295"/>
  <c r="Q248" i="30295"/>
  <c r="Q238" i="30295"/>
  <c r="Q330" i="30295"/>
  <c r="Q320" i="30295"/>
  <c r="Q240" i="30295"/>
  <c r="Q316" i="30295"/>
  <c r="K36" i="30308" s="1"/>
  <c r="Q303" i="30295"/>
  <c r="Q302" i="30295"/>
  <c r="Q243" i="30295"/>
  <c r="Q333" i="30295"/>
  <c r="Q259" i="30295"/>
  <c r="Q260" i="30295" s="1"/>
  <c r="Q304" i="30295"/>
  <c r="Q305" i="30295" s="1"/>
  <c r="Q237" i="30295"/>
  <c r="Q335" i="30295"/>
  <c r="Q247" i="30295"/>
  <c r="Q339" i="30295"/>
  <c r="Q325" i="30295"/>
  <c r="Q328" i="30295"/>
  <c r="Q310" i="30295"/>
  <c r="Q245" i="30295"/>
  <c r="Q315" i="30295"/>
  <c r="AU320" i="30295"/>
  <c r="AU253" i="30295"/>
  <c r="AU328" i="30295"/>
  <c r="AU329" i="30295"/>
  <c r="J261" i="30295" l="1"/>
  <c r="AH262" i="30295"/>
  <c r="J270" i="30295"/>
  <c r="J300" i="30295"/>
  <c r="J317" i="30295"/>
  <c r="J233" i="30295"/>
  <c r="J251" i="30295"/>
  <c r="J252" i="30295"/>
  <c r="J348" i="30295" s="1"/>
  <c r="J311" i="30295"/>
  <c r="T262" i="30295"/>
  <c r="J313" i="30295"/>
  <c r="AG233" i="30295"/>
  <c r="AH317" i="30295"/>
  <c r="W334" i="30295"/>
  <c r="U339" i="30295"/>
  <c r="U237" i="30295"/>
  <c r="AH313" i="30295"/>
  <c r="AH311" i="30295"/>
  <c r="AH270" i="30295"/>
  <c r="AH309" i="30295"/>
  <c r="AH261" i="30295"/>
  <c r="AG262" i="30295"/>
  <c r="AH251" i="30295"/>
  <c r="AG252" i="30295"/>
  <c r="AH233" i="30295"/>
  <c r="AH252" i="30295"/>
  <c r="AH348" i="30295" s="1"/>
  <c r="AG251" i="30295"/>
  <c r="U308" i="30295"/>
  <c r="AG261" i="30295"/>
  <c r="T261" i="30295"/>
  <c r="AG309" i="30295"/>
  <c r="AD242" i="30295"/>
  <c r="AB230" i="30295"/>
  <c r="AB237" i="30295"/>
  <c r="AB256" i="30295"/>
  <c r="AB257" i="30295" s="1"/>
  <c r="AB312" i="30295" s="1"/>
  <c r="AB239" i="30295"/>
  <c r="AB315" i="30295"/>
  <c r="AB329" i="30295"/>
  <c r="AB243" i="30295"/>
  <c r="AB259" i="30295"/>
  <c r="AB260" i="30295" s="1"/>
  <c r="AB320" i="30295"/>
  <c r="AB308" i="30295"/>
  <c r="AB253" i="30295"/>
  <c r="AB317" i="30295" s="1"/>
  <c r="AB316" i="30295"/>
  <c r="O37" i="30308" s="1"/>
  <c r="AB322" i="30295"/>
  <c r="AB310" i="30295"/>
  <c r="AB324" i="30295"/>
  <c r="AB331" i="30295"/>
  <c r="AB240" i="30295"/>
  <c r="AB333" i="30295"/>
  <c r="AB306" i="30295"/>
  <c r="AB241" i="30295"/>
  <c r="AB325" i="30295"/>
  <c r="AB307" i="30295"/>
  <c r="AB245" i="30295"/>
  <c r="AB335" i="30295"/>
  <c r="AB304" i="30295"/>
  <c r="AB305" i="30295" s="1"/>
  <c r="AB255" i="30295"/>
  <c r="AB334" i="30295"/>
  <c r="AB319" i="30295"/>
  <c r="AB337" i="30295"/>
  <c r="AB263" i="30295"/>
  <c r="AB264" i="30295" s="1"/>
  <c r="AB250" i="30295"/>
  <c r="AB269" i="30295" s="1"/>
  <c r="AB338" i="30295"/>
  <c r="AB339" i="30295"/>
  <c r="AB321" i="30295"/>
  <c r="AB336" i="30295"/>
  <c r="AB238" i="30295"/>
  <c r="AB247" i="30295"/>
  <c r="AB330" i="30295"/>
  <c r="AB328" i="30295"/>
  <c r="AB314" i="30295"/>
  <c r="AB303" i="30295"/>
  <c r="AB242" i="30295"/>
  <c r="AB248" i="30295"/>
  <c r="U307" i="30295"/>
  <c r="Z252" i="30295"/>
  <c r="Z348" i="30295" s="1"/>
  <c r="T251" i="30295"/>
  <c r="AG300" i="30295"/>
  <c r="W250" i="30295"/>
  <c r="W269" i="30295" s="1"/>
  <c r="J262" i="30295"/>
  <c r="AG311" i="30295"/>
  <c r="AM233" i="30295"/>
  <c r="W256" i="30295"/>
  <c r="W257" i="30295" s="1"/>
  <c r="W312" i="30295" s="1"/>
  <c r="W303" i="30295"/>
  <c r="AG313" i="30295"/>
  <c r="W335" i="30295"/>
  <c r="W254" i="30295"/>
  <c r="W338" i="30295"/>
  <c r="W316" i="30295"/>
  <c r="J37" i="30308" s="1"/>
  <c r="W241" i="30295"/>
  <c r="W325" i="30295"/>
  <c r="W310" i="30295"/>
  <c r="W239" i="30295"/>
  <c r="W230" i="30295"/>
  <c r="W322" i="30295"/>
  <c r="W320" i="30295"/>
  <c r="W248" i="30295"/>
  <c r="W323" i="30295"/>
  <c r="W240" i="30295"/>
  <c r="W307" i="30295"/>
  <c r="W306" i="30295"/>
  <c r="W304" i="30295"/>
  <c r="W305" i="30295" s="1"/>
  <c r="W321" i="30295"/>
  <c r="W314" i="30295"/>
  <c r="W253" i="30295"/>
  <c r="W317" i="30295" s="1"/>
  <c r="W340" i="30295"/>
  <c r="W330" i="30295"/>
  <c r="W324" i="30295"/>
  <c r="W329" i="30295"/>
  <c r="W259" i="30295"/>
  <c r="W260" i="30295" s="1"/>
  <c r="W242" i="30295"/>
  <c r="W328" i="30295"/>
  <c r="W255" i="30295"/>
  <c r="W333" i="30295"/>
  <c r="W315" i="30295"/>
  <c r="W247" i="30295"/>
  <c r="W238" i="30295"/>
  <c r="W319" i="30295"/>
  <c r="W332" i="30295"/>
  <c r="W308" i="30295"/>
  <c r="W237" i="30295"/>
  <c r="W339" i="30295"/>
  <c r="W336" i="30295"/>
  <c r="W263" i="30295"/>
  <c r="W264" i="30295" s="1"/>
  <c r="W244" i="30295"/>
  <c r="W331" i="30295"/>
  <c r="W302" i="30295"/>
  <c r="W245" i="30295"/>
  <c r="W243" i="30295"/>
  <c r="X313" i="30295"/>
  <c r="S261" i="30295"/>
  <c r="J309" i="30295"/>
  <c r="T270" i="30295"/>
  <c r="S300" i="30295"/>
  <c r="S262" i="30295"/>
  <c r="AH353" i="30295"/>
  <c r="F38" i="30308" s="1"/>
  <c r="AB332" i="30295"/>
  <c r="AB323" i="30295"/>
  <c r="AB244" i="30295"/>
  <c r="X309" i="30295"/>
  <c r="U263" i="30295"/>
  <c r="U264" i="30295" s="1"/>
  <c r="T309" i="30295"/>
  <c r="T313" i="30295"/>
  <c r="T311" i="30295"/>
  <c r="U250" i="30295"/>
  <c r="U269" i="30295" s="1"/>
  <c r="Z300" i="30295"/>
  <c r="Z262" i="30295"/>
  <c r="T300" i="30295"/>
  <c r="T353" i="30295"/>
  <c r="F36" i="30308" s="1"/>
  <c r="U338" i="30295"/>
  <c r="U320" i="30295"/>
  <c r="U247" i="30295"/>
  <c r="U322" i="30295"/>
  <c r="U239" i="30295"/>
  <c r="S309" i="30295"/>
  <c r="U328" i="30295"/>
  <c r="U335" i="30295"/>
  <c r="U334" i="30295"/>
  <c r="T233" i="30295"/>
  <c r="U302" i="30295"/>
  <c r="U325" i="30295"/>
  <c r="T252" i="30295"/>
  <c r="T348" i="30295" s="1"/>
  <c r="U240" i="30295"/>
  <c r="U259" i="30295"/>
  <c r="U260" i="30295" s="1"/>
  <c r="U331" i="30295"/>
  <c r="U306" i="30295"/>
  <c r="U340" i="30295"/>
  <c r="U244" i="30295"/>
  <c r="U332" i="30295"/>
  <c r="U242" i="30295"/>
  <c r="U319" i="30295"/>
  <c r="U336" i="30295"/>
  <c r="U230" i="30295"/>
  <c r="U253" i="30295"/>
  <c r="U317" i="30295" s="1"/>
  <c r="U254" i="30295"/>
  <c r="U330" i="30295"/>
  <c r="U329" i="30295"/>
  <c r="U310" i="30295"/>
  <c r="U248" i="30295"/>
  <c r="U314" i="30295"/>
  <c r="U241" i="30295"/>
  <c r="U243" i="30295"/>
  <c r="U321" i="30295"/>
  <c r="U255" i="30295"/>
  <c r="U238" i="30295"/>
  <c r="U304" i="30295"/>
  <c r="U305" i="30295" s="1"/>
  <c r="U316" i="30295"/>
  <c r="U353" i="30295" s="1"/>
  <c r="G36" i="30308" s="1"/>
  <c r="U323" i="30295"/>
  <c r="U337" i="30295"/>
  <c r="U256" i="30295"/>
  <c r="U257" i="30295" s="1"/>
  <c r="U312" i="30295" s="1"/>
  <c r="U313" i="30295" s="1"/>
  <c r="K300" i="30295"/>
  <c r="K262" i="30295"/>
  <c r="K313" i="30295"/>
  <c r="X233" i="30295"/>
  <c r="X270" i="30295"/>
  <c r="AB340" i="30295"/>
  <c r="X252" i="30295"/>
  <c r="X348" i="30295" s="1"/>
  <c r="X311" i="30295"/>
  <c r="X251" i="30295"/>
  <c r="Z261" i="30295"/>
  <c r="X262" i="30295"/>
  <c r="AB254" i="30295"/>
  <c r="X261" i="30295"/>
  <c r="Z309" i="30295"/>
  <c r="S313" i="30295"/>
  <c r="S311" i="30295"/>
  <c r="S252" i="30295"/>
  <c r="S348" i="30295" s="1"/>
  <c r="S233" i="30295"/>
  <c r="S251" i="30295"/>
  <c r="U315" i="30295"/>
  <c r="U245" i="30295"/>
  <c r="U303" i="30295"/>
  <c r="U324" i="30295"/>
  <c r="AO300" i="30295"/>
  <c r="K261" i="30295"/>
  <c r="AD329" i="30295"/>
  <c r="AD308" i="30295"/>
  <c r="AD263" i="30295"/>
  <c r="AD264" i="30295" s="1"/>
  <c r="AD247" i="30295"/>
  <c r="AD323" i="30295"/>
  <c r="AD243" i="30295"/>
  <c r="AD319" i="30295"/>
  <c r="AD333" i="30295"/>
  <c r="AD337" i="30295"/>
  <c r="AD238" i="30295"/>
  <c r="AD304" i="30295"/>
  <c r="AD305" i="30295" s="1"/>
  <c r="AD314" i="30295"/>
  <c r="AD245" i="30295"/>
  <c r="AD248" i="30295"/>
  <c r="AD340" i="30295"/>
  <c r="AD241" i="30295"/>
  <c r="AD230" i="30295"/>
  <c r="AD253" i="30295"/>
  <c r="AD317" i="30295" s="1"/>
  <c r="AD324" i="30295"/>
  <c r="AD335" i="30295"/>
  <c r="AD310" i="30295"/>
  <c r="AD250" i="30295"/>
  <c r="AD269" i="30295" s="1"/>
  <c r="AD259" i="30295"/>
  <c r="AD260" i="30295" s="1"/>
  <c r="AD338" i="30295"/>
  <c r="AD307" i="30295"/>
  <c r="X300" i="30295"/>
  <c r="Z251" i="30295"/>
  <c r="Z233" i="30295"/>
  <c r="Z311" i="30295"/>
  <c r="K309" i="30295"/>
  <c r="K270" i="30295"/>
  <c r="K251" i="30295"/>
  <c r="K233" i="30295"/>
  <c r="K252" i="30295"/>
  <c r="K348" i="30295" s="1"/>
  <c r="K353" i="30295"/>
  <c r="D35" i="30308" s="1"/>
  <c r="AD254" i="30295"/>
  <c r="AD325" i="30295"/>
  <c r="AD244" i="30295"/>
  <c r="AD322" i="30295"/>
  <c r="AD306" i="30295"/>
  <c r="AD302" i="30295"/>
  <c r="AD303" i="30295"/>
  <c r="AD237" i="30295"/>
  <c r="AD315" i="30295"/>
  <c r="AD334" i="30295"/>
  <c r="AD330" i="30295"/>
  <c r="AD339" i="30295"/>
  <c r="AD320" i="30295"/>
  <c r="AD331" i="30295"/>
  <c r="AD321" i="30295"/>
  <c r="AD256" i="30295"/>
  <c r="AD257" i="30295" s="1"/>
  <c r="AD312" i="30295" s="1"/>
  <c r="AD332" i="30295"/>
  <c r="AD239" i="30295"/>
  <c r="AD316" i="30295"/>
  <c r="J38" i="30308" s="1"/>
  <c r="AD255" i="30295"/>
  <c r="AD328" i="30295"/>
  <c r="AD240" i="30295"/>
  <c r="AB2" i="30295"/>
  <c r="K311" i="30295"/>
  <c r="AI338" i="30295"/>
  <c r="AP2" i="30295"/>
  <c r="AP339" i="30295"/>
  <c r="AW2" i="30295"/>
  <c r="AI2" i="30295"/>
  <c r="AK2" i="30295"/>
  <c r="AK334" i="30295"/>
  <c r="AR2" i="30295"/>
  <c r="AD2" i="30295"/>
  <c r="P314" i="30295"/>
  <c r="W2" i="30295"/>
  <c r="N308" i="30295"/>
  <c r="U2" i="30295"/>
  <c r="N2" i="30295"/>
  <c r="I230" i="30295"/>
  <c r="I2" i="30295"/>
  <c r="P2" i="30295"/>
  <c r="AN311" i="30295"/>
  <c r="AL262" i="30295"/>
  <c r="AM300" i="30295"/>
  <c r="AN251" i="30295"/>
  <c r="AN269" i="30295"/>
  <c r="AN270" i="30295" s="1"/>
  <c r="AM270" i="30295"/>
  <c r="AM313" i="30295"/>
  <c r="AM261" i="30295"/>
  <c r="AL311" i="30295"/>
  <c r="AM262" i="30295"/>
  <c r="AO262" i="30295"/>
  <c r="AM252" i="30295"/>
  <c r="AM348" i="30295" s="1"/>
  <c r="AM251" i="30295"/>
  <c r="AN313" i="30295"/>
  <c r="AM309" i="30295"/>
  <c r="AN262" i="30295"/>
  <c r="AM311" i="30295"/>
  <c r="AL313" i="30295"/>
  <c r="AO252" i="30295"/>
  <c r="AO348" i="30295" s="1"/>
  <c r="AO233" i="30295"/>
  <c r="AO261" i="30295"/>
  <c r="AO270" i="30295"/>
  <c r="AO251" i="30295"/>
  <c r="AL251" i="30295"/>
  <c r="AL252" i="30295"/>
  <c r="AL348" i="30295" s="1"/>
  <c r="AL233" i="30295"/>
  <c r="AL270" i="30295"/>
  <c r="AO309" i="30295"/>
  <c r="AO313" i="30295"/>
  <c r="AO311" i="30295"/>
  <c r="AP325" i="30295"/>
  <c r="AP255" i="30295"/>
  <c r="AL261" i="30295"/>
  <c r="AN309" i="30295"/>
  <c r="AL300" i="30295"/>
  <c r="AM353" i="30295"/>
  <c r="D39" i="30308" s="1"/>
  <c r="K39" i="30308"/>
  <c r="Z353" i="30295"/>
  <c r="E37" i="30308" s="1"/>
  <c r="L37" i="30308"/>
  <c r="AG353" i="30295"/>
  <c r="E38" i="30308" s="1"/>
  <c r="L38" i="30308"/>
  <c r="N37" i="30308"/>
  <c r="AN353" i="30295"/>
  <c r="E39" i="30308" s="1"/>
  <c r="M39" i="30308"/>
  <c r="S353" i="30295"/>
  <c r="E36" i="30308" s="1"/>
  <c r="L36" i="30308"/>
  <c r="BQ64" i="30308"/>
  <c r="AP302" i="30295"/>
  <c r="AP263" i="30295"/>
  <c r="AP264" i="30295" s="1"/>
  <c r="AL317" i="30295"/>
  <c r="AP322" i="30295"/>
  <c r="AP239" i="30295"/>
  <c r="AP241" i="30295"/>
  <c r="AP335" i="30295"/>
  <c r="AP314" i="30295"/>
  <c r="AP245" i="30295"/>
  <c r="AP247" i="30295"/>
  <c r="AP332" i="30295"/>
  <c r="AN261" i="30295"/>
  <c r="AP310" i="30295"/>
  <c r="AP304" i="30295"/>
  <c r="AP305" i="30295" s="1"/>
  <c r="AP337" i="30295"/>
  <c r="AP306" i="30295"/>
  <c r="AP324" i="30295"/>
  <c r="AP334" i="30295"/>
  <c r="AN300" i="30295"/>
  <c r="AP316" i="30295"/>
  <c r="AP248" i="30295"/>
  <c r="AP240" i="30295"/>
  <c r="AL309" i="30295"/>
  <c r="AN233" i="30295"/>
  <c r="AN252" i="30295"/>
  <c r="AN348" i="30295" s="1"/>
  <c r="AP230" i="30295"/>
  <c r="AP319" i="30295"/>
  <c r="AP254" i="30295"/>
  <c r="AP303" i="30295"/>
  <c r="AP336" i="30295"/>
  <c r="AP328" i="30295"/>
  <c r="AP242" i="30295"/>
  <c r="AP330" i="30295"/>
  <c r="AP333" i="30295"/>
  <c r="AP320" i="30295"/>
  <c r="AP338" i="30295"/>
  <c r="AP238" i="30295"/>
  <c r="AP329" i="30295"/>
  <c r="AP315" i="30295"/>
  <c r="AO353" i="30295"/>
  <c r="F39" i="30308" s="1"/>
  <c r="AP244" i="30295"/>
  <c r="AP331" i="30295"/>
  <c r="AP250" i="30295"/>
  <c r="AP269" i="30295" s="1"/>
  <c r="AP253" i="30295"/>
  <c r="AP317" i="30295" s="1"/>
  <c r="AP323" i="30295"/>
  <c r="AP243" i="30295"/>
  <c r="AP259" i="30295"/>
  <c r="AP260" i="30295" s="1"/>
  <c r="AP340" i="30295"/>
  <c r="AP308" i="30295"/>
  <c r="AP307" i="30295"/>
  <c r="AP256" i="30295"/>
  <c r="AP257" i="30295" s="1"/>
  <c r="AP312" i="30295" s="1"/>
  <c r="AP321" i="30295"/>
  <c r="AP237" i="30295"/>
  <c r="Q270" i="30295"/>
  <c r="AT270" i="30295"/>
  <c r="AV270" i="30295"/>
  <c r="AW270" i="30295"/>
  <c r="AS270" i="30295"/>
  <c r="AA270" i="30295"/>
  <c r="Y270" i="30295"/>
  <c r="R270" i="30295"/>
  <c r="AF270" i="30295"/>
  <c r="M270" i="30295"/>
  <c r="AE270" i="30295"/>
  <c r="AU270" i="30295"/>
  <c r="AG270" i="30295"/>
  <c r="S270" i="30295"/>
  <c r="L270" i="30295"/>
  <c r="Z270" i="30295"/>
  <c r="AV353" i="30295"/>
  <c r="AU353" i="30295"/>
  <c r="AA353" i="30295"/>
  <c r="AW353" i="30295"/>
  <c r="M353" i="30295"/>
  <c r="AT353" i="30295"/>
  <c r="AF353" i="30295"/>
  <c r="Y353" i="30295"/>
  <c r="R353" i="30295"/>
  <c r="L353" i="30295"/>
  <c r="Y313" i="30295"/>
  <c r="AV317" i="30295"/>
  <c r="AA317" i="30295"/>
  <c r="AT317" i="30295"/>
  <c r="Y317" i="30295"/>
  <c r="Q317" i="30295"/>
  <c r="AS317" i="30295"/>
  <c r="AF317" i="30295"/>
  <c r="M317" i="30295"/>
  <c r="R317" i="30295"/>
  <c r="AU317" i="30295"/>
  <c r="L317" i="30295"/>
  <c r="AE317" i="30295"/>
  <c r="AV252" i="30295"/>
  <c r="AV348" i="30295" s="1"/>
  <c r="AF252" i="30295"/>
  <c r="AF348" i="30295" s="1"/>
  <c r="AS252" i="30295"/>
  <c r="AS348" i="30295" s="1"/>
  <c r="M233" i="30295"/>
  <c r="AF233" i="30295"/>
  <c r="AV309" i="30295"/>
  <c r="AS233" i="30295"/>
  <c r="AS251" i="30295"/>
  <c r="AE311" i="30295"/>
  <c r="AV261" i="30295"/>
  <c r="AV251" i="30295"/>
  <c r="AV233" i="30295"/>
  <c r="AS261" i="30295"/>
  <c r="AF262" i="30295"/>
  <c r="Q300" i="30295"/>
  <c r="R300" i="30295"/>
  <c r="AI337" i="30295"/>
  <c r="AV262" i="30295"/>
  <c r="P307" i="30295"/>
  <c r="L261" i="30295"/>
  <c r="L262" i="30295"/>
  <c r="L300" i="30295"/>
  <c r="M251" i="30295"/>
  <c r="M309" i="30295"/>
  <c r="L309" i="30295"/>
  <c r="AT309" i="30295"/>
  <c r="L313" i="30295"/>
  <c r="M252" i="30295"/>
  <c r="M348" i="30295" s="1"/>
  <c r="AI230" i="30295"/>
  <c r="AI302" i="30295"/>
  <c r="AW313" i="30295"/>
  <c r="L311" i="30295"/>
  <c r="AI241" i="30295"/>
  <c r="AI330" i="30295"/>
  <c r="AI255" i="30295"/>
  <c r="AI253" i="30295"/>
  <c r="AI336" i="30295"/>
  <c r="AF261" i="30295"/>
  <c r="AE309" i="30295"/>
  <c r="AV313" i="30295"/>
  <c r="AF309" i="30295"/>
  <c r="AF251" i="30295"/>
  <c r="AF313" i="30295"/>
  <c r="AA309" i="30295"/>
  <c r="P338" i="30295"/>
  <c r="P263" i="30295"/>
  <c r="P264" i="30295" s="1"/>
  <c r="P319" i="30295"/>
  <c r="P250" i="30295"/>
  <c r="P269" i="30295" s="1"/>
  <c r="P256" i="30295"/>
  <c r="P257" i="30295" s="1"/>
  <c r="P312" i="30295" s="1"/>
  <c r="P244" i="30295"/>
  <c r="P330" i="30295"/>
  <c r="P254" i="30295"/>
  <c r="P332" i="30295"/>
  <c r="P322" i="30295"/>
  <c r="P304" i="30295"/>
  <c r="P305" i="30295" s="1"/>
  <c r="P242" i="30295"/>
  <c r="P308" i="30295"/>
  <c r="P333" i="30295"/>
  <c r="P335" i="30295"/>
  <c r="P310" i="30295"/>
  <c r="P243" i="30295"/>
  <c r="P315" i="30295"/>
  <c r="P240" i="30295"/>
  <c r="P303" i="30295"/>
  <c r="P302" i="30295"/>
  <c r="P321" i="30295"/>
  <c r="P328" i="30295"/>
  <c r="P324" i="30295"/>
  <c r="P248" i="30295"/>
  <c r="P329" i="30295"/>
  <c r="P239" i="30295"/>
  <c r="P241" i="30295"/>
  <c r="P230" i="30295"/>
  <c r="P334" i="30295"/>
  <c r="P245" i="30295"/>
  <c r="P316" i="30295"/>
  <c r="J36" i="30308" s="1"/>
  <c r="P320" i="30295"/>
  <c r="M313" i="30295"/>
  <c r="AV300" i="30295"/>
  <c r="AF311" i="30295"/>
  <c r="Q309" i="30295"/>
  <c r="AU311" i="30295"/>
  <c r="AW300" i="30295"/>
  <c r="AW309" i="30295"/>
  <c r="AI340" i="30295"/>
  <c r="AT300" i="30295"/>
  <c r="AI247" i="30295"/>
  <c r="AI321" i="30295"/>
  <c r="AI320" i="30295"/>
  <c r="AI243" i="30295"/>
  <c r="AI329" i="30295"/>
  <c r="AI306" i="30295"/>
  <c r="AI332" i="30295"/>
  <c r="AI303" i="30295"/>
  <c r="AI316" i="30295"/>
  <c r="AI324" i="30295"/>
  <c r="M262" i="30295"/>
  <c r="M261" i="30295"/>
  <c r="AS313" i="30295"/>
  <c r="AI237" i="30295"/>
  <c r="AI250" i="30295"/>
  <c r="AI269" i="30295" s="1"/>
  <c r="AI259" i="30295"/>
  <c r="AI335" i="30295"/>
  <c r="AI248" i="30295"/>
  <c r="AI304" i="30295"/>
  <c r="AI305" i="30295" s="1"/>
  <c r="AI310" i="30295"/>
  <c r="AI254" i="30295"/>
  <c r="AI322" i="30295"/>
  <c r="AI325" i="30295"/>
  <c r="AI240" i="30295"/>
  <c r="AI239" i="30295"/>
  <c r="AI334" i="30295"/>
  <c r="AI244" i="30295"/>
  <c r="AI315" i="30295"/>
  <c r="AI256" i="30295"/>
  <c r="AI257" i="30295" s="1"/>
  <c r="AI312" i="30295" s="1"/>
  <c r="AI242" i="30295"/>
  <c r="AI314" i="30295"/>
  <c r="AI339" i="30295"/>
  <c r="AI323" i="30295"/>
  <c r="AI307" i="30295"/>
  <c r="AI331" i="30295"/>
  <c r="AI333" i="30295"/>
  <c r="AI245" i="30295"/>
  <c r="AS260" i="30295"/>
  <c r="AS262" i="30295" s="1"/>
  <c r="L233" i="30295"/>
  <c r="L251" i="30295"/>
  <c r="L252" i="30295"/>
  <c r="L348" i="30295" s="1"/>
  <c r="AV311" i="30295"/>
  <c r="AK329" i="30295"/>
  <c r="AK237" i="30295"/>
  <c r="AK303" i="30295"/>
  <c r="AK250" i="30295"/>
  <c r="AK233" i="30295" s="1"/>
  <c r="AK239" i="30295"/>
  <c r="AK332" i="30295"/>
  <c r="AK331" i="30295"/>
  <c r="AK310" i="30295"/>
  <c r="AK308" i="30295"/>
  <c r="AK248" i="30295"/>
  <c r="AK325" i="30295"/>
  <c r="AK306" i="30295"/>
  <c r="AE313" i="30295"/>
  <c r="Q311" i="30295"/>
  <c r="Q313" i="30295"/>
  <c r="M300" i="30295"/>
  <c r="Y300" i="30295"/>
  <c r="AI319" i="30295"/>
  <c r="AA311" i="30295"/>
  <c r="AI328" i="30295"/>
  <c r="N316" i="30295"/>
  <c r="AI263" i="30295"/>
  <c r="AI264" i="30295" s="1"/>
  <c r="AI238" i="30295"/>
  <c r="AI308" i="30295"/>
  <c r="AS309" i="30295"/>
  <c r="AF300" i="30295"/>
  <c r="AE261" i="30295"/>
  <c r="AE262" i="30295"/>
  <c r="AE300" i="30295"/>
  <c r="P238" i="30295"/>
  <c r="P337" i="30295"/>
  <c r="P331" i="30295"/>
  <c r="P247" i="30295"/>
  <c r="P336" i="30295"/>
  <c r="N324" i="30295"/>
  <c r="N248" i="30295"/>
  <c r="AE251" i="30295"/>
  <c r="AE252" i="30295"/>
  <c r="AE348" i="30295" s="1"/>
  <c r="AE233" i="30295"/>
  <c r="N331" i="30295"/>
  <c r="N250" i="30295"/>
  <c r="N269" i="30295" s="1"/>
  <c r="AT313" i="30295"/>
  <c r="Y309" i="30295"/>
  <c r="N243" i="30295"/>
  <c r="N337" i="30295"/>
  <c r="P253" i="30295"/>
  <c r="P306" i="30295"/>
  <c r="P323" i="30295"/>
  <c r="P325" i="30295"/>
  <c r="P255" i="30295"/>
  <c r="P259" i="30295"/>
  <c r="P340" i="30295"/>
  <c r="N332" i="30295"/>
  <c r="N239" i="30295"/>
  <c r="N334" i="30295"/>
  <c r="AS300" i="30295"/>
  <c r="P237" i="30295"/>
  <c r="P339" i="30295"/>
  <c r="AS311" i="30295"/>
  <c r="R261" i="30295"/>
  <c r="R262" i="30295"/>
  <c r="AA261" i="30295"/>
  <c r="AA262" i="30295"/>
  <c r="AU313" i="30295"/>
  <c r="Y251" i="30295"/>
  <c r="Y233" i="30295"/>
  <c r="Y252" i="30295"/>
  <c r="Y348" i="30295" s="1"/>
  <c r="Y262" i="30295"/>
  <c r="Y261" i="30295"/>
  <c r="AU309" i="30295"/>
  <c r="AA300" i="30295"/>
  <c r="AK337" i="30295"/>
  <c r="AK315" i="30295"/>
  <c r="AK241" i="30295"/>
  <c r="AW262" i="30295"/>
  <c r="AW261" i="30295"/>
  <c r="N230" i="30295"/>
  <c r="AW317" i="30295"/>
  <c r="N238" i="30295"/>
  <c r="N306" i="30295"/>
  <c r="AU252" i="30295"/>
  <c r="AU348" i="30295" s="1"/>
  <c r="AU251" i="30295"/>
  <c r="AU233" i="30295"/>
  <c r="R309" i="30295"/>
  <c r="AA252" i="30295"/>
  <c r="AA348" i="30295" s="1"/>
  <c r="AA233" i="30295"/>
  <c r="AA251" i="30295"/>
  <c r="Q251" i="30295"/>
  <c r="Q233" i="30295"/>
  <c r="Q252" i="30295"/>
  <c r="Q348" i="30295" s="1"/>
  <c r="AT262" i="30295"/>
  <c r="AT261" i="30295"/>
  <c r="AK320" i="30295"/>
  <c r="AK243" i="30295"/>
  <c r="AW311" i="30295"/>
  <c r="N255" i="30295"/>
  <c r="N237" i="30295"/>
  <c r="N340" i="30295"/>
  <c r="N339" i="30295"/>
  <c r="N244" i="30295"/>
  <c r="N321" i="30295"/>
  <c r="N322" i="30295"/>
  <c r="N241" i="30295"/>
  <c r="R251" i="30295"/>
  <c r="R252" i="30295"/>
  <c r="R348" i="30295" s="1"/>
  <c r="R233" i="30295"/>
  <c r="I321" i="30295"/>
  <c r="I259" i="30295"/>
  <c r="I260" i="30295" s="1"/>
  <c r="I238" i="30295"/>
  <c r="I330" i="30295"/>
  <c r="I304" i="30295"/>
  <c r="I305" i="30295" s="1"/>
  <c r="I244" i="30295"/>
  <c r="I328" i="30295"/>
  <c r="I302" i="30295"/>
  <c r="I242" i="30295"/>
  <c r="I323" i="30295"/>
  <c r="I263" i="30295"/>
  <c r="I264" i="30295" s="1"/>
  <c r="I240" i="30295"/>
  <c r="I339" i="30295"/>
  <c r="I324" i="30295"/>
  <c r="I254" i="30295"/>
  <c r="I340" i="30295"/>
  <c r="I319" i="30295"/>
  <c r="I255" i="30295"/>
  <c r="I338" i="30295"/>
  <c r="I316" i="30295"/>
  <c r="J35" i="30308" s="1"/>
  <c r="I253" i="30295"/>
  <c r="I336" i="30295"/>
  <c r="I314" i="30295"/>
  <c r="I256" i="30295"/>
  <c r="I257" i="30295" s="1"/>
  <c r="I312" i="30295" s="1"/>
  <c r="I331" i="30295"/>
  <c r="I307" i="30295"/>
  <c r="I241" i="30295"/>
  <c r="I337" i="30295"/>
  <c r="I322" i="30295"/>
  <c r="I247" i="30295"/>
  <c r="I335" i="30295"/>
  <c r="I320" i="30295"/>
  <c r="I245" i="30295"/>
  <c r="I333" i="30295"/>
  <c r="I315" i="30295"/>
  <c r="I243" i="30295"/>
  <c r="I332" i="30295"/>
  <c r="I306" i="30295"/>
  <c r="I248" i="30295"/>
  <c r="I329" i="30295"/>
  <c r="I303" i="30295"/>
  <c r="I239" i="30295"/>
  <c r="I325" i="30295"/>
  <c r="I310" i="30295"/>
  <c r="I237" i="30295"/>
  <c r="I334" i="30295"/>
  <c r="I308" i="30295"/>
  <c r="I250" i="30295"/>
  <c r="I269" i="30295" s="1"/>
  <c r="AU262" i="30295"/>
  <c r="AU261" i="30295"/>
  <c r="AT251" i="30295"/>
  <c r="AT252" i="30295"/>
  <c r="AT348" i="30295" s="1"/>
  <c r="AT233" i="30295"/>
  <c r="AT311" i="30295"/>
  <c r="Y311" i="30295"/>
  <c r="AK322" i="30295"/>
  <c r="AK245" i="30295"/>
  <c r="AK333" i="30295"/>
  <c r="M311" i="30295"/>
  <c r="N336" i="30295"/>
  <c r="N304" i="30295"/>
  <c r="N305" i="30295" s="1"/>
  <c r="N263" i="30295"/>
  <c r="N264" i="30295" s="1"/>
  <c r="N240" i="30295"/>
  <c r="N303" i="30295"/>
  <c r="N333" i="30295"/>
  <c r="N319" i="30295"/>
  <c r="N330" i="30295"/>
  <c r="N338" i="30295"/>
  <c r="N302" i="30295"/>
  <c r="N254" i="30295"/>
  <c r="N325" i="30295"/>
  <c r="N335" i="30295"/>
  <c r="N307" i="30295"/>
  <c r="N253" i="30295"/>
  <c r="N329" i="30295"/>
  <c r="N256" i="30295"/>
  <c r="N257" i="30295" s="1"/>
  <c r="N312" i="30295" s="1"/>
  <c r="N245" i="30295"/>
  <c r="N310" i="30295"/>
  <c r="N328" i="30295"/>
  <c r="Q261" i="30295"/>
  <c r="Q262" i="30295"/>
  <c r="R313" i="30295"/>
  <c r="R311" i="30295"/>
  <c r="AA313" i="30295"/>
  <c r="AW233" i="30295"/>
  <c r="AW252" i="30295"/>
  <c r="AW348" i="30295" s="1"/>
  <c r="AW251" i="30295"/>
  <c r="AK330" i="30295"/>
  <c r="AK304" i="30295"/>
  <c r="AK305" i="30295" s="1"/>
  <c r="AK244" i="30295"/>
  <c r="AK328" i="30295"/>
  <c r="AK302" i="30295"/>
  <c r="AK242" i="30295"/>
  <c r="AK323" i="30295"/>
  <c r="AK263" i="30295"/>
  <c r="AK264" i="30295" s="1"/>
  <c r="AK240" i="30295"/>
  <c r="AK321" i="30295"/>
  <c r="AK259" i="30295"/>
  <c r="AK260" i="30295" s="1"/>
  <c r="AK238" i="30295"/>
  <c r="AK340" i="30295"/>
  <c r="AK319" i="30295"/>
  <c r="AK255" i="30295"/>
  <c r="AK338" i="30295"/>
  <c r="AK316" i="30295"/>
  <c r="J39" i="30308" s="1"/>
  <c r="AK253" i="30295"/>
  <c r="AK339" i="30295"/>
  <c r="AK314" i="30295"/>
  <c r="AK256" i="30295"/>
  <c r="AK257" i="30295" s="1"/>
  <c r="AK312" i="30295" s="1"/>
  <c r="AK336" i="30295"/>
  <c r="AK324" i="30295"/>
  <c r="AK254" i="30295"/>
  <c r="AU300" i="30295"/>
  <c r="AR339" i="30295"/>
  <c r="AR320" i="30295"/>
  <c r="AR254" i="30295"/>
  <c r="AR237" i="30295"/>
  <c r="AR325" i="30295"/>
  <c r="AR303" i="30295"/>
  <c r="AR243" i="30295"/>
  <c r="AR324" i="30295"/>
  <c r="AR263" i="30295"/>
  <c r="AR264" i="30295" s="1"/>
  <c r="AR340" i="30295"/>
  <c r="AR321" i="30295"/>
  <c r="AR253" i="30295"/>
  <c r="AR335" i="30295"/>
  <c r="AR319" i="30295"/>
  <c r="AR250" i="30295"/>
  <c r="AR269" i="30295" s="1"/>
  <c r="AX269" i="30295" s="1"/>
  <c r="AR337" i="30295"/>
  <c r="AR315" i="30295"/>
  <c r="AR259" i="30295"/>
  <c r="AR260" i="30295" s="1"/>
  <c r="AR338" i="30295"/>
  <c r="AR323" i="30295"/>
  <c r="AR255" i="30295"/>
  <c r="AR333" i="30295"/>
  <c r="AR310" i="30295"/>
  <c r="AR242" i="30295"/>
  <c r="AR332" i="30295"/>
  <c r="AR308" i="30295"/>
  <c r="AR240" i="30295"/>
  <c r="AR336" i="30295"/>
  <c r="AR316" i="30295"/>
  <c r="J40" i="30308" s="1"/>
  <c r="AR248" i="30295"/>
  <c r="AR334" i="30295"/>
  <c r="AR314" i="30295"/>
  <c r="AR244" i="30295"/>
  <c r="AR331" i="30295"/>
  <c r="AR302" i="30295"/>
  <c r="AR247" i="30295"/>
  <c r="AR329" i="30295"/>
  <c r="AR307" i="30295"/>
  <c r="AR245" i="30295"/>
  <c r="AR330" i="30295"/>
  <c r="AR306" i="30295"/>
  <c r="AR238" i="30295"/>
  <c r="AR328" i="30295"/>
  <c r="AR304" i="30295"/>
  <c r="AR305" i="30295" s="1"/>
  <c r="AR241" i="30295"/>
  <c r="AR322" i="30295"/>
  <c r="AR256" i="30295"/>
  <c r="AR257" i="30295" s="1"/>
  <c r="AR312" i="30295" s="1"/>
  <c r="AR239" i="30295"/>
  <c r="AK247" i="30295"/>
  <c r="AK335" i="30295"/>
  <c r="AK307" i="30295"/>
  <c r="N315" i="30295"/>
  <c r="N259" i="30295"/>
  <c r="N260" i="30295" s="1"/>
  <c r="N247" i="30295"/>
  <c r="N242" i="30295"/>
  <c r="N323" i="30295"/>
  <c r="N320" i="30295"/>
  <c r="N314" i="30295"/>
  <c r="J347" i="30295" l="1"/>
  <c r="J344" i="30295"/>
  <c r="AI35" i="30308" s="1"/>
  <c r="AQ35" i="30308" s="1"/>
  <c r="J350" i="30295"/>
  <c r="Z342" i="30295"/>
  <c r="AC37" i="30308" s="1"/>
  <c r="AK269" i="30295"/>
  <c r="AQ269" i="30295" s="1"/>
  <c r="M342" i="30295"/>
  <c r="Q342" i="30295"/>
  <c r="AV342" i="30295"/>
  <c r="AM342" i="30295"/>
  <c r="AS342" i="30295"/>
  <c r="L342" i="30295"/>
  <c r="Y342" i="30295"/>
  <c r="AW342" i="30295"/>
  <c r="AT342" i="30295"/>
  <c r="AE342" i="30295"/>
  <c r="AH350" i="30295"/>
  <c r="AH342" i="30295"/>
  <c r="AH267" i="30295" s="1"/>
  <c r="AH268" i="30295" s="1"/>
  <c r="AH351" i="30295" s="1"/>
  <c r="AU342" i="30295"/>
  <c r="AF342" i="30295"/>
  <c r="R342" i="30295"/>
  <c r="AN342" i="30295"/>
  <c r="AC39" i="30308" s="1"/>
  <c r="K350" i="30295"/>
  <c r="K342" i="30295"/>
  <c r="AB35" i="30308" s="1"/>
  <c r="X350" i="30295"/>
  <c r="X342" i="30295"/>
  <c r="X267" i="30295" s="1"/>
  <c r="X268" i="30295" s="1"/>
  <c r="X351" i="30295" s="1"/>
  <c r="J342" i="30295"/>
  <c r="AA35" i="30308" s="1"/>
  <c r="S350" i="30295"/>
  <c r="S342" i="30295"/>
  <c r="S267" i="30295" s="1"/>
  <c r="S268" i="30295" s="1"/>
  <c r="S351" i="30295" s="1"/>
  <c r="T350" i="30295"/>
  <c r="T342" i="30295"/>
  <c r="AL342" i="30295"/>
  <c r="AA342" i="30295"/>
  <c r="AO342" i="30295"/>
  <c r="AG350" i="30295"/>
  <c r="AG342" i="30295"/>
  <c r="AC38" i="30308" s="1"/>
  <c r="J349" i="30295"/>
  <c r="W261" i="30295"/>
  <c r="X353" i="30295"/>
  <c r="C37" i="30308" s="1"/>
  <c r="W313" i="30295"/>
  <c r="AG347" i="30295"/>
  <c r="W251" i="30295"/>
  <c r="AB300" i="30295"/>
  <c r="W252" i="30295"/>
  <c r="W233" i="30295"/>
  <c r="W353" i="30295"/>
  <c r="B37" i="30308" s="1"/>
  <c r="AG348" i="30295"/>
  <c r="AB270" i="30295"/>
  <c r="AG344" i="30295"/>
  <c r="AH344" i="30295"/>
  <c r="AL38" i="30308" s="1"/>
  <c r="AT38" i="30308" s="1"/>
  <c r="AH347" i="30295"/>
  <c r="AC269" i="30295"/>
  <c r="AH349" i="30295"/>
  <c r="AB309" i="30295"/>
  <c r="AB262" i="30295"/>
  <c r="U309" i="30295"/>
  <c r="AB313" i="30295"/>
  <c r="AG349" i="30295"/>
  <c r="AB252" i="30295"/>
  <c r="AB348" i="30295" s="1"/>
  <c r="AB311" i="30295"/>
  <c r="AB233" i="30295"/>
  <c r="T347" i="30295"/>
  <c r="AB251" i="30295"/>
  <c r="U270" i="30295"/>
  <c r="AB353" i="30295"/>
  <c r="G37" i="30308" s="1"/>
  <c r="W270" i="30295"/>
  <c r="W311" i="30295"/>
  <c r="U252" i="30295"/>
  <c r="U348" i="30295" s="1"/>
  <c r="W262" i="30295"/>
  <c r="W309" i="30295"/>
  <c r="V269" i="30295"/>
  <c r="U251" i="30295"/>
  <c r="U233" i="30295"/>
  <c r="W300" i="30295"/>
  <c r="U300" i="30295"/>
  <c r="X349" i="30295"/>
  <c r="U262" i="30295"/>
  <c r="Z344" i="30295"/>
  <c r="Z347" i="30295"/>
  <c r="Z350" i="30295"/>
  <c r="Z349" i="30295"/>
  <c r="X344" i="30295"/>
  <c r="X345" i="30295" s="1"/>
  <c r="T344" i="30295"/>
  <c r="T345" i="30295" s="1"/>
  <c r="T349" i="30295"/>
  <c r="U261" i="30295"/>
  <c r="X347" i="30295"/>
  <c r="S349" i="30295"/>
  <c r="S347" i="30295"/>
  <c r="O36" i="30308"/>
  <c r="S344" i="30295"/>
  <c r="S345" i="30295" s="1"/>
  <c r="U311" i="30295"/>
  <c r="AB261" i="30295"/>
  <c r="AD311" i="30295"/>
  <c r="AD300" i="30295"/>
  <c r="K344" i="30295"/>
  <c r="K345" i="30295" s="1"/>
  <c r="K347" i="30295"/>
  <c r="K349" i="30295"/>
  <c r="AD270" i="30295"/>
  <c r="AE353" i="30295"/>
  <c r="C38" i="30308" s="1"/>
  <c r="AD251" i="30295"/>
  <c r="AJ269" i="30295"/>
  <c r="AD233" i="30295"/>
  <c r="AD261" i="30295"/>
  <c r="AD309" i="30295"/>
  <c r="AD252" i="30295"/>
  <c r="AD348" i="30295" s="1"/>
  <c r="AD313" i="30295"/>
  <c r="AD262" i="30295"/>
  <c r="AD353" i="30295"/>
  <c r="B38" i="30308" s="1"/>
  <c r="AN350" i="30295"/>
  <c r="O269" i="30295"/>
  <c r="AL350" i="30295"/>
  <c r="AM349" i="30295"/>
  <c r="AM344" i="30295"/>
  <c r="AJ39" i="30308" s="1"/>
  <c r="AR39" i="30308" s="1"/>
  <c r="AM347" i="30295"/>
  <c r="AM350" i="30295"/>
  <c r="AO344" i="30295"/>
  <c r="AO345" i="30295" s="1"/>
  <c r="AO350" i="30295"/>
  <c r="AO347" i="30295"/>
  <c r="AO349" i="30295"/>
  <c r="AL347" i="30295"/>
  <c r="AL349" i="30295"/>
  <c r="AL344" i="30295"/>
  <c r="AL345" i="30295" s="1"/>
  <c r="AP261" i="30295"/>
  <c r="AP309" i="30295"/>
  <c r="AN349" i="30295"/>
  <c r="AP300" i="30295"/>
  <c r="AN344" i="30295"/>
  <c r="AN345" i="30295" s="1"/>
  <c r="AP313" i="30295"/>
  <c r="AN347" i="30295"/>
  <c r="N353" i="30295"/>
  <c r="G35" i="30308" s="1"/>
  <c r="O35" i="30308"/>
  <c r="AI353" i="30295"/>
  <c r="G38" i="30308" s="1"/>
  <c r="O38" i="30308"/>
  <c r="AP262" i="30295"/>
  <c r="AP353" i="30295"/>
  <c r="G39" i="30308" s="1"/>
  <c r="O39" i="30308"/>
  <c r="AP270" i="30295"/>
  <c r="BR64" i="30308"/>
  <c r="AP311" i="30295"/>
  <c r="AP251" i="30295"/>
  <c r="AP233" i="30295"/>
  <c r="AP252" i="30295"/>
  <c r="AP348" i="30295" s="1"/>
  <c r="AR313" i="30295"/>
  <c r="P270" i="30295"/>
  <c r="AI270" i="30295"/>
  <c r="AR270" i="30295"/>
  <c r="N270" i="30295"/>
  <c r="I270" i="30295"/>
  <c r="AT57" i="30308"/>
  <c r="AS56" i="30308"/>
  <c r="AQ56" i="30308"/>
  <c r="AR60" i="30308"/>
  <c r="AS58" i="30308"/>
  <c r="AQ57" i="30308"/>
  <c r="AS55" i="30308"/>
  <c r="AQ59" i="30308"/>
  <c r="AS59" i="30308"/>
  <c r="AS60" i="30308"/>
  <c r="F37" i="30308"/>
  <c r="F40" i="30308"/>
  <c r="D36" i="30308"/>
  <c r="D37" i="30308"/>
  <c r="D38" i="30308"/>
  <c r="F35" i="30308"/>
  <c r="E35" i="30308"/>
  <c r="J353" i="30295"/>
  <c r="I353" i="30295"/>
  <c r="AS353" i="30295"/>
  <c r="AR353" i="30295"/>
  <c r="Q353" i="30295"/>
  <c r="P353" i="30295"/>
  <c r="AL353" i="30295"/>
  <c r="AK353" i="30295"/>
  <c r="Y350" i="30295"/>
  <c r="Y347" i="30295"/>
  <c r="Y344" i="30295"/>
  <c r="Y349" i="30295"/>
  <c r="AS349" i="30295"/>
  <c r="AS347" i="30295"/>
  <c r="AS344" i="30295"/>
  <c r="AS350" i="30295"/>
  <c r="L350" i="30295"/>
  <c r="L349" i="30295"/>
  <c r="L347" i="30295"/>
  <c r="L344" i="30295"/>
  <c r="AF349" i="30295"/>
  <c r="AF350" i="30295"/>
  <c r="AF344" i="30295"/>
  <c r="AF347" i="30295"/>
  <c r="M350" i="30295"/>
  <c r="M347" i="30295"/>
  <c r="M349" i="30295"/>
  <c r="M344" i="30295"/>
  <c r="R350" i="30295"/>
  <c r="R347" i="30295"/>
  <c r="R349" i="30295"/>
  <c r="R344" i="30295"/>
  <c r="AU349" i="30295"/>
  <c r="AU350" i="30295"/>
  <c r="AU347" i="30295"/>
  <c r="AU344" i="30295"/>
  <c r="Q347" i="30295"/>
  <c r="Q349" i="30295"/>
  <c r="Q344" i="30295"/>
  <c r="Q350" i="30295"/>
  <c r="AV349" i="30295"/>
  <c r="AV347" i="30295"/>
  <c r="AV350" i="30295"/>
  <c r="AV344" i="30295"/>
  <c r="AE347" i="30295"/>
  <c r="AE350" i="30295"/>
  <c r="AE344" i="30295"/>
  <c r="AE349" i="30295"/>
  <c r="AA350" i="30295"/>
  <c r="AA349" i="30295"/>
  <c r="AA344" i="30295"/>
  <c r="AA347" i="30295"/>
  <c r="AT349" i="30295"/>
  <c r="AT350" i="30295"/>
  <c r="AT347" i="30295"/>
  <c r="AT344" i="30295"/>
  <c r="AW349" i="30295"/>
  <c r="AW344" i="30295"/>
  <c r="AW347" i="30295"/>
  <c r="AW350" i="30295"/>
  <c r="N317" i="30295"/>
  <c r="P317" i="30295"/>
  <c r="AR317" i="30295"/>
  <c r="AI317" i="30295"/>
  <c r="I317" i="30295"/>
  <c r="E40" i="30308"/>
  <c r="G40" i="30308"/>
  <c r="D40" i="30308"/>
  <c r="P252" i="30295"/>
  <c r="P348" i="30295" s="1"/>
  <c r="AI252" i="30295"/>
  <c r="AI348" i="30295" s="1"/>
  <c r="N233" i="30295"/>
  <c r="AI311" i="30295"/>
  <c r="P233" i="30295"/>
  <c r="AI261" i="30295"/>
  <c r="I300" i="30295"/>
  <c r="AK313" i="30295"/>
  <c r="AK252" i="30295"/>
  <c r="AK348" i="30295" s="1"/>
  <c r="AI251" i="30295"/>
  <c r="AI233" i="30295"/>
  <c r="AI300" i="30295"/>
  <c r="AK251" i="30295"/>
  <c r="AK309" i="30295"/>
  <c r="AI313" i="30295"/>
  <c r="AI309" i="30295"/>
  <c r="P309" i="30295"/>
  <c r="P251" i="30295"/>
  <c r="P261" i="30295"/>
  <c r="P313" i="30295"/>
  <c r="P311" i="30295"/>
  <c r="N262" i="30295"/>
  <c r="N261" i="30295"/>
  <c r="AI260" i="30295"/>
  <c r="AI262" i="30295" s="1"/>
  <c r="P260" i="30295"/>
  <c r="P262" i="30295" s="1"/>
  <c r="I262" i="30295"/>
  <c r="I261" i="30295"/>
  <c r="AR300" i="30295"/>
  <c r="N252" i="30295"/>
  <c r="N348" i="30295" s="1"/>
  <c r="N251" i="30295"/>
  <c r="AK311" i="30295"/>
  <c r="N311" i="30295"/>
  <c r="P300" i="30295"/>
  <c r="N300" i="30295"/>
  <c r="I251" i="30295"/>
  <c r="I252" i="30295"/>
  <c r="I348" i="30295" s="1"/>
  <c r="I233" i="30295"/>
  <c r="I313" i="30295"/>
  <c r="N309" i="30295"/>
  <c r="AR309" i="30295"/>
  <c r="AR311" i="30295"/>
  <c r="AR252" i="30295"/>
  <c r="AR348" i="30295" s="1"/>
  <c r="AR251" i="30295"/>
  <c r="AR233" i="30295"/>
  <c r="AR262" i="30295"/>
  <c r="AR261" i="30295"/>
  <c r="AK317" i="30295"/>
  <c r="AK300" i="30295"/>
  <c r="AK261" i="30295"/>
  <c r="AK262" i="30295"/>
  <c r="N313" i="30295"/>
  <c r="I309" i="30295"/>
  <c r="I311" i="30295"/>
  <c r="J345" i="30295" l="1"/>
  <c r="BT35" i="30308"/>
  <c r="AK270" i="30295"/>
  <c r="AG267" i="30295"/>
  <c r="AG268" i="30295" s="1"/>
  <c r="AG351" i="30295" s="1"/>
  <c r="J343" i="30295"/>
  <c r="J267" i="30295"/>
  <c r="J268" i="30295" s="1"/>
  <c r="J351" i="30295" s="1"/>
  <c r="N342" i="30295"/>
  <c r="AR342" i="30295"/>
  <c r="AB342" i="30295"/>
  <c r="AB267" i="30295" s="1"/>
  <c r="AB268" i="30295" s="1"/>
  <c r="AB351" i="30295" s="1"/>
  <c r="AP342" i="30295"/>
  <c r="AI342" i="30295"/>
  <c r="AD350" i="30295"/>
  <c r="AD342" i="30295"/>
  <c r="AD267" i="30295" s="1"/>
  <c r="AD268" i="30295" s="1"/>
  <c r="AD351" i="30295" s="1"/>
  <c r="AK342" i="30295"/>
  <c r="I342" i="30295"/>
  <c r="W342" i="30295"/>
  <c r="Z37" i="30308" s="1"/>
  <c r="P342" i="30295"/>
  <c r="U350" i="30295"/>
  <c r="U342" i="30295"/>
  <c r="U267" i="30295" s="1"/>
  <c r="U268" i="30295" s="1"/>
  <c r="U351" i="30295" s="1"/>
  <c r="AD38" i="30308"/>
  <c r="Z267" i="30295"/>
  <c r="Z268" i="30295" s="1"/>
  <c r="Z351" i="30295" s="1"/>
  <c r="AH345" i="30295"/>
  <c r="AG343" i="30295"/>
  <c r="W347" i="30295"/>
  <c r="W350" i="30295"/>
  <c r="AH343" i="30295"/>
  <c r="Z343" i="30295"/>
  <c r="W349" i="30295"/>
  <c r="W344" i="30295"/>
  <c r="AK38" i="30308"/>
  <c r="AS38" i="30308" s="1"/>
  <c r="W348" i="30295"/>
  <c r="AG345" i="30295"/>
  <c r="AB344" i="30295"/>
  <c r="AB345" i="30295" s="1"/>
  <c r="AB347" i="30295"/>
  <c r="AB349" i="30295"/>
  <c r="AB350" i="30295"/>
  <c r="U344" i="30295"/>
  <c r="U345" i="30295" s="1"/>
  <c r="U349" i="30295"/>
  <c r="U347" i="30295"/>
  <c r="AL36" i="30308"/>
  <c r="AT36" i="30308" s="1"/>
  <c r="Z345" i="30295"/>
  <c r="AK36" i="30308"/>
  <c r="AS36" i="30308" s="1"/>
  <c r="AK37" i="30308"/>
  <c r="AS37" i="30308" s="1"/>
  <c r="T343" i="30295"/>
  <c r="AI37" i="30308"/>
  <c r="AQ37" i="30308" s="1"/>
  <c r="AA37" i="30308"/>
  <c r="X343" i="30295"/>
  <c r="AD36" i="30308"/>
  <c r="T267" i="30295"/>
  <c r="T268" i="30295" s="1"/>
  <c r="T351" i="30295" s="1"/>
  <c r="AC36" i="30308"/>
  <c r="AD347" i="30295"/>
  <c r="S343" i="30295"/>
  <c r="K267" i="30295"/>
  <c r="K268" i="30295" s="1"/>
  <c r="K351" i="30295" s="1"/>
  <c r="K343" i="30295"/>
  <c r="AJ35" i="30308"/>
  <c r="AR35" i="30308" s="1"/>
  <c r="AD349" i="30295"/>
  <c r="AD344" i="30295"/>
  <c r="AD345" i="30295" s="1"/>
  <c r="AM343" i="30295"/>
  <c r="AB39" i="30308"/>
  <c r="AM267" i="30295"/>
  <c r="AM268" i="30295" s="1"/>
  <c r="AM345" i="30295"/>
  <c r="AL39" i="30308"/>
  <c r="AT39" i="30308" s="1"/>
  <c r="AO343" i="30295"/>
  <c r="AO267" i="30295"/>
  <c r="AO268" i="30295" s="1"/>
  <c r="AD39" i="30308"/>
  <c r="AI39" i="30308"/>
  <c r="AQ39" i="30308" s="1"/>
  <c r="AL267" i="30295"/>
  <c r="AL268" i="30295" s="1"/>
  <c r="AK39" i="30308"/>
  <c r="AS39" i="30308" s="1"/>
  <c r="AA39" i="30308"/>
  <c r="AL343" i="30295"/>
  <c r="AN267" i="30295"/>
  <c r="AN268" i="30295" s="1"/>
  <c r="AN343" i="30295"/>
  <c r="AP344" i="30295"/>
  <c r="AP345" i="30295" s="1"/>
  <c r="AP347" i="30295"/>
  <c r="AP349" i="30295"/>
  <c r="AP350" i="30295"/>
  <c r="BS64" i="30308"/>
  <c r="J265" i="30295"/>
  <c r="S265" i="30295"/>
  <c r="AH265" i="30295"/>
  <c r="X265" i="30295"/>
  <c r="AB36" i="30308"/>
  <c r="AD37" i="30308"/>
  <c r="AE40" i="30308"/>
  <c r="AD40" i="30308"/>
  <c r="AS57" i="30308"/>
  <c r="AW345" i="30295"/>
  <c r="AM40" i="30308"/>
  <c r="L345" i="30295"/>
  <c r="AK35" i="30308"/>
  <c r="AS35" i="30308" s="1"/>
  <c r="AC35" i="30308"/>
  <c r="AR59" i="30308"/>
  <c r="AE345" i="30295"/>
  <c r="AI38" i="30308"/>
  <c r="AQ38" i="30308" s="1"/>
  <c r="Y345" i="30295"/>
  <c r="AJ37" i="30308"/>
  <c r="AR37" i="30308" s="1"/>
  <c r="AD35" i="30308"/>
  <c r="AB40" i="30308"/>
  <c r="AT60" i="30308"/>
  <c r="AT59" i="30308"/>
  <c r="AA345" i="30295"/>
  <c r="AL37" i="30308"/>
  <c r="AT37" i="30308" s="1"/>
  <c r="AA40" i="30308"/>
  <c r="AR57" i="30308"/>
  <c r="AC40" i="30308"/>
  <c r="R345" i="30295"/>
  <c r="AJ36" i="30308"/>
  <c r="AR36" i="30308" s="1"/>
  <c r="AT345" i="30295"/>
  <c r="AJ40" i="30308"/>
  <c r="AR40" i="30308" s="1"/>
  <c r="AQ60" i="30308"/>
  <c r="AB37" i="30308"/>
  <c r="AP59" i="30308"/>
  <c r="AF345" i="30295"/>
  <c r="AJ38" i="30308"/>
  <c r="AR38" i="30308" s="1"/>
  <c r="AA36" i="30308"/>
  <c r="AR55" i="30308"/>
  <c r="AT56" i="30308"/>
  <c r="AQ58" i="30308"/>
  <c r="AP56" i="30308"/>
  <c r="AU345" i="30295"/>
  <c r="AK40" i="30308"/>
  <c r="AS40" i="30308" s="1"/>
  <c r="AR56" i="30308"/>
  <c r="AS345" i="30295"/>
  <c r="AI40" i="30308"/>
  <c r="AQ40" i="30308" s="1"/>
  <c r="AA38" i="30308"/>
  <c r="M345" i="30295"/>
  <c r="AL35" i="30308"/>
  <c r="AT35" i="30308" s="1"/>
  <c r="AV345" i="30295"/>
  <c r="AL40" i="30308"/>
  <c r="AT40" i="30308" s="1"/>
  <c r="AB38" i="30308"/>
  <c r="AT55" i="30308"/>
  <c r="AT58" i="30308"/>
  <c r="Q345" i="30295"/>
  <c r="AI36" i="30308"/>
  <c r="AQ36" i="30308" s="1"/>
  <c r="AR58" i="30308"/>
  <c r="B35" i="30308"/>
  <c r="C35" i="30308"/>
  <c r="B39" i="30308"/>
  <c r="C39" i="30308"/>
  <c r="B36" i="30308"/>
  <c r="C36" i="30308"/>
  <c r="P347" i="30295"/>
  <c r="P350" i="30295"/>
  <c r="P344" i="30295"/>
  <c r="P349" i="30295"/>
  <c r="AT343" i="30295"/>
  <c r="R343" i="30295"/>
  <c r="L343" i="30295"/>
  <c r="Y343" i="30295"/>
  <c r="AR349" i="30295"/>
  <c r="AR350" i="30295"/>
  <c r="AR347" i="30295"/>
  <c r="AR344" i="30295"/>
  <c r="I349" i="30295"/>
  <c r="I347" i="30295"/>
  <c r="I344" i="30295"/>
  <c r="I350" i="30295"/>
  <c r="Q343" i="30295"/>
  <c r="AF343" i="30295"/>
  <c r="AK350" i="30295"/>
  <c r="AK347" i="30295"/>
  <c r="AK344" i="30295"/>
  <c r="AK349" i="30295"/>
  <c r="N350" i="30295"/>
  <c r="N349" i="30295"/>
  <c r="N344" i="30295"/>
  <c r="N347" i="30295"/>
  <c r="AU343" i="30295"/>
  <c r="AI349" i="30295"/>
  <c r="AI350" i="30295"/>
  <c r="AI344" i="30295"/>
  <c r="AI347" i="30295"/>
  <c r="AW343" i="30295"/>
  <c r="AA343" i="30295"/>
  <c r="AS343" i="30295"/>
  <c r="AV343" i="30295"/>
  <c r="M343" i="30295"/>
  <c r="AE343" i="30295"/>
  <c r="AW267" i="30295"/>
  <c r="AW268" i="30295" s="1"/>
  <c r="AW351" i="30295" s="1"/>
  <c r="AE267" i="30295"/>
  <c r="AE268" i="30295" s="1"/>
  <c r="AE351" i="30295" s="1"/>
  <c r="AT267" i="30295"/>
  <c r="AT268" i="30295" s="1"/>
  <c r="AT351" i="30295" s="1"/>
  <c r="Y267" i="30295"/>
  <c r="Y268" i="30295" s="1"/>
  <c r="Y351" i="30295" s="1"/>
  <c r="AF267" i="30295"/>
  <c r="AF268" i="30295" s="1"/>
  <c r="AF351" i="30295" s="1"/>
  <c r="AA267" i="30295"/>
  <c r="AA268" i="30295" s="1"/>
  <c r="AA351" i="30295" s="1"/>
  <c r="R267" i="30295"/>
  <c r="R268" i="30295" s="1"/>
  <c r="R351" i="30295" s="1"/>
  <c r="AS267" i="30295"/>
  <c r="AS268" i="30295" s="1"/>
  <c r="AS351" i="30295" s="1"/>
  <c r="Q267" i="30295"/>
  <c r="Q268" i="30295" s="1"/>
  <c r="Q351" i="30295" s="1"/>
  <c r="AU267" i="30295"/>
  <c r="AU268" i="30295" s="1"/>
  <c r="AU351" i="30295" s="1"/>
  <c r="AV267" i="30295"/>
  <c r="AV268" i="30295" s="1"/>
  <c r="AV351" i="30295" s="1"/>
  <c r="M267" i="30295"/>
  <c r="M268" i="30295" s="1"/>
  <c r="M351" i="30295" s="1"/>
  <c r="L267" i="30295"/>
  <c r="L268" i="30295" s="1"/>
  <c r="L351" i="30295" s="1"/>
  <c r="C40" i="30308"/>
  <c r="B40" i="30308"/>
  <c r="AG265" i="30295" l="1"/>
  <c r="Z265" i="30295"/>
  <c r="W343" i="30295"/>
  <c r="W267" i="30295"/>
  <c r="W268" i="30295" s="1"/>
  <c r="W351" i="30295" s="1"/>
  <c r="W345" i="30295"/>
  <c r="AH37" i="30308"/>
  <c r="AP37" i="30308" s="1"/>
  <c r="AM37" i="30308"/>
  <c r="AU37" i="30308" s="1"/>
  <c r="AB343" i="30295"/>
  <c r="AE37" i="30308"/>
  <c r="AE36" i="30308"/>
  <c r="AM36" i="30308"/>
  <c r="AU36" i="30308" s="1"/>
  <c r="U343" i="30295"/>
  <c r="T265" i="30295"/>
  <c r="K265" i="30295"/>
  <c r="Z38" i="30308"/>
  <c r="AD343" i="30295"/>
  <c r="AH38" i="30308"/>
  <c r="AP38" i="30308" s="1"/>
  <c r="AO265" i="30295"/>
  <c r="AO351" i="30295"/>
  <c r="AM265" i="30295"/>
  <c r="AM351" i="30295"/>
  <c r="AN265" i="30295"/>
  <c r="AN351" i="30295"/>
  <c r="AL265" i="30295"/>
  <c r="AL351" i="30295"/>
  <c r="AU40" i="30308"/>
  <c r="AM39" i="30308"/>
  <c r="AP267" i="30295"/>
  <c r="AP268" i="30295" s="1"/>
  <c r="AE39" i="30308"/>
  <c r="AP343" i="30295"/>
  <c r="AT265" i="30295"/>
  <c r="AE265" i="30295"/>
  <c r="AW265" i="30295"/>
  <c r="U265" i="30295"/>
  <c r="AB265" i="30295"/>
  <c r="L265" i="30295"/>
  <c r="AS265" i="30295"/>
  <c r="AV265" i="30295"/>
  <c r="R265" i="30295"/>
  <c r="AF265" i="30295"/>
  <c r="AU265" i="30295"/>
  <c r="M265" i="30295"/>
  <c r="AA265" i="30295"/>
  <c r="Q265" i="30295"/>
  <c r="Y265" i="30295"/>
  <c r="Z36" i="30308"/>
  <c r="AP57" i="30308"/>
  <c r="AR345" i="30295"/>
  <c r="AH40" i="30308"/>
  <c r="AP40" i="30308" s="1"/>
  <c r="Z40" i="30308"/>
  <c r="N345" i="30295"/>
  <c r="AM35" i="30308"/>
  <c r="AE35" i="30308"/>
  <c r="AP55" i="30308"/>
  <c r="AE38" i="30308"/>
  <c r="P345" i="30295"/>
  <c r="AH36" i="30308"/>
  <c r="AP36" i="30308" s="1"/>
  <c r="Z39" i="30308"/>
  <c r="AI345" i="30295"/>
  <c r="AM38" i="30308"/>
  <c r="Z35" i="30308"/>
  <c r="AP60" i="30308"/>
  <c r="AP58" i="30308"/>
  <c r="AK345" i="30295"/>
  <c r="AH39" i="30308"/>
  <c r="AP39" i="30308" s="1"/>
  <c r="I345" i="30295"/>
  <c r="AH35" i="30308"/>
  <c r="AP35" i="30308" s="1"/>
  <c r="AD265" i="30295"/>
  <c r="AI343" i="30295"/>
  <c r="AR343" i="30295"/>
  <c r="P343" i="30295"/>
  <c r="N343" i="30295"/>
  <c r="AK343" i="30295"/>
  <c r="I343" i="30295"/>
  <c r="N267" i="30295"/>
  <c r="N268" i="30295" s="1"/>
  <c r="N351" i="30295" s="1"/>
  <c r="AR267" i="30295"/>
  <c r="AR268" i="30295" s="1"/>
  <c r="AR351" i="30295" s="1"/>
  <c r="I267" i="30295"/>
  <c r="I268" i="30295" s="1"/>
  <c r="I351" i="30295" s="1"/>
  <c r="P267" i="30295"/>
  <c r="P268" i="30295" s="1"/>
  <c r="P351" i="30295" s="1"/>
  <c r="AI267" i="30295"/>
  <c r="AI268" i="30295" s="1"/>
  <c r="AI351" i="30295" s="1"/>
  <c r="AK267" i="30295"/>
  <c r="AK268" i="30295" s="1"/>
  <c r="AK351" i="30295" s="1"/>
  <c r="W265" i="30295" l="1"/>
  <c r="AC265" i="30295" s="1"/>
  <c r="AP265" i="30295"/>
  <c r="AP351" i="30295"/>
  <c r="AU35" i="30308"/>
  <c r="AU39" i="30308"/>
  <c r="AU38" i="30308"/>
  <c r="BT64" i="30308"/>
  <c r="AD346" i="30295"/>
  <c r="W346" i="30295"/>
  <c r="AI265" i="30295"/>
  <c r="N265" i="30295"/>
  <c r="AX37" i="30308"/>
  <c r="BG37" i="30308" s="1"/>
  <c r="AX38" i="30308"/>
  <c r="BG38" i="30308" s="1"/>
  <c r="R37" i="30308"/>
  <c r="R38" i="30308"/>
  <c r="AR265" i="30295"/>
  <c r="AK265" i="30295"/>
  <c r="P265" i="30295"/>
  <c r="I265" i="30295"/>
  <c r="E301" i="30295"/>
  <c r="G301" i="30295"/>
  <c r="F301" i="30295"/>
  <c r="R301" i="30295"/>
  <c r="B301" i="30295"/>
  <c r="AR301" i="30295"/>
  <c r="Y301" i="30295"/>
  <c r="AT301" i="30295"/>
  <c r="AK301" i="30295"/>
  <c r="C301" i="30295"/>
  <c r="AA301" i="30295"/>
  <c r="I301" i="30295"/>
  <c r="D301" i="30295"/>
  <c r="M301" i="30295"/>
  <c r="K301" i="30295"/>
  <c r="W301" i="30295"/>
  <c r="Z301" i="30295"/>
  <c r="P301" i="30295"/>
  <c r="AB301" i="30295"/>
  <c r="L301" i="30295"/>
  <c r="AN301" i="30295"/>
  <c r="AL301" i="30295"/>
  <c r="T301" i="30295"/>
  <c r="AD301" i="30295"/>
  <c r="J301" i="30295"/>
  <c r="U301" i="30295"/>
  <c r="AG301" i="30295"/>
  <c r="AO301" i="30295"/>
  <c r="AU301" i="30295"/>
  <c r="Q301" i="30295"/>
  <c r="AS301" i="30295"/>
  <c r="AV301" i="30295"/>
  <c r="AH301" i="30295"/>
  <c r="S301" i="30295"/>
  <c r="AM301" i="30295"/>
  <c r="N301" i="30295"/>
  <c r="AP301" i="30295"/>
  <c r="AW301" i="30295"/>
  <c r="AE301" i="30295"/>
  <c r="AF301" i="30295"/>
  <c r="AI301" i="30295"/>
  <c r="X301" i="30295"/>
  <c r="D301" i="30294"/>
  <c r="E301" i="30294"/>
  <c r="C301" i="30294"/>
  <c r="G301" i="30294"/>
  <c r="B301" i="30294"/>
  <c r="F301" i="30294"/>
  <c r="D219" i="30248"/>
  <c r="BT66" i="30308" l="1"/>
  <c r="AE346" i="30295"/>
  <c r="I346" i="30295"/>
  <c r="X346" i="30295"/>
  <c r="AR346" i="30295"/>
  <c r="P346" i="30295"/>
  <c r="AK346" i="30295"/>
  <c r="AJ265" i="30295"/>
  <c r="O265" i="30295"/>
  <c r="AX35" i="30308"/>
  <c r="BG35" i="30308" s="1"/>
  <c r="AX36" i="30308"/>
  <c r="BG36" i="30308" s="1"/>
  <c r="V265" i="30295"/>
  <c r="AQ265" i="30295"/>
  <c r="AX39" i="30308"/>
  <c r="BG39" i="30308" s="1"/>
  <c r="AY38" i="30308"/>
  <c r="BH38" i="30308" s="1"/>
  <c r="AX265" i="30295"/>
  <c r="AX40" i="30308"/>
  <c r="BG40" i="30308" s="1"/>
  <c r="AY37" i="30308"/>
  <c r="BH37" i="30308" s="1"/>
  <c r="R36" i="30308"/>
  <c r="R39" i="30308"/>
  <c r="R40" i="30308"/>
  <c r="S38" i="30308"/>
  <c r="S37" i="30308"/>
  <c r="R35" i="30308"/>
  <c r="E249" i="30295"/>
  <c r="D249" i="30295"/>
  <c r="R249" i="30295"/>
  <c r="AR249" i="30295"/>
  <c r="Y249" i="30295"/>
  <c r="G249" i="30295"/>
  <c r="X249" i="30295"/>
  <c r="AB249" i="30295"/>
  <c r="AT249" i="30295"/>
  <c r="AK249" i="30295"/>
  <c r="F249" i="30295"/>
  <c r="B249" i="30295"/>
  <c r="C249" i="30295"/>
  <c r="AA249" i="30295"/>
  <c r="AU249" i="30295"/>
  <c r="I249" i="30295"/>
  <c r="M249" i="30295"/>
  <c r="Z249" i="30295"/>
  <c r="N249" i="30295"/>
  <c r="U249" i="30295"/>
  <c r="K249" i="30295"/>
  <c r="AM249" i="30295"/>
  <c r="AE249" i="30295"/>
  <c r="T249" i="30295"/>
  <c r="L249" i="30295"/>
  <c r="P249" i="30295"/>
  <c r="AS249" i="30295"/>
  <c r="AN249" i="30295"/>
  <c r="AH249" i="30295"/>
  <c r="W249" i="30295"/>
  <c r="AV249" i="30295"/>
  <c r="AG249" i="30295"/>
  <c r="Q249" i="30295"/>
  <c r="S249" i="30295"/>
  <c r="AW249" i="30295"/>
  <c r="AF249" i="30295"/>
  <c r="AO249" i="30295"/>
  <c r="AP249" i="30295"/>
  <c r="AL249" i="30295"/>
  <c r="AI249" i="30295"/>
  <c r="J249" i="30295"/>
  <c r="AD249" i="30295"/>
  <c r="E219" i="30248"/>
  <c r="D249" i="30294"/>
  <c r="E249" i="30294"/>
  <c r="C249" i="30294"/>
  <c r="F249" i="30294"/>
  <c r="G249" i="30294"/>
  <c r="B249" i="30294"/>
  <c r="BO34" i="30308" l="1"/>
  <c r="BO54" i="30308"/>
  <c r="J346" i="30295"/>
  <c r="Y346" i="30295"/>
  <c r="AL346" i="30295"/>
  <c r="AF346" i="30295"/>
  <c r="Q346" i="30295"/>
  <c r="AS346" i="30295"/>
  <c r="AZ38" i="30308"/>
  <c r="BI38" i="30308" s="1"/>
  <c r="AY36" i="30308"/>
  <c r="BH36" i="30308" s="1"/>
  <c r="AY40" i="30308"/>
  <c r="BH40" i="30308" s="1"/>
  <c r="AY35" i="30308"/>
  <c r="BH35" i="30308" s="1"/>
  <c r="AZ37" i="30308"/>
  <c r="BI37" i="30308" s="1"/>
  <c r="AY39" i="30308"/>
  <c r="BH39" i="30308" s="1"/>
  <c r="T37" i="30308"/>
  <c r="S39" i="30308"/>
  <c r="S36" i="30308"/>
  <c r="T38" i="30308"/>
  <c r="S40" i="30308"/>
  <c r="F246" i="30295"/>
  <c r="F283" i="30295" s="1"/>
  <c r="E246" i="30295"/>
  <c r="E283" i="30295" s="1"/>
  <c r="AA246" i="30295"/>
  <c r="AA283" i="30295" s="1"/>
  <c r="I246" i="30295"/>
  <c r="I283" i="30295" s="1"/>
  <c r="M246" i="30295"/>
  <c r="M283" i="30295" s="1"/>
  <c r="R246" i="30295"/>
  <c r="R283" i="30295" s="1"/>
  <c r="AS246" i="30295"/>
  <c r="AS283" i="30295" s="1"/>
  <c r="G246" i="30295"/>
  <c r="G283" i="30295" s="1"/>
  <c r="AR246" i="30295"/>
  <c r="AR283" i="30295" s="1"/>
  <c r="Y246" i="30295"/>
  <c r="Y283" i="30295" s="1"/>
  <c r="C246" i="30295"/>
  <c r="C283" i="30295" s="1"/>
  <c r="AT246" i="30295"/>
  <c r="AT283" i="30295" s="1"/>
  <c r="B246" i="30295"/>
  <c r="B283" i="30295" s="1"/>
  <c r="D246" i="30295"/>
  <c r="D283" i="30295" s="1"/>
  <c r="AB246" i="30295"/>
  <c r="AB283" i="30295" s="1"/>
  <c r="AK246" i="30295"/>
  <c r="AK283" i="30295" s="1"/>
  <c r="AW246" i="30295"/>
  <c r="AW283" i="30295" s="1"/>
  <c r="Z246" i="30295"/>
  <c r="Z283" i="30295" s="1"/>
  <c r="AI246" i="30295"/>
  <c r="AI283" i="30295" s="1"/>
  <c r="AU246" i="30295"/>
  <c r="AU283" i="30295" s="1"/>
  <c r="W246" i="30295"/>
  <c r="W283" i="30295" s="1"/>
  <c r="AH246" i="30295"/>
  <c r="AH283" i="30295" s="1"/>
  <c r="AM246" i="30295"/>
  <c r="AM283" i="30295" s="1"/>
  <c r="AF246" i="30295"/>
  <c r="AF283" i="30295" s="1"/>
  <c r="AE246" i="30295"/>
  <c r="AE283" i="30295" s="1"/>
  <c r="AN246" i="30295"/>
  <c r="AN283" i="30295" s="1"/>
  <c r="S246" i="30295"/>
  <c r="S283" i="30295" s="1"/>
  <c r="P246" i="30295"/>
  <c r="P283" i="30295" s="1"/>
  <c r="AO246" i="30295"/>
  <c r="AO283" i="30295" s="1"/>
  <c r="AG246" i="30295"/>
  <c r="AG283" i="30295" s="1"/>
  <c r="X246" i="30295"/>
  <c r="X283" i="30295" s="1"/>
  <c r="J246" i="30295"/>
  <c r="J283" i="30295" s="1"/>
  <c r="U246" i="30295"/>
  <c r="U283" i="30295" s="1"/>
  <c r="AL246" i="30295"/>
  <c r="AL283" i="30295" s="1"/>
  <c r="K246" i="30295"/>
  <c r="K283" i="30295" s="1"/>
  <c r="AD246" i="30295"/>
  <c r="AD283" i="30295" s="1"/>
  <c r="AV246" i="30295"/>
  <c r="AV283" i="30295" s="1"/>
  <c r="AP246" i="30295"/>
  <c r="AP283" i="30295" s="1"/>
  <c r="N246" i="30295"/>
  <c r="N283" i="30295" s="1"/>
  <c r="T246" i="30295"/>
  <c r="T283" i="30295" s="1"/>
  <c r="L246" i="30295"/>
  <c r="L283" i="30295" s="1"/>
  <c r="Q246" i="30295"/>
  <c r="Q283" i="30295" s="1"/>
  <c r="E246" i="30294"/>
  <c r="D246" i="30294"/>
  <c r="G246" i="30294"/>
  <c r="C246" i="30294"/>
  <c r="F246" i="30294"/>
  <c r="B246" i="30294"/>
  <c r="BP34" i="30308" l="1"/>
  <c r="AM346" i="30295"/>
  <c r="Z346" i="30295"/>
  <c r="AT346" i="30295"/>
  <c r="K346" i="30295"/>
  <c r="AG346" i="30295"/>
  <c r="R346" i="30295"/>
  <c r="AZ35" i="30308"/>
  <c r="BI35" i="30308" s="1"/>
  <c r="BA38" i="30308"/>
  <c r="BJ38" i="30308" s="1"/>
  <c r="AZ36" i="30308"/>
  <c r="BI36" i="30308" s="1"/>
  <c r="AZ39" i="30308"/>
  <c r="BI39" i="30308" s="1"/>
  <c r="BA37" i="30308"/>
  <c r="BJ37" i="30308" s="1"/>
  <c r="AZ40" i="30308"/>
  <c r="BI40" i="30308" s="1"/>
  <c r="U38" i="30308"/>
  <c r="T36" i="30308"/>
  <c r="T39" i="30308"/>
  <c r="U37" i="30308"/>
  <c r="T40" i="30308"/>
  <c r="J266" i="30295"/>
  <c r="I266" i="30295"/>
  <c r="Q298" i="30295"/>
  <c r="Q258" i="30295"/>
  <c r="Q293" i="30295"/>
  <c r="Q299" i="30295"/>
  <c r="AP298" i="30295"/>
  <c r="AP258" i="30295"/>
  <c r="AP293" i="30295"/>
  <c r="AP299" i="30295"/>
  <c r="AL293" i="30295"/>
  <c r="AL298" i="30295"/>
  <c r="AL258" i="30295"/>
  <c r="AL299" i="30295"/>
  <c r="AG298" i="30295"/>
  <c r="AG299" i="30295"/>
  <c r="AG293" i="30295"/>
  <c r="AG258" i="30295"/>
  <c r="P298" i="30295"/>
  <c r="P299" i="30295"/>
  <c r="P258" i="30295"/>
  <c r="P293" i="30295"/>
  <c r="AF293" i="30295"/>
  <c r="AF258" i="30295"/>
  <c r="AF299" i="30295"/>
  <c r="AF298" i="30295"/>
  <c r="AU293" i="30295"/>
  <c r="AU258" i="30295"/>
  <c r="AU298" i="30295"/>
  <c r="AU299" i="30295"/>
  <c r="AK258" i="30295"/>
  <c r="AK293" i="30295"/>
  <c r="AK298" i="30295"/>
  <c r="AK299" i="30295"/>
  <c r="B258" i="30295"/>
  <c r="B299" i="30295"/>
  <c r="B298" i="30295"/>
  <c r="B293" i="30295"/>
  <c r="Y298" i="30295"/>
  <c r="Y299" i="30295"/>
  <c r="Y293" i="30295"/>
  <c r="Y258" i="30295"/>
  <c r="R258" i="30295"/>
  <c r="R299" i="30295"/>
  <c r="R293" i="30295"/>
  <c r="R298" i="30295"/>
  <c r="I258" i="30295"/>
  <c r="I299" i="30295"/>
  <c r="I293" i="30295"/>
  <c r="I298" i="30295"/>
  <c r="L299" i="30295"/>
  <c r="L298" i="30295"/>
  <c r="L293" i="30295"/>
  <c r="L258" i="30295"/>
  <c r="AV298" i="30295"/>
  <c r="AV258" i="30295"/>
  <c r="AV293" i="30295"/>
  <c r="AV299" i="30295"/>
  <c r="U299" i="30295"/>
  <c r="U293" i="30295"/>
  <c r="U258" i="30295"/>
  <c r="U298" i="30295"/>
  <c r="S258" i="30295"/>
  <c r="S299" i="30295"/>
  <c r="S298" i="30295"/>
  <c r="S293" i="30295"/>
  <c r="AM298" i="30295"/>
  <c r="AM293" i="30295"/>
  <c r="AM299" i="30295"/>
  <c r="AM258" i="30295"/>
  <c r="Z299" i="30295"/>
  <c r="Z258" i="30295"/>
  <c r="Z293" i="30295"/>
  <c r="Z298" i="30295"/>
  <c r="AB293" i="30295"/>
  <c r="AB299" i="30295"/>
  <c r="AB258" i="30295"/>
  <c r="AB298" i="30295"/>
  <c r="AR298" i="30295"/>
  <c r="AR293" i="30295"/>
  <c r="AR258" i="30295"/>
  <c r="AR299" i="30295"/>
  <c r="M293" i="30295"/>
  <c r="M299" i="30295"/>
  <c r="M298" i="30295"/>
  <c r="M258" i="30295"/>
  <c r="AA258" i="30295"/>
  <c r="AA299" i="30295"/>
  <c r="AA293" i="30295"/>
  <c r="AA298" i="30295"/>
  <c r="T299" i="30295"/>
  <c r="T258" i="30295"/>
  <c r="T293" i="30295"/>
  <c r="T298" i="30295"/>
  <c r="AD293" i="30295"/>
  <c r="AD298" i="30295"/>
  <c r="AD299" i="30295"/>
  <c r="AD258" i="30295"/>
  <c r="J299" i="30295"/>
  <c r="J258" i="30295"/>
  <c r="J293" i="30295"/>
  <c r="J298" i="30295"/>
  <c r="AN299" i="30295"/>
  <c r="AN293" i="30295"/>
  <c r="AN258" i="30295"/>
  <c r="AN298" i="30295"/>
  <c r="AH298" i="30295"/>
  <c r="AH299" i="30295"/>
  <c r="AH258" i="30295"/>
  <c r="AH293" i="30295"/>
  <c r="AW299" i="30295"/>
  <c r="AW293" i="30295"/>
  <c r="AW258" i="30295"/>
  <c r="AW298" i="30295"/>
  <c r="AT298" i="30295"/>
  <c r="AT299" i="30295"/>
  <c r="AT293" i="30295"/>
  <c r="AT258" i="30295"/>
  <c r="E293" i="30295"/>
  <c r="E258" i="30295"/>
  <c r="E299" i="30295"/>
  <c r="E298" i="30295"/>
  <c r="N293" i="30295"/>
  <c r="N258" i="30295"/>
  <c r="N298" i="30295"/>
  <c r="N299" i="30295"/>
  <c r="K258" i="30295"/>
  <c r="K299" i="30295"/>
  <c r="K298" i="30295"/>
  <c r="K293" i="30295"/>
  <c r="X298" i="30295"/>
  <c r="X299" i="30295"/>
  <c r="X258" i="30295"/>
  <c r="X293" i="30295"/>
  <c r="AO299" i="30295"/>
  <c r="AO258" i="30295"/>
  <c r="AO293" i="30295"/>
  <c r="AO298" i="30295"/>
  <c r="AE258" i="30295"/>
  <c r="AE293" i="30295"/>
  <c r="AE299" i="30295"/>
  <c r="AE298" i="30295"/>
  <c r="W299" i="30295"/>
  <c r="W293" i="30295"/>
  <c r="W258" i="30295"/>
  <c r="W298" i="30295"/>
  <c r="AI299" i="30295"/>
  <c r="AI293" i="30295"/>
  <c r="AI298" i="30295"/>
  <c r="AI258" i="30295"/>
  <c r="D299" i="30295"/>
  <c r="D293" i="30295"/>
  <c r="D258" i="30295"/>
  <c r="D298" i="30295"/>
  <c r="C298" i="30295"/>
  <c r="C299" i="30295"/>
  <c r="C293" i="30295"/>
  <c r="C258" i="30295"/>
  <c r="G258" i="30295"/>
  <c r="G298" i="30295"/>
  <c r="G299" i="30295"/>
  <c r="G293" i="30295"/>
  <c r="AS299" i="30295"/>
  <c r="AS293" i="30295"/>
  <c r="AS298" i="30295"/>
  <c r="AS258" i="30295"/>
  <c r="F299" i="30295"/>
  <c r="F293" i="30295"/>
  <c r="F258" i="30295"/>
  <c r="F298" i="30295"/>
  <c r="F293" i="30294"/>
  <c r="F298" i="30294"/>
  <c r="F258" i="30294"/>
  <c r="F299" i="30294"/>
  <c r="B299" i="30294"/>
  <c r="B258" i="30294"/>
  <c r="B293" i="30294"/>
  <c r="B298" i="30294"/>
  <c r="C258" i="30294"/>
  <c r="C299" i="30294"/>
  <c r="C293" i="30294"/>
  <c r="C298" i="30294"/>
  <c r="G293" i="30294"/>
  <c r="G258" i="30294"/>
  <c r="G298" i="30294"/>
  <c r="G299" i="30294"/>
  <c r="D298" i="30294"/>
  <c r="D299" i="30294"/>
  <c r="D293" i="30294"/>
  <c r="D258" i="30294"/>
  <c r="E299" i="30294"/>
  <c r="E293" i="30294"/>
  <c r="E298" i="30294"/>
  <c r="E258" i="30294"/>
  <c r="BQ34" i="30308" l="1"/>
  <c r="L346" i="30295"/>
  <c r="AA346" i="30295"/>
  <c r="AH346" i="30295"/>
  <c r="AN346" i="30295"/>
  <c r="S346" i="30295"/>
  <c r="AU346" i="30295"/>
  <c r="BA40" i="30308"/>
  <c r="BJ40" i="30308" s="1"/>
  <c r="BA35" i="30308"/>
  <c r="BJ35" i="30308" s="1"/>
  <c r="BB38" i="30308"/>
  <c r="BK38" i="30308" s="1"/>
  <c r="BA39" i="30308"/>
  <c r="BJ39" i="30308" s="1"/>
  <c r="BB37" i="30308"/>
  <c r="BK37" i="30308" s="1"/>
  <c r="BA36" i="30308"/>
  <c r="BJ36" i="30308" s="1"/>
  <c r="U39" i="30308"/>
  <c r="U40" i="30308"/>
  <c r="U35" i="30308"/>
  <c r="V38" i="30308"/>
  <c r="U36" i="30308"/>
  <c r="V37" i="30308"/>
  <c r="N266" i="30295"/>
  <c r="M266" i="30295"/>
  <c r="K266" i="30295"/>
  <c r="P266" i="30295"/>
  <c r="Q266" i="30295"/>
  <c r="L266" i="30295"/>
  <c r="BR34" i="30308" l="1"/>
  <c r="M346" i="30295"/>
  <c r="AV346" i="30295"/>
  <c r="T346" i="30295"/>
  <c r="AO346" i="30295"/>
  <c r="AI346" i="30295"/>
  <c r="AB346" i="30295"/>
  <c r="BB39" i="30308"/>
  <c r="BK39" i="30308" s="1"/>
  <c r="BB40" i="30308"/>
  <c r="BK40" i="30308" s="1"/>
  <c r="BB35" i="30308"/>
  <c r="BK35" i="30308" s="1"/>
  <c r="BB36" i="30308"/>
  <c r="BK36" i="30308" s="1"/>
  <c r="W38" i="30308"/>
  <c r="BC38" i="30308"/>
  <c r="BL38" i="30308" s="1"/>
  <c r="W37" i="30308"/>
  <c r="BC37" i="30308"/>
  <c r="BL37" i="30308" s="1"/>
  <c r="V40" i="30308"/>
  <c r="V36" i="30308"/>
  <c r="V39" i="30308"/>
  <c r="V35" i="30308"/>
  <c r="O266" i="30295"/>
  <c r="W266" i="30295"/>
  <c r="R266" i="30295"/>
  <c r="U266" i="30295"/>
  <c r="X266" i="30295"/>
  <c r="T266" i="30295"/>
  <c r="S266" i="30295"/>
  <c r="BS34" i="30308" l="1"/>
  <c r="AW346" i="30295"/>
  <c r="N346" i="30295"/>
  <c r="AP346" i="30295"/>
  <c r="U346" i="30295"/>
  <c r="W36" i="30308"/>
  <c r="BC36" i="30308"/>
  <c r="BL36" i="30308" s="1"/>
  <c r="W40" i="30308"/>
  <c r="BC40" i="30308"/>
  <c r="BL40" i="30308" s="1"/>
  <c r="W35" i="30308"/>
  <c r="BC35" i="30308"/>
  <c r="BL35" i="30308" s="1"/>
  <c r="W39" i="30308"/>
  <c r="BC39" i="30308"/>
  <c r="BL39" i="30308" s="1"/>
  <c r="AD266" i="30295"/>
  <c r="V266" i="30295"/>
  <c r="AA266" i="30295"/>
  <c r="AE266" i="30295"/>
  <c r="AB266" i="30295"/>
  <c r="Y266" i="30295"/>
  <c r="Z266" i="30295"/>
  <c r="AF266" i="30295" l="1"/>
  <c r="AI266" i="30295"/>
  <c r="AL266" i="30295"/>
  <c r="AC266" i="30295"/>
  <c r="AH266" i="30295"/>
  <c r="AK266" i="30295"/>
  <c r="AG266" i="30295"/>
  <c r="BT34" i="30308" l="1"/>
  <c r="BT36" i="30308" s="1"/>
  <c r="AJ266" i="30295"/>
  <c r="AR266" i="30295"/>
  <c r="AO266" i="30295"/>
  <c r="AS266" i="30295"/>
  <c r="AP266" i="30295"/>
  <c r="AM266" i="30295"/>
  <c r="AN266" i="30295"/>
  <c r="AR79" i="30308" l="1"/>
  <c r="AP76" i="30308"/>
  <c r="AT80" i="30308"/>
  <c r="AS78" i="30308"/>
  <c r="AQ80" i="30308"/>
  <c r="AS80" i="30308"/>
  <c r="AR77" i="30308"/>
  <c r="AV266" i="30295"/>
  <c r="AT266" i="30295"/>
  <c r="AQ266" i="30295"/>
  <c r="AW266" i="30295"/>
  <c r="AU266" i="30295"/>
  <c r="AU77" i="30308" l="1"/>
  <c r="AT75" i="30308"/>
  <c r="AP79" i="30308"/>
  <c r="AS75" i="30308"/>
  <c r="AS79" i="30308"/>
  <c r="AR78" i="30308"/>
  <c r="AP75" i="30308"/>
  <c r="AQ79" i="30308"/>
  <c r="AQ78" i="30308"/>
  <c r="AP77" i="30308"/>
  <c r="AQ77" i="30308"/>
  <c r="AP78" i="30308"/>
  <c r="AQ75" i="30308"/>
  <c r="AT79" i="30308"/>
  <c r="AT77" i="30308"/>
  <c r="AS76" i="30308"/>
  <c r="AR80" i="30308"/>
  <c r="AR75" i="30308"/>
  <c r="AS77" i="30308"/>
  <c r="AP80" i="30308"/>
  <c r="AR76" i="30308"/>
  <c r="AT76" i="30308"/>
  <c r="AQ76" i="30308"/>
  <c r="AT78" i="30308"/>
  <c r="AX266" i="30295"/>
  <c r="AU75" i="30308" l="1"/>
  <c r="AU78" i="30308"/>
  <c r="AU76" i="30308"/>
  <c r="AU79" i="30308"/>
  <c r="AU80" i="30308"/>
  <c r="BO74" i="30308" l="1"/>
  <c r="BP74" i="30308" l="1"/>
  <c r="BQ74" i="30308" l="1"/>
  <c r="BR74" i="30308" l="1"/>
  <c r="BS74" i="30308" l="1"/>
  <c r="BT74" i="30308" l="1"/>
  <c r="BT76" i="30308" s="1"/>
  <c r="BP54" i="30308" l="1"/>
  <c r="J101" i="30294"/>
  <c r="C5" i="30308" l="1"/>
  <c r="S35" i="30308"/>
  <c r="D5" i="30308"/>
  <c r="T35" i="30308"/>
  <c r="J297" i="30294"/>
  <c r="AA5" i="30308" l="1"/>
  <c r="AQ55" i="30308" l="1"/>
  <c r="BQ54" i="30308" l="1"/>
  <c r="BR54" i="30308" l="1"/>
  <c r="BS54" i="30308" l="1"/>
  <c r="BT54" i="30308" s="1"/>
  <c r="BT56" i="30308" s="1"/>
  <c r="AY4" i="30308" l="1"/>
  <c r="BH4" i="30308" s="1"/>
  <c r="T4" i="30308" l="1"/>
  <c r="AZ4" i="30308"/>
  <c r="BI4" i="30308" s="1"/>
  <c r="V4" i="30308"/>
  <c r="BB4" i="30308"/>
  <c r="BK4" i="30308" s="1"/>
  <c r="U4" i="30308"/>
  <c r="BA4" i="30308"/>
  <c r="BJ4" i="30308" s="1"/>
  <c r="S4" i="30308"/>
  <c r="AX6" i="30308" l="1"/>
  <c r="AX8" i="30308"/>
  <c r="AX9" i="30308"/>
  <c r="AX10" i="30308"/>
  <c r="AX5" i="30308"/>
  <c r="AY7" i="30308"/>
  <c r="BH7" i="30308" s="1"/>
  <c r="AX7" i="30308"/>
  <c r="R8" i="30308"/>
  <c r="R9" i="30308"/>
  <c r="R7" i="30308"/>
  <c r="R6" i="30308"/>
  <c r="R5" i="30308"/>
  <c r="R10" i="30308"/>
  <c r="AY10" i="30308"/>
  <c r="BH10" i="30308" s="1"/>
  <c r="AY6" i="30308"/>
  <c r="BH6" i="30308" s="1"/>
  <c r="AY8" i="30308"/>
  <c r="BH8" i="30308" s="1"/>
  <c r="AY9" i="30308"/>
  <c r="BH9" i="30308" s="1"/>
  <c r="BO4" i="30308" l="1"/>
  <c r="BG7" i="30308"/>
  <c r="BG5" i="30308"/>
  <c r="BG10" i="30308"/>
  <c r="BG9" i="30308"/>
  <c r="BG6" i="30308"/>
  <c r="BG8" i="30308"/>
  <c r="AY5" i="30308"/>
  <c r="BH5" i="30308" s="1"/>
  <c r="S9" i="30308"/>
  <c r="S5" i="30308"/>
  <c r="S7" i="30308"/>
  <c r="S10" i="30308"/>
  <c r="S8" i="30308"/>
  <c r="S6" i="30308"/>
  <c r="AZ6" i="30308"/>
  <c r="BI6" i="30308" s="1"/>
  <c r="AZ5" i="30308"/>
  <c r="BI5" i="30308" s="1"/>
  <c r="AZ10" i="30308"/>
  <c r="BI10" i="30308" s="1"/>
  <c r="AZ7" i="30308"/>
  <c r="BI7" i="30308" s="1"/>
  <c r="AZ8" i="30308"/>
  <c r="BI8" i="30308" s="1"/>
  <c r="AZ9" i="30308"/>
  <c r="BI9" i="30308" s="1"/>
  <c r="BP4" i="30308" l="1"/>
  <c r="BQ4" i="30308" s="1"/>
  <c r="T7" i="30308"/>
  <c r="T6" i="30308"/>
  <c r="T9" i="30308"/>
  <c r="T10" i="30308"/>
  <c r="T8" i="30308"/>
  <c r="T5" i="30308"/>
  <c r="BA10" i="30308"/>
  <c r="BJ10" i="30308" s="1"/>
  <c r="BA7" i="30308"/>
  <c r="BJ7" i="30308" s="1"/>
  <c r="BA5" i="30308"/>
  <c r="BJ5" i="30308" s="1"/>
  <c r="BA6" i="30308"/>
  <c r="BJ6" i="30308" s="1"/>
  <c r="BA8" i="30308"/>
  <c r="BJ8" i="30308" s="1"/>
  <c r="BA9" i="30308"/>
  <c r="BJ9" i="30308" s="1"/>
  <c r="U8" i="30308" l="1"/>
  <c r="U7" i="30308"/>
  <c r="U9" i="30308"/>
  <c r="U10" i="30308"/>
  <c r="U6" i="30308"/>
  <c r="U5" i="30308"/>
  <c r="BB5" i="30308"/>
  <c r="BK5" i="30308" s="1"/>
  <c r="BB7" i="30308"/>
  <c r="BK7" i="30308" s="1"/>
  <c r="BB6" i="30308"/>
  <c r="BK6" i="30308" s="1"/>
  <c r="BB10" i="30308"/>
  <c r="BK10" i="30308" s="1"/>
  <c r="BB8" i="30308"/>
  <c r="BK8" i="30308" s="1"/>
  <c r="BB9" i="30308"/>
  <c r="BK9" i="30308" s="1"/>
  <c r="BR4" i="30308" l="1"/>
  <c r="V9" i="30308"/>
  <c r="V6" i="30308"/>
  <c r="V8" i="30308"/>
  <c r="V7" i="30308"/>
  <c r="V5" i="30308"/>
  <c r="V10" i="30308"/>
  <c r="BC10" i="30308"/>
  <c r="BL10" i="30308" s="1"/>
  <c r="BC6" i="30308"/>
  <c r="BL6" i="30308" s="1"/>
  <c r="BC7" i="30308"/>
  <c r="BL7" i="30308" s="1"/>
  <c r="BC5" i="30308"/>
  <c r="BL5" i="30308" s="1"/>
  <c r="BC8" i="30308"/>
  <c r="BL8" i="30308" s="1"/>
  <c r="BC9" i="30308"/>
  <c r="BL9" i="30308" s="1"/>
  <c r="BS4" i="30308" l="1"/>
  <c r="W7" i="30308"/>
  <c r="W8" i="30308"/>
  <c r="W9" i="30308"/>
  <c r="W6" i="30308"/>
  <c r="W5" i="30308"/>
  <c r="W10" i="30308"/>
  <c r="BT4" i="30308" l="1"/>
  <c r="BT6" i="30308" s="1"/>
  <c r="J7" i="30294"/>
  <c r="AP7" i="30294"/>
  <c r="AI7" i="30294"/>
  <c r="N7" i="30294"/>
  <c r="AW7" i="30294"/>
  <c r="AB7" i="30294"/>
  <c r="U7" i="30294"/>
  <c r="AA7" i="30294"/>
  <c r="T7" i="30294"/>
  <c r="AU7" i="30294"/>
  <c r="AT7" i="30294"/>
  <c r="R7" i="30294"/>
  <c r="Y7" i="30294"/>
  <c r="X7" i="30294"/>
  <c r="AL7" i="30294"/>
  <c r="AG7" i="30294"/>
  <c r="AM7" i="30294"/>
  <c r="AF7" i="30294"/>
  <c r="AH7" i="30294"/>
  <c r="AV7" i="30294"/>
  <c r="S7" i="30294"/>
  <c r="Q7" i="30294"/>
  <c r="L7" i="30294"/>
  <c r="AE7" i="30294"/>
  <c r="K7" i="30294"/>
  <c r="AO7" i="30294"/>
  <c r="AS7" i="30294"/>
  <c r="Z7" i="30294"/>
  <c r="AN7" i="30294"/>
  <c r="M7" i="30294"/>
  <c r="AR7" i="30294"/>
  <c r="AD7" i="30294"/>
  <c r="I7" i="30294"/>
  <c r="W7" i="30294"/>
  <c r="AK7" i="30294"/>
  <c r="P7" i="30294"/>
  <c r="AK1" i="30294" l="1"/>
  <c r="AG1" i="30294"/>
  <c r="AP1" i="30294"/>
  <c r="X1" i="30294"/>
  <c r="AB1" i="30294"/>
  <c r="AA1" i="30294"/>
  <c r="AT1" i="30294"/>
  <c r="Z1" i="30294"/>
  <c r="AF1" i="30294"/>
  <c r="AL1" i="30294"/>
  <c r="AO1" i="30294"/>
  <c r="AV1" i="30294"/>
  <c r="AD1" i="30294"/>
  <c r="AH1" i="30294"/>
  <c r="T1" i="30294"/>
  <c r="M1" i="30294"/>
  <c r="AM1" i="30294"/>
  <c r="AI1" i="30294"/>
  <c r="AU1" i="30294"/>
  <c r="AN1" i="30294"/>
  <c r="N8" i="30294"/>
  <c r="N244" i="30294" s="1"/>
  <c r="U1" i="30294"/>
  <c r="N1" i="30294"/>
  <c r="AS1" i="30294"/>
  <c r="AE1" i="30294"/>
  <c r="AW1" i="30294"/>
  <c r="R1" i="30294"/>
  <c r="K1" i="30294"/>
  <c r="Q1" i="30294"/>
  <c r="J1" i="30294"/>
  <c r="P1" i="30294"/>
  <c r="I1" i="30294"/>
  <c r="Y1" i="30294"/>
  <c r="W1" i="30294"/>
  <c r="AR1" i="30294"/>
  <c r="S1" i="30294"/>
  <c r="L1" i="30294"/>
  <c r="AI8" i="30294"/>
  <c r="AG8" i="30294"/>
  <c r="S8" i="30294"/>
  <c r="AS8" i="30294"/>
  <c r="AS340" i="30294" s="1"/>
  <c r="R8" i="30294"/>
  <c r="K8" i="30294"/>
  <c r="AV8" i="30294"/>
  <c r="AV310" i="30294" s="1"/>
  <c r="AN8" i="30294"/>
  <c r="AL8" i="30294"/>
  <c r="AA8" i="30294"/>
  <c r="Z8" i="30294"/>
  <c r="AO8" i="30294"/>
  <c r="AK8" i="30294"/>
  <c r="AR8" i="30294"/>
  <c r="AR316" i="30294" s="1"/>
  <c r="J20" i="30308" s="1"/>
  <c r="I8" i="30294"/>
  <c r="M8" i="30294"/>
  <c r="P8" i="30294"/>
  <c r="AD8" i="30294"/>
  <c r="W8" i="30294"/>
  <c r="AM8" i="30294"/>
  <c r="X8" i="30294"/>
  <c r="AH8" i="30294"/>
  <c r="AF8" i="30294"/>
  <c r="U8" i="30294"/>
  <c r="L8" i="30294"/>
  <c r="Q8" i="30294"/>
  <c r="AE8" i="30294"/>
  <c r="AU8" i="30294"/>
  <c r="AU253" i="30294" s="1"/>
  <c r="Y8" i="30294"/>
  <c r="AW8" i="30294"/>
  <c r="AW304" i="30294" s="1"/>
  <c r="AW305" i="30294" s="1"/>
  <c r="AB8" i="30294"/>
  <c r="AT8" i="30294"/>
  <c r="AT253" i="30294" s="1"/>
  <c r="T8" i="30294"/>
  <c r="AP8" i="30294"/>
  <c r="J8" i="30294"/>
  <c r="AD2" i="30294" l="1"/>
  <c r="AU2" i="30294"/>
  <c r="AI2" i="30294"/>
  <c r="AK2" i="30294"/>
  <c r="Y2" i="30294"/>
  <c r="AO2" i="30294"/>
  <c r="AE2" i="30294"/>
  <c r="Z331" i="30294"/>
  <c r="AG2" i="30294"/>
  <c r="U2" i="30294"/>
  <c r="N2" i="30294"/>
  <c r="K314" i="30294"/>
  <c r="R2" i="30294"/>
  <c r="K2" i="30294"/>
  <c r="AF301" i="30294"/>
  <c r="AM2" i="30294"/>
  <c r="AM263" i="30294"/>
  <c r="AM264" i="30294" s="1"/>
  <c r="AT2" i="30294"/>
  <c r="W2" i="30294"/>
  <c r="T2" i="30294"/>
  <c r="M2" i="30294"/>
  <c r="S335" i="30294"/>
  <c r="Z2" i="30294"/>
  <c r="I247" i="30294"/>
  <c r="P2" i="30294"/>
  <c r="I2" i="30294"/>
  <c r="AG242" i="30294"/>
  <c r="AN2" i="30294"/>
  <c r="AP337" i="30294"/>
  <c r="AW2" i="30294"/>
  <c r="AA333" i="30294"/>
  <c r="AH2" i="30294"/>
  <c r="AL307" i="30294"/>
  <c r="AS2" i="30294"/>
  <c r="Y259" i="30294"/>
  <c r="Y260" i="30294" s="1"/>
  <c r="AF2" i="30294"/>
  <c r="AL2" i="30294"/>
  <c r="X2" i="30294"/>
  <c r="AI242" i="30294"/>
  <c r="AP2" i="30294"/>
  <c r="AA2" i="30294"/>
  <c r="S2" i="30294"/>
  <c r="L2" i="30294"/>
  <c r="AK239" i="30294"/>
  <c r="AR2" i="30294"/>
  <c r="Q2" i="30294"/>
  <c r="J2" i="30294"/>
  <c r="AB2" i="30294"/>
  <c r="AV2" i="30294"/>
  <c r="AI237" i="30294"/>
  <c r="AI319" i="30294"/>
  <c r="AR253" i="30294"/>
  <c r="AW253" i="30294"/>
  <c r="AW317" i="30294" s="1"/>
  <c r="AU316" i="30294"/>
  <c r="M20" i="30308" s="1"/>
  <c r="AW316" i="30294"/>
  <c r="O20" i="30308" s="1"/>
  <c r="AS316" i="30294"/>
  <c r="K20" i="30308" s="1"/>
  <c r="AT316" i="30294"/>
  <c r="L20" i="30308" s="1"/>
  <c r="AS253" i="30294"/>
  <c r="AS317" i="30294" s="1"/>
  <c r="AV253" i="30294"/>
  <c r="AV316" i="30294"/>
  <c r="N20" i="30308" s="1"/>
  <c r="AI331" i="30294"/>
  <c r="AI247" i="30294"/>
  <c r="AI307" i="30294"/>
  <c r="AI320" i="30294"/>
  <c r="AI322" i="30294"/>
  <c r="AI230" i="30294"/>
  <c r="AI332" i="30294"/>
  <c r="AI315" i="30294"/>
  <c r="AI241" i="30294"/>
  <c r="AI259" i="30294"/>
  <c r="AI260" i="30294" s="1"/>
  <c r="AI335" i="30294"/>
  <c r="AI321" i="30294"/>
  <c r="AI249" i="30294"/>
  <c r="AI334" i="30294"/>
  <c r="AI304" i="30294"/>
  <c r="AI305" i="30294" s="1"/>
  <c r="AI324" i="30294"/>
  <c r="AI246" i="30294"/>
  <c r="AI303" i="30294"/>
  <c r="S245" i="30294"/>
  <c r="AI253" i="30294"/>
  <c r="AI339" i="30294"/>
  <c r="AI263" i="30294"/>
  <c r="AI264" i="30294" s="1"/>
  <c r="AI248" i="30294"/>
  <c r="AI316" i="30294"/>
  <c r="O18" i="30308" s="1"/>
  <c r="AI244" i="30294"/>
  <c r="AI245" i="30294"/>
  <c r="AI325" i="30294"/>
  <c r="AI337" i="30294"/>
  <c r="AG254" i="30294"/>
  <c r="AI314" i="30294"/>
  <c r="AI340" i="30294"/>
  <c r="S316" i="30294"/>
  <c r="M16" i="30308" s="1"/>
  <c r="AI240" i="30294"/>
  <c r="AI330" i="30294"/>
  <c r="AI310" i="30294"/>
  <c r="AI323" i="30294"/>
  <c r="AI255" i="30294"/>
  <c r="AI256" i="30294"/>
  <c r="AI257" i="30294" s="1"/>
  <c r="AI336" i="30294"/>
  <c r="AI250" i="30294"/>
  <c r="AI269" i="30294" s="1"/>
  <c r="AI328" i="30294"/>
  <c r="AI338" i="30294"/>
  <c r="AI239" i="30294"/>
  <c r="AI308" i="30294"/>
  <c r="AI254" i="30294"/>
  <c r="AI243" i="30294"/>
  <c r="AI238" i="30294"/>
  <c r="AI306" i="30294"/>
  <c r="AG243" i="30294"/>
  <c r="AG319" i="30294"/>
  <c r="S238" i="30294"/>
  <c r="S332" i="30294"/>
  <c r="S314" i="30294"/>
  <c r="S323" i="30294"/>
  <c r="S255" i="30294"/>
  <c r="AG263" i="30294"/>
  <c r="AG264" i="30294" s="1"/>
  <c r="S319" i="30294"/>
  <c r="S248" i="30294"/>
  <c r="S237" i="30294"/>
  <c r="S250" i="30294"/>
  <c r="S269" i="30294" s="1"/>
  <c r="AS328" i="30294"/>
  <c r="S324" i="30294"/>
  <c r="S334" i="30294"/>
  <c r="S240" i="30294"/>
  <c r="S303" i="30294"/>
  <c r="S331" i="30294"/>
  <c r="AG256" i="30294"/>
  <c r="AG257" i="30294" s="1"/>
  <c r="AG312" i="30294" s="1"/>
  <c r="AS321" i="30294"/>
  <c r="AS245" i="30294"/>
  <c r="AG339" i="30294"/>
  <c r="S246" i="30294"/>
  <c r="S321" i="30294"/>
  <c r="S239" i="30294"/>
  <c r="S306" i="30294"/>
  <c r="AG255" i="30294"/>
  <c r="S340" i="30294"/>
  <c r="S325" i="30294"/>
  <c r="S256" i="30294"/>
  <c r="S257" i="30294" s="1"/>
  <c r="S312" i="30294" s="1"/>
  <c r="AG316" i="30294"/>
  <c r="M18" i="30308" s="1"/>
  <c r="S302" i="30294"/>
  <c r="AI333" i="30294"/>
  <c r="AV319" i="30294"/>
  <c r="S253" i="30294"/>
  <c r="S254" i="30294"/>
  <c r="S304" i="30294"/>
  <c r="S305" i="30294" s="1"/>
  <c r="AV328" i="30294"/>
  <c r="AM340" i="30294"/>
  <c r="S315" i="30294"/>
  <c r="AV329" i="30294"/>
  <c r="AV332" i="30294"/>
  <c r="AG301" i="30294"/>
  <c r="S259" i="30294"/>
  <c r="S260" i="30294" s="1"/>
  <c r="S241" i="30294"/>
  <c r="S249" i="30294"/>
  <c r="S338" i="30294"/>
  <c r="Z240" i="30294"/>
  <c r="Z304" i="30294"/>
  <c r="Z305" i="30294" s="1"/>
  <c r="Z320" i="30294"/>
  <c r="Z336" i="30294"/>
  <c r="Z263" i="30294"/>
  <c r="Z264" i="30294" s="1"/>
  <c r="Z255" i="30294"/>
  <c r="AA263" i="30294"/>
  <c r="AA264" i="30294" s="1"/>
  <c r="AA245" i="30294"/>
  <c r="Z310" i="30294"/>
  <c r="Z302" i="30294"/>
  <c r="Z254" i="30294"/>
  <c r="Z242" i="30294"/>
  <c r="AA240" i="30294"/>
  <c r="Z332" i="30294"/>
  <c r="Z316" i="30294"/>
  <c r="M17" i="30308" s="1"/>
  <c r="Z319" i="30294"/>
  <c r="Z338" i="30294"/>
  <c r="Z245" i="30294"/>
  <c r="Z243" i="30294"/>
  <c r="Z322" i="30294"/>
  <c r="Z246" i="30294"/>
  <c r="Z340" i="30294"/>
  <c r="Z247" i="30294"/>
  <c r="Z301" i="30294"/>
  <c r="Z237" i="30294"/>
  <c r="Z329" i="30294"/>
  <c r="Z308" i="30294"/>
  <c r="Z307" i="30294"/>
  <c r="AG322" i="30294"/>
  <c r="AG248" i="30294"/>
  <c r="AG337" i="30294"/>
  <c r="AG230" i="30294"/>
  <c r="K323" i="30294"/>
  <c r="AG240" i="30294"/>
  <c r="AG302" i="30294"/>
  <c r="AM328" i="30294"/>
  <c r="AG259" i="30294"/>
  <c r="AG260" i="30294" s="1"/>
  <c r="AG340" i="30294"/>
  <c r="AG241" i="30294"/>
  <c r="AM321" i="30294"/>
  <c r="AG250" i="30294"/>
  <c r="AG269" i="30294" s="1"/>
  <c r="AG308" i="30294"/>
  <c r="AG253" i="30294"/>
  <c r="S337" i="30294"/>
  <c r="AV320" i="30294"/>
  <c r="AV250" i="30294"/>
  <c r="AV269" i="30294" s="1"/>
  <c r="AV230" i="30294"/>
  <c r="AV302" i="30294"/>
  <c r="AV340" i="30294"/>
  <c r="AV303" i="30294"/>
  <c r="AV242" i="30294"/>
  <c r="AV322" i="30294"/>
  <c r="AV243" i="30294"/>
  <c r="AV255" i="30294"/>
  <c r="AV338" i="30294"/>
  <c r="AV308" i="30294"/>
  <c r="AV325" i="30294"/>
  <c r="AV240" i="30294"/>
  <c r="AV306" i="30294"/>
  <c r="AV238" i="30294"/>
  <c r="AV244" i="30294"/>
  <c r="S336" i="30294"/>
  <c r="S230" i="30294"/>
  <c r="AV256" i="30294"/>
  <c r="AV257" i="30294" s="1"/>
  <c r="AV312" i="30294" s="1"/>
  <c r="AV313" i="30294" s="1"/>
  <c r="AV241" i="30294"/>
  <c r="AV239" i="30294"/>
  <c r="AV263" i="30294"/>
  <c r="AV264" i="30294" s="1"/>
  <c r="AI302" i="30294"/>
  <c r="AV330" i="30294"/>
  <c r="AV254" i="30294"/>
  <c r="AV247" i="30294"/>
  <c r="AV323" i="30294"/>
  <c r="AV249" i="30294"/>
  <c r="AV246" i="30294"/>
  <c r="AV245" i="30294"/>
  <c r="AV248" i="30294"/>
  <c r="AV321" i="30294"/>
  <c r="AM304" i="30294"/>
  <c r="AM305" i="30294" s="1"/>
  <c r="Z335" i="30294"/>
  <c r="Z241" i="30294"/>
  <c r="AI329" i="30294"/>
  <c r="Y245" i="30294"/>
  <c r="AI301" i="30294"/>
  <c r="AP328" i="30294"/>
  <c r="Y238" i="30294"/>
  <c r="AL254" i="30294"/>
  <c r="Z325" i="30294"/>
  <c r="AV314" i="30294"/>
  <c r="Y322" i="30294"/>
  <c r="Y325" i="30294"/>
  <c r="K254" i="30294"/>
  <c r="K256" i="30294"/>
  <c r="K257" i="30294" s="1"/>
  <c r="K340" i="30294"/>
  <c r="K246" i="30294"/>
  <c r="K283" i="30294" s="1"/>
  <c r="AV333" i="30294"/>
  <c r="K307" i="30294"/>
  <c r="S263" i="30294"/>
  <c r="S264" i="30294" s="1"/>
  <c r="AS335" i="30294"/>
  <c r="S244" i="30294"/>
  <c r="K315" i="30294"/>
  <c r="AS329" i="30294"/>
  <c r="K249" i="30294"/>
  <c r="K321" i="30294"/>
  <c r="K253" i="30294"/>
  <c r="AS339" i="30294"/>
  <c r="K308" i="30294"/>
  <c r="K316" i="30294"/>
  <c r="L15" i="30308" s="1"/>
  <c r="AS320" i="30294"/>
  <c r="S307" i="30294"/>
  <c r="K230" i="30294"/>
  <c r="K238" i="30294"/>
  <c r="AS242" i="30294"/>
  <c r="S310" i="30294"/>
  <c r="K243" i="30294"/>
  <c r="K255" i="30294"/>
  <c r="AS332" i="30294"/>
  <c r="S339" i="30294"/>
  <c r="K240" i="30294"/>
  <c r="K306" i="30294"/>
  <c r="S243" i="30294"/>
  <c r="S247" i="30294"/>
  <c r="AS333" i="30294"/>
  <c r="K245" i="30294"/>
  <c r="K322" i="30294"/>
  <c r="S333" i="30294"/>
  <c r="S242" i="30294"/>
  <c r="S301" i="30294"/>
  <c r="AS263" i="30294"/>
  <c r="AS264" i="30294" s="1"/>
  <c r="K250" i="30294"/>
  <c r="K269" i="30294" s="1"/>
  <c r="AM338" i="30294"/>
  <c r="S330" i="30294"/>
  <c r="S320" i="30294"/>
  <c r="Q255" i="30294"/>
  <c r="S329" i="30294"/>
  <c r="L250" i="30294"/>
  <c r="L269" i="30294" s="1"/>
  <c r="W306" i="30294"/>
  <c r="Z256" i="30294"/>
  <c r="Z257" i="30294" s="1"/>
  <c r="AN330" i="30294"/>
  <c r="AP250" i="30294"/>
  <c r="AP269" i="30294" s="1"/>
  <c r="AM316" i="30294"/>
  <c r="L19" i="30308" s="1"/>
  <c r="I239" i="30294"/>
  <c r="AA304" i="30294"/>
  <c r="AA305" i="30294" s="1"/>
  <c r="AV335" i="30294"/>
  <c r="S328" i="30294"/>
  <c r="AE314" i="30294"/>
  <c r="AF340" i="30294"/>
  <c r="AB314" i="30294"/>
  <c r="AH250" i="30294"/>
  <c r="AH269" i="30294" s="1"/>
  <c r="AN337" i="30294"/>
  <c r="AS337" i="30294"/>
  <c r="AU310" i="30294"/>
  <c r="AT334" i="30294"/>
  <c r="X302" i="30294"/>
  <c r="J328" i="30294"/>
  <c r="U254" i="30294"/>
  <c r="AN241" i="30294"/>
  <c r="AO315" i="30294"/>
  <c r="AG336" i="30294"/>
  <c r="N314" i="30294"/>
  <c r="Y239" i="30294"/>
  <c r="AM334" i="30294"/>
  <c r="AL244" i="30294"/>
  <c r="AD246" i="30294"/>
  <c r="S322" i="30294"/>
  <c r="R244" i="30294"/>
  <c r="T308" i="30294"/>
  <c r="AW246" i="30294"/>
  <c r="P239" i="30294"/>
  <c r="M328" i="30294"/>
  <c r="K244" i="30294"/>
  <c r="S308" i="30294"/>
  <c r="AR324" i="30294"/>
  <c r="AG310" i="30294"/>
  <c r="AG247" i="30294"/>
  <c r="AG303" i="30294"/>
  <c r="AS255" i="30294"/>
  <c r="AS247" i="30294"/>
  <c r="AG304" i="30294"/>
  <c r="AG305" i="30294" s="1"/>
  <c r="AS248" i="30294"/>
  <c r="AS301" i="30294"/>
  <c r="AS315" i="30294"/>
  <c r="Y310" i="30294"/>
  <c r="AG239" i="30294"/>
  <c r="AG328" i="30294"/>
  <c r="AG244" i="30294"/>
  <c r="AG323" i="30294"/>
  <c r="AS238" i="30294"/>
  <c r="AS304" i="30294"/>
  <c r="AS305" i="30294" s="1"/>
  <c r="AK320" i="30294"/>
  <c r="Z239" i="30294"/>
  <c r="Z303" i="30294"/>
  <c r="Z306" i="30294"/>
  <c r="AG315" i="30294"/>
  <c r="AS331" i="30294"/>
  <c r="AS244" i="30294"/>
  <c r="AS303" i="30294"/>
  <c r="AG307" i="30294"/>
  <c r="AS241" i="30294"/>
  <c r="AS306" i="30294"/>
  <c r="AG320" i="30294"/>
  <c r="AG334" i="30294"/>
  <c r="AG331" i="30294"/>
  <c r="AG238" i="30294"/>
  <c r="AS310" i="30294"/>
  <c r="AK310" i="30294"/>
  <c r="AG321" i="30294"/>
  <c r="AS322" i="30294"/>
  <c r="AS250" i="30294"/>
  <c r="AS269" i="30294" s="1"/>
  <c r="AS325" i="30294"/>
  <c r="AS256" i="30294"/>
  <c r="AS257" i="30294" s="1"/>
  <c r="AS312" i="30294" s="1"/>
  <c r="AS302" i="30294"/>
  <c r="AG245" i="30294"/>
  <c r="Y247" i="30294"/>
  <c r="AH263" i="30294"/>
  <c r="AH264" i="30294" s="1"/>
  <c r="AG237" i="30294"/>
  <c r="AG329" i="30294"/>
  <c r="AG246" i="30294"/>
  <c r="AG283" i="30294" s="1"/>
  <c r="AS323" i="30294"/>
  <c r="AS259" i="30294"/>
  <c r="AS260" i="30294" s="1"/>
  <c r="AS319" i="30294"/>
  <c r="AS336" i="30294"/>
  <c r="AG324" i="30294"/>
  <c r="AG330" i="30294"/>
  <c r="AS237" i="30294"/>
  <c r="AS307" i="30294"/>
  <c r="AG249" i="30294"/>
  <c r="AS338" i="30294"/>
  <c r="AG325" i="30294"/>
  <c r="AM247" i="30294"/>
  <c r="AS249" i="30294"/>
  <c r="I259" i="30294"/>
  <c r="I260" i="30294" s="1"/>
  <c r="AS330" i="30294"/>
  <c r="AS308" i="30294"/>
  <c r="AG333" i="30294"/>
  <c r="AS334" i="30294"/>
  <c r="AS254" i="30294"/>
  <c r="AS230" i="30294"/>
  <c r="AS324" i="30294"/>
  <c r="AG306" i="30294"/>
  <c r="AW263" i="30294"/>
  <c r="AW264" i="30294" s="1"/>
  <c r="Y329" i="30294"/>
  <c r="AG314" i="30294"/>
  <c r="AG338" i="30294"/>
  <c r="AS246" i="30294"/>
  <c r="Y237" i="30294"/>
  <c r="AG332" i="30294"/>
  <c r="AG335" i="30294"/>
  <c r="AS314" i="30294"/>
  <c r="AM302" i="30294"/>
  <c r="AS239" i="30294"/>
  <c r="I335" i="30294"/>
  <c r="Z339" i="30294"/>
  <c r="Z249" i="30294"/>
  <c r="Z238" i="30294"/>
  <c r="AS243" i="30294"/>
  <c r="AS240" i="30294"/>
  <c r="AK307" i="30294"/>
  <c r="AK322" i="30294"/>
  <c r="AM230" i="30294"/>
  <c r="AM238" i="30294"/>
  <c r="Y253" i="30294"/>
  <c r="AM237" i="30294"/>
  <c r="Y249" i="30294"/>
  <c r="Y244" i="30294"/>
  <c r="Y315" i="30294"/>
  <c r="AM307" i="30294"/>
  <c r="W330" i="30294"/>
  <c r="Z315" i="30294"/>
  <c r="Z253" i="30294"/>
  <c r="Z250" i="30294"/>
  <c r="Z269" i="30294" s="1"/>
  <c r="AN304" i="30294"/>
  <c r="AN305" i="30294" s="1"/>
  <c r="AB247" i="30294"/>
  <c r="AL263" i="30294"/>
  <c r="AL264" i="30294" s="1"/>
  <c r="AN242" i="30294"/>
  <c r="AN328" i="30294"/>
  <c r="AM333" i="30294"/>
  <c r="AK303" i="30294"/>
  <c r="AN335" i="30294"/>
  <c r="AK325" i="30294"/>
  <c r="I302" i="30294"/>
  <c r="I329" i="30294"/>
  <c r="N339" i="30294"/>
  <c r="I230" i="30294"/>
  <c r="I332" i="30294"/>
  <c r="N230" i="30294"/>
  <c r="I263" i="30294"/>
  <c r="I264" i="30294" s="1"/>
  <c r="I331" i="30294"/>
  <c r="I308" i="30294"/>
  <c r="N337" i="30294"/>
  <c r="N335" i="30294"/>
  <c r="I336" i="30294"/>
  <c r="AB250" i="30294"/>
  <c r="AB269" i="30294" s="1"/>
  <c r="AB332" i="30294"/>
  <c r="AB310" i="30294"/>
  <c r="Y246" i="30294"/>
  <c r="AB256" i="30294"/>
  <c r="AB257" i="30294" s="1"/>
  <c r="AB312" i="30294" s="1"/>
  <c r="Y320" i="30294"/>
  <c r="AB246" i="30294"/>
  <c r="AB283" i="30294" s="1"/>
  <c r="Y240" i="30294"/>
  <c r="Y307" i="30294"/>
  <c r="P321" i="30294"/>
  <c r="T238" i="30294"/>
  <c r="P310" i="30294"/>
  <c r="AU317" i="30294"/>
  <c r="AU246" i="30294"/>
  <c r="AU283" i="30294" s="1"/>
  <c r="N250" i="30294"/>
  <c r="N269" i="30294" s="1"/>
  <c r="N255" i="30294"/>
  <c r="AF240" i="30294"/>
  <c r="J334" i="30294"/>
  <c r="N307" i="30294"/>
  <c r="AW248" i="30294"/>
  <c r="AA255" i="30294"/>
  <c r="AF249" i="30294"/>
  <c r="AH325" i="30294"/>
  <c r="AF338" i="30294"/>
  <c r="AF302" i="30294"/>
  <c r="AN322" i="30294"/>
  <c r="AD248" i="30294"/>
  <c r="AV336" i="30294"/>
  <c r="R245" i="30294"/>
  <c r="AW254" i="30294"/>
  <c r="AD339" i="30294"/>
  <c r="AA238" i="30294"/>
  <c r="AH324" i="30294"/>
  <c r="AF325" i="30294"/>
  <c r="N323" i="30294"/>
  <c r="N245" i="30294"/>
  <c r="AA301" i="30294"/>
  <c r="AA323" i="30294"/>
  <c r="AF310" i="30294"/>
  <c r="AF245" i="30294"/>
  <c r="AN302" i="30294"/>
  <c r="AD310" i="30294"/>
  <c r="I246" i="30294"/>
  <c r="I283" i="30294" s="1"/>
  <c r="N243" i="30294"/>
  <c r="AW324" i="30294"/>
  <c r="R240" i="30294"/>
  <c r="N237" i="30294"/>
  <c r="AF307" i="30294"/>
  <c r="AD319" i="30294"/>
  <c r="J301" i="30294"/>
  <c r="N329" i="30294"/>
  <c r="N315" i="30294"/>
  <c r="J254" i="30294"/>
  <c r="N322" i="30294"/>
  <c r="N303" i="30294"/>
  <c r="N256" i="30294"/>
  <c r="N257" i="30294" s="1"/>
  <c r="N312" i="30294" s="1"/>
  <c r="AB337" i="30294"/>
  <c r="AA247" i="30294"/>
  <c r="AA321" i="30294"/>
  <c r="AA246" i="30294"/>
  <c r="AF336" i="30294"/>
  <c r="AH238" i="30294"/>
  <c r="AN310" i="30294"/>
  <c r="AD245" i="30294"/>
  <c r="I243" i="30294"/>
  <c r="Z259" i="30294"/>
  <c r="Z260" i="30294" s="1"/>
  <c r="AV324" i="30294"/>
  <c r="K329" i="30294"/>
  <c r="K339" i="30294"/>
  <c r="AA316" i="30294"/>
  <c r="N17" i="30308" s="1"/>
  <c r="J243" i="30294"/>
  <c r="T255" i="30294"/>
  <c r="J240" i="30294"/>
  <c r="N247" i="30294"/>
  <c r="N306" i="30294"/>
  <c r="AA330" i="30294"/>
  <c r="AA248" i="30294"/>
  <c r="AH301" i="30294"/>
  <c r="AN245" i="30294"/>
  <c r="AD306" i="30294"/>
  <c r="AN263" i="30294"/>
  <c r="AN264" i="30294" s="1"/>
  <c r="AF315" i="30294"/>
  <c r="AF334" i="30294"/>
  <c r="AN306" i="30294"/>
  <c r="P330" i="30294"/>
  <c r="Z324" i="30294"/>
  <c r="AN248" i="30294"/>
  <c r="K330" i="30294"/>
  <c r="N242" i="30294"/>
  <c r="AA314" i="30294"/>
  <c r="N324" i="30294"/>
  <c r="AA337" i="30294"/>
  <c r="AF237" i="30294"/>
  <c r="AF322" i="30294"/>
  <c r="AF239" i="30294"/>
  <c r="AN255" i="30294"/>
  <c r="J302" i="30294"/>
  <c r="AA306" i="30294"/>
  <c r="J338" i="30294"/>
  <c r="N249" i="30294"/>
  <c r="AA256" i="30294"/>
  <c r="AA257" i="30294" s="1"/>
  <c r="J331" i="30294"/>
  <c r="AA322" i="30294"/>
  <c r="R333" i="30294"/>
  <c r="AA310" i="30294"/>
  <c r="J244" i="30294"/>
  <c r="AA303" i="30294"/>
  <c r="AA320" i="30294"/>
  <c r="AA254" i="30294"/>
  <c r="J321" i="30294"/>
  <c r="N338" i="30294"/>
  <c r="AP301" i="30294"/>
  <c r="AA340" i="30294"/>
  <c r="AA339" i="30294"/>
  <c r="AA308" i="30294"/>
  <c r="AA241" i="30294"/>
  <c r="AW241" i="30294"/>
  <c r="AW242" i="30294"/>
  <c r="AA250" i="30294"/>
  <c r="AA269" i="30294" s="1"/>
  <c r="AH337" i="30294"/>
  <c r="AM254" i="30294"/>
  <c r="AN238" i="30294"/>
  <c r="P244" i="30294"/>
  <c r="I325" i="30294"/>
  <c r="AA335" i="30294"/>
  <c r="AV331" i="30294"/>
  <c r="R306" i="30294"/>
  <c r="AU256" i="30294"/>
  <c r="AU257" i="30294" s="1"/>
  <c r="AL323" i="30294"/>
  <c r="AU337" i="30294"/>
  <c r="AL253" i="30294"/>
  <c r="AO253" i="30294"/>
  <c r="R314" i="30294"/>
  <c r="R303" i="30294"/>
  <c r="R302" i="30294"/>
  <c r="R238" i="30294"/>
  <c r="AL329" i="30294"/>
  <c r="AU230" i="30294"/>
  <c r="R324" i="30294"/>
  <c r="R239" i="30294"/>
  <c r="R254" i="30294"/>
  <c r="AM301" i="30294"/>
  <c r="AU338" i="30294"/>
  <c r="R307" i="30294"/>
  <c r="AO331" i="30294"/>
  <c r="AN333" i="30294"/>
  <c r="R249" i="30294"/>
  <c r="Y314" i="30294"/>
  <c r="R328" i="30294"/>
  <c r="Y334" i="30294"/>
  <c r="R237" i="30294"/>
  <c r="R246" i="30294"/>
  <c r="R242" i="30294"/>
  <c r="Y335" i="30294"/>
  <c r="AU308" i="30294"/>
  <c r="AU324" i="30294"/>
  <c r="U243" i="30294"/>
  <c r="AM322" i="30294"/>
  <c r="AM246" i="30294"/>
  <c r="AN336" i="30294"/>
  <c r="AN256" i="30294"/>
  <c r="AN257" i="30294" s="1"/>
  <c r="AN312" i="30294" s="1"/>
  <c r="AL333" i="30294"/>
  <c r="AN259" i="30294"/>
  <c r="AN260" i="30294" s="1"/>
  <c r="R304" i="30294"/>
  <c r="R305" i="30294" s="1"/>
  <c r="R319" i="30294"/>
  <c r="AL330" i="30294"/>
  <c r="AU302" i="30294"/>
  <c r="AU330" i="30294"/>
  <c r="AE334" i="30294"/>
  <c r="R263" i="30294"/>
  <c r="R264" i="30294" s="1"/>
  <c r="AM314" i="30294"/>
  <c r="R321" i="30294"/>
  <c r="AM306" i="30294"/>
  <c r="AN316" i="30294"/>
  <c r="M19" i="30308" s="1"/>
  <c r="AL314" i="30294"/>
  <c r="AP244" i="30294"/>
  <c r="R325" i="30294"/>
  <c r="AM250" i="30294"/>
  <c r="AM269" i="30294" s="1"/>
  <c r="AN230" i="30294"/>
  <c r="N321" i="30294"/>
  <c r="AP314" i="30294"/>
  <c r="J247" i="30294"/>
  <c r="N334" i="30294"/>
  <c r="AP335" i="30294"/>
  <c r="AT333" i="30294"/>
  <c r="Y332" i="30294"/>
  <c r="AL247" i="30294"/>
  <c r="R256" i="30294"/>
  <c r="R257" i="30294" s="1"/>
  <c r="AL304" i="30294"/>
  <c r="AL305" i="30294" s="1"/>
  <c r="Y243" i="30294"/>
  <c r="AU259" i="30294"/>
  <c r="AU260" i="30294" s="1"/>
  <c r="AU301" i="30294"/>
  <c r="AU314" i="30294"/>
  <c r="Q241" i="30294"/>
  <c r="AM253" i="30294"/>
  <c r="AN240" i="30294"/>
  <c r="AN246" i="30294"/>
  <c r="I320" i="30294"/>
  <c r="I241" i="30294"/>
  <c r="Z244" i="30294"/>
  <c r="AL237" i="30294"/>
  <c r="R331" i="30294"/>
  <c r="R301" i="30294"/>
  <c r="AL331" i="30294"/>
  <c r="L248" i="30294"/>
  <c r="R259" i="30294"/>
  <c r="R260" i="30294" s="1"/>
  <c r="AL238" i="30294"/>
  <c r="AL335" i="30294"/>
  <c r="AU241" i="30294"/>
  <c r="AM255" i="30294"/>
  <c r="R330" i="30294"/>
  <c r="AN329" i="30294"/>
  <c r="R320" i="30294"/>
  <c r="AU335" i="30294"/>
  <c r="AM332" i="30294"/>
  <c r="W303" i="30294"/>
  <c r="AN323" i="30294"/>
  <c r="AN253" i="30294"/>
  <c r="N331" i="30294"/>
  <c r="AP310" i="30294"/>
  <c r="N259" i="30294"/>
  <c r="N260" i="30294" s="1"/>
  <c r="AL324" i="30294"/>
  <c r="Y308" i="30294"/>
  <c r="AL325" i="30294"/>
  <c r="AL245" i="30294"/>
  <c r="AL338" i="30294"/>
  <c r="R338" i="30294"/>
  <c r="Y337" i="30294"/>
  <c r="R335" i="30294"/>
  <c r="AU321" i="30294"/>
  <c r="AU319" i="30294"/>
  <c r="AM303" i="30294"/>
  <c r="AM331" i="30294"/>
  <c r="AM335" i="30294"/>
  <c r="AO339" i="30294"/>
  <c r="AO336" i="30294"/>
  <c r="AN320" i="30294"/>
  <c r="P308" i="30294"/>
  <c r="I301" i="30294"/>
  <c r="I240" i="30294"/>
  <c r="Z330" i="30294"/>
  <c r="AN308" i="30294"/>
  <c r="R247" i="30294"/>
  <c r="R315" i="30294"/>
  <c r="AM241" i="30294"/>
  <c r="AL337" i="30294"/>
  <c r="R308" i="30294"/>
  <c r="AU243" i="30294"/>
  <c r="AN249" i="30294"/>
  <c r="R253" i="30294"/>
  <c r="R250" i="30294"/>
  <c r="R269" i="30294" s="1"/>
  <c r="AL315" i="30294"/>
  <c r="AL322" i="30294"/>
  <c r="AL256" i="30294"/>
  <c r="AL257" i="30294" s="1"/>
  <c r="R322" i="30294"/>
  <c r="Y338" i="30294"/>
  <c r="Y306" i="30294"/>
  <c r="R241" i="30294"/>
  <c r="AU244" i="30294"/>
  <c r="AU325" i="30294"/>
  <c r="AU306" i="30294"/>
  <c r="L254" i="30294"/>
  <c r="AM244" i="30294"/>
  <c r="AM240" i="30294"/>
  <c r="AM259" i="30294"/>
  <c r="AM260" i="30294" s="1"/>
  <c r="AO322" i="30294"/>
  <c r="AN339" i="30294"/>
  <c r="AN244" i="30294"/>
  <c r="AN314" i="30294"/>
  <c r="AN321" i="30294"/>
  <c r="R310" i="30294"/>
  <c r="R243" i="30294"/>
  <c r="AL259" i="30294"/>
  <c r="AL260" i="30294" s="1"/>
  <c r="AO321" i="30294"/>
  <c r="R339" i="30294"/>
  <c r="R337" i="30294"/>
  <c r="R334" i="30294"/>
  <c r="AL250" i="30294"/>
  <c r="AL269" i="30294" s="1"/>
  <c r="AO314" i="30294"/>
  <c r="AL246" i="30294"/>
  <c r="AU333" i="30294"/>
  <c r="AL230" i="30294"/>
  <c r="R255" i="30294"/>
  <c r="AL316" i="30294"/>
  <c r="K19" i="30308" s="1"/>
  <c r="Y301" i="30294"/>
  <c r="R230" i="30294"/>
  <c r="Y256" i="30294"/>
  <c r="Y257" i="30294" s="1"/>
  <c r="R329" i="30294"/>
  <c r="AU339" i="30294"/>
  <c r="AU303" i="30294"/>
  <c r="AU255" i="30294"/>
  <c r="AU320" i="30294"/>
  <c r="AM324" i="30294"/>
  <c r="AM242" i="30294"/>
  <c r="AM329" i="30294"/>
  <c r="AO329" i="30294"/>
  <c r="AN338" i="30294"/>
  <c r="AN254" i="30294"/>
  <c r="AD253" i="30294"/>
  <c r="I304" i="30294"/>
  <c r="I305" i="30294" s="1"/>
  <c r="I340" i="30294"/>
  <c r="AL320" i="30294"/>
  <c r="R336" i="30294"/>
  <c r="R248" i="30294"/>
  <c r="AL306" i="30294"/>
  <c r="AL328" i="30294"/>
  <c r="AU329" i="30294"/>
  <c r="R332" i="30294"/>
  <c r="R316" i="30294"/>
  <c r="L16" i="30308" s="1"/>
  <c r="AM248" i="30294"/>
  <c r="AM239" i="30294"/>
  <c r="AL319" i="30294"/>
  <c r="R323" i="30294"/>
  <c r="AL255" i="30294"/>
  <c r="Y241" i="30294"/>
  <c r="Y340" i="30294"/>
  <c r="Y254" i="30294"/>
  <c r="AL249" i="30294"/>
  <c r="AU247" i="30294"/>
  <c r="AU328" i="30294"/>
  <c r="AU323" i="30294"/>
  <c r="AM337" i="30294"/>
  <c r="AM249" i="30294"/>
  <c r="AM319" i="30294"/>
  <c r="AM256" i="30294"/>
  <c r="AM257" i="30294" s="1"/>
  <c r="AN331" i="30294"/>
  <c r="AN250" i="30294"/>
  <c r="AN269" i="30294" s="1"/>
  <c r="I249" i="30294"/>
  <c r="I238" i="30294"/>
  <c r="AO302" i="30294"/>
  <c r="AL248" i="30294"/>
  <c r="AN325" i="30294"/>
  <c r="R340" i="30294"/>
  <c r="T306" i="30294"/>
  <c r="U310" i="30294"/>
  <c r="Q338" i="30294"/>
  <c r="Q250" i="30294"/>
  <c r="Q269" i="30294" s="1"/>
  <c r="P307" i="30294"/>
  <c r="Q245" i="30294"/>
  <c r="Q254" i="30294"/>
  <c r="Q306" i="30294"/>
  <c r="Q256" i="30294"/>
  <c r="Q257" i="30294" s="1"/>
  <c r="Q312" i="30294" s="1"/>
  <c r="P320" i="30294"/>
  <c r="P336" i="30294"/>
  <c r="T316" i="30294"/>
  <c r="N16" i="30308" s="1"/>
  <c r="Q302" i="30294"/>
  <c r="Q244" i="30294"/>
  <c r="T250" i="30294"/>
  <c r="T269" i="30294" s="1"/>
  <c r="Q329" i="30294"/>
  <c r="Q337" i="30294"/>
  <c r="P301" i="30294"/>
  <c r="Q320" i="30294"/>
  <c r="P315" i="30294"/>
  <c r="P334" i="30294"/>
  <c r="P259" i="30294"/>
  <c r="P260" i="30294" s="1"/>
  <c r="P263" i="30294"/>
  <c r="P264" i="30294" s="1"/>
  <c r="P302" i="30294"/>
  <c r="P304" i="30294"/>
  <c r="P305" i="30294" s="1"/>
  <c r="P324" i="30294"/>
  <c r="P323" i="30294"/>
  <c r="P246" i="30294"/>
  <c r="P283" i="30294" s="1"/>
  <c r="P240" i="30294"/>
  <c r="P322" i="30294"/>
  <c r="W321" i="30294"/>
  <c r="W239" i="30294"/>
  <c r="W339" i="30294"/>
  <c r="W302" i="30294"/>
  <c r="AK340" i="30294"/>
  <c r="AH240" i="30294"/>
  <c r="AH302" i="30294"/>
  <c r="AH315" i="30294"/>
  <c r="AH334" i="30294"/>
  <c r="AH314" i="30294"/>
  <c r="AH245" i="30294"/>
  <c r="AH321" i="30294"/>
  <c r="AH306" i="30294"/>
  <c r="AH256" i="30294"/>
  <c r="AH257" i="30294" s="1"/>
  <c r="AH312" i="30294" s="1"/>
  <c r="AO335" i="30294"/>
  <c r="AA253" i="30294"/>
  <c r="AH255" i="30294"/>
  <c r="AA237" i="30294"/>
  <c r="AA332" i="30294"/>
  <c r="AH244" i="30294"/>
  <c r="AH336" i="30294"/>
  <c r="AH253" i="30294"/>
  <c r="AO254" i="30294"/>
  <c r="AA243" i="30294"/>
  <c r="AH339" i="30294"/>
  <c r="AH328" i="30294"/>
  <c r="AO308" i="30294"/>
  <c r="T263" i="30294"/>
  <c r="T264" i="30294" s="1"/>
  <c r="AH247" i="30294"/>
  <c r="AH322" i="30294"/>
  <c r="L303" i="30294"/>
  <c r="U249" i="30294"/>
  <c r="W301" i="30294"/>
  <c r="W241" i="30294"/>
  <c r="I334" i="30294"/>
  <c r="I245" i="30294"/>
  <c r="K333" i="30294"/>
  <c r="J320" i="30294"/>
  <c r="L247" i="30294"/>
  <c r="U331" i="30294"/>
  <c r="U324" i="30294"/>
  <c r="L259" i="30294"/>
  <c r="L260" i="30294" s="1"/>
  <c r="W319" i="30294"/>
  <c r="W255" i="30294"/>
  <c r="I303" i="30294"/>
  <c r="I328" i="30294"/>
  <c r="I306" i="30294"/>
  <c r="K334" i="30294"/>
  <c r="K242" i="30294"/>
  <c r="J319" i="30294"/>
  <c r="J237" i="30294"/>
  <c r="AW306" i="30294"/>
  <c r="J336" i="30294"/>
  <c r="AP340" i="30294"/>
  <c r="AW322" i="30294"/>
  <c r="AW339" i="30294"/>
  <c r="AB316" i="30294"/>
  <c r="O17" i="30308" s="1"/>
  <c r="AW244" i="30294"/>
  <c r="L245" i="30294"/>
  <c r="Q331" i="30294"/>
  <c r="U332" i="30294"/>
  <c r="U316" i="30294"/>
  <c r="O16" i="30308" s="1"/>
  <c r="AF339" i="30294"/>
  <c r="L320" i="30294"/>
  <c r="AH239" i="30294"/>
  <c r="W304" i="30294"/>
  <c r="W305" i="30294" s="1"/>
  <c r="W250" i="30294"/>
  <c r="W269" i="30294" s="1"/>
  <c r="I324" i="30294"/>
  <c r="I315" i="30294"/>
  <c r="I248" i="30294"/>
  <c r="I316" i="30294"/>
  <c r="M301" i="30294"/>
  <c r="AA334" i="30294"/>
  <c r="AN247" i="30294"/>
  <c r="K241" i="30294"/>
  <c r="J242" i="30294"/>
  <c r="J335" i="30294"/>
  <c r="AP333" i="30294"/>
  <c r="AB308" i="30294"/>
  <c r="AW337" i="30294"/>
  <c r="J315" i="30294"/>
  <c r="J241" i="30294"/>
  <c r="AP237" i="30294"/>
  <c r="N238" i="30294"/>
  <c r="AW334" i="30294"/>
  <c r="AB303" i="30294"/>
  <c r="AB245" i="30294"/>
  <c r="AW303" i="30294"/>
  <c r="AW230" i="30294"/>
  <c r="Y331" i="30294"/>
  <c r="Y339" i="30294"/>
  <c r="AU315" i="30294"/>
  <c r="AU237" i="30294"/>
  <c r="AU250" i="30294"/>
  <c r="AU269" i="30294" s="1"/>
  <c r="Q301" i="30294"/>
  <c r="L306" i="30294"/>
  <c r="AH332" i="30294"/>
  <c r="Q335" i="30294"/>
  <c r="L333" i="30294"/>
  <c r="U230" i="30294"/>
  <c r="U328" i="30294"/>
  <c r="AF303" i="30294"/>
  <c r="AH242" i="30294"/>
  <c r="W337" i="30294"/>
  <c r="W254" i="30294"/>
  <c r="AD237" i="30294"/>
  <c r="I253" i="30294"/>
  <c r="I322" i="30294"/>
  <c r="I310" i="30294"/>
  <c r="I256" i="30294"/>
  <c r="I257" i="30294" s="1"/>
  <c r="AO310" i="30294"/>
  <c r="AA242" i="30294"/>
  <c r="AN307" i="30294"/>
  <c r="AV334" i="30294"/>
  <c r="AV337" i="30294"/>
  <c r="K319" i="30294"/>
  <c r="K328" i="30294"/>
  <c r="K259" i="30294"/>
  <c r="K260" i="30294" s="1"/>
  <c r="L329" i="30294"/>
  <c r="L238" i="30294"/>
  <c r="U321" i="30294"/>
  <c r="U255" i="30294"/>
  <c r="K320" i="30294"/>
  <c r="K247" i="30294"/>
  <c r="K336" i="30294"/>
  <c r="K239" i="30294"/>
  <c r="K324" i="30294"/>
  <c r="K332" i="30294"/>
  <c r="K263" i="30294"/>
  <c r="K264" i="30294" s="1"/>
  <c r="K301" i="30294"/>
  <c r="L321" i="30294"/>
  <c r="L256" i="30294"/>
  <c r="L257" i="30294" s="1"/>
  <c r="U338" i="30294"/>
  <c r="U306" i="30294"/>
  <c r="W322" i="30294"/>
  <c r="AT308" i="30294"/>
  <c r="AW249" i="30294"/>
  <c r="L335" i="30294"/>
  <c r="L246" i="30294"/>
  <c r="U315" i="30294"/>
  <c r="U323" i="30294"/>
  <c r="AT307" i="30294"/>
  <c r="L337" i="30294"/>
  <c r="U340" i="30294"/>
  <c r="U256" i="30294"/>
  <c r="U257" i="30294" s="1"/>
  <c r="U312" i="30294" s="1"/>
  <c r="W243" i="30294"/>
  <c r="W340" i="30294"/>
  <c r="I333" i="30294"/>
  <c r="K310" i="30294"/>
  <c r="J255" i="30294"/>
  <c r="AW307" i="30294"/>
  <c r="L230" i="30294"/>
  <c r="L308" i="30294"/>
  <c r="L319" i="30294"/>
  <c r="U248" i="30294"/>
  <c r="U301" i="30294"/>
  <c r="U246" i="30294"/>
  <c r="W335" i="30294"/>
  <c r="W259" i="30294"/>
  <c r="W260" i="30294" s="1"/>
  <c r="I339" i="30294"/>
  <c r="I237" i="30294"/>
  <c r="AV304" i="30294"/>
  <c r="AV305" i="30294" s="1"/>
  <c r="K248" i="30294"/>
  <c r="K303" i="30294"/>
  <c r="J303" i="30294"/>
  <c r="AP249" i="30294"/>
  <c r="J310" i="30294"/>
  <c r="AP321" i="30294"/>
  <c r="AB239" i="30294"/>
  <c r="J250" i="30294"/>
  <c r="J269" i="30294" s="1"/>
  <c r="J325" i="30294"/>
  <c r="AP338" i="30294"/>
  <c r="T323" i="30294"/>
  <c r="AT254" i="30294"/>
  <c r="AW302" i="30294"/>
  <c r="Y323" i="30294"/>
  <c r="AU304" i="30294"/>
  <c r="AU305" i="30294" s="1"/>
  <c r="AU238" i="30294"/>
  <c r="L339" i="30294"/>
  <c r="L239" i="30294"/>
  <c r="L328" i="30294"/>
  <c r="Q238" i="30294"/>
  <c r="Q323" i="30294"/>
  <c r="U303" i="30294"/>
  <c r="U240" i="30294"/>
  <c r="AH308" i="30294"/>
  <c r="AF306" i="30294"/>
  <c r="AH254" i="30294"/>
  <c r="W320" i="30294"/>
  <c r="W248" i="30294"/>
  <c r="I319" i="30294"/>
  <c r="I242" i="30294"/>
  <c r="I244" i="30294"/>
  <c r="I254" i="30294"/>
  <c r="AA249" i="30294"/>
  <c r="AL332" i="30294"/>
  <c r="AN319" i="30294"/>
  <c r="K304" i="30294"/>
  <c r="K305" i="30294" s="1"/>
  <c r="K331" i="30294"/>
  <c r="K335" i="30294"/>
  <c r="K325" i="30294"/>
  <c r="J263" i="30294"/>
  <c r="J264" i="30294" s="1"/>
  <c r="AT238" i="30294"/>
  <c r="J329" i="30294"/>
  <c r="J339" i="30294"/>
  <c r="AP263" i="30294"/>
  <c r="AP264" i="30294" s="1"/>
  <c r="T246" i="30294"/>
  <c r="T283" i="30294" s="1"/>
  <c r="AW325" i="30294"/>
  <c r="AW256" i="30294"/>
  <c r="AW257" i="30294" s="1"/>
  <c r="AW312" i="30294" s="1"/>
  <c r="AW320" i="30294"/>
  <c r="AW243" i="30294"/>
  <c r="AU242" i="30294"/>
  <c r="AU254" i="30294"/>
  <c r="L336" i="30294"/>
  <c r="L244" i="30294"/>
  <c r="Q248" i="30294"/>
  <c r="Q316" i="30294"/>
  <c r="K16" i="30308" s="1"/>
  <c r="U304" i="30294"/>
  <c r="U305" i="30294" s="1"/>
  <c r="U320" i="30294"/>
  <c r="AH230" i="30294"/>
  <c r="AH338" i="30294"/>
  <c r="AH323" i="30294"/>
  <c r="W244" i="30294"/>
  <c r="W310" i="30294"/>
  <c r="AD303" i="30294"/>
  <c r="P333" i="30294"/>
  <c r="I330" i="30294"/>
  <c r="I314" i="30294"/>
  <c r="I338" i="30294"/>
  <c r="I323" i="30294"/>
  <c r="AO248" i="30294"/>
  <c r="Z328" i="30294"/>
  <c r="AA338" i="30294"/>
  <c r="K337" i="30294"/>
  <c r="K302" i="30294"/>
  <c r="K338" i="30294"/>
  <c r="K237" i="30294"/>
  <c r="AT339" i="30294"/>
  <c r="AW310" i="30294"/>
  <c r="AW238" i="30294"/>
  <c r="AU336" i="30294"/>
  <c r="AR308" i="30294"/>
  <c r="AW259" i="30294"/>
  <c r="AW260" i="30294" s="1"/>
  <c r="AW330" i="30294"/>
  <c r="AW245" i="30294"/>
  <c r="AW237" i="30294"/>
  <c r="AU322" i="30294"/>
  <c r="AR241" i="30294"/>
  <c r="AW321" i="30294"/>
  <c r="AW250" i="30294"/>
  <c r="AW269" i="30294" s="1"/>
  <c r="AU307" i="30294"/>
  <c r="AR307" i="30294"/>
  <c r="AT321" i="30294"/>
  <c r="AR315" i="30294"/>
  <c r="AU332" i="30294"/>
  <c r="AT328" i="30294"/>
  <c r="AT302" i="30294"/>
  <c r="AT340" i="30294"/>
  <c r="AW314" i="30294"/>
  <c r="AW336" i="30294"/>
  <c r="AW255" i="30294"/>
  <c r="AU331" i="30294"/>
  <c r="AV301" i="30294"/>
  <c r="AV259" i="30294"/>
  <c r="AV260" i="30294" s="1"/>
  <c r="AV315" i="30294"/>
  <c r="AV339" i="30294"/>
  <c r="AV237" i="30294"/>
  <c r="AV307" i="30294"/>
  <c r="AP247" i="30294"/>
  <c r="AP316" i="30294"/>
  <c r="O19" i="30308" s="1"/>
  <c r="AP254" i="30294"/>
  <c r="AF238" i="30294"/>
  <c r="AD315" i="30294"/>
  <c r="AK328" i="30294"/>
  <c r="AK263" i="30294"/>
  <c r="AK264" i="30294" s="1"/>
  <c r="AK329" i="30294"/>
  <c r="AK256" i="30294"/>
  <c r="AK257" i="30294" s="1"/>
  <c r="AK312" i="30294" s="1"/>
  <c r="AO256" i="30294"/>
  <c r="AO257" i="30294" s="1"/>
  <c r="AO312" i="30294" s="1"/>
  <c r="AL243" i="30294"/>
  <c r="AP306" i="30294"/>
  <c r="AP230" i="30294"/>
  <c r="AP303" i="30294"/>
  <c r="AP246" i="30294"/>
  <c r="AP283" i="30294" s="1"/>
  <c r="AF242" i="30294"/>
  <c r="AF255" i="30294"/>
  <c r="AH329" i="30294"/>
  <c r="AM325" i="30294"/>
  <c r="AM245" i="30294"/>
  <c r="AK319" i="30294"/>
  <c r="AK247" i="30294"/>
  <c r="AK244" i="30294"/>
  <c r="AO306" i="30294"/>
  <c r="AH335" i="30294"/>
  <c r="AP242" i="30294"/>
  <c r="AP248" i="30294"/>
  <c r="AE322" i="30294"/>
  <c r="AE230" i="30294"/>
  <c r="AF243" i="30294"/>
  <c r="AF241" i="30294"/>
  <c r="AF256" i="30294"/>
  <c r="AF257" i="30294" s="1"/>
  <c r="AH237" i="30294"/>
  <c r="AM339" i="30294"/>
  <c r="AH303" i="30294"/>
  <c r="AD320" i="30294"/>
  <c r="AK315" i="30294"/>
  <c r="AK324" i="30294"/>
  <c r="AK250" i="30294"/>
  <c r="AK269" i="30294" s="1"/>
  <c r="AO337" i="30294"/>
  <c r="AL334" i="30294"/>
  <c r="AL310" i="30294"/>
  <c r="AK336" i="30294"/>
  <c r="AK334" i="30294"/>
  <c r="AE303" i="30294"/>
  <c r="AF330" i="30294"/>
  <c r="AF254" i="30294"/>
  <c r="AK332" i="30294"/>
  <c r="AK304" i="30294"/>
  <c r="AK305" i="30294" s="1"/>
  <c r="AK330" i="30294"/>
  <c r="AL301" i="30294"/>
  <c r="AE238" i="30294"/>
  <c r="AF331" i="30294"/>
  <c r="AF323" i="30294"/>
  <c r="AD250" i="30294"/>
  <c r="AD269" i="30294" s="1"/>
  <c r="AK241" i="30294"/>
  <c r="AK335" i="30294"/>
  <c r="AK301" i="30294"/>
  <c r="AO338" i="30294"/>
  <c r="AL340" i="30294"/>
  <c r="AN334" i="30294"/>
  <c r="AN303" i="30294"/>
  <c r="AN237" i="30294"/>
  <c r="AN332" i="30294"/>
  <c r="AN340" i="30294"/>
  <c r="AN243" i="30294"/>
  <c r="AN239" i="30294"/>
  <c r="AN324" i="30294"/>
  <c r="AN315" i="30294"/>
  <c r="AE316" i="30294"/>
  <c r="K18" i="30308" s="1"/>
  <c r="AF321" i="30294"/>
  <c r="AF246" i="30294"/>
  <c r="AF283" i="30294" s="1"/>
  <c r="AK242" i="30294"/>
  <c r="AK230" i="30294"/>
  <c r="AK255" i="30294"/>
  <c r="AL336" i="30294"/>
  <c r="AL239" i="30294"/>
  <c r="AL339" i="30294"/>
  <c r="AL240" i="30294"/>
  <c r="AL308" i="30294"/>
  <c r="AL302" i="30294"/>
  <c r="AE245" i="30294"/>
  <c r="AK259" i="30294"/>
  <c r="AK260" i="30294" s="1"/>
  <c r="AK314" i="30294"/>
  <c r="AK254" i="30294"/>
  <c r="AE255" i="30294"/>
  <c r="AF304" i="30294"/>
  <c r="AF305" i="30294" s="1"/>
  <c r="AK337" i="30294"/>
  <c r="AK243" i="30294"/>
  <c r="AK246" i="30294"/>
  <c r="AK283" i="30294" s="1"/>
  <c r="AP243" i="30294"/>
  <c r="AF247" i="30294"/>
  <c r="AK333" i="30294"/>
  <c r="AK321" i="30294"/>
  <c r="AK316" i="30294"/>
  <c r="J19" i="30308" s="1"/>
  <c r="AL303" i="30294"/>
  <c r="AP320" i="30294"/>
  <c r="AE246" i="30294"/>
  <c r="AP245" i="30294"/>
  <c r="AP302" i="30294"/>
  <c r="AP334" i="30294"/>
  <c r="AP308" i="30294"/>
  <c r="AF337" i="30294"/>
  <c r="AE323" i="30294"/>
  <c r="AH310" i="30294"/>
  <c r="AF248" i="30294"/>
  <c r="AH248" i="30294"/>
  <c r="AM243" i="30294"/>
  <c r="AM323" i="30294"/>
  <c r="AF263" i="30294"/>
  <c r="AF264" i="30294" s="1"/>
  <c r="AD340" i="30294"/>
  <c r="AK240" i="30294"/>
  <c r="AK249" i="30294"/>
  <c r="AK308" i="30294"/>
  <c r="AK323" i="30294"/>
  <c r="AO304" i="30294"/>
  <c r="AO305" i="30294" s="1"/>
  <c r="AL321" i="30294"/>
  <c r="AL242" i="30294"/>
  <c r="AL241" i="30294"/>
  <c r="AN301" i="30294"/>
  <c r="X242" i="30294"/>
  <c r="AA329" i="30294"/>
  <c r="Z334" i="30294"/>
  <c r="AB240" i="30294"/>
  <c r="AB304" i="30294"/>
  <c r="AB305" i="30294" s="1"/>
  <c r="Y230" i="30294"/>
  <c r="Y250" i="30294"/>
  <c r="Y269" i="30294" s="1"/>
  <c r="W331" i="30294"/>
  <c r="W256" i="30294"/>
  <c r="W257" i="30294" s="1"/>
  <c r="W312" i="30294" s="1"/>
  <c r="Z323" i="30294"/>
  <c r="AA239" i="30294"/>
  <c r="AB335" i="30294"/>
  <c r="W238" i="30294"/>
  <c r="AA328" i="30294"/>
  <c r="AA230" i="30294"/>
  <c r="AA325" i="30294"/>
  <c r="AB249" i="30294"/>
  <c r="AA324" i="30294"/>
  <c r="AB329" i="30294"/>
  <c r="AB307" i="30294"/>
  <c r="X338" i="30294"/>
  <c r="W253" i="30294"/>
  <c r="Z337" i="30294"/>
  <c r="AA259" i="30294"/>
  <c r="AA260" i="30294" s="1"/>
  <c r="AA302" i="30294"/>
  <c r="AA315" i="30294"/>
  <c r="AA331" i="30294"/>
  <c r="AA307" i="30294"/>
  <c r="AA319" i="30294"/>
  <c r="AB323" i="30294"/>
  <c r="Y302" i="30294"/>
  <c r="W334" i="30294"/>
  <c r="W307" i="30294"/>
  <c r="Z230" i="30294"/>
  <c r="AA244" i="30294"/>
  <c r="AA336" i="30294"/>
  <c r="X306" i="30294"/>
  <c r="X329" i="30294"/>
  <c r="X328" i="30294"/>
  <c r="X307" i="30294"/>
  <c r="X256" i="30294"/>
  <c r="X257" i="30294" s="1"/>
  <c r="X332" i="30294"/>
  <c r="X324" i="30294"/>
  <c r="X340" i="30294"/>
  <c r="X239" i="30294"/>
  <c r="X245" i="30294"/>
  <c r="X244" i="30294"/>
  <c r="X253" i="30294"/>
  <c r="X319" i="30294"/>
  <c r="X255" i="30294"/>
  <c r="X263" i="30294"/>
  <c r="X264" i="30294" s="1"/>
  <c r="X247" i="30294"/>
  <c r="X315" i="30294"/>
  <c r="X331" i="30294"/>
  <c r="X240" i="30294"/>
  <c r="X259" i="30294"/>
  <c r="X260" i="30294" s="1"/>
  <c r="X322" i="30294"/>
  <c r="X323" i="30294"/>
  <c r="X334" i="30294"/>
  <c r="X325" i="30294"/>
  <c r="X339" i="30294"/>
  <c r="X254" i="30294"/>
  <c r="X308" i="30294"/>
  <c r="X321" i="30294"/>
  <c r="X316" i="30294"/>
  <c r="K17" i="30308" s="1"/>
  <c r="X335" i="30294"/>
  <c r="X337" i="30294"/>
  <c r="X301" i="30294"/>
  <c r="J330" i="30294"/>
  <c r="J249" i="30294"/>
  <c r="J324" i="30294"/>
  <c r="J314" i="30294"/>
  <c r="J307" i="30294"/>
  <c r="J239" i="30294"/>
  <c r="J340" i="30294"/>
  <c r="J316" i="30294"/>
  <c r="K15" i="30308" s="1"/>
  <c r="J306" i="30294"/>
  <c r="J238" i="30294"/>
  <c r="J308" i="30294"/>
  <c r="J230" i="30294"/>
  <c r="J333" i="30294"/>
  <c r="J322" i="30294"/>
  <c r="J304" i="30294"/>
  <c r="J305" i="30294" s="1"/>
  <c r="J248" i="30294"/>
  <c r="J332" i="30294"/>
  <c r="AP315" i="30294"/>
  <c r="AP255" i="30294"/>
  <c r="X304" i="30294"/>
  <c r="X305" i="30294" s="1"/>
  <c r="J323" i="30294"/>
  <c r="AP241" i="30294"/>
  <c r="AP307" i="30294"/>
  <c r="AP325" i="30294"/>
  <c r="T241" i="30294"/>
  <c r="AB259" i="30294"/>
  <c r="AB260" i="30294" s="1"/>
  <c r="AT250" i="30294"/>
  <c r="AT269" i="30294" s="1"/>
  <c r="AT240" i="30294"/>
  <c r="J337" i="30294"/>
  <c r="J245" i="30294"/>
  <c r="J253" i="30294"/>
  <c r="J259" i="30294"/>
  <c r="J260" i="30294" s="1"/>
  <c r="N308" i="30294"/>
  <c r="AP339" i="30294"/>
  <c r="AP322" i="30294"/>
  <c r="AP324" i="30294"/>
  <c r="AP304" i="30294"/>
  <c r="AP305" i="30294" s="1"/>
  <c r="AP256" i="30294"/>
  <c r="AP257" i="30294" s="1"/>
  <c r="N239" i="30294"/>
  <c r="N254" i="30294"/>
  <c r="T230" i="30294"/>
  <c r="AT329" i="30294"/>
  <c r="AB315" i="30294"/>
  <c r="AB255" i="30294"/>
  <c r="AT256" i="30294"/>
  <c r="AT257" i="30294" s="1"/>
  <c r="AT263" i="30294"/>
  <c r="AT264" i="30294" s="1"/>
  <c r="AW340" i="30294"/>
  <c r="Y321" i="30294"/>
  <c r="Y316" i="30294"/>
  <c r="L17" i="30308" s="1"/>
  <c r="AE331" i="30294"/>
  <c r="X333" i="30294"/>
  <c r="L302" i="30294"/>
  <c r="U325" i="30294"/>
  <c r="U322" i="30294"/>
  <c r="U263" i="30294"/>
  <c r="U264" i="30294" s="1"/>
  <c r="AE249" i="30294"/>
  <c r="X248" i="30294"/>
  <c r="M315" i="30294"/>
  <c r="M337" i="30294"/>
  <c r="M241" i="30294"/>
  <c r="M239" i="30294"/>
  <c r="M244" i="30294"/>
  <c r="M259" i="30294"/>
  <c r="M260" i="30294" s="1"/>
  <c r="M253" i="30294"/>
  <c r="M240" i="30294"/>
  <c r="M230" i="30294"/>
  <c r="M335" i="30294"/>
  <c r="M338" i="30294"/>
  <c r="M340" i="30294"/>
  <c r="M325" i="30294"/>
  <c r="M303" i="30294"/>
  <c r="M237" i="30294"/>
  <c r="M304" i="30294"/>
  <c r="M305" i="30294" s="1"/>
  <c r="M248" i="30294"/>
  <c r="M333" i="30294"/>
  <c r="M322" i="30294"/>
  <c r="M306" i="30294"/>
  <c r="M332" i="30294"/>
  <c r="M331" i="30294"/>
  <c r="M255" i="30294"/>
  <c r="M310" i="30294"/>
  <c r="M254" i="30294"/>
  <c r="M302" i="30294"/>
  <c r="M245" i="30294"/>
  <c r="M243" i="30294"/>
  <c r="M329" i="30294"/>
  <c r="M249" i="30294"/>
  <c r="M330" i="30294"/>
  <c r="M339" i="30294"/>
  <c r="M308" i="30294"/>
  <c r="M319" i="30294"/>
  <c r="M238" i="30294"/>
  <c r="M314" i="30294"/>
  <c r="M324" i="30294"/>
  <c r="M323" i="30294"/>
  <c r="M320" i="30294"/>
  <c r="M307" i="30294"/>
  <c r="M256" i="30294"/>
  <c r="M257" i="30294" s="1"/>
  <c r="M263" i="30294"/>
  <c r="M264" i="30294" s="1"/>
  <c r="M247" i="30294"/>
  <c r="M242" i="30294"/>
  <c r="M250" i="30294"/>
  <c r="M269" i="30294" s="1"/>
  <c r="M321" i="30294"/>
  <c r="M334" i="30294"/>
  <c r="AT322" i="30294"/>
  <c r="AT306" i="30294"/>
  <c r="AE237" i="30294"/>
  <c r="X330" i="30294"/>
  <c r="AE254" i="30294"/>
  <c r="AP332" i="30294"/>
  <c r="AP240" i="30294"/>
  <c r="AP331" i="30294"/>
  <c r="N241" i="30294"/>
  <c r="N316" i="30294"/>
  <c r="O15" i="30308" s="1"/>
  <c r="N302" i="30294"/>
  <c r="N240" i="30294"/>
  <c r="N325" i="30294"/>
  <c r="N263" i="30294"/>
  <c r="N264" i="30294" s="1"/>
  <c r="N301" i="30294"/>
  <c r="N333" i="30294"/>
  <c r="N319" i="30294"/>
  <c r="N310" i="30294"/>
  <c r="N248" i="30294"/>
  <c r="N253" i="30294"/>
  <c r="N340" i="30294"/>
  <c r="N320" i="30294"/>
  <c r="N304" i="30294"/>
  <c r="N305" i="30294" s="1"/>
  <c r="N330" i="30294"/>
  <c r="N332" i="30294"/>
  <c r="N328" i="30294"/>
  <c r="N336" i="30294"/>
  <c r="T256" i="30294"/>
  <c r="T257" i="30294" s="1"/>
  <c r="AB253" i="30294"/>
  <c r="AT241" i="30294"/>
  <c r="AT246" i="30294"/>
  <c r="AT283" i="30294" s="1"/>
  <c r="AE321" i="30294"/>
  <c r="X230" i="30294"/>
  <c r="AR230" i="30294"/>
  <c r="M316" i="30294"/>
  <c r="N15" i="30308" s="1"/>
  <c r="AT239" i="30294"/>
  <c r="AT335" i="30294"/>
  <c r="AT242" i="30294"/>
  <c r="AT247" i="30294"/>
  <c r="AT244" i="30294"/>
  <c r="AT324" i="30294"/>
  <c r="AT332" i="30294"/>
  <c r="AT331" i="30294"/>
  <c r="AT248" i="30294"/>
  <c r="AT259" i="30294"/>
  <c r="AT260" i="30294" s="1"/>
  <c r="AT337" i="30294"/>
  <c r="AT319" i="30294"/>
  <c r="AT237" i="30294"/>
  <c r="AT255" i="30294"/>
  <c r="AT230" i="30294"/>
  <c r="AT315" i="30294"/>
  <c r="AT243" i="30294"/>
  <c r="AB331" i="30294"/>
  <c r="AB302" i="30294"/>
  <c r="AB321" i="30294"/>
  <c r="AB243" i="30294"/>
  <c r="AB339" i="30294"/>
  <c r="AB330" i="30294"/>
  <c r="AB334" i="30294"/>
  <c r="AB320" i="30294"/>
  <c r="AB325" i="30294"/>
  <c r="AB324" i="30294"/>
  <c r="AB336" i="30294"/>
  <c r="AB338" i="30294"/>
  <c r="AB306" i="30294"/>
  <c r="AB328" i="30294"/>
  <c r="AB340" i="30294"/>
  <c r="AT303" i="30294"/>
  <c r="AT325" i="30294"/>
  <c r="AT249" i="30294"/>
  <c r="AB322" i="30294"/>
  <c r="AE330" i="30294"/>
  <c r="X303" i="30294"/>
  <c r="X310" i="30294"/>
  <c r="M246" i="30294"/>
  <c r="M283" i="30294" s="1"/>
  <c r="AP239" i="30294"/>
  <c r="AP330" i="30294"/>
  <c r="AP238" i="30294"/>
  <c r="AP336" i="30294"/>
  <c r="J256" i="30294"/>
  <c r="J257" i="30294" s="1"/>
  <c r="J246" i="30294"/>
  <c r="J283" i="30294" s="1"/>
  <c r="AP253" i="30294"/>
  <c r="AP259" i="30294"/>
  <c r="AP260" i="30294" s="1"/>
  <c r="AP329" i="30294"/>
  <c r="AP323" i="30294"/>
  <c r="N246" i="30294"/>
  <c r="N283" i="30294" s="1"/>
  <c r="T245" i="30294"/>
  <c r="AT330" i="30294"/>
  <c r="AB333" i="30294"/>
  <c r="AB237" i="30294"/>
  <c r="AW239" i="30294"/>
  <c r="AW247" i="30294"/>
  <c r="AW331" i="30294"/>
  <c r="AW301" i="30294"/>
  <c r="AW333" i="30294"/>
  <c r="AW338" i="30294"/>
  <c r="AW328" i="30294"/>
  <c r="AW335" i="30294"/>
  <c r="AW315" i="30294"/>
  <c r="AW308" i="30294"/>
  <c r="AW332" i="30294"/>
  <c r="AW323" i="30294"/>
  <c r="AW319" i="30294"/>
  <c r="AW329" i="30294"/>
  <c r="AW240" i="30294"/>
  <c r="AB242" i="30294"/>
  <c r="AT320" i="30294"/>
  <c r="AT314" i="30294"/>
  <c r="AT338" i="30294"/>
  <c r="AB244" i="30294"/>
  <c r="AT301" i="30294"/>
  <c r="Y330" i="30294"/>
  <c r="Y333" i="30294"/>
  <c r="Y336" i="30294"/>
  <c r="Y324" i="30294"/>
  <c r="Y248" i="30294"/>
  <c r="Y303" i="30294"/>
  <c r="Y304" i="30294"/>
  <c r="Y305" i="30294" s="1"/>
  <c r="Y319" i="30294"/>
  <c r="Y255" i="30294"/>
  <c r="Y263" i="30294"/>
  <c r="Y264" i="30294" s="1"/>
  <c r="Y328" i="30294"/>
  <c r="Y242" i="30294"/>
  <c r="AT323" i="30294"/>
  <c r="L301" i="30294"/>
  <c r="L334" i="30294"/>
  <c r="L307" i="30294"/>
  <c r="L253" i="30294"/>
  <c r="L314" i="30294"/>
  <c r="L331" i="30294"/>
  <c r="L338" i="30294"/>
  <c r="L324" i="30294"/>
  <c r="L242" i="30294"/>
  <c r="L304" i="30294"/>
  <c r="L305" i="30294" s="1"/>
  <c r="L263" i="30294"/>
  <c r="L264" i="30294" s="1"/>
  <c r="L241" i="30294"/>
  <c r="L325" i="30294"/>
  <c r="L340" i="30294"/>
  <c r="L237" i="30294"/>
  <c r="L240" i="30294"/>
  <c r="L332" i="30294"/>
  <c r="L310" i="30294"/>
  <c r="L322" i="30294"/>
  <c r="L315" i="30294"/>
  <c r="L323" i="30294"/>
  <c r="L316" i="30294"/>
  <c r="M15" i="30308" s="1"/>
  <c r="L255" i="30294"/>
  <c r="L243" i="30294"/>
  <c r="L330" i="30294"/>
  <c r="L249" i="30294"/>
  <c r="U319" i="30294"/>
  <c r="U238" i="30294"/>
  <c r="U253" i="30294"/>
  <c r="U242" i="30294"/>
  <c r="U307" i="30294"/>
  <c r="U250" i="30294"/>
  <c r="U269" i="30294" s="1"/>
  <c r="U247" i="30294"/>
  <c r="U330" i="30294"/>
  <c r="U237" i="30294"/>
  <c r="U245" i="30294"/>
  <c r="U308" i="30294"/>
  <c r="U334" i="30294"/>
  <c r="U244" i="30294"/>
  <c r="U259" i="30294"/>
  <c r="U260" i="30294" s="1"/>
  <c r="U339" i="30294"/>
  <c r="X237" i="30294"/>
  <c r="X314" i="30294"/>
  <c r="X320" i="30294"/>
  <c r="AR330" i="30294"/>
  <c r="M336" i="30294"/>
  <c r="AP319" i="30294"/>
  <c r="AB248" i="30294"/>
  <c r="AB238" i="30294"/>
  <c r="AB319" i="30294"/>
  <c r="AT304" i="30294"/>
  <c r="AT305" i="30294" s="1"/>
  <c r="AE335" i="30294"/>
  <c r="AE253" i="30294"/>
  <c r="AE247" i="30294"/>
  <c r="AE308" i="30294"/>
  <c r="AE315" i="30294"/>
  <c r="AE319" i="30294"/>
  <c r="AE324" i="30294"/>
  <c r="AE239" i="30294"/>
  <c r="AE310" i="30294"/>
  <c r="AE304" i="30294"/>
  <c r="AE305" i="30294" s="1"/>
  <c r="AE340" i="30294"/>
  <c r="AE248" i="30294"/>
  <c r="AE240" i="30294"/>
  <c r="AE329" i="30294"/>
  <c r="AE338" i="30294"/>
  <c r="AE332" i="30294"/>
  <c r="AE241" i="30294"/>
  <c r="AE320" i="30294"/>
  <c r="AE302" i="30294"/>
  <c r="AE263" i="30294"/>
  <c r="AE264" i="30294" s="1"/>
  <c r="AE242" i="30294"/>
  <c r="AE259" i="30294"/>
  <c r="AE260" i="30294" s="1"/>
  <c r="AE243" i="30294"/>
  <c r="AE339" i="30294"/>
  <c r="AE328" i="30294"/>
  <c r="AE301" i="30294"/>
  <c r="AE337" i="30294"/>
  <c r="AE325" i="30294"/>
  <c r="AE336" i="30294"/>
  <c r="AE250" i="30294"/>
  <c r="AE269" i="30294" s="1"/>
  <c r="AE306" i="30294"/>
  <c r="AE256" i="30294"/>
  <c r="AE257" i="30294" s="1"/>
  <c r="AE333" i="30294"/>
  <c r="U335" i="30294"/>
  <c r="U336" i="30294"/>
  <c r="U239" i="30294"/>
  <c r="X243" i="30294"/>
  <c r="X238" i="30294"/>
  <c r="T259" i="30294"/>
  <c r="T260" i="30294" s="1"/>
  <c r="T310" i="30294"/>
  <c r="T325" i="30294"/>
  <c r="T249" i="30294"/>
  <c r="T334" i="30294"/>
  <c r="T333" i="30294"/>
  <c r="T319" i="30294"/>
  <c r="T301" i="30294"/>
  <c r="T331" i="30294"/>
  <c r="T307" i="30294"/>
  <c r="T253" i="30294"/>
  <c r="T330" i="30294"/>
  <c r="T315" i="30294"/>
  <c r="T314" i="30294"/>
  <c r="T336" i="30294"/>
  <c r="T240" i="30294"/>
  <c r="T337" i="30294"/>
  <c r="T321" i="30294"/>
  <c r="T302" i="30294"/>
  <c r="T340" i="30294"/>
  <c r="T338" i="30294"/>
  <c r="T243" i="30294"/>
  <c r="T335" i="30294"/>
  <c r="T329" i="30294"/>
  <c r="T237" i="30294"/>
  <c r="T304" i="30294"/>
  <c r="T305" i="30294" s="1"/>
  <c r="T322" i="30294"/>
  <c r="T247" i="30294"/>
  <c r="T242" i="30294"/>
  <c r="T339" i="30294"/>
  <c r="T303" i="30294"/>
  <c r="T328" i="30294"/>
  <c r="T248" i="30294"/>
  <c r="T320" i="30294"/>
  <c r="T244" i="30294"/>
  <c r="T324" i="30294"/>
  <c r="T239" i="30294"/>
  <c r="T332" i="30294"/>
  <c r="T254" i="30294"/>
  <c r="AB301" i="30294"/>
  <c r="AT310" i="30294"/>
  <c r="X241" i="30294"/>
  <c r="AE307" i="30294"/>
  <c r="U314" i="30294"/>
  <c r="U333" i="30294"/>
  <c r="U241" i="30294"/>
  <c r="X336" i="30294"/>
  <c r="X250" i="30294"/>
  <c r="X269" i="30294" s="1"/>
  <c r="AR239" i="30294"/>
  <c r="AR254" i="30294"/>
  <c r="AR259" i="30294"/>
  <c r="AR260" i="30294" s="1"/>
  <c r="AR302" i="30294"/>
  <c r="AR310" i="30294"/>
  <c r="AR256" i="30294"/>
  <c r="AR257" i="30294" s="1"/>
  <c r="AR332" i="30294"/>
  <c r="AR242" i="30294"/>
  <c r="AR263" i="30294"/>
  <c r="AR264" i="30294" s="1"/>
  <c r="AR250" i="30294"/>
  <c r="AR269" i="30294" s="1"/>
  <c r="AR243" i="30294"/>
  <c r="AR333" i="30294"/>
  <c r="AR320" i="30294"/>
  <c r="AR238" i="30294"/>
  <c r="AR321" i="30294"/>
  <c r="AR336" i="30294"/>
  <c r="AR339" i="30294"/>
  <c r="AR329" i="30294"/>
  <c r="AR244" i="30294"/>
  <c r="AR301" i="30294"/>
  <c r="AR255" i="30294"/>
  <c r="AR322" i="30294"/>
  <c r="AR249" i="30294"/>
  <c r="AR334" i="30294"/>
  <c r="AR246" i="30294"/>
  <c r="AR283" i="30294" s="1"/>
  <c r="AR237" i="30294"/>
  <c r="AR338" i="30294"/>
  <c r="AR325" i="30294"/>
  <c r="AR319" i="30294"/>
  <c r="AR323" i="30294"/>
  <c r="AR331" i="30294"/>
  <c r="AR337" i="30294"/>
  <c r="AR247" i="30294"/>
  <c r="AR303" i="30294"/>
  <c r="AR245" i="30294"/>
  <c r="AR335" i="30294"/>
  <c r="AR248" i="30294"/>
  <c r="AR328" i="30294"/>
  <c r="AR306" i="30294"/>
  <c r="AR314" i="30294"/>
  <c r="AR340" i="30294"/>
  <c r="AR240" i="30294"/>
  <c r="AR304" i="30294"/>
  <c r="AR305" i="30294" s="1"/>
  <c r="AB263" i="30294"/>
  <c r="AB264" i="30294" s="1"/>
  <c r="AB230" i="30294"/>
  <c r="AB254" i="30294"/>
  <c r="AT245" i="30294"/>
  <c r="AB241" i="30294"/>
  <c r="AT336" i="30294"/>
  <c r="AE244" i="30294"/>
  <c r="U329" i="30294"/>
  <c r="U302" i="30294"/>
  <c r="U337" i="30294"/>
  <c r="X249" i="30294"/>
  <c r="X246" i="30294"/>
  <c r="X283" i="30294" s="1"/>
  <c r="AH340" i="30294"/>
  <c r="AH331" i="30294"/>
  <c r="AH330" i="30294"/>
  <c r="W263" i="30294"/>
  <c r="W264" i="30294" s="1"/>
  <c r="W308" i="30294"/>
  <c r="W323" i="30294"/>
  <c r="AD247" i="30294"/>
  <c r="AD321" i="30294"/>
  <c r="AD302" i="30294"/>
  <c r="AD243" i="30294"/>
  <c r="P338" i="30294"/>
  <c r="P230" i="30294"/>
  <c r="P243" i="30294"/>
  <c r="P337" i="30294"/>
  <c r="P316" i="30294"/>
  <c r="J16" i="30308" s="1"/>
  <c r="AO303" i="30294"/>
  <c r="AO246" i="30294"/>
  <c r="AO283" i="30294" s="1"/>
  <c r="AD304" i="30294"/>
  <c r="AD305" i="30294" s="1"/>
  <c r="AD332" i="30294"/>
  <c r="AD242" i="30294"/>
  <c r="AD336" i="30294"/>
  <c r="P306" i="30294"/>
  <c r="AO330" i="30294"/>
  <c r="AD307" i="30294"/>
  <c r="AD338" i="30294"/>
  <c r="AD301" i="30294"/>
  <c r="W336" i="30294"/>
  <c r="W245" i="30294"/>
  <c r="AD331" i="30294"/>
  <c r="AD325" i="30294"/>
  <c r="AD330" i="30294"/>
  <c r="AD255" i="30294"/>
  <c r="P314" i="30294"/>
  <c r="P249" i="30294"/>
  <c r="P339" i="30294"/>
  <c r="P328" i="30294"/>
  <c r="P254" i="30294"/>
  <c r="AO328" i="30294"/>
  <c r="AO332" i="30294"/>
  <c r="AO259" i="30294"/>
  <c r="AO260" i="30294" s="1"/>
  <c r="AO241" i="30294"/>
  <c r="AO263" i="30294"/>
  <c r="AO264" i="30294" s="1"/>
  <c r="AO307" i="30294"/>
  <c r="AO324" i="30294"/>
  <c r="AO320" i="30294"/>
  <c r="AO249" i="30294"/>
  <c r="AO319" i="30294"/>
  <c r="AO237" i="30294"/>
  <c r="AO301" i="30294"/>
  <c r="AO244" i="30294"/>
  <c r="AO340" i="30294"/>
  <c r="AO333" i="30294"/>
  <c r="AO250" i="30294"/>
  <c r="AO269" i="30294" s="1"/>
  <c r="AU334" i="30294"/>
  <c r="AU340" i="30294"/>
  <c r="AU248" i="30294"/>
  <c r="AU239" i="30294"/>
  <c r="AU240" i="30294"/>
  <c r="AU249" i="30294"/>
  <c r="AU263" i="30294"/>
  <c r="AU264" i="30294" s="1"/>
  <c r="AU245" i="30294"/>
  <c r="AF253" i="30294"/>
  <c r="AF320" i="30294"/>
  <c r="AF328" i="30294"/>
  <c r="Q253" i="30294"/>
  <c r="AF230" i="30294"/>
  <c r="AF250" i="30294"/>
  <c r="AF269" i="30294" s="1"/>
  <c r="AH241" i="30294"/>
  <c r="AH316" i="30294"/>
  <c r="N18" i="30308" s="1"/>
  <c r="AM315" i="30294"/>
  <c r="AM330" i="30294"/>
  <c r="AM320" i="30294"/>
  <c r="AM310" i="30294"/>
  <c r="AM336" i="30294"/>
  <c r="AM308" i="30294"/>
  <c r="W237" i="30294"/>
  <c r="W249" i="30294"/>
  <c r="W333" i="30294"/>
  <c r="W328" i="30294"/>
  <c r="W316" i="30294"/>
  <c r="J17" i="30308" s="1"/>
  <c r="AD328" i="30294"/>
  <c r="AD329" i="30294"/>
  <c r="AD314" i="30294"/>
  <c r="AD254" i="30294"/>
  <c r="P332" i="30294"/>
  <c r="P319" i="30294"/>
  <c r="P325" i="30294"/>
  <c r="P255" i="30294"/>
  <c r="I321" i="30294"/>
  <c r="I307" i="30294"/>
  <c r="I337" i="30294"/>
  <c r="I255" i="30294"/>
  <c r="AK248" i="30294"/>
  <c r="AK331" i="30294"/>
  <c r="AK253" i="30294"/>
  <c r="AK238" i="30294"/>
  <c r="AO240" i="30294"/>
  <c r="AO245" i="30294"/>
  <c r="AF319" i="30294"/>
  <c r="AF316" i="30294"/>
  <c r="L18" i="30308" s="1"/>
  <c r="AH333" i="30294"/>
  <c r="AH246" i="30294"/>
  <c r="AH283" i="30294" s="1"/>
  <c r="AF244" i="30294"/>
  <c r="W338" i="30294"/>
  <c r="W332" i="30294"/>
  <c r="W230" i="30294"/>
  <c r="W315" i="30294"/>
  <c r="W246" i="30294"/>
  <c r="W283" i="30294" s="1"/>
  <c r="AD239" i="30294"/>
  <c r="AD337" i="30294"/>
  <c r="AD249" i="30294"/>
  <c r="AD308" i="30294"/>
  <c r="AD256" i="30294"/>
  <c r="AD257" i="30294" s="1"/>
  <c r="P340" i="30294"/>
  <c r="P331" i="30294"/>
  <c r="P248" i="30294"/>
  <c r="P250" i="30294"/>
  <c r="P269" i="30294" s="1"/>
  <c r="AK237" i="30294"/>
  <c r="AK306" i="30294"/>
  <c r="AO239" i="30294"/>
  <c r="AO238" i="30294"/>
  <c r="AD335" i="30294"/>
  <c r="AD240" i="30294"/>
  <c r="AD334" i="30294"/>
  <c r="AD244" i="30294"/>
  <c r="AD316" i="30294"/>
  <c r="J18" i="30308" s="1"/>
  <c r="P247" i="30294"/>
  <c r="P242" i="30294"/>
  <c r="P256" i="30294"/>
  <c r="P257" i="30294" s="1"/>
  <c r="AO247" i="30294"/>
  <c r="AO255" i="30294"/>
  <c r="AO334" i="30294"/>
  <c r="AO325" i="30294"/>
  <c r="AF332" i="30294"/>
  <c r="AH319" i="30294"/>
  <c r="AH259" i="30294"/>
  <c r="AH260" i="30294" s="1"/>
  <c r="AH307" i="30294"/>
  <c r="Q325" i="30294"/>
  <c r="Q339" i="30294"/>
  <c r="Q328" i="30294"/>
  <c r="Q310" i="30294"/>
  <c r="Q322" i="30294"/>
  <c r="Q247" i="30294"/>
  <c r="Q249" i="30294"/>
  <c r="Q242" i="30294"/>
  <c r="Q237" i="30294"/>
  <c r="Q307" i="30294"/>
  <c r="Q240" i="30294"/>
  <c r="Q259" i="30294"/>
  <c r="Q260" i="30294" s="1"/>
  <c r="Q314" i="30294"/>
  <c r="Q239" i="30294"/>
  <c r="Q319" i="30294"/>
  <c r="Q332" i="30294"/>
  <c r="Q340" i="30294"/>
  <c r="Q333" i="30294"/>
  <c r="Q263" i="30294"/>
  <c r="Q264" i="30294" s="1"/>
  <c r="Q230" i="30294"/>
  <c r="Q334" i="30294"/>
  <c r="Q321" i="30294"/>
  <c r="Q324" i="30294"/>
  <c r="Q330" i="30294"/>
  <c r="Q243" i="30294"/>
  <c r="Q308" i="30294"/>
  <c r="Q304" i="30294"/>
  <c r="Q305" i="30294" s="1"/>
  <c r="Q303" i="30294"/>
  <c r="Q315" i="30294"/>
  <c r="Q336" i="30294"/>
  <c r="Q246" i="30294"/>
  <c r="Q283" i="30294" s="1"/>
  <c r="AF314" i="30294"/>
  <c r="AF324" i="30294"/>
  <c r="AF259" i="30294"/>
  <c r="AF260" i="30294" s="1"/>
  <c r="AH320" i="30294"/>
  <c r="AH304" i="30294"/>
  <c r="AH305" i="30294" s="1"/>
  <c r="AH249" i="30294"/>
  <c r="W324" i="30294"/>
  <c r="W247" i="30294"/>
  <c r="W242" i="30294"/>
  <c r="W325" i="30294"/>
  <c r="AD241" i="30294"/>
  <c r="AD263" i="30294"/>
  <c r="AD264" i="30294" s="1"/>
  <c r="AD230" i="30294"/>
  <c r="AD324" i="30294"/>
  <c r="AD238" i="30294"/>
  <c r="P329" i="30294"/>
  <c r="P303" i="30294"/>
  <c r="P241" i="30294"/>
  <c r="P238" i="30294"/>
  <c r="I250" i="30294"/>
  <c r="I269" i="30294" s="1"/>
  <c r="AK339" i="30294"/>
  <c r="AK302" i="30294"/>
  <c r="AK338" i="30294"/>
  <c r="AK245" i="30294"/>
  <c r="AO243" i="30294"/>
  <c r="AO316" i="30294"/>
  <c r="N19" i="30308" s="1"/>
  <c r="Z248" i="30294"/>
  <c r="Z333" i="30294"/>
  <c r="Z314" i="30294"/>
  <c r="Z321" i="30294"/>
  <c r="AF329" i="30294"/>
  <c r="AF335" i="30294"/>
  <c r="AF333" i="30294"/>
  <c r="AH243" i="30294"/>
  <c r="W314" i="30294"/>
  <c r="W329" i="30294"/>
  <c r="W240" i="30294"/>
  <c r="AD322" i="30294"/>
  <c r="AD333" i="30294"/>
  <c r="AD259" i="30294"/>
  <c r="AD260" i="30294" s="1"/>
  <c r="AD323" i="30294"/>
  <c r="P253" i="30294"/>
  <c r="P237" i="30294"/>
  <c r="P335" i="30294"/>
  <c r="P245" i="30294"/>
  <c r="AO242" i="30294"/>
  <c r="AO230" i="30294"/>
  <c r="AO323" i="30294"/>
  <c r="AF308" i="30294"/>
  <c r="BT15" i="30308" l="1"/>
  <c r="I40" i="30291" s="1"/>
  <c r="AE293" i="30294"/>
  <c r="AE283" i="30294"/>
  <c r="S293" i="30294"/>
  <c r="S283" i="30294"/>
  <c r="L293" i="30294"/>
  <c r="L283" i="30294"/>
  <c r="R299" i="30294"/>
  <c r="R283" i="30294"/>
  <c r="AW299" i="30294"/>
  <c r="AW283" i="30294"/>
  <c r="Z293" i="30294"/>
  <c r="Z283" i="30294"/>
  <c r="AN293" i="30294"/>
  <c r="AN283" i="30294"/>
  <c r="U293" i="30294"/>
  <c r="U283" i="30294"/>
  <c r="AL293" i="30294"/>
  <c r="AL283" i="30294"/>
  <c r="Y293" i="30294"/>
  <c r="Y283" i="30294"/>
  <c r="AD293" i="30294"/>
  <c r="AD283" i="30294"/>
  <c r="AM293" i="30294"/>
  <c r="AM283" i="30294"/>
  <c r="AI293" i="30294"/>
  <c r="AI283" i="30294"/>
  <c r="AS293" i="30294"/>
  <c r="AS283" i="30294"/>
  <c r="AA293" i="30294"/>
  <c r="AA283" i="30294"/>
  <c r="AV299" i="30294"/>
  <c r="AV283" i="30294"/>
  <c r="Y262" i="30294"/>
  <c r="O269" i="30294"/>
  <c r="AQ269" i="30294"/>
  <c r="AX269" i="30294"/>
  <c r="AC269" i="30294"/>
  <c r="V269" i="30294"/>
  <c r="AJ269" i="30294"/>
  <c r="I353" i="30294"/>
  <c r="B15" i="30308" s="1"/>
  <c r="J15" i="30308"/>
  <c r="AE270" i="30294"/>
  <c r="D79" i="30291" s="1"/>
  <c r="N270" i="30294"/>
  <c r="H76" i="30291" s="1"/>
  <c r="AM317" i="30294"/>
  <c r="AL317" i="30294"/>
  <c r="AG317" i="30294"/>
  <c r="W317" i="30294"/>
  <c r="Z251" i="30294"/>
  <c r="Z317" i="30294"/>
  <c r="M270" i="30294"/>
  <c r="G76" i="30291" s="1"/>
  <c r="I317" i="30294"/>
  <c r="AO270" i="30294"/>
  <c r="G80" i="30291" s="1"/>
  <c r="AU233" i="30294"/>
  <c r="AG252" i="30294"/>
  <c r="AG348" i="30294" s="1"/>
  <c r="S233" i="30294"/>
  <c r="K317" i="30294"/>
  <c r="AF270" i="30294"/>
  <c r="E79" i="30291" s="1"/>
  <c r="I270" i="30294"/>
  <c r="C76" i="30291" s="1"/>
  <c r="P270" i="30294"/>
  <c r="C77" i="30291" s="1"/>
  <c r="S317" i="30294"/>
  <c r="AA317" i="30294"/>
  <c r="R317" i="30294"/>
  <c r="U270" i="30294"/>
  <c r="H77" i="30291" s="1"/>
  <c r="AN317" i="30294"/>
  <c r="AS270" i="30294"/>
  <c r="D81" i="30291" s="1"/>
  <c r="AT270" i="30294"/>
  <c r="E81" i="30291" s="1"/>
  <c r="X270" i="30294"/>
  <c r="D78" i="30291" s="1"/>
  <c r="AO317" i="30294"/>
  <c r="AI317" i="30294"/>
  <c r="AR270" i="30294"/>
  <c r="C81" i="30291" s="1"/>
  <c r="J270" i="30294"/>
  <c r="D76" i="30291" s="1"/>
  <c r="AH317" i="30294"/>
  <c r="AN251" i="30294"/>
  <c r="Y317" i="30294"/>
  <c r="K270" i="30294"/>
  <c r="E76" i="30291" s="1"/>
  <c r="AI262" i="30294"/>
  <c r="T353" i="30294"/>
  <c r="F16" i="30308" s="1"/>
  <c r="AI353" i="30294"/>
  <c r="G18" i="30308" s="1"/>
  <c r="R233" i="30294"/>
  <c r="R270" i="30294"/>
  <c r="E77" i="30291" s="1"/>
  <c r="AB251" i="30294"/>
  <c r="AB270" i="30294"/>
  <c r="H78" i="30291" s="1"/>
  <c r="AU270" i="30294"/>
  <c r="F81" i="30291" s="1"/>
  <c r="AG270" i="30294"/>
  <c r="F79" i="30291" s="1"/>
  <c r="Z270" i="30294"/>
  <c r="F78" i="30291" s="1"/>
  <c r="AN270" i="30294"/>
  <c r="F80" i="30291" s="1"/>
  <c r="S270" i="30294"/>
  <c r="F77" i="30291" s="1"/>
  <c r="L270" i="30294"/>
  <c r="F76" i="30291" s="1"/>
  <c r="AI233" i="30294"/>
  <c r="AI270" i="30294"/>
  <c r="H79" i="30291" s="1"/>
  <c r="AM233" i="30294"/>
  <c r="AM270" i="30294"/>
  <c r="E80" i="30291" s="1"/>
  <c r="AL251" i="30294"/>
  <c r="AL270" i="30294"/>
  <c r="D80" i="30291" s="1"/>
  <c r="W251" i="30294"/>
  <c r="Y251" i="30294"/>
  <c r="Y270" i="30294"/>
  <c r="E78" i="30291" s="1"/>
  <c r="AD233" i="30294"/>
  <c r="Q251" i="30294"/>
  <c r="Q270" i="30294"/>
  <c r="D77" i="30291" s="1"/>
  <c r="T233" i="30294"/>
  <c r="T270" i="30294"/>
  <c r="G77" i="30291" s="1"/>
  <c r="AK251" i="30294"/>
  <c r="AP251" i="30294"/>
  <c r="AP270" i="30294"/>
  <c r="H80" i="30291" s="1"/>
  <c r="AA233" i="30294"/>
  <c r="AA270" i="30294"/>
  <c r="G78" i="30291" s="1"/>
  <c r="AH252" i="30294"/>
  <c r="AH270" i="30294"/>
  <c r="G79" i="30291" s="1"/>
  <c r="AW233" i="30294"/>
  <c r="AW270" i="30294"/>
  <c r="H81" i="30291" s="1"/>
  <c r="AV252" i="30294"/>
  <c r="AV270" i="30294"/>
  <c r="G81" i="30291" s="1"/>
  <c r="N251" i="30294"/>
  <c r="L252" i="30294"/>
  <c r="J251" i="30294"/>
  <c r="K252" i="30294"/>
  <c r="AI258" i="30294"/>
  <c r="AI299" i="30294"/>
  <c r="K262" i="30294"/>
  <c r="AI298" i="30294"/>
  <c r="AI300" i="30294"/>
  <c r="AG262" i="30294"/>
  <c r="S353" i="30294"/>
  <c r="E16" i="30308" s="1"/>
  <c r="AG261" i="30294"/>
  <c r="AI311" i="30294"/>
  <c r="AI261" i="30294"/>
  <c r="AI312" i="30294"/>
  <c r="AI313" i="30294" s="1"/>
  <c r="AI251" i="30294"/>
  <c r="AI252" i="30294"/>
  <c r="AI309" i="30294"/>
  <c r="J262" i="30294"/>
  <c r="Z262" i="30294"/>
  <c r="Z252" i="30294"/>
  <c r="S252" i="30294"/>
  <c r="S251" i="30294"/>
  <c r="AU299" i="30294"/>
  <c r="Z299" i="30294"/>
  <c r="S261" i="30294"/>
  <c r="S299" i="30294"/>
  <c r="S298" i="30294"/>
  <c r="AG313" i="30294"/>
  <c r="AG233" i="30294"/>
  <c r="AG353" i="30294"/>
  <c r="E18" i="30308" s="1"/>
  <c r="AG311" i="30294"/>
  <c r="AG258" i="30294"/>
  <c r="AO262" i="30294"/>
  <c r="S311" i="30294"/>
  <c r="S258" i="30294"/>
  <c r="K261" i="30294"/>
  <c r="Z300" i="30294"/>
  <c r="Z233" i="30294"/>
  <c r="AU258" i="30294"/>
  <c r="AB313" i="30294"/>
  <c r="AW353" i="30294"/>
  <c r="G20" i="30308" s="1"/>
  <c r="K299" i="30294"/>
  <c r="N300" i="30294"/>
  <c r="Z261" i="30294"/>
  <c r="S262" i="30294"/>
  <c r="N298" i="30294"/>
  <c r="L353" i="30294"/>
  <c r="E15" i="30308" s="1"/>
  <c r="AH233" i="30294"/>
  <c r="AP353" i="30294"/>
  <c r="G19" i="30308" s="1"/>
  <c r="AH251" i="30294"/>
  <c r="AV233" i="30294"/>
  <c r="Y300" i="30294"/>
  <c r="AU312" i="30294"/>
  <c r="AU313" i="30294" s="1"/>
  <c r="Y299" i="30294"/>
  <c r="K233" i="30294"/>
  <c r="K293" i="30294"/>
  <c r="K251" i="30294"/>
  <c r="AW262" i="30294"/>
  <c r="AB299" i="30294"/>
  <c r="AV262" i="30294"/>
  <c r="AU293" i="30294"/>
  <c r="AB293" i="30294"/>
  <c r="N252" i="30294"/>
  <c r="K353" i="30294"/>
  <c r="D15" i="30308" s="1"/>
  <c r="AW293" i="30294"/>
  <c r="AG299" i="30294"/>
  <c r="N233" i="30294"/>
  <c r="AG293" i="30294"/>
  <c r="Z298" i="30294"/>
  <c r="S300" i="30294"/>
  <c r="AB311" i="30294"/>
  <c r="K258" i="30294"/>
  <c r="AK313" i="30294"/>
  <c r="AF262" i="30294"/>
  <c r="AW261" i="30294"/>
  <c r="AH300" i="30294"/>
  <c r="Z309" i="30294"/>
  <c r="AV251" i="30294"/>
  <c r="AP252" i="30294"/>
  <c r="AU262" i="30294"/>
  <c r="Y258" i="30294"/>
  <c r="AO311" i="30294"/>
  <c r="K312" i="30294"/>
  <c r="K313" i="30294" s="1"/>
  <c r="Z353" i="30294"/>
  <c r="E17" i="30308" s="1"/>
  <c r="AP233" i="30294"/>
  <c r="Y298" i="30294"/>
  <c r="S309" i="30294"/>
  <c r="AN252" i="30294"/>
  <c r="AN233" i="30294"/>
  <c r="AL262" i="30294"/>
  <c r="AP300" i="30294"/>
  <c r="K311" i="30294"/>
  <c r="J261" i="30294"/>
  <c r="AA251" i="30294"/>
  <c r="Z258" i="30294"/>
  <c r="AD251" i="30294"/>
  <c r="AS313" i="30294"/>
  <c r="AV311" i="30294"/>
  <c r="AD300" i="30294"/>
  <c r="K300" i="30294"/>
  <c r="K309" i="30294"/>
  <c r="AT353" i="30294"/>
  <c r="D20" i="30308" s="1"/>
  <c r="AG251" i="30294"/>
  <c r="AB298" i="30294"/>
  <c r="AH261" i="30294"/>
  <c r="AS261" i="30294"/>
  <c r="AS298" i="30294"/>
  <c r="AD299" i="30294"/>
  <c r="AF299" i="30294"/>
  <c r="AM299" i="30294"/>
  <c r="L233" i="30294"/>
  <c r="AS311" i="30294"/>
  <c r="AU252" i="30294"/>
  <c r="L311" i="30294"/>
  <c r="AS299" i="30294"/>
  <c r="L251" i="30294"/>
  <c r="AH262" i="30294"/>
  <c r="AM300" i="30294"/>
  <c r="K298" i="30294"/>
  <c r="AU251" i="30294"/>
  <c r="AV261" i="30294"/>
  <c r="AG300" i="30294"/>
  <c r="AV298" i="30294"/>
  <c r="AV300" i="30294"/>
  <c r="AV353" i="30294"/>
  <c r="F20" i="30308" s="1"/>
  <c r="AV309" i="30294"/>
  <c r="U262" i="30294"/>
  <c r="AM311" i="30294"/>
  <c r="AV317" i="30294"/>
  <c r="AD298" i="30294"/>
  <c r="AL261" i="30294"/>
  <c r="AM252" i="30294"/>
  <c r="Q261" i="30294"/>
  <c r="AV258" i="30294"/>
  <c r="S313" i="30294"/>
  <c r="AM251" i="30294"/>
  <c r="AP293" i="30294"/>
  <c r="Z312" i="30294"/>
  <c r="Z313" i="30294" s="1"/>
  <c r="AV293" i="30294"/>
  <c r="AN299" i="30294"/>
  <c r="Z311" i="30294"/>
  <c r="U261" i="30294"/>
  <c r="AT262" i="30294"/>
  <c r="AF258" i="30294"/>
  <c r="L299" i="30294"/>
  <c r="AS262" i="30294"/>
  <c r="AP298" i="30294"/>
  <c r="W261" i="30294"/>
  <c r="AN353" i="30294"/>
  <c r="AA261" i="30294"/>
  <c r="AE300" i="30294"/>
  <c r="AM353" i="30294"/>
  <c r="AA262" i="30294"/>
  <c r="AB353" i="30294"/>
  <c r="AG309" i="30294"/>
  <c r="AU311" i="30294"/>
  <c r="L262" i="30294"/>
  <c r="AS309" i="30294"/>
  <c r="AO309" i="30294"/>
  <c r="AA353" i="30294"/>
  <c r="AB252" i="30294"/>
  <c r="AM298" i="30294"/>
  <c r="AS233" i="30294"/>
  <c r="AS252" i="30294"/>
  <c r="AS251" i="30294"/>
  <c r="AS258" i="30294"/>
  <c r="AU309" i="30294"/>
  <c r="L258" i="30294"/>
  <c r="L298" i="30294"/>
  <c r="AU261" i="30294"/>
  <c r="AG298" i="30294"/>
  <c r="AP262" i="30294"/>
  <c r="AB233" i="30294"/>
  <c r="AD252" i="30294"/>
  <c r="AM309" i="30294"/>
  <c r="R293" i="30294"/>
  <c r="AF312" i="30294"/>
  <c r="AF313" i="30294" s="1"/>
  <c r="AM258" i="30294"/>
  <c r="AN262" i="30294"/>
  <c r="R258" i="30294"/>
  <c r="I261" i="30294"/>
  <c r="AA252" i="30294"/>
  <c r="AW258" i="30294"/>
  <c r="AS300" i="30294"/>
  <c r="AW300" i="30294"/>
  <c r="AN298" i="30294"/>
  <c r="AL233" i="30294"/>
  <c r="AL353" i="30294"/>
  <c r="AW298" i="30294"/>
  <c r="AL258" i="30294"/>
  <c r="AF311" i="30294"/>
  <c r="AN309" i="30294"/>
  <c r="AM261" i="30294"/>
  <c r="AF298" i="30294"/>
  <c r="AB258" i="30294"/>
  <c r="AO258" i="30294"/>
  <c r="AN313" i="30294"/>
  <c r="AK309" i="30294"/>
  <c r="AR309" i="30294"/>
  <c r="I309" i="30294"/>
  <c r="N311" i="30294"/>
  <c r="N309" i="30294"/>
  <c r="L300" i="30294"/>
  <c r="L312" i="30294"/>
  <c r="L313" i="30294" s="1"/>
  <c r="L309" i="30294"/>
  <c r="I298" i="30294"/>
  <c r="I293" i="30294"/>
  <c r="AA258" i="30294"/>
  <c r="AA309" i="30294"/>
  <c r="W309" i="30294"/>
  <c r="R298" i="30294"/>
  <c r="P293" i="30294"/>
  <c r="Q233" i="30294"/>
  <c r="R252" i="30294"/>
  <c r="T251" i="30294"/>
  <c r="R300" i="30294"/>
  <c r="P299" i="30294"/>
  <c r="R262" i="30294"/>
  <c r="Q252" i="30294"/>
  <c r="T252" i="30294"/>
  <c r="U353" i="30294"/>
  <c r="AL311" i="30294"/>
  <c r="I262" i="30294"/>
  <c r="J252" i="30294"/>
  <c r="AB300" i="30294"/>
  <c r="AA311" i="30294"/>
  <c r="I300" i="30294"/>
  <c r="J233" i="30294"/>
  <c r="Y311" i="30294"/>
  <c r="AW251" i="30294"/>
  <c r="AE299" i="30294"/>
  <c r="AE298" i="30294"/>
  <c r="AF309" i="30294"/>
  <c r="I311" i="30294"/>
  <c r="AT309" i="30294"/>
  <c r="R311" i="30294"/>
  <c r="AM262" i="30294"/>
  <c r="R309" i="30294"/>
  <c r="AA298" i="30294"/>
  <c r="AW309" i="30294"/>
  <c r="AA299" i="30294"/>
  <c r="AA312" i="30294"/>
  <c r="AA313" i="30294" s="1"/>
  <c r="AO313" i="30294"/>
  <c r="AU353" i="30294"/>
  <c r="Y309" i="30294"/>
  <c r="I258" i="30294"/>
  <c r="R261" i="30294"/>
  <c r="AH311" i="30294"/>
  <c r="AK261" i="30294"/>
  <c r="I299" i="30294"/>
  <c r="AK252" i="30294"/>
  <c r="R251" i="30294"/>
  <c r="Q298" i="30294"/>
  <c r="AL298" i="30294"/>
  <c r="AN261" i="30294"/>
  <c r="U313" i="30294"/>
  <c r="AK233" i="30294"/>
  <c r="AP299" i="30294"/>
  <c r="AM312" i="30294"/>
  <c r="AM313" i="30294" s="1"/>
  <c r="AK262" i="30294"/>
  <c r="P309" i="30294"/>
  <c r="AD317" i="30294"/>
  <c r="AL300" i="30294"/>
  <c r="I312" i="30294"/>
  <c r="I313" i="30294" s="1"/>
  <c r="AK299" i="30294"/>
  <c r="AN258" i="30294"/>
  <c r="AA300" i="30294"/>
  <c r="Y252" i="30294"/>
  <c r="AW313" i="30294"/>
  <c r="AN300" i="30294"/>
  <c r="AL312" i="30294"/>
  <c r="AL313" i="30294" s="1"/>
  <c r="R353" i="30294"/>
  <c r="AO353" i="30294"/>
  <c r="AL299" i="30294"/>
  <c r="Y312" i="30294"/>
  <c r="Y313" i="30294" s="1"/>
  <c r="AN311" i="30294"/>
  <c r="Q262" i="30294"/>
  <c r="AH309" i="30294"/>
  <c r="AK293" i="30294"/>
  <c r="Y233" i="30294"/>
  <c r="AB309" i="30294"/>
  <c r="R312" i="30294"/>
  <c r="R313" i="30294" s="1"/>
  <c r="W313" i="30294"/>
  <c r="AL309" i="30294"/>
  <c r="Q311" i="30294"/>
  <c r="AW252" i="30294"/>
  <c r="AL252" i="30294"/>
  <c r="U311" i="30294"/>
  <c r="AF293" i="30294"/>
  <c r="T309" i="30294"/>
  <c r="AF261" i="30294"/>
  <c r="W262" i="30294"/>
  <c r="U299" i="30294"/>
  <c r="T299" i="30294"/>
  <c r="T293" i="30294"/>
  <c r="T311" i="30294"/>
  <c r="U258" i="30294"/>
  <c r="W258" i="30294"/>
  <c r="W252" i="30294"/>
  <c r="W233" i="30294"/>
  <c r="AK258" i="30294"/>
  <c r="AK311" i="30294"/>
  <c r="AK353" i="30294"/>
  <c r="Q309" i="30294"/>
  <c r="AO261" i="30294"/>
  <c r="N258" i="30294"/>
  <c r="N353" i="30294"/>
  <c r="J311" i="30294"/>
  <c r="AP309" i="30294"/>
  <c r="P311" i="30294"/>
  <c r="AD309" i="30294"/>
  <c r="U309" i="30294"/>
  <c r="AW311" i="30294"/>
  <c r="AR311" i="30294"/>
  <c r="AE309" i="30294"/>
  <c r="AH313" i="30294"/>
  <c r="AP311" i="30294"/>
  <c r="W311" i="30294"/>
  <c r="AF317" i="30294"/>
  <c r="U251" i="30294"/>
  <c r="U233" i="30294"/>
  <c r="U252" i="30294"/>
  <c r="N317" i="30294"/>
  <c r="M309" i="30294"/>
  <c r="AP312" i="30294"/>
  <c r="AP313" i="30294" s="1"/>
  <c r="AP258" i="30294"/>
  <c r="J309" i="30294"/>
  <c r="Q293" i="30294"/>
  <c r="Q299" i="30294"/>
  <c r="AO298" i="30294"/>
  <c r="AO300" i="30294"/>
  <c r="AR233" i="30294"/>
  <c r="AR251" i="30294"/>
  <c r="AR252" i="30294"/>
  <c r="X251" i="30294"/>
  <c r="X233" i="30294"/>
  <c r="X252" i="30294"/>
  <c r="AF353" i="30294"/>
  <c r="AH353" i="30294"/>
  <c r="J258" i="30294"/>
  <c r="J312" i="30294"/>
  <c r="J313" i="30294" s="1"/>
  <c r="N313" i="30294"/>
  <c r="M317" i="30294"/>
  <c r="T317" i="30294"/>
  <c r="AE262" i="30294"/>
  <c r="AE261" i="30294"/>
  <c r="AF300" i="30294"/>
  <c r="AT258" i="30294"/>
  <c r="AT312" i="30294"/>
  <c r="AT313" i="30294" s="1"/>
  <c r="Y353" i="30294"/>
  <c r="X258" i="30294"/>
  <c r="X312" i="30294"/>
  <c r="X313" i="30294" s="1"/>
  <c r="AD258" i="30294"/>
  <c r="AD312" i="30294"/>
  <c r="AD313" i="30294" s="1"/>
  <c r="AB261" i="30294"/>
  <c r="AB262" i="30294"/>
  <c r="AE258" i="30294"/>
  <c r="AE312" i="30294"/>
  <c r="AE313" i="30294" s="1"/>
  <c r="U317" i="30294"/>
  <c r="M258" i="30294"/>
  <c r="M312" i="30294"/>
  <c r="M313" i="30294" s="1"/>
  <c r="Q313" i="30294"/>
  <c r="L317" i="30294"/>
  <c r="Q258" i="30294"/>
  <c r="Y261" i="30294"/>
  <c r="AS353" i="30294"/>
  <c r="AR353" i="30294"/>
  <c r="AR258" i="30294"/>
  <c r="AR312" i="30294"/>
  <c r="AR313" i="30294" s="1"/>
  <c r="AE233" i="30294"/>
  <c r="AE251" i="30294"/>
  <c r="AE252" i="30294"/>
  <c r="N293" i="30294"/>
  <c r="N299" i="30294"/>
  <c r="M300" i="30294"/>
  <c r="M298" i="30294"/>
  <c r="AT251" i="30294"/>
  <c r="AT233" i="30294"/>
  <c r="AT252" i="30294"/>
  <c r="X261" i="30294"/>
  <c r="X262" i="30294"/>
  <c r="X311" i="30294"/>
  <c r="AO293" i="30294"/>
  <c r="AO299" i="30294"/>
  <c r="AF251" i="30294"/>
  <c r="AF233" i="30294"/>
  <c r="AF252" i="30294"/>
  <c r="Q353" i="30294"/>
  <c r="P353" i="30294"/>
  <c r="B16" i="30308" s="1"/>
  <c r="AK298" i="30294"/>
  <c r="AK300" i="30294"/>
  <c r="AT311" i="30294"/>
  <c r="AT317" i="30294"/>
  <c r="AT293" i="30294"/>
  <c r="AT299" i="30294"/>
  <c r="X309" i="30294"/>
  <c r="P258" i="30294"/>
  <c r="P312" i="30294"/>
  <c r="P313" i="30294" s="1"/>
  <c r="X293" i="30294"/>
  <c r="X299" i="30294"/>
  <c r="AR317" i="30294"/>
  <c r="L261" i="30294"/>
  <c r="M261" i="30294"/>
  <c r="M262" i="30294"/>
  <c r="X317" i="30294"/>
  <c r="AT261" i="30294"/>
  <c r="AD311" i="30294"/>
  <c r="AH293" i="30294"/>
  <c r="AH299" i="30294"/>
  <c r="AK317" i="30294"/>
  <c r="Q317" i="30294"/>
  <c r="W298" i="30294"/>
  <c r="W300" i="30294"/>
  <c r="U300" i="30294"/>
  <c r="U298" i="30294"/>
  <c r="AH258" i="30294"/>
  <c r="AB317" i="30294"/>
  <c r="AP261" i="30294"/>
  <c r="AH298" i="30294"/>
  <c r="AE311" i="30294"/>
  <c r="AR293" i="30294"/>
  <c r="AR299" i="30294"/>
  <c r="AR261" i="30294"/>
  <c r="AR262" i="30294"/>
  <c r="AE317" i="30294"/>
  <c r="AP317" i="30294"/>
  <c r="M293" i="30294"/>
  <c r="M299" i="30294"/>
  <c r="M311" i="30294"/>
  <c r="J317" i="30294"/>
  <c r="X298" i="30294"/>
  <c r="X300" i="30294"/>
  <c r="X353" i="30294"/>
  <c r="W353" i="30294"/>
  <c r="AT298" i="30294"/>
  <c r="AT300" i="30294"/>
  <c r="AU298" i="30294"/>
  <c r="AU300" i="30294"/>
  <c r="T261" i="30294"/>
  <c r="T262" i="30294"/>
  <c r="M353" i="30294"/>
  <c r="N261" i="30294"/>
  <c r="N262" i="30294"/>
  <c r="J300" i="30294"/>
  <c r="J298" i="30294"/>
  <c r="J353" i="30294"/>
  <c r="P317" i="30294"/>
  <c r="AD261" i="30294"/>
  <c r="AD262" i="30294"/>
  <c r="I251" i="30294"/>
  <c r="I233" i="30294"/>
  <c r="I252" i="30294"/>
  <c r="AE353" i="30294"/>
  <c r="AD353" i="30294"/>
  <c r="W293" i="30294"/>
  <c r="W299" i="30294"/>
  <c r="P298" i="30294"/>
  <c r="P300" i="30294"/>
  <c r="P233" i="30294"/>
  <c r="P251" i="30294"/>
  <c r="P252" i="30294"/>
  <c r="AO251" i="30294"/>
  <c r="AO233" i="30294"/>
  <c r="AO252" i="30294"/>
  <c r="P261" i="30294"/>
  <c r="P262" i="30294"/>
  <c r="AR298" i="30294"/>
  <c r="AR300" i="30294"/>
  <c r="Q300" i="30294"/>
  <c r="T298" i="30294"/>
  <c r="T300" i="30294"/>
  <c r="J299" i="30294"/>
  <c r="J293" i="30294"/>
  <c r="T258" i="30294"/>
  <c r="T312" i="30294"/>
  <c r="T313" i="30294" s="1"/>
  <c r="M251" i="30294"/>
  <c r="M233" i="30294"/>
  <c r="M252" i="30294"/>
  <c r="AO342" i="30294" l="1"/>
  <c r="I342" i="30294"/>
  <c r="AV342" i="30294"/>
  <c r="AV267" i="30294" s="1"/>
  <c r="AV268" i="30294" s="1"/>
  <c r="G57" i="30291" s="1"/>
  <c r="S342" i="30294"/>
  <c r="I77" i="30291"/>
  <c r="I81" i="30291"/>
  <c r="I76" i="30291"/>
  <c r="AF342" i="30294"/>
  <c r="R342" i="30294"/>
  <c r="T342" i="30294"/>
  <c r="M342" i="30294"/>
  <c r="AI342" i="30294"/>
  <c r="AW342" i="30294"/>
  <c r="AH342" i="30294"/>
  <c r="AP342" i="30294"/>
  <c r="AK342" i="30294"/>
  <c r="AE342" i="30294"/>
  <c r="W342" i="30294"/>
  <c r="AT342" i="30294"/>
  <c r="P342" i="30294"/>
  <c r="AM342" i="30294"/>
  <c r="AL342" i="30294"/>
  <c r="AB342" i="30294"/>
  <c r="J342" i="30294"/>
  <c r="AU342" i="30294"/>
  <c r="AD342" i="30294"/>
  <c r="N342" i="30294"/>
  <c r="X342" i="30294"/>
  <c r="AA342" i="30294"/>
  <c r="AR342" i="30294"/>
  <c r="AS342" i="30294"/>
  <c r="K342" i="30294"/>
  <c r="Q342" i="30294"/>
  <c r="U342" i="30294"/>
  <c r="L342" i="30294"/>
  <c r="AG342" i="30294"/>
  <c r="AN342" i="30294"/>
  <c r="Y342" i="30294"/>
  <c r="Z342" i="30294"/>
  <c r="AN350" i="30294"/>
  <c r="J350" i="30294"/>
  <c r="N350" i="30294"/>
  <c r="K350" i="30294"/>
  <c r="Z350" i="30294"/>
  <c r="AE348" i="30294"/>
  <c r="AD348" i="30294"/>
  <c r="L348" i="30294"/>
  <c r="AO348" i="30294"/>
  <c r="AT348" i="30294"/>
  <c r="AA348" i="30294"/>
  <c r="AS348" i="30294"/>
  <c r="AU348" i="30294"/>
  <c r="S348" i="30294"/>
  <c r="AH348" i="30294"/>
  <c r="Y348" i="30294"/>
  <c r="U348" i="30294"/>
  <c r="AF348" i="30294"/>
  <c r="AW348" i="30294"/>
  <c r="AK348" i="30294"/>
  <c r="Z348" i="30294"/>
  <c r="AV348" i="30294"/>
  <c r="AR348" i="30294"/>
  <c r="AI348" i="30294"/>
  <c r="I348" i="30294"/>
  <c r="AM348" i="30294"/>
  <c r="AN347" i="30294"/>
  <c r="M348" i="30294"/>
  <c r="X348" i="30294"/>
  <c r="T348" i="30294"/>
  <c r="AB348" i="30294"/>
  <c r="P348" i="30294"/>
  <c r="K348" i="30294"/>
  <c r="W348" i="30294"/>
  <c r="R348" i="30294"/>
  <c r="Y350" i="30294"/>
  <c r="AK350" i="30294"/>
  <c r="S350" i="30294"/>
  <c r="T350" i="30294"/>
  <c r="AI350" i="30294"/>
  <c r="AB350" i="30294"/>
  <c r="AD350" i="30294"/>
  <c r="W350" i="30294"/>
  <c r="AW350" i="30294"/>
  <c r="R350" i="30294"/>
  <c r="AU350" i="30294"/>
  <c r="AA350" i="30294"/>
  <c r="AL350" i="30294"/>
  <c r="AG349" i="30294"/>
  <c r="AP350" i="30294"/>
  <c r="Q350" i="30294"/>
  <c r="AH344" i="30294"/>
  <c r="AH345" i="30294" s="1"/>
  <c r="AP349" i="30294"/>
  <c r="AD270" i="30294"/>
  <c r="C79" i="30291" s="1"/>
  <c r="J344" i="30294"/>
  <c r="AI15" i="30308" s="1"/>
  <c r="AQ15" i="30308" s="1"/>
  <c r="W270" i="30294"/>
  <c r="AL347" i="30294"/>
  <c r="AK270" i="30294"/>
  <c r="Q349" i="30294"/>
  <c r="L344" i="30294"/>
  <c r="L345" i="30294" s="1"/>
  <c r="AI347" i="30294"/>
  <c r="AI344" i="30294"/>
  <c r="AI345" i="30294" s="1"/>
  <c r="AI349" i="30294"/>
  <c r="Z344" i="30294"/>
  <c r="Z345" i="30294" s="1"/>
  <c r="Z349" i="30294"/>
  <c r="Z347" i="30294"/>
  <c r="S347" i="30294"/>
  <c r="S344" i="30294"/>
  <c r="S345" i="30294" s="1"/>
  <c r="S349" i="30294"/>
  <c r="AP348" i="30294"/>
  <c r="N349" i="30294"/>
  <c r="K347" i="30294"/>
  <c r="AH349" i="30294"/>
  <c r="AH347" i="30294"/>
  <c r="K344" i="30294"/>
  <c r="AJ15" i="30308" s="1"/>
  <c r="AR15" i="30308" s="1"/>
  <c r="AH350" i="30294"/>
  <c r="K349" i="30294"/>
  <c r="AP344" i="30294"/>
  <c r="AP345" i="30294" s="1"/>
  <c r="AP347" i="30294"/>
  <c r="N344" i="30294"/>
  <c r="N345" i="30294" s="1"/>
  <c r="N348" i="30294"/>
  <c r="AV350" i="30294"/>
  <c r="AV349" i="30294"/>
  <c r="AV344" i="30294"/>
  <c r="AG350" i="30294"/>
  <c r="AV347" i="30294"/>
  <c r="AG347" i="30294"/>
  <c r="N347" i="30294"/>
  <c r="AG344" i="30294"/>
  <c r="AK18" i="30308" s="1"/>
  <c r="AS18" i="30308" s="1"/>
  <c r="AN349" i="30294"/>
  <c r="L347" i="30294"/>
  <c r="AN344" i="30294"/>
  <c r="AK19" i="30308" s="1"/>
  <c r="AS19" i="30308" s="1"/>
  <c r="AN348" i="30294"/>
  <c r="AD349" i="30294"/>
  <c r="AD344" i="30294"/>
  <c r="AD345" i="30294" s="1"/>
  <c r="AD347" i="30294"/>
  <c r="AM349" i="30294"/>
  <c r="AU347" i="30294"/>
  <c r="AU349" i="30294"/>
  <c r="AM347" i="30294"/>
  <c r="T344" i="30294"/>
  <c r="AL16" i="30308" s="1"/>
  <c r="AT16" i="30308" s="1"/>
  <c r="AM350" i="30294"/>
  <c r="L349" i="30294"/>
  <c r="AM344" i="30294"/>
  <c r="AM345" i="30294" s="1"/>
  <c r="AU344" i="30294"/>
  <c r="AK20" i="30308" s="1"/>
  <c r="AS20" i="30308" s="1"/>
  <c r="L350" i="30294"/>
  <c r="AA349" i="30294"/>
  <c r="AA344" i="30294"/>
  <c r="AA347" i="30294"/>
  <c r="D18" i="30308"/>
  <c r="D17" i="30308"/>
  <c r="G16" i="30308"/>
  <c r="G17" i="30308"/>
  <c r="E20" i="30308"/>
  <c r="F17" i="30308"/>
  <c r="B20" i="30308"/>
  <c r="D19" i="30308"/>
  <c r="B19" i="30308"/>
  <c r="C15" i="30308"/>
  <c r="B17" i="30308"/>
  <c r="C20" i="30308"/>
  <c r="G15" i="30308"/>
  <c r="B18" i="30308"/>
  <c r="C17" i="30308"/>
  <c r="C18" i="30308"/>
  <c r="E19" i="30308"/>
  <c r="F15" i="30308"/>
  <c r="F18" i="30308"/>
  <c r="F19" i="30308"/>
  <c r="D16" i="30308"/>
  <c r="C16" i="30308"/>
  <c r="C19" i="30308"/>
  <c r="J347" i="30294"/>
  <c r="AB347" i="30294"/>
  <c r="AW344" i="30294"/>
  <c r="AW349" i="30294"/>
  <c r="J348" i="30294"/>
  <c r="J349" i="30294"/>
  <c r="AB344" i="30294"/>
  <c r="AW347" i="30294"/>
  <c r="AS347" i="30294"/>
  <c r="AS350" i="30294"/>
  <c r="AS349" i="30294"/>
  <c r="AS344" i="30294"/>
  <c r="AB349" i="30294"/>
  <c r="AL344" i="30294"/>
  <c r="AL349" i="30294"/>
  <c r="Q348" i="30294"/>
  <c r="T349" i="30294"/>
  <c r="R344" i="30294"/>
  <c r="Q344" i="30294"/>
  <c r="T347" i="30294"/>
  <c r="Q347" i="30294"/>
  <c r="AK344" i="30294"/>
  <c r="R347" i="30294"/>
  <c r="W349" i="30294"/>
  <c r="AK349" i="30294"/>
  <c r="R349" i="30294"/>
  <c r="AK347" i="30294"/>
  <c r="Y349" i="30294"/>
  <c r="Y347" i="30294"/>
  <c r="AL348" i="30294"/>
  <c r="Y344" i="30294"/>
  <c r="W344" i="30294"/>
  <c r="W347" i="30294"/>
  <c r="M349" i="30294"/>
  <c r="M344" i="30294"/>
  <c r="M350" i="30294"/>
  <c r="M347" i="30294"/>
  <c r="X344" i="30294"/>
  <c r="X347" i="30294"/>
  <c r="X350" i="30294"/>
  <c r="X349" i="30294"/>
  <c r="AT347" i="30294"/>
  <c r="AT349" i="30294"/>
  <c r="AT350" i="30294"/>
  <c r="AT344" i="30294"/>
  <c r="AE350" i="30294"/>
  <c r="AE349" i="30294"/>
  <c r="AE347" i="30294"/>
  <c r="AE344" i="30294"/>
  <c r="U347" i="30294"/>
  <c r="U350" i="30294"/>
  <c r="U344" i="30294"/>
  <c r="U349" i="30294"/>
  <c r="AR349" i="30294"/>
  <c r="AR347" i="30294"/>
  <c r="AR350" i="30294"/>
  <c r="AR344" i="30294"/>
  <c r="I350" i="30294"/>
  <c r="I347" i="30294"/>
  <c r="I349" i="30294"/>
  <c r="I344" i="30294"/>
  <c r="AF347" i="30294"/>
  <c r="AF344" i="30294"/>
  <c r="AF349" i="30294"/>
  <c r="AF350" i="30294"/>
  <c r="AO344" i="30294"/>
  <c r="AO350" i="30294"/>
  <c r="AO347" i="30294"/>
  <c r="AO349" i="30294"/>
  <c r="P344" i="30294"/>
  <c r="P349" i="30294"/>
  <c r="P347" i="30294"/>
  <c r="P350" i="30294"/>
  <c r="C80" i="30291" l="1"/>
  <c r="I80" i="30291" s="1"/>
  <c r="J81" i="30291" s="1"/>
  <c r="C78" i="30291"/>
  <c r="I78" i="30291" s="1"/>
  <c r="J78" i="30291" s="1"/>
  <c r="J77" i="30291"/>
  <c r="I79" i="30291"/>
  <c r="AV351" i="30294"/>
  <c r="AV265" i="30294"/>
  <c r="N267" i="30294"/>
  <c r="N268" i="30294" s="1"/>
  <c r="H52" i="30291" s="1"/>
  <c r="AD20" i="30308"/>
  <c r="AE15" i="30308"/>
  <c r="AL18" i="30308"/>
  <c r="AT18" i="30308" s="1"/>
  <c r="AV343" i="30294"/>
  <c r="J345" i="30294"/>
  <c r="AK15" i="30308"/>
  <c r="AS15" i="30308" s="1"/>
  <c r="T267" i="30294"/>
  <c r="T268" i="30294" s="1"/>
  <c r="G53" i="30291" s="1"/>
  <c r="AC19" i="30308"/>
  <c r="Z20" i="30308"/>
  <c r="AD15" i="30308"/>
  <c r="AD18" i="30308"/>
  <c r="AC16" i="30308"/>
  <c r="AE18" i="30308"/>
  <c r="AA18" i="30308"/>
  <c r="AB18" i="30308"/>
  <c r="AE19" i="30308"/>
  <c r="AB20" i="30308"/>
  <c r="AC18" i="30308"/>
  <c r="AA19" i="30308"/>
  <c r="AD17" i="30308"/>
  <c r="AD19" i="30308"/>
  <c r="Z18" i="30308"/>
  <c r="AB15" i="30308"/>
  <c r="AE16" i="30308"/>
  <c r="AC15" i="30308"/>
  <c r="AC20" i="30308"/>
  <c r="AC17" i="30308"/>
  <c r="Z15" i="30308"/>
  <c r="AA17" i="30308"/>
  <c r="Z16" i="30308"/>
  <c r="AA20" i="30308"/>
  <c r="AB19" i="30308"/>
  <c r="AI267" i="30294"/>
  <c r="AI268" i="30294" s="1"/>
  <c r="H55" i="30291" s="1"/>
  <c r="Z267" i="30294"/>
  <c r="Z268" i="30294" s="1"/>
  <c r="F54" i="30291" s="1"/>
  <c r="AI343" i="30294"/>
  <c r="AM18" i="30308"/>
  <c r="Z343" i="30294"/>
  <c r="AK17" i="30308"/>
  <c r="AS17" i="30308" s="1"/>
  <c r="N343" i="30294"/>
  <c r="S267" i="30294"/>
  <c r="S268" i="30294" s="1"/>
  <c r="F53" i="30291" s="1"/>
  <c r="S343" i="30294"/>
  <c r="AK16" i="30308"/>
  <c r="AS16" i="30308" s="1"/>
  <c r="AG267" i="30294"/>
  <c r="AG268" i="30294" s="1"/>
  <c r="F55" i="30291" s="1"/>
  <c r="AH267" i="30294"/>
  <c r="AH268" i="30294" s="1"/>
  <c r="G55" i="30291" s="1"/>
  <c r="AH343" i="30294"/>
  <c r="K343" i="30294"/>
  <c r="K267" i="30294"/>
  <c r="K268" i="30294" s="1"/>
  <c r="E52" i="30291" s="1"/>
  <c r="AM15" i="30308"/>
  <c r="AP267" i="30294"/>
  <c r="AP268" i="30294" s="1"/>
  <c r="H56" i="30291" s="1"/>
  <c r="AP343" i="30294"/>
  <c r="K345" i="30294"/>
  <c r="AD267" i="30294"/>
  <c r="AD268" i="30294" s="1"/>
  <c r="C55" i="30291" s="1"/>
  <c r="L267" i="30294"/>
  <c r="L268" i="30294" s="1"/>
  <c r="F52" i="30291" s="1"/>
  <c r="AM19" i="30308"/>
  <c r="AN343" i="30294"/>
  <c r="AN345" i="30294"/>
  <c r="AU267" i="30294"/>
  <c r="AU268" i="30294" s="1"/>
  <c r="F57" i="30291" s="1"/>
  <c r="AG345" i="30294"/>
  <c r="AG343" i="30294"/>
  <c r="AL20" i="30308"/>
  <c r="AT20" i="30308" s="1"/>
  <c r="AV345" i="30294"/>
  <c r="AN267" i="30294"/>
  <c r="AN268" i="30294" s="1"/>
  <c r="F56" i="30291" s="1"/>
  <c r="AA267" i="30294"/>
  <c r="AA268" i="30294" s="1"/>
  <c r="G54" i="30291" s="1"/>
  <c r="AD343" i="30294"/>
  <c r="AH18" i="30308"/>
  <c r="AP18" i="30308" s="1"/>
  <c r="L343" i="30294"/>
  <c r="T343" i="30294"/>
  <c r="AJ19" i="30308"/>
  <c r="AR19" i="30308" s="1"/>
  <c r="T345" i="30294"/>
  <c r="AM267" i="30294"/>
  <c r="AM268" i="30294" s="1"/>
  <c r="E56" i="30291" s="1"/>
  <c r="AM343" i="30294"/>
  <c r="AU343" i="30294"/>
  <c r="AU345" i="30294"/>
  <c r="AA343" i="30294"/>
  <c r="AB345" i="30294"/>
  <c r="AM17" i="30308"/>
  <c r="X345" i="30294"/>
  <c r="AI17" i="30308"/>
  <c r="AQ17" i="30308" s="1"/>
  <c r="R267" i="30294"/>
  <c r="R268" i="30294" s="1"/>
  <c r="E53" i="30291" s="1"/>
  <c r="AB16" i="30308"/>
  <c r="AO345" i="30294"/>
  <c r="AL19" i="30308"/>
  <c r="AT19" i="30308" s="1"/>
  <c r="I345" i="30294"/>
  <c r="AH15" i="30308"/>
  <c r="AP15" i="30308" s="1"/>
  <c r="W345" i="30294"/>
  <c r="AH17" i="30308"/>
  <c r="AP17" i="30308" s="1"/>
  <c r="AT345" i="30294"/>
  <c r="AJ20" i="30308"/>
  <c r="AR20" i="30308" s="1"/>
  <c r="J267" i="30294"/>
  <c r="J268" i="30294" s="1"/>
  <c r="D52" i="30291" s="1"/>
  <c r="AA15" i="30308"/>
  <c r="Y345" i="30294"/>
  <c r="AJ17" i="30308"/>
  <c r="AR17" i="30308" s="1"/>
  <c r="AA345" i="30294"/>
  <c r="AL17" i="30308"/>
  <c r="AT17" i="30308" s="1"/>
  <c r="AB17" i="30308"/>
  <c r="AK267" i="30294"/>
  <c r="AK268" i="30294" s="1"/>
  <c r="C56" i="30291" s="1"/>
  <c r="Z19" i="30308"/>
  <c r="AL345" i="30294"/>
  <c r="AI19" i="30308"/>
  <c r="AQ19" i="30308" s="1"/>
  <c r="AE17" i="30308"/>
  <c r="AF345" i="30294"/>
  <c r="AJ18" i="30308"/>
  <c r="AR18" i="30308" s="1"/>
  <c r="AK345" i="30294"/>
  <c r="AH19" i="30308"/>
  <c r="AP19" i="30308" s="1"/>
  <c r="AW267" i="30294"/>
  <c r="AW268" i="30294" s="1"/>
  <c r="H57" i="30291" s="1"/>
  <c r="AE20" i="30308"/>
  <c r="M345" i="30294"/>
  <c r="AL15" i="30308"/>
  <c r="AT15" i="30308" s="1"/>
  <c r="AA16" i="30308"/>
  <c r="AS345" i="30294"/>
  <c r="AI20" i="30308"/>
  <c r="AQ20" i="30308" s="1"/>
  <c r="AW345" i="30294"/>
  <c r="AM20" i="30308"/>
  <c r="AR345" i="30294"/>
  <c r="AH20" i="30308"/>
  <c r="AP20" i="30308" s="1"/>
  <c r="U345" i="30294"/>
  <c r="AM16" i="30308"/>
  <c r="AE345" i="30294"/>
  <c r="AI18" i="30308"/>
  <c r="AQ18" i="30308" s="1"/>
  <c r="AD16" i="30308"/>
  <c r="Z17" i="30308"/>
  <c r="Q345" i="30294"/>
  <c r="AI16" i="30308"/>
  <c r="AQ16" i="30308" s="1"/>
  <c r="P345" i="30294"/>
  <c r="AH16" i="30308"/>
  <c r="AP16" i="30308" s="1"/>
  <c r="R345" i="30294"/>
  <c r="AJ16" i="30308"/>
  <c r="AR16" i="30308" s="1"/>
  <c r="AB267" i="30294"/>
  <c r="AB268" i="30294" s="1"/>
  <c r="H54" i="30291" s="1"/>
  <c r="AW343" i="30294"/>
  <c r="AB343" i="30294"/>
  <c r="J343" i="30294"/>
  <c r="AS343" i="30294"/>
  <c r="AS267" i="30294"/>
  <c r="AS268" i="30294" s="1"/>
  <c r="D57" i="30291" s="1"/>
  <c r="AL343" i="30294"/>
  <c r="AL267" i="30294"/>
  <c r="AL268" i="30294" s="1"/>
  <c r="D56" i="30291" s="1"/>
  <c r="AK343" i="30294"/>
  <c r="Y343" i="30294"/>
  <c r="Y267" i="30294"/>
  <c r="Y268" i="30294" s="1"/>
  <c r="E54" i="30291" s="1"/>
  <c r="Q343" i="30294"/>
  <c r="Q267" i="30294"/>
  <c r="Q268" i="30294" s="1"/>
  <c r="D53" i="30291" s="1"/>
  <c r="R343" i="30294"/>
  <c r="W343" i="30294"/>
  <c r="W267" i="30294"/>
  <c r="W268" i="30294" s="1"/>
  <c r="C54" i="30291" s="1"/>
  <c r="AF267" i="30294"/>
  <c r="AF268" i="30294" s="1"/>
  <c r="E55" i="30291" s="1"/>
  <c r="AF343" i="30294"/>
  <c r="I267" i="30294"/>
  <c r="I268" i="30294" s="1"/>
  <c r="C52" i="30291" s="1"/>
  <c r="I343" i="30294"/>
  <c r="M267" i="30294"/>
  <c r="M343" i="30294"/>
  <c r="X267" i="30294"/>
  <c r="X268" i="30294" s="1"/>
  <c r="D54" i="30291" s="1"/>
  <c r="X343" i="30294"/>
  <c r="AE267" i="30294"/>
  <c r="AE268" i="30294" s="1"/>
  <c r="D55" i="30291" s="1"/>
  <c r="AE343" i="30294"/>
  <c r="AT343" i="30294"/>
  <c r="AT267" i="30294"/>
  <c r="AT268" i="30294" s="1"/>
  <c r="E57" i="30291" s="1"/>
  <c r="P267" i="30294"/>
  <c r="P268" i="30294" s="1"/>
  <c r="C53" i="30291" s="1"/>
  <c r="P343" i="30294"/>
  <c r="AO343" i="30294"/>
  <c r="AO267" i="30294"/>
  <c r="AO268" i="30294" s="1"/>
  <c r="G56" i="30291" s="1"/>
  <c r="AR343" i="30294"/>
  <c r="AR267" i="30294"/>
  <c r="AR268" i="30294" s="1"/>
  <c r="C57" i="30291" s="1"/>
  <c r="U343" i="30294"/>
  <c r="U267" i="30294"/>
  <c r="U268" i="30294" s="1"/>
  <c r="H53" i="30291" s="1"/>
  <c r="J79" i="30291" l="1"/>
  <c r="I351" i="30294"/>
  <c r="I346" i="30294" s="1"/>
  <c r="J80" i="30291"/>
  <c r="K351" i="30294"/>
  <c r="AT351" i="30294"/>
  <c r="R351" i="30294"/>
  <c r="AM351" i="30294"/>
  <c r="AD351" i="30294"/>
  <c r="Z351" i="30294"/>
  <c r="AI351" i="30294"/>
  <c r="U351" i="30294"/>
  <c r="AL351" i="30294"/>
  <c r="AK351" i="30294"/>
  <c r="AF351" i="30294"/>
  <c r="AR351" i="30294"/>
  <c r="AS351" i="30294"/>
  <c r="AU351" i="30294"/>
  <c r="AE351" i="30294"/>
  <c r="AW351" i="30294"/>
  <c r="AP351" i="30294"/>
  <c r="S351" i="30294"/>
  <c r="AO351" i="30294"/>
  <c r="W351" i="30294"/>
  <c r="X351" i="30294"/>
  <c r="P351" i="30294"/>
  <c r="Q351" i="30294"/>
  <c r="AB351" i="30294"/>
  <c r="AA351" i="30294"/>
  <c r="AH351" i="30294"/>
  <c r="Y351" i="30294"/>
  <c r="J351" i="30294"/>
  <c r="AN351" i="30294"/>
  <c r="AG351" i="30294"/>
  <c r="L351" i="30294"/>
  <c r="T351" i="30294"/>
  <c r="N351" i="30294"/>
  <c r="AU20" i="30308"/>
  <c r="AU19" i="30308"/>
  <c r="AU18" i="30308"/>
  <c r="AU16" i="30308"/>
  <c r="AU17" i="30308"/>
  <c r="AU15" i="30308"/>
  <c r="AO265" i="30294"/>
  <c r="AT265" i="30294"/>
  <c r="T265" i="30294"/>
  <c r="AW265" i="30294"/>
  <c r="AP265" i="30294"/>
  <c r="AL265" i="30294"/>
  <c r="AA265" i="30294"/>
  <c r="AM265" i="30294"/>
  <c r="AN265" i="30294"/>
  <c r="K265" i="30294"/>
  <c r="K266" i="30294" s="1"/>
  <c r="E44" i="30291" s="1"/>
  <c r="Z265" i="30294"/>
  <c r="Z266" i="30294" s="1"/>
  <c r="N265" i="30294"/>
  <c r="N266" i="30294" s="1"/>
  <c r="H44" i="30291" s="1"/>
  <c r="AI265" i="30294"/>
  <c r="S265" i="30294"/>
  <c r="L265" i="30294"/>
  <c r="L266" i="30294" s="1"/>
  <c r="F44" i="30291" s="1"/>
  <c r="AS265" i="30294"/>
  <c r="AE265" i="30294"/>
  <c r="J265" i="30294"/>
  <c r="J266" i="30294" s="1"/>
  <c r="D44" i="30291" s="1"/>
  <c r="AH265" i="30294"/>
  <c r="Q265" i="30294"/>
  <c r="Q266" i="30294" s="1"/>
  <c r="I265" i="30294"/>
  <c r="I266" i="30294" s="1"/>
  <c r="Y265" i="30294"/>
  <c r="Y266" i="30294" s="1"/>
  <c r="AG265" i="30294"/>
  <c r="R265" i="30294"/>
  <c r="R266" i="30294" s="1"/>
  <c r="AU265" i="30294"/>
  <c r="U265" i="30294"/>
  <c r="AF265" i="30294"/>
  <c r="X265" i="30294"/>
  <c r="AB265" i="30294"/>
  <c r="M268" i="30294"/>
  <c r="G52" i="30291" s="1"/>
  <c r="AD265" i="30294"/>
  <c r="AK265" i="30294"/>
  <c r="W265" i="30294"/>
  <c r="P265" i="30294"/>
  <c r="AR265" i="30294"/>
  <c r="C44" i="30291" l="1"/>
  <c r="C68" i="30291"/>
  <c r="E61" i="30291"/>
  <c r="E69" i="30291"/>
  <c r="E45" i="30291"/>
  <c r="F68" i="30291"/>
  <c r="F60" i="30291"/>
  <c r="F46" i="30291"/>
  <c r="F70" i="30291"/>
  <c r="F62" i="30291"/>
  <c r="AD346" i="30294"/>
  <c r="D68" i="30291"/>
  <c r="D60" i="30291"/>
  <c r="D45" i="30291"/>
  <c r="E46" i="30291"/>
  <c r="E70" i="30291"/>
  <c r="E62" i="30291"/>
  <c r="E68" i="30291"/>
  <c r="E60" i="30291"/>
  <c r="AR346" i="30294"/>
  <c r="H68" i="30291"/>
  <c r="H60" i="30291"/>
  <c r="D61" i="30291"/>
  <c r="D69" i="30291"/>
  <c r="P346" i="30294"/>
  <c r="AK346" i="30294"/>
  <c r="W346" i="30294"/>
  <c r="C60" i="30291"/>
  <c r="M351" i="30294"/>
  <c r="AA266" i="30294"/>
  <c r="G62" i="30291" s="1"/>
  <c r="R18" i="30308"/>
  <c r="AF266" i="30294"/>
  <c r="E63" i="30291" s="1"/>
  <c r="AX18" i="30308"/>
  <c r="BG18" i="30308" s="1"/>
  <c r="U266" i="30294"/>
  <c r="H61" i="30291" s="1"/>
  <c r="S266" i="30294"/>
  <c r="F69" i="30291" s="1"/>
  <c r="T266" i="30294"/>
  <c r="G69" i="30291" s="1"/>
  <c r="I56" i="30291"/>
  <c r="AG266" i="30294"/>
  <c r="F63" i="30291" s="1"/>
  <c r="AB266" i="30294"/>
  <c r="H70" i="30291" s="1"/>
  <c r="X266" i="30294"/>
  <c r="I54" i="30291"/>
  <c r="AE346" i="30294"/>
  <c r="I53" i="30291"/>
  <c r="I57" i="30291"/>
  <c r="I55" i="30291"/>
  <c r="M265" i="30294"/>
  <c r="AX17" i="30308"/>
  <c r="BG17" i="30308" s="1"/>
  <c r="AX16" i="30308"/>
  <c r="BG16" i="30308" s="1"/>
  <c r="AX19" i="30308"/>
  <c r="BG19" i="30308" s="1"/>
  <c r="AQ265" i="30294"/>
  <c r="AX15" i="30308"/>
  <c r="BG15" i="30308" s="1"/>
  <c r="W266" i="30294"/>
  <c r="AJ265" i="30294"/>
  <c r="AX265" i="30294"/>
  <c r="AX20" i="30308"/>
  <c r="BG20" i="30308" s="1"/>
  <c r="AD266" i="30294"/>
  <c r="C63" i="30291" s="1"/>
  <c r="X346" i="30294"/>
  <c r="R17" i="30308"/>
  <c r="AS346" i="30294"/>
  <c r="R20" i="30308"/>
  <c r="Q346" i="30294"/>
  <c r="R16" i="30308"/>
  <c r="AL346" i="30294"/>
  <c r="R19" i="30308"/>
  <c r="J346" i="30294"/>
  <c r="R15" i="30308"/>
  <c r="AC265" i="30294"/>
  <c r="P266" i="30294"/>
  <c r="C69" i="30291" s="1"/>
  <c r="V265" i="30294"/>
  <c r="AN266" i="30294"/>
  <c r="AK266" i="30294"/>
  <c r="C72" i="30291" s="1"/>
  <c r="AM266" i="30294"/>
  <c r="E72" i="30291" s="1"/>
  <c r="AH266" i="30294"/>
  <c r="G63" i="30291" s="1"/>
  <c r="AI266" i="30294"/>
  <c r="AE266" i="30294"/>
  <c r="D63" i="30291" s="1"/>
  <c r="C61" i="30291" l="1"/>
  <c r="G70" i="30291"/>
  <c r="G71" i="30291"/>
  <c r="D71" i="30291"/>
  <c r="H62" i="30291"/>
  <c r="H71" i="30291"/>
  <c r="H63" i="30291"/>
  <c r="F72" i="30291"/>
  <c r="F64" i="30291"/>
  <c r="G61" i="30291"/>
  <c r="G45" i="30291"/>
  <c r="D47" i="30291"/>
  <c r="H46" i="30291"/>
  <c r="C64" i="30291"/>
  <c r="C46" i="30291"/>
  <c r="D46" i="30291"/>
  <c r="H47" i="30291"/>
  <c r="G47" i="30291"/>
  <c r="F47" i="30291"/>
  <c r="C48" i="30291"/>
  <c r="F61" i="30291"/>
  <c r="C45" i="30291"/>
  <c r="F71" i="30291"/>
  <c r="E48" i="30291"/>
  <c r="H45" i="30291"/>
  <c r="E47" i="30291"/>
  <c r="C70" i="30291"/>
  <c r="D62" i="30291"/>
  <c r="F48" i="30291"/>
  <c r="F45" i="30291"/>
  <c r="H69" i="30291"/>
  <c r="C47" i="30291"/>
  <c r="C62" i="30291"/>
  <c r="E71" i="30291"/>
  <c r="C71" i="30291"/>
  <c r="G46" i="30291"/>
  <c r="D70" i="30291"/>
  <c r="E64" i="30291"/>
  <c r="BO14" i="30308"/>
  <c r="AY18" i="30308"/>
  <c r="BH18" i="30308" s="1"/>
  <c r="J54" i="30291"/>
  <c r="J57" i="30291"/>
  <c r="S18" i="30308"/>
  <c r="J55" i="30291"/>
  <c r="AF346" i="30294"/>
  <c r="J56" i="30291"/>
  <c r="M266" i="30294"/>
  <c r="G44" i="30291" s="1"/>
  <c r="O265" i="30294"/>
  <c r="AY19" i="30308"/>
  <c r="BH19" i="30308" s="1"/>
  <c r="AY16" i="30308"/>
  <c r="BH16" i="30308" s="1"/>
  <c r="AY20" i="30308"/>
  <c r="BH20" i="30308" s="1"/>
  <c r="AY17" i="30308"/>
  <c r="BH17" i="30308" s="1"/>
  <c r="AY15" i="30308"/>
  <c r="BH15" i="30308" s="1"/>
  <c r="K346" i="30294"/>
  <c r="S15" i="30308"/>
  <c r="R346" i="30294"/>
  <c r="S16" i="30308"/>
  <c r="AM346" i="30294"/>
  <c r="S19" i="30308"/>
  <c r="Y346" i="30294"/>
  <c r="S17" i="30308"/>
  <c r="AT346" i="30294"/>
  <c r="S20" i="30308"/>
  <c r="AP266" i="30294"/>
  <c r="AO266" i="30294"/>
  <c r="AT266" i="30294"/>
  <c r="AR266" i="30294"/>
  <c r="C65" i="30291" s="1"/>
  <c r="AU266" i="30294"/>
  <c r="AL266" i="30294"/>
  <c r="C33" i="30291" l="1"/>
  <c r="G68" i="30291"/>
  <c r="G60" i="30291"/>
  <c r="F49" i="30291"/>
  <c r="F23" i="30291" s="1" a="1"/>
  <c r="F23" i="30291" s="1"/>
  <c r="F65" i="30291"/>
  <c r="F73" i="30291"/>
  <c r="G48" i="30291"/>
  <c r="G72" i="30291"/>
  <c r="G64" i="30291"/>
  <c r="D48" i="30291"/>
  <c r="D72" i="30291"/>
  <c r="D64" i="30291"/>
  <c r="C49" i="30291"/>
  <c r="C23" i="30291" s="1" a="1"/>
  <c r="C23" i="30291" s="1"/>
  <c r="C73" i="30291"/>
  <c r="C34" i="30291" s="1"/>
  <c r="E49" i="30291"/>
  <c r="E23" i="30291" s="1" a="1"/>
  <c r="E23" i="30291" s="1"/>
  <c r="E65" i="30291"/>
  <c r="E73" i="30291"/>
  <c r="H48" i="30291"/>
  <c r="H72" i="30291"/>
  <c r="H64" i="30291"/>
  <c r="BP14" i="30308"/>
  <c r="AZ18" i="30308"/>
  <c r="BI18" i="30308" s="1"/>
  <c r="T18" i="30308"/>
  <c r="AG346" i="30294"/>
  <c r="AZ19" i="30308"/>
  <c r="BI19" i="30308" s="1"/>
  <c r="AZ16" i="30308"/>
  <c r="BI16" i="30308" s="1"/>
  <c r="AZ15" i="30308"/>
  <c r="BI15" i="30308" s="1"/>
  <c r="AZ20" i="30308"/>
  <c r="BI20" i="30308" s="1"/>
  <c r="AZ17" i="30308"/>
  <c r="BI17" i="30308" s="1"/>
  <c r="L346" i="30294"/>
  <c r="T15" i="30308"/>
  <c r="AU346" i="30294"/>
  <c r="T20" i="30308"/>
  <c r="Z346" i="30294"/>
  <c r="T17" i="30308"/>
  <c r="AN346" i="30294"/>
  <c r="T19" i="30308"/>
  <c r="S346" i="30294"/>
  <c r="T16" i="30308"/>
  <c r="AV266" i="30294"/>
  <c r="AS266" i="30294"/>
  <c r="AW266" i="30294"/>
  <c r="C32" i="30291" l="1"/>
  <c r="F32" i="30291"/>
  <c r="E32" i="30291"/>
  <c r="I44" i="30291"/>
  <c r="H49" i="30291"/>
  <c r="H32" i="30291" s="1"/>
  <c r="H73" i="30291"/>
  <c r="H34" i="30291" s="1"/>
  <c r="H65" i="30291"/>
  <c r="H33" i="30291" s="1"/>
  <c r="D49" i="30291"/>
  <c r="D73" i="30291"/>
  <c r="D65" i="30291"/>
  <c r="G49" i="30291"/>
  <c r="G32" i="30291" s="1"/>
  <c r="G73" i="30291"/>
  <c r="G27" i="30291" s="1" a="1"/>
  <c r="G27" i="30291" s="1"/>
  <c r="G28" i="30291" s="1"/>
  <c r="G65" i="30291"/>
  <c r="BQ14" i="30308"/>
  <c r="U18" i="30308"/>
  <c r="BA18" i="30308"/>
  <c r="BJ18" i="30308" s="1"/>
  <c r="AH346" i="30294"/>
  <c r="BA20" i="30308"/>
  <c r="BJ20" i="30308" s="1"/>
  <c r="BA16" i="30308"/>
  <c r="BJ16" i="30308" s="1"/>
  <c r="BA15" i="30308"/>
  <c r="BJ15" i="30308" s="1"/>
  <c r="BA19" i="30308"/>
  <c r="BJ19" i="30308" s="1"/>
  <c r="BA17" i="30308"/>
  <c r="BJ17" i="30308" s="1"/>
  <c r="M346" i="30294"/>
  <c r="U15" i="30308"/>
  <c r="AO346" i="30294"/>
  <c r="U19" i="30308"/>
  <c r="AA346" i="30294"/>
  <c r="U17" i="30308"/>
  <c r="AV346" i="30294"/>
  <c r="U20" i="30308"/>
  <c r="T346" i="30294"/>
  <c r="U16" i="30308"/>
  <c r="G23" i="30291" l="1" a="1"/>
  <c r="G23" i="30291" s="1"/>
  <c r="D23" i="30291" a="1"/>
  <c r="D23" i="30291" s="1"/>
  <c r="D32" i="30291"/>
  <c r="H23" i="30291" a="1"/>
  <c r="H23" i="30291" s="1"/>
  <c r="I52" i="30291"/>
  <c r="BR14" i="30308"/>
  <c r="AI346" i="30294"/>
  <c r="BB18" i="30308"/>
  <c r="BK18" i="30308" s="1"/>
  <c r="V18" i="30308"/>
  <c r="BB20" i="30308"/>
  <c r="BK20" i="30308" s="1"/>
  <c r="BB17" i="30308"/>
  <c r="BK17" i="30308" s="1"/>
  <c r="BB15" i="30308"/>
  <c r="BK15" i="30308" s="1"/>
  <c r="BB19" i="30308"/>
  <c r="BK19" i="30308" s="1"/>
  <c r="BB16" i="30308"/>
  <c r="BK16" i="30308" s="1"/>
  <c r="U346" i="30294"/>
  <c r="V16" i="30308"/>
  <c r="AW346" i="30294"/>
  <c r="V20" i="30308"/>
  <c r="AB346" i="30294"/>
  <c r="V17" i="30308"/>
  <c r="AP346" i="30294"/>
  <c r="V19" i="30308"/>
  <c r="N346" i="30294"/>
  <c r="V15" i="30308"/>
  <c r="I32" i="30291" l="1"/>
  <c r="J53" i="30291"/>
  <c r="BS14" i="30308"/>
  <c r="BC18" i="30308"/>
  <c r="BL18" i="30308" s="1"/>
  <c r="W18" i="30308"/>
  <c r="AX25" i="30308"/>
  <c r="BG25" i="30308" s="1"/>
  <c r="W19" i="30308"/>
  <c r="BC19" i="30308"/>
  <c r="BL19" i="30308" s="1"/>
  <c r="W15" i="30308"/>
  <c r="BC15" i="30308"/>
  <c r="BL15" i="30308" s="1"/>
  <c r="W17" i="30308"/>
  <c r="BC17" i="30308"/>
  <c r="BL17" i="30308" s="1"/>
  <c r="W16" i="30308"/>
  <c r="BC16" i="30308"/>
  <c r="BL16" i="30308" s="1"/>
  <c r="W20" i="30308"/>
  <c r="BC20" i="30308"/>
  <c r="BL20" i="30308" s="1"/>
  <c r="R25" i="30308"/>
  <c r="BT14" i="30308" l="1"/>
  <c r="D24" i="30291"/>
  <c r="I47" i="30291"/>
  <c r="I45" i="30291"/>
  <c r="I49" i="30291"/>
  <c r="F24" i="30291"/>
  <c r="C24" i="30291"/>
  <c r="E24" i="30291"/>
  <c r="I48" i="30291"/>
  <c r="I46" i="30291"/>
  <c r="H24" i="30291"/>
  <c r="G24" i="30291"/>
  <c r="BT16" i="30308" l="1"/>
  <c r="J45" i="30291"/>
  <c r="J46" i="30291"/>
  <c r="J49" i="30291"/>
  <c r="J47" i="30291"/>
  <c r="J48" i="30291"/>
  <c r="I24" i="30291"/>
  <c r="S24" i="30308" l="1"/>
  <c r="AY24" i="30308"/>
  <c r="BH24" i="30308" s="1"/>
  <c r="AY30" i="30308" l="1"/>
  <c r="BH30" i="30308" s="1"/>
  <c r="AY25" i="30308"/>
  <c r="BH25" i="30308" s="1"/>
  <c r="AY29" i="30308"/>
  <c r="BH29" i="30308" s="1"/>
  <c r="S25" i="30308"/>
  <c r="S29" i="30308"/>
  <c r="S30" i="30308"/>
  <c r="AY28" i="30308"/>
  <c r="BH28" i="30308" s="1"/>
  <c r="S28" i="30308"/>
  <c r="AY26" i="30308"/>
  <c r="BH26" i="30308" s="1"/>
  <c r="S26" i="30308"/>
  <c r="AY27" i="30308"/>
  <c r="BH27" i="30308" s="1"/>
  <c r="S27" i="30308"/>
  <c r="BP24" i="30308" l="1"/>
  <c r="T25" i="30308"/>
  <c r="AZ25" i="30308"/>
  <c r="BI25" i="30308" s="1"/>
  <c r="T29" i="30308"/>
  <c r="AZ29" i="30308"/>
  <c r="BI29" i="30308" s="1"/>
  <c r="T28" i="30308"/>
  <c r="AZ30" i="30308"/>
  <c r="BI30" i="30308" s="1"/>
  <c r="T27" i="30308"/>
  <c r="AZ28" i="30308"/>
  <c r="BI28" i="30308" s="1"/>
  <c r="AZ27" i="30308"/>
  <c r="BI27" i="30308" s="1"/>
  <c r="T30" i="30308"/>
  <c r="T26" i="30308"/>
  <c r="AZ26" i="30308"/>
  <c r="BI26" i="30308" s="1"/>
  <c r="BQ24" i="30308" l="1"/>
  <c r="U25" i="30308"/>
  <c r="BA25" i="30308"/>
  <c r="BJ25" i="30308" s="1"/>
  <c r="BA30" i="30308"/>
  <c r="BJ30" i="30308" s="1"/>
  <c r="U30" i="30308"/>
  <c r="U29" i="30308"/>
  <c r="BA29" i="30308"/>
  <c r="BJ29" i="30308" s="1"/>
  <c r="BA27" i="30308"/>
  <c r="BJ27" i="30308" s="1"/>
  <c r="U28" i="30308"/>
  <c r="BA28" i="30308"/>
  <c r="BJ28" i="30308" s="1"/>
  <c r="U27" i="30308"/>
  <c r="U26" i="30308"/>
  <c r="BA26" i="30308"/>
  <c r="BJ26" i="30308" s="1"/>
  <c r="BR24" i="30308" l="1"/>
  <c r="BB25" i="30308"/>
  <c r="BK25" i="30308" s="1"/>
  <c r="V25" i="30308"/>
  <c r="V30" i="30308"/>
  <c r="BB30" i="30308"/>
  <c r="BK30" i="30308" s="1"/>
  <c r="BB29" i="30308"/>
  <c r="BK29" i="30308" s="1"/>
  <c r="V29" i="30308"/>
  <c r="V28" i="30308"/>
  <c r="BB28" i="30308"/>
  <c r="BK28" i="30308" s="1"/>
  <c r="BB27" i="30308"/>
  <c r="BK27" i="30308" s="1"/>
  <c r="V27" i="30308"/>
  <c r="BB26" i="30308"/>
  <c r="BK26" i="30308" s="1"/>
  <c r="V26" i="30308"/>
  <c r="BS24" i="30308" l="1"/>
  <c r="W25" i="30308"/>
  <c r="BC25" i="30308"/>
  <c r="BL25" i="30308" s="1"/>
  <c r="W30" i="30308"/>
  <c r="BC30" i="30308"/>
  <c r="BL30" i="30308" s="1"/>
  <c r="BC29" i="30308"/>
  <c r="BL29" i="30308" s="1"/>
  <c r="W29" i="30308"/>
  <c r="W28" i="30308"/>
  <c r="BC28" i="30308"/>
  <c r="BL28" i="30308" s="1"/>
  <c r="W27" i="30308"/>
  <c r="BC27" i="30308"/>
  <c r="BL27" i="30308" s="1"/>
  <c r="W26" i="30308"/>
  <c r="BC26" i="30308"/>
  <c r="BL26" i="30308" s="1"/>
  <c r="BT24" i="30308" l="1"/>
  <c r="I39" i="30291" s="1"/>
  <c r="BT26" i="30308" l="1"/>
  <c r="I41" i="30291" s="1"/>
  <c r="H25" i="30291" a="1"/>
  <c r="H25" i="30291" s="1"/>
  <c r="H26" i="30291" s="1"/>
  <c r="C27" i="30291" l="1" a="1"/>
  <c r="C27" i="30291" s="1"/>
  <c r="C28" i="30291" s="1"/>
  <c r="H27" i="30291" a="1"/>
  <c r="H27" i="30291" s="1"/>
  <c r="H28" i="30291" s="1"/>
  <c r="F25" i="30291" a="1"/>
  <c r="F25" i="30291" s="1"/>
  <c r="F26" i="30291" s="1"/>
  <c r="C25" i="30291" a="1"/>
  <c r="C25" i="30291" s="1"/>
  <c r="C26" i="30291" s="1"/>
  <c r="E25" i="30291" a="1"/>
  <c r="E25" i="30291" s="1"/>
  <c r="E26" i="30291" s="1"/>
  <c r="F27" i="30291" a="1"/>
  <c r="F27" i="30291" s="1"/>
  <c r="F28" i="30291" s="1"/>
  <c r="G25" i="30291" a="1"/>
  <c r="G25" i="30291" s="1"/>
  <c r="G26" i="30291" s="1"/>
  <c r="D25" i="30291" a="1"/>
  <c r="D25" i="30291" s="1"/>
  <c r="D26" i="30291" s="1"/>
  <c r="E27" i="30291" a="1"/>
  <c r="E27" i="30291" s="1"/>
  <c r="E28" i="30291" s="1"/>
  <c r="D27" i="30291" a="1"/>
  <c r="D27" i="30291" s="1"/>
  <c r="D28" i="30291" s="1"/>
  <c r="F34" i="30291"/>
  <c r="D33" i="30291"/>
  <c r="G34" i="30291"/>
  <c r="G33" i="30291"/>
  <c r="D34" i="30291"/>
  <c r="F33" i="30291"/>
  <c r="E33" i="30291"/>
  <c r="E34" i="30291"/>
  <c r="I60" i="30291"/>
  <c r="I64" i="30291"/>
  <c r="I61" i="30291"/>
  <c r="I62" i="30291"/>
  <c r="I65" i="30291"/>
  <c r="I63" i="30291"/>
  <c r="I69" i="30291"/>
  <c r="I72" i="30291"/>
  <c r="I68" i="30291"/>
  <c r="I71" i="30291"/>
  <c r="I70" i="30291"/>
  <c r="I73" i="30291"/>
  <c r="I33" i="30291" l="1"/>
  <c r="I34" i="30291"/>
  <c r="J61" i="30291"/>
  <c r="J65" i="30291"/>
  <c r="J62" i="30291"/>
  <c r="J63" i="30291"/>
  <c r="J64" i="30291"/>
  <c r="J72" i="30291"/>
  <c r="J69" i="30291"/>
  <c r="J73" i="30291"/>
  <c r="J70" i="30291"/>
  <c r="J71" i="30291"/>
  <c r="I26" i="30291"/>
  <c r="I28" i="3029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Spinler, Mikayla S</author>
    <author>Mikayla Spinler</author>
  </authors>
  <commentList>
    <comment ref="G5" authorId="0" shapeId="0" xr:uid="{402171F7-2A89-8D44-B933-9339D52E6E05}">
      <text>
        <r>
          <rPr>
            <b/>
            <sz val="10"/>
            <color rgb="FF000000"/>
            <rFont val="Tahoma"/>
            <family val="2"/>
          </rPr>
          <t>Select yes if you would like to use fat to equalize energy in diets with  and without DDGS.</t>
        </r>
        <r>
          <rPr>
            <sz val="10"/>
            <color rgb="FF000000"/>
            <rFont val="Tahoma"/>
            <family val="2"/>
          </rPr>
          <t xml:space="preserve">
</t>
        </r>
      </text>
    </comment>
    <comment ref="G6" authorId="1" shapeId="0" xr:uid="{80F1CF61-1CB5-4865-8950-EC59DDE7C4ED}">
      <text>
        <r>
          <rPr>
            <b/>
            <sz val="9"/>
            <color indexed="81"/>
            <rFont val="Tahoma"/>
            <family val="2"/>
          </rPr>
          <t xml:space="preserve">Select yes if you would like to remove DDGS in the diet during the last dietary phase and no if you like to include DDGS in the diet up to market.
</t>
        </r>
      </text>
    </comment>
    <comment ref="G7" authorId="1" shapeId="0" xr:uid="{5AFF2D75-B353-4717-AC1E-4D59871B9B28}">
      <text>
        <r>
          <rPr>
            <b/>
            <sz val="9"/>
            <color indexed="81"/>
            <rFont val="Tahoma"/>
            <family val="2"/>
          </rPr>
          <t xml:space="preserve">Select yes if you would like to include L-Val in the diet and no if you do not want to include L-Val in the diet.
</t>
        </r>
      </text>
    </comment>
    <comment ref="G9" authorId="1" shapeId="0" xr:uid="{F5D7E75B-569C-408C-9E7F-9952C11D15F8}">
      <text>
        <r>
          <rPr>
            <b/>
            <sz val="9"/>
            <color indexed="81"/>
            <rFont val="Tahoma"/>
            <family val="2"/>
          </rPr>
          <t xml:space="preserve">Input the base yield for your system
</t>
        </r>
      </text>
    </comment>
    <comment ref="G12" authorId="1" shapeId="0" xr:uid="{95EC3BC8-4C9D-42BF-A428-2D847E9A4EC5}">
      <text>
        <r>
          <rPr>
            <b/>
            <sz val="9"/>
            <color indexed="81"/>
            <rFont val="Tahoma"/>
            <family val="2"/>
          </rPr>
          <t xml:space="preserve">NE of DDGS can be determine as a ratio relative to the NE of corn or using a prediction equation using DDGS oil and ADF content. </t>
        </r>
      </text>
    </comment>
    <comment ref="B23" authorId="1" shapeId="0" xr:uid="{F1A89250-2881-4B72-97A3-38D0792B413D}">
      <text>
        <r>
          <rPr>
            <b/>
            <sz val="9"/>
            <color indexed="81"/>
            <rFont val="Tahoma"/>
            <family val="2"/>
          </rPr>
          <t xml:space="preserve">DDGS level to include in the diet for maximum feed cost savings compared to 0% DDGS diets.
</t>
        </r>
      </text>
    </comment>
    <comment ref="B25" authorId="1" shapeId="0" xr:uid="{50898DE8-6167-4647-AF2C-DDB64D10D7DA}">
      <text>
        <r>
          <rPr>
            <b/>
            <sz val="9"/>
            <color indexed="81"/>
            <rFont val="Tahoma"/>
            <family val="2"/>
          </rPr>
          <t xml:space="preserve">DDGS level to include in the diet for highest income over feed on a live weight basis compared to 0% DDGS diets.
</t>
        </r>
      </text>
    </comment>
    <comment ref="B27" authorId="1" shapeId="0" xr:uid="{7903B948-F4F4-4DEA-B55B-1A32C1306424}">
      <text>
        <r>
          <rPr>
            <b/>
            <sz val="9"/>
            <color indexed="81"/>
            <rFont val="Tahoma"/>
            <family val="2"/>
          </rPr>
          <t>DDGS level to include in the diet for highest income over feed on a carcass weight basis compared to 0% DDGS diets.</t>
        </r>
      </text>
    </comment>
    <comment ref="H31" authorId="1" shapeId="0" xr:uid="{BFD3F099-A4F1-4D0C-8A97-E571CF7399BF}">
      <text>
        <r>
          <rPr>
            <b/>
            <sz val="9"/>
            <color indexed="81"/>
            <rFont val="Tahoma"/>
            <family val="2"/>
          </rPr>
          <t xml:space="preserve">If you select yes for removing DDGS from the last phase, select 0% DDGS
</t>
        </r>
      </text>
    </comment>
    <comment ref="B32" authorId="1" shapeId="0" xr:uid="{50E2967F-1AC1-43ED-93A9-2051C8F91948}">
      <text>
        <r>
          <rPr>
            <b/>
            <sz val="9"/>
            <color indexed="81"/>
            <rFont val="Tahoma"/>
            <family val="2"/>
          </rPr>
          <t xml:space="preserve">Differnce in feed cost savings between the selected DDGS level and 0% DDGS.
</t>
        </r>
      </text>
    </comment>
    <comment ref="B33" authorId="1" shapeId="0" xr:uid="{5CD6D66B-1751-4314-BC62-082820D2FA51}">
      <text>
        <r>
          <rPr>
            <b/>
            <sz val="9"/>
            <color indexed="81"/>
            <rFont val="Tahoma"/>
            <family val="2"/>
          </rPr>
          <t>Difference in income over feed cost on a live weight basis between the selected DDGS level and 0% DDGS.</t>
        </r>
      </text>
    </comment>
    <comment ref="B34" authorId="1" shapeId="0" xr:uid="{E9CCBB7D-952C-4C18-909B-C9339E3E5798}">
      <text>
        <r>
          <rPr>
            <b/>
            <sz val="9"/>
            <color indexed="81"/>
            <rFont val="Tahoma"/>
            <family val="2"/>
          </rPr>
          <t>Difference in income over feed cost on a carcass weight basis between the selected DDGS level and 0% DDGS.</t>
        </r>
      </text>
    </comment>
    <comment ref="I37" authorId="1" shapeId="0" xr:uid="{8E9E8F7E-2584-472F-8CDF-A360B4EA3E51}">
      <text>
        <r>
          <rPr>
            <b/>
            <sz val="9"/>
            <color indexed="81"/>
            <rFont val="Tahoma"/>
            <family val="2"/>
          </rPr>
          <t xml:space="preserve">Percent difference in ADG between the selected DDGS level and 0% DDGS diet.
</t>
        </r>
        <r>
          <rPr>
            <sz val="9"/>
            <color indexed="81"/>
            <rFont val="Tahoma"/>
            <family val="2"/>
          </rPr>
          <t xml:space="preserve">
</t>
        </r>
      </text>
    </comment>
    <comment ref="I38" authorId="1" shapeId="0" xr:uid="{1C6AE008-9EF0-40E4-9CC7-9664DCC3DF77}">
      <text>
        <r>
          <rPr>
            <b/>
            <sz val="9"/>
            <color indexed="81"/>
            <rFont val="Tahoma"/>
            <family val="2"/>
          </rPr>
          <t>Percent difference in F/G between the selected DDGS level and 0% DDGS diet.</t>
        </r>
      </text>
    </comment>
    <comment ref="I39" authorId="1" shapeId="0" xr:uid="{EAC74337-8C10-4BFF-B851-21DF78C2CB50}">
      <text>
        <r>
          <rPr>
            <b/>
            <sz val="9"/>
            <color indexed="81"/>
            <rFont val="Tahoma"/>
            <family val="2"/>
          </rPr>
          <t>Actual lb difference in live weight of selected DDGS level vs 0% DDGS</t>
        </r>
      </text>
    </comment>
    <comment ref="I40" authorId="1" shapeId="0" xr:uid="{C4624303-E536-48CE-A9CB-97AF18A7803E}">
      <text>
        <r>
          <rPr>
            <b/>
            <sz val="9"/>
            <color indexed="81"/>
            <rFont val="Tahoma"/>
            <family val="2"/>
          </rPr>
          <t>Actual % difference in yield of selected DDGS level vs 0% DDGS</t>
        </r>
      </text>
    </comment>
    <comment ref="I41" authorId="1" shapeId="0" xr:uid="{44D42A6B-4BBA-4546-B4B7-B14D94620932}">
      <text>
        <r>
          <rPr>
            <b/>
            <sz val="9"/>
            <color indexed="81"/>
            <rFont val="Tahoma"/>
            <family val="2"/>
          </rPr>
          <t>Actual lb difference in HCW of selected DDGS level vs 0% DDGS</t>
        </r>
      </text>
    </comment>
    <comment ref="B43" authorId="1" shapeId="0" xr:uid="{AB43FDE5-7E5A-4227-B1CE-45AE70CCE891}">
      <text>
        <r>
          <rPr>
            <b/>
            <sz val="9"/>
            <color indexed="81"/>
            <rFont val="Tahoma"/>
            <family val="2"/>
          </rPr>
          <t>This table outlines the difference in feed cost between diets without DDGS and diets containing DDGS. The feed cost savings were calculated by adjusting the feed budget based on differences in dietary energy, as well as accounting for differences in gain over the phase between diets with and without DDGS. This represents a fixed time situation, where pigs fed DDGS will be marketed at a lower weight compared to pigs fed no DDGS.All IOFC calculations use these feed cost savings.</t>
        </r>
      </text>
    </comment>
    <comment ref="B51" authorId="1" shapeId="0" xr:uid="{EBBAFA34-859C-4D3F-B7AE-3E14875465BD}">
      <text>
        <r>
          <rPr>
            <b/>
            <sz val="9"/>
            <color indexed="81"/>
            <rFont val="Tahoma"/>
            <family val="2"/>
          </rPr>
          <t xml:space="preserve">Lost revenue from decreased live weight gain as DDGS inclusion level increases. This table respresents an fixed time situation. </t>
        </r>
      </text>
    </comment>
    <comment ref="B59" authorId="1" shapeId="0" xr:uid="{C67CCEE3-EDCE-4D71-A18A-F8FAC7268329}">
      <text>
        <r>
          <rPr>
            <b/>
            <sz val="9"/>
            <color indexed="81"/>
            <rFont val="Tahoma"/>
            <family val="2"/>
          </rPr>
          <t xml:space="preserve">Difference in income over feed cost on live weight basis between DDGS diets and 0% DDGS diet as DDGS inclusion level increases. This table respresents an fixed time situation. </t>
        </r>
      </text>
    </comment>
    <comment ref="B67" authorId="1" shapeId="0" xr:uid="{88C92FBF-7857-49B2-A1F4-8DBE0ADB9746}">
      <text>
        <r>
          <rPr>
            <b/>
            <sz val="9"/>
            <color indexed="81"/>
            <rFont val="Tahoma"/>
            <family val="2"/>
          </rPr>
          <t xml:space="preserve">Difference in income over feed cost on carcass weight basis between DDGS diets and 0% DDGS diet as DDGS inclusion level increases. This table respresents an fixed time situation. </t>
        </r>
      </text>
    </comment>
    <comment ref="B75" authorId="1" shapeId="0" xr:uid="{749C3CED-DEED-41EB-8F04-11FA3DA0A7C6}">
      <text>
        <r>
          <rPr>
            <b/>
            <sz val="9"/>
            <color indexed="81"/>
            <rFont val="Tahoma"/>
            <family val="2"/>
          </rPr>
          <t>This table outlines the difference in feed cost between diets without DDGS and diets containing DDGS. The feed cost savings were calculated by adjusting the feed budget based on changes in dietary NE to achieve the same NE intake and gain by phase between the 0% DDGS diet and DDGS diets. Consider using when space long, where pigs fed diets containing DDGS can be fed longer to reach the same market weight. Please note this is the same market weight NOT carcass weight due to differences in yield.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tc={5B8CEF5B-BA0E-4355-B637-CD3E5F6B15D5}</author>
  </authors>
  <commentList>
    <comment ref="BT5" authorId="0" shapeId="0" xr:uid="{5B8CEF5B-BA0E-4355-B637-CD3E5F6B15D5}">
      <text>
        <t>[Threaded comment]
Your version of Excel allows you to read this threaded comment; however, any edits to it will get removed if the file is opened in a newer version of Excel. Learn more: https://go.microsoft.com/fwlink/?linkid=870924
Comment:
    Jose Soto et al., 2019 Yield Equation
Reply:
    Carcass yield, % = 0.03492 × WP (d) – 0.05092 × NDF1 (%) – 0.06897 × NDF2 (%) – 0.00289 × (NDF2 [%] × WP [d]) + base yield,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tc={2560A1A9-10B1-4991-8DD8-56A07F571A11}</author>
    <author>tc={ED3970D7-BC0D-4890-8596-F9CCDEAF85A1}</author>
    <author>tc={3E970242-9257-42B9-9025-69F8DFD0EB93}</author>
    <author>tc={85E2C003-F0DD-4946-BCCE-15402E0C136B}</author>
    <author>tc={5528DC87-0D1F-4F1F-BDEB-A54797BFE9F4}</author>
    <author>tc={57EA41D3-E707-439F-ADAA-40CFA77906FD}</author>
    <author>tc={8E1F8F57-012A-42BE-880B-8FAD6C90C9ED}</author>
    <author>tc={5E4CB7C9-008B-4848-A949-70AF90B89235}</author>
    <author>tc={F32932D9-817E-49E2-A11C-EBA0238C7577}</author>
    <author>tc={D83EB5DA-C2C6-4DD3-BD35-854B28672A65}</author>
    <author>tc={93C60B68-E334-49FC-9FDD-C9D776811322}</author>
    <author>tc={9E5873CD-EF1B-40DA-8701-010348F03D15}</author>
    <author>tc={105F4F04-E468-447B-91C1-E51204A20F47}</author>
    <author>tc={5C38DE7E-E6F8-4784-9CE4-0D2B8A32D23A}</author>
    <author>tc={15007171-D675-40C8-9529-FE65BC01C49B}</author>
    <author>tc={222BBE94-B749-4163-A1CC-15E46828D395}</author>
    <author>tc={DF043F51-667C-4D03-B5CC-0EA622576EC4}</author>
    <author>tc={80FEE979-58A7-4F51-B037-EFA84B78296F}</author>
    <author>tc={6B84ACC0-8068-48F7-9BC5-34D57910797A}</author>
    <author>tc={FA923CE8-B2BC-47EA-9D59-7DCC9C8AD7D2}</author>
    <author>tc={B5115C7E-D796-4E42-9F1A-072AF36FF306}</author>
    <author>tc={7AE5A642-66C6-4AC4-8001-81B7BA0345FC}</author>
    <author>tc={E3AAF264-9E5E-4424-85AB-8A647C3F92D0}</author>
    <author>tc={CDFAEC21-8CB7-4F81-9132-05E35CDAABB1}</author>
    <author>tc={1BBEC8B7-D254-4F9E-BF32-07A92FB4F011}</author>
    <author>tc={F9AE1A51-C221-4CFE-B3B3-3D9A29802E58}</author>
    <author>tc={6DD53539-4490-40E5-99DB-1DEBF7799E6D}</author>
    <author>tc={B58EBF93-767A-43C9-AF0B-E06A1DE43FFD}</author>
    <author>tc={AB9D7AF0-E1DB-443C-B2FA-19B025287EB8}</author>
    <author>tc={3BA8EADA-15D6-41FF-99FA-8AA18EAA7320}</author>
    <author>tc={742A9C95-FDF4-4885-A22A-E2A48F17BC97}</author>
    <author>tc={94BE9CBD-E66D-453B-8A87-33273DAFBF96}</author>
    <author>tc={FAE59F4B-4065-4D26-8E67-ECEE2AF47962}</author>
    <author>tc={71E73E0E-EFD5-4AE0-ADE1-FD6FF673DDDE}</author>
    <author>mike</author>
    <author>tc={8EE142F7-C4E7-4500-9CFF-DF56D6231F32}</author>
    <author>tc={0CB5CEE5-6963-46AA-B6CE-C3A5C5B8AE76}</author>
    <author>tc={33CEB0A8-BE8C-4B15-A7C0-A4234CAF708C}</author>
    <author>tc={66406BAE-1BD0-4097-818C-C3DBDB615825}</author>
    <author>tc={1F3899FC-2DDB-411D-B37A-CB383BB9B1F6}</author>
    <author>tc={C2C1E177-81C3-4E6B-A2E9-0BF958137775}</author>
    <author>tc={F1724A6E-ED63-44AD-ACEC-24F0A54264B6}</author>
    <author>tc={B123477F-CE85-44DB-86D0-97E295ADA32C}</author>
    <author>tc={41693A69-6A68-4A6F-8DE7-C525E73A85A6}</author>
    <author>tc={893D4AE5-BB55-4EDA-9062-DD6172AE3243}</author>
    <author>tc={A691FF1B-B769-493D-8959-BCA02A665384}</author>
    <author>tc={8AFB1428-276A-4C6B-8A38-13877D66C932}</author>
    <author>tc={4F8377FA-B80E-4580-9786-96B46A4DA1AB}</author>
    <author>tc={F68ED72D-E101-4950-96D7-81B50641251D}</author>
    <author>tc={69D8B2CA-23EC-42B8-A47B-0E9C3D7520F5}</author>
    <author>tc={CD6580AA-CEB0-411D-8983-621CEB1FEBDA}</author>
    <author>tc={AF4B4C8A-399C-4EAE-897F-8B2E0D59D5FE}</author>
    <author>tc={819AAB10-B9E0-494D-A1E8-0DAB9DACFAD4}</author>
    <author>tc={C813BE3B-8E5E-4958-B035-979125CBAB3C}</author>
    <author>tc={ADB7444F-A0AA-4E43-BE00-F9764B9FF9EC}</author>
    <author>tc={31C64AD3-8337-418F-82EE-FCD4E7DE3DE1}</author>
    <author>tc={954AC317-6E02-4F70-9137-051D08A53BD7}</author>
    <author>tc={DA033630-0FFC-46B7-BF57-DE21BA2DF220}</author>
    <author>tc={365BAB8D-ECF0-4F40-ADD5-F561976F30DE}</author>
    <author>tc={C7DE922A-3F7D-4BF3-8DEE-218FCBD7EB28}</author>
    <author>tc={70D3D3F9-BC9B-483D-AF1E-54582FE81075}</author>
    <author>tc={7C415DF8-E161-48B3-B50D-7EA9C3A9652C}</author>
    <author>tc={A398681D-8424-4F3D-8E93-D9BB28167AA5}</author>
    <author>tc={49F9AFB4-8D0A-4A16-9627-A61360991D4E}</author>
    <author>tc={42FA82E3-E3BD-4EE4-8D41-576D17F2950A}</author>
    <author>tc={0D16897F-F79D-4FD6-96F1-FA31F0D1835E}</author>
    <author>tc={0258BDD7-D2CC-49C9-B874-93D94F5C2037}</author>
    <author>tc={64D4862C-C39D-4BDB-9817-CFF0F770CD65}</author>
    <author>tc={BDD303DB-F2EC-4676-AA49-3033CE3BA616}</author>
    <author>tc={C0EBEF1B-9C7E-45F1-8F18-CB6ED4C0C7A0}</author>
    <author>tc={5A6EE565-5953-4077-BCCB-637FD4FA5CF1}</author>
    <author>tc={44DB574F-1F73-488C-8AB7-D45558CDA236}</author>
    <author>tc={52377392-C17E-44C5-B7A4-8FA63E1DF5BF}</author>
    <author>tc={648EAD8A-DF16-45BF-AC37-938BF2A0AE98}</author>
    <author>tc={F33BA5FD-61B4-4A54-96F9-C385354A4412}</author>
    <author>mtokach</author>
    <author>tc={0F1ACE29-C69A-4548-B0BC-928960428029}</author>
    <author>tc={3AD5EACF-51AD-4589-BC3D-E10230A66ABA}</author>
    <author>tc={D736E91C-4C82-40B8-A7AE-80BCB1A9DC63}</author>
    <author>tc={6D434380-34AE-461A-A73C-2CCDCCE18BC6}</author>
    <author>tc={41DCDF53-EB83-4EA0-A038-B76D9EC03245}</author>
    <author>catsadm</author>
    <author>tc={336AD977-5E37-4D8B-82DC-399D09118882}</author>
    <author>tc={60CA5772-0ED2-4DE2-BEC2-E7123A37A362}</author>
    <author>tc={EBC8133C-7292-488D-8113-AE09DA2CF740}</author>
    <author>tc={DAA99A8C-B5F9-48C9-8272-53BB114A00C1}</author>
    <author>tc={EFDDCBF3-F838-4017-9BDD-53917610A875}</author>
    <author>tc={C7B4EC4A-1639-4061-A1DC-4BF507C9FA65}</author>
    <author>tc={B8820E34-4611-40DB-BDD6-6B57EDE139FA}</author>
    <author>tc={DD98B53A-A500-42E5-A5CD-E632E8A888FC}</author>
    <author>tc={AF8E2732-F3CC-4F76-9864-8B42424B771C}</author>
    <author>tc={59B421BB-AE53-4DE8-AAAF-CD55B8E3DED5}</author>
    <author>tc={457B45DD-D0F6-41FD-BC0F-358779E35427}</author>
    <author>tc={E598999C-3FEB-4580-B4AB-FDD7885124FA}</author>
    <author>tc={4E27AAD5-2438-4FFC-AE7A-9AA570DCAD43}</author>
    <author>Mikayla Spinler</author>
  </authors>
  <commentList>
    <comment ref="EG7" authorId="0" shapeId="0" xr:uid="{2560A1A9-10B1-4991-8DD8-56A07F571A11}">
      <text>
        <t>[Threaded comment]
Your version of Excel allows you to read this threaded comment; however, any edits to it will get removed if the file is opened in a newer version of Excel. Learn more: https://go.microsoft.com/fwlink/?linkid=870924
Comment:
    Updated using Stein's lab values</t>
      </text>
    </comment>
    <comment ref="EG10" authorId="1" shapeId="0" xr:uid="{ED3970D7-BC0D-4890-8596-F9CCDEAF85A1}">
      <text>
        <t>[Threaded comment]
Your version of Excel allows you to read this threaded comment; however, any edits to it will get removed if the file is opened in a newer version of Excel. Learn more: https://go.microsoft.com/fwlink/?linkid=870924
Comment:
    CVB 2016</t>
      </text>
    </comment>
    <comment ref="EG11" authorId="2" shapeId="0" xr:uid="{3E970242-9257-42B9-9025-69F8DFD0EB93}">
      <text>
        <t>[Threaded comment]
Your version of Excel allows you to read this threaded comment; however, any edits to it will get removed if the file is opened in a newer version of Excel. Learn more: https://go.microsoft.com/fwlink/?linkid=870924
Comment:
    Stein Lab</t>
      </text>
    </comment>
    <comment ref="EG12" authorId="3" shapeId="0" xr:uid="{85E2C003-F0DD-4946-BCCE-15402E0C136B}">
      <text>
        <t>[Threaded comment]
Your version of Excel allows you to read this threaded comment; however, any edits to it will get removed if the file is opened in a newer version of Excel. Learn more: https://go.microsoft.com/fwlink/?linkid=870924
Comment:
    Stein Lab</t>
      </text>
    </comment>
    <comment ref="EG13" authorId="4" shapeId="0" xr:uid="{5528DC87-0D1F-4F1F-BDEB-A54797BFE9F4}">
      <text>
        <t>[Threaded comment]
Your version of Excel allows you to read this threaded comment; however, any edits to it will get removed if the file is opened in a newer version of Excel. Learn more: https://go.microsoft.com/fwlink/?linkid=870924
Comment:
    NRC 2012</t>
      </text>
    </comment>
    <comment ref="EG14" authorId="5" shapeId="0" xr:uid="{57EA41D3-E707-439F-ADAA-40CFA77906FD}">
      <text>
        <t>[Threaded comment]
Your version of Excel allows you to read this threaded comment; however, any edits to it will get removed if the file is opened in a newer version of Excel. Learn more: https://go.microsoft.com/fwlink/?linkid=870924
Comment:
    NRC 2012</t>
      </text>
    </comment>
    <comment ref="EG17" authorId="6" shapeId="0" xr:uid="{8E1F8F57-012A-42BE-880B-8FAD6C90C9ED}">
      <text>
        <t>[Threaded comment]
Your version of Excel allows you to read this threaded comment; however, any edits to it will get removed if the file is opened in a newer version of Excel. Learn more: https://go.microsoft.com/fwlink/?linkid=870924
Comment:
    NRC 2012</t>
      </text>
    </comment>
    <comment ref="EG18" authorId="7" shapeId="0" xr:uid="{5E4CB7C9-008B-4848-A949-70AF90B89235}">
      <text>
        <t>[Threaded comment]
Your version of Excel allows you to read this threaded comment; however, any edits to it will get removed if the file is opened in a newer version of Excel. Learn more: https://go.microsoft.com/fwlink/?linkid=870924
Comment:
    NRC 2012</t>
      </text>
    </comment>
    <comment ref="EG19" authorId="8" shapeId="0" xr:uid="{F32932D9-817E-49E2-A11C-EBA0238C7577}">
      <text>
        <t>[Threaded comment]
Your version of Excel allows you to read this threaded comment; however, any edits to it will get removed if the file is opened in a newer version of Excel. Learn more: https://go.microsoft.com/fwlink/?linkid=870924
Comment:
    Stein Lab</t>
      </text>
    </comment>
    <comment ref="EG20" authorId="9" shapeId="0" xr:uid="{D83EB5DA-C2C6-4DD3-BD35-854B28672A65}">
      <text>
        <t>[Threaded comment]
Your version of Excel allows you to read this threaded comment; however, any edits to it will get removed if the file is opened in a newer version of Excel. Learn more: https://go.microsoft.com/fwlink/?linkid=870924
Comment:
    Stein Lab</t>
      </text>
    </comment>
    <comment ref="EG21" authorId="10" shapeId="0" xr:uid="{93C60B68-E334-49FC-9FDD-C9D776811322}">
      <text>
        <t>[Threaded comment]
Your version of Excel allows you to read this threaded comment; however, any edits to it will get removed if the file is opened in a newer version of Excel. Learn more: https://go.microsoft.com/fwlink/?linkid=870924
Comment:
    NRC 2012</t>
      </text>
    </comment>
    <comment ref="EG22" authorId="11" shapeId="0" xr:uid="{9E5873CD-EF1B-40DA-8701-010348F03D15}">
      <text>
        <t>[Threaded comment]
Your version of Excel allows you to read this threaded comment; however, any edits to it will get removed if the file is opened in a newer version of Excel. Learn more: https://go.microsoft.com/fwlink/?linkid=870924
Comment:
    NRC 2012</t>
      </text>
    </comment>
    <comment ref="EG23" authorId="12" shapeId="0" xr:uid="{105F4F04-E468-447B-91C1-E51204A20F47}">
      <text>
        <t>[Threaded comment]
Your version of Excel allows you to read this threaded comment; however, any edits to it will get removed if the file is opened in a newer version of Excel. Learn more: https://go.microsoft.com/fwlink/?linkid=870924
Comment:
    Stein Lab</t>
      </text>
    </comment>
    <comment ref="EG24" authorId="13" shapeId="0" xr:uid="{5C38DE7E-E6F8-4784-9CE4-0D2B8A32D23A}">
      <text>
        <t>[Threaded comment]
Your version of Excel allows you to read this threaded comment; however, any edits to it will get removed if the file is opened in a newer version of Excel. Learn more: https://go.microsoft.com/fwlink/?linkid=870924
Comment:
    Stein Lab</t>
      </text>
    </comment>
    <comment ref="EG25" authorId="14" shapeId="0" xr:uid="{15007171-D675-40C8-9529-FE65BC01C49B}">
      <text>
        <t>[Threaded comment]
Your version of Excel allows you to read this threaded comment; however, any edits to it will get removed if the file is opened in a newer version of Excel. Learn more: https://go.microsoft.com/fwlink/?linkid=870924
Comment:
    NRC 2012</t>
      </text>
    </comment>
    <comment ref="EG26" authorId="15" shapeId="0" xr:uid="{222BBE94-B749-4163-A1CC-15E46828D395}">
      <text>
        <t>[Threaded comment]
Your version of Excel allows you to read this threaded comment; however, any edits to it will get removed if the file is opened in a newer version of Excel. Learn more: https://go.microsoft.com/fwlink/?linkid=870924
Comment:
    CVB 2016</t>
      </text>
    </comment>
    <comment ref="EG27" authorId="16" shapeId="0" xr:uid="{DF043F51-667C-4D03-B5CC-0EA622576EC4}">
      <text>
        <t>[Threaded comment]
Your version of Excel allows you to read this threaded comment; however, any edits to it will get removed if the file is opened in a newer version of Excel. Learn more: https://go.microsoft.com/fwlink/?linkid=870924
Comment:
    Stein Lab</t>
      </text>
    </comment>
    <comment ref="EG28" authorId="17" shapeId="0" xr:uid="{80FEE979-58A7-4F51-B037-EFA84B78296F}">
      <text>
        <t>[Threaded comment]
Your version of Excel allows you to read this threaded comment; however, any edits to it will get removed if the file is opened in a newer version of Excel. Learn more: https://go.microsoft.com/fwlink/?linkid=870924
Comment:
    Stein Lab</t>
      </text>
    </comment>
    <comment ref="EG29" authorId="18" shapeId="0" xr:uid="{6B84ACC0-8068-48F7-9BC5-34D57910797A}">
      <text>
        <t>[Threaded comment]
Your version of Excel allows you to read this threaded comment; however, any edits to it will get removed if the file is opened in a newer version of Excel. Learn more: https://go.microsoft.com/fwlink/?linkid=870924
Comment:
    Stein Lab</t>
      </text>
    </comment>
    <comment ref="EG30" authorId="19" shapeId="0" xr:uid="{FA923CE8-B2BC-47EA-9D59-7DCC9C8AD7D2}">
      <text>
        <t>[Threaded comment]
Your version of Excel allows you to read this threaded comment; however, any edits to it will get removed if the file is opened in a newer version of Excel. Learn more: https://go.microsoft.com/fwlink/?linkid=870924
Comment:
    Stein Lab</t>
      </text>
    </comment>
    <comment ref="EG31" authorId="20" shapeId="0" xr:uid="{B5115C7E-D796-4E42-9F1A-072AF36FF306}">
      <text>
        <t>[Threaded comment]
Your version of Excel allows you to read this threaded comment; however, any edits to it will get removed if the file is opened in a newer version of Excel. Learn more: https://go.microsoft.com/fwlink/?linkid=870924
Comment:
    Stein Lab</t>
      </text>
    </comment>
    <comment ref="EG32" authorId="21" shapeId="0" xr:uid="{7AE5A642-66C6-4AC4-8001-81B7BA0345FC}">
      <text>
        <t>[Threaded comment]
Your version of Excel allows you to read this threaded comment; however, any edits to it will get removed if the file is opened in a newer version of Excel. Learn more: https://go.microsoft.com/fwlink/?linkid=870924
Comment:
    Stein Lab</t>
      </text>
    </comment>
    <comment ref="EG33" authorId="22" shapeId="0" xr:uid="{E3AAF264-9E5E-4424-85AB-8A647C3F92D0}">
      <text>
        <t>[Threaded comment]
Your version of Excel allows you to read this threaded comment; however, any edits to it will get removed if the file is opened in a newer version of Excel. Learn more: https://go.microsoft.com/fwlink/?linkid=870924
Comment:
    Stein Lab</t>
      </text>
    </comment>
    <comment ref="EG34" authorId="23" shapeId="0" xr:uid="{CDFAEC21-8CB7-4F81-9132-05E35CDAABB1}">
      <text>
        <t>[Threaded comment]
Your version of Excel allows you to read this threaded comment; however, any edits to it will get removed if the file is opened in a newer version of Excel. Learn more: https://go.microsoft.com/fwlink/?linkid=870924
Comment:
    Stein Lab</t>
      </text>
    </comment>
    <comment ref="EG35" authorId="24" shapeId="0" xr:uid="{1BBEC8B7-D254-4F9E-BF32-07A92FB4F011}">
      <text>
        <t>[Threaded comment]
Your version of Excel allows you to read this threaded comment; however, any edits to it will get removed if the file is opened in a newer version of Excel. Learn more: https://go.microsoft.com/fwlink/?linkid=870924
Comment:
    Stein Lab</t>
      </text>
    </comment>
    <comment ref="EG36" authorId="25" shapeId="0" xr:uid="{F9AE1A51-C221-4CFE-B3B3-3D9A29802E58}">
      <text>
        <t>[Threaded comment]
Your version of Excel allows you to read this threaded comment; however, any edits to it will get removed if the file is opened in a newer version of Excel. Learn more: https://go.microsoft.com/fwlink/?linkid=870924
Comment:
    Stein Lab</t>
      </text>
    </comment>
    <comment ref="EG37" authorId="26" shapeId="0" xr:uid="{6DD53539-4490-40E5-99DB-1DEBF7799E6D}">
      <text>
        <t>[Threaded comment]
Your version of Excel allows you to read this threaded comment; however, any edits to it will get removed if the file is opened in a newer version of Excel. Learn more: https://go.microsoft.com/fwlink/?linkid=870924
Comment:
    CVB 2016</t>
      </text>
    </comment>
    <comment ref="EG38" authorId="27" shapeId="0" xr:uid="{B58EBF93-767A-43C9-AF0B-E06A1DE43FFD}">
      <text>
        <t>[Threaded comment]
Your version of Excel allows you to read this threaded comment; however, any edits to it will get removed if the file is opened in a newer version of Excel. Learn more: https://go.microsoft.com/fwlink/?linkid=870924
Comment:
    Stein Lab</t>
      </text>
    </comment>
    <comment ref="EG41" authorId="28" shapeId="0" xr:uid="{AB9D7AF0-E1DB-443C-B2FA-19B025287EB8}">
      <text>
        <t>[Threaded comment]
Your version of Excel allows you to read this threaded comment; however, any edits to it will get removed if the file is opened in a newer version of Excel. Learn more: https://go.microsoft.com/fwlink/?linkid=870924
Comment:
    Calculated using the ratio of Phytate:Total P reported by IRTA (0.707) but using the total phosphorus from NRC 2012</t>
      </text>
    </comment>
    <comment ref="EG42" authorId="29" shapeId="0" xr:uid="{3BA8EADA-15D6-41FF-99FA-8AA18EAA7320}">
      <text>
        <t>[Threaded comment]
Your version of Excel allows you to read this threaded comment; however, any edits to it will get removed if the file is opened in a newer version of Excel. Learn more: https://go.microsoft.com/fwlink/?linkid=870924
Comment:
    Calculated using the ratio of Phytate:Total P reported by IRTA (0.647) but using the total phosphorus from NRC 2012</t>
      </text>
    </comment>
    <comment ref="EG43" authorId="30" shapeId="0" xr:uid="{742A9C95-FDF4-4885-A22A-E2A48F17BC97}">
      <text>
        <t>[Threaded comment]
Your version of Excel allows you to read this threaded comment; however, any edits to it will get removed if the file is opened in a newer version of Excel. Learn more: https://go.microsoft.com/fwlink/?linkid=870924
Comment:
    NRC 2012</t>
      </text>
    </comment>
    <comment ref="EG52" authorId="31" shapeId="0" xr:uid="{94BE9CBD-E66D-453B-8A87-33273DAFBF96}">
      <text>
        <t>[Threaded comment]
Your version of Excel allows you to read this threaded comment; however, any edits to it will get removed if the file is opened in a newer version of Excel. Learn more: https://go.microsoft.com/fwlink/?linkid=870924
Comment:
    CVB 2016</t>
      </text>
    </comment>
    <comment ref="EG53" authorId="32" shapeId="0" xr:uid="{FAE59F4B-4065-4D26-8E67-ECEE2AF47962}">
      <text>
        <t>[Threaded comment]
Your version of Excel allows you to read this threaded comment; however, any edits to it will get removed if the file is opened in a newer version of Excel. Learn more: https://go.microsoft.com/fwlink/?linkid=870924
Comment:
    CVB 2016</t>
      </text>
    </comment>
    <comment ref="EG54" authorId="33" shapeId="0" xr:uid="{71E73E0E-EFD5-4AE0-ADE1-FD6FF673DDDE}">
      <text>
        <t>[Threaded comment]
Your version of Excel allows you to read this threaded comment; however, any edits to it will get removed if the file is opened in a newer version of Excel. Learn more: https://go.microsoft.com/fwlink/?linkid=870924
Comment:
    NRC 2012</t>
      </text>
    </comment>
    <comment ref="AK55" authorId="34" shapeId="0" xr:uid="{00000000-0006-0000-0100-000001000000}">
      <text>
        <r>
          <rPr>
            <b/>
            <sz val="9"/>
            <color indexed="81"/>
            <rFont val="Tahoma"/>
            <family val="2"/>
          </rPr>
          <t>mike:</t>
        </r>
        <r>
          <rPr>
            <sz val="9"/>
            <color indexed="81"/>
            <rFont val="Tahoma"/>
            <family val="2"/>
          </rPr>
          <t xml:space="preserve">
Lysine must be wrong in NRC table at 0.68</t>
        </r>
      </text>
    </comment>
    <comment ref="EG55" authorId="35" shapeId="0" xr:uid="{8EE142F7-C4E7-4500-9CFF-DF56D6231F32}">
      <text>
        <t>[Threaded comment]
Your version of Excel allows you to read this threaded comment; however, any edits to it will get removed if the file is opened in a newer version of Excel. Learn more: https://go.microsoft.com/fwlink/?linkid=870924
Comment:
    Stein Lab</t>
      </text>
    </comment>
    <comment ref="EG56" authorId="36" shapeId="0" xr:uid="{0CB5CEE5-6963-46AA-B6CE-C3A5C5B8AE76}">
      <text>
        <t>[Threaded comment]
Your version of Excel allows you to read this threaded comment; however, any edits to it will get removed if the file is opened in a newer version of Excel. Learn more: https://go.microsoft.com/fwlink/?linkid=870924
Comment:
    Calculated by using Phytate:Total P content of Oats (0.543)</t>
      </text>
    </comment>
    <comment ref="EG57" authorId="37" shapeId="0" xr:uid="{33CEB0A8-BE8C-4B15-A7C0-A4234CAF708C}">
      <text>
        <t>[Threaded comment]
Your version of Excel allows you to read this threaded comment; however, any edits to it will get removed if the file is opened in a newer version of Excel. Learn more: https://go.microsoft.com/fwlink/?linkid=870924
Comment:
    FEDNA 2019</t>
      </text>
    </comment>
    <comment ref="EG58" authorId="38" shapeId="0" xr:uid="{66406BAE-1BD0-4097-818C-C3DBDB615825}">
      <text>
        <t>[Threaded comment]
Your version of Excel allows you to read this threaded comment; however, any edits to it will get removed if the file is opened in a newer version of Excel. Learn more: https://go.microsoft.com/fwlink/?linkid=870924
Comment:
    Brazilian tables 2017</t>
      </text>
    </comment>
    <comment ref="EG59" authorId="39" shapeId="0" xr:uid="{1F3899FC-2DDB-411D-B37A-CB383BB9B1F6}">
      <text>
        <t>[Threaded comment]
Your version of Excel allows you to read this threaded comment; however, any edits to it will get removed if the file is opened in a newer version of Excel. Learn more: https://go.microsoft.com/fwlink/?linkid=870924
Comment:
    Calculated by using Phytate:Total P content of Peanut Meal, Expelled. (0.666)</t>
      </text>
    </comment>
    <comment ref="EG60" authorId="40" shapeId="0" xr:uid="{C2C1E177-81C3-4E6B-A2E9-0BF958137775}">
      <text>
        <t>[Threaded comment]
Your version of Excel allows you to read this threaded comment; however, any edits to it will get removed if the file is opened in a newer version of Excel. Learn more: https://go.microsoft.com/fwlink/?linkid=870924
Comment:
    NRC 2012</t>
      </text>
    </comment>
    <comment ref="BX61" authorId="41" shapeId="0" xr:uid="{F1724A6E-ED63-44AD-ACEC-24F0A54264B6}">
      <text>
        <t>[Threaded comment]
Your version of Excel allows you to read this threaded comment; however, any edits to it will get removed if the file is opened in a newer version of Excel. Learn more: https://go.microsoft.com/fwlink/?linkid=870924
Comment:
    Source: INRA</t>
      </text>
    </comment>
    <comment ref="EG61" authorId="42" shapeId="0" xr:uid="{B123477F-CE85-44DB-86D0-97E295ADA32C}">
      <text>
        <t>[Threaded comment]
Your version of Excel allows you to read this threaded comment; however, any edits to it will get removed if the file is opened in a newer version of Excel. Learn more: https://go.microsoft.com/fwlink/?linkid=870924
Comment:
    Calculated by using Phytate:Total P content of field peas (0.405)</t>
      </text>
    </comment>
    <comment ref="BX62" authorId="43" shapeId="0" xr:uid="{41693A69-6A68-4A6F-8DE7-C525E73A85A6}">
      <text>
        <t>[Threaded comment]
Your version of Excel allows you to read this threaded comment; however, any edits to it will get removed if the file is opened in a newer version of Excel. Learn more: https://go.microsoft.com/fwlink/?linkid=870924
Comment:
    Source: INRA</t>
      </text>
    </comment>
    <comment ref="EG62" authorId="44" shapeId="0" xr:uid="{893D4AE5-BB55-4EDA-9062-DD6172AE3243}">
      <text>
        <t>[Threaded comment]
Your version of Excel allows you to read this threaded comment; however, any edits to it will get removed if the file is opened in a newer version of Excel. Learn more: https://go.microsoft.com/fwlink/?linkid=870924
Comment:
    Soruce: INRA</t>
      </text>
    </comment>
    <comment ref="EG64" authorId="45" shapeId="0" xr:uid="{A691FF1B-B769-493D-8959-BCA02A665384}">
      <text>
        <t>[Threaded comment]
Your version of Excel allows you to read this threaded comment; however, any edits to it will get removed if the file is opened in a newer version of Excel. Learn more: https://go.microsoft.com/fwlink/?linkid=870924
Comment:
    NRC 2012</t>
      </text>
    </comment>
    <comment ref="EG65" authorId="46" shapeId="0" xr:uid="{8AFB1428-276A-4C6B-8A38-13877D66C932}">
      <text>
        <t>[Threaded comment]
Your version of Excel allows you to read this threaded comment; however, any edits to it will get removed if the file is opened in a newer version of Excel. Learn more: https://go.microsoft.com/fwlink/?linkid=870924
Comment:
    Stein Lab</t>
      </text>
    </comment>
    <comment ref="EG66" authorId="47" shapeId="0" xr:uid="{4F8377FA-B80E-4580-9786-96B46A4DA1AB}">
      <text>
        <t>[Threaded comment]
Your version of Excel allows you to read this threaded comment; however, any edits to it will get removed if the file is opened in a newer version of Excel. Learn more: https://go.microsoft.com/fwlink/?linkid=870924
Comment:
    Stein Lab</t>
      </text>
    </comment>
    <comment ref="EG67" authorId="48" shapeId="0" xr:uid="{F68ED72D-E101-4950-96D7-81B50641251D}">
      <text>
        <t>[Threaded comment]
Your version of Excel allows you to read this threaded comment; however, any edits to it will get removed if the file is opened in a newer version of Excel. Learn more: https://go.microsoft.com/fwlink/?linkid=870924
Comment:
    Stein Lab</t>
      </text>
    </comment>
    <comment ref="EG68" authorId="49" shapeId="0" xr:uid="{69D8B2CA-23EC-42B8-A47B-0E9C3D7520F5}">
      <text>
        <t>[Threaded comment]
Your version of Excel allows you to read this threaded comment; however, any edits to it will get removed if the file is opened in a newer version of Excel. Learn more: https://go.microsoft.com/fwlink/?linkid=870924
Comment:
    NRC 2012</t>
      </text>
    </comment>
    <comment ref="EG69" authorId="50" shapeId="0" xr:uid="{CD6580AA-CEB0-411D-8983-621CEB1FEBDA}">
      <text>
        <t>[Threaded comment]
Your version of Excel allows you to read this threaded comment; however, any edits to it will get removed if the file is opened in a newer version of Excel. Learn more: https://go.microsoft.com/fwlink/?linkid=870924
Comment:
    NRC 2012</t>
      </text>
    </comment>
    <comment ref="EG70" authorId="51" shapeId="0" xr:uid="{AF4B4C8A-399C-4EAE-897F-8B2E0D59D5FE}">
      <text>
        <t>[Threaded comment]
Your version of Excel allows you to read this threaded comment; however, any edits to it will get removed if the file is opened in a newer version of Excel. Learn more: https://go.microsoft.com/fwlink/?linkid=870924
Comment:
    Stein Lab</t>
      </text>
    </comment>
    <comment ref="EG71" authorId="52" shapeId="0" xr:uid="{819AAB10-B9E0-494D-A1E8-0DAB9DACFAD4}">
      <text>
        <t>[Threaded comment]
Your version of Excel allows you to read this threaded comment; however, any edits to it will get removed if the file is opened in a newer version of Excel. Learn more: https://go.microsoft.com/fwlink/?linkid=870924
Comment:
    NRC 2012</t>
      </text>
    </comment>
    <comment ref="EG72" authorId="53" shapeId="0" xr:uid="{C813BE3B-8E5E-4958-B035-979125CBAB3C}">
      <text>
        <t>[Threaded comment]
Your version of Excel allows you to read this threaded comment; however, any edits to it will get removed if the file is opened in a newer version of Excel. Learn more: https://go.microsoft.com/fwlink/?linkid=870924
Comment:
    Calculated by using Phytate:Total P content of SBM Dehull Sol. Ext. (0.662)</t>
      </text>
    </comment>
    <comment ref="EG73" authorId="54" shapeId="0" xr:uid="{ADB7444F-A0AA-4E43-BE00-F9764B9FF9EC}">
      <text>
        <t>[Threaded comment]
Your version of Excel allows you to read this threaded comment; however, any edits to it will get removed if the file is opened in a newer version of Excel. Learn more: https://go.microsoft.com/fwlink/?linkid=870924
Comment:
    Calculated by using Phytate:Total P content of SBM Dehull Sol. Ext. (0.662)</t>
      </text>
    </comment>
    <comment ref="EG74" authorId="55" shapeId="0" xr:uid="{31C64AD3-8337-418F-82EE-FCD4E7DE3DE1}">
      <text>
        <t>[Threaded comment]
Your version of Excel allows you to read this threaded comment; however, any edits to it will get removed if the file is opened in a newer version of Excel. Learn more: https://go.microsoft.com/fwlink/?linkid=870924
Comment:
    Calculated by using Phytate:Total P content of SBM Dehull Sol. Ext. (0.662)</t>
      </text>
    </comment>
    <comment ref="EG75" authorId="56" shapeId="0" xr:uid="{954AC317-6E02-4F70-9137-051D08A53BD7}">
      <text>
        <t>[Threaded comment]
Your version of Excel allows you to read this threaded comment; however, any edits to it will get removed if the file is opened in a newer version of Excel. Learn more: https://go.microsoft.com/fwlink/?linkid=870924
Comment:
    Calculated by using Phytate:Total P content of SBM Dehull Sol. Ext. (0.662)</t>
      </text>
    </comment>
    <comment ref="EG76" authorId="57" shapeId="0" xr:uid="{DA033630-0FFC-46B7-BF57-DE21BA2DF220}">
      <text>
        <t>[Threaded comment]
Your version of Excel allows you to read this threaded comment; however, any edits to it will get removed if the file is opened in a newer version of Excel. Learn more: https://go.microsoft.com/fwlink/?linkid=870924
Comment:
    CVB 2016</t>
      </text>
    </comment>
    <comment ref="EG77" authorId="58" shapeId="0" xr:uid="{365BAB8D-ECF0-4F40-ADD5-F561976F30DE}">
      <text>
        <t>[Threaded comment]
Your version of Excel allows you to read this threaded comment; however, any edits to it will get removed if the file is opened in a newer version of Excel. Learn more: https://go.microsoft.com/fwlink/?linkid=870924
Comment:
    NRC 2012</t>
      </text>
    </comment>
    <comment ref="EG78" authorId="59" shapeId="0" xr:uid="{C7DE922A-3F7D-4BF3-8DEE-218FCBD7EB28}">
      <text>
        <t>[Threaded comment]
Your version of Excel allows you to read this threaded comment; however, any edits to it will get removed if the file is opened in a newer version of Excel. Learn more: https://go.microsoft.com/fwlink/?linkid=870924
Comment:
    NRC</t>
      </text>
    </comment>
    <comment ref="EG79" authorId="60" shapeId="0" xr:uid="{70D3D3F9-BC9B-483D-AF1E-54582FE81075}">
      <text>
        <t>[Threaded comment]
Your version of Excel allows you to read this threaded comment; however, any edits to it will get removed if the file is opened in a newer version of Excel. Learn more: https://go.microsoft.com/fwlink/?linkid=870924
Comment:
    Stein Lab</t>
      </text>
    </comment>
    <comment ref="EG80" authorId="61" shapeId="0" xr:uid="{7C415DF8-E161-48B3-B50D-7EA9C3A9652C}">
      <text>
        <t>[Threaded comment]
Your version of Excel allows you to read this threaded comment; however, any edits to it will get removed if the file is opened in a newer version of Excel. Learn more: https://go.microsoft.com/fwlink/?linkid=870924
Comment:
    Stein Lab</t>
      </text>
    </comment>
    <comment ref="EG81" authorId="62" shapeId="0" xr:uid="{A398681D-8424-4F3D-8E93-D9BB28167AA5}">
      <text>
        <t>[Threaded comment]
Your version of Excel allows you to read this threaded comment; however, any edits to it will get removed if the file is opened in a newer version of Excel. Learn more: https://go.microsoft.com/fwlink/?linkid=870924
Comment:
    Calculated by using Phytate:Total P content of SBM Dehull Sol. Ext. (0.662)</t>
      </text>
    </comment>
    <comment ref="EG82" authorId="63" shapeId="0" xr:uid="{49F9AFB4-8D0A-4A16-9627-A61360991D4E}">
      <text>
        <t>[Threaded comment]
Your version of Excel allows you to read this threaded comment; however, any edits to it will get removed if the file is opened in a newer version of Excel. Learn more: https://go.microsoft.com/fwlink/?linkid=870924
Comment:
    Stein Lab</t>
      </text>
    </comment>
    <comment ref="EG83" authorId="64" shapeId="0" xr:uid="{42FA82E3-E3BD-4EE4-8D41-576D17F2950A}">
      <text>
        <t>[Threaded comment]
Your version of Excel allows you to read this threaded comment; however, any edits to it will get removed if the file is opened in a newer version of Excel. Learn more: https://go.microsoft.com/fwlink/?linkid=870924
Comment:
    NRC 2012</t>
      </text>
    </comment>
    <comment ref="EG84" authorId="65" shapeId="0" xr:uid="{0D16897F-F79D-4FD6-96F1-FA31F0D1835E}">
      <text>
        <t>[Threaded comment]
Your version of Excel allows you to read this threaded comment; however, any edits to it will get removed if the file is opened in a newer version of Excel. Learn more: https://go.microsoft.com/fwlink/?linkid=870924
Comment:
    Stein Lab</t>
      </text>
    </comment>
    <comment ref="EG85" authorId="66" shapeId="0" xr:uid="{0258BDD7-D2CC-49C9-B874-93D94F5C2037}">
      <text>
        <t>[Threaded comment]
Your version of Excel allows you to read this threaded comment; however, any edits to it will get removed if the file is opened in a newer version of Excel. Learn more: https://go.microsoft.com/fwlink/?linkid=870924
Comment:
    Calculated by using Phytate:Total P content of SBM Dehull Sol. Ext. (0.662)</t>
      </text>
    </comment>
    <comment ref="EG86" authorId="67" shapeId="0" xr:uid="{64D4862C-C39D-4BDB-9817-CFF0F770CD65}">
      <text>
        <t>[Threaded comment]
Your version of Excel allows you to read this threaded comment; however, any edits to it will get removed if the file is opened in a newer version of Excel. Learn more: https://go.microsoft.com/fwlink/?linkid=870924
Comment:
    Stein Lab</t>
      </text>
    </comment>
    <comment ref="EG87" authorId="68" shapeId="0" xr:uid="{BDD303DB-F2EC-4676-AA49-3033CE3BA616}">
      <text>
        <t>[Threaded comment]
Your version of Excel allows you to read this threaded comment; however, any edits to it will get removed if the file is opened in a newer version of Excel. Learn more: https://go.microsoft.com/fwlink/?linkid=870924
Comment:
    Stein Lab</t>
      </text>
    </comment>
    <comment ref="EG88" authorId="69" shapeId="0" xr:uid="{C0EBEF1B-9C7E-45F1-8F18-CB6ED4C0C7A0}">
      <text>
        <t>[Threaded comment]
Your version of Excel allows you to read this threaded comment; however, any edits to it will get removed if the file is opened in a newer version of Excel. Learn more: https://go.microsoft.com/fwlink/?linkid=870924
Comment:
    NRC 2012</t>
      </text>
    </comment>
    <comment ref="EG89" authorId="70" shapeId="0" xr:uid="{5A6EE565-5953-4077-BCCB-637FD4FA5CF1}">
      <text>
        <t>[Threaded comment]
Your version of Excel allows you to read this threaded comment; however, any edits to it will get removed if the file is opened in a newer version of Excel. Learn more: https://go.microsoft.com/fwlink/?linkid=870924
Comment:
    NRC 2012</t>
      </text>
    </comment>
    <comment ref="EG90" authorId="71" shapeId="0" xr:uid="{44DB574F-1F73-488C-8AB7-D45558CDA236}">
      <text>
        <t>[Threaded comment]
Your version of Excel allows you to read this threaded comment; however, any edits to it will get removed if the file is opened in a newer version of Excel. Learn more: https://go.microsoft.com/fwlink/?linkid=870924
Comment:
    Stein Lab</t>
      </text>
    </comment>
    <comment ref="EG91" authorId="72" shapeId="0" xr:uid="{52377392-C17E-44C5-B7A4-8FA63E1DF5BF}">
      <text>
        <t>[Threaded comment]
Your version of Excel allows you to read this threaded comment; however, any edits to it will get removed if the file is opened in a newer version of Excel. Learn more: https://go.microsoft.com/fwlink/?linkid=870924
Comment:
    Stein Lab</t>
      </text>
    </comment>
    <comment ref="EG92" authorId="73" shapeId="0" xr:uid="{648EAD8A-DF16-45BF-AC37-938BF2A0AE98}">
      <text>
        <t>[Threaded comment]
Your version of Excel allows you to read this threaded comment; however, any edits to it will get removed if the file is opened in a newer version of Excel. Learn more: https://go.microsoft.com/fwlink/?linkid=870924
Comment:
    Stein Lab</t>
      </text>
    </comment>
    <comment ref="EG93" authorId="74" shapeId="0" xr:uid="{F33BA5FD-61B4-4A54-96F9-C385354A4412}">
      <text>
        <t>[Threaded comment]
Your version of Excel allows you to read this threaded comment; however, any edits to it will get removed if the file is opened in a newer version of Excel. Learn more: https://go.microsoft.com/fwlink/?linkid=870924
Comment:
    NRC 2012</t>
      </text>
    </comment>
    <comment ref="B94" authorId="75" shapeId="0" xr:uid="{00000000-0006-0000-0100-000002000000}">
      <text>
        <r>
          <rPr>
            <b/>
            <sz val="9"/>
            <color indexed="81"/>
            <rFont val="Tahoma"/>
            <family val="2"/>
          </rPr>
          <t>mtokach:</t>
        </r>
        <r>
          <rPr>
            <sz val="9"/>
            <color indexed="81"/>
            <rFont val="Tahoma"/>
            <family val="2"/>
          </rPr>
          <t xml:space="preserve">
Hans data says that the SID lys digestibility is only 46%.</t>
        </r>
      </text>
    </comment>
    <comment ref="EG94" authorId="76" shapeId="0" xr:uid="{0F1ACE29-C69A-4548-B0BC-928960428029}">
      <text>
        <t>[Threaded comment]
Your version of Excel allows you to read this threaded comment; however, any edits to it will get removed if the file is opened in a newer version of Excel. Learn more: https://go.microsoft.com/fwlink/?linkid=870924
Comment:
    NRC 2012</t>
      </text>
    </comment>
    <comment ref="EG95" authorId="77" shapeId="0" xr:uid="{3AD5EACF-51AD-4589-BC3D-E10230A66ABA}">
      <text>
        <t>[Threaded comment]
Your version of Excel allows you to read this threaded comment; however, any edits to it will get removed if the file is opened in a newer version of Excel. Learn more: https://go.microsoft.com/fwlink/?linkid=870924
Comment:
    Brazilian tables</t>
      </text>
    </comment>
    <comment ref="EG96" authorId="78" shapeId="0" xr:uid="{D736E91C-4C82-40B8-A7AE-80BCB1A9DC63}">
      <text>
        <t>[Threaded comment]
Your version of Excel allows you to read this threaded comment; however, any edits to it will get removed if the file is opened in a newer version of Excel. Learn more: https://go.microsoft.com/fwlink/?linkid=870924
Comment:
    NRC 2012</t>
      </text>
    </comment>
    <comment ref="EG97" authorId="79" shapeId="0" xr:uid="{6D434380-34AE-461A-A73C-2CCDCCE18BC6}">
      <text>
        <t>[Threaded comment]
Your version of Excel allows you to read this threaded comment; however, any edits to it will get removed if the file is opened in a newer version of Excel. Learn more: https://go.microsoft.com/fwlink/?linkid=870924
Comment:
    Stein Lab</t>
      </text>
    </comment>
    <comment ref="EG98" authorId="80" shapeId="0" xr:uid="{41DCDF53-EB83-4EA0-A038-B76D9EC03245}">
      <text>
        <t>[Threaded comment]
Your version of Excel allows you to read this threaded comment; however, any edits to it will get removed if the file is opened in a newer version of Excel. Learn more: https://go.microsoft.com/fwlink/?linkid=870924
Comment:
    Calculated by using Phytate:Total P content of Brewer's yeast. (0.207)</t>
      </text>
    </comment>
    <comment ref="BS115" authorId="75" shapeId="0" xr:uid="{00000000-0006-0000-0100-000003000000}">
      <text>
        <r>
          <rPr>
            <b/>
            <sz val="9"/>
            <color rgb="FF000000"/>
            <rFont val="Tahoma"/>
            <family val="2"/>
          </rPr>
          <t>mtokach:</t>
        </r>
        <r>
          <rPr>
            <sz val="9"/>
            <color rgb="FF000000"/>
            <rFont val="Tahoma"/>
            <family val="2"/>
          </rPr>
          <t xml:space="preserve">
</t>
        </r>
        <r>
          <rPr>
            <sz val="9"/>
            <color rgb="FF000000"/>
            <rFont val="Tahoma"/>
            <family val="2"/>
          </rPr>
          <t>NRC lists as 16.9%, but most products in Midwest USA are 18 to 18.5%.</t>
        </r>
      </text>
    </comment>
    <comment ref="D169" authorId="81" shapeId="0" xr:uid="{00000000-0006-0000-0100-000004000000}">
      <text>
        <r>
          <rPr>
            <b/>
            <sz val="8"/>
            <color indexed="81"/>
            <rFont val="Tahoma"/>
            <family val="2"/>
          </rPr>
          <t>catsadm:</t>
        </r>
        <r>
          <rPr>
            <sz val="8"/>
            <color indexed="81"/>
            <rFont val="Tahoma"/>
            <family val="2"/>
          </rPr>
          <t xml:space="preserve">
Based on equation from Graham et al. 2014</t>
        </r>
      </text>
    </comment>
    <comment ref="E169" authorId="81" shapeId="0" xr:uid="{00000000-0006-0000-0100-000005000000}">
      <text>
        <r>
          <rPr>
            <b/>
            <sz val="8"/>
            <color indexed="81"/>
            <rFont val="Tahoma"/>
            <family val="2"/>
          </rPr>
          <t>catsadm:</t>
        </r>
        <r>
          <rPr>
            <sz val="8"/>
            <color indexed="81"/>
            <rFont val="Tahoma"/>
            <family val="2"/>
          </rPr>
          <t xml:space="preserve">
Equation 1-6 from NRC 2012</t>
        </r>
      </text>
    </comment>
    <comment ref="F169" authorId="81" shapeId="0" xr:uid="{00000000-0006-0000-0100-000006000000}">
      <text>
        <r>
          <rPr>
            <b/>
            <sz val="8"/>
            <color indexed="81"/>
            <rFont val="Tahoma"/>
            <family val="2"/>
          </rPr>
          <t>catsadm:</t>
        </r>
        <r>
          <rPr>
            <sz val="8"/>
            <color indexed="81"/>
            <rFont val="Tahoma"/>
            <family val="2"/>
          </rPr>
          <t xml:space="preserve">
Based on equation from Graham et al., 2014</t>
        </r>
      </text>
    </comment>
    <comment ref="D170" authorId="81" shapeId="0" xr:uid="{00000000-0006-0000-0100-000007000000}">
      <text>
        <r>
          <rPr>
            <b/>
            <sz val="8"/>
            <color indexed="81"/>
            <rFont val="Tahoma"/>
            <family val="2"/>
          </rPr>
          <t>catsadm:</t>
        </r>
        <r>
          <rPr>
            <sz val="8"/>
            <color indexed="81"/>
            <rFont val="Tahoma"/>
            <family val="2"/>
          </rPr>
          <t xml:space="preserve">
Based on equation from Graham et al. 2014</t>
        </r>
      </text>
    </comment>
    <comment ref="E170" authorId="81" shapeId="0" xr:uid="{00000000-0006-0000-0100-000008000000}">
      <text>
        <r>
          <rPr>
            <b/>
            <sz val="8"/>
            <color indexed="81"/>
            <rFont val="Tahoma"/>
            <family val="2"/>
          </rPr>
          <t>catsadm:</t>
        </r>
        <r>
          <rPr>
            <sz val="8"/>
            <color indexed="81"/>
            <rFont val="Tahoma"/>
            <family val="2"/>
          </rPr>
          <t xml:space="preserve">
Equation 1-6 from NRC 2012</t>
        </r>
      </text>
    </comment>
    <comment ref="F170" authorId="81" shapeId="0" xr:uid="{00000000-0006-0000-0100-000009000000}">
      <text>
        <r>
          <rPr>
            <b/>
            <sz val="8"/>
            <color rgb="FF000000"/>
            <rFont val="Tahoma"/>
            <family val="2"/>
          </rPr>
          <t>catsadm:</t>
        </r>
        <r>
          <rPr>
            <sz val="8"/>
            <color rgb="FF000000"/>
            <rFont val="Tahoma"/>
            <family val="2"/>
          </rPr>
          <t xml:space="preserve">
</t>
        </r>
        <r>
          <rPr>
            <sz val="8"/>
            <color rgb="FF000000"/>
            <rFont val="Tahoma"/>
            <family val="2"/>
          </rPr>
          <t>Based on equation from Graham et al., 2014</t>
        </r>
      </text>
    </comment>
    <comment ref="D171" authorId="81" shapeId="0" xr:uid="{00000000-0006-0000-0100-000013000000}">
      <text>
        <r>
          <rPr>
            <b/>
            <sz val="8"/>
            <color indexed="81"/>
            <rFont val="Tahoma"/>
            <family val="2"/>
          </rPr>
          <t>catsadm:</t>
        </r>
        <r>
          <rPr>
            <sz val="8"/>
            <color indexed="81"/>
            <rFont val="Tahoma"/>
            <family val="2"/>
          </rPr>
          <t xml:space="preserve">
Based on equation from Graham et al. 2014</t>
        </r>
      </text>
    </comment>
    <comment ref="E171" authorId="81" shapeId="0" xr:uid="{00000000-0006-0000-0100-000014000000}">
      <text>
        <r>
          <rPr>
            <b/>
            <sz val="8"/>
            <color indexed="81"/>
            <rFont val="Tahoma"/>
            <family val="2"/>
          </rPr>
          <t>catsadm:</t>
        </r>
        <r>
          <rPr>
            <sz val="8"/>
            <color indexed="81"/>
            <rFont val="Tahoma"/>
            <family val="2"/>
          </rPr>
          <t xml:space="preserve">
Equation 1-6 from NRC 2012</t>
        </r>
      </text>
    </comment>
    <comment ref="F171" authorId="81" shapeId="0" xr:uid="{00000000-0006-0000-0100-000015000000}">
      <text>
        <r>
          <rPr>
            <b/>
            <sz val="8"/>
            <color rgb="FF000000"/>
            <rFont val="Tahoma"/>
            <family val="2"/>
          </rPr>
          <t>catsadm:</t>
        </r>
        <r>
          <rPr>
            <sz val="8"/>
            <color rgb="FF000000"/>
            <rFont val="Tahoma"/>
            <family val="2"/>
          </rPr>
          <t xml:space="preserve">
</t>
        </r>
        <r>
          <rPr>
            <sz val="8"/>
            <color rgb="FF000000"/>
            <rFont val="Tahoma"/>
            <family val="2"/>
          </rPr>
          <t>Based on equation from Graham et al., 2014</t>
        </r>
      </text>
    </comment>
    <comment ref="B173" authorId="82" shapeId="0" xr:uid="{336AD977-5E37-4D8B-82DC-399D09118882}">
      <text>
        <t>[Threaded comment]
Your version of Excel allows you to read this threaded comment; however, any edits to it will get removed if the file is opened in a newer version of Excel. Learn more: https://go.microsoft.com/fwlink/?linkid=870924
Comment:
    Data was provided by Hamlet. Updated 4/18/22</t>
      </text>
    </comment>
    <comment ref="E173" authorId="83" shapeId="0" xr:uid="{60CA5772-0ED2-4DE2-BEC2-E7123A37A362}">
      <text>
        <t>[Threaded comment]
Your version of Excel allows you to read this threaded comment; however, any edits to it will get removed if the file is opened in a newer version of Excel. Learn more: https://go.microsoft.com/fwlink/?linkid=870924
Comment:
    NRC equation</t>
      </text>
    </comment>
    <comment ref="F173" authorId="84" shapeId="0" xr:uid="{EBC8133C-7292-488D-8113-AE09DA2CF740}">
      <text>
        <t>[Threaded comment]
Your version of Excel allows you to read this threaded comment; however, any edits to it will get removed if the file is opened in a newer version of Excel. Learn more: https://go.microsoft.com/fwlink/?linkid=870924
Comment:
    NRC equation</t>
      </text>
    </comment>
    <comment ref="B179" authorId="85" shapeId="0" xr:uid="{DAA99A8C-B5F9-48C9-8272-53BB114A00C1}">
      <text>
        <t>[Threaded comment]
Your version of Excel allows you to read this threaded comment; however, any edits to it will get removed if the file is opened in a newer version of Excel. Learn more: https://go.microsoft.com/fwlink/?linkid=870924
Comment:
    Data was provided by Hamlet. Updated 4/18/22</t>
      </text>
    </comment>
    <comment ref="B181" authorId="86" shapeId="0" xr:uid="{EFDDCBF3-F838-4017-9BDD-53917610A875}">
      <text>
        <t>[Threaded comment]
Your version of Excel allows you to read this threaded comment; however, any edits to it will get removed if the file is opened in a newer version of Excel. Learn more: https://go.microsoft.com/fwlink/?linkid=870924
Comment:
    SID AA are entered by hand in the ingredient from NFP.</t>
      </text>
    </comment>
    <comment ref="B185" authorId="87" shapeId="0" xr:uid="{C7B4EC4A-1639-4061-A1DC-4BF507C9FA65}">
      <text>
        <t>[Threaded comment]
Your version of Excel allows you to read this threaded comment; however, any edits to it will get removed if the file is opened in a newer version of Excel. Learn more: https://go.microsoft.com/fwlink/?linkid=870924
Comment:
    Avail P, % was entered by hand by NFP</t>
      </text>
    </comment>
    <comment ref="B189" authorId="88" shapeId="0" xr:uid="{B8820E34-4611-40DB-BDD6-6B57EDE139FA}">
      <text>
        <t>[Threaded comment]
Your version of Excel allows you to read this threaded comment; however, any edits to it will get removed if the file is opened in a newer version of Excel. Learn more: https://go.microsoft.com/fwlink/?linkid=870924
Comment:
    No values were reported</t>
      </text>
    </comment>
    <comment ref="B190" authorId="89" shapeId="0" xr:uid="{DD98B53A-A500-42E5-A5CD-E632E8A888FC}">
      <text>
        <t>[Threaded comment]
Your version of Excel allows you to read this threaded comment; however, any edits to it will get removed if the file is opened in a newer version of Excel. Learn more: https://go.microsoft.com/fwlink/?linkid=870924
Comment:
    Ethan used in his trial new values provided by NFP. Should we update those here?</t>
      </text>
    </comment>
    <comment ref="B191" authorId="90" shapeId="0" xr:uid="{AF8E2732-F3CC-4F76-9864-8B42424B771C}">
      <text>
        <t>[Threaded comment]
Your version of Excel allows you to read this threaded comment; however, any edits to it will get removed if the file is opened in a newer version of Excel. Learn more: https://go.microsoft.com/fwlink/?linkid=870924
Comment:
    No values were reported</t>
      </text>
    </comment>
    <comment ref="B207" authorId="91" shapeId="0" xr:uid="{59B421BB-AE53-4DE8-AAAF-CD55B8E3DED5}">
      <text>
        <t>[Threaded comment]
Your version of Excel allows you to read this threaded comment; however, any edits to it will get removed if the file is opened in a newer version of Excel. Learn more: https://go.microsoft.com/fwlink/?linkid=870924
Comment:
    Total AA and Digst. will match once the MEPRO be updated.</t>
      </text>
    </comment>
    <comment ref="B209" authorId="92" shapeId="0" xr:uid="{457B45DD-D0F6-41FD-BC0F-358779E35427}">
      <text>
        <t>[Threaded comment]
Your version of Excel allows you to read this threaded comment; however, any edits to it will get removed if the file is opened in a newer version of Excel. Learn more: https://go.microsoft.com/fwlink/?linkid=870924
Comment:
    It also contains 11,340 mcg of 25-Hydroxyvitamin D3 and 206mg/lb of Thiamine</t>
      </text>
    </comment>
    <comment ref="B213" authorId="93" shapeId="0" xr:uid="{E598999C-3FEB-4580-B4AB-FDD7885124FA}">
      <text>
        <t>[Threaded comment]
Your version of Excel allows you to read this threaded comment; however, any edits to it will get removed if the file is opened in a newer version of Excel. Learn more: https://go.microsoft.com/fwlink/?linkid=870924
Comment:
    Data was provided by Hamlet. Updated 4/18/22</t>
      </text>
    </comment>
    <comment ref="B217" authorId="94" shapeId="0" xr:uid="{4E27AAD5-2438-4FFC-AE7A-9AA570DCAD43}">
      <text>
        <t>[Threaded comment]
Your version of Excel allows you to read this threaded comment; however, any edits to it will get removed if the file is opened in a newer version of Excel. Learn more: https://go.microsoft.com/fwlink/?linkid=870924
Comment:
    Data was provided by Hamlet. Updated 4/18/22</t>
      </text>
    </comment>
    <comment ref="D219" authorId="81" shapeId="0" xr:uid="{BF208F5D-4788-0841-B86A-C4AA452FB215}">
      <text>
        <r>
          <rPr>
            <b/>
            <sz val="8"/>
            <color rgb="FF000000"/>
            <rFont val="Tahoma"/>
            <family val="2"/>
          </rPr>
          <t>catsadm:</t>
        </r>
        <r>
          <rPr>
            <sz val="8"/>
            <color rgb="FF000000"/>
            <rFont val="Tahoma"/>
            <family val="2"/>
          </rPr>
          <t xml:space="preserve">
</t>
        </r>
        <r>
          <rPr>
            <sz val="8"/>
            <color rgb="FF000000"/>
            <rFont val="Tahoma"/>
            <family val="2"/>
          </rPr>
          <t xml:space="preserve">Based on equation from Nitikanchana et al. 2013
</t>
        </r>
        <r>
          <rPr>
            <sz val="8"/>
            <color rgb="FF000000"/>
            <rFont val="Tahoma"/>
            <family val="2"/>
          </rPr>
          <t>ASAS National meetings</t>
        </r>
      </text>
    </comment>
    <comment ref="E219" authorId="81" shapeId="0" xr:uid="{74E491B7-640B-ED47-8B3D-EFE5C72359D4}">
      <text>
        <r>
          <rPr>
            <b/>
            <sz val="8"/>
            <color rgb="FF000000"/>
            <rFont val="Tahoma"/>
            <family val="2"/>
          </rPr>
          <t>catsadm:</t>
        </r>
        <r>
          <rPr>
            <sz val="8"/>
            <color rgb="FF000000"/>
            <rFont val="Tahoma"/>
            <family val="2"/>
          </rPr>
          <t xml:space="preserve">
</t>
        </r>
        <r>
          <rPr>
            <sz val="8"/>
            <color rgb="FF000000"/>
            <rFont val="Tahoma"/>
            <family val="2"/>
          </rPr>
          <t>Equation 1-6 from NRC 2012</t>
        </r>
      </text>
    </comment>
    <comment ref="F219" authorId="81" shapeId="0" xr:uid="{E6A3148C-1A02-4A99-8F62-632B04CB10C2}">
      <text>
        <r>
          <rPr>
            <b/>
            <sz val="8"/>
            <color rgb="FF000000"/>
            <rFont val="Tahoma"/>
            <family val="2"/>
          </rPr>
          <t>catsadm:</t>
        </r>
        <r>
          <rPr>
            <sz val="8"/>
            <color rgb="FF000000"/>
            <rFont val="Tahoma"/>
            <family val="2"/>
          </rPr>
          <t xml:space="preserve">
Based on equation developed by Spinler 2025
</t>
        </r>
      </text>
    </comment>
    <comment ref="H219" authorId="95" shapeId="0" xr:uid="{B22D9DF4-A260-4BA7-AA95-F7541DCC26CE}">
      <text>
        <r>
          <rPr>
            <b/>
            <sz val="9"/>
            <color indexed="81"/>
            <rFont val="Tahoma"/>
            <family val="2"/>
          </rPr>
          <t>Mikayla Spinler:</t>
        </r>
        <r>
          <rPr>
            <sz val="9"/>
            <color indexed="81"/>
            <rFont val="Tahoma"/>
            <family val="2"/>
          </rPr>
          <t xml:space="preserve">
Loading values from Hans Stein Monogastric Nutrition Laboratory Feed Ingredient Database for DDGS containing 6-9% oil, 2025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<sst xmlns="http://schemas.openxmlformats.org/spreadsheetml/2006/main" count="2587" uniqueCount="586">
  <si>
    <t>Milo</t>
  </si>
  <si>
    <t>Corn</t>
  </si>
  <si>
    <t>Barley</t>
  </si>
  <si>
    <t>Lactose</t>
  </si>
  <si>
    <t>Lysine</t>
  </si>
  <si>
    <t>Isoleucine</t>
  </si>
  <si>
    <t>Leucine</t>
  </si>
  <si>
    <t>Methionine</t>
  </si>
  <si>
    <t>Threonine</t>
  </si>
  <si>
    <t>Tryptophan</t>
  </si>
  <si>
    <t>Valine</t>
  </si>
  <si>
    <t>ME, kcal/kg</t>
  </si>
  <si>
    <t>Protein, %</t>
  </si>
  <si>
    <t>Calcium, %</t>
  </si>
  <si>
    <t>Phosphorus, %</t>
  </si>
  <si>
    <t>Ingredient</t>
  </si>
  <si>
    <t>Trace mineral premix</t>
  </si>
  <si>
    <t>TOTAL</t>
  </si>
  <si>
    <t>ME, kcal/lb</t>
  </si>
  <si>
    <t>Cost/lb</t>
  </si>
  <si>
    <t>Cost/ton</t>
  </si>
  <si>
    <t>Cost with processing</t>
  </si>
  <si>
    <t>Cystine</t>
  </si>
  <si>
    <t>Sow add pack</t>
  </si>
  <si>
    <t>Zinc oxide</t>
  </si>
  <si>
    <t>Grind, Mix and Delivey fee</t>
  </si>
  <si>
    <t>/ton</t>
  </si>
  <si>
    <t>Vitamin premix with phytase</t>
  </si>
  <si>
    <t>Avail P:calorie ratio g/mcal</t>
  </si>
  <si>
    <t>NE NRC, kcal/kg</t>
  </si>
  <si>
    <t>NE NRC, kcal/lb</t>
  </si>
  <si>
    <t>NE Noblet Sow, kcal/lb</t>
  </si>
  <si>
    <t>NE Noblet Grow/Finish, kcal/lb</t>
  </si>
  <si>
    <t>NE Noblet Sow, kcal/kg</t>
  </si>
  <si>
    <t>Numbers in red are estimated values and not book values</t>
  </si>
  <si>
    <t>Methionine hydroxy analog</t>
  </si>
  <si>
    <t>Paylean, 9 g/lb</t>
  </si>
  <si>
    <t>Diet 1</t>
  </si>
  <si>
    <t>Diet 2</t>
  </si>
  <si>
    <t>Diet 3</t>
  </si>
  <si>
    <t>Diet 4</t>
  </si>
  <si>
    <t>Diet 5</t>
  </si>
  <si>
    <t>DCAD</t>
  </si>
  <si>
    <t>Avail P, %</t>
  </si>
  <si>
    <t>Availability of Phos, %</t>
  </si>
  <si>
    <t>Developer base mix</t>
  </si>
  <si>
    <t>NE Noblet GF, kcal/kg</t>
  </si>
  <si>
    <t>Cysteine</t>
  </si>
  <si>
    <t>Other ingredients TID Lysine, %</t>
  </si>
  <si>
    <t>Targets</t>
  </si>
  <si>
    <t>Other nutrients, calculated</t>
  </si>
  <si>
    <t>- Available P, % (Terminal)</t>
  </si>
  <si>
    <t>Ether extract, %</t>
  </si>
  <si>
    <t>Crude fiber, %</t>
  </si>
  <si>
    <t>Lactose, %</t>
  </si>
  <si>
    <t>Iodine value</t>
  </si>
  <si>
    <t>Crude fat, %</t>
  </si>
  <si>
    <t>IV value of diet</t>
  </si>
  <si>
    <t>IV value of product, estimate</t>
  </si>
  <si>
    <t>Linoleic acid, %</t>
  </si>
  <si>
    <t>DE NRC, kcal/kg</t>
  </si>
  <si>
    <t>DE NRC, kcal/lb</t>
  </si>
  <si>
    <t>Copper sulfate</t>
  </si>
  <si>
    <t>ratio line</t>
  </si>
  <si>
    <t>Soybean oil</t>
  </si>
  <si>
    <t>Na, %</t>
  </si>
  <si>
    <t>Cl, %</t>
  </si>
  <si>
    <t>K, %</t>
  </si>
  <si>
    <t>Phase 2</t>
  </si>
  <si>
    <t>Phase 3</t>
  </si>
  <si>
    <t>Acidifier</t>
  </si>
  <si>
    <t>Vitamin E, 20,000 IU</t>
  </si>
  <si>
    <t>Weight Range</t>
  </si>
  <si>
    <t>Phytate P, %</t>
  </si>
  <si>
    <t>Total P - Avail P, %</t>
  </si>
  <si>
    <t>Zinc, %</t>
  </si>
  <si>
    <t>Iron, %</t>
  </si>
  <si>
    <t>Manganese, %</t>
  </si>
  <si>
    <t>Iodine, %</t>
  </si>
  <si>
    <t>Selenium, %</t>
  </si>
  <si>
    <t>Added trace mineral levels, %</t>
  </si>
  <si>
    <t>Chromium, %</t>
  </si>
  <si>
    <t>Added Vitamin levels</t>
  </si>
  <si>
    <t>Vit A, IU/lb</t>
  </si>
  <si>
    <t>Vit D, IU/lb</t>
  </si>
  <si>
    <t>Vit E, IU/lb</t>
  </si>
  <si>
    <t>Vit K (menadione), mg/lb</t>
  </si>
  <si>
    <t>Vit B12, mg/lb</t>
  </si>
  <si>
    <t>Niacin, mg/lb</t>
  </si>
  <si>
    <t>Pantothenic Acid, mg/lb</t>
  </si>
  <si>
    <t>Riboflavin, mg/lb</t>
  </si>
  <si>
    <t>Copper, %</t>
  </si>
  <si>
    <t>Biotin, mg/lb</t>
  </si>
  <si>
    <t>Folic acid, mg/lb</t>
  </si>
  <si>
    <t>Pyridoxine, mg/lb</t>
  </si>
  <si>
    <t>Choline, mg/lb</t>
  </si>
  <si>
    <t>Carnitine, mg/lb</t>
  </si>
  <si>
    <t>Glutamine</t>
  </si>
  <si>
    <t>Glutamic acid</t>
  </si>
  <si>
    <t>Biolys</t>
  </si>
  <si>
    <t>MHA dry</t>
  </si>
  <si>
    <t>Liquid lysine 60%</t>
  </si>
  <si>
    <t>Natuphos 600</t>
  </si>
  <si>
    <t>Natuphos 1200</t>
  </si>
  <si>
    <t>Optiphos 2000</t>
  </si>
  <si>
    <t>Phyzyme 1200</t>
  </si>
  <si>
    <t>Phyzyme 5000</t>
  </si>
  <si>
    <t>Phytase, FTU/lb (AOAC)</t>
  </si>
  <si>
    <t>Calculated SID Lysine Required, %</t>
  </si>
  <si>
    <t>Phytate P released, %</t>
  </si>
  <si>
    <t>Percent of total phytate phos released, %</t>
  </si>
  <si>
    <t>Feed cost, $/pig</t>
  </si>
  <si>
    <t xml:space="preserve">  Zinc added, ppm</t>
  </si>
  <si>
    <t xml:space="preserve">  Iron added, ppm</t>
  </si>
  <si>
    <t xml:space="preserve">  Manganese added, ppm</t>
  </si>
  <si>
    <t xml:space="preserve">  Copper added, ppm</t>
  </si>
  <si>
    <t xml:space="preserve">  Iodine added, ppm</t>
  </si>
  <si>
    <t xml:space="preserve">  Selenium added, ppm</t>
  </si>
  <si>
    <t xml:space="preserve">  Chromium added, ppb</t>
  </si>
  <si>
    <t>Vitamins (added levels)</t>
  </si>
  <si>
    <t>Trace minerals (added levels)</t>
  </si>
  <si>
    <t xml:space="preserve">  Vit A, IU/ton</t>
  </si>
  <si>
    <t xml:space="preserve">  Vit D, IU/ton</t>
  </si>
  <si>
    <t xml:space="preserve">  Vit E, IU/ton</t>
  </si>
  <si>
    <t xml:space="preserve">  Vit K (menadione), mg/ton</t>
  </si>
  <si>
    <t xml:space="preserve">  Vit B12, mg/ton</t>
  </si>
  <si>
    <t xml:space="preserve">  Niacin, mg/ton</t>
  </si>
  <si>
    <t xml:space="preserve">  Pantothenic Acid, mg/ton</t>
  </si>
  <si>
    <t xml:space="preserve">  Riboflavin, mg/ton</t>
  </si>
  <si>
    <t xml:space="preserve">  Biotin, mg/ton</t>
  </si>
  <si>
    <t xml:space="preserve">  Folic acid, mg/ton</t>
  </si>
  <si>
    <t xml:space="preserve">  Pyridoxine, mg/ton</t>
  </si>
  <si>
    <t xml:space="preserve">  Choline, mg/ton</t>
  </si>
  <si>
    <t xml:space="preserve">  Carnitine, mg/ton</t>
  </si>
  <si>
    <t>F/G</t>
  </si>
  <si>
    <t>F1</t>
  </si>
  <si>
    <t>F2</t>
  </si>
  <si>
    <t>F3</t>
  </si>
  <si>
    <t>F4</t>
  </si>
  <si>
    <t>F5</t>
  </si>
  <si>
    <t>F6</t>
  </si>
  <si>
    <t>Diet 6</t>
  </si>
  <si>
    <t>Ca:P</t>
  </si>
  <si>
    <t>SID amino acids, %</t>
  </si>
  <si>
    <t>Ca, %</t>
  </si>
  <si>
    <t>P, %</t>
  </si>
  <si>
    <t>Available P, %</t>
  </si>
  <si>
    <t>Potassium chloride</t>
  </si>
  <si>
    <t>Calcium chloride</t>
  </si>
  <si>
    <t>- Avail P:ME, g/mcal (terminal)</t>
  </si>
  <si>
    <t>- Avail P:ME, g/mcal (Replacements)</t>
  </si>
  <si>
    <t>Lysine:CP</t>
  </si>
  <si>
    <t>- Lysine:CP, Maximum</t>
  </si>
  <si>
    <t>- Ca:P, Maximum</t>
  </si>
  <si>
    <t>- Ca:P, Minimum</t>
  </si>
  <si>
    <t>CP, %</t>
  </si>
  <si>
    <t>Available P w/o phytase, %</t>
  </si>
  <si>
    <t xml:space="preserve"> </t>
  </si>
  <si>
    <t>Phase 4</t>
  </si>
  <si>
    <t>Boyd</t>
  </si>
  <si>
    <t>PIC gilt</t>
  </si>
  <si>
    <t>PIC barrow</t>
  </si>
  <si>
    <t>PIC Mixed</t>
  </si>
  <si>
    <t>Genetiporc</t>
  </si>
  <si>
    <t>Lysine requirement</t>
  </si>
  <si>
    <t>X2</t>
  </si>
  <si>
    <t>X</t>
  </si>
  <si>
    <t>y intercept</t>
  </si>
  <si>
    <t>KSU1</t>
  </si>
  <si>
    <t>Main</t>
  </si>
  <si>
    <t>Ash, % as fed</t>
  </si>
  <si>
    <t>Dry matter, %</t>
  </si>
  <si>
    <t>GF DDGS Base Mix</t>
  </si>
  <si>
    <t>GF synthetics Base Mix</t>
  </si>
  <si>
    <t>DPS 50</t>
  </si>
  <si>
    <t>PEP2+</t>
  </si>
  <si>
    <t>PEP NS</t>
  </si>
  <si>
    <t>Choline chloride 60%</t>
  </si>
  <si>
    <t>Energy, kcal/kg</t>
  </si>
  <si>
    <t>Proximate analyses &amp; Carbohyrates (%)</t>
  </si>
  <si>
    <t>Additional values</t>
  </si>
  <si>
    <t>Total amino acid content (%)</t>
  </si>
  <si>
    <t>Standardized ileal digestibility (SID) of amino acids (%)</t>
  </si>
  <si>
    <t>Phytate P content (%) and P digestibility (%)</t>
  </si>
  <si>
    <t>AID amino acid content (%) - calculated</t>
  </si>
  <si>
    <t>SID amino acid content (%) - calculated</t>
  </si>
  <si>
    <t>Digestible P content (%) - calculated</t>
  </si>
  <si>
    <t>GE</t>
  </si>
  <si>
    <t>Dry Matter</t>
  </si>
  <si>
    <t>Crude protein (Nx6.25)</t>
  </si>
  <si>
    <t>Acid ether extract</t>
  </si>
  <si>
    <t>Ash</t>
  </si>
  <si>
    <t>Sucrose</t>
  </si>
  <si>
    <t>Raffinose</t>
  </si>
  <si>
    <t>Stachy-ose</t>
  </si>
  <si>
    <t>Verbas-cose</t>
  </si>
  <si>
    <t>Oligosac-charides</t>
  </si>
  <si>
    <t>Starch</t>
  </si>
  <si>
    <t>NDF</t>
  </si>
  <si>
    <t>ADF</t>
  </si>
  <si>
    <t>AD ligin</t>
  </si>
  <si>
    <t>Total DF</t>
  </si>
  <si>
    <t>Insol DF</t>
  </si>
  <si>
    <t>Sol DF</t>
  </si>
  <si>
    <t>Organic Residue (Fiber; %)</t>
  </si>
  <si>
    <t>Digestibility organic residue (%)</t>
  </si>
  <si>
    <t>Carbon (%)</t>
  </si>
  <si>
    <t>Arg</t>
  </si>
  <si>
    <t>His</t>
  </si>
  <si>
    <t>Ile</t>
  </si>
  <si>
    <t>Leu</t>
  </si>
  <si>
    <t>Lys</t>
  </si>
  <si>
    <t>Met</t>
  </si>
  <si>
    <t>Phe</t>
  </si>
  <si>
    <t>Thr</t>
  </si>
  <si>
    <t>Trp</t>
  </si>
  <si>
    <t>Val</t>
  </si>
  <si>
    <t>Tyr</t>
  </si>
  <si>
    <t>Crude Protein (N)</t>
  </si>
  <si>
    <t>Mg</t>
  </si>
  <si>
    <t>S</t>
  </si>
  <si>
    <t xml:space="preserve">Phytate P </t>
  </si>
  <si>
    <t>ATTD</t>
  </si>
  <si>
    <t>STTD</t>
  </si>
  <si>
    <t>Ferm Fiber (%)</t>
  </si>
  <si>
    <t>Met+Cys</t>
  </si>
  <si>
    <t>Phe+Tyr</t>
  </si>
  <si>
    <t>Ingredient Library</t>
  </si>
  <si>
    <t>Alfalfa Meal</t>
  </si>
  <si>
    <t>Bakery Meal</t>
  </si>
  <si>
    <t>Barley, Hulless</t>
  </si>
  <si>
    <t>Beans, Faba</t>
  </si>
  <si>
    <t>Blood Meal</t>
  </si>
  <si>
    <t>Blood Plasma</t>
  </si>
  <si>
    <t>Brewers Grain</t>
  </si>
  <si>
    <t>Canola, Full Fat</t>
  </si>
  <si>
    <t>Canola Meal, Expelled</t>
  </si>
  <si>
    <t>Canola Meal, Solvent Extracted</t>
  </si>
  <si>
    <t>Casava Meal</t>
  </si>
  <si>
    <t>Citrus Pulp</t>
  </si>
  <si>
    <t>Copra Meal</t>
  </si>
  <si>
    <t>Corn, Yellow Dent</t>
  </si>
  <si>
    <t>Corn, Nutridense</t>
  </si>
  <si>
    <t>Corn Bran</t>
  </si>
  <si>
    <t>Corn DDG</t>
  </si>
  <si>
    <t>Corn DDGS, &gt;10% Oil</t>
  </si>
  <si>
    <t>Corn DDGS, &gt;6 and &lt;9% Oil</t>
  </si>
  <si>
    <t>Corn DDGS, &lt;4% Oil</t>
  </si>
  <si>
    <t>Corn HP DDG</t>
  </si>
  <si>
    <t>Corn Germ</t>
  </si>
  <si>
    <t>Corn Germ Meal</t>
  </si>
  <si>
    <t>Corn Gluten Feed</t>
  </si>
  <si>
    <t>Corn Gluten Meal</t>
  </si>
  <si>
    <t>Corn Grits, Hominy Feed</t>
  </si>
  <si>
    <t>Cotton Seeds, Fullfat</t>
  </si>
  <si>
    <t>Cotton Seed Meal</t>
  </si>
  <si>
    <t>Feather Meal</t>
  </si>
  <si>
    <t>Fish Meal Combined</t>
  </si>
  <si>
    <t>Flaxseed</t>
  </si>
  <si>
    <t>Flaxseed Meal</t>
  </si>
  <si>
    <t>Lupins</t>
  </si>
  <si>
    <t>Meat Meal</t>
  </si>
  <si>
    <t>Meat and Bone Meal, P &gt;4%</t>
  </si>
  <si>
    <t>Milk, Casein</t>
  </si>
  <si>
    <t>Milk, Lactose</t>
  </si>
  <si>
    <t>Milk, Skim Milk Powder</t>
  </si>
  <si>
    <t>Milk, Whey Powder</t>
  </si>
  <si>
    <t>Milk, Whey Protein Concentrate</t>
  </si>
  <si>
    <t>Millet</t>
  </si>
  <si>
    <t>Molasses, Sugarbeet</t>
  </si>
  <si>
    <t>Molasses, Sugarcane</t>
  </si>
  <si>
    <t>Oats</t>
  </si>
  <si>
    <t>Oats, Naked</t>
  </si>
  <si>
    <t>Oat Groats</t>
  </si>
  <si>
    <t>Peanut Meal, Expelled</t>
  </si>
  <si>
    <t>Peanut Meal, Extracted</t>
  </si>
  <si>
    <t>Peas, Field Peas</t>
  </si>
  <si>
    <t>Pea Protein Concentrate</t>
  </si>
  <si>
    <t>Potato Protein Concentrate</t>
  </si>
  <si>
    <t>Poultry Byproduct</t>
  </si>
  <si>
    <t>Rice</t>
  </si>
  <si>
    <t>Rice Bran</t>
  </si>
  <si>
    <t>Rice Bran, Defatted</t>
  </si>
  <si>
    <t>Rice, Broken</t>
  </si>
  <si>
    <t>Rye</t>
  </si>
  <si>
    <t>Sesame Meal</t>
  </si>
  <si>
    <t>Sorghum</t>
  </si>
  <si>
    <t>Soybeans, Full Fat</t>
  </si>
  <si>
    <t>Soybeans, High Protein, Full Fat</t>
  </si>
  <si>
    <t>Soybeans, Low Oligosaccharide, Full Fat</t>
  </si>
  <si>
    <t>Soybean Meal, High Protein, Expelled</t>
  </si>
  <si>
    <t>Soybean Meal, Low Oligosacch, Expell</t>
  </si>
  <si>
    <t>Soybean Meal, Expelled</t>
  </si>
  <si>
    <t>Soybean Meal, Dehulled, Expelled</t>
  </si>
  <si>
    <t>Soybean Meal, Solvent Extracted</t>
  </si>
  <si>
    <t>Soybean Meal, Dehull, Sol Extr</t>
  </si>
  <si>
    <t>Soybean Meal, High Prot, Dehull, Solv Extr</t>
  </si>
  <si>
    <t>Soybean Meal, Enzyme Treated</t>
  </si>
  <si>
    <t>Soybean Meal, Fermented</t>
  </si>
  <si>
    <t>Soybean Hulls</t>
  </si>
  <si>
    <t>Soy Protein Concentrate</t>
  </si>
  <si>
    <t>Soy Protein Isolate</t>
  </si>
  <si>
    <t>Sugar Beet Pulp</t>
  </si>
  <si>
    <t>Sunflower, Full Fat</t>
  </si>
  <si>
    <t>Sunflower Meal, Solvent Extracted</t>
  </si>
  <si>
    <t>Sunflower Meal, Dehulled, Solvent Extr</t>
  </si>
  <si>
    <t>Triticale</t>
  </si>
  <si>
    <t>Wheat, Hard Red</t>
  </si>
  <si>
    <t>Wheat, Soft Red</t>
  </si>
  <si>
    <t>Wheat Bran</t>
  </si>
  <si>
    <t>Wheat Middlings</t>
  </si>
  <si>
    <t>Wheat Shorts</t>
  </si>
  <si>
    <t>Wheat DDGS</t>
  </si>
  <si>
    <t>Yeast, Brewers' Yeast</t>
  </si>
  <si>
    <t>Yeast, Single Cell Protein</t>
  </si>
  <si>
    <t>Beef Tallow</t>
  </si>
  <si>
    <t>Choice White Grease</t>
  </si>
  <si>
    <t>Poultry Fat</t>
  </si>
  <si>
    <t>Lard</t>
  </si>
  <si>
    <t>Restaurant Grease</t>
  </si>
  <si>
    <t>Canola oil</t>
  </si>
  <si>
    <t>Coconut oil</t>
  </si>
  <si>
    <t>Corn oil</t>
  </si>
  <si>
    <t>Palm Kernel oil</t>
  </si>
  <si>
    <t>Soybean Lecithin</t>
  </si>
  <si>
    <t>Sunflower oil</t>
  </si>
  <si>
    <t>Fat, A/V blend</t>
  </si>
  <si>
    <t>Calcium carbonate</t>
  </si>
  <si>
    <t>Calcium phosphate (tricalcium)</t>
  </si>
  <si>
    <t>Calcium phosphate (dicalcium)</t>
  </si>
  <si>
    <t>Calcium phosphate (monocalcium)</t>
  </si>
  <si>
    <t>Calcium sulfate, dihydrate</t>
  </si>
  <si>
    <t>Magnesium phosphate</t>
  </si>
  <si>
    <t>Sodium carbonate</t>
  </si>
  <si>
    <t>Sodium bicarbonate</t>
  </si>
  <si>
    <t>Sodium chloride</t>
  </si>
  <si>
    <t>Sodium phosphate, monobasic</t>
  </si>
  <si>
    <t>Sodium sulfate, decahydrate</t>
  </si>
  <si>
    <t>DL-Met</t>
  </si>
  <si>
    <t>L-Thr</t>
  </si>
  <si>
    <t>L-Trp</t>
  </si>
  <si>
    <t>L-Val</t>
  </si>
  <si>
    <t>Limestone, ground</t>
  </si>
  <si>
    <t>Other ingredient</t>
  </si>
  <si>
    <t>Vitamin premix without phytase</t>
  </si>
  <si>
    <t xml:space="preserve"> - 2012 NRC values = first option and have ingredient number; French book = second option</t>
  </si>
  <si>
    <t>Stand. Dig. P w/out phytase, %</t>
  </si>
  <si>
    <t>Stand. Dig. P with phytase, %</t>
  </si>
  <si>
    <t>Required SID Lys:NE Ratio</t>
  </si>
  <si>
    <t>Required SID Lys:ME Ratio</t>
  </si>
  <si>
    <t>Corn DDGS, 10.5% Oil</t>
  </si>
  <si>
    <t>Corn DDGS, 7.5% Oil</t>
  </si>
  <si>
    <t>Corn DDGS, 4.5% Oil</t>
  </si>
  <si>
    <t>Ser</t>
  </si>
  <si>
    <t>Gly</t>
  </si>
  <si>
    <t>Pro</t>
  </si>
  <si>
    <t>18:2% of fat</t>
  </si>
  <si>
    <t>18:3% of fat</t>
  </si>
  <si>
    <t>EFA, % of ingredient</t>
  </si>
  <si>
    <t>Phytase units, FTU/kg</t>
  </si>
  <si>
    <t>EFA, %</t>
  </si>
  <si>
    <t>Milk, Whey Permeate, 80% lactose</t>
  </si>
  <si>
    <t>Ronozyme Hiphos GT (10,000)</t>
  </si>
  <si>
    <t>Phytase tag, FTU/g</t>
  </si>
  <si>
    <t>Ronozyme Hiphos M (50,000)</t>
  </si>
  <si>
    <t>Ronozyme HiPhos 2700</t>
  </si>
  <si>
    <t>Vitamin premix (2x) with phytase</t>
  </si>
  <si>
    <t>Vitamin premix (2x) without phytase</t>
  </si>
  <si>
    <t>NRC Ca, %</t>
  </si>
  <si>
    <t>NRC Ca:STTD P</t>
  </si>
  <si>
    <t>NRC STTD P, %</t>
  </si>
  <si>
    <t>STTD Ca, %</t>
  </si>
  <si>
    <t>STTD Ca, % with phytase</t>
  </si>
  <si>
    <t>Dig Ca calculated</t>
  </si>
  <si>
    <t>STTD w/phytase</t>
  </si>
  <si>
    <t>- STTD P, % (Terminal)</t>
  </si>
  <si>
    <t>Fermex 200</t>
  </si>
  <si>
    <t>L-Lys-HCl</t>
  </si>
  <si>
    <t>2018 Starter base mix</t>
  </si>
  <si>
    <t>2018 Grow-finish base mix</t>
  </si>
  <si>
    <t>2018 Sow base mix</t>
  </si>
  <si>
    <t xml:space="preserve">  Lys</t>
  </si>
  <si>
    <t xml:space="preserve">  Ile:Lys</t>
  </si>
  <si>
    <t xml:space="preserve">  Leu:Lys</t>
  </si>
  <si>
    <t xml:space="preserve">  Met:Lys</t>
  </si>
  <si>
    <t xml:space="preserve">  Met &amp; Cys:Lys</t>
  </si>
  <si>
    <t xml:space="preserve">  Thr:Lys</t>
  </si>
  <si>
    <t xml:space="preserve">  Trp:Lys</t>
  </si>
  <si>
    <t xml:space="preserve">  Val:Lys</t>
  </si>
  <si>
    <t>Total Lys, %</t>
  </si>
  <si>
    <t>SID Lys:NE, g/Mcal</t>
  </si>
  <si>
    <t>Total Lys:ME, g/mcal</t>
  </si>
  <si>
    <t>SID Lys:ME, g/mcal</t>
  </si>
  <si>
    <t>Phase 2 supplement 2018</t>
  </si>
  <si>
    <t xml:space="preserve">  His:Lys</t>
  </si>
  <si>
    <t>- SID His:Lys</t>
  </si>
  <si>
    <t>- SID Val:Lys</t>
  </si>
  <si>
    <t>- SID Trp:Lys</t>
  </si>
  <si>
    <t>- SID Thr:Lys</t>
  </si>
  <si>
    <t>- SID Met &amp; Cys:Lys</t>
  </si>
  <si>
    <t>- SID Met:Lys</t>
  </si>
  <si>
    <t>- SID Leu:Lys</t>
  </si>
  <si>
    <t>- SID Ile:Lys</t>
  </si>
  <si>
    <t>NDF, %</t>
  </si>
  <si>
    <t>Alanine</t>
  </si>
  <si>
    <t>Asp</t>
  </si>
  <si>
    <t>Glu</t>
  </si>
  <si>
    <t>Ala</t>
  </si>
  <si>
    <t>L-Ile</t>
  </si>
  <si>
    <t>Soybean meal with 88% NE of corn</t>
  </si>
  <si>
    <t>VAL:LEU</t>
  </si>
  <si>
    <t>ILE:LEU</t>
  </si>
  <si>
    <t>VAL:ILE</t>
  </si>
  <si>
    <t>TRP:LEU</t>
  </si>
  <si>
    <t>Leu:CP</t>
  </si>
  <si>
    <t>Glycine</t>
  </si>
  <si>
    <t>SID Lys:CP ratio</t>
  </si>
  <si>
    <t>Blue Dye NFP</t>
  </si>
  <si>
    <t>AX3 Digest NFP</t>
  </si>
  <si>
    <t>Phase 2 supplement 2018 NFP</t>
  </si>
  <si>
    <t>Femex 200 NFP</t>
  </si>
  <si>
    <t>AV-E Digest NFP</t>
  </si>
  <si>
    <t>QFP Cereal Blend NFP</t>
  </si>
  <si>
    <t>FXP Ani-Tek NFP</t>
  </si>
  <si>
    <t>NFP VTM Grower (2021)</t>
  </si>
  <si>
    <t>NFP VTM Sow (2021)</t>
  </si>
  <si>
    <t>VevoVitall NFP</t>
  </si>
  <si>
    <t xml:space="preserve">NFP Custom Manganese </t>
  </si>
  <si>
    <t>Fat Build R2 All Veg 4000 NFP</t>
  </si>
  <si>
    <t>NFP Custom Zinc</t>
  </si>
  <si>
    <t>THRPRO-L Threonine 80% NFP</t>
  </si>
  <si>
    <t>Copper Chloride Intellibond TBCC NFP</t>
  </si>
  <si>
    <t>DDGS 7.5% Oil Green Plains NFP</t>
  </si>
  <si>
    <t>NHF GF VTM 2#</t>
  </si>
  <si>
    <t xml:space="preserve">Hubbard Vit Premix </t>
  </si>
  <si>
    <t>Hubbard TMP</t>
  </si>
  <si>
    <t>Inorganic Se 600 ppm Hubbard</t>
  </si>
  <si>
    <t>Quantum Blue  5G Hubbard</t>
  </si>
  <si>
    <t>TASA Swine Hubbard</t>
  </si>
  <si>
    <t>TASA Prime meal Hubbard</t>
  </si>
  <si>
    <t>TASA fish solubles Hubbard</t>
  </si>
  <si>
    <t>Mepro + TASA additive Hubbard</t>
  </si>
  <si>
    <t>TASA Prime + TASA additive Hubbard</t>
  </si>
  <si>
    <t>NHF SOW VTM 4# 2022</t>
  </si>
  <si>
    <t xml:space="preserve">ThrPro </t>
  </si>
  <si>
    <t>NHF Optiphos Plus 2500 G</t>
  </si>
  <si>
    <t>NHF Corn DDGS, Valero, Aurora</t>
  </si>
  <si>
    <t xml:space="preserve">NFP Soybean meal w/88% NE of corn </t>
  </si>
  <si>
    <t>MEPRO NFP</t>
  </si>
  <si>
    <t>AlphaGal 280 P NFP</t>
  </si>
  <si>
    <t>LipoVital GL 90 NFP</t>
  </si>
  <si>
    <t>MEPRO Hubbard</t>
  </si>
  <si>
    <t>HP 300 Hubbard</t>
  </si>
  <si>
    <t>Tribasic copper chloride</t>
  </si>
  <si>
    <t>NHF Corn DDGS, Illuminate for Aurora</t>
  </si>
  <si>
    <t>NFP Corn DDGS, MO analysis</t>
  </si>
  <si>
    <t>NFP Smizyme 2500</t>
  </si>
  <si>
    <t>Phytate P (ingredient), %</t>
  </si>
  <si>
    <t>HP 300 Apr 2022 loadings</t>
  </si>
  <si>
    <t>HP 300 2022 NFP</t>
  </si>
  <si>
    <t>NHF HP300 2022 loadings</t>
  </si>
  <si>
    <t>Macrominerals</t>
  </si>
  <si>
    <t>NHF Liquid Lys 55%</t>
  </si>
  <si>
    <t>Corn, $/bu</t>
  </si>
  <si>
    <t>SBM, $/ton</t>
  </si>
  <si>
    <t>Monocal, $/ton</t>
  </si>
  <si>
    <t>Limestone, $/ton</t>
  </si>
  <si>
    <t>DL-Met, $/lb</t>
  </si>
  <si>
    <t>L-Trp, $/lb</t>
  </si>
  <si>
    <t>Fat, $/lb</t>
  </si>
  <si>
    <t>DDGS, $/ton</t>
  </si>
  <si>
    <t>L-Val, $/lb</t>
  </si>
  <si>
    <t xml:space="preserve">Phase 1 </t>
  </si>
  <si>
    <t>Phase 5</t>
  </si>
  <si>
    <t>Backfat, mm</t>
  </si>
  <si>
    <t>Phase 6</t>
  </si>
  <si>
    <t>Corn DDGS with varying energy</t>
  </si>
  <si>
    <t>Ca:STTD P</t>
  </si>
  <si>
    <t>ADG, g/d</t>
  </si>
  <si>
    <t>ADFI, g/d</t>
  </si>
  <si>
    <t>GF, g/kg</t>
  </si>
  <si>
    <t>Days on phase</t>
  </si>
  <si>
    <t>Dressing, %</t>
  </si>
  <si>
    <t>Loin depth, mm</t>
  </si>
  <si>
    <t>Lean, %</t>
  </si>
  <si>
    <t>Total</t>
  </si>
  <si>
    <t>Incremental</t>
  </si>
  <si>
    <t>5% DDGS</t>
  </si>
  <si>
    <t>10% DDGS</t>
  </si>
  <si>
    <t>15% DDGS</t>
  </si>
  <si>
    <t>20% DDGS</t>
  </si>
  <si>
    <t>25% DDGS</t>
  </si>
  <si>
    <t>30% DDGS</t>
  </si>
  <si>
    <t>K-State DDGS Calculator- V2</t>
  </si>
  <si>
    <t>K-State Grow-Finish Feed Budget Program</t>
  </si>
  <si>
    <t>Gilt Feed Budget</t>
  </si>
  <si>
    <t>Barrow Feed Budget</t>
  </si>
  <si>
    <t>Mixed Sex Feed Budget</t>
  </si>
  <si>
    <t>Closeout Feed Efficiency</t>
  </si>
  <si>
    <t>Initial wt</t>
  </si>
  <si>
    <t>Final wt</t>
  </si>
  <si>
    <t>Initial  wt</t>
  </si>
  <si>
    <t>lb/pig</t>
  </si>
  <si>
    <t>Delivery size:</t>
  </si>
  <si>
    <t>tons</t>
  </si>
  <si>
    <t>Diet Identification Numbers</t>
  </si>
  <si>
    <t>Two sets of diets can be entered for each sex (ex. season, genotype, etc.)</t>
  </si>
  <si>
    <t>Please enter the diet descriptions here:</t>
  </si>
  <si>
    <t>Sequence 1</t>
  </si>
  <si>
    <t>Sequence 2</t>
  </si>
  <si>
    <t>Gilts</t>
  </si>
  <si>
    <t>Barrows</t>
  </si>
  <si>
    <t>Mixed Sex</t>
  </si>
  <si>
    <t>Final BW</t>
  </si>
  <si>
    <t>Withdrawal Period</t>
  </si>
  <si>
    <t>Soto Model for Yield</t>
  </si>
  <si>
    <t>Phase 1</t>
  </si>
  <si>
    <t>ADG, lb</t>
  </si>
  <si>
    <t>GF No L-Val</t>
  </si>
  <si>
    <t>GF No L-Val + Fat</t>
  </si>
  <si>
    <t>GF L-Val</t>
  </si>
  <si>
    <t>GF L-Val + Fat</t>
  </si>
  <si>
    <t>GF No L-Val + WD</t>
  </si>
  <si>
    <t>GF No L-Val + Fat + WD</t>
  </si>
  <si>
    <t>GF L-Val + WD</t>
  </si>
  <si>
    <t>GF L-Val + Fat + WD</t>
  </si>
  <si>
    <t>Insert information into yellow cells</t>
  </si>
  <si>
    <t xml:space="preserve">Total </t>
  </si>
  <si>
    <t>FG</t>
  </si>
  <si>
    <t>ADG</t>
  </si>
  <si>
    <t>Yield</t>
  </si>
  <si>
    <t>Predicted NE of DDGS</t>
  </si>
  <si>
    <t>Overall Change</t>
  </si>
  <si>
    <t>-</t>
  </si>
  <si>
    <t>HCW</t>
  </si>
  <si>
    <t xml:space="preserve">GF   </t>
  </si>
  <si>
    <t>BW</t>
  </si>
  <si>
    <t>Ingredient Prices</t>
  </si>
  <si>
    <t>Diet Formuation and Income</t>
  </si>
  <si>
    <t>Calculator Inputs</t>
  </si>
  <si>
    <t>Calculator Outputs</t>
  </si>
  <si>
    <t xml:space="preserve">Feed budget, lb/pig- adjusted for gain </t>
  </si>
  <si>
    <t xml:space="preserve">Feed cost, $/pig- adjusted for gain </t>
  </si>
  <si>
    <t xml:space="preserve">Feed budget, lb/pig- adjusted for energy intake </t>
  </si>
  <si>
    <t>Feed cost, $/pig- adjusted for energy intake</t>
  </si>
  <si>
    <t>Change in gain, lb</t>
  </si>
  <si>
    <t>L-Thr, $/lb</t>
  </si>
  <si>
    <t>L-Lys HCl, $/lb</t>
  </si>
  <si>
    <t>Days on Phase</t>
  </si>
  <si>
    <t>Starting weight, lb</t>
  </si>
  <si>
    <t>Ending weight, lb</t>
  </si>
  <si>
    <t>NE of DDGS based on:</t>
  </si>
  <si>
    <t>% of corn NE</t>
  </si>
  <si>
    <t>Feed cost difference, $/pig</t>
  </si>
  <si>
    <t>Income difference, $/pig</t>
  </si>
  <si>
    <t>No</t>
  </si>
  <si>
    <t>Selected DDGS Level</t>
  </si>
  <si>
    <t>BW Gain</t>
  </si>
  <si>
    <t>Oil and ADF content</t>
  </si>
  <si>
    <t>NE of DDGS, kcal/lb</t>
  </si>
  <si>
    <t>Dried distillers grains with solubles (DDGS) calculator for finishing pigs</t>
  </si>
  <si>
    <t>Created by the KSU Applied Swine Nutrition Team</t>
  </si>
  <si>
    <t>Feed savings: selected vs 0% DDGS, $/pig</t>
  </si>
  <si>
    <t>Income over feed cost, live weight: selected vs 0% DDGS, $/pig</t>
  </si>
  <si>
    <t>Income over feed cost, carcass weight: selected vs 0% DDGS, $/pig</t>
  </si>
  <si>
    <t>Lost revenue from decreased growth, $/pig (compared to 0% DDGS)</t>
  </si>
  <si>
    <t>IOFC- Live pig, $/pig (compared to 0% DDGS)</t>
  </si>
  <si>
    <t>IOFC- Carcass, $/pig (compared to 0% DDGS)</t>
  </si>
  <si>
    <t xml:space="preserve">  Income over feed cost on carcass weight compared to 0% DDGS</t>
  </si>
  <si>
    <t>SBM</t>
  </si>
  <si>
    <t>BW, lb</t>
  </si>
  <si>
    <t>Yield, %</t>
  </si>
  <si>
    <t>HCW, lb</t>
  </si>
  <si>
    <t>BW, Yield, and HCW Change with changing DDGS Levels</t>
  </si>
  <si>
    <t xml:space="preserve">  Yield, % </t>
  </si>
  <si>
    <t xml:space="preserve">  DDGS Level for maximum value (fixed time basis)</t>
  </si>
  <si>
    <t>= DDGS to corn price ratio</t>
  </si>
  <si>
    <t xml:space="preserve">ADG, % change </t>
  </si>
  <si>
    <t xml:space="preserve">  Predicted changes in performance: selected vs 0% DDGS</t>
  </si>
  <si>
    <t xml:space="preserve">F/G, % change </t>
  </si>
  <si>
    <t xml:space="preserve">Live weight, lb </t>
  </si>
  <si>
    <t xml:space="preserve">HCW, lb </t>
  </si>
  <si>
    <t xml:space="preserve">  Income over feed cost on live weight basis compared to 0% DDGS</t>
  </si>
  <si>
    <t>Feed cost savings, $/pig (compared to 0% DDGS) - fixed time</t>
  </si>
  <si>
    <t>Feed cost savings, $/pig (compared to 0% DDGS) - extra days on feed</t>
  </si>
  <si>
    <t xml:space="preserve">  Maximum feed cost saving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</si>
</sst>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_(&quot;$&quot;* \(#,##0.00\);_(&quot;$&quot;* &quot;-&quot;??_);_(@_)"/>
    <numFmt numFmtId="43" formatCode="_(* #,##0.00_);_(* \(#,##0.00\);_(* &quot;-&quot;??_);_(@_)"/>
    <numFmt numFmtId="164" formatCode="0.0"/>
    <numFmt numFmtId="165" formatCode=".00"/>
    <numFmt numFmtId="166" formatCode="0.0%"/>
    <numFmt numFmtId="167" formatCode="_(&quot;$&quot;* #,##0_);_(&quot;$&quot;* \(#,##0\);_(&quot;$&quot;* &quot;-&quot;??_);_(@_)"/>
    <numFmt numFmtId="168" formatCode="_(&quot;$&quot;* #,##0.000_);_(&quot;$&quot;* \(#,##0.000\);_(&quot;$&quot;* &quot;-&quot;??_);_(@_)"/>
    <numFmt numFmtId="169" formatCode="#,##0.0"/>
    <numFmt numFmtId="170" formatCode="&quot;$&quot;#,##0.00"/>
    <numFmt numFmtId="171" formatCode="0.000%"/>
    <numFmt numFmtId="172" formatCode="0.0000%"/>
    <numFmt numFmtId="173" formatCode="0.000"/>
    <numFmt numFmtId="174" formatCode="0.000000"/>
    <numFmt numFmtId="175" formatCode="#,##0.000"/>
    <numFmt numFmtId="176" formatCode="_(* #,##0_);_(* \(#,##0\);_(* &quot;-&quot;??_);_(@_)"/>
    <numFmt numFmtId="177" formatCode="0.0000"/>
    <numFmt numFmtId="178" formatCode="0.00000"/>
    <numFmt numFmtId="179" formatCode="#,##0.0000_);\(#,##0.0000\)"/>
    <numFmt numFmtId="180" formatCode="#,##0.0_);\(#,##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sz val="10"/>
      <color indexed="10"/>
      <name val="Arial"/>
      <family val="2"/>
    </font>
    <font>
      <sz val="10"/>
      <name val="Arial"/>
      <family val="2"/>
    </font>
    <font>
      <sz val="10"/>
      <color indexed="20"/>
      <name val="Arial"/>
      <family val="2"/>
    </font>
    <font>
      <sz val="10"/>
      <color indexed="8"/>
      <name val="Arial"/>
      <family val="2"/>
    </font>
    <font>
      <b/>
      <sz val="10"/>
      <color indexed="10"/>
      <name val="Arial"/>
      <family val="2"/>
    </font>
    <font>
      <sz val="10"/>
      <color indexed="10"/>
      <name val="Arial"/>
      <family val="2"/>
    </font>
    <font>
      <sz val="10"/>
      <color indexed="12"/>
      <name val="Arial"/>
      <family val="2"/>
    </font>
    <font>
      <sz val="10"/>
      <color rgb="FFFF0000"/>
      <name val="Arial"/>
      <family val="2"/>
    </font>
    <font>
      <sz val="10"/>
      <color rgb="FFC00000"/>
      <name val="Arial"/>
      <family val="2"/>
    </font>
    <font>
      <sz val="10"/>
      <name val="Arial"/>
      <family val="2"/>
    </font>
    <font>
      <sz val="10"/>
      <color rgb="FF0070C0"/>
      <name val="Arial"/>
      <family val="2"/>
    </font>
    <font>
      <b/>
      <sz val="11"/>
      <color theme="1"/>
      <name val="Calibri"/>
      <family val="2"/>
      <scheme val="minor"/>
    </font>
    <font>
      <sz val="9"/>
      <color indexed="81"/>
      <name val="Tahoma"/>
      <family val="2"/>
    </font>
    <font>
      <b/>
      <sz val="9"/>
      <color indexed="81"/>
      <name val="Tahoma"/>
      <family val="2"/>
    </font>
    <font>
      <b/>
      <sz val="8"/>
      <color indexed="81"/>
      <name val="Tahoma"/>
      <family val="2"/>
    </font>
    <font>
      <sz val="8"/>
      <color indexed="81"/>
      <name val="Tahoma"/>
      <family val="2"/>
    </font>
    <font>
      <sz val="10"/>
      <color theme="1"/>
      <name val="Arial"/>
      <family val="2"/>
    </font>
    <font>
      <b/>
      <sz val="10"/>
      <color theme="1"/>
      <name val="Arial"/>
      <family val="2"/>
    </font>
    <font>
      <sz val="8"/>
      <name val="Arial"/>
      <family val="2"/>
    </font>
    <font>
      <sz val="10"/>
      <color theme="3"/>
      <name val="Arial"/>
      <family val="2"/>
    </font>
    <font>
      <b/>
      <sz val="11"/>
      <name val="Calibri"/>
      <family val="2"/>
      <scheme val="minor"/>
    </font>
    <font>
      <sz val="12"/>
      <name val="Arial"/>
      <family val="2"/>
    </font>
    <font>
      <b/>
      <sz val="18"/>
      <color rgb="FF7030A0"/>
      <name val="Calibri"/>
      <family val="2"/>
      <scheme val="minor"/>
    </font>
    <font>
      <sz val="10"/>
      <color rgb="FF000000"/>
      <name val="Tahoma"/>
      <family val="2"/>
    </font>
    <font>
      <b/>
      <sz val="8"/>
      <color rgb="FF000000"/>
      <name val="Tahoma"/>
      <family val="2"/>
    </font>
    <font>
      <sz val="8"/>
      <color rgb="FF000000"/>
      <name val="Tahoma"/>
      <family val="2"/>
    </font>
    <font>
      <b/>
      <sz val="9"/>
      <color rgb="FF000000"/>
      <name val="Tahoma"/>
      <family val="2"/>
    </font>
    <font>
      <sz val="9"/>
      <color rgb="FF000000"/>
      <name val="Tahoma"/>
      <family val="2"/>
    </font>
    <font>
      <sz val="12"/>
      <name val="Calibri"/>
      <family val="2"/>
    </font>
    <font>
      <sz val="11"/>
      <color rgb="FF000000"/>
      <name val="Calibri"/>
      <family val="2"/>
    </font>
    <font>
      <b/>
      <sz val="14"/>
      <name val="Arial"/>
      <family val="2"/>
    </font>
    <font>
      <sz val="12"/>
      <color rgb="FFFF0000"/>
      <name val="Arial"/>
      <family val="2"/>
    </font>
    <font>
      <b/>
      <sz val="16"/>
      <name val="Arial"/>
      <family val="2"/>
    </font>
    <font>
      <b/>
      <sz val="10"/>
      <color rgb="FF000000"/>
      <name val="Tahoma"/>
      <family val="2"/>
    </font>
    <font>
      <sz val="16"/>
      <name val="Arial"/>
      <family val="2"/>
    </font>
    <font>
      <sz val="22"/>
      <name val="Arial"/>
      <family val="2"/>
    </font>
    <font>
      <sz val="8"/>
      <name val="Arial"/>
      <family val="2"/>
    </font>
  </fonts>
  <fills count="22">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EFBD"/>
        <bgColor indexed="64"/>
      </patternFill>
    </fill>
    <fill>
      <patternFill patternType="solid">
        <fgColor rgb="FFE8D9F3"/>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indexed="15"/>
        <bgColor indexed="64"/>
      </patternFill>
    </fill>
    <fill>
      <patternFill patternType="solid">
        <fgColor indexed="46"/>
        <bgColor indexed="64"/>
      </patternFill>
    </fill>
    <fill>
      <patternFill patternType="solid">
        <fgColor indexed="13"/>
        <bgColor indexed="64"/>
      </patternFill>
    </fill>
    <fill>
      <patternFill patternType="solid">
        <fgColor indexed="11"/>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39997558519241921"/>
        <bgColor indexed="64"/>
      </patternFill>
    </fill>
  </fills>
  <borders count="26">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bottom style="thin">
        <color auto="1"/>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s>
  <cellStyleXfs count="10">
    <xf numFmtId="0" fontId="0"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5" fillId="0" borderId="0"/>
    <xf numFmtId="0" fontId="4" fillId="0" borderId="0"/>
    <xf numFmtId="0" fontId="18" fillId="0" borderId="0"/>
    <xf numFmtId="0" fontId="3" fillId="0" borderId="0"/>
    <xf numFmtId="0" fontId="2" fillId="0" borderId="0"/>
  </cellStyleXfs>
  <cellXfs count="567">
    <xf numFmtId="0" fontId="0" fillId="0" borderId="0" xfId="0"/>
    <xf numFmtId="164" fontId="0" fillId="0" borderId="2" xfId="0" applyNumberFormat="1" applyBorder="1"/>
    <xf numFmtId="2" fontId="0" fillId="0" borderId="0" xfId="0" applyNumberFormat="1"/>
    <xf numFmtId="2" fontId="0" fillId="0" borderId="0" xfId="0" quotePrefix="1" applyNumberFormat="1" applyAlignment="1">
      <alignment horizontal="left"/>
    </xf>
    <xf numFmtId="0" fontId="8" fillId="0" borderId="0" xfId="0" applyFont="1" applyAlignment="1">
      <alignment horizontal="left"/>
    </xf>
    <xf numFmtId="2" fontId="0" fillId="0" borderId="0" xfId="0" applyNumberFormat="1" applyAlignment="1">
      <alignment horizontal="left"/>
    </xf>
    <xf numFmtId="0" fontId="0" fillId="0" borderId="0" xfId="0" applyAlignment="1">
      <alignment horizontal="center"/>
    </xf>
    <xf numFmtId="2" fontId="0" fillId="0" borderId="0" xfId="0" applyNumberFormat="1" applyAlignment="1">
      <alignment horizontal="center"/>
    </xf>
    <xf numFmtId="1" fontId="0" fillId="0" borderId="0" xfId="0" applyNumberFormat="1" applyAlignment="1">
      <alignment horizontal="center"/>
    </xf>
    <xf numFmtId="164" fontId="0" fillId="0" borderId="0" xfId="0" applyNumberFormat="1"/>
    <xf numFmtId="0" fontId="0" fillId="0" borderId="0" xfId="0" applyProtection="1">
      <protection locked="0"/>
    </xf>
    <xf numFmtId="1" fontId="0" fillId="2" borderId="1" xfId="0" applyNumberFormat="1" applyFill="1" applyBorder="1" applyAlignment="1" applyProtection="1">
      <alignment horizontal="center"/>
      <protection locked="0"/>
    </xf>
    <xf numFmtId="44" fontId="0" fillId="2" borderId="4" xfId="2" applyFont="1" applyFill="1" applyBorder="1" applyAlignment="1" applyProtection="1">
      <alignment horizontal="center"/>
      <protection locked="0"/>
    </xf>
    <xf numFmtId="1" fontId="0" fillId="0" borderId="0" xfId="0" applyNumberFormat="1"/>
    <xf numFmtId="9" fontId="0" fillId="0" borderId="0" xfId="3" applyFont="1" applyAlignment="1">
      <alignment horizontal="center"/>
    </xf>
    <xf numFmtId="0" fontId="0" fillId="0" borderId="0" xfId="0" quotePrefix="1"/>
    <xf numFmtId="0" fontId="13" fillId="0" borderId="3" xfId="0" applyFont="1" applyBorder="1" applyAlignment="1">
      <alignment horizontal="left"/>
    </xf>
    <xf numFmtId="0" fontId="0" fillId="0" borderId="3" xfId="0" applyBorder="1"/>
    <xf numFmtId="0" fontId="0" fillId="0" borderId="6" xfId="0" applyBorder="1" applyAlignment="1">
      <alignment horizontal="center"/>
    </xf>
    <xf numFmtId="0" fontId="0" fillId="0" borderId="1" xfId="0" applyBorder="1" applyAlignment="1">
      <alignment wrapText="1"/>
    </xf>
    <xf numFmtId="2" fontId="12" fillId="0" borderId="0" xfId="3" applyNumberFormat="1" applyFont="1" applyAlignment="1">
      <alignment horizontal="center"/>
    </xf>
    <xf numFmtId="3" fontId="12" fillId="0" borderId="0" xfId="3" applyNumberFormat="1" applyFont="1" applyAlignment="1">
      <alignment horizontal="center"/>
    </xf>
    <xf numFmtId="169" fontId="12" fillId="0" borderId="0" xfId="3" applyNumberFormat="1" applyFont="1" applyAlignment="1">
      <alignment horizontal="center"/>
    </xf>
    <xf numFmtId="4" fontId="12" fillId="0" borderId="0" xfId="3" applyNumberFormat="1" applyFont="1" applyAlignment="1">
      <alignment horizontal="center"/>
    </xf>
    <xf numFmtId="170" fontId="12" fillId="0" borderId="0" xfId="3" applyNumberFormat="1" applyFont="1" applyAlignment="1">
      <alignment horizontal="center"/>
    </xf>
    <xf numFmtId="170" fontId="12" fillId="0" borderId="0" xfId="2" applyNumberFormat="1" applyFont="1" applyAlignment="1">
      <alignment horizontal="center"/>
    </xf>
    <xf numFmtId="39" fontId="0" fillId="0" borderId="0" xfId="0" applyNumberFormat="1" applyAlignment="1">
      <alignment horizontal="center"/>
    </xf>
    <xf numFmtId="39" fontId="11" fillId="2" borderId="4" xfId="0" applyNumberFormat="1" applyFont="1" applyFill="1" applyBorder="1" applyAlignment="1" applyProtection="1">
      <alignment horizontal="center"/>
      <protection locked="0"/>
    </xf>
    <xf numFmtId="4" fontId="0" fillId="0" borderId="0" xfId="0" applyNumberFormat="1" applyAlignment="1">
      <alignment horizontal="center"/>
    </xf>
    <xf numFmtId="164" fontId="0" fillId="0" borderId="0" xfId="0" applyNumberFormat="1" applyProtection="1">
      <protection locked="0"/>
    </xf>
    <xf numFmtId="1" fontId="13" fillId="0" borderId="0" xfId="0" applyNumberFormat="1" applyFont="1"/>
    <xf numFmtId="0" fontId="13" fillId="0" borderId="0" xfId="0" applyFont="1" applyAlignment="1">
      <alignment horizontal="left"/>
    </xf>
    <xf numFmtId="0" fontId="0" fillId="0" borderId="1" xfId="0" applyBorder="1" applyAlignment="1">
      <alignment horizontal="center" wrapText="1"/>
    </xf>
    <xf numFmtId="2" fontId="7" fillId="0" borderId="0" xfId="0" applyNumberFormat="1" applyFont="1" applyAlignment="1">
      <alignment horizontal="center"/>
    </xf>
    <xf numFmtId="0" fontId="7" fillId="0" borderId="0" xfId="0" applyFont="1"/>
    <xf numFmtId="0" fontId="7" fillId="0" borderId="1" xfId="0" applyFont="1" applyBorder="1" applyAlignment="1">
      <alignment horizontal="center" wrapText="1"/>
    </xf>
    <xf numFmtId="0" fontId="7" fillId="0" borderId="3" xfId="0" applyFont="1" applyBorder="1"/>
    <xf numFmtId="0" fontId="7" fillId="0" borderId="6" xfId="0" applyFont="1" applyBorder="1"/>
    <xf numFmtId="2" fontId="7" fillId="0" borderId="0" xfId="0" applyNumberFormat="1" applyFont="1" applyAlignment="1">
      <alignment horizontal="left"/>
    </xf>
    <xf numFmtId="2" fontId="7" fillId="0" borderId="0" xfId="0" applyNumberFormat="1" applyFont="1"/>
    <xf numFmtId="0" fontId="7" fillId="0" borderId="0" xfId="0" quotePrefix="1" applyFont="1" applyAlignment="1">
      <alignment horizontal="left"/>
    </xf>
    <xf numFmtId="164" fontId="7" fillId="0" borderId="0" xfId="0" quotePrefix="1" applyNumberFormat="1" applyFont="1" applyAlignment="1">
      <alignment horizontal="left"/>
    </xf>
    <xf numFmtId="2" fontId="7" fillId="0" borderId="0" xfId="0" quotePrefix="1" applyNumberFormat="1" applyFont="1"/>
    <xf numFmtId="2" fontId="7" fillId="0" borderId="0" xfId="0" quotePrefix="1" applyNumberFormat="1" applyFont="1" applyAlignment="1">
      <alignment horizontal="left"/>
    </xf>
    <xf numFmtId="0" fontId="7" fillId="0" borderId="0" xfId="0" applyFont="1" applyAlignment="1">
      <alignment horizontal="left"/>
    </xf>
    <xf numFmtId="2" fontId="7" fillId="0" borderId="0" xfId="3" applyNumberFormat="1" applyFont="1" applyAlignment="1">
      <alignment horizontal="center"/>
    </xf>
    <xf numFmtId="9" fontId="12" fillId="0" borderId="0" xfId="0" applyNumberFormat="1" applyFont="1" applyAlignment="1">
      <alignment horizontal="center"/>
    </xf>
    <xf numFmtId="173" fontId="0" fillId="0" borderId="0" xfId="0" applyNumberFormat="1"/>
    <xf numFmtId="165" fontId="7" fillId="0" borderId="0" xfId="0" applyNumberFormat="1" applyFont="1"/>
    <xf numFmtId="1" fontId="12" fillId="0" borderId="0" xfId="3" applyNumberFormat="1" applyFont="1" applyAlignment="1">
      <alignment horizontal="center"/>
    </xf>
    <xf numFmtId="0" fontId="7" fillId="0" borderId="0" xfId="0" quotePrefix="1" applyFont="1"/>
    <xf numFmtId="164" fontId="7" fillId="0" borderId="0" xfId="0" applyNumberFormat="1" applyFont="1" applyAlignment="1">
      <alignment horizontal="left"/>
    </xf>
    <xf numFmtId="0" fontId="7" fillId="0" borderId="0" xfId="0" applyFont="1" applyAlignment="1">
      <alignment horizontal="center"/>
    </xf>
    <xf numFmtId="0" fontId="0" fillId="0" borderId="3" xfId="0" applyBorder="1" applyAlignment="1">
      <alignment horizontal="left"/>
    </xf>
    <xf numFmtId="0" fontId="7" fillId="0" borderId="0" xfId="0" applyFont="1" applyAlignment="1" applyProtection="1">
      <alignment horizontal="left" wrapText="1"/>
      <protection locked="0"/>
    </xf>
    <xf numFmtId="0" fontId="0" fillId="0" borderId="4" xfId="0" applyBorder="1"/>
    <xf numFmtId="0" fontId="7" fillId="0" borderId="4" xfId="0" applyFont="1" applyBorder="1"/>
    <xf numFmtId="2" fontId="19" fillId="0" borderId="0" xfId="0" applyNumberFormat="1" applyFont="1" applyAlignment="1">
      <alignment horizontal="center"/>
    </xf>
    <xf numFmtId="0" fontId="20" fillId="0" borderId="0" xfId="8" applyFont="1"/>
    <xf numFmtId="0" fontId="20" fillId="0" borderId="3" xfId="8" applyFont="1" applyBorder="1"/>
    <xf numFmtId="0" fontId="20" fillId="0" borderId="0" xfId="8" applyFont="1" applyAlignment="1">
      <alignment horizontal="left"/>
    </xf>
    <xf numFmtId="0" fontId="0" fillId="0" borderId="0" xfId="0" applyAlignment="1">
      <alignment horizontal="left"/>
    </xf>
    <xf numFmtId="2" fontId="0" fillId="0" borderId="3" xfId="0" applyNumberFormat="1" applyBorder="1"/>
    <xf numFmtId="173" fontId="0" fillId="0" borderId="3" xfId="0" applyNumberFormat="1" applyBorder="1"/>
    <xf numFmtId="0" fontId="16" fillId="0" borderId="0" xfId="0" applyFont="1"/>
    <xf numFmtId="0" fontId="0" fillId="5" borderId="0" xfId="0" applyFill="1"/>
    <xf numFmtId="9" fontId="0" fillId="0" borderId="0" xfId="3" applyFont="1"/>
    <xf numFmtId="2" fontId="15" fillId="0" borderId="0" xfId="0" applyNumberFormat="1" applyFont="1" applyAlignment="1" applyProtection="1">
      <alignment horizontal="center"/>
      <protection locked="0"/>
    </xf>
    <xf numFmtId="0" fontId="16" fillId="0" borderId="0" xfId="0" applyFont="1" applyAlignment="1">
      <alignment horizontal="center"/>
    </xf>
    <xf numFmtId="9" fontId="0" fillId="0" borderId="0" xfId="3" applyFont="1" applyFill="1" applyBorder="1" applyAlignment="1" applyProtection="1">
      <alignment horizontal="center"/>
      <protection locked="0"/>
    </xf>
    <xf numFmtId="173" fontId="0" fillId="0" borderId="9" xfId="0" applyNumberFormat="1" applyBorder="1"/>
    <xf numFmtId="0" fontId="25" fillId="0" borderId="0" xfId="0" applyFont="1"/>
    <xf numFmtId="0" fontId="20" fillId="7" borderId="0" xfId="8" applyFont="1" applyFill="1"/>
    <xf numFmtId="2" fontId="7" fillId="0" borderId="0" xfId="0" applyNumberFormat="1" applyFont="1" applyAlignment="1" applyProtection="1">
      <alignment horizontal="center"/>
      <protection locked="0"/>
    </xf>
    <xf numFmtId="2" fontId="9" fillId="0" borderId="0" xfId="0" applyNumberFormat="1" applyFont="1" applyAlignment="1">
      <alignment horizontal="center"/>
    </xf>
    <xf numFmtId="0" fontId="7" fillId="0" borderId="0" xfId="0" applyFont="1" applyAlignment="1">
      <alignment horizontal="center" wrapText="1"/>
    </xf>
    <xf numFmtId="1" fontId="0" fillId="0" borderId="0" xfId="3" applyNumberFormat="1" applyFont="1" applyBorder="1" applyAlignment="1">
      <alignment horizontal="center"/>
    </xf>
    <xf numFmtId="1" fontId="0" fillId="0" borderId="0" xfId="3" applyNumberFormat="1" applyFont="1" applyBorder="1" applyAlignment="1" applyProtection="1">
      <alignment horizontal="center"/>
      <protection locked="0"/>
    </xf>
    <xf numFmtId="1" fontId="15" fillId="0" borderId="0" xfId="0" applyNumberFormat="1" applyFont="1" applyAlignment="1">
      <alignment horizontal="center"/>
    </xf>
    <xf numFmtId="9" fontId="9" fillId="0" borderId="0" xfId="3" applyFont="1" applyBorder="1" applyAlignment="1">
      <alignment horizontal="center"/>
    </xf>
    <xf numFmtId="9" fontId="0" fillId="0" borderId="0" xfId="3" applyFont="1" applyBorder="1" applyAlignment="1">
      <alignment horizontal="center"/>
    </xf>
    <xf numFmtId="9" fontId="0" fillId="0" borderId="0" xfId="3" applyFont="1" applyBorder="1" applyAlignment="1" applyProtection="1">
      <alignment horizontal="center"/>
      <protection locked="0"/>
    </xf>
    <xf numFmtId="2" fontId="0" fillId="0" borderId="0" xfId="3" applyNumberFormat="1" applyFont="1" applyBorder="1" applyAlignment="1" applyProtection="1">
      <alignment horizontal="center"/>
      <protection locked="0"/>
    </xf>
    <xf numFmtId="166" fontId="0" fillId="0" borderId="0" xfId="3" applyNumberFormat="1" applyFont="1"/>
    <xf numFmtId="0" fontId="17" fillId="0" borderId="0" xfId="0" applyFont="1" applyAlignment="1" applyProtection="1">
      <alignment horizontal="left" wrapText="1"/>
      <protection locked="0"/>
    </xf>
    <xf numFmtId="1" fontId="14" fillId="0" borderId="10" xfId="0" applyNumberFormat="1" applyFont="1" applyBorder="1" applyAlignment="1" applyProtection="1">
      <alignment horizontal="center"/>
      <protection locked="0"/>
    </xf>
    <xf numFmtId="2" fontId="0" fillId="0" borderId="10" xfId="0" applyNumberFormat="1" applyBorder="1" applyAlignment="1" applyProtection="1">
      <alignment horizontal="center"/>
      <protection locked="0"/>
    </xf>
    <xf numFmtId="0" fontId="15" fillId="0" borderId="10" xfId="0" applyFont="1" applyBorder="1" applyAlignment="1">
      <alignment horizontal="center"/>
    </xf>
    <xf numFmtId="1" fontId="9" fillId="0" borderId="0" xfId="0" applyNumberFormat="1" applyFont="1" applyAlignment="1" applyProtection="1">
      <alignment horizontal="center"/>
      <protection locked="0"/>
    </xf>
    <xf numFmtId="1" fontId="16" fillId="0" borderId="0" xfId="0" applyNumberFormat="1" applyFont="1" applyAlignment="1">
      <alignment horizontal="center"/>
    </xf>
    <xf numFmtId="1" fontId="14" fillId="0" borderId="0" xfId="0" applyNumberFormat="1" applyFont="1" applyAlignment="1" applyProtection="1">
      <alignment horizontal="center"/>
      <protection locked="0"/>
    </xf>
    <xf numFmtId="2" fontId="0" fillId="0" borderId="0" xfId="0" applyNumberFormat="1" applyAlignment="1" applyProtection="1">
      <alignment horizontal="center"/>
      <protection locked="0"/>
    </xf>
    <xf numFmtId="0" fontId="15" fillId="0" borderId="0" xfId="0" applyFont="1" applyAlignment="1">
      <alignment horizontal="center"/>
    </xf>
    <xf numFmtId="1" fontId="16" fillId="0" borderId="0" xfId="0" applyNumberFormat="1" applyFont="1" applyAlignment="1" applyProtection="1">
      <alignment horizontal="center"/>
      <protection locked="0"/>
    </xf>
    <xf numFmtId="1" fontId="0" fillId="0" borderId="0" xfId="0" applyNumberFormat="1" applyAlignment="1" applyProtection="1">
      <alignment horizontal="center"/>
      <protection locked="0"/>
    </xf>
    <xf numFmtId="1" fontId="9" fillId="0" borderId="0" xfId="0" applyNumberFormat="1" applyFont="1" applyAlignment="1">
      <alignment horizontal="center"/>
    </xf>
    <xf numFmtId="1" fontId="15" fillId="0" borderId="0" xfId="0" applyNumberFormat="1" applyFont="1" applyAlignment="1" applyProtection="1">
      <alignment horizontal="center"/>
      <protection locked="0"/>
    </xf>
    <xf numFmtId="164" fontId="15" fillId="0" borderId="0" xfId="0" applyNumberFormat="1" applyFont="1" applyAlignment="1">
      <alignment horizontal="center"/>
    </xf>
    <xf numFmtId="2" fontId="15" fillId="0" borderId="10" xfId="0" applyNumberFormat="1" applyFont="1" applyBorder="1" applyAlignment="1" applyProtection="1">
      <alignment horizontal="center"/>
      <protection locked="0"/>
    </xf>
    <xf numFmtId="0" fontId="0" fillId="0" borderId="0" xfId="0" applyAlignment="1" applyProtection="1">
      <alignment horizontal="center"/>
      <protection locked="0"/>
    </xf>
    <xf numFmtId="1" fontId="15" fillId="0" borderId="10" xfId="0" applyNumberFormat="1" applyFont="1" applyBorder="1" applyAlignment="1">
      <alignment horizontal="center"/>
    </xf>
    <xf numFmtId="9" fontId="15" fillId="0" borderId="0" xfId="0" applyNumberFormat="1" applyFont="1" applyAlignment="1">
      <alignment horizontal="center"/>
    </xf>
    <xf numFmtId="1" fontId="16" fillId="0" borderId="0" xfId="3" applyNumberFormat="1" applyFont="1" applyBorder="1" applyAlignment="1">
      <alignment horizontal="center"/>
    </xf>
    <xf numFmtId="1" fontId="7" fillId="0" borderId="0" xfId="3" applyNumberFormat="1" applyFont="1" applyBorder="1" applyAlignment="1">
      <alignment horizontal="center"/>
    </xf>
    <xf numFmtId="2" fontId="15" fillId="0" borderId="0" xfId="0" applyNumberFormat="1" applyFont="1" applyAlignment="1">
      <alignment horizontal="center"/>
    </xf>
    <xf numFmtId="0" fontId="0" fillId="0" borderId="10" xfId="0" applyBorder="1" applyAlignment="1">
      <alignment horizontal="center"/>
    </xf>
    <xf numFmtId="164" fontId="0" fillId="0" borderId="0" xfId="0" applyNumberFormat="1" applyAlignment="1" applyProtection="1">
      <alignment horizontal="center"/>
      <protection locked="0"/>
    </xf>
    <xf numFmtId="0" fontId="9" fillId="0" borderId="0" xfId="0" applyFont="1" applyAlignment="1">
      <alignment horizontal="center"/>
    </xf>
    <xf numFmtId="164" fontId="15" fillId="0" borderId="0" xfId="0" applyNumberFormat="1" applyFont="1" applyAlignment="1" applyProtection="1">
      <alignment horizontal="center"/>
      <protection locked="0"/>
    </xf>
    <xf numFmtId="0" fontId="0" fillId="0" borderId="9" xfId="0" applyBorder="1"/>
    <xf numFmtId="0" fontId="6" fillId="0" borderId="0" xfId="0" applyFont="1" applyAlignment="1" applyProtection="1">
      <alignment horizontal="center" wrapText="1"/>
      <protection locked="0"/>
    </xf>
    <xf numFmtId="167" fontId="0" fillId="3" borderId="0" xfId="2" applyNumberFormat="1" applyFont="1" applyFill="1" applyBorder="1" applyAlignment="1">
      <alignment horizontal="center"/>
    </xf>
    <xf numFmtId="168" fontId="0" fillId="2" borderId="0" xfId="2" applyNumberFormat="1" applyFont="1" applyFill="1" applyBorder="1" applyAlignment="1" applyProtection="1">
      <alignment horizontal="center"/>
      <protection locked="0"/>
    </xf>
    <xf numFmtId="2" fontId="0" fillId="2" borderId="0" xfId="0" applyNumberFormat="1" applyFill="1" applyAlignment="1" applyProtection="1">
      <alignment horizontal="center"/>
      <protection locked="0"/>
    </xf>
    <xf numFmtId="9" fontId="15" fillId="0" borderId="0" xfId="3" applyFont="1" applyBorder="1" applyAlignment="1">
      <alignment horizontal="center"/>
    </xf>
    <xf numFmtId="9" fontId="0" fillId="0" borderId="0" xfId="3" applyFont="1" applyBorder="1"/>
    <xf numFmtId="166" fontId="0" fillId="0" borderId="0" xfId="3" applyNumberFormat="1" applyFont="1" applyBorder="1"/>
    <xf numFmtId="164" fontId="0" fillId="0" borderId="0" xfId="0" applyNumberFormat="1" applyAlignment="1">
      <alignment horizontal="center"/>
    </xf>
    <xf numFmtId="0" fontId="14" fillId="0" borderId="0" xfId="0" applyFont="1" applyAlignment="1">
      <alignment horizontal="center"/>
    </xf>
    <xf numFmtId="10" fontId="0" fillId="0" borderId="0" xfId="3" applyNumberFormat="1" applyFont="1" applyBorder="1" applyAlignment="1">
      <alignment horizontal="center"/>
    </xf>
    <xf numFmtId="171" fontId="0" fillId="0" borderId="0" xfId="3" applyNumberFormat="1" applyFont="1" applyBorder="1" applyAlignment="1">
      <alignment horizontal="center"/>
    </xf>
    <xf numFmtId="172" fontId="0" fillId="0" borderId="0" xfId="3" applyNumberFormat="1" applyFont="1" applyBorder="1" applyAlignment="1">
      <alignment horizontal="center"/>
    </xf>
    <xf numFmtId="9" fontId="9" fillId="0" borderId="0" xfId="3" applyFont="1" applyBorder="1" applyAlignment="1" applyProtection="1">
      <alignment horizontal="center"/>
      <protection locked="0"/>
    </xf>
    <xf numFmtId="176" fontId="15" fillId="0" borderId="0" xfId="1" applyNumberFormat="1" applyFont="1" applyBorder="1" applyAlignment="1">
      <alignment horizontal="center"/>
    </xf>
    <xf numFmtId="9" fontId="15" fillId="0" borderId="0" xfId="3" applyFont="1" applyBorder="1" applyAlignment="1" applyProtection="1">
      <alignment horizontal="center"/>
      <protection locked="0"/>
    </xf>
    <xf numFmtId="166" fontId="0" fillId="0" borderId="0" xfId="3" applyNumberFormat="1" applyFont="1" applyBorder="1" applyAlignment="1">
      <alignment horizontal="center"/>
    </xf>
    <xf numFmtId="9" fontId="0" fillId="0" borderId="0" xfId="0" applyNumberFormat="1" applyAlignment="1" applyProtection="1">
      <alignment horizontal="center"/>
      <protection locked="0"/>
    </xf>
    <xf numFmtId="174" fontId="5" fillId="0" borderId="0" xfId="5" applyNumberFormat="1" applyAlignment="1">
      <alignment horizontal="center"/>
    </xf>
    <xf numFmtId="173" fontId="5" fillId="0" borderId="0" xfId="5" applyNumberFormat="1" applyAlignment="1">
      <alignment horizontal="center"/>
    </xf>
    <xf numFmtId="164" fontId="14" fillId="0" borderId="0" xfId="0" applyNumberFormat="1" applyFont="1" applyAlignment="1" applyProtection="1">
      <alignment horizontal="center"/>
      <protection locked="0"/>
    </xf>
    <xf numFmtId="2" fontId="14" fillId="0" borderId="0" xfId="0" applyNumberFormat="1" applyFont="1" applyAlignment="1" applyProtection="1">
      <alignment horizontal="center"/>
      <protection locked="0"/>
    </xf>
    <xf numFmtId="2" fontId="0" fillId="0" borderId="0" xfId="0" applyNumberFormat="1" applyAlignment="1">
      <alignment horizontal="right"/>
    </xf>
    <xf numFmtId="2" fontId="15" fillId="0" borderId="0" xfId="0" applyNumberFormat="1" applyFont="1" applyAlignment="1" applyProtection="1">
      <alignment horizontal="right"/>
      <protection locked="0"/>
    </xf>
    <xf numFmtId="2" fontId="0" fillId="0" borderId="0" xfId="0" applyNumberFormat="1" applyAlignment="1" applyProtection="1">
      <alignment horizontal="right"/>
      <protection locked="0"/>
    </xf>
    <xf numFmtId="2" fontId="14" fillId="0" borderId="0" xfId="0" applyNumberFormat="1" applyFont="1" applyAlignment="1" applyProtection="1">
      <alignment horizontal="right"/>
      <protection locked="0"/>
    </xf>
    <xf numFmtId="2" fontId="15" fillId="0" borderId="0" xfId="0" applyNumberFormat="1" applyFont="1" applyAlignment="1">
      <alignment horizontal="right"/>
    </xf>
    <xf numFmtId="1" fontId="14" fillId="0" borderId="0" xfId="0" applyNumberFormat="1" applyFont="1" applyAlignment="1" applyProtection="1">
      <alignment horizontal="right"/>
      <protection locked="0"/>
    </xf>
    <xf numFmtId="1" fontId="0" fillId="0" borderId="0" xfId="0" applyNumberFormat="1" applyAlignment="1">
      <alignment horizontal="right"/>
    </xf>
    <xf numFmtId="1" fontId="15" fillId="0" borderId="0" xfId="0" applyNumberFormat="1" applyFont="1" applyAlignment="1">
      <alignment horizontal="right"/>
    </xf>
    <xf numFmtId="1" fontId="0" fillId="0" borderId="0" xfId="3" applyNumberFormat="1" applyFont="1" applyBorder="1" applyAlignment="1" applyProtection="1">
      <alignment horizontal="right"/>
      <protection locked="0"/>
    </xf>
    <xf numFmtId="1" fontId="0" fillId="0" borderId="0" xfId="1" applyNumberFormat="1" applyFont="1" applyBorder="1" applyAlignment="1" applyProtection="1">
      <alignment horizontal="right"/>
      <protection locked="0"/>
    </xf>
    <xf numFmtId="1" fontId="16" fillId="0" borderId="0" xfId="1" applyNumberFormat="1" applyFont="1" applyBorder="1" applyAlignment="1">
      <alignment horizontal="right"/>
    </xf>
    <xf numFmtId="1" fontId="14" fillId="0" borderId="0" xfId="0" applyNumberFormat="1" applyFont="1" applyProtection="1">
      <protection locked="0"/>
    </xf>
    <xf numFmtId="164" fontId="14" fillId="0" borderId="0" xfId="0" applyNumberFormat="1" applyFont="1" applyProtection="1">
      <protection locked="0"/>
    </xf>
    <xf numFmtId="164" fontId="16" fillId="0" borderId="0" xfId="0" applyNumberFormat="1" applyFont="1"/>
    <xf numFmtId="164" fontId="9" fillId="0" borderId="0" xfId="0" applyNumberFormat="1" applyFont="1" applyAlignment="1">
      <alignment horizontal="center"/>
    </xf>
    <xf numFmtId="166" fontId="0" fillId="0" borderId="0" xfId="3" applyNumberFormat="1" applyFont="1" applyBorder="1" applyAlignment="1">
      <alignment horizontal="right"/>
    </xf>
    <xf numFmtId="1" fontId="25" fillId="0" borderId="0" xfId="0" applyNumberFormat="1" applyFont="1" applyAlignment="1">
      <alignment horizontal="right"/>
    </xf>
    <xf numFmtId="1" fontId="25" fillId="0" borderId="0" xfId="3" applyNumberFormat="1" applyFont="1" applyFill="1" applyBorder="1" applyAlignment="1" applyProtection="1">
      <alignment horizontal="right"/>
      <protection locked="0"/>
    </xf>
    <xf numFmtId="2" fontId="25" fillId="0" borderId="0" xfId="0" applyNumberFormat="1" applyFont="1" applyAlignment="1" applyProtection="1">
      <alignment horizontal="right"/>
      <protection locked="0"/>
    </xf>
    <xf numFmtId="2" fontId="25" fillId="0" borderId="0" xfId="0" applyNumberFormat="1" applyFont="1" applyAlignment="1">
      <alignment horizontal="right"/>
    </xf>
    <xf numFmtId="1" fontId="25" fillId="0" borderId="0" xfId="0" applyNumberFormat="1" applyFont="1" applyAlignment="1" applyProtection="1">
      <alignment horizontal="center"/>
      <protection locked="0"/>
    </xf>
    <xf numFmtId="164" fontId="25" fillId="0" borderId="0" xfId="0" applyNumberFormat="1" applyFont="1"/>
    <xf numFmtId="164" fontId="25" fillId="0" borderId="0" xfId="0" applyNumberFormat="1" applyFont="1" applyAlignment="1" applyProtection="1">
      <alignment horizontal="center"/>
      <protection locked="0"/>
    </xf>
    <xf numFmtId="164" fontId="25" fillId="0" borderId="0" xfId="0" applyNumberFormat="1" applyFont="1" applyAlignment="1">
      <alignment horizontal="center"/>
    </xf>
    <xf numFmtId="0" fontId="25" fillId="0" borderId="0" xfId="0" applyFont="1" applyAlignment="1" applyProtection="1">
      <alignment horizontal="center"/>
      <protection locked="0"/>
    </xf>
    <xf numFmtId="1" fontId="25" fillId="0" borderId="0" xfId="3" applyNumberFormat="1" applyFont="1" applyBorder="1" applyAlignment="1" applyProtection="1">
      <alignment horizontal="right"/>
      <protection locked="0"/>
    </xf>
    <xf numFmtId="2" fontId="25" fillId="0" borderId="0" xfId="0" applyNumberFormat="1" applyFont="1"/>
    <xf numFmtId="0" fontId="26" fillId="0" borderId="0" xfId="0" applyFont="1" applyAlignment="1" applyProtection="1">
      <alignment horizontal="center" wrapText="1"/>
      <protection locked="0"/>
    </xf>
    <xf numFmtId="167" fontId="25" fillId="3" borderId="0" xfId="2" applyNumberFormat="1" applyFont="1" applyFill="1" applyBorder="1" applyAlignment="1">
      <alignment horizontal="center"/>
    </xf>
    <xf numFmtId="168" fontId="25" fillId="2" borderId="0" xfId="2" applyNumberFormat="1" applyFont="1" applyFill="1" applyBorder="1" applyAlignment="1" applyProtection="1">
      <alignment horizontal="center"/>
      <protection locked="0"/>
    </xf>
    <xf numFmtId="9" fontId="25" fillId="0" borderId="0" xfId="3" applyFont="1" applyBorder="1" applyAlignment="1" applyProtection="1">
      <alignment horizontal="center"/>
      <protection locked="0"/>
    </xf>
    <xf numFmtId="2" fontId="25" fillId="2" borderId="0" xfId="0" applyNumberFormat="1" applyFont="1" applyFill="1" applyAlignment="1" applyProtection="1">
      <alignment horizontal="center"/>
      <protection locked="0"/>
    </xf>
    <xf numFmtId="0" fontId="25" fillId="0" borderId="0" xfId="0" applyFont="1" applyAlignment="1">
      <alignment horizontal="center"/>
    </xf>
    <xf numFmtId="9" fontId="25" fillId="0" borderId="0" xfId="3" applyFont="1" applyBorder="1" applyAlignment="1">
      <alignment horizontal="center"/>
    </xf>
    <xf numFmtId="2" fontId="25" fillId="0" borderId="0" xfId="3" applyNumberFormat="1" applyFont="1" applyBorder="1" applyAlignment="1" applyProtection="1">
      <alignment horizontal="center"/>
      <protection locked="0"/>
    </xf>
    <xf numFmtId="9" fontId="25" fillId="0" borderId="0" xfId="3" applyFont="1" applyBorder="1"/>
    <xf numFmtId="166" fontId="25" fillId="0" borderId="0" xfId="3" applyNumberFormat="1" applyFont="1" applyBorder="1"/>
    <xf numFmtId="1" fontId="25" fillId="0" borderId="0" xfId="0" applyNumberFormat="1" applyFont="1" applyAlignment="1" applyProtection="1">
      <alignment horizontal="right"/>
      <protection locked="0"/>
    </xf>
    <xf numFmtId="9" fontId="25" fillId="0" borderId="0" xfId="3" applyFont="1" applyFill="1" applyBorder="1" applyAlignment="1" applyProtection="1">
      <alignment horizontal="center"/>
      <protection locked="0"/>
    </xf>
    <xf numFmtId="9" fontId="25" fillId="0" borderId="0" xfId="3" applyFont="1" applyFill="1" applyBorder="1" applyAlignment="1">
      <alignment horizontal="center"/>
    </xf>
    <xf numFmtId="2" fontId="25" fillId="0" borderId="0" xfId="3" applyNumberFormat="1" applyFont="1" applyFill="1" applyBorder="1" applyAlignment="1" applyProtection="1">
      <alignment horizontal="center"/>
      <protection locked="0"/>
    </xf>
    <xf numFmtId="9" fontId="25" fillId="0" borderId="0" xfId="3" applyFont="1" applyFill="1" applyBorder="1"/>
    <xf numFmtId="166" fontId="25" fillId="0" borderId="0" xfId="3" applyNumberFormat="1" applyFont="1" applyFill="1" applyBorder="1"/>
    <xf numFmtId="166" fontId="25" fillId="0" borderId="0" xfId="3" applyNumberFormat="1" applyFont="1" applyFill="1" applyBorder="1" applyAlignment="1">
      <alignment horizontal="right"/>
    </xf>
    <xf numFmtId="172" fontId="25" fillId="0" borderId="0" xfId="3" applyNumberFormat="1" applyFont="1" applyFill="1" applyBorder="1" applyAlignment="1">
      <alignment horizontal="center"/>
    </xf>
    <xf numFmtId="171" fontId="25" fillId="0" borderId="0" xfId="3" applyNumberFormat="1" applyFont="1" applyFill="1" applyBorder="1"/>
    <xf numFmtId="166" fontId="25" fillId="0" borderId="0" xfId="0" applyNumberFormat="1" applyFont="1" applyAlignment="1">
      <alignment horizontal="right"/>
    </xf>
    <xf numFmtId="171" fontId="25" fillId="0" borderId="0" xfId="3" applyNumberFormat="1" applyFont="1" applyFill="1" applyBorder="1" applyAlignment="1">
      <alignment horizontal="center"/>
    </xf>
    <xf numFmtId="1" fontId="25" fillId="0" borderId="0" xfId="0" applyNumberFormat="1" applyFont="1" applyAlignment="1">
      <alignment horizontal="center"/>
    </xf>
    <xf numFmtId="2" fontId="25" fillId="0" borderId="0" xfId="0" applyNumberFormat="1" applyFont="1" applyAlignment="1">
      <alignment horizontal="center"/>
    </xf>
    <xf numFmtId="0" fontId="25" fillId="0" borderId="0" xfId="0" applyFont="1" applyAlignment="1">
      <alignment horizontal="right"/>
    </xf>
    <xf numFmtId="1" fontId="25" fillId="0" borderId="0" xfId="3" applyNumberFormat="1" applyFont="1" applyBorder="1" applyAlignment="1">
      <alignment horizontal="right"/>
    </xf>
    <xf numFmtId="166" fontId="25" fillId="0" borderId="0" xfId="3" applyNumberFormat="1" applyFont="1" applyBorder="1" applyAlignment="1">
      <alignment horizontal="right"/>
    </xf>
    <xf numFmtId="171" fontId="25" fillId="0" borderId="0" xfId="3" applyNumberFormat="1" applyFont="1" applyBorder="1" applyAlignment="1">
      <alignment horizontal="center"/>
    </xf>
    <xf numFmtId="171" fontId="25" fillId="0" borderId="0" xfId="3" applyNumberFormat="1" applyFont="1" applyBorder="1"/>
    <xf numFmtId="1" fontId="25" fillId="0" borderId="0" xfId="0" applyNumberFormat="1" applyFont="1"/>
    <xf numFmtId="172" fontId="25" fillId="0" borderId="0" xfId="3" applyNumberFormat="1" applyFont="1" applyBorder="1"/>
    <xf numFmtId="173" fontId="25" fillId="0" borderId="0" xfId="0" applyNumberFormat="1" applyFont="1"/>
    <xf numFmtId="2" fontId="25" fillId="0" borderId="0" xfId="0" applyNumberFormat="1" applyFont="1" applyAlignment="1" applyProtection="1">
      <alignment horizontal="center"/>
      <protection locked="0"/>
    </xf>
    <xf numFmtId="166" fontId="0" fillId="0" borderId="0" xfId="3" applyNumberFormat="1" applyFont="1" applyFill="1" applyBorder="1" applyAlignment="1">
      <alignment horizontal="right"/>
    </xf>
    <xf numFmtId="9" fontId="0" fillId="0" borderId="0" xfId="3" applyFont="1" applyFill="1" applyBorder="1"/>
    <xf numFmtId="2" fontId="12" fillId="0" borderId="0" xfId="3" applyNumberFormat="1" applyFont="1" applyFill="1" applyAlignment="1">
      <alignment horizontal="center"/>
    </xf>
    <xf numFmtId="177" fontId="25" fillId="0" borderId="0" xfId="0" applyNumberFormat="1" applyFont="1"/>
    <xf numFmtId="166" fontId="0" fillId="0" borderId="0" xfId="3" applyNumberFormat="1" applyFont="1" applyFill="1" applyBorder="1"/>
    <xf numFmtId="10" fontId="0" fillId="0" borderId="0" xfId="3" applyNumberFormat="1" applyFont="1" applyFill="1" applyBorder="1"/>
    <xf numFmtId="0" fontId="6" fillId="0" borderId="0" xfId="0" applyFont="1" applyAlignment="1">
      <alignment horizontal="center"/>
    </xf>
    <xf numFmtId="1" fontId="12" fillId="0" borderId="0" xfId="3" applyNumberFormat="1" applyFont="1" applyFill="1" applyBorder="1" applyAlignment="1">
      <alignment horizontal="center"/>
    </xf>
    <xf numFmtId="4" fontId="12" fillId="0" borderId="0" xfId="3" applyNumberFormat="1" applyFont="1" applyFill="1" applyBorder="1" applyAlignment="1">
      <alignment horizontal="center"/>
    </xf>
    <xf numFmtId="170" fontId="12" fillId="0" borderId="0" xfId="2" applyNumberFormat="1" applyFont="1" applyFill="1" applyBorder="1" applyAlignment="1">
      <alignment horizontal="center"/>
    </xf>
    <xf numFmtId="9" fontId="0" fillId="0" borderId="0" xfId="3" applyFont="1" applyFill="1" applyBorder="1" applyAlignment="1">
      <alignment horizontal="center"/>
    </xf>
    <xf numFmtId="43" fontId="7" fillId="0" borderId="0" xfId="1" applyFill="1" applyBorder="1"/>
    <xf numFmtId="175" fontId="12" fillId="0" borderId="0" xfId="3" applyNumberFormat="1" applyFont="1" applyAlignment="1">
      <alignment horizontal="center"/>
    </xf>
    <xf numFmtId="9" fontId="0" fillId="0" borderId="0" xfId="0" applyNumberFormat="1" applyAlignment="1">
      <alignment horizontal="center"/>
    </xf>
    <xf numFmtId="2" fontId="15" fillId="0" borderId="0" xfId="3" applyNumberFormat="1" applyFont="1" applyBorder="1" applyAlignment="1">
      <alignment horizontal="center"/>
    </xf>
    <xf numFmtId="2" fontId="25" fillId="0" borderId="0" xfId="3" applyNumberFormat="1" applyFont="1" applyBorder="1" applyAlignment="1">
      <alignment horizontal="center"/>
    </xf>
    <xf numFmtId="2" fontId="25" fillId="0" borderId="0" xfId="3" applyNumberFormat="1" applyFont="1" applyFill="1" applyBorder="1" applyAlignment="1">
      <alignment horizontal="center"/>
    </xf>
    <xf numFmtId="178" fontId="15" fillId="0" borderId="0" xfId="3" applyNumberFormat="1" applyFont="1" applyBorder="1" applyAlignment="1">
      <alignment horizontal="center"/>
    </xf>
    <xf numFmtId="178" fontId="0" fillId="0" borderId="0" xfId="3" applyNumberFormat="1" applyFont="1" applyBorder="1" applyAlignment="1">
      <alignment horizontal="center"/>
    </xf>
    <xf numFmtId="178" fontId="0" fillId="0" borderId="0" xfId="0" applyNumberFormat="1" applyAlignment="1">
      <alignment horizontal="center"/>
    </xf>
    <xf numFmtId="164" fontId="15" fillId="0" borderId="0" xfId="0" applyNumberFormat="1" applyFont="1" applyAlignment="1" applyProtection="1">
      <alignment horizontal="right"/>
      <protection locked="0"/>
    </xf>
    <xf numFmtId="164" fontId="25" fillId="0" borderId="0" xfId="0" applyNumberFormat="1" applyFont="1" applyAlignment="1">
      <alignment horizontal="right"/>
    </xf>
    <xf numFmtId="164" fontId="25" fillId="0" borderId="0" xfId="0" applyNumberFormat="1" applyFont="1" applyAlignment="1" applyProtection="1">
      <alignment horizontal="right"/>
      <protection locked="0"/>
    </xf>
    <xf numFmtId="164" fontId="25" fillId="0" borderId="0" xfId="3" applyNumberFormat="1" applyFont="1" applyFill="1" applyBorder="1" applyAlignment="1" applyProtection="1">
      <alignment horizontal="right"/>
      <protection locked="0"/>
    </xf>
    <xf numFmtId="164" fontId="0" fillId="0" borderId="0" xfId="0" applyNumberFormat="1" applyAlignment="1">
      <alignment horizontal="right"/>
    </xf>
    <xf numFmtId="164" fontId="15" fillId="0" borderId="0" xfId="0" applyNumberFormat="1" applyFont="1" applyAlignment="1">
      <alignment horizontal="right"/>
    </xf>
    <xf numFmtId="164" fontId="0" fillId="0" borderId="0" xfId="3" applyNumberFormat="1" applyFont="1" applyFill="1" applyBorder="1" applyAlignment="1" applyProtection="1">
      <alignment horizontal="right"/>
      <protection locked="0"/>
    </xf>
    <xf numFmtId="167" fontId="0" fillId="0" borderId="0" xfId="2" applyNumberFormat="1" applyFont="1" applyFill="1" applyBorder="1" applyAlignment="1">
      <alignment horizontal="center"/>
    </xf>
    <xf numFmtId="168" fontId="0" fillId="0" borderId="0" xfId="2" applyNumberFormat="1" applyFont="1" applyFill="1" applyBorder="1" applyAlignment="1" applyProtection="1">
      <alignment horizontal="center"/>
      <protection locked="0"/>
    </xf>
    <xf numFmtId="2" fontId="15" fillId="0" borderId="0" xfId="3" applyNumberFormat="1" applyFont="1" applyFill="1" applyBorder="1" applyAlignment="1">
      <alignment horizontal="center"/>
    </xf>
    <xf numFmtId="2" fontId="0" fillId="0" borderId="0" xfId="3" applyNumberFormat="1" applyFont="1" applyFill="1" applyBorder="1" applyAlignment="1" applyProtection="1">
      <alignment horizontal="center"/>
      <protection locked="0"/>
    </xf>
    <xf numFmtId="171" fontId="0" fillId="0" borderId="0" xfId="3" applyNumberFormat="1" applyFont="1" applyFill="1" applyBorder="1" applyAlignment="1">
      <alignment horizontal="center"/>
    </xf>
    <xf numFmtId="1" fontId="0" fillId="0" borderId="1" xfId="0" applyNumberFormat="1" applyBorder="1" applyAlignment="1" applyProtection="1">
      <alignment horizontal="center"/>
      <protection locked="0"/>
    </xf>
    <xf numFmtId="39" fontId="11" fillId="0" borderId="4" xfId="0" applyNumberFormat="1" applyFont="1" applyBorder="1" applyAlignment="1" applyProtection="1">
      <alignment horizontal="center"/>
      <protection locked="0"/>
    </xf>
    <xf numFmtId="1" fontId="12" fillId="0" borderId="0" xfId="3" applyNumberFormat="1" applyFont="1" applyFill="1" applyAlignment="1">
      <alignment horizontal="center"/>
    </xf>
    <xf numFmtId="164" fontId="12" fillId="0" borderId="0" xfId="3" applyNumberFormat="1" applyFont="1" applyFill="1" applyAlignment="1">
      <alignment horizontal="center"/>
    </xf>
    <xf numFmtId="3" fontId="12" fillId="0" borderId="0" xfId="3" applyNumberFormat="1" applyFont="1" applyFill="1" applyAlignment="1">
      <alignment horizontal="center"/>
    </xf>
    <xf numFmtId="4" fontId="12" fillId="0" borderId="0" xfId="3" applyNumberFormat="1" applyFont="1" applyFill="1" applyAlignment="1">
      <alignment horizontal="center"/>
    </xf>
    <xf numFmtId="169" fontId="12" fillId="0" borderId="0" xfId="3" applyNumberFormat="1" applyFont="1" applyFill="1" applyAlignment="1">
      <alignment horizontal="center"/>
    </xf>
    <xf numFmtId="170" fontId="12" fillId="0" borderId="0" xfId="3" applyNumberFormat="1" applyFont="1" applyFill="1" applyAlignment="1">
      <alignment horizontal="center"/>
    </xf>
    <xf numFmtId="170" fontId="12" fillId="0" borderId="0" xfId="2" applyNumberFormat="1" applyFont="1" applyFill="1" applyAlignment="1">
      <alignment horizontal="center"/>
    </xf>
    <xf numFmtId="9" fontId="0" fillId="0" borderId="0" xfId="3" applyFont="1" applyFill="1" applyAlignment="1">
      <alignment horizontal="center"/>
    </xf>
    <xf numFmtId="175" fontId="12" fillId="0" borderId="0" xfId="3" applyNumberFormat="1" applyFont="1" applyFill="1" applyAlignment="1">
      <alignment horizontal="center"/>
    </xf>
    <xf numFmtId="2" fontId="7" fillId="0" borderId="0" xfId="3" applyNumberFormat="1" applyFont="1" applyFill="1" applyAlignment="1">
      <alignment horizontal="center"/>
    </xf>
    <xf numFmtId="3" fontId="12" fillId="0" borderId="0" xfId="3" applyNumberFormat="1" applyFont="1" applyFill="1" applyBorder="1" applyAlignment="1">
      <alignment horizontal="center"/>
    </xf>
    <xf numFmtId="169" fontId="12" fillId="0" borderId="0" xfId="3" applyNumberFormat="1" applyFont="1" applyFill="1" applyBorder="1" applyAlignment="1">
      <alignment horizontal="center"/>
    </xf>
    <xf numFmtId="170" fontId="12" fillId="0" borderId="0" xfId="3" applyNumberFormat="1" applyFont="1" applyFill="1" applyBorder="1" applyAlignment="1">
      <alignment horizontal="center"/>
    </xf>
    <xf numFmtId="2" fontId="12" fillId="0" borderId="0" xfId="3" applyNumberFormat="1" applyFont="1" applyFill="1" applyBorder="1" applyAlignment="1">
      <alignment horizontal="center"/>
    </xf>
    <xf numFmtId="175" fontId="12" fillId="0" borderId="0" xfId="3" applyNumberFormat="1" applyFont="1" applyFill="1" applyBorder="1" applyAlignment="1">
      <alignment horizontal="center"/>
    </xf>
    <xf numFmtId="2" fontId="7" fillId="0" borderId="0" xfId="3" applyNumberFormat="1" applyFont="1" applyFill="1" applyBorder="1" applyAlignment="1">
      <alignment horizontal="center"/>
    </xf>
    <xf numFmtId="0" fontId="7" fillId="0" borderId="0" xfId="0" applyFont="1" applyAlignment="1">
      <alignment horizontal="centerContinuous"/>
    </xf>
    <xf numFmtId="0" fontId="20" fillId="0" borderId="1" xfId="8" applyFont="1" applyBorder="1"/>
    <xf numFmtId="0" fontId="1" fillId="0" borderId="1" xfId="8" applyFont="1" applyBorder="1"/>
    <xf numFmtId="0" fontId="7" fillId="6" borderId="5" xfId="0" applyFont="1" applyFill="1" applyBorder="1"/>
    <xf numFmtId="0" fontId="0" fillId="6" borderId="8" xfId="0" applyFill="1" applyBorder="1"/>
    <xf numFmtId="0" fontId="20" fillId="6" borderId="8" xfId="8" applyFont="1" applyFill="1" applyBorder="1"/>
    <xf numFmtId="0" fontId="20" fillId="6" borderId="7" xfId="8" applyFont="1" applyFill="1" applyBorder="1"/>
    <xf numFmtId="0" fontId="7" fillId="9" borderId="5" xfId="0" applyFont="1" applyFill="1" applyBorder="1" applyAlignment="1">
      <alignment horizontal="centerContinuous"/>
    </xf>
    <xf numFmtId="0" fontId="0" fillId="9" borderId="6" xfId="0" applyFill="1" applyBorder="1" applyAlignment="1">
      <alignment horizontal="centerContinuous"/>
    </xf>
    <xf numFmtId="0" fontId="0" fillId="9" borderId="7" xfId="0" applyFill="1" applyBorder="1" applyAlignment="1">
      <alignment horizontal="centerContinuous"/>
    </xf>
    <xf numFmtId="0" fontId="29" fillId="10" borderId="5" xfId="8" applyFont="1" applyFill="1" applyBorder="1"/>
    <xf numFmtId="0" fontId="29" fillId="10" borderId="8" xfId="8" applyFont="1" applyFill="1" applyBorder="1"/>
    <xf numFmtId="0" fontId="7" fillId="10" borderId="8" xfId="0" applyFont="1" applyFill="1" applyBorder="1"/>
    <xf numFmtId="0" fontId="29" fillId="10" borderId="7" xfId="8" applyFont="1" applyFill="1" applyBorder="1"/>
    <xf numFmtId="0" fontId="20" fillId="10" borderId="5" xfId="8" applyFont="1" applyFill="1" applyBorder="1"/>
    <xf numFmtId="0" fontId="20" fillId="10" borderId="8" xfId="8" applyFont="1" applyFill="1" applyBorder="1"/>
    <xf numFmtId="0" fontId="0" fillId="10" borderId="8" xfId="0" applyFill="1" applyBorder="1" applyAlignment="1">
      <alignment horizontal="centerContinuous"/>
    </xf>
    <xf numFmtId="0" fontId="7" fillId="10" borderId="8" xfId="0" applyFont="1" applyFill="1" applyBorder="1" applyAlignment="1">
      <alignment horizontal="centerContinuous"/>
    </xf>
    <xf numFmtId="0" fontId="20" fillId="10" borderId="7" xfId="8" applyFont="1" applyFill="1" applyBorder="1"/>
    <xf numFmtId="0" fontId="20" fillId="8" borderId="3" xfId="8" applyFont="1" applyFill="1" applyBorder="1"/>
    <xf numFmtId="0" fontId="0" fillId="8" borderId="3" xfId="0" applyFill="1" applyBorder="1"/>
    <xf numFmtId="0" fontId="10" fillId="0" borderId="10" xfId="0" applyFont="1" applyBorder="1" applyAlignment="1" applyProtection="1">
      <alignment horizontal="left" wrapText="1"/>
      <protection locked="0"/>
    </xf>
    <xf numFmtId="0" fontId="16" fillId="0" borderId="0" xfId="0" applyFont="1" applyAlignment="1" applyProtection="1">
      <alignment horizontal="left" wrapText="1"/>
      <protection locked="0"/>
    </xf>
    <xf numFmtId="0" fontId="28" fillId="0" borderId="0" xfId="0" applyFont="1" applyAlignment="1" applyProtection="1">
      <alignment horizontal="left" wrapText="1"/>
      <protection locked="0"/>
    </xf>
    <xf numFmtId="0" fontId="6" fillId="0" borderId="10" xfId="0" applyFont="1" applyBorder="1" applyAlignment="1" applyProtection="1">
      <alignment horizontal="center" wrapText="1"/>
      <protection locked="0"/>
    </xf>
    <xf numFmtId="168" fontId="0" fillId="2" borderId="10" xfId="2" applyNumberFormat="1" applyFont="1" applyFill="1" applyBorder="1" applyAlignment="1" applyProtection="1">
      <alignment horizontal="center"/>
      <protection locked="0"/>
    </xf>
    <xf numFmtId="1" fontId="0" fillId="0" borderId="10" xfId="0" applyNumberFormat="1" applyBorder="1" applyAlignment="1" applyProtection="1">
      <alignment horizontal="center"/>
      <protection locked="0"/>
    </xf>
    <xf numFmtId="9" fontId="0" fillId="0" borderId="10" xfId="3" applyFont="1" applyBorder="1" applyAlignment="1" applyProtection="1">
      <alignment horizontal="center"/>
      <protection locked="0"/>
    </xf>
    <xf numFmtId="2" fontId="0" fillId="2" borderId="10" xfId="0" applyNumberFormat="1" applyFill="1" applyBorder="1" applyAlignment="1" applyProtection="1">
      <alignment horizontal="center"/>
      <protection locked="0"/>
    </xf>
    <xf numFmtId="2" fontId="0" fillId="0" borderId="10" xfId="3" applyNumberFormat="1" applyFont="1" applyBorder="1" applyAlignment="1" applyProtection="1">
      <alignment horizontal="center"/>
      <protection locked="0"/>
    </xf>
    <xf numFmtId="9" fontId="0" fillId="0" borderId="10" xfId="3" applyFont="1" applyBorder="1" applyAlignment="1">
      <alignment horizontal="center"/>
    </xf>
    <xf numFmtId="1" fontId="10" fillId="0" borderId="0" xfId="0" applyNumberFormat="1" applyFont="1" applyAlignment="1" applyProtection="1">
      <alignment horizontal="center"/>
      <protection locked="0"/>
    </xf>
    <xf numFmtId="9" fontId="14" fillId="0" borderId="0" xfId="3" applyFont="1" applyBorder="1" applyAlignment="1" applyProtection="1">
      <alignment horizontal="center"/>
      <protection locked="0"/>
    </xf>
    <xf numFmtId="0" fontId="6" fillId="0" borderId="0" xfId="0" applyFont="1" applyAlignment="1">
      <alignment horizontal="center" wrapText="1"/>
    </xf>
    <xf numFmtId="0" fontId="6" fillId="0" borderId="0" xfId="0" quotePrefix="1" applyFont="1" applyAlignment="1" applyProtection="1">
      <alignment horizontal="center" wrapText="1"/>
      <protection locked="0"/>
    </xf>
    <xf numFmtId="1" fontId="7" fillId="0" borderId="0" xfId="0" applyNumberFormat="1" applyFont="1" applyAlignment="1">
      <alignment horizontal="center"/>
    </xf>
    <xf numFmtId="1" fontId="14" fillId="0" borderId="0" xfId="0" applyNumberFormat="1" applyFont="1" applyAlignment="1">
      <alignment horizontal="center"/>
    </xf>
    <xf numFmtId="2" fontId="14" fillId="0" borderId="0" xfId="0" applyNumberFormat="1" applyFont="1" applyAlignment="1">
      <alignment horizontal="center"/>
    </xf>
    <xf numFmtId="164" fontId="6" fillId="0" borderId="0" xfId="0" quotePrefix="1" applyNumberFormat="1" applyFont="1" applyAlignment="1" applyProtection="1">
      <alignment horizontal="center" wrapText="1"/>
      <protection locked="0"/>
    </xf>
    <xf numFmtId="0" fontId="1" fillId="0" borderId="1" xfId="8" applyFont="1" applyBorder="1" applyAlignment="1">
      <alignment horizontal="center" wrapText="1"/>
    </xf>
    <xf numFmtId="0" fontId="1" fillId="0" borderId="1" xfId="8" applyFont="1" applyBorder="1" applyAlignment="1">
      <alignment wrapText="1"/>
    </xf>
    <xf numFmtId="0" fontId="1" fillId="7" borderId="1" xfId="8" applyFont="1" applyFill="1" applyBorder="1" applyAlignment="1">
      <alignment horizontal="center" wrapText="1"/>
    </xf>
    <xf numFmtId="0" fontId="1" fillId="0" borderId="0" xfId="8" applyFont="1" applyAlignment="1">
      <alignment horizontal="center" wrapText="1"/>
    </xf>
    <xf numFmtId="0" fontId="20" fillId="11" borderId="5" xfId="8" applyFont="1" applyFill="1" applyBorder="1"/>
    <xf numFmtId="0" fontId="20" fillId="11" borderId="8" xfId="8" applyFont="1" applyFill="1" applyBorder="1"/>
    <xf numFmtId="0" fontId="20" fillId="11" borderId="7" xfId="8" applyFont="1" applyFill="1" applyBorder="1"/>
    <xf numFmtId="0" fontId="7" fillId="12" borderId="5" xfId="0" applyFont="1" applyFill="1" applyBorder="1" applyAlignment="1">
      <alignment horizontal="centerContinuous"/>
    </xf>
    <xf numFmtId="0" fontId="0" fillId="12" borderId="8" xfId="0" applyFill="1" applyBorder="1" applyAlignment="1">
      <alignment horizontal="centerContinuous"/>
    </xf>
    <xf numFmtId="0" fontId="0" fillId="12" borderId="7" xfId="0" applyFill="1" applyBorder="1" applyAlignment="1">
      <alignment horizontal="centerContinuous"/>
    </xf>
    <xf numFmtId="10" fontId="0" fillId="0" borderId="0" xfId="3" applyNumberFormat="1" applyFont="1" applyBorder="1" applyAlignment="1">
      <alignment horizontal="center" wrapText="1"/>
    </xf>
    <xf numFmtId="0" fontId="30" fillId="0" borderId="0" xfId="0" applyFont="1"/>
    <xf numFmtId="1" fontId="13" fillId="0" borderId="0" xfId="0" applyNumberFormat="1" applyFont="1" applyAlignment="1">
      <alignment horizontal="center"/>
    </xf>
    <xf numFmtId="164" fontId="0" fillId="0" borderId="2" xfId="0" applyNumberFormat="1" applyBorder="1" applyAlignment="1">
      <alignment horizontal="center"/>
    </xf>
    <xf numFmtId="0" fontId="0" fillId="0" borderId="3" xfId="0" applyBorder="1" applyAlignment="1">
      <alignment horizontal="center"/>
    </xf>
    <xf numFmtId="43" fontId="7" fillId="0" borderId="0" xfId="1" applyAlignment="1">
      <alignment horizontal="center"/>
    </xf>
    <xf numFmtId="43" fontId="7" fillId="0" borderId="0" xfId="1" applyFill="1" applyAlignment="1">
      <alignment horizontal="center"/>
    </xf>
    <xf numFmtId="0" fontId="7" fillId="5" borderId="0" xfId="0" applyFont="1" applyFill="1"/>
    <xf numFmtId="0" fontId="6" fillId="5" borderId="0" xfId="0" applyFont="1" applyFill="1" applyAlignment="1">
      <alignment horizontal="center"/>
    </xf>
    <xf numFmtId="0" fontId="25" fillId="14" borderId="0" xfId="0" applyFont="1" applyFill="1"/>
    <xf numFmtId="2" fontId="7" fillId="14" borderId="0" xfId="0" applyNumberFormat="1" applyFont="1" applyFill="1" applyAlignment="1">
      <alignment horizontal="center"/>
    </xf>
    <xf numFmtId="2" fontId="25" fillId="14" borderId="0" xfId="1" applyNumberFormat="1" applyFont="1" applyFill="1" applyBorder="1" applyAlignment="1">
      <alignment horizontal="center"/>
    </xf>
    <xf numFmtId="2" fontId="25" fillId="14" borderId="0" xfId="0" applyNumberFormat="1" applyFont="1" applyFill="1" applyAlignment="1">
      <alignment horizontal="center"/>
    </xf>
    <xf numFmtId="0" fontId="7" fillId="13" borderId="0" xfId="0" applyFont="1" applyFill="1"/>
    <xf numFmtId="0" fontId="0" fillId="13" borderId="0" xfId="0" applyFill="1" applyAlignment="1">
      <alignment horizontal="center"/>
    </xf>
    <xf numFmtId="2" fontId="0" fillId="13" borderId="0" xfId="0" applyNumberFormat="1" applyFill="1" applyAlignment="1">
      <alignment horizontal="center"/>
    </xf>
    <xf numFmtId="0" fontId="0" fillId="13" borderId="0" xfId="0" applyFill="1"/>
    <xf numFmtId="0" fontId="7" fillId="0" borderId="1" xfId="0" applyFont="1" applyBorder="1"/>
    <xf numFmtId="39" fontId="7" fillId="0" borderId="0" xfId="0" applyNumberFormat="1" applyFont="1" applyAlignment="1">
      <alignment horizontal="center"/>
    </xf>
    <xf numFmtId="179" fontId="0" fillId="0" borderId="0" xfId="0" applyNumberFormat="1" applyAlignment="1">
      <alignment horizontal="center"/>
    </xf>
    <xf numFmtId="2" fontId="11" fillId="2" borderId="4" xfId="0" applyNumberFormat="1" applyFont="1" applyFill="1" applyBorder="1" applyAlignment="1" applyProtection="1">
      <alignment horizontal="center"/>
      <protection locked="0"/>
    </xf>
    <xf numFmtId="164" fontId="0" fillId="5" borderId="0" xfId="0" applyNumberFormat="1" applyFill="1"/>
    <xf numFmtId="1" fontId="0" fillId="5" borderId="0" xfId="0" applyNumberFormat="1" applyFill="1"/>
    <xf numFmtId="0" fontId="37" fillId="5" borderId="0" xfId="0" applyFont="1" applyFill="1" applyAlignment="1">
      <alignment vertical="center"/>
    </xf>
    <xf numFmtId="2" fontId="0" fillId="5" borderId="0" xfId="0" applyNumberFormat="1" applyFill="1"/>
    <xf numFmtId="2" fontId="0" fillId="5" borderId="0" xfId="0" applyNumberFormat="1" applyFill="1" applyAlignment="1">
      <alignment horizontal="right"/>
    </xf>
    <xf numFmtId="173" fontId="0" fillId="5" borderId="0" xfId="0" applyNumberFormat="1" applyFill="1"/>
    <xf numFmtId="2" fontId="25" fillId="5" borderId="0" xfId="0" applyNumberFormat="1" applyFont="1" applyFill="1"/>
    <xf numFmtId="167" fontId="0" fillId="5" borderId="9" xfId="2" applyNumberFormat="1" applyFont="1" applyFill="1" applyBorder="1" applyAlignment="1">
      <alignment horizontal="center"/>
    </xf>
    <xf numFmtId="168" fontId="0" fillId="5" borderId="8" xfId="2" applyNumberFormat="1" applyFont="1" applyFill="1" applyBorder="1" applyAlignment="1" applyProtection="1">
      <alignment horizontal="center"/>
      <protection locked="0"/>
    </xf>
    <xf numFmtId="1" fontId="0" fillId="5" borderId="8" xfId="0" applyNumberFormat="1" applyFill="1" applyBorder="1" applyAlignment="1">
      <alignment horizontal="center"/>
    </xf>
    <xf numFmtId="9" fontId="9" fillId="5" borderId="8" xfId="0" applyNumberFormat="1" applyFont="1" applyFill="1" applyBorder="1" applyAlignment="1" applyProtection="1">
      <alignment horizontal="center"/>
      <protection locked="0"/>
    </xf>
    <xf numFmtId="2" fontId="0" fillId="5" borderId="8" xfId="0" applyNumberFormat="1" applyFill="1" applyBorder="1" applyAlignment="1" applyProtection="1">
      <alignment horizontal="center"/>
      <protection locked="0"/>
    </xf>
    <xf numFmtId="0" fontId="9" fillId="5" borderId="8" xfId="0" applyFont="1" applyFill="1" applyBorder="1" applyAlignment="1">
      <alignment horizontal="center"/>
    </xf>
    <xf numFmtId="0" fontId="15" fillId="5" borderId="8" xfId="0" applyFont="1" applyFill="1" applyBorder="1" applyAlignment="1">
      <alignment horizontal="center"/>
    </xf>
    <xf numFmtId="0" fontId="15" fillId="5" borderId="9" xfId="0" applyFont="1" applyFill="1" applyBorder="1" applyAlignment="1">
      <alignment horizontal="center"/>
    </xf>
    <xf numFmtId="9" fontId="15" fillId="5" borderId="9" xfId="3" applyFont="1" applyFill="1" applyBorder="1" applyAlignment="1">
      <alignment horizontal="center"/>
    </xf>
    <xf numFmtId="0" fontId="9" fillId="5" borderId="9" xfId="0" applyFont="1" applyFill="1" applyBorder="1" applyAlignment="1">
      <alignment horizontal="center"/>
    </xf>
    <xf numFmtId="166" fontId="0" fillId="5" borderId="0" xfId="3" applyNumberFormat="1" applyFont="1" applyFill="1" applyBorder="1" applyAlignment="1">
      <alignment horizontal="right"/>
    </xf>
    <xf numFmtId="9" fontId="0" fillId="5" borderId="0" xfId="3" applyFont="1" applyFill="1" applyBorder="1"/>
    <xf numFmtId="9" fontId="25" fillId="5" borderId="0" xfId="3" applyFont="1" applyFill="1" applyBorder="1" applyAlignment="1">
      <alignment horizontal="center"/>
    </xf>
    <xf numFmtId="9" fontId="25" fillId="5" borderId="0" xfId="3" applyFont="1" applyFill="1" applyBorder="1"/>
    <xf numFmtId="166" fontId="25" fillId="5" borderId="0" xfId="3" applyNumberFormat="1" applyFont="1" applyFill="1" applyBorder="1"/>
    <xf numFmtId="4" fontId="0" fillId="0" borderId="0" xfId="0" applyNumberFormat="1"/>
    <xf numFmtId="3" fontId="0" fillId="0" borderId="0" xfId="0" applyNumberFormat="1"/>
    <xf numFmtId="0" fontId="7" fillId="16" borderId="0" xfId="4" applyFill="1"/>
    <xf numFmtId="0" fontId="39" fillId="16" borderId="0" xfId="4" applyFont="1" applyFill="1"/>
    <xf numFmtId="0" fontId="39" fillId="16" borderId="0" xfId="4" applyFont="1" applyFill="1" applyAlignment="1">
      <alignment horizontal="center"/>
    </xf>
    <xf numFmtId="0" fontId="7" fillId="0" borderId="0" xfId="4"/>
    <xf numFmtId="0" fontId="7" fillId="0" borderId="0" xfId="4" applyAlignment="1">
      <alignment horizontal="center"/>
    </xf>
    <xf numFmtId="0" fontId="7" fillId="16" borderId="0" xfId="4" applyFill="1" applyAlignment="1">
      <alignment horizontal="left"/>
    </xf>
    <xf numFmtId="0" fontId="7" fillId="17" borderId="4" xfId="4" applyFill="1" applyBorder="1" applyAlignment="1">
      <alignment horizontal="center"/>
    </xf>
    <xf numFmtId="0" fontId="7" fillId="18" borderId="4" xfId="4" applyFill="1" applyBorder="1" applyAlignment="1">
      <alignment horizontal="center"/>
    </xf>
    <xf numFmtId="0" fontId="7" fillId="15" borderId="4" xfId="4" applyFill="1" applyBorder="1" applyAlignment="1">
      <alignment horizontal="center"/>
    </xf>
    <xf numFmtId="0" fontId="7" fillId="2" borderId="4" xfId="4" applyFill="1" applyBorder="1" applyAlignment="1" applyProtection="1">
      <alignment horizontal="center"/>
      <protection locked="0"/>
    </xf>
    <xf numFmtId="0" fontId="7" fillId="2" borderId="11" xfId="4" applyFill="1" applyBorder="1" applyAlignment="1" applyProtection="1">
      <alignment horizontal="center"/>
      <protection locked="0"/>
    </xf>
    <xf numFmtId="0" fontId="7" fillId="16" borderId="0" xfId="4" applyFill="1" applyAlignment="1">
      <alignment horizontal="center"/>
    </xf>
    <xf numFmtId="164" fontId="7" fillId="0" borderId="9" xfId="4" applyNumberFormat="1" applyBorder="1"/>
    <xf numFmtId="1" fontId="7" fillId="2" borderId="1" xfId="4" applyNumberFormat="1" applyFill="1" applyBorder="1" applyAlignment="1" applyProtection="1">
      <alignment horizontal="center"/>
      <protection locked="0"/>
    </xf>
    <xf numFmtId="1" fontId="6" fillId="17" borderId="4" xfId="4" applyNumberFormat="1" applyFont="1" applyFill="1" applyBorder="1" applyAlignment="1" applyProtection="1">
      <alignment horizontal="center"/>
      <protection locked="0"/>
    </xf>
    <xf numFmtId="1" fontId="7" fillId="16" borderId="0" xfId="4" applyNumberFormat="1" applyFill="1" applyAlignment="1" applyProtection="1">
      <alignment horizontal="center"/>
      <protection locked="0"/>
    </xf>
    <xf numFmtId="1" fontId="6" fillId="18" borderId="4" xfId="4" applyNumberFormat="1" applyFont="1" applyFill="1" applyBorder="1" applyAlignment="1" applyProtection="1">
      <alignment horizontal="center"/>
      <protection locked="0"/>
    </xf>
    <xf numFmtId="164" fontId="7" fillId="16" borderId="0" xfId="4" applyNumberFormat="1" applyFill="1"/>
    <xf numFmtId="164" fontId="7" fillId="0" borderId="0" xfId="4" applyNumberFormat="1"/>
    <xf numFmtId="0" fontId="7" fillId="16" borderId="0" xfId="4" applyFill="1" applyAlignment="1">
      <alignment horizontal="right"/>
    </xf>
    <xf numFmtId="0" fontId="7" fillId="0" borderId="4" xfId="4" applyBorder="1" applyAlignment="1">
      <alignment horizontal="center"/>
    </xf>
    <xf numFmtId="0" fontId="7" fillId="17" borderId="4" xfId="4" applyFill="1" applyBorder="1"/>
    <xf numFmtId="0" fontId="7" fillId="4" borderId="0" xfId="4" applyFill="1"/>
    <xf numFmtId="0" fontId="8" fillId="16" borderId="0" xfId="4" applyFont="1" applyFill="1"/>
    <xf numFmtId="0" fontId="8" fillId="16" borderId="0" xfId="4" applyFont="1" applyFill="1" applyAlignment="1">
      <alignment horizontal="center"/>
    </xf>
    <xf numFmtId="0" fontId="8" fillId="16" borderId="0" xfId="4" applyFont="1" applyFill="1" applyAlignment="1">
      <alignment horizontal="right"/>
    </xf>
    <xf numFmtId="0" fontId="7" fillId="17" borderId="0" xfId="4" applyFill="1"/>
    <xf numFmtId="0" fontId="7" fillId="17" borderId="0" xfId="4" applyFill="1" applyAlignment="1">
      <alignment horizontal="center"/>
    </xf>
    <xf numFmtId="0" fontId="7" fillId="17" borderId="0" xfId="4" applyFill="1" applyAlignment="1">
      <alignment horizontal="right"/>
    </xf>
    <xf numFmtId="0" fontId="7" fillId="16" borderId="0" xfId="4" applyFill="1" applyAlignment="1" applyProtection="1">
      <alignment horizontal="center"/>
      <protection locked="0"/>
    </xf>
    <xf numFmtId="2" fontId="0" fillId="14" borderId="0" xfId="0" applyNumberFormat="1" applyFill="1" applyAlignment="1">
      <alignment horizontal="center"/>
    </xf>
    <xf numFmtId="0" fontId="38" fillId="19" borderId="0" xfId="0" applyFont="1" applyFill="1"/>
    <xf numFmtId="170" fontId="0" fillId="0" borderId="0" xfId="0" applyNumberFormat="1" applyAlignment="1">
      <alignment horizontal="center"/>
    </xf>
    <xf numFmtId="2" fontId="30" fillId="0" borderId="0" xfId="0" applyNumberFormat="1" applyFont="1" applyAlignment="1">
      <alignment horizontal="center"/>
    </xf>
    <xf numFmtId="1" fontId="0" fillId="0" borderId="0" xfId="0" applyNumberFormat="1" applyAlignment="1" applyProtection="1">
      <alignment horizontal="right"/>
      <protection locked="0"/>
    </xf>
    <xf numFmtId="170" fontId="0" fillId="0" borderId="0" xfId="0" applyNumberFormat="1"/>
    <xf numFmtId="0" fontId="12" fillId="0" borderId="0" xfId="2" applyNumberFormat="1" applyFont="1" applyAlignment="1">
      <alignment horizontal="center"/>
    </xf>
    <xf numFmtId="2" fontId="7" fillId="8" borderId="4" xfId="4" applyNumberFormat="1" applyFill="1" applyBorder="1" applyAlignment="1" applyProtection="1">
      <alignment horizontal="center"/>
      <protection locked="0"/>
    </xf>
    <xf numFmtId="2" fontId="7" fillId="2" borderId="4" xfId="4" applyNumberFormat="1" applyFill="1" applyBorder="1" applyAlignment="1" applyProtection="1">
      <alignment horizontal="center"/>
      <protection locked="0"/>
    </xf>
    <xf numFmtId="2" fontId="25" fillId="0" borderId="0" xfId="1" applyNumberFormat="1" applyFont="1" applyFill="1" applyBorder="1" applyAlignment="1">
      <alignment horizontal="center"/>
    </xf>
    <xf numFmtId="4" fontId="0" fillId="0" borderId="3" xfId="0" applyNumberFormat="1" applyBorder="1" applyAlignment="1">
      <alignment horizontal="center"/>
    </xf>
    <xf numFmtId="1" fontId="12" fillId="0" borderId="0" xfId="2" applyNumberFormat="1" applyFont="1" applyAlignment="1">
      <alignment horizontal="center"/>
    </xf>
    <xf numFmtId="1" fontId="0" fillId="2" borderId="0" xfId="0" applyNumberFormat="1" applyFill="1" applyAlignment="1" applyProtection="1">
      <alignment horizontal="center"/>
      <protection locked="0"/>
    </xf>
    <xf numFmtId="2" fontId="0" fillId="0" borderId="3" xfId="0" applyNumberFormat="1" applyBorder="1" applyAlignment="1">
      <alignment horizontal="center"/>
    </xf>
    <xf numFmtId="2" fontId="12" fillId="0" borderId="0" xfId="2" applyNumberFormat="1" applyFont="1" applyAlignment="1">
      <alignment horizontal="center"/>
    </xf>
    <xf numFmtId="177" fontId="0" fillId="0" borderId="0" xfId="0" applyNumberFormat="1"/>
    <xf numFmtId="10" fontId="0" fillId="0" borderId="0" xfId="3" applyNumberFormat="1" applyFont="1" applyAlignment="1">
      <alignment horizontal="center"/>
    </xf>
    <xf numFmtId="10" fontId="0" fillId="0" borderId="0" xfId="0" applyNumberFormat="1" applyAlignment="1">
      <alignment horizontal="center"/>
    </xf>
    <xf numFmtId="175" fontId="0" fillId="0" borderId="0" xfId="0" applyNumberFormat="1"/>
    <xf numFmtId="0" fontId="30" fillId="20" borderId="0" xfId="0" applyFont="1" applyFill="1"/>
    <xf numFmtId="0" fontId="30" fillId="20" borderId="0" xfId="0" applyFont="1" applyFill="1" applyAlignment="1">
      <alignment horizontal="center"/>
    </xf>
    <xf numFmtId="0" fontId="30" fillId="20" borderId="0" xfId="4" applyFont="1" applyFill="1" applyAlignment="1">
      <alignment horizontal="center"/>
    </xf>
    <xf numFmtId="170" fontId="30" fillId="20" borderId="0" xfId="0" applyNumberFormat="1" applyFont="1" applyFill="1"/>
    <xf numFmtId="9" fontId="8" fillId="20" borderId="0" xfId="4" applyNumberFormat="1" applyFont="1" applyFill="1" applyAlignment="1">
      <alignment horizontal="center" wrapText="1"/>
    </xf>
    <xf numFmtId="170" fontId="8" fillId="20" borderId="0" xfId="4" applyNumberFormat="1" applyFont="1" applyFill="1" applyAlignment="1">
      <alignment horizontal="center"/>
    </xf>
    <xf numFmtId="2" fontId="8" fillId="20" borderId="0" xfId="4" applyNumberFormat="1" applyFont="1" applyFill="1" applyAlignment="1">
      <alignment horizontal="center"/>
    </xf>
    <xf numFmtId="0" fontId="30" fillId="20" borderId="0" xfId="0" applyFont="1" applyFill="1" applyAlignment="1">
      <alignment horizontal="right"/>
    </xf>
    <xf numFmtId="170" fontId="30" fillId="20" borderId="0" xfId="0" applyNumberFormat="1" applyFont="1" applyFill="1" applyAlignment="1">
      <alignment horizontal="center"/>
    </xf>
    <xf numFmtId="0" fontId="8" fillId="0" borderId="0" xfId="0" applyFont="1" applyAlignment="1">
      <alignment horizontal="center"/>
    </xf>
    <xf numFmtId="10" fontId="30" fillId="20" borderId="0" xfId="0" applyNumberFormat="1" applyFont="1" applyFill="1" applyAlignment="1">
      <alignment horizontal="center"/>
    </xf>
    <xf numFmtId="0" fontId="8" fillId="20" borderId="17" xfId="4" applyFont="1" applyFill="1" applyBorder="1" applyAlignment="1">
      <alignment wrapText="1"/>
    </xf>
    <xf numFmtId="9" fontId="8" fillId="20" borderId="18" xfId="4" applyNumberFormat="1" applyFont="1" applyFill="1" applyBorder="1" applyAlignment="1">
      <alignment horizontal="center"/>
    </xf>
    <xf numFmtId="0" fontId="30" fillId="20" borderId="0" xfId="3" applyNumberFormat="1" applyFont="1" applyFill="1" applyBorder="1" applyAlignment="1" applyProtection="1">
      <alignment horizontal="center" vertical="center"/>
      <protection locked="0"/>
    </xf>
    <xf numFmtId="1" fontId="30" fillId="20" borderId="0" xfId="2" applyNumberFormat="1" applyFont="1" applyFill="1" applyBorder="1" applyAlignment="1" applyProtection="1">
      <alignment horizontal="center" vertical="center"/>
      <protection locked="0"/>
    </xf>
    <xf numFmtId="169" fontId="0" fillId="0" borderId="0" xfId="0" applyNumberFormat="1"/>
    <xf numFmtId="0" fontId="8" fillId="10" borderId="18" xfId="4" applyFont="1" applyFill="1" applyBorder="1" applyAlignment="1">
      <alignment horizontal="center"/>
    </xf>
    <xf numFmtId="0" fontId="8" fillId="10" borderId="17" xfId="4" applyFont="1" applyFill="1" applyBorder="1" applyAlignment="1">
      <alignment horizontal="center"/>
    </xf>
    <xf numFmtId="0" fontId="8" fillId="10" borderId="19" xfId="4" applyFont="1" applyFill="1" applyBorder="1" applyAlignment="1">
      <alignment horizontal="center"/>
    </xf>
    <xf numFmtId="0" fontId="8" fillId="20" borderId="16" xfId="4" applyFont="1" applyFill="1" applyBorder="1" applyAlignment="1">
      <alignment horizontal="center"/>
    </xf>
    <xf numFmtId="2" fontId="0" fillId="0" borderId="0" xfId="3" applyNumberFormat="1" applyFont="1" applyFill="1" applyAlignment="1">
      <alignment horizontal="center"/>
    </xf>
    <xf numFmtId="0" fontId="30" fillId="20" borderId="0" xfId="4" applyFont="1" applyFill="1" applyAlignment="1">
      <alignment horizontal="left"/>
    </xf>
    <xf numFmtId="0" fontId="30" fillId="20" borderId="0" xfId="4" applyFont="1" applyFill="1"/>
    <xf numFmtId="170" fontId="30" fillId="20" borderId="0" xfId="4" applyNumberFormat="1" applyFont="1" applyFill="1" applyProtection="1">
      <protection locked="0"/>
    </xf>
    <xf numFmtId="0" fontId="30" fillId="20" borderId="1" xfId="4" applyFont="1" applyFill="1" applyBorder="1" applyAlignment="1">
      <alignment horizontal="left"/>
    </xf>
    <xf numFmtId="0" fontId="30" fillId="20" borderId="1" xfId="0" applyFont="1" applyFill="1" applyBorder="1"/>
    <xf numFmtId="0" fontId="30" fillId="20" borderId="1" xfId="4" applyFont="1" applyFill="1" applyBorder="1" applyAlignment="1">
      <alignment horizontal="right"/>
    </xf>
    <xf numFmtId="0" fontId="41" fillId="20" borderId="0" xfId="0" applyFont="1" applyFill="1" applyAlignment="1">
      <alignment horizontal="center" vertical="center"/>
    </xf>
    <xf numFmtId="0" fontId="31" fillId="20" borderId="1" xfId="0" applyFont="1" applyFill="1" applyBorder="1"/>
    <xf numFmtId="0" fontId="30" fillId="8" borderId="16" xfId="0" applyFont="1" applyFill="1" applyBorder="1" applyAlignment="1">
      <alignment horizontal="center" vertical="center"/>
    </xf>
    <xf numFmtId="0" fontId="30" fillId="20" borderId="1" xfId="0" applyFont="1" applyFill="1" applyBorder="1" applyAlignment="1">
      <alignment horizontal="center" vertical="center"/>
    </xf>
    <xf numFmtId="2" fontId="30" fillId="0" borderId="0" xfId="0" applyNumberFormat="1" applyFont="1"/>
    <xf numFmtId="177" fontId="0" fillId="0" borderId="0" xfId="0" applyNumberFormat="1" applyAlignment="1">
      <alignment horizontal="center"/>
    </xf>
    <xf numFmtId="173" fontId="0" fillId="0" borderId="0" xfId="0" applyNumberFormat="1" applyAlignment="1">
      <alignment horizontal="center"/>
    </xf>
    <xf numFmtId="177" fontId="0" fillId="0" borderId="9" xfId="0" applyNumberFormat="1" applyBorder="1"/>
    <xf numFmtId="10" fontId="0" fillId="0" borderId="0" xfId="3" applyNumberFormat="1" applyFont="1"/>
    <xf numFmtId="166" fontId="30" fillId="0" borderId="0" xfId="3" applyNumberFormat="1" applyFont="1" applyAlignment="1">
      <alignment horizontal="center"/>
    </xf>
    <xf numFmtId="10" fontId="30" fillId="0" borderId="0" xfId="3" applyNumberFormat="1" applyFont="1" applyAlignment="1">
      <alignment horizontal="center"/>
    </xf>
    <xf numFmtId="10" fontId="0" fillId="0" borderId="3" xfId="3" applyNumberFormat="1" applyFont="1" applyBorder="1" applyAlignment="1">
      <alignment horizontal="center"/>
    </xf>
    <xf numFmtId="10" fontId="30" fillId="0" borderId="0" xfId="3" applyNumberFormat="1" applyFont="1" applyFill="1" applyAlignment="1">
      <alignment horizontal="center"/>
    </xf>
    <xf numFmtId="0" fontId="30" fillId="0" borderId="0" xfId="0" applyFont="1" applyAlignment="1">
      <alignment horizontal="center"/>
    </xf>
    <xf numFmtId="10" fontId="30" fillId="20" borderId="0" xfId="0" applyNumberFormat="1" applyFont="1" applyFill="1"/>
    <xf numFmtId="0" fontId="40" fillId="0" borderId="0" xfId="0" applyFont="1" applyAlignment="1">
      <alignment horizontal="center"/>
    </xf>
    <xf numFmtId="0" fontId="8" fillId="0" borderId="0" xfId="4" applyFont="1" applyAlignment="1">
      <alignment horizontal="center"/>
    </xf>
    <xf numFmtId="0" fontId="6" fillId="0" borderId="0" xfId="4" applyFont="1" applyAlignment="1">
      <alignment horizontal="center"/>
    </xf>
    <xf numFmtId="0" fontId="30" fillId="0" borderId="0" xfId="4" applyFont="1" applyAlignment="1">
      <alignment horizontal="center"/>
    </xf>
    <xf numFmtId="44" fontId="30" fillId="0" borderId="0" xfId="2" applyFont="1" applyFill="1" applyBorder="1" applyAlignment="1" applyProtection="1">
      <alignment horizontal="center"/>
      <protection locked="0"/>
    </xf>
    <xf numFmtId="44" fontId="30" fillId="0" borderId="0" xfId="0" applyNumberFormat="1" applyFont="1" applyAlignment="1">
      <alignment horizontal="center"/>
    </xf>
    <xf numFmtId="4" fontId="0" fillId="0" borderId="0" xfId="0" quotePrefix="1" applyNumberFormat="1"/>
    <xf numFmtId="4" fontId="7" fillId="0" borderId="0" xfId="0" applyNumberFormat="1" applyFont="1"/>
    <xf numFmtId="9" fontId="30" fillId="0" borderId="0" xfId="3" applyFont="1"/>
    <xf numFmtId="2" fontId="30" fillId="20" borderId="0" xfId="0" applyNumberFormat="1" applyFont="1" applyFill="1" applyAlignment="1">
      <alignment horizontal="center"/>
    </xf>
    <xf numFmtId="170" fontId="0" fillId="0" borderId="3" xfId="0" applyNumberFormat="1" applyBorder="1" applyAlignment="1">
      <alignment horizontal="center"/>
    </xf>
    <xf numFmtId="2" fontId="0" fillId="0" borderId="0" xfId="3" applyNumberFormat="1" applyFont="1" applyAlignment="1">
      <alignment horizontal="center"/>
    </xf>
    <xf numFmtId="0" fontId="30" fillId="20" borderId="4" xfId="4" applyFont="1" applyFill="1" applyBorder="1" applyAlignment="1">
      <alignment horizontal="left"/>
    </xf>
    <xf numFmtId="2" fontId="30" fillId="8" borderId="4" xfId="3" applyNumberFormat="1" applyFont="1" applyFill="1" applyBorder="1" applyAlignment="1" applyProtection="1">
      <alignment horizontal="center" vertical="center"/>
      <protection locked="0"/>
    </xf>
    <xf numFmtId="0" fontId="30" fillId="20" borderId="4" xfId="0" applyFont="1" applyFill="1" applyBorder="1"/>
    <xf numFmtId="0" fontId="30" fillId="20" borderId="0" xfId="0" applyFont="1" applyFill="1" applyAlignment="1">
      <alignment horizontal="left"/>
    </xf>
    <xf numFmtId="0" fontId="30" fillId="20" borderId="4" xfId="0" applyFont="1" applyFill="1" applyBorder="1" applyAlignment="1">
      <alignment horizontal="left"/>
    </xf>
    <xf numFmtId="0" fontId="30" fillId="8" borderId="4" xfId="3" applyNumberFormat="1" applyFont="1" applyFill="1" applyBorder="1" applyAlignment="1" applyProtection="1">
      <alignment horizontal="center" vertical="center"/>
      <protection locked="0"/>
    </xf>
    <xf numFmtId="1" fontId="30" fillId="8" borderId="4" xfId="2" applyNumberFormat="1" applyFont="1" applyFill="1" applyBorder="1" applyAlignment="1" applyProtection="1">
      <alignment horizontal="center" vertical="center"/>
      <protection locked="0"/>
    </xf>
    <xf numFmtId="170" fontId="8" fillId="20" borderId="0" xfId="0" applyNumberFormat="1" applyFont="1" applyFill="1" applyAlignment="1">
      <alignment horizontal="center"/>
    </xf>
    <xf numFmtId="9" fontId="30" fillId="20" borderId="0" xfId="3" applyFont="1" applyFill="1"/>
    <xf numFmtId="174" fontId="0" fillId="0" borderId="0" xfId="0" applyNumberFormat="1"/>
    <xf numFmtId="174" fontId="0" fillId="0" borderId="0" xfId="0" applyNumberFormat="1" applyAlignment="1">
      <alignment horizontal="center"/>
    </xf>
    <xf numFmtId="2" fontId="12" fillId="0" borderId="0" xfId="2" applyNumberFormat="1" applyFont="1" applyFill="1" applyAlignment="1">
      <alignment horizontal="center"/>
    </xf>
    <xf numFmtId="166" fontId="30" fillId="0" borderId="0" xfId="3" applyNumberFormat="1" applyFont="1"/>
    <xf numFmtId="9" fontId="30" fillId="0" borderId="0" xfId="0" applyNumberFormat="1" applyFont="1"/>
    <xf numFmtId="164" fontId="12" fillId="0" borderId="0" xfId="3" applyNumberFormat="1" applyFont="1" applyAlignment="1">
      <alignment horizontal="center"/>
    </xf>
    <xf numFmtId="0" fontId="38" fillId="0" borderId="0" xfId="0" applyFont="1"/>
    <xf numFmtId="170" fontId="8" fillId="0" borderId="0" xfId="0" applyNumberFormat="1" applyFont="1" applyAlignment="1">
      <alignment horizontal="center"/>
    </xf>
    <xf numFmtId="170" fontId="30" fillId="0" borderId="0" xfId="0" applyNumberFormat="1" applyFont="1" applyAlignment="1">
      <alignment horizontal="center"/>
    </xf>
    <xf numFmtId="170" fontId="30" fillId="0" borderId="0" xfId="0" applyNumberFormat="1" applyFont="1"/>
    <xf numFmtId="3" fontId="30" fillId="0" borderId="0" xfId="0" applyNumberFormat="1" applyFont="1"/>
    <xf numFmtId="170" fontId="30" fillId="8" borderId="4" xfId="2" applyNumberFormat="1" applyFont="1" applyFill="1" applyBorder="1" applyAlignment="1" applyProtection="1">
      <alignment horizontal="center" vertical="center"/>
      <protection locked="0"/>
    </xf>
    <xf numFmtId="9" fontId="30" fillId="0" borderId="0" xfId="3" applyFont="1" applyAlignment="1">
      <alignment horizontal="center"/>
    </xf>
    <xf numFmtId="170" fontId="30" fillId="20" borderId="0" xfId="4" applyNumberFormat="1" applyFont="1" applyFill="1" applyAlignment="1">
      <alignment horizontal="left"/>
    </xf>
    <xf numFmtId="9" fontId="30" fillId="20" borderId="0" xfId="3" applyFont="1" applyFill="1" applyAlignment="1">
      <alignment horizontal="left"/>
    </xf>
    <xf numFmtId="0" fontId="0" fillId="20" borderId="0" xfId="0" applyFill="1"/>
    <xf numFmtId="2" fontId="38" fillId="19" borderId="0" xfId="0" applyNumberFormat="1" applyFont="1" applyFill="1" applyAlignment="1">
      <alignment horizontal="center"/>
    </xf>
    <xf numFmtId="2" fontId="6" fillId="15" borderId="4" xfId="4" applyNumberFormat="1" applyFont="1" applyFill="1" applyBorder="1" applyAlignment="1" applyProtection="1">
      <alignment horizontal="center"/>
      <protection locked="0"/>
    </xf>
    <xf numFmtId="44" fontId="30" fillId="8" borderId="4" xfId="2" applyFont="1" applyFill="1" applyBorder="1" applyAlignment="1" applyProtection="1">
      <alignment horizontal="center"/>
      <protection locked="0"/>
    </xf>
    <xf numFmtId="44" fontId="30" fillId="8" borderId="4" xfId="2" applyFont="1" applyFill="1" applyBorder="1" applyAlignment="1" applyProtection="1">
      <alignment horizontal="center" vertical="center"/>
      <protection locked="0"/>
    </xf>
    <xf numFmtId="3" fontId="30" fillId="20" borderId="4" xfId="3" applyNumberFormat="1" applyFont="1" applyFill="1" applyBorder="1" applyAlignment="1" applyProtection="1">
      <alignment horizontal="center" vertical="center"/>
    </xf>
    <xf numFmtId="170" fontId="0" fillId="0" borderId="3" xfId="3" applyNumberFormat="1" applyFont="1" applyBorder="1" applyAlignment="1">
      <alignment horizontal="center"/>
    </xf>
    <xf numFmtId="170" fontId="30" fillId="20" borderId="0" xfId="4" applyNumberFormat="1" applyFont="1" applyFill="1" applyAlignment="1">
      <alignment horizontal="center"/>
    </xf>
    <xf numFmtId="0" fontId="41" fillId="21" borderId="18" xfId="0" applyFont="1" applyFill="1" applyBorder="1" applyAlignment="1">
      <alignment vertical="center"/>
    </xf>
    <xf numFmtId="2" fontId="38" fillId="0" borderId="0" xfId="0" applyNumberFormat="1" applyFont="1" applyAlignment="1">
      <alignment horizontal="center"/>
    </xf>
    <xf numFmtId="164" fontId="11" fillId="0" borderId="0" xfId="0" applyNumberFormat="1" applyFont="1" applyAlignment="1" applyProtection="1">
      <alignment horizontal="center"/>
      <protection locked="0"/>
    </xf>
    <xf numFmtId="164" fontId="12" fillId="0" borderId="0" xfId="3" applyNumberFormat="1" applyFont="1" applyFill="1" applyBorder="1" applyAlignment="1">
      <alignment horizontal="center"/>
    </xf>
    <xf numFmtId="180" fontId="0" fillId="0" borderId="0" xfId="0" applyNumberFormat="1" applyAlignment="1">
      <alignment horizontal="center"/>
    </xf>
    <xf numFmtId="1" fontId="0" fillId="2" borderId="10" xfId="0" applyNumberFormat="1" applyFill="1" applyBorder="1" applyAlignment="1" applyProtection="1">
      <alignment horizontal="center"/>
      <protection locked="0"/>
    </xf>
    <xf numFmtId="0" fontId="37" fillId="0" borderId="0" xfId="0" applyFont="1" applyAlignment="1">
      <alignment horizontal="left" vertical="center" indent="15"/>
    </xf>
    <xf numFmtId="0" fontId="37" fillId="0" borderId="0" xfId="0" applyFont="1" applyAlignment="1">
      <alignment horizontal="left" vertical="center" indent="8"/>
    </xf>
    <xf numFmtId="0" fontId="8" fillId="20" borderId="16" xfId="0" applyFont="1" applyFill="1" applyBorder="1"/>
    <xf numFmtId="0" fontId="8" fillId="20" borderId="16" xfId="0" applyFont="1" applyFill="1" applyBorder="1" applyAlignment="1">
      <alignment horizontal="center"/>
    </xf>
    <xf numFmtId="0" fontId="30" fillId="20" borderId="20" xfId="0" applyFont="1" applyFill="1" applyBorder="1"/>
    <xf numFmtId="9" fontId="30" fillId="20" borderId="2" xfId="0" applyNumberFormat="1" applyFont="1" applyFill="1" applyBorder="1" applyAlignment="1">
      <alignment horizontal="center"/>
    </xf>
    <xf numFmtId="0" fontId="30" fillId="20" borderId="20" xfId="0" applyFont="1" applyFill="1" applyBorder="1" applyAlignment="1">
      <alignment horizontal="center"/>
    </xf>
    <xf numFmtId="0" fontId="30" fillId="20" borderId="21" xfId="0" applyFont="1" applyFill="1" applyBorder="1" applyAlignment="1">
      <alignment horizontal="right"/>
    </xf>
    <xf numFmtId="170" fontId="30" fillId="20" borderId="1" xfId="0" applyNumberFormat="1" applyFont="1" applyFill="1" applyBorder="1" applyAlignment="1">
      <alignment horizontal="center"/>
    </xf>
    <xf numFmtId="170" fontId="8" fillId="20" borderId="21" xfId="0" applyNumberFormat="1" applyFont="1" applyFill="1" applyBorder="1" applyAlignment="1">
      <alignment horizontal="center"/>
    </xf>
    <xf numFmtId="0" fontId="8" fillId="20" borderId="20" xfId="0" applyFont="1" applyFill="1" applyBorder="1" applyAlignment="1">
      <alignment horizontal="center"/>
    </xf>
    <xf numFmtId="170" fontId="30" fillId="20" borderId="1" xfId="3" applyNumberFormat="1" applyFont="1" applyFill="1" applyBorder="1" applyAlignment="1">
      <alignment horizontal="center"/>
    </xf>
    <xf numFmtId="170" fontId="30" fillId="20" borderId="0" xfId="3" applyNumberFormat="1" applyFont="1" applyFill="1" applyBorder="1" applyAlignment="1">
      <alignment horizontal="center"/>
    </xf>
    <xf numFmtId="2" fontId="13" fillId="0" borderId="0" xfId="0" applyNumberFormat="1" applyFont="1" applyAlignment="1">
      <alignment horizontal="center"/>
    </xf>
    <xf numFmtId="44" fontId="0" fillId="0" borderId="0" xfId="2" applyFont="1"/>
    <xf numFmtId="10" fontId="30" fillId="20" borderId="0" xfId="4" applyNumberFormat="1" applyFont="1" applyFill="1" applyAlignment="1">
      <alignment horizontal="left"/>
    </xf>
    <xf numFmtId="10" fontId="30" fillId="20" borderId="0" xfId="0" applyNumberFormat="1" applyFont="1" applyFill="1" applyAlignment="1">
      <alignment horizontal="left"/>
    </xf>
    <xf numFmtId="0" fontId="8" fillId="20" borderId="17" xfId="4" applyFont="1" applyFill="1" applyBorder="1" applyAlignment="1">
      <alignment horizontal="left" wrapText="1"/>
    </xf>
    <xf numFmtId="9" fontId="30" fillId="20" borderId="0" xfId="3" applyFont="1" applyFill="1" applyAlignment="1">
      <alignment horizontal="right"/>
    </xf>
    <xf numFmtId="0" fontId="30" fillId="20" borderId="0" xfId="4" quotePrefix="1" applyFont="1" applyFill="1" applyAlignment="1">
      <alignment horizontal="left"/>
    </xf>
    <xf numFmtId="2" fontId="30" fillId="0" borderId="0" xfId="3" applyNumberFormat="1" applyFont="1" applyAlignment="1">
      <alignment horizontal="center"/>
    </xf>
    <xf numFmtId="2" fontId="30" fillId="20" borderId="0" xfId="0" applyNumberFormat="1" applyFont="1" applyFill="1"/>
    <xf numFmtId="10" fontId="30" fillId="20" borderId="0" xfId="3" applyNumberFormat="1" applyFont="1" applyFill="1"/>
    <xf numFmtId="170" fontId="8" fillId="20" borderId="16" xfId="0" applyNumberFormat="1" applyFont="1" applyFill="1" applyBorder="1" applyAlignment="1">
      <alignment horizontal="center"/>
    </xf>
    <xf numFmtId="0" fontId="8" fillId="20" borderId="16" xfId="0" applyFont="1" applyFill="1" applyBorder="1" applyAlignment="1">
      <alignment horizontal="right"/>
    </xf>
    <xf numFmtId="0" fontId="30" fillId="20" borderId="17" xfId="0" applyFont="1" applyFill="1" applyBorder="1" applyAlignment="1">
      <alignment horizontal="right"/>
    </xf>
    <xf numFmtId="170" fontId="30" fillId="20" borderId="17" xfId="2" applyNumberFormat="1" applyFont="1" applyFill="1" applyBorder="1" applyAlignment="1">
      <alignment horizontal="center"/>
    </xf>
    <xf numFmtId="170" fontId="30" fillId="20" borderId="18" xfId="2" applyNumberFormat="1" applyFont="1" applyFill="1" applyBorder="1" applyAlignment="1">
      <alignment horizontal="center"/>
    </xf>
    <xf numFmtId="170" fontId="30" fillId="20" borderId="19" xfId="2" applyNumberFormat="1" applyFont="1" applyFill="1" applyBorder="1" applyAlignment="1">
      <alignment horizontal="center"/>
    </xf>
    <xf numFmtId="170" fontId="8" fillId="20" borderId="19" xfId="0" applyNumberFormat="1" applyFont="1" applyFill="1" applyBorder="1" applyAlignment="1">
      <alignment horizontal="center"/>
    </xf>
    <xf numFmtId="170" fontId="30" fillId="20" borderId="17" xfId="4" applyNumberFormat="1" applyFont="1" applyFill="1" applyBorder="1" applyAlignment="1">
      <alignment horizontal="center"/>
    </xf>
    <xf numFmtId="170" fontId="30" fillId="20" borderId="18" xfId="4" applyNumberFormat="1" applyFont="1" applyFill="1" applyBorder="1" applyAlignment="1">
      <alignment horizontal="center"/>
    </xf>
    <xf numFmtId="170" fontId="30" fillId="20" borderId="19" xfId="4" applyNumberFormat="1" applyFont="1" applyFill="1" applyBorder="1" applyAlignment="1">
      <alignment horizontal="center"/>
    </xf>
    <xf numFmtId="170" fontId="30" fillId="20" borderId="24" xfId="4" applyNumberFormat="1" applyFont="1" applyFill="1" applyBorder="1" applyAlignment="1">
      <alignment horizontal="center"/>
    </xf>
    <xf numFmtId="170" fontId="30" fillId="20" borderId="1" xfId="4" applyNumberFormat="1" applyFont="1" applyFill="1" applyBorder="1" applyAlignment="1">
      <alignment horizontal="center"/>
    </xf>
    <xf numFmtId="170" fontId="30" fillId="20" borderId="22" xfId="4" applyNumberFormat="1" applyFont="1" applyFill="1" applyBorder="1" applyAlignment="1">
      <alignment horizontal="center"/>
    </xf>
    <xf numFmtId="0" fontId="8" fillId="20" borderId="0" xfId="0" applyFont="1" applyFill="1" applyAlignment="1">
      <alignment horizontal="right"/>
    </xf>
    <xf numFmtId="0" fontId="8" fillId="20" borderId="16" xfId="0" applyFont="1" applyFill="1" applyBorder="1" applyAlignment="1">
      <alignment horizontal="left"/>
    </xf>
    <xf numFmtId="10" fontId="30" fillId="20" borderId="23" xfId="3" applyNumberFormat="1" applyFont="1" applyFill="1" applyBorder="1" applyAlignment="1">
      <alignment horizontal="center"/>
    </xf>
    <xf numFmtId="10" fontId="30" fillId="20" borderId="2" xfId="3" applyNumberFormat="1" applyFont="1" applyFill="1" applyBorder="1" applyAlignment="1">
      <alignment horizontal="center"/>
    </xf>
    <xf numFmtId="10" fontId="30" fillId="20" borderId="25" xfId="3" applyNumberFormat="1" applyFont="1" applyFill="1" applyBorder="1" applyAlignment="1">
      <alignment horizontal="center"/>
    </xf>
    <xf numFmtId="10" fontId="8" fillId="20" borderId="19" xfId="0" applyNumberFormat="1" applyFont="1" applyFill="1" applyBorder="1" applyAlignment="1">
      <alignment horizontal="center"/>
    </xf>
    <xf numFmtId="10" fontId="30" fillId="20" borderId="17" xfId="3" applyNumberFormat="1" applyFont="1" applyFill="1" applyBorder="1" applyAlignment="1">
      <alignment horizontal="center"/>
    </xf>
    <xf numFmtId="10" fontId="30" fillId="20" borderId="18" xfId="3" applyNumberFormat="1" applyFont="1" applyFill="1" applyBorder="1" applyAlignment="1">
      <alignment horizontal="center"/>
    </xf>
    <xf numFmtId="10" fontId="30" fillId="20" borderId="19" xfId="3" applyNumberFormat="1" applyFont="1" applyFill="1" applyBorder="1" applyAlignment="1">
      <alignment horizontal="center"/>
    </xf>
    <xf numFmtId="166" fontId="30" fillId="20" borderId="0" xfId="3" applyNumberFormat="1" applyFont="1" applyFill="1" applyBorder="1" applyAlignment="1">
      <alignment horizontal="center"/>
    </xf>
    <xf numFmtId="0" fontId="30" fillId="20" borderId="16" xfId="0" applyFont="1" applyFill="1" applyBorder="1" applyAlignment="1">
      <alignment horizontal="right"/>
    </xf>
    <xf numFmtId="2" fontId="8" fillId="20" borderId="19" xfId="3" applyNumberFormat="1" applyFont="1" applyFill="1" applyBorder="1" applyAlignment="1">
      <alignment horizontal="center"/>
    </xf>
    <xf numFmtId="2" fontId="8" fillId="20" borderId="19" xfId="0" applyNumberFormat="1" applyFont="1" applyFill="1" applyBorder="1" applyAlignment="1">
      <alignment horizontal="center"/>
    </xf>
    <xf numFmtId="10" fontId="30" fillId="20" borderId="0" xfId="3" applyNumberFormat="1" applyFont="1" applyFill="1" applyBorder="1" applyAlignment="1">
      <alignment horizontal="center"/>
    </xf>
    <xf numFmtId="0" fontId="8" fillId="20" borderId="0" xfId="0" applyFont="1" applyFill="1"/>
    <xf numFmtId="9" fontId="30" fillId="8" borderId="23" xfId="3" applyFont="1" applyFill="1" applyBorder="1" applyAlignment="1" applyProtection="1">
      <alignment horizontal="center"/>
      <protection locked="0"/>
    </xf>
    <xf numFmtId="0" fontId="30" fillId="8" borderId="4" xfId="0" applyFont="1" applyFill="1" applyBorder="1" applyAlignment="1" applyProtection="1">
      <alignment horizontal="center"/>
      <protection locked="0"/>
    </xf>
    <xf numFmtId="0" fontId="30" fillId="20" borderId="0" xfId="0" applyFont="1" applyFill="1" applyAlignment="1" applyProtection="1">
      <alignment horizontal="center"/>
      <protection locked="0"/>
    </xf>
    <xf numFmtId="44" fontId="30" fillId="20" borderId="1" xfId="2" quotePrefix="1" applyFont="1" applyFill="1" applyBorder="1" applyAlignment="1" applyProtection="1">
      <alignment horizontal="center" vertical="center"/>
      <protection locked="0"/>
    </xf>
    <xf numFmtId="0" fontId="40" fillId="20" borderId="0" xfId="0" applyFont="1" applyFill="1"/>
    <xf numFmtId="0" fontId="44" fillId="13" borderId="4" xfId="0" applyFont="1" applyFill="1" applyBorder="1" applyAlignment="1">
      <alignment horizontal="center" vertical="center"/>
    </xf>
    <xf numFmtId="0" fontId="43" fillId="13" borderId="4" xfId="0" applyFont="1" applyFill="1" applyBorder="1" applyAlignment="1">
      <alignment horizontal="center" vertical="center"/>
    </xf>
    <xf numFmtId="0" fontId="31" fillId="20" borderId="1" xfId="0" applyFont="1" applyFill="1" applyBorder="1" applyAlignment="1">
      <alignment horizontal="center"/>
    </xf>
    <xf numFmtId="0" fontId="8" fillId="20" borderId="5" xfId="0" applyFont="1" applyFill="1" applyBorder="1" applyAlignment="1">
      <alignment horizontal="center"/>
    </xf>
    <xf numFmtId="0" fontId="8" fillId="20" borderId="7" xfId="0" applyFont="1" applyFill="1" applyBorder="1" applyAlignment="1">
      <alignment horizontal="center"/>
    </xf>
    <xf numFmtId="0" fontId="8" fillId="20" borderId="5" xfId="4" applyFont="1" applyFill="1" applyBorder="1" applyAlignment="1">
      <alignment horizontal="center"/>
    </xf>
    <xf numFmtId="0" fontId="8" fillId="20" borderId="7" xfId="4" applyFont="1" applyFill="1" applyBorder="1" applyAlignment="1">
      <alignment horizontal="center"/>
    </xf>
    <xf numFmtId="0" fontId="41" fillId="21" borderId="18" xfId="0" applyFont="1" applyFill="1" applyBorder="1" applyAlignment="1">
      <alignment horizontal="center" vertical="center"/>
    </xf>
    <xf numFmtId="0" fontId="8" fillId="0" borderId="0" xfId="0" applyFont="1" applyAlignment="1">
      <alignment horizontal="center"/>
    </xf>
    <xf numFmtId="0" fontId="7" fillId="17" borderId="5" xfId="4" applyFill="1" applyBorder="1" applyAlignment="1">
      <alignment horizontal="right"/>
    </xf>
    <xf numFmtId="0" fontId="7" fillId="17" borderId="7" xfId="4" applyFill="1" applyBorder="1" applyAlignment="1">
      <alignment horizontal="right"/>
    </xf>
    <xf numFmtId="0" fontId="7" fillId="17" borderId="12" xfId="4" applyFill="1" applyBorder="1" applyAlignment="1">
      <alignment horizontal="center"/>
    </xf>
    <xf numFmtId="0" fontId="7" fillId="17" borderId="10" xfId="4" applyFill="1" applyBorder="1" applyAlignment="1">
      <alignment horizontal="center"/>
    </xf>
    <xf numFmtId="0" fontId="7" fillId="17" borderId="13" xfId="4" applyFill="1" applyBorder="1" applyAlignment="1">
      <alignment horizontal="center"/>
    </xf>
    <xf numFmtId="0" fontId="7" fillId="18" borderId="12" xfId="4" applyFill="1" applyBorder="1" applyAlignment="1">
      <alignment horizontal="center"/>
    </xf>
    <xf numFmtId="0" fontId="7" fillId="18" borderId="10" xfId="4" applyFill="1" applyBorder="1" applyAlignment="1">
      <alignment horizontal="center"/>
    </xf>
    <xf numFmtId="0" fontId="7" fillId="18" borderId="13" xfId="4" applyFill="1" applyBorder="1" applyAlignment="1">
      <alignment horizontal="center"/>
    </xf>
    <xf numFmtId="0" fontId="7" fillId="15" borderId="14" xfId="4" applyFill="1" applyBorder="1" applyAlignment="1">
      <alignment horizontal="center"/>
    </xf>
    <xf numFmtId="0" fontId="7" fillId="15" borderId="0" xfId="4" applyFill="1" applyAlignment="1">
      <alignment horizontal="center"/>
    </xf>
    <xf numFmtId="0" fontId="7" fillId="15" borderId="15" xfId="4" applyFill="1" applyBorder="1" applyAlignment="1">
      <alignment horizontal="center"/>
    </xf>
    <xf numFmtId="0" fontId="6" fillId="17" borderId="5" xfId="4" applyFont="1" applyFill="1" applyBorder="1" applyAlignment="1">
      <alignment horizontal="center"/>
    </xf>
    <xf numFmtId="0" fontId="6" fillId="17" borderId="8" xfId="4" applyFont="1" applyFill="1" applyBorder="1" applyAlignment="1">
      <alignment horizontal="center"/>
    </xf>
    <xf numFmtId="0" fontId="6" fillId="17" borderId="7" xfId="4" applyFont="1" applyFill="1" applyBorder="1" applyAlignment="1">
      <alignment horizontal="center"/>
    </xf>
    <xf numFmtId="0" fontId="6" fillId="18" borderId="4" xfId="4" applyFont="1" applyFill="1" applyBorder="1" applyAlignment="1">
      <alignment horizontal="center"/>
    </xf>
    <xf numFmtId="0" fontId="6" fillId="15" borderId="4" xfId="4" applyFont="1" applyFill="1" applyBorder="1" applyAlignment="1">
      <alignment horizontal="center"/>
    </xf>
    <xf numFmtId="0" fontId="7" fillId="17" borderId="5" xfId="4" applyFill="1" applyBorder="1" applyAlignment="1">
      <alignment horizontal="center"/>
    </xf>
    <xf numFmtId="0" fontId="7" fillId="17" borderId="8" xfId="4" applyFill="1" applyBorder="1" applyAlignment="1">
      <alignment horizontal="center"/>
    </xf>
    <xf numFmtId="0" fontId="7" fillId="17" borderId="7" xfId="4" applyFill="1" applyBorder="1" applyAlignment="1">
      <alignment horizontal="center"/>
    </xf>
    <xf numFmtId="0" fontId="7" fillId="18" borderId="5" xfId="4" applyFill="1" applyBorder="1" applyAlignment="1">
      <alignment horizontal="center"/>
    </xf>
    <xf numFmtId="0" fontId="7" fillId="18" borderId="8" xfId="4" applyFill="1" applyBorder="1" applyAlignment="1">
      <alignment horizontal="center"/>
    </xf>
    <xf numFmtId="0" fontId="7" fillId="18" borderId="7" xfId="4" applyFill="1" applyBorder="1" applyAlignment="1">
      <alignment horizontal="center"/>
    </xf>
    <xf numFmtId="0" fontId="7" fillId="15" borderId="5" xfId="4" applyFill="1" applyBorder="1" applyAlignment="1">
      <alignment horizontal="center"/>
    </xf>
    <xf numFmtId="0" fontId="7" fillId="15" borderId="8" xfId="4" applyFill="1" applyBorder="1" applyAlignment="1">
      <alignment horizontal="center"/>
    </xf>
    <xf numFmtId="0" fontId="7" fillId="15" borderId="7" xfId="4" applyFill="1" applyBorder="1" applyAlignment="1">
      <alignment horizontal="center"/>
    </xf>
    <xf numFmtId="0" fontId="7" fillId="0" borderId="9" xfId="0" applyFont="1" applyBorder="1" applyAlignment="1">
      <alignment horizontal="center" wrapText="1"/>
    </xf>
    <xf numFmtId="0" fontId="7" fillId="0" borderId="0" xfId="0" applyFont="1" applyAlignment="1">
      <alignment horizontal="center" wrapText="1"/>
    </xf>
  </cellXfs>
  <cellStyles count="10">
    <cellStyle name="Comma" xfId="1" builtinId="3"/>
    <cellStyle name="Currency" xfId="2" builtinId="4"/>
    <cellStyle name="Normal" xfId="0" builtinId="0"/>
    <cellStyle name="Normal 2" xfId="4" xr:uid="{00000000-0005-0000-0000-000003000000}"/>
    <cellStyle name="Normal 2 2" xfId="7" xr:uid="{00000000-0005-0000-0000-000004000000}"/>
    <cellStyle name="Normal 3" xfId="5" xr:uid="{00000000-0005-0000-0000-000005000000}"/>
    <cellStyle name="Normal 3 2" xfId="6" xr:uid="{00000000-0005-0000-0000-000006000000}"/>
    <cellStyle name="Normal 3 3" xfId="9" xr:uid="{00000000-0005-0000-0000-000007000000}"/>
    <cellStyle name="Normal 4" xfId="8" xr:uid="{00000000-0005-0000-0000-000008000000}"/>
    <cellStyle name="Percent" xfId="3" builtinId="5"/>
  </cellStyles>
  <dxfs count="294">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FF0000"/>
      </font>
    </dxf>
    <dxf>
      <font>
        <color rgb="FFFF0000"/>
      </font>
    </dxf>
    <dxf>
      <font>
        <b/>
        <i val="0"/>
      </font>
    </dxf>
    <dxf>
      <font>
        <b/>
        <i val="0"/>
      </font>
    </dxf>
    <dxf>
      <font>
        <b/>
        <i val="0"/>
      </font>
    </dxf>
    <dxf>
      <font>
        <b/>
        <i val="0"/>
      </font>
    </dxf>
    <dxf>
      <font>
        <b/>
        <i val="0"/>
      </font>
    </dxf>
    <dxf>
      <font>
        <b/>
        <i val="0"/>
      </font>
    </dxf>
    <dxf>
      <font>
        <b/>
        <i val="0"/>
      </font>
    </dxf>
    <dxf>
      <font>
        <b/>
        <i val="0"/>
      </font>
    </dxf>
    <dxf>
      <font>
        <color rgb="FFFF0000"/>
      </font>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ill>
        <patternFill>
          <bgColor theme="0"/>
        </patternFill>
      </fill>
    </dxf>
    <dxf>
      <fill>
        <patternFill>
          <bgColor rgb="FFFFFF99"/>
        </patternFill>
      </fill>
      <border>
        <left style="thin">
          <color auto="1"/>
        </left>
        <right style="thin">
          <color auto="1"/>
        </right>
        <top style="thin">
          <color auto="1"/>
        </top>
        <bottom style="thin">
          <color auto="1"/>
        </bottom>
      </border>
    </dxf>
    <dxf>
      <font>
        <color theme="0"/>
      </font>
      <fill>
        <patternFill>
          <bgColor theme="0"/>
        </patternFill>
      </fill>
    </dxf>
    <dxf>
      <font>
        <color theme="0"/>
      </font>
      <fill>
        <patternFill>
          <bgColor theme="0"/>
        </patternFill>
      </fill>
    </dxf>
    <dxf>
      <fill>
        <patternFill>
          <bgColor rgb="FFFFFF99"/>
        </patternFill>
      </fill>
      <border>
        <left style="thin">
          <color auto="1"/>
        </left>
        <right style="thin">
          <color auto="1"/>
        </right>
        <top style="thin">
          <color auto="1"/>
        </top>
        <bottom style="thin">
          <color auto="1"/>
        </bottom>
      </border>
    </dxf>
    <dxf>
      <font>
        <b/>
        <i val="0"/>
      </font>
    </dxf>
    <dxf>
      <font>
        <b/>
        <i val="0"/>
      </font>
    </dxf>
    <dxf>
      <font>
        <b/>
        <i val="0"/>
      </font>
    </dxf>
    <dxf>
      <font>
        <b/>
        <i val="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b/>
        <i val="0"/>
      </font>
    </dxf>
    <dxf>
      <font>
        <b/>
        <i val="0"/>
      </font>
    </dxf>
    <dxf>
      <font>
        <b/>
        <i val="0"/>
      </font>
    </dxf>
    <dxf>
      <font>
        <b/>
        <i val="0"/>
      </font>
    </dxf>
    <dxf>
      <font>
        <b/>
        <i val="0"/>
      </font>
    </dxf>
    <dxf>
      <font>
        <b/>
        <i val="0"/>
      </font>
    </dxf>
    <dxf>
      <font>
        <b/>
        <i val="0"/>
      </font>
    </dxf>
    <dxf>
      <font>
        <b/>
        <i val="0"/>
      </font>
    </dxf>
    <dxf>
      <font>
        <color rgb="FFFF0000"/>
      </font>
    </dxf>
    <dxf>
      <font>
        <color rgb="FFFF0000"/>
      </font>
    </dxf>
    <dxf>
      <font>
        <color rgb="FFFF0000"/>
      </font>
    </dxf>
    <dxf>
      <font>
        <b/>
        <i val="0"/>
      </font>
    </dxf>
    <dxf>
      <font>
        <b/>
        <i val="0"/>
      </font>
    </dxf>
    <dxf>
      <font>
        <b/>
        <i val="0"/>
      </font>
    </dxf>
    <dxf>
      <font>
        <b/>
        <i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E8D9F3"/>
      <color rgb="FFFFEFBD"/>
      <color rgb="FFFFFF66"/>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ustomXml" Target="../ink/ink7.xml"/><Relationship Id="rId13" Type="http://schemas.openxmlformats.org/officeDocument/2006/relationships/customXml" Target="../ink/ink12.xml"/><Relationship Id="rId3" Type="http://schemas.openxmlformats.org/officeDocument/2006/relationships/customXml" Target="../ink/ink2.xml"/><Relationship Id="rId7" Type="http://schemas.openxmlformats.org/officeDocument/2006/relationships/customXml" Target="../ink/ink6.xml"/><Relationship Id="rId12" Type="http://schemas.openxmlformats.org/officeDocument/2006/relationships/customXml" Target="../ink/ink11.xml"/><Relationship Id="rId2" Type="http://schemas.openxmlformats.org/officeDocument/2006/relationships/image" Target="../media/image1.png"/><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5" Type="http://schemas.openxmlformats.org/officeDocument/2006/relationships/customXml" Target="../ink/ink4.xml"/><Relationship Id="rId10" Type="http://schemas.openxmlformats.org/officeDocument/2006/relationships/customXml" Target="../ink/ink9.xml"/><Relationship Id="rId4" Type="http://schemas.openxmlformats.org/officeDocument/2006/relationships/customXml" Target="../ink/ink3.xml"/><Relationship Id="rId9" Type="http://schemas.openxmlformats.org/officeDocument/2006/relationships/customXml" Target="../ink/ink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595312</xdr:colOff>
      <xdr:row>1</xdr:row>
      <xdr:rowOff>150756</xdr:rowOff>
    </xdr:from>
    <xdr:to>
      <xdr:col>3</xdr:col>
      <xdr:colOff>210070</xdr:colOff>
      <xdr:row>7</xdr:row>
      <xdr:rowOff>91841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12" y="323938"/>
          <a:ext cx="1433167" cy="1175005"/>
        </a:xfrm>
        <a:prstGeom prst="rect">
          <a:avLst/>
        </a:prstGeom>
      </xdr:spPr>
    </xdr:pic>
    <xdr:clientData/>
  </xdr:twoCellAnchor>
  <xdr:twoCellAnchor>
    <xdr:from>
      <xdr:col>0</xdr:col>
      <xdr:colOff>551411</xdr:colOff>
      <xdr:row>9</xdr:row>
      <xdr:rowOff>17231</xdr:rowOff>
    </xdr:from>
    <xdr:to>
      <xdr:col>18</xdr:col>
      <xdr:colOff>587692</xdr:colOff>
      <xdr:row>22</xdr:row>
      <xdr:rowOff>43962</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51411" y="1805000"/>
          <a:ext cx="11114589" cy="2312731"/>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Introduction of tool:</a:t>
          </a:r>
        </a:p>
        <a:p>
          <a:endParaRPr lang="en-US" sz="1600">
            <a:latin typeface="Arial" panose="020B0604020202020204" pitchFamily="34" charset="0"/>
            <a:cs typeface="Arial" panose="020B0604020202020204" pitchFamily="34" charset="0"/>
          </a:endParaRPr>
        </a:p>
        <a:p>
          <a:r>
            <a:rPr lang="en-US" sz="1600">
              <a:latin typeface="Arial" panose="020B0604020202020204" pitchFamily="34" charset="0"/>
              <a:cs typeface="Arial" panose="020B0604020202020204" pitchFamily="34" charset="0"/>
            </a:rPr>
            <a:t>The Kansas State Applied Swine Nutrition Team developed a tool to determine the optimal DDGS inclusion to help producers determine the ideal DDGS inclusion level for each finishing diet phase to maximize economic return based on predicted growth performance and current live pig value. However, with modern DDGS being lower in oil content, there is a need for an updated DDGS tool that accounts for changes in DDGS composition and pig growth performance. The goal of the updated DDGS calculator is to help producers determine the most economical DDGS inclusion rate to use in grow-finish diets considering feed cost saving and income over feed cost on both a live and carcass weight basis for lower oil DDGS.</a:t>
          </a:r>
          <a:endParaRPr lang="en-US" sz="1800">
            <a:latin typeface="Arial" panose="020B0604020202020204" pitchFamily="34" charset="0"/>
            <a:cs typeface="Arial" panose="020B0604020202020204" pitchFamily="34" charset="0"/>
          </a:endParaRPr>
        </a:p>
      </xdr:txBody>
    </xdr:sp>
    <xdr:clientData/>
  </xdr:twoCellAnchor>
  <xdr:twoCellAnchor>
    <xdr:from>
      <xdr:col>0</xdr:col>
      <xdr:colOff>587692</xdr:colOff>
      <xdr:row>23</xdr:row>
      <xdr:rowOff>143936</xdr:rowOff>
    </xdr:from>
    <xdr:to>
      <xdr:col>19</xdr:col>
      <xdr:colOff>17837</xdr:colOff>
      <xdr:row>64</xdr:row>
      <xdr:rowOff>29307</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87692" y="4393551"/>
          <a:ext cx="11123914" cy="7095064"/>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Instructions for use:</a:t>
          </a:r>
        </a:p>
        <a:p>
          <a:endParaRPr lang="en-US" sz="1600">
            <a:latin typeface="Arial" panose="020B0604020202020204" pitchFamily="34" charset="0"/>
            <a:cs typeface="Arial" panose="020B0604020202020204" pitchFamily="34" charset="0"/>
          </a:endParaRPr>
        </a:p>
        <a:p>
          <a:r>
            <a:rPr lang="en-US" sz="1600">
              <a:latin typeface="Arial" panose="020B0604020202020204" pitchFamily="34" charset="0"/>
              <a:cs typeface="Arial" panose="020B0604020202020204" pitchFamily="34" charset="0"/>
            </a:rPr>
            <a:t>In the DDGS calculator tab, the user can input information into the yellow highlighted cells. The following step outlines the calculator inputs and outputs for the user and steps for use. </a:t>
          </a:r>
        </a:p>
        <a:p>
          <a:endParaRPr lang="en-US" sz="1600">
            <a:latin typeface="Arial" panose="020B0604020202020204" pitchFamily="34" charset="0"/>
            <a:cs typeface="Arial" panose="020B0604020202020204" pitchFamily="34" charset="0"/>
          </a:endParaRPr>
        </a:p>
        <a:p>
          <a:r>
            <a:rPr lang="en-US" sz="1600">
              <a:latin typeface="Arial" panose="020B0604020202020204" pitchFamily="34" charset="0"/>
              <a:cs typeface="Arial" panose="020B0604020202020204" pitchFamily="34" charset="0"/>
            </a:rPr>
            <a:t>1) The user should start by inputting ingredient prices in the calculator inputs section on the DDGS calculator tab. </a:t>
          </a:r>
        </a:p>
        <a:p>
          <a:endParaRPr lang="en-US" sz="1600">
            <a:latin typeface="Arial" panose="020B0604020202020204" pitchFamily="34" charset="0"/>
            <a:cs typeface="Arial" panose="020B0604020202020204" pitchFamily="34" charset="0"/>
          </a:endParaRPr>
        </a:p>
        <a:p>
          <a:r>
            <a:rPr lang="en-US" sz="1600">
              <a:latin typeface="Arial" panose="020B0604020202020204" pitchFamily="34" charset="0"/>
              <a:cs typeface="Arial" panose="020B0604020202020204" pitchFamily="34" charset="0"/>
            </a:rPr>
            <a:t>2) Next, the user can select which diet formulation strategy they want to select based on 1 of 3 parameters:  </a:t>
          </a:r>
        </a:p>
        <a:p>
          <a:r>
            <a:rPr lang="en-US" sz="1600">
              <a:latin typeface="Arial" panose="020B0604020202020204" pitchFamily="34" charset="0"/>
              <a:cs typeface="Arial" panose="020B0604020202020204" pitchFamily="34" charset="0"/>
            </a:rPr>
            <a:t>	1. Use fat to equalize energy: yes or no  </a:t>
          </a:r>
        </a:p>
        <a:p>
          <a:r>
            <a:rPr lang="en-US" sz="1600">
              <a:latin typeface="Arial" panose="020B0604020202020204" pitchFamily="34" charset="0"/>
              <a:cs typeface="Arial" panose="020B0604020202020204" pitchFamily="34" charset="0"/>
            </a:rPr>
            <a:t>	2. Remove DDGS from the last dietary phase: yes or no  </a:t>
          </a:r>
        </a:p>
        <a:p>
          <a:r>
            <a:rPr lang="en-US" sz="1600">
              <a:latin typeface="Arial" panose="020B0604020202020204" pitchFamily="34" charset="0"/>
              <a:cs typeface="Arial" panose="020B0604020202020204" pitchFamily="34" charset="0"/>
            </a:rPr>
            <a:t>	3. Use L-Val in the diet: yes or no</a:t>
          </a:r>
        </a:p>
        <a:p>
          <a:endParaRPr lang="en-US" sz="1600">
            <a:latin typeface="Arial" panose="020B0604020202020204" pitchFamily="34" charset="0"/>
            <a:cs typeface="Arial" panose="020B0604020202020204" pitchFamily="34" charset="0"/>
          </a:endParaRPr>
        </a:p>
        <a:p>
          <a:r>
            <a:rPr lang="en-US" sz="1600">
              <a:latin typeface="Arial" panose="020B0604020202020204" pitchFamily="34" charset="0"/>
              <a:cs typeface="Arial" panose="020B0604020202020204" pitchFamily="34" charset="0"/>
            </a:rPr>
            <a:t>3) The user should input a value for carcass price and base yield. The base yield is used in the equation to estimate yield in the calculator.</a:t>
          </a:r>
        </a:p>
        <a:p>
          <a:endParaRPr lang="en-US" sz="1600">
            <a:latin typeface="Arial" panose="020B0604020202020204" pitchFamily="34" charset="0"/>
            <a:cs typeface="Arial" panose="020B0604020202020204" pitchFamily="34" charset="0"/>
          </a:endParaRPr>
        </a:p>
        <a:p>
          <a:r>
            <a:rPr lang="en-US" sz="1600">
              <a:latin typeface="Arial" panose="020B0604020202020204" pitchFamily="34" charset="0"/>
              <a:cs typeface="Arial" panose="020B0604020202020204" pitchFamily="34" charset="0"/>
            </a:rPr>
            <a:t>4) Then, the user can estimate the NE of DDGS used in diet formulation based on one of two methods:  </a:t>
          </a:r>
        </a:p>
        <a:p>
          <a:r>
            <a:rPr lang="en-US" sz="1600">
              <a:latin typeface="Arial" panose="020B0604020202020204" pitchFamily="34" charset="0"/>
              <a:cs typeface="Arial" panose="020B0604020202020204" pitchFamily="34" charset="0"/>
            </a:rPr>
            <a:t>	1. Determining net energy of DDGS as a percentage of corn NE  </a:t>
          </a:r>
        </a:p>
        <a:p>
          <a:r>
            <a:rPr lang="en-US" sz="1600">
              <a:latin typeface="Arial" panose="020B0604020202020204" pitchFamily="34" charset="0"/>
              <a:cs typeface="Arial" panose="020B0604020202020204" pitchFamily="34" charset="0"/>
            </a:rPr>
            <a:t>	2. Regression equation using DDGS oil and ADF content to estimate NE</a:t>
          </a:r>
        </a:p>
        <a:p>
          <a:endParaRPr lang="en-US" sz="1600">
            <a:latin typeface="Arial" panose="020B0604020202020204" pitchFamily="34" charset="0"/>
            <a:cs typeface="Arial" panose="020B0604020202020204" pitchFamily="34" charset="0"/>
          </a:endParaRPr>
        </a:p>
        <a:p>
          <a:r>
            <a:rPr lang="en-US" sz="1600">
              <a:latin typeface="Arial" panose="020B0604020202020204" pitchFamily="34" charset="0"/>
              <a:cs typeface="Arial" panose="020B0604020202020204" pitchFamily="34" charset="0"/>
            </a:rPr>
            <a:t>5) Based on the calculator inputs, the calculator will suggest the DDGS levels to maximize value based on feed cost savings per pig and income over feed cost on a live and carcass weight basis. The calculator compares predicted performance and feed cost for a corn soy (0% DDGS) vs DDGS diet. </a:t>
          </a:r>
        </a:p>
        <a:p>
          <a:endParaRPr lang="en-US" sz="1600">
            <a:latin typeface="Arial" panose="020B0604020202020204" pitchFamily="34" charset="0"/>
            <a:cs typeface="Arial" panose="020B0604020202020204" pitchFamily="34" charset="0"/>
          </a:endParaRPr>
        </a:p>
        <a:p>
          <a:r>
            <a:rPr lang="en-US" sz="1600">
              <a:latin typeface="Arial" panose="020B0604020202020204" pitchFamily="34" charset="0"/>
              <a:cs typeface="Arial" panose="020B0604020202020204" pitchFamily="34" charset="0"/>
            </a:rPr>
            <a:t>6) Based on the calculator recommendations, users can then select the DDGS diet they want to use. The calculator will then compare feed cost savings and income over feed cost differences based on a live and carcass weight basis, again comparing the corn soy (0%</a:t>
          </a:r>
          <a:r>
            <a:rPr lang="en-US" sz="1600" baseline="0">
              <a:latin typeface="Arial" panose="020B0604020202020204" pitchFamily="34" charset="0"/>
              <a:cs typeface="Arial" panose="020B0604020202020204" pitchFamily="34" charset="0"/>
            </a:rPr>
            <a:t> DDGS)</a:t>
          </a:r>
          <a:r>
            <a:rPr lang="en-US" sz="1600">
              <a:latin typeface="Arial" panose="020B0604020202020204" pitchFamily="34" charset="0"/>
              <a:cs typeface="Arial" panose="020B0604020202020204" pitchFamily="34" charset="0"/>
            </a:rPr>
            <a:t> vs DDGS diet. The selected DDGS levels should be put into the yellow cells next to the "Selected DDGS Level" for each phase. The calculator also compares predicted differences in ADG, FG, BW, and HCW of a corn soy vs DDGS diet. Please</a:t>
          </a:r>
          <a:r>
            <a:rPr lang="en-US" sz="1600" baseline="0">
              <a:latin typeface="Arial" panose="020B0604020202020204" pitchFamily="34" charset="0"/>
              <a:cs typeface="Arial" panose="020B0604020202020204" pitchFamily="34" charset="0"/>
            </a:rPr>
            <a:t> note that any values in red indicate poorer economic value or performance</a:t>
          </a:r>
          <a:r>
            <a:rPr lang="en-US" sz="1600">
              <a:latin typeface="Arial" panose="020B0604020202020204" pitchFamily="34" charset="0"/>
              <a:cs typeface="Arial" panose="020B0604020202020204" pitchFamily="34" charset="0"/>
            </a:rPr>
            <a:t> for diets contenting DDGS vs 0%</a:t>
          </a:r>
          <a:r>
            <a:rPr lang="en-US" sz="1600" baseline="0">
              <a:latin typeface="Arial" panose="020B0604020202020204" pitchFamily="34" charset="0"/>
              <a:cs typeface="Arial" panose="020B0604020202020204" pitchFamily="34" charset="0"/>
            </a:rPr>
            <a:t> DDGS diets.</a:t>
          </a:r>
          <a:endParaRPr lang="en-US" sz="1800" baseline="0">
            <a:latin typeface="Arial" panose="020B0604020202020204" pitchFamily="34" charset="0"/>
            <a:cs typeface="Arial" panose="020B0604020202020204" pitchFamily="34" charset="0"/>
          </a:endParaRPr>
        </a:p>
      </xdr:txBody>
    </xdr:sp>
    <xdr:clientData/>
  </xdr:twoCellAnchor>
  <xdr:twoCellAnchor>
    <xdr:from>
      <xdr:col>1</xdr:col>
      <xdr:colOff>0</xdr:colOff>
      <xdr:row>66</xdr:row>
      <xdr:rowOff>1905</xdr:rowOff>
    </xdr:from>
    <xdr:to>
      <xdr:col>19</xdr:col>
      <xdr:colOff>34913</xdr:colOff>
      <xdr:row>71</xdr:row>
      <xdr:rowOff>26756</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606136" y="11626735"/>
          <a:ext cx="10945368" cy="890760"/>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600">
            <a:latin typeface="Arial" panose="020B0604020202020204" pitchFamily="34" charset="0"/>
            <a:cs typeface="Arial" panose="020B0604020202020204" pitchFamily="34" charset="0"/>
          </a:endParaRPr>
        </a:p>
        <a:p>
          <a:r>
            <a:rPr lang="en-US" sz="1600">
              <a:latin typeface="Arial" panose="020B0604020202020204" pitchFamily="34" charset="0"/>
              <a:cs typeface="Arial" panose="020B0604020202020204" pitchFamily="34" charset="0"/>
            </a:rPr>
            <a:t>A detailed</a:t>
          </a:r>
          <a:r>
            <a:rPr lang="en-US" sz="1600" baseline="0">
              <a:latin typeface="Arial" panose="020B0604020202020204" pitchFamily="34" charset="0"/>
              <a:cs typeface="Arial" panose="020B0604020202020204" pitchFamily="34" charset="0"/>
            </a:rPr>
            <a:t> user guide can be accessed here:  </a:t>
          </a:r>
          <a:endParaRPr lang="en-US" sz="1600">
            <a:solidFill>
              <a:schemeClr val="dk1"/>
            </a:solidFill>
            <a:effectLst/>
            <a:latin typeface="Arial" panose="020B0604020202020204" pitchFamily="34" charset="0"/>
            <a:ea typeface="+mn-ea"/>
            <a:cs typeface="Arial" panose="020B0604020202020204" pitchFamily="34" charset="0"/>
          </a:endParaRPr>
        </a:p>
        <a:p>
          <a:endParaRPr lang="en-US" sz="1800">
            <a:latin typeface="Arial" panose="020B0604020202020204" pitchFamily="34" charset="0"/>
            <a:cs typeface="Arial" panose="020B0604020202020204" pitchFamily="34" charset="0"/>
          </a:endParaRPr>
        </a:p>
        <a:p>
          <a:endParaRPr lang="en-US" sz="1800">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7</xdr:col>
          <xdr:colOff>558750</xdr:colOff>
          <xdr:row>66</xdr:row>
          <xdr:rowOff>100546</xdr:rowOff>
        </xdr:from>
        <xdr:to>
          <xdr:col>9</xdr:col>
          <xdr:colOff>236366</xdr:colOff>
          <xdr:row>70</xdr:row>
          <xdr:rowOff>86017</xdr:rowOff>
        </xdr:to>
        <xdr:sp macro="" textlink="">
          <xdr:nvSpPr>
            <xdr:cNvPr id="41995" name="Object 11" hidden="1">
              <a:extLst>
                <a:ext uri="{63B3BB69-23CF-44E3-9099-C40C66FF867C}">
                  <a14:compatExt spid="_x0000_s41995"/>
                </a:ext>
                <a:ext uri="{FF2B5EF4-FFF2-40B4-BE49-F238E27FC236}">
                  <a16:creationId xmlns:a16="http://schemas.microsoft.com/office/drawing/2014/main" id="{F85CE8AB-FF67-19AD-69FF-743098A6AFB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939893</xdr:colOff>
      <xdr:row>3</xdr:row>
      <xdr:rowOff>192641</xdr:rowOff>
    </xdr:from>
    <xdr:to>
      <xdr:col>1</xdr:col>
      <xdr:colOff>3810000</xdr:colOff>
      <xdr:row>15</xdr:row>
      <xdr:rowOff>17523</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9893" y="1040471"/>
          <a:ext cx="2870107" cy="2107874"/>
        </a:xfrm>
        <a:prstGeom prst="rect">
          <a:avLst/>
        </a:prstGeom>
      </xdr:spPr>
    </xdr:pic>
    <xdr:clientData/>
  </xdr:twoCellAnchor>
  <xdr:twoCellAnchor>
    <xdr:from>
      <xdr:col>4</xdr:col>
      <xdr:colOff>1051041</xdr:colOff>
      <xdr:row>3</xdr:row>
      <xdr:rowOff>192638</xdr:rowOff>
    </xdr:from>
    <xdr:to>
      <xdr:col>6</xdr:col>
      <xdr:colOff>131914</xdr:colOff>
      <xdr:row>5</xdr:row>
      <xdr:rowOff>15600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9555307" y="1049888"/>
          <a:ext cx="2342407" cy="217470"/>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r>
            <a:rPr lang="en-US" sz="1200">
              <a:latin typeface="Arial" panose="020B0604020202020204" pitchFamily="34" charset="0"/>
              <a:cs typeface="Arial" panose="020B0604020202020204" pitchFamily="34" charset="0"/>
            </a:rPr>
            <a:t>Use fat to equalize energy</a:t>
          </a:r>
        </a:p>
      </xdr:txBody>
    </xdr:sp>
    <xdr:clientData/>
  </xdr:twoCellAnchor>
  <xdr:twoCellAnchor>
    <xdr:from>
      <xdr:col>4</xdr:col>
      <xdr:colOff>1048505</xdr:colOff>
      <xdr:row>5</xdr:row>
      <xdr:rowOff>1904</xdr:rowOff>
    </xdr:from>
    <xdr:to>
      <xdr:col>6</xdr:col>
      <xdr:colOff>131912</xdr:colOff>
      <xdr:row>6</xdr:row>
      <xdr:rowOff>16564</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9564359" y="1262566"/>
          <a:ext cx="2352836" cy="221576"/>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r>
            <a:rPr lang="en-US" sz="1200">
              <a:latin typeface="Arial" panose="020B0604020202020204" pitchFamily="34" charset="0"/>
              <a:cs typeface="Arial" panose="020B0604020202020204" pitchFamily="34" charset="0"/>
            </a:rPr>
            <a:t>Remove DDGS from last phase</a:t>
          </a:r>
        </a:p>
      </xdr:txBody>
    </xdr:sp>
    <xdr:clientData/>
  </xdr:twoCellAnchor>
  <xdr:twoCellAnchor>
    <xdr:from>
      <xdr:col>4</xdr:col>
      <xdr:colOff>1048097</xdr:colOff>
      <xdr:row>6</xdr:row>
      <xdr:rowOff>3337</xdr:rowOff>
    </xdr:from>
    <xdr:to>
      <xdr:col>6</xdr:col>
      <xdr:colOff>131791</xdr:colOff>
      <xdr:row>7</xdr:row>
      <xdr:rowOff>21020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9548553" y="1458064"/>
          <a:ext cx="2349038" cy="204373"/>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r>
            <a:rPr lang="en-US" sz="1200">
              <a:latin typeface="Arial" panose="020B0604020202020204" pitchFamily="34" charset="0"/>
              <a:cs typeface="Arial" panose="020B0604020202020204" pitchFamily="34" charset="0"/>
            </a:rPr>
            <a:t>Use L-Val</a:t>
          </a:r>
        </a:p>
      </xdr:txBody>
    </xdr:sp>
    <xdr:clientData/>
  </xdr:twoCellAnchor>
  <xdr:twoCellAnchor>
    <xdr:from>
      <xdr:col>4</xdr:col>
      <xdr:colOff>1047950</xdr:colOff>
      <xdr:row>7</xdr:row>
      <xdr:rowOff>3145</xdr:rowOff>
    </xdr:from>
    <xdr:to>
      <xdr:col>6</xdr:col>
      <xdr:colOff>131747</xdr:colOff>
      <xdr:row>8</xdr:row>
      <xdr:rowOff>18648</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9552672" y="1657487"/>
          <a:ext cx="2332323" cy="225554"/>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r>
            <a:rPr lang="en-US" sz="1200">
              <a:latin typeface="Arial" panose="020B0604020202020204" pitchFamily="34" charset="0"/>
              <a:cs typeface="Arial" panose="020B0604020202020204" pitchFamily="34" charset="0"/>
            </a:rPr>
            <a:t>Carcass, $/lb</a:t>
          </a:r>
        </a:p>
      </xdr:txBody>
    </xdr:sp>
    <xdr:clientData/>
  </xdr:twoCellAnchor>
  <xdr:twoCellAnchor>
    <xdr:from>
      <xdr:col>4</xdr:col>
      <xdr:colOff>1048097</xdr:colOff>
      <xdr:row>8</xdr:row>
      <xdr:rowOff>2561</xdr:rowOff>
    </xdr:from>
    <xdr:to>
      <xdr:col>6</xdr:col>
      <xdr:colOff>133176</xdr:colOff>
      <xdr:row>9</xdr:row>
      <xdr:rowOff>2212</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9548553" y="1846947"/>
          <a:ext cx="2350423" cy="220458"/>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r>
            <a:rPr lang="en-US" sz="1200">
              <a:latin typeface="Arial" panose="020B0604020202020204" pitchFamily="34" charset="0"/>
              <a:cs typeface="Arial" panose="020B0604020202020204" pitchFamily="34" charset="0"/>
            </a:rPr>
            <a:t>Base yield, %</a:t>
          </a:r>
        </a:p>
      </xdr:txBody>
    </xdr:sp>
    <xdr:clientData/>
  </xdr:twoCellAnchor>
  <xdr:twoCellAnchor>
    <xdr:from>
      <xdr:col>4</xdr:col>
      <xdr:colOff>1048616</xdr:colOff>
      <xdr:row>2</xdr:row>
      <xdr:rowOff>249827</xdr:rowOff>
    </xdr:from>
    <xdr:to>
      <xdr:col>7</xdr:col>
      <xdr:colOff>1089</xdr:colOff>
      <xdr:row>4</xdr:row>
      <xdr:rowOff>20230</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9552698" y="826974"/>
          <a:ext cx="3843101" cy="250031"/>
        </a:xfrm>
        <a:prstGeom prst="rect">
          <a:avLst/>
        </a:prstGeom>
        <a:ln w="3175">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pPr algn="ctr"/>
          <a:r>
            <a:rPr lang="en-US" sz="1200" b="1">
              <a:latin typeface="Arial" panose="020B0604020202020204" pitchFamily="34" charset="0"/>
              <a:cs typeface="Arial" panose="020B0604020202020204" pitchFamily="34" charset="0"/>
            </a:rPr>
            <a:t>Diet</a:t>
          </a:r>
          <a:r>
            <a:rPr lang="en-US" sz="1200" b="1" baseline="0">
              <a:latin typeface="Arial" panose="020B0604020202020204" pitchFamily="34" charset="0"/>
              <a:cs typeface="Arial" panose="020B0604020202020204" pitchFamily="34" charset="0"/>
            </a:rPr>
            <a:t> Formulation and Income</a:t>
          </a:r>
          <a:endParaRPr lang="en-US" sz="1200" b="1">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32</xdr:col>
      <xdr:colOff>0</xdr:colOff>
      <xdr:row>7</xdr:row>
      <xdr:rowOff>77584</xdr:rowOff>
    </xdr:from>
    <xdr:to>
      <xdr:col>32</xdr:col>
      <xdr:colOff>0</xdr:colOff>
      <xdr:row>7</xdr:row>
      <xdr:rowOff>79024</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0000000-0008-0000-0200-000002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twoCellAnchor>
  <xdr:oneCellAnchor>
    <xdr:from>
      <xdr:col>47</xdr:col>
      <xdr:colOff>0</xdr:colOff>
      <xdr:row>7</xdr:row>
      <xdr:rowOff>77584</xdr:rowOff>
    </xdr:from>
    <xdr:ext cx="3450" cy="144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0000000-0008-0000-0200-000003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oneCellAnchor>
  <xdr:oneCellAnchor>
    <xdr:from>
      <xdr:col>32</xdr:col>
      <xdr:colOff>0</xdr:colOff>
      <xdr:row>27</xdr:row>
      <xdr:rowOff>77584</xdr:rowOff>
    </xdr:from>
    <xdr:ext cx="3450" cy="144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 name="Ink 4">
              <a:extLst>
                <a:ext uri="{FF2B5EF4-FFF2-40B4-BE49-F238E27FC236}">
                  <a16:creationId xmlns:a16="http://schemas.microsoft.com/office/drawing/2014/main" id="{00000000-0008-0000-0200-000005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oneCellAnchor>
  <xdr:oneCellAnchor>
    <xdr:from>
      <xdr:col>47</xdr:col>
      <xdr:colOff>0</xdr:colOff>
      <xdr:row>27</xdr:row>
      <xdr:rowOff>77584</xdr:rowOff>
    </xdr:from>
    <xdr:ext cx="3450" cy="144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6" name="Ink 5">
              <a:extLst>
                <a:ext uri="{FF2B5EF4-FFF2-40B4-BE49-F238E27FC236}">
                  <a16:creationId xmlns:a16="http://schemas.microsoft.com/office/drawing/2014/main" id="{00000000-0008-0000-0200-000006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oneCellAnchor>
  <xdr:oneCellAnchor>
    <xdr:from>
      <xdr:col>32</xdr:col>
      <xdr:colOff>0</xdr:colOff>
      <xdr:row>27</xdr:row>
      <xdr:rowOff>77584</xdr:rowOff>
    </xdr:from>
    <xdr:ext cx="7260" cy="144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Ink 6">
              <a:extLst>
                <a:ext uri="{FF2B5EF4-FFF2-40B4-BE49-F238E27FC236}">
                  <a16:creationId xmlns:a16="http://schemas.microsoft.com/office/drawing/2014/main" id="{00000000-0008-0000-0200-000007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oneCellAnchor>
  <xdr:oneCellAnchor>
    <xdr:from>
      <xdr:col>56</xdr:col>
      <xdr:colOff>438134</xdr:colOff>
      <xdr:row>27</xdr:row>
      <xdr:rowOff>77584</xdr:rowOff>
    </xdr:from>
    <xdr:ext cx="3450" cy="144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8" name="Ink 7">
              <a:extLst>
                <a:ext uri="{FF2B5EF4-FFF2-40B4-BE49-F238E27FC236}">
                  <a16:creationId xmlns:a16="http://schemas.microsoft.com/office/drawing/2014/main" id="{00000000-0008-0000-0200-000008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oneCellAnchor>
  <xdr:oneCellAnchor>
    <xdr:from>
      <xdr:col>56</xdr:col>
      <xdr:colOff>438134</xdr:colOff>
      <xdr:row>27</xdr:row>
      <xdr:rowOff>77584</xdr:rowOff>
    </xdr:from>
    <xdr:ext cx="7260" cy="144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9" name="Ink 8">
              <a:extLst>
                <a:ext uri="{FF2B5EF4-FFF2-40B4-BE49-F238E27FC236}">
                  <a16:creationId xmlns:a16="http://schemas.microsoft.com/office/drawing/2014/main" id="{00000000-0008-0000-0200-000009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oneCellAnchor>
  <xdr:oneCellAnchor>
    <xdr:from>
      <xdr:col>40</xdr:col>
      <xdr:colOff>0</xdr:colOff>
      <xdr:row>7</xdr:row>
      <xdr:rowOff>77584</xdr:rowOff>
    </xdr:from>
    <xdr:ext cx="360" cy="144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4" name="Ink 3">
              <a:extLst>
                <a:ext uri="{FF2B5EF4-FFF2-40B4-BE49-F238E27FC236}">
                  <a16:creationId xmlns:a16="http://schemas.microsoft.com/office/drawing/2014/main" id="{00000000-0008-0000-0200-000004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oneCellAnchor>
  <xdr:oneCellAnchor>
    <xdr:from>
      <xdr:col>40</xdr:col>
      <xdr:colOff>0</xdr:colOff>
      <xdr:row>27</xdr:row>
      <xdr:rowOff>77584</xdr:rowOff>
    </xdr:from>
    <xdr:ext cx="3450" cy="144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00000000-0008-0000-0200-00000A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oneCellAnchor>
  <xdr:oneCellAnchor>
    <xdr:from>
      <xdr:col>40</xdr:col>
      <xdr:colOff>0</xdr:colOff>
      <xdr:row>27</xdr:row>
      <xdr:rowOff>77584</xdr:rowOff>
    </xdr:from>
    <xdr:ext cx="7260" cy="144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00000000-0008-0000-0200-00000B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oneCellAnchor>
  <xdr:oneCellAnchor>
    <xdr:from>
      <xdr:col>40</xdr:col>
      <xdr:colOff>0</xdr:colOff>
      <xdr:row>27</xdr:row>
      <xdr:rowOff>77584</xdr:rowOff>
    </xdr:from>
    <xdr:ext cx="3450" cy="144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00000000-0008-0000-0200-00000C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oneCellAnchor>
  <xdr:oneCellAnchor>
    <xdr:from>
      <xdr:col>40</xdr:col>
      <xdr:colOff>0</xdr:colOff>
      <xdr:row>27</xdr:row>
      <xdr:rowOff>77584</xdr:rowOff>
    </xdr:from>
    <xdr:ext cx="7260" cy="144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00000000-0008-0000-0200-00000D000000}"/>
                </a:ext>
              </a:extLst>
            </xdr14:cNvPr>
            <xdr14:cNvContentPartPr/>
          </xdr14:nvContentPartPr>
          <xdr14:nvPr macro=""/>
          <xdr14:xfrm>
            <a:off x="18977146" y="1404360"/>
            <a:ext cx="360" cy="1440"/>
          </xdr14:xfrm>
        </xdr:contentPart>
      </mc:Choice>
      <mc:Fallback xmlns="">
        <xdr:pic>
          <xdr:nvPicPr>
            <xdr:cNvPr id="2" name="Ink 1">
              <a:extLst>
                <a:ext uri="{FF2B5EF4-FFF2-40B4-BE49-F238E27FC236}">
                  <a16:creationId xmlns:a16="http://schemas.microsoft.com/office/drawing/2014/main" id="{03DA671C-D6CD-9F09-C973-539E57835B45}"/>
                </a:ext>
              </a:extLst>
            </xdr:cNvPr>
            <xdr:cNvPicPr/>
          </xdr:nvPicPr>
          <xdr:blipFill>
            <a:blip xmlns:r="http://schemas.openxmlformats.org/officeDocument/2006/relationships" r:embed="rId2"/>
            <a:stretch>
              <a:fillRect/>
            </a:stretch>
          </xdr:blipFill>
          <xdr:spPr>
            <a:xfrm>
              <a:off x="18971026" y="1398240"/>
              <a:ext cx="12600" cy="1368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xdr:from>
      <xdr:col>15</xdr:col>
      <xdr:colOff>85107</xdr:colOff>
      <xdr:row>354</xdr:row>
      <xdr:rowOff>140314</xdr:rowOff>
    </xdr:from>
    <xdr:to>
      <xdr:col>19</xdr:col>
      <xdr:colOff>475251</xdr:colOff>
      <xdr:row>359</xdr:row>
      <xdr:rowOff>99788</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13409031" y="24285081"/>
          <a:ext cx="3181191" cy="790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carcass yield, % = 0.03492 ± 0.02633 × WP (d) – 0.05092 ± 0.02862 × NDF1 (%) – 0.06897 ± 0.02931 × NDF2 (%) – 0.00289 ± 0.00216 × (NDF2 [%] × WP [d]) + 76.0769 ± 1.33730</a:t>
          </a:r>
          <a:endParaRPr lang="en-US" sz="1100"/>
        </a:p>
      </xdr:txBody>
    </xdr:sp>
    <xdr:clientData/>
  </xdr:twoCellAnchor>
  <xdr:twoCellAnchor>
    <xdr:from>
      <xdr:col>15</xdr:col>
      <xdr:colOff>85107</xdr:colOff>
      <xdr:row>354</xdr:row>
      <xdr:rowOff>140314</xdr:rowOff>
    </xdr:from>
    <xdr:to>
      <xdr:col>19</xdr:col>
      <xdr:colOff>475251</xdr:colOff>
      <xdr:row>359</xdr:row>
      <xdr:rowOff>99788</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2679062" y="25187254"/>
          <a:ext cx="3173349" cy="816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carcass yield, % = 0.03492 ± 0.02633 × WP (d) – 0.05092 ± 0.02862 × NDF1 (%) – 0.06897 ± 0.02931 × NDF2 (%) – 0.00289 ± 0.00216 × (NDF2 [%] × WP [d]) + 76.0769 ± 1.33730</a:t>
          </a:r>
          <a:endParaRPr lang="en-US" sz="1100"/>
        </a:p>
      </xdr:txBody>
    </xdr:sp>
    <xdr:clientData/>
  </xdr:twoCellAnchor>
  <xdr:twoCellAnchor>
    <xdr:from>
      <xdr:col>15</xdr:col>
      <xdr:colOff>85107</xdr:colOff>
      <xdr:row>354</xdr:row>
      <xdr:rowOff>140314</xdr:rowOff>
    </xdr:from>
    <xdr:to>
      <xdr:col>19</xdr:col>
      <xdr:colOff>475251</xdr:colOff>
      <xdr:row>359</xdr:row>
      <xdr:rowOff>99788</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2679062" y="25187254"/>
          <a:ext cx="3173349" cy="816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carcass yield, % = 0.03492 ± 0.02633 × WP (d) – 0.05092 ± 0.02862 × NDF1 (%) – 0.06897 ± 0.02931 × NDF2 (%) – 0.00289 ± 0.00216 × (NDF2 [%] × WP [d]) + 76.0769 ± 1.33730</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180847</xdr:colOff>
      <xdr:row>358</xdr:row>
      <xdr:rowOff>40950</xdr:rowOff>
    </xdr:from>
    <xdr:to>
      <xdr:col>16</xdr:col>
      <xdr:colOff>630288</xdr:colOff>
      <xdr:row>362</xdr:row>
      <xdr:rowOff>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9337836" y="25855865"/>
          <a:ext cx="4616628" cy="6517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carcass yield, % = 0.03492 ± 0.02633 × WP (d) – 0.05092 ± 0.02862 × NDF1 (%) – 0.06897 ± 0.02931 × NDF2 (%) – 0.00289 ± 0.00216 × (NDF2 [%] × WP [d]) + 76.0769 ± 1.33730</a:t>
          </a:r>
          <a:endParaRPr lang="en-US" sz="1100"/>
        </a:p>
      </xdr:txBody>
    </xdr:sp>
    <xdr:clientData/>
  </xdr:twoCellAnchor>
  <xdr:twoCellAnchor>
    <xdr:from>
      <xdr:col>10</xdr:col>
      <xdr:colOff>180847</xdr:colOff>
      <xdr:row>358</xdr:row>
      <xdr:rowOff>40950</xdr:rowOff>
    </xdr:from>
    <xdr:to>
      <xdr:col>16</xdr:col>
      <xdr:colOff>630288</xdr:colOff>
      <xdr:row>362</xdr:row>
      <xdr:rowOff>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9361042" y="25777500"/>
          <a:ext cx="4629011" cy="64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carcass yield, % = 0.03492 ± 0.02633 × WP (d) – 0.05092 ± 0.02862 × NDF1 (%) – 0.06897 ± 0.02931 × NDF2 (%) – 0.00289 ± 0.00216 × (NDF2 [%] × WP [d]) + 76.0769 ± 1.33730</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85107</xdr:colOff>
      <xdr:row>354</xdr:row>
      <xdr:rowOff>140314</xdr:rowOff>
    </xdr:from>
    <xdr:to>
      <xdr:col>19</xdr:col>
      <xdr:colOff>475251</xdr:colOff>
      <xdr:row>359</xdr:row>
      <xdr:rowOff>99788</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2679062" y="25187254"/>
          <a:ext cx="3173349" cy="816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carcass yield, % = 0.03492 ± 0.02633 × WP (d) – 0.05092 ± 0.02862 × NDF1 (%) – 0.06897 ± 0.02931 × NDF2 (%) – 0.00289 ± 0.00216 × (NDF2 [%] × WP [d]) + 76.0769 ± 1.33730</a:t>
          </a:r>
          <a:endParaRPr lang="en-US" sz="1100"/>
        </a:p>
      </xdr:txBody>
    </xdr:sp>
    <xdr:clientData/>
  </xdr:twoCellAnchor>
  <xdr:twoCellAnchor>
    <xdr:from>
      <xdr:col>15</xdr:col>
      <xdr:colOff>85107</xdr:colOff>
      <xdr:row>354</xdr:row>
      <xdr:rowOff>140314</xdr:rowOff>
    </xdr:from>
    <xdr:to>
      <xdr:col>19</xdr:col>
      <xdr:colOff>475251</xdr:colOff>
      <xdr:row>359</xdr:row>
      <xdr:rowOff>99788</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2679062" y="25187254"/>
          <a:ext cx="3173349" cy="816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carcass yield, % = 0.03492 ± 0.02633 × WP (d) – 0.05092 ± 0.02862 × NDF1 (%) – 0.06897 ± 0.02931 × NDF2 (%) – 0.00289 ± 0.00216 × (NDF2 [%] × WP [d]) + 76.0769 ± 1.33730</a:t>
          </a:r>
          <a:endParaRPr lang="en-US" sz="1100"/>
        </a:p>
      </xdr:txBody>
    </xdr:sp>
    <xdr:clientData/>
  </xdr:twoCellAnchor>
  <xdr:twoCellAnchor>
    <xdr:from>
      <xdr:col>15</xdr:col>
      <xdr:colOff>85107</xdr:colOff>
      <xdr:row>354</xdr:row>
      <xdr:rowOff>140314</xdr:rowOff>
    </xdr:from>
    <xdr:to>
      <xdr:col>19</xdr:col>
      <xdr:colOff>475251</xdr:colOff>
      <xdr:row>359</xdr:row>
      <xdr:rowOff>99788</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2679062" y="25187254"/>
          <a:ext cx="3173349" cy="816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carcass yield, % = 0.03492 ± 0.02633 × WP (d) – 0.05092 ± 0.02862 × NDF1 (%) – 0.06897 ± 0.02931 × NDF2 (%) – 0.00289 ± 0.00216 × (NDF2 [%] × WP [d]) + 76.0769 ± 1.33730</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354</xdr:row>
      <xdr:rowOff>0</xdr:rowOff>
    </xdr:from>
    <xdr:to>
      <xdr:col>5</xdr:col>
      <xdr:colOff>630144</xdr:colOff>
      <xdr:row>359</xdr:row>
      <xdr:rowOff>128329</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3505200" y="25050750"/>
          <a:ext cx="2716119" cy="9855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carcass yield, % = 0.03492 ± 0.02633 × WP (d) – 0.05092 ± 0.02862 × NDF1 (%) – 0.06897 ± 0.02931 × NDF2 (%) – 0.00289 ± 0.00216 × (NDF2 [%] × WP [d]) + 76.0769 ± 1.33730</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569467</xdr:colOff>
      <xdr:row>353</xdr:row>
      <xdr:rowOff>145725</xdr:rowOff>
    </xdr:from>
    <xdr:to>
      <xdr:col>15</xdr:col>
      <xdr:colOff>321678</xdr:colOff>
      <xdr:row>357</xdr:row>
      <xdr:rowOff>104775</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8360917" y="25025025"/>
          <a:ext cx="4629011" cy="64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carcass yield, % = 0.03492 ± 0.02633 × WP (d) – 0.05092 ± 0.02862 × NDF1 (%) – 0.06897 ± 0.02931 × NDF2 (%) – 0.00289 ± 0.00216 × (NDF2 [%] × WP [d]) + 76.0769 ± 1.33730</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36216</xdr:colOff>
      <xdr:row>355</xdr:row>
      <xdr:rowOff>22902</xdr:rowOff>
    </xdr:from>
    <xdr:to>
      <xdr:col>9</xdr:col>
      <xdr:colOff>654057</xdr:colOff>
      <xdr:row>361</xdr:row>
      <xdr:rowOff>73269</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6316436" y="24662298"/>
          <a:ext cx="2690313" cy="10552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 carcass yield, % = 0.03492 ± 0.02633 × WP (d) – 0.05092 ± 0.02862 × NDF1 (%) – 0.06897 ± 0.02931 × NDF2 (%) – 0.00289 ± 0.00216 × (NDF2 [%] × WP [d]) + 76.0769 ± 1.33730</a:t>
          </a:r>
          <a:endParaRPr lang="en-US" sz="1100"/>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10T01:47:53.182"/>
    </inkml:context>
    <inkml:brush xml:id="br0">
      <inkml:brushProperty name="width" value="0.035" units="cm"/>
      <inkml:brushProperty name="height" value="0.035" units="cm"/>
    </inkml:brush>
  </inkml:definitions>
  <inkml:trace contextRef="#ctx0" brushRef="#br0">1 3 24575,'0'0'0,"0"-2"0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21T16:22:28.516"/>
    </inkml:context>
    <inkml:brush xml:id="br0">
      <inkml:brushProperty name="width" value="0.035" units="cm"/>
      <inkml:brushProperty name="height" value="0.035" units="cm"/>
    </inkml:brush>
  </inkml:definitions>
  <inkml:trace contextRef="#ctx0" brushRef="#br0">1 3 24575,'0'0'0,"0"-2"0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28T00:01:22.097"/>
    </inkml:context>
    <inkml:brush xml:id="br0">
      <inkml:brushProperty name="width" value="0.035" units="cm"/>
      <inkml:brushProperty name="height" value="0.035" units="cm"/>
    </inkml:brush>
  </inkml:definitions>
  <inkml:trace contextRef="#ctx0" brushRef="#br0">1 3 24575,'0'0'0,"0"-2"0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28T00:01:22.098"/>
    </inkml:context>
    <inkml:brush xml:id="br0">
      <inkml:brushProperty name="width" value="0.035" units="cm"/>
      <inkml:brushProperty name="height" value="0.035" units="cm"/>
    </inkml:brush>
  </inkml:definitions>
  <inkml:trace contextRef="#ctx0" brushRef="#br0">1 3 24575,'0'0'0,"0"-2"0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12T21:35:24.598"/>
    </inkml:context>
    <inkml:brush xml:id="br0">
      <inkml:brushProperty name="width" value="0.035" units="cm"/>
      <inkml:brushProperty name="height" value="0.035" units="cm"/>
    </inkml:brush>
  </inkml:definitions>
  <inkml:trace contextRef="#ctx0" brushRef="#br0">1 3 24575,'0'0'0,"0"-2"0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12T21:36:34.254"/>
    </inkml:context>
    <inkml:brush xml:id="br0">
      <inkml:brushProperty name="width" value="0.035" units="cm"/>
      <inkml:brushProperty name="height" value="0.035" units="cm"/>
    </inkml:brush>
  </inkml:definitions>
  <inkml:trace contextRef="#ctx0" brushRef="#br0">1 3 24575,'0'0'0,"0"-2"0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12T21:37:05.790"/>
    </inkml:context>
    <inkml:brush xml:id="br0">
      <inkml:brushProperty name="width" value="0.035" units="cm"/>
      <inkml:brushProperty name="height" value="0.035" units="cm"/>
    </inkml:brush>
  </inkml:definitions>
  <inkml:trace contextRef="#ctx0" brushRef="#br0">1 3 24575,'0'0'0,"0"-2"0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12T23:43:35.865"/>
    </inkml:context>
    <inkml:brush xml:id="br0">
      <inkml:brushProperty name="width" value="0.035" units="cm"/>
      <inkml:brushProperty name="height" value="0.035" units="cm"/>
    </inkml:brush>
  </inkml:definitions>
  <inkml:trace contextRef="#ctx0" brushRef="#br0">1 3 24575,'0'0'0,"0"-2"0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13T19:45:11.528"/>
    </inkml:context>
    <inkml:brush xml:id="br0">
      <inkml:brushProperty name="width" value="0.035" units="cm"/>
      <inkml:brushProperty name="height" value="0.035" units="cm"/>
    </inkml:brush>
  </inkml:definitions>
  <inkml:trace contextRef="#ctx0" brushRef="#br0">1 3 24575,'0'0'0,"0"-2"0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13T19:45:11.529"/>
    </inkml:context>
    <inkml:brush xml:id="br0">
      <inkml:brushProperty name="width" value="0.035" units="cm"/>
      <inkml:brushProperty name="height" value="0.035" units="cm"/>
    </inkml:brush>
  </inkml:definitions>
  <inkml:trace contextRef="#ctx0" brushRef="#br0">1 3 24575,'0'0'0,"0"-2"0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21T16:22:28.514"/>
    </inkml:context>
    <inkml:brush xml:id="br0">
      <inkml:brushProperty name="width" value="0.035" units="cm"/>
      <inkml:brushProperty name="height" value="0.035" units="cm"/>
    </inkml:brush>
  </inkml:definitions>
  <inkml:trace contextRef="#ctx0" brushRef="#br0">1 3 24575,'0'0'0,"0"-2"0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21T16:22:28.515"/>
    </inkml:context>
    <inkml:brush xml:id="br0">
      <inkml:brushProperty name="width" value="0.035" units="cm"/>
      <inkml:brushProperty name="height" value="0.035" units="cm"/>
    </inkml:brush>
  </inkml:definitions>
  <inkml:trace contextRef="#ctx0" brushRef="#br0">1 3 24575,'0'0'0,"0"-2"0</inkml:trace>
</inkml:ink>
</file>

<file path=xl/persons/person.xml><?xml version="1.0" encoding="utf-8"?>
<personList xmlns="http://schemas.microsoft.com/office/spreadsheetml/2018/threadedcomments" xmlns:x="http://schemas.openxmlformats.org/spreadsheetml/2006/main">
  <person displayName="Hilario Cordoba" id="{15E6B7D9-19F2-4368-BAC0-7FA1BDDD71D3}" userId="Hilario Cordoba" providerId="None"/>
  <person displayName="Mikayla Spinler" id="{C8D1BA8B-4890-42CC-A1E7-8A3DB6D20285}" userId="9508295674fb92bb" providerId="Windows Liv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T5" dT="2025-06-26T20:48:56.70" personId="{C8D1BA8B-4890-42CC-A1E7-8A3DB6D20285}" id="{5B8CEF5B-BA0E-4355-B637-CD3E5F6B15D5}">
    <text>Jose Soto et al., 2019 Yield Equation</text>
  </threadedComment>
  <threadedComment ref="BT5" dT="2025-06-26T20:50:48.91" personId="{C8D1BA8B-4890-42CC-A1E7-8A3DB6D20285}" id="{99F46719-B757-4662-9768-0BBD51AFFBD3}" parentId="{5B8CEF5B-BA0E-4355-B637-CD3E5F6B15D5}">
    <text>Carcass yield, % = 0.03492 × WP (d) – 0.05092 × NDF1 (%) – 0.06897 × NDF2 (%) – 0.00289 × (NDF2 [%] × WP [d]) + base yield, %</text>
  </threadedComment>
</ThreadedComments>
</file>

<file path=xl/threadedComments/threadedComment2.xml><?xml version="1.0" encoding="utf-8"?>
<ThreadedComments xmlns="http://schemas.microsoft.com/office/spreadsheetml/2018/threadedcomments" xmlns:x="http://schemas.openxmlformats.org/spreadsheetml/2006/main">
  <threadedComment ref="EG7" dT="2022-03-01T19:46:10.38" personId="{15E6B7D9-19F2-4368-BAC0-7FA1BDDD71D3}" id="{2560A1A9-10B1-4991-8DD8-56A07F571A11}">
    <text>Updated using Stein's lab values</text>
  </threadedComment>
  <threadedComment ref="EG10" dT="2022-03-19T17:11:14.12" personId="{15E6B7D9-19F2-4368-BAC0-7FA1BDDD71D3}" id="{ED3970D7-BC0D-4890-8596-F9CCDEAF85A1}">
    <text>CVB 2016</text>
  </threadedComment>
  <threadedComment ref="EG11" dT="2022-03-19T17:11:35.92" personId="{15E6B7D9-19F2-4368-BAC0-7FA1BDDD71D3}" id="{3E970242-9257-42B9-9025-69F8DFD0EB93}">
    <text>Stein Lab</text>
  </threadedComment>
  <threadedComment ref="EG12" dT="2022-03-19T17:11:43.77" personId="{15E6B7D9-19F2-4368-BAC0-7FA1BDDD71D3}" id="{85E2C003-F0DD-4946-BCCE-15402E0C136B}">
    <text>Stein Lab</text>
  </threadedComment>
  <threadedComment ref="EG13" dT="2022-03-19T17:11:54.77" personId="{15E6B7D9-19F2-4368-BAC0-7FA1BDDD71D3}" id="{5528DC87-0D1F-4F1F-BDEB-A54797BFE9F4}">
    <text>NRC 2012</text>
  </threadedComment>
  <threadedComment ref="EG14" dT="2022-03-19T17:12:06.95" personId="{15E6B7D9-19F2-4368-BAC0-7FA1BDDD71D3}" id="{57EA41D3-E707-439F-ADAA-40CFA77906FD}">
    <text>NRC 2012</text>
  </threadedComment>
  <threadedComment ref="EG17" dT="2022-03-19T17:12:18.41" personId="{15E6B7D9-19F2-4368-BAC0-7FA1BDDD71D3}" id="{8E1F8F57-012A-42BE-880B-8FAD6C90C9ED}">
    <text>NRC 2012</text>
  </threadedComment>
  <threadedComment ref="EG18" dT="2022-03-19T17:12:27.16" personId="{15E6B7D9-19F2-4368-BAC0-7FA1BDDD71D3}" id="{5E4CB7C9-008B-4848-A949-70AF90B89235}">
    <text>NRC 2012</text>
  </threadedComment>
  <threadedComment ref="EG19" dT="2022-03-19T17:12:41.33" personId="{15E6B7D9-19F2-4368-BAC0-7FA1BDDD71D3}" id="{F32932D9-817E-49E2-A11C-EBA0238C7577}">
    <text>Stein Lab</text>
  </threadedComment>
  <threadedComment ref="EG20" dT="2022-03-19T17:13:39.95" personId="{15E6B7D9-19F2-4368-BAC0-7FA1BDDD71D3}" id="{D83EB5DA-C2C6-4DD3-BD35-854B28672A65}">
    <text>Stein Lab</text>
  </threadedComment>
  <threadedComment ref="EG21" dT="2022-03-19T17:13:51.61" personId="{15E6B7D9-19F2-4368-BAC0-7FA1BDDD71D3}" id="{93C60B68-E334-49FC-9FDD-C9D776811322}">
    <text>NRC 2012</text>
  </threadedComment>
  <threadedComment ref="EG22" dT="2022-03-19T17:14:03.30" personId="{15E6B7D9-19F2-4368-BAC0-7FA1BDDD71D3}" id="{9E5873CD-EF1B-40DA-8701-010348F03D15}">
    <text>NRC 2012</text>
  </threadedComment>
  <threadedComment ref="EG23" dT="2022-03-19T17:14:14.72" personId="{15E6B7D9-19F2-4368-BAC0-7FA1BDDD71D3}" id="{105F4F04-E468-447B-91C1-E51204A20F47}">
    <text>Stein Lab</text>
  </threadedComment>
  <threadedComment ref="EG24" dT="2022-03-19T17:14:28.68" personId="{15E6B7D9-19F2-4368-BAC0-7FA1BDDD71D3}" id="{5C38DE7E-E6F8-4784-9CE4-0D2B8A32D23A}">
    <text>Stein Lab</text>
  </threadedComment>
  <threadedComment ref="EG25" dT="2022-03-19T17:14:38.72" personId="{15E6B7D9-19F2-4368-BAC0-7FA1BDDD71D3}" id="{15007171-D675-40C8-9529-FE65BC01C49B}">
    <text>NRC 2012</text>
  </threadedComment>
  <threadedComment ref="EG26" dT="2022-03-19T17:14:50.33" personId="{15E6B7D9-19F2-4368-BAC0-7FA1BDDD71D3}" id="{222BBE94-B749-4163-A1CC-15E46828D395}">
    <text>CVB 2016</text>
  </threadedComment>
  <threadedComment ref="EG27" dT="2022-03-19T17:15:04.45" personId="{15E6B7D9-19F2-4368-BAC0-7FA1BDDD71D3}" id="{DF043F51-667C-4D03-B5CC-0EA622576EC4}">
    <text>Stein Lab</text>
  </threadedComment>
  <threadedComment ref="EG28" dT="2022-03-19T17:15:14.49" personId="{15E6B7D9-19F2-4368-BAC0-7FA1BDDD71D3}" id="{80FEE979-58A7-4F51-B037-EFA84B78296F}">
    <text>Stein Lab</text>
  </threadedComment>
  <threadedComment ref="EG29" dT="2022-03-19T17:15:17.44" personId="{15E6B7D9-19F2-4368-BAC0-7FA1BDDD71D3}" id="{6B84ACC0-8068-48F7-9BC5-34D57910797A}">
    <text>Stein Lab</text>
  </threadedComment>
  <threadedComment ref="EG30" dT="2022-03-19T17:15:21.32" personId="{15E6B7D9-19F2-4368-BAC0-7FA1BDDD71D3}" id="{FA923CE8-B2BC-47EA-9D59-7DCC9C8AD7D2}">
    <text>Stein Lab</text>
  </threadedComment>
  <threadedComment ref="EG31" dT="2022-03-19T17:15:26.85" personId="{15E6B7D9-19F2-4368-BAC0-7FA1BDDD71D3}" id="{B5115C7E-D796-4E42-9F1A-072AF36FF306}">
    <text>Stein Lab</text>
  </threadedComment>
  <threadedComment ref="EG32" dT="2022-03-19T17:15:31.76" personId="{15E6B7D9-19F2-4368-BAC0-7FA1BDDD71D3}" id="{7AE5A642-66C6-4AC4-8001-81B7BA0345FC}">
    <text>Stein Lab</text>
  </threadedComment>
  <threadedComment ref="EG33" dT="2022-03-19T17:15:37.19" personId="{15E6B7D9-19F2-4368-BAC0-7FA1BDDD71D3}" id="{E3AAF264-9E5E-4424-85AB-8A647C3F92D0}">
    <text>Stein Lab</text>
  </threadedComment>
  <threadedComment ref="EG34" dT="2022-03-19T17:15:48.06" personId="{15E6B7D9-19F2-4368-BAC0-7FA1BDDD71D3}" id="{CDFAEC21-8CB7-4F81-9132-05E35CDAABB1}">
    <text>Stein Lab</text>
  </threadedComment>
  <threadedComment ref="EG35" dT="2022-03-19T17:16:01.20" personId="{15E6B7D9-19F2-4368-BAC0-7FA1BDDD71D3}" id="{1BBEC8B7-D254-4F9E-BF32-07A92FB4F011}">
    <text>Stein Lab</text>
  </threadedComment>
  <threadedComment ref="EG36" dT="2022-03-19T17:16:08.88" personId="{15E6B7D9-19F2-4368-BAC0-7FA1BDDD71D3}" id="{F9AE1A51-C221-4CFE-B3B3-3D9A29802E58}">
    <text>Stein Lab</text>
  </threadedComment>
  <threadedComment ref="EG37" dT="2022-03-19T17:16:32.06" personId="{15E6B7D9-19F2-4368-BAC0-7FA1BDDD71D3}" id="{6DD53539-4490-40E5-99DB-1DEBF7799E6D}">
    <text>CVB 2016</text>
  </threadedComment>
  <threadedComment ref="EG38" dT="2022-03-19T17:16:17.29" personId="{15E6B7D9-19F2-4368-BAC0-7FA1BDDD71D3}" id="{B58EBF93-767A-43C9-AF0B-E06A1DE43FFD}">
    <text>Stein Lab</text>
  </threadedComment>
  <threadedComment ref="EG41" dT="2022-03-19T16:46:28.41" personId="{15E6B7D9-19F2-4368-BAC0-7FA1BDDD71D3}" id="{AB9D7AF0-E1DB-443C-B2FA-19B025287EB8}">
    <text>Calculated using the ratio of Phytate:Total P reported by IRTA (0.707) but using the total phosphorus from NRC 2012</text>
  </threadedComment>
  <threadedComment ref="EG42" dT="2022-03-19T16:46:34.39" personId="{15E6B7D9-19F2-4368-BAC0-7FA1BDDD71D3}" id="{3BA8EADA-15D6-41FF-99FA-8AA18EAA7320}">
    <text>Calculated using the ratio of Phytate:Total P reported by IRTA (0.647) but using the total phosphorus from NRC 2012</text>
  </threadedComment>
  <threadedComment ref="EG43" dT="2022-03-19T17:16:43.42" personId="{15E6B7D9-19F2-4368-BAC0-7FA1BDDD71D3}" id="{742A9C95-FDF4-4885-A22A-E2A48F17BC97}">
    <text>NRC 2012</text>
  </threadedComment>
  <threadedComment ref="EG52" dT="2022-03-19T17:16:56.13" personId="{15E6B7D9-19F2-4368-BAC0-7FA1BDDD71D3}" id="{94BE9CBD-E66D-453B-8A87-33273DAFBF96}">
    <text>CVB 2016</text>
  </threadedComment>
  <threadedComment ref="EG53" dT="2022-03-19T17:17:08.81" personId="{15E6B7D9-19F2-4368-BAC0-7FA1BDDD71D3}" id="{FAE59F4B-4065-4D26-8E67-ECEE2AF47962}">
    <text>CVB 2016</text>
  </threadedComment>
  <threadedComment ref="EG54" dT="2022-03-19T17:17:15.33" personId="{15E6B7D9-19F2-4368-BAC0-7FA1BDDD71D3}" id="{71E73E0E-EFD5-4AE0-ADE1-FD6FF673DDDE}">
    <text>NRC 2012</text>
  </threadedComment>
  <threadedComment ref="EG55" dT="2022-03-19T17:17:25.42" personId="{15E6B7D9-19F2-4368-BAC0-7FA1BDDD71D3}" id="{8EE142F7-C4E7-4500-9CFF-DF56D6231F32}">
    <text>Stein Lab</text>
  </threadedComment>
  <threadedComment ref="EG56" dT="2022-03-18T18:16:40.22" personId="{15E6B7D9-19F2-4368-BAC0-7FA1BDDD71D3}" id="{0CB5CEE5-6963-46AA-B6CE-C3A5C5B8AE76}">
    <text>Calculated by using Phytate:Total P content of Oats (0.543)</text>
  </threadedComment>
  <threadedComment ref="EG57" dT="2022-03-19T17:17:50.04" personId="{15E6B7D9-19F2-4368-BAC0-7FA1BDDD71D3}" id="{33CEB0A8-BE8C-4B15-A7C0-A4234CAF708C}">
    <text>FEDNA 2019</text>
  </threadedComment>
  <threadedComment ref="EG58" dT="2022-03-19T17:18:08.78" personId="{15E6B7D9-19F2-4368-BAC0-7FA1BDDD71D3}" id="{66406BAE-1BD0-4097-818C-C3DBDB615825}">
    <text>Brazilian tables 2017</text>
  </threadedComment>
  <threadedComment ref="EG59" dT="2022-03-18T18:22:33.62" personId="{15E6B7D9-19F2-4368-BAC0-7FA1BDDD71D3}" id="{1F3899FC-2DDB-411D-B37A-CB383BB9B1F6}">
    <text>Calculated by using Phytate:Total P content of Peanut Meal, Expelled. (0.666)</text>
  </threadedComment>
  <threadedComment ref="EG60" dT="2022-03-19T17:18:28.67" personId="{15E6B7D9-19F2-4368-BAC0-7FA1BDDD71D3}" id="{C2C1E177-81C3-4E6B-A2E9-0BF958137775}">
    <text>NRC 2012</text>
  </threadedComment>
  <threadedComment ref="BX61" dT="2022-03-19T16:27:18.49" personId="{15E6B7D9-19F2-4368-BAC0-7FA1BDDD71D3}" id="{F1724A6E-ED63-44AD-ACEC-24F0A54264B6}">
    <text>Source: INRA</text>
  </threadedComment>
  <threadedComment ref="EG61" dT="2022-03-18T18:24:21.94" personId="{15E6B7D9-19F2-4368-BAC0-7FA1BDDD71D3}" id="{B123477F-CE85-44DB-86D0-97E295ADA32C}">
    <text>Calculated by using Phytate:Total P content of field peas (0.405)</text>
  </threadedComment>
  <threadedComment ref="BX62" dT="2022-03-19T16:58:14.15" personId="{15E6B7D9-19F2-4368-BAC0-7FA1BDDD71D3}" id="{41693A69-6A68-4A6F-8DE7-C525E73A85A6}">
    <text>Source: INRA</text>
  </threadedComment>
  <threadedComment ref="EG62" dT="2022-03-18T18:26:16.20" personId="{15E6B7D9-19F2-4368-BAC0-7FA1BDDD71D3}" id="{893D4AE5-BB55-4EDA-9062-DD6172AE3243}">
    <text>Soruce: INRA</text>
  </threadedComment>
  <threadedComment ref="EG64" dT="2022-03-19T17:18:39.41" personId="{15E6B7D9-19F2-4368-BAC0-7FA1BDDD71D3}" id="{A691FF1B-B769-493D-8959-BCA02A665384}">
    <text>NRC 2012</text>
  </threadedComment>
  <threadedComment ref="EG65" dT="2022-03-19T17:18:47.87" personId="{15E6B7D9-19F2-4368-BAC0-7FA1BDDD71D3}" id="{8AFB1428-276A-4C6B-8A38-13877D66C932}">
    <text>Stein Lab</text>
  </threadedComment>
  <threadedComment ref="EG66" dT="2022-03-19T17:18:55.14" personId="{15E6B7D9-19F2-4368-BAC0-7FA1BDDD71D3}" id="{4F8377FA-B80E-4580-9786-96B46A4DA1AB}">
    <text>Stein Lab</text>
  </threadedComment>
  <threadedComment ref="EG67" dT="2022-03-19T17:19:05.19" personId="{15E6B7D9-19F2-4368-BAC0-7FA1BDDD71D3}" id="{F68ED72D-E101-4950-96D7-81B50641251D}">
    <text>Stein Lab</text>
  </threadedComment>
  <threadedComment ref="EG68" dT="2022-03-19T17:19:26.98" personId="{15E6B7D9-19F2-4368-BAC0-7FA1BDDD71D3}" id="{69D8B2CA-23EC-42B8-A47B-0E9C3D7520F5}">
    <text>NRC 2012</text>
  </threadedComment>
  <threadedComment ref="EG69" dT="2022-03-19T17:19:36.16" personId="{15E6B7D9-19F2-4368-BAC0-7FA1BDDD71D3}" id="{CD6580AA-CEB0-411D-8983-621CEB1FEBDA}">
    <text>NRC 2012</text>
  </threadedComment>
  <threadedComment ref="EG70" dT="2022-03-19T17:19:43.94" personId="{15E6B7D9-19F2-4368-BAC0-7FA1BDDD71D3}" id="{AF4B4C8A-399C-4EAE-897F-8B2E0D59D5FE}">
    <text>Stein Lab</text>
  </threadedComment>
  <threadedComment ref="EG71" dT="2022-03-19T17:20:03.79" personId="{15E6B7D9-19F2-4368-BAC0-7FA1BDDD71D3}" id="{819AAB10-B9E0-494D-A1E8-0DAB9DACFAD4}">
    <text>NRC 2012</text>
  </threadedComment>
  <threadedComment ref="EG72" dT="2022-03-18T18:19:12.97" personId="{15E6B7D9-19F2-4368-BAC0-7FA1BDDD71D3}" id="{C813BE3B-8E5E-4958-B035-979125CBAB3C}">
    <text>Calculated by using Phytate:Total P content of SBM Dehull Sol. Ext. (0.662)</text>
  </threadedComment>
  <threadedComment ref="EG73" dT="2022-03-18T18:19:35.45" personId="{15E6B7D9-19F2-4368-BAC0-7FA1BDDD71D3}" id="{ADB7444F-A0AA-4E43-BE00-F9764B9FF9EC}">
    <text>Calculated by using Phytate:Total P content of SBM Dehull Sol. Ext. (0.662)</text>
  </threadedComment>
  <threadedComment ref="EG74" dT="2022-03-18T18:19:40.43" personId="{15E6B7D9-19F2-4368-BAC0-7FA1BDDD71D3}" id="{31C64AD3-8337-418F-82EE-FCD4E7DE3DE1}">
    <text>Calculated by using Phytate:Total P content of SBM Dehull Sol. Ext. (0.662)</text>
  </threadedComment>
  <threadedComment ref="EG75" dT="2022-03-18T18:19:44.13" personId="{15E6B7D9-19F2-4368-BAC0-7FA1BDDD71D3}" id="{954AC317-6E02-4F70-9137-051D08A53BD7}">
    <text>Calculated by using Phytate:Total P content of SBM Dehull Sol. Ext. (0.662)</text>
  </threadedComment>
  <threadedComment ref="EG76" dT="2022-03-19T17:20:49.93" personId="{15E6B7D9-19F2-4368-BAC0-7FA1BDDD71D3}" id="{DA033630-0FFC-46B7-BF57-DE21BA2DF220}">
    <text>CVB 2016</text>
  </threadedComment>
  <threadedComment ref="EG77" dT="2022-03-19T17:21:00.59" personId="{15E6B7D9-19F2-4368-BAC0-7FA1BDDD71D3}" id="{365BAB8D-ECF0-4F40-ADD5-F561976F30DE}">
    <text>NRC 2012</text>
  </threadedComment>
  <threadedComment ref="EG78" dT="2022-03-19T17:22:01.77" personId="{15E6B7D9-19F2-4368-BAC0-7FA1BDDD71D3}" id="{C7DE922A-3F7D-4BF3-8DEE-218FCBD7EB28}">
    <text>NRC</text>
  </threadedComment>
  <threadedComment ref="EG79" dT="2022-03-19T17:22:11.70" personId="{15E6B7D9-19F2-4368-BAC0-7FA1BDDD71D3}" id="{70D3D3F9-BC9B-483D-AF1E-54582FE81075}">
    <text>Stein Lab</text>
  </threadedComment>
  <threadedComment ref="EG80" dT="2022-03-19T17:22:42.94" personId="{15E6B7D9-19F2-4368-BAC0-7FA1BDDD71D3}" id="{7C415DF8-E161-48B3-B50D-7EA9C3A9652C}">
    <text>Stein Lab</text>
  </threadedComment>
  <threadedComment ref="EG81" dT="2022-03-18T18:19:54.36" personId="{15E6B7D9-19F2-4368-BAC0-7FA1BDDD71D3}" id="{A398681D-8424-4F3D-8E93-D9BB28167AA5}">
    <text>Calculated by using Phytate:Total P content of SBM Dehull Sol. Ext. (0.662)</text>
  </threadedComment>
  <threadedComment ref="EG82" dT="2022-03-19T17:22:49.93" personId="{15E6B7D9-19F2-4368-BAC0-7FA1BDDD71D3}" id="{49F9AFB4-8D0A-4A16-9627-A61360991D4E}">
    <text>Stein Lab</text>
  </threadedComment>
  <threadedComment ref="EG83" dT="2022-03-19T17:23:07.80" personId="{15E6B7D9-19F2-4368-BAC0-7FA1BDDD71D3}" id="{42FA82E3-E3BD-4EE4-8D41-576D17F2950A}">
    <text>NRC 2012</text>
  </threadedComment>
  <threadedComment ref="EG84" dT="2022-03-19T17:23:22.77" personId="{15E6B7D9-19F2-4368-BAC0-7FA1BDDD71D3}" id="{0D16897F-F79D-4FD6-96F1-FA31F0D1835E}">
    <text>Stein Lab</text>
  </threadedComment>
  <threadedComment ref="EG85" dT="2022-03-18T18:20:04.07" personId="{15E6B7D9-19F2-4368-BAC0-7FA1BDDD71D3}" id="{0258BDD7-D2CC-49C9-B874-93D94F5C2037}">
    <text>Calculated by using Phytate:Total P content of SBM Dehull Sol. Ext. (0.662)</text>
  </threadedComment>
  <threadedComment ref="EG86" dT="2022-03-19T17:23:40.71" personId="{15E6B7D9-19F2-4368-BAC0-7FA1BDDD71D3}" id="{64D4862C-C39D-4BDB-9817-CFF0F770CD65}">
    <text>Stein Lab</text>
  </threadedComment>
  <threadedComment ref="EG87" dT="2022-03-19T17:23:58.71" personId="{15E6B7D9-19F2-4368-BAC0-7FA1BDDD71D3}" id="{BDD303DB-F2EC-4676-AA49-3033CE3BA616}">
    <text>Stein Lab</text>
  </threadedComment>
  <threadedComment ref="EG88" dT="2022-03-19T17:24:10.32" personId="{15E6B7D9-19F2-4368-BAC0-7FA1BDDD71D3}" id="{C0EBEF1B-9C7E-45F1-8F18-CB6ED4C0C7A0}">
    <text>NRC 2012</text>
  </threadedComment>
  <threadedComment ref="EG89" dT="2022-03-19T17:24:50.24" personId="{15E6B7D9-19F2-4368-BAC0-7FA1BDDD71D3}" id="{5A6EE565-5953-4077-BCCB-637FD4FA5CF1}">
    <text>NRC 2012</text>
  </threadedComment>
  <threadedComment ref="EG90" dT="2022-03-19T17:24:57.56" personId="{15E6B7D9-19F2-4368-BAC0-7FA1BDDD71D3}" id="{44DB574F-1F73-488C-8AB7-D45558CDA236}">
    <text>Stein Lab</text>
  </threadedComment>
  <threadedComment ref="EG91" dT="2022-03-19T17:25:07.69" personId="{15E6B7D9-19F2-4368-BAC0-7FA1BDDD71D3}" id="{52377392-C17E-44C5-B7A4-8FA63E1DF5BF}">
    <text>Stein Lab</text>
  </threadedComment>
  <threadedComment ref="EG92" dT="2022-03-19T17:25:14.08" personId="{15E6B7D9-19F2-4368-BAC0-7FA1BDDD71D3}" id="{648EAD8A-DF16-45BF-AC37-938BF2A0AE98}">
    <text>Stein Lab</text>
  </threadedComment>
  <threadedComment ref="EG93" dT="2022-03-19T17:25:23.86" personId="{15E6B7D9-19F2-4368-BAC0-7FA1BDDD71D3}" id="{F33BA5FD-61B4-4A54-96F9-C385354A4412}">
    <text>NRC 2012</text>
  </threadedComment>
  <threadedComment ref="EG94" dT="2022-03-19T17:25:34.73" personId="{15E6B7D9-19F2-4368-BAC0-7FA1BDDD71D3}" id="{0F1ACE29-C69A-4548-B0BC-928960428029}">
    <text>NRC 2012</text>
  </threadedComment>
  <threadedComment ref="EG95" dT="2022-03-18T18:28:16.14" personId="{15E6B7D9-19F2-4368-BAC0-7FA1BDDD71D3}" id="{3AD5EACF-51AD-4589-BC3D-E10230A66ABA}">
    <text>Brazilian tables</text>
  </threadedComment>
  <threadedComment ref="EG96" dT="2022-03-19T17:25:44.04" personId="{15E6B7D9-19F2-4368-BAC0-7FA1BDDD71D3}" id="{D736E91C-4C82-40B8-A7AE-80BCB1A9DC63}">
    <text>NRC 2012</text>
  </threadedComment>
  <threadedComment ref="EG97" dT="2022-03-19T17:25:53.55" personId="{15E6B7D9-19F2-4368-BAC0-7FA1BDDD71D3}" id="{6D434380-34AE-461A-A73C-2CCDCCE18BC6}">
    <text>Stein Lab</text>
  </threadedComment>
  <threadedComment ref="EG98" dT="2022-03-19T17:02:07.75" personId="{15E6B7D9-19F2-4368-BAC0-7FA1BDDD71D3}" id="{41DCDF53-EB83-4EA0-A038-B76D9EC03245}">
    <text>Calculated by using Phytate:Total P content of Brewer's yeast. (0.207)</text>
  </threadedComment>
  <threadedComment ref="B173" dT="2022-03-02T15:55:10.27" personId="{15E6B7D9-19F2-4368-BAC0-7FA1BDDD71D3}" id="{336AD977-5E37-4D8B-82DC-399D09118882}">
    <text>Data was provided by Hamlet. Updated 4/18/22</text>
  </threadedComment>
  <threadedComment ref="E173" dT="2022-03-02T15:55:36.05" personId="{15E6B7D9-19F2-4368-BAC0-7FA1BDDD71D3}" id="{60CA5772-0ED2-4DE2-BEC2-E7123A37A362}">
    <text>NRC equation</text>
  </threadedComment>
  <threadedComment ref="F173" dT="2022-03-02T15:55:52.93" personId="{15E6B7D9-19F2-4368-BAC0-7FA1BDDD71D3}" id="{EBC8133C-7292-488D-8113-AE09DA2CF740}">
    <text>NRC equation</text>
  </threadedComment>
  <threadedComment ref="B179" dT="2022-02-03T16:09:51.61" personId="{15E6B7D9-19F2-4368-BAC0-7FA1BDDD71D3}" id="{DAA99A8C-B5F9-48C9-8272-53BB114A00C1}">
    <text>Data was provided by Hamlet. Updated 4/18/22</text>
  </threadedComment>
  <threadedComment ref="B181" dT="2022-02-01T19:40:24.00" personId="{15E6B7D9-19F2-4368-BAC0-7FA1BDDD71D3}" id="{EFDDCBF3-F838-4017-9BDD-53917610A875}">
    <text>SID AA are entered by hand in the ingredient from NFP.</text>
  </threadedComment>
  <threadedComment ref="B185" dT="2022-02-01T20:13:58.72" personId="{15E6B7D9-19F2-4368-BAC0-7FA1BDDD71D3}" id="{C7B4EC4A-1639-4061-A1DC-4BF507C9FA65}">
    <text>Avail P, % was entered by hand by NFP</text>
  </threadedComment>
  <threadedComment ref="B189" dT="2022-02-01T22:44:05.96" personId="{15E6B7D9-19F2-4368-BAC0-7FA1BDDD71D3}" id="{B8820E34-4611-40DB-BDD6-6B57EDE139FA}">
    <text>No values were reported</text>
  </threadedComment>
  <threadedComment ref="B190" dT="2022-02-03T16:28:59.06" personId="{15E6B7D9-19F2-4368-BAC0-7FA1BDDD71D3}" id="{DD98B53A-A500-42E5-A5CD-E632E8A888FC}">
    <text>Ethan used in his trial new values provided by NFP. Should we update those here?</text>
  </threadedComment>
  <threadedComment ref="B191" dT="2022-02-01T23:02:43.15" personId="{15E6B7D9-19F2-4368-BAC0-7FA1BDDD71D3}" id="{AF8E2732-F3CC-4F76-9864-8B42424B771C}">
    <text>No values were reported</text>
  </threadedComment>
  <threadedComment ref="B207" dT="2022-02-03T17:15:37.28" personId="{15E6B7D9-19F2-4368-BAC0-7FA1BDDD71D3}" id="{59B421BB-AE53-4DE8-AAAF-CD55B8E3DED5}">
    <text>Total AA and Digst. will match once the MEPRO be updated.</text>
  </threadedComment>
  <threadedComment ref="B209" dT="2022-02-10T13:51:14.18" personId="{15E6B7D9-19F2-4368-BAC0-7FA1BDDD71D3}" id="{457B45DD-D0F6-41FD-BC0F-358779E35427}">
    <text>It also contains 11,340 mcg of 25-Hydroxyvitamin D3 and 206mg/lb of Thiamine</text>
  </threadedComment>
  <threadedComment ref="B213" dT="2022-04-18T18:35:43.46" personId="{15E6B7D9-19F2-4368-BAC0-7FA1BDDD71D3}" id="{E598999C-3FEB-4580-B4AB-FDD7885124FA}">
    <text>Data was provided by Hamlet. Updated 4/18/22</text>
  </threadedComment>
  <threadedComment ref="B217" dT="2022-04-18T18:36:44.42" personId="{15E6B7D9-19F2-4368-BAC0-7FA1BDDD71D3}" id="{4E27AAD5-2438-4FFC-AE7A-9AA570DCAD43}">
    <text>Data was provided by Hamlet. Updated 4/18/22</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F2DBA-CB85-4BE8-8F13-D32208BF2A93}">
  <sheetPr codeName="Sheet5"/>
  <dimension ref="E3:S7"/>
  <sheetViews>
    <sheetView zoomScale="65" workbookViewId="0">
      <selection activeCell="U66" sqref="U66"/>
    </sheetView>
  </sheetViews>
  <sheetFormatPr defaultColWidth="8.88671875" defaultRowHeight="13.2" x14ac:dyDescent="0.25"/>
  <cols>
    <col min="1" max="16384" width="8.88671875" style="461"/>
  </cols>
  <sheetData>
    <row r="3" spans="5:19" ht="22.8" customHeight="1" x14ac:dyDescent="0.25">
      <c r="E3" s="531" t="s">
        <v>560</v>
      </c>
      <c r="F3" s="531"/>
      <c r="G3" s="531"/>
      <c r="H3" s="531"/>
      <c r="I3" s="531"/>
      <c r="J3" s="531"/>
      <c r="K3" s="531"/>
      <c r="L3" s="531"/>
      <c r="M3" s="531"/>
      <c r="N3" s="531"/>
      <c r="O3" s="531"/>
      <c r="P3" s="531"/>
      <c r="Q3" s="531"/>
      <c r="R3" s="531"/>
      <c r="S3" s="531"/>
    </row>
    <row r="4" spans="5:19" ht="13.2" customHeight="1" x14ac:dyDescent="0.25">
      <c r="E4" s="531"/>
      <c r="F4" s="531"/>
      <c r="G4" s="531"/>
      <c r="H4" s="531"/>
      <c r="I4" s="531"/>
      <c r="J4" s="531"/>
      <c r="K4" s="531"/>
      <c r="L4" s="531"/>
      <c r="M4" s="531"/>
      <c r="N4" s="531"/>
      <c r="O4" s="531"/>
      <c r="P4" s="531"/>
      <c r="Q4" s="531"/>
      <c r="R4" s="531"/>
      <c r="S4" s="531"/>
    </row>
    <row r="5" spans="5:19" ht="13.2" customHeight="1" x14ac:dyDescent="0.25">
      <c r="E5" s="531"/>
      <c r="F5" s="531"/>
      <c r="G5" s="531"/>
      <c r="H5" s="531"/>
      <c r="I5" s="531"/>
      <c r="J5" s="531"/>
      <c r="K5" s="531"/>
      <c r="L5" s="531"/>
      <c r="M5" s="531"/>
      <c r="N5" s="531"/>
      <c r="O5" s="531"/>
      <c r="P5" s="531"/>
      <c r="Q5" s="531"/>
      <c r="R5" s="531"/>
      <c r="S5" s="531"/>
    </row>
    <row r="6" spans="5:19" ht="20.399999999999999" customHeight="1" x14ac:dyDescent="0.25">
      <c r="E6" s="532" t="s">
        <v>561</v>
      </c>
      <c r="F6" s="532"/>
      <c r="G6" s="532"/>
      <c r="H6" s="532"/>
      <c r="I6" s="532"/>
      <c r="J6" s="532"/>
      <c r="K6" s="532"/>
      <c r="L6" s="532"/>
      <c r="M6" s="532"/>
      <c r="N6" s="532"/>
      <c r="O6" s="532"/>
      <c r="P6" s="532"/>
      <c r="Q6" s="532"/>
      <c r="R6" s="532"/>
      <c r="S6" s="532"/>
    </row>
    <row r="7" spans="5:19" ht="13.2" customHeight="1" x14ac:dyDescent="0.25">
      <c r="E7" s="532"/>
      <c r="F7" s="532"/>
      <c r="G7" s="532"/>
      <c r="H7" s="532"/>
      <c r="I7" s="532"/>
      <c r="J7" s="532"/>
      <c r="K7" s="532"/>
      <c r="L7" s="532"/>
      <c r="M7" s="532"/>
      <c r="N7" s="532"/>
      <c r="O7" s="532"/>
      <c r="P7" s="532"/>
      <c r="Q7" s="532"/>
      <c r="R7" s="532"/>
      <c r="S7" s="532"/>
    </row>
  </sheetData>
  <mergeCells count="2">
    <mergeCell ref="E3:S5"/>
    <mergeCell ref="E6:S7"/>
  </mergeCells>
  <pageMargins left="0.7" right="0.7" top="0.75" bottom="0.75" header="0.3" footer="0.3"/>
  <pageSetup orientation="portrait" r:id="rId1"/>
  <drawing r:id="rId2"/>
  <legacyDrawing r:id="rId3"/>
  <oleObjects>
    <mc:AlternateContent xmlns:mc="http://schemas.openxmlformats.org/markup-compatibility/2006">
      <mc:Choice Requires="x14">
        <oleObject progId="Document" dvAspect="DVASPECT_ICON" shapeId="41995" r:id="rId4">
          <objectPr defaultSize="0" r:id="rId5">
            <anchor moveWithCells="1">
              <from>
                <xdr:col>7</xdr:col>
                <xdr:colOff>556260</xdr:colOff>
                <xdr:row>66</xdr:row>
                <xdr:rowOff>99060</xdr:rowOff>
              </from>
              <to>
                <xdr:col>9</xdr:col>
                <xdr:colOff>236220</xdr:colOff>
                <xdr:row>70</xdr:row>
                <xdr:rowOff>83820</xdr:rowOff>
              </to>
            </anchor>
          </objectPr>
        </oleObject>
      </mc:Choice>
      <mc:Fallback>
        <oleObject progId="Document" dvAspect="DVASPECT_ICON" shapeId="4199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9065-92E8-4BF4-9449-17133633F697}">
  <sheetPr codeName="Sheet15">
    <tabColor theme="6" tint="-0.249977111117893"/>
  </sheetPr>
  <dimension ref="A1:BG378"/>
  <sheetViews>
    <sheetView zoomScale="88" workbookViewId="0">
      <pane xSplit="1" ySplit="5" topLeftCell="B6" activePane="bottomRight" state="frozen"/>
      <selection activeCell="A271" sqref="A271:XFD272"/>
      <selection pane="topRight" activeCell="A271" sqref="A271:XFD272"/>
      <selection pane="bottomLeft" activeCell="A271" sqref="A271:XFD272"/>
      <selection pane="bottomRight" activeCell="A355" sqref="A355:XFD378"/>
    </sheetView>
  </sheetViews>
  <sheetFormatPr defaultColWidth="8.77734375" defaultRowHeight="13.2" x14ac:dyDescent="0.25"/>
  <cols>
    <col min="1" max="1" width="41.6640625" bestFit="1" customWidth="1"/>
    <col min="2" max="14" width="10.109375" style="6" customWidth="1"/>
    <col min="15" max="15" width="10.109375" customWidth="1"/>
    <col min="16" max="21" width="10.109375" style="6" customWidth="1"/>
    <col min="23" max="28" width="10.109375" style="6" customWidth="1"/>
    <col min="30" max="35" width="10.109375" style="6" customWidth="1"/>
    <col min="37" max="37" width="10" style="6" customWidth="1"/>
    <col min="38" max="42" width="10.109375" style="6" customWidth="1"/>
    <col min="44" max="49" width="10.109375" style="6" customWidth="1"/>
  </cols>
  <sheetData>
    <row r="1" spans="1:49" x14ac:dyDescent="0.25">
      <c r="A1" t="s">
        <v>1</v>
      </c>
      <c r="I1" s="8">
        <f>B7-I7</f>
        <v>60.619646436457288</v>
      </c>
      <c r="J1" s="8">
        <f t="shared" ref="J1:N2" si="0">C7-J7</f>
        <v>61.851981937445316</v>
      </c>
      <c r="K1" s="8">
        <f t="shared" si="0"/>
        <v>62.863452286277152</v>
      </c>
      <c r="L1" s="8">
        <f t="shared" si="0"/>
        <v>63.067460779901467</v>
      </c>
      <c r="M1" s="8">
        <f t="shared" si="0"/>
        <v>63.16441076963747</v>
      </c>
      <c r="N1" s="8">
        <f t="shared" si="0"/>
        <v>0</v>
      </c>
      <c r="P1" s="8">
        <f>I7-P7</f>
        <v>62.229683761819842</v>
      </c>
      <c r="Q1" s="8">
        <f t="shared" ref="Q1:U2" si="1">J7-Q7</f>
        <v>62.962401149761718</v>
      </c>
      <c r="R1" s="8">
        <f t="shared" si="1"/>
        <v>63.72852016505135</v>
      </c>
      <c r="S1" s="8">
        <f t="shared" si="1"/>
        <v>63.368787214147687</v>
      </c>
      <c r="T1" s="8">
        <f t="shared" si="1"/>
        <v>64.183592817687668</v>
      </c>
      <c r="U1" s="8">
        <f t="shared" si="1"/>
        <v>0</v>
      </c>
      <c r="W1" s="8">
        <f>P7-W7</f>
        <v>62.193615479173559</v>
      </c>
      <c r="X1" s="8">
        <f t="shared" ref="X1:AB2" si="2">Q7-X7</f>
        <v>62.918400970577977</v>
      </c>
      <c r="Y1" s="8">
        <f t="shared" si="2"/>
        <v>62.582557298557958</v>
      </c>
      <c r="Z1" s="8">
        <f t="shared" si="2"/>
        <v>63.673217859722172</v>
      </c>
      <c r="AA1" s="8">
        <f t="shared" si="2"/>
        <v>64.267776747386279</v>
      </c>
      <c r="AB1" s="8">
        <f t="shared" si="2"/>
        <v>0</v>
      </c>
      <c r="AD1" s="8">
        <f>W7-AD7</f>
        <v>62.127409463226286</v>
      </c>
      <c r="AE1" s="8">
        <f t="shared" ref="AE1:AI2" si="3">X7-AE7</f>
        <v>61.846921659380996</v>
      </c>
      <c r="AF1" s="8">
        <f t="shared" si="3"/>
        <v>62.844651879662251</v>
      </c>
      <c r="AG1" s="8">
        <f t="shared" si="3"/>
        <v>63.86146076337559</v>
      </c>
      <c r="AH1" s="8">
        <f t="shared" si="3"/>
        <v>65.087574645041514</v>
      </c>
      <c r="AI1" s="8">
        <f t="shared" si="3"/>
        <v>0</v>
      </c>
      <c r="AK1" s="8">
        <f>AD7-AK7</f>
        <v>66.503151968323778</v>
      </c>
      <c r="AL1" s="8">
        <f t="shared" ref="AL1:AP2" si="4">AE7-AL7</f>
        <v>62.139749705692566</v>
      </c>
      <c r="AM1" s="8">
        <f t="shared" si="4"/>
        <v>63.198988139651874</v>
      </c>
      <c r="AN1" s="8">
        <f t="shared" si="4"/>
        <v>64.438244419837702</v>
      </c>
      <c r="AO1" s="8">
        <f t="shared" si="4"/>
        <v>65.552479997885939</v>
      </c>
      <c r="AP1" s="8">
        <f t="shared" si="4"/>
        <v>0</v>
      </c>
      <c r="AR1" s="8">
        <f>AK7-AR7</f>
        <v>60.462893817680651</v>
      </c>
      <c r="AS1" s="8">
        <f t="shared" ref="AS1:AW2" si="5">AL7-AS7</f>
        <v>62.167611431870682</v>
      </c>
      <c r="AT1" s="8">
        <f t="shared" si="5"/>
        <v>63.439525129767162</v>
      </c>
      <c r="AU1" s="8">
        <f t="shared" si="5"/>
        <v>65.200341365679378</v>
      </c>
      <c r="AV1" s="8">
        <f t="shared" si="5"/>
        <v>65.548992799088865</v>
      </c>
      <c r="AW1" s="8">
        <f t="shared" si="5"/>
        <v>0</v>
      </c>
    </row>
    <row r="2" spans="1:49" x14ac:dyDescent="0.25">
      <c r="A2" t="s">
        <v>569</v>
      </c>
      <c r="I2" s="8">
        <f>B8-I8</f>
        <v>39.132228852415665</v>
      </c>
      <c r="J2" s="8">
        <f t="shared" si="0"/>
        <v>37.938018062554647</v>
      </c>
      <c r="K2" s="8">
        <f t="shared" si="0"/>
        <v>36.956158218368955</v>
      </c>
      <c r="L2" s="8">
        <f t="shared" si="0"/>
        <v>36.337021253876856</v>
      </c>
      <c r="M2" s="8">
        <f t="shared" si="0"/>
        <v>36.373418218717916</v>
      </c>
      <c r="N2" s="8">
        <f t="shared" si="0"/>
        <v>0</v>
      </c>
      <c r="P2" s="8">
        <f>I8-P8</f>
        <v>37.593115207398796</v>
      </c>
      <c r="Q2" s="8">
        <f t="shared" si="1"/>
        <v>36.871452500527312</v>
      </c>
      <c r="R2" s="8">
        <f t="shared" si="1"/>
        <v>36.102257806047646</v>
      </c>
      <c r="S2" s="8">
        <f t="shared" si="1"/>
        <v>36.460672525844984</v>
      </c>
      <c r="T2" s="8">
        <f t="shared" si="1"/>
        <v>35.817524173783795</v>
      </c>
      <c r="U2" s="8">
        <f t="shared" si="1"/>
        <v>0</v>
      </c>
      <c r="W2" s="8">
        <f>P8-W8</f>
        <v>37.596384520826405</v>
      </c>
      <c r="X2" s="8">
        <f t="shared" si="2"/>
        <v>36.871599029421986</v>
      </c>
      <c r="Y2" s="8">
        <f t="shared" si="2"/>
        <v>37.217748863521365</v>
      </c>
      <c r="Z2" s="8">
        <f t="shared" si="2"/>
        <v>36.174599768070038</v>
      </c>
      <c r="AA2" s="8">
        <f t="shared" si="2"/>
        <v>35.742223252613712</v>
      </c>
      <c r="AB2" s="8">
        <f t="shared" si="2"/>
        <v>0</v>
      </c>
      <c r="AD2" s="8">
        <f>W8-AD8</f>
        <v>37.682283786018843</v>
      </c>
      <c r="AE2" s="8">
        <f t="shared" si="3"/>
        <v>37.96425214054284</v>
      </c>
      <c r="AF2" s="8">
        <f t="shared" si="3"/>
        <v>36.954194179633305</v>
      </c>
      <c r="AG2" s="8">
        <f t="shared" si="3"/>
        <v>36.178791682824567</v>
      </c>
      <c r="AH2" s="8">
        <f t="shared" si="3"/>
        <v>36.078265071860187</v>
      </c>
      <c r="AI2" s="8">
        <f t="shared" si="3"/>
        <v>0</v>
      </c>
      <c r="AK2" s="8">
        <f>AD8-AK8</f>
        <v>33.311166318662686</v>
      </c>
      <c r="AL2" s="8">
        <f t="shared" si="4"/>
        <v>37.650250294307625</v>
      </c>
      <c r="AM2" s="8">
        <f t="shared" si="4"/>
        <v>36.811011860348344</v>
      </c>
      <c r="AN2" s="8">
        <f t="shared" si="4"/>
        <v>36.445529547036358</v>
      </c>
      <c r="AO2" s="8">
        <f t="shared" si="4"/>
        <v>36.18037607694032</v>
      </c>
      <c r="AP2" s="8">
        <f t="shared" si="4"/>
        <v>0</v>
      </c>
      <c r="AR2" s="8">
        <f>AK8-AR8</f>
        <v>39.331295415931208</v>
      </c>
      <c r="AS2" s="8">
        <f>AL8-AS8</f>
        <v>37.642036311898437</v>
      </c>
      <c r="AT2" s="8">
        <f>AM8-AT8</f>
        <v>36.596279493980774</v>
      </c>
      <c r="AU2" s="8">
        <f t="shared" si="5"/>
        <v>36.543469687386505</v>
      </c>
      <c r="AV2" s="8">
        <f t="shared" si="5"/>
        <v>36.17548979757953</v>
      </c>
      <c r="AW2" s="8">
        <f t="shared" si="5"/>
        <v>0</v>
      </c>
    </row>
    <row r="3" spans="1:49" ht="15.6" x14ac:dyDescent="0.3">
      <c r="A3" s="4"/>
      <c r="B3" s="196" t="s">
        <v>37</v>
      </c>
      <c r="C3" s="196" t="s">
        <v>38</v>
      </c>
      <c r="D3" s="196" t="s">
        <v>39</v>
      </c>
      <c r="E3" s="196" t="s">
        <v>40</v>
      </c>
      <c r="F3" s="196" t="s">
        <v>41</v>
      </c>
      <c r="G3" s="196" t="s">
        <v>141</v>
      </c>
      <c r="H3" s="196"/>
      <c r="I3" s="196" t="s">
        <v>37</v>
      </c>
      <c r="J3" s="196" t="s">
        <v>38</v>
      </c>
      <c r="K3" s="196" t="s">
        <v>39</v>
      </c>
      <c r="L3" s="196" t="s">
        <v>40</v>
      </c>
      <c r="M3" s="196" t="s">
        <v>41</v>
      </c>
      <c r="N3" s="196" t="s">
        <v>141</v>
      </c>
      <c r="O3" s="196"/>
      <c r="P3" s="196" t="s">
        <v>37</v>
      </c>
      <c r="Q3" s="196" t="s">
        <v>38</v>
      </c>
      <c r="R3" s="196" t="s">
        <v>39</v>
      </c>
      <c r="S3" s="196" t="s">
        <v>40</v>
      </c>
      <c r="T3" s="196" t="s">
        <v>41</v>
      </c>
      <c r="U3" s="196" t="s">
        <v>141</v>
      </c>
      <c r="W3" s="196" t="s">
        <v>37</v>
      </c>
      <c r="X3" s="196" t="s">
        <v>38</v>
      </c>
      <c r="Y3" s="196" t="s">
        <v>39</v>
      </c>
      <c r="Z3" s="196" t="s">
        <v>40</v>
      </c>
      <c r="AA3" s="196" t="s">
        <v>41</v>
      </c>
      <c r="AB3" s="196" t="s">
        <v>141</v>
      </c>
      <c r="AD3" s="196" t="s">
        <v>37</v>
      </c>
      <c r="AE3" s="196" t="s">
        <v>38</v>
      </c>
      <c r="AF3" s="196" t="s">
        <v>39</v>
      </c>
      <c r="AG3" s="196" t="s">
        <v>40</v>
      </c>
      <c r="AH3" s="196" t="s">
        <v>41</v>
      </c>
      <c r="AI3" s="196" t="s">
        <v>141</v>
      </c>
      <c r="AK3" s="196" t="s">
        <v>37</v>
      </c>
      <c r="AL3" s="196" t="s">
        <v>38</v>
      </c>
      <c r="AM3" s="196" t="s">
        <v>39</v>
      </c>
      <c r="AN3" s="196" t="s">
        <v>40</v>
      </c>
      <c r="AO3" s="196" t="s">
        <v>41</v>
      </c>
      <c r="AP3" s="196" t="s">
        <v>141</v>
      </c>
      <c r="AR3" s="196" t="s">
        <v>37</v>
      </c>
      <c r="AS3" s="196" t="s">
        <v>38</v>
      </c>
      <c r="AT3" s="196" t="s">
        <v>39</v>
      </c>
      <c r="AU3" s="196" t="s">
        <v>40</v>
      </c>
      <c r="AV3" s="196" t="s">
        <v>41</v>
      </c>
      <c r="AW3" s="196" t="s">
        <v>141</v>
      </c>
    </row>
    <row r="4" spans="1:49" ht="12.75" customHeight="1" x14ac:dyDescent="0.25">
      <c r="B4"/>
      <c r="C4" s="565"/>
      <c r="D4" s="565"/>
      <c r="E4" s="565"/>
      <c r="F4" s="565"/>
      <c r="G4" s="75"/>
      <c r="I4" s="566" t="s">
        <v>72</v>
      </c>
      <c r="J4" s="566"/>
      <c r="K4" s="566"/>
      <c r="L4" s="566"/>
      <c r="M4" s="566"/>
      <c r="N4" s="75"/>
      <c r="O4" s="6"/>
      <c r="P4" s="565" t="s">
        <v>72</v>
      </c>
      <c r="Q4" s="565"/>
      <c r="R4" s="565"/>
      <c r="S4" s="565"/>
      <c r="T4" s="565"/>
      <c r="U4" s="75"/>
      <c r="W4" s="565" t="s">
        <v>72</v>
      </c>
      <c r="X4" s="565"/>
      <c r="Y4" s="565"/>
      <c r="Z4" s="565"/>
      <c r="AA4" s="565"/>
      <c r="AB4" s="75"/>
      <c r="AD4" s="565" t="s">
        <v>72</v>
      </c>
      <c r="AE4" s="565"/>
      <c r="AF4" s="565"/>
      <c r="AG4" s="565"/>
      <c r="AH4" s="565"/>
      <c r="AI4" s="75"/>
      <c r="AK4" s="565" t="s">
        <v>72</v>
      </c>
      <c r="AL4" s="565"/>
      <c r="AM4" s="565"/>
      <c r="AN4" s="565"/>
      <c r="AO4" s="565"/>
      <c r="AP4" s="75"/>
      <c r="AR4" s="565" t="s">
        <v>72</v>
      </c>
      <c r="AS4" s="565"/>
      <c r="AT4" s="565"/>
      <c r="AU4" s="565"/>
      <c r="AV4" s="565"/>
      <c r="AW4" s="75"/>
    </row>
    <row r="5" spans="1:49" x14ac:dyDescent="0.25">
      <c r="A5" s="13"/>
      <c r="B5" s="376">
        <v>50</v>
      </c>
      <c r="C5" s="376">
        <v>85</v>
      </c>
      <c r="D5" s="376">
        <v>120</v>
      </c>
      <c r="E5" s="376">
        <v>160</v>
      </c>
      <c r="F5" s="376">
        <v>200</v>
      </c>
      <c r="G5" s="376">
        <v>240</v>
      </c>
      <c r="H5" s="99"/>
      <c r="I5" s="474">
        <v>50</v>
      </c>
      <c r="J5" s="474">
        <v>85</v>
      </c>
      <c r="K5" s="474">
        <v>120</v>
      </c>
      <c r="L5" s="474">
        <v>160</v>
      </c>
      <c r="M5" s="474">
        <v>200</v>
      </c>
      <c r="N5" s="474">
        <v>240</v>
      </c>
      <c r="O5" s="99"/>
      <c r="P5" s="376">
        <v>50</v>
      </c>
      <c r="Q5" s="376">
        <v>85</v>
      </c>
      <c r="R5" s="376">
        <v>120</v>
      </c>
      <c r="S5" s="376">
        <v>160</v>
      </c>
      <c r="T5" s="376">
        <v>200</v>
      </c>
      <c r="U5" s="376">
        <v>240</v>
      </c>
      <c r="W5" s="376">
        <v>50</v>
      </c>
      <c r="X5" s="376">
        <v>85</v>
      </c>
      <c r="Y5" s="376">
        <v>120</v>
      </c>
      <c r="Z5" s="376">
        <v>160</v>
      </c>
      <c r="AA5" s="376">
        <v>200</v>
      </c>
      <c r="AB5" s="376">
        <v>240</v>
      </c>
      <c r="AD5" s="376">
        <v>50</v>
      </c>
      <c r="AE5" s="376">
        <v>85</v>
      </c>
      <c r="AF5" s="376">
        <v>120</v>
      </c>
      <c r="AG5" s="376">
        <v>160</v>
      </c>
      <c r="AH5" s="376">
        <v>200</v>
      </c>
      <c r="AI5" s="376">
        <v>240</v>
      </c>
      <c r="AK5" s="376">
        <v>50</v>
      </c>
      <c r="AL5" s="376">
        <v>85</v>
      </c>
      <c r="AM5" s="376">
        <v>120</v>
      </c>
      <c r="AN5" s="376">
        <v>160</v>
      </c>
      <c r="AO5" s="376">
        <v>200</v>
      </c>
      <c r="AP5" s="376">
        <v>240</v>
      </c>
      <c r="AR5" s="376">
        <v>50</v>
      </c>
      <c r="AS5" s="376">
        <v>85</v>
      </c>
      <c r="AT5" s="376">
        <v>120</v>
      </c>
      <c r="AU5" s="376">
        <v>160</v>
      </c>
      <c r="AV5" s="376">
        <v>200</v>
      </c>
      <c r="AW5" s="376">
        <v>240</v>
      </c>
    </row>
    <row r="6" spans="1:49" ht="13.8" thickBot="1" x14ac:dyDescent="0.3">
      <c r="A6" s="306" t="s">
        <v>15</v>
      </c>
      <c r="B6" s="11">
        <v>85</v>
      </c>
      <c r="C6" s="11">
        <v>120</v>
      </c>
      <c r="D6" s="11">
        <v>160</v>
      </c>
      <c r="E6" s="11">
        <v>200</v>
      </c>
      <c r="F6" s="11">
        <v>240</v>
      </c>
      <c r="G6" s="11">
        <v>285</v>
      </c>
      <c r="H6" s="222"/>
      <c r="I6" s="11">
        <v>85</v>
      </c>
      <c r="J6" s="11">
        <v>120</v>
      </c>
      <c r="K6" s="11">
        <v>160</v>
      </c>
      <c r="L6" s="11">
        <v>200</v>
      </c>
      <c r="M6" s="11">
        <v>240</v>
      </c>
      <c r="N6" s="11">
        <v>285</v>
      </c>
      <c r="O6" s="94"/>
      <c r="P6" s="11">
        <v>85</v>
      </c>
      <c r="Q6" s="11">
        <v>120</v>
      </c>
      <c r="R6" s="11">
        <v>160</v>
      </c>
      <c r="S6" s="11">
        <v>200</v>
      </c>
      <c r="T6" s="11">
        <v>240</v>
      </c>
      <c r="U6" s="11">
        <v>285</v>
      </c>
      <c r="W6" s="11">
        <v>85</v>
      </c>
      <c r="X6" s="11">
        <v>120</v>
      </c>
      <c r="Y6" s="11">
        <v>160</v>
      </c>
      <c r="Z6" s="11">
        <v>200</v>
      </c>
      <c r="AA6" s="11">
        <v>240</v>
      </c>
      <c r="AB6" s="11">
        <v>285</v>
      </c>
      <c r="AD6" s="11">
        <v>85</v>
      </c>
      <c r="AE6" s="11">
        <v>120</v>
      </c>
      <c r="AF6" s="11">
        <v>160</v>
      </c>
      <c r="AG6" s="11">
        <v>200</v>
      </c>
      <c r="AH6" s="11">
        <v>240</v>
      </c>
      <c r="AI6" s="11">
        <v>285</v>
      </c>
      <c r="AK6" s="11">
        <v>85</v>
      </c>
      <c r="AL6" s="11">
        <v>120</v>
      </c>
      <c r="AM6" s="11">
        <v>160</v>
      </c>
      <c r="AN6" s="11">
        <v>200</v>
      </c>
      <c r="AO6" s="11">
        <v>240</v>
      </c>
      <c r="AP6" s="11">
        <v>285</v>
      </c>
      <c r="AR6" s="11">
        <v>85</v>
      </c>
      <c r="AS6" s="11">
        <v>120</v>
      </c>
      <c r="AT6" s="11">
        <v>160</v>
      </c>
      <c r="AU6" s="11">
        <v>200</v>
      </c>
      <c r="AV6" s="11">
        <v>240</v>
      </c>
      <c r="AW6" s="11">
        <v>285</v>
      </c>
    </row>
    <row r="7" spans="1:49" x14ac:dyDescent="0.25">
      <c r="A7" t="s">
        <v>1</v>
      </c>
      <c r="B7" s="291">
        <f>IF(B5="","",((((B236-B297)*2000)+((SUM(B9:B229)-2000)*((IF($A8=Nutrients!$B$79,Nutrients!$DA$79,(IF($A8=Nutrients!$B$77,Nutrients!$DA$77,Nutrients!$DA$78)))))))/((IF($A7=Nutrients!$B$8,Nutrients!$DA$8,Nutrients!$DA$9))-((IF($A8=Nutrients!$B$79,Nutrients!$DA$79,(IF($A8=Nutrients!$B$77,Nutrients!$DA$77,Nutrients!$DA$78))))))))</f>
        <v>1323.1904784197848</v>
      </c>
      <c r="C7" s="291">
        <f>IF(C5="","",((((C236-C297)*2000)+((SUM(C9:C229)-2000)*((IF($A8=Nutrients!$B$79,Nutrients!$DA$79,(IF($A8=Nutrients!$B$77,Nutrients!$DA$77,Nutrients!$DA$78)))))))/((IF($A7=Nutrients!$B$8,Nutrients!$DA$8,Nutrients!$DA$9))-((IF($A8=Nutrients!$B$79,Nutrients!$DA$79,(IF($A8=Nutrients!$B$77,Nutrients!$DA$77,Nutrients!$DA$78))))))))</f>
        <v>1438.5863426264264</v>
      </c>
      <c r="D7" s="291">
        <f>IF(D5="","",((((D236-D297)*2000)+((SUM(D9:D229)-2000)*((IF($A8=Nutrients!$B$79,Nutrients!$DA$79,(IF($A8=Nutrients!$B$77,Nutrients!$DA$77,Nutrients!$DA$78)))))))/((IF($A7=Nutrients!$B$8,Nutrients!$DA$8,Nutrients!$DA$9))-((IF($A8=Nutrients!$B$79,Nutrients!$DA$79,(IF($A8=Nutrients!$B$77,Nutrients!$DA$77,Nutrients!$DA$78))))))))</f>
        <v>1538.5624561307404</v>
      </c>
      <c r="E7" s="291">
        <f>IF(E5="","",((((E236-E297)*2000)+((SUM(E9:E229)-2000)*((IF($A8=Nutrients!$B$79,Nutrients!$DA$79,(IF($A8=Nutrients!$B$77,Nutrients!$DA$77,Nutrients!$DA$78)))))))/((IF($A7=Nutrients!$B$8,Nutrients!$DA$8,Nutrients!$DA$9))-((IF($A8=Nutrients!$B$79,Nutrients!$DA$79,(IF($A8=Nutrients!$B$77,Nutrients!$DA$77,Nutrients!$DA$78))))))))</f>
        <v>1622.5648380110952</v>
      </c>
      <c r="F7" s="291">
        <f>IF(F5="","",((((F236-F297)*2000)+((SUM(F9:F229)-2000)*((IF($A8=Nutrients!$B$79,Nutrients!$DA$79,(IF($A8=Nutrients!$B$77,Nutrients!$DA$77,Nutrients!$DA$78)))))))/((IF($A7=Nutrients!$B$8,Nutrients!$DA$8,Nutrients!$DA$9))-((IF($A8=Nutrients!$B$79,Nutrients!$DA$79,(IF($A8=Nutrients!$B$77,Nutrients!$DA$77,Nutrients!$DA$78))))))))</f>
        <v>1679.6960832539069</v>
      </c>
      <c r="G7" s="291">
        <f>IF(G5="","",((((G236-G297)*2000)+((SUM(G9:G229)-2000)*((IF($A8=Nutrients!$B$79,Nutrients!$DA$79,(IF($A8=Nutrients!$B$77,Nutrients!$DA$77,Nutrients!$DA$78)))))))/((IF($A7=Nutrients!$B$8,Nutrients!$DA$8,Nutrients!$DA$9))-((IF($A8=Nutrients!$B$79,Nutrients!$DA$79,(IF($A8=Nutrients!$B$77,Nutrients!$DA$77,Nutrients!$DA$78))))))))</f>
        <v>1707.9835561942639</v>
      </c>
      <c r="H7" s="291"/>
      <c r="I7" s="291">
        <f>IF(I5="","",((((I236-I297)*2000)+((SUM(I9:I229)-2000)*((IF($A8=Nutrients!$B$79,Nutrients!$DA$79,(IF($A8=Nutrients!$B$77,Nutrients!$DA$77,Nutrients!$DA$78)))))))/((IF($A7=Nutrients!$B$8,Nutrients!$DA$8,Nutrients!$DA$9))-((IF($A8=Nutrients!$B$79,Nutrients!$DA$79,(IF($A8=Nutrients!$B$77,Nutrients!$DA$77,Nutrients!$DA$78))))))))</f>
        <v>1262.5708319833275</v>
      </c>
      <c r="J7" s="291">
        <f>IF(J5="","",((((J236-J297)*2000)+((SUM(J9:J229)-2000)*((IF($A8=Nutrients!$B$79,Nutrients!$DA$79,(IF($A8=Nutrients!$B$77,Nutrients!$DA$77,Nutrients!$DA$78)))))))/((IF($A7=Nutrients!$B$8,Nutrients!$DA$8,Nutrients!$DA$9))-((IF($A8=Nutrients!$B$79,Nutrients!$DA$79,(IF($A8=Nutrients!$B$77,Nutrients!$DA$77,Nutrients!$DA$78))))))))</f>
        <v>1376.734360688981</v>
      </c>
      <c r="K7" s="291">
        <f>IF(K5="","",((((K236-K297)*2000)+((SUM(K9:K229)-2000)*((IF($A8=Nutrients!$B$79,Nutrients!$DA$79,(IF($A8=Nutrients!$B$77,Nutrients!$DA$77,Nutrients!$DA$78)))))))/((IF($A7=Nutrients!$B$8,Nutrients!$DA$8,Nutrients!$DA$9))-((IF($A8=Nutrients!$B$79,Nutrients!$DA$79,(IF($A8=Nutrients!$B$77,Nutrients!$DA$77,Nutrients!$DA$78))))))))</f>
        <v>1475.6990038444633</v>
      </c>
      <c r="L7" s="291">
        <f>IF(L5="","",((((L236-L297)*2000)+((SUM(L9:L229)-2000)*((IF($A8=Nutrients!$B$79,Nutrients!$DA$79,(IF($A8=Nutrients!$B$77,Nutrients!$DA$77,Nutrients!$DA$78)))))))/((IF($A7=Nutrients!$B$8,Nutrients!$DA$8,Nutrients!$DA$9))-((IF($A8=Nutrients!$B$79,Nutrients!$DA$79,(IF($A8=Nutrients!$B$77,Nutrients!$DA$77,Nutrients!$DA$78))))))))</f>
        <v>1559.4973772311937</v>
      </c>
      <c r="M7" s="291">
        <f>IF(M5="","",((((M236-M297)*2000)+((SUM(M9:M229)-2000)*((IF($A8=Nutrients!$B$79,Nutrients!$DA$79,(IF($A8=Nutrients!$B$77,Nutrients!$DA$77,Nutrients!$DA$78)))))))/((IF($A7=Nutrients!$B$8,Nutrients!$DA$8,Nutrients!$DA$9))-((IF($A8=Nutrients!$B$79,Nutrients!$DA$79,(IF($A8=Nutrients!$B$77,Nutrients!$DA$77,Nutrients!$DA$78))))))))</f>
        <v>1616.5316724842694</v>
      </c>
      <c r="N7" s="291">
        <f>IF(N5="","",((((N236-N297)*2000)+((SUM(N9:N229)-2000)*((IF($A8=Nutrients!$B$79,Nutrients!$DA$79,(IF($A8=Nutrients!$B$77,Nutrients!$DA$77,Nutrients!$DA$78)))))))/((IF($A7=Nutrients!$B$8,Nutrients!$DA$8,Nutrients!$DA$9))-((IF($A8=Nutrients!$B$79,Nutrients!$DA$79,(IF($A8=Nutrients!$B$77,Nutrients!$DA$77,Nutrients!$DA$78))))))))</f>
        <v>1707.9835561942639</v>
      </c>
      <c r="O7" s="30"/>
      <c r="P7" s="291">
        <f>IF(P5="","",((((P236-P297)*2000)+((SUM(P9:P229)-2000)*((IF($A8=Nutrients!$B$79,Nutrients!$DA$79,(IF($A8=Nutrients!$B$77,Nutrients!$DA$77,Nutrients!$DA$78)))))))/((IF($A7=Nutrients!$B$8,Nutrients!$DA$8,Nutrients!$DA$9))-((IF($A8=Nutrients!$B$79,Nutrients!$DA$79,(IF($A8=Nutrients!$B$77,Nutrients!$DA$77,Nutrients!$DA$78))))))))</f>
        <v>1200.3411482215076</v>
      </c>
      <c r="Q7" s="291">
        <f>IF(Q5="","",((((Q236-Q297)*2000)+((SUM(Q9:Q229)-2000)*((IF($A8=Nutrients!$B$79,Nutrients!$DA$79,(IF($A8=Nutrients!$B$77,Nutrients!$DA$77,Nutrients!$DA$78)))))))/((IF($A7=Nutrients!$B$8,Nutrients!$DA$8,Nutrients!$DA$9))-((IF($A8=Nutrients!$B$79,Nutrients!$DA$79,(IF($A8=Nutrients!$B$77,Nutrients!$DA$77,Nutrients!$DA$78))))))))</f>
        <v>1313.7719595392193</v>
      </c>
      <c r="R7" s="291">
        <f>IF(R5="","",((((R236-R297)*2000)+((SUM(R9:R229)-2000)*((IF($A8=Nutrients!$B$79,Nutrients!$DA$79,(IF($A8=Nutrients!$B$77,Nutrients!$DA$77,Nutrients!$DA$78)))))))/((IF($A7=Nutrients!$B$8,Nutrients!$DA$8,Nutrients!$DA$9))-((IF($A8=Nutrients!$B$79,Nutrients!$DA$79,(IF($A8=Nutrients!$B$77,Nutrients!$DA$77,Nutrients!$DA$78))))))))</f>
        <v>1411.9704836794119</v>
      </c>
      <c r="S7" s="291">
        <f>IF(S5="","",((((S236-S297)*2000)+((SUM(S9:S229)-2000)*((IF($A8=Nutrients!$B$79,Nutrients!$DA$79,(IF($A8=Nutrients!$B$77,Nutrients!$DA$77,Nutrients!$DA$78)))))))/((IF($A7=Nutrients!$B$8,Nutrients!$DA$8,Nutrients!$DA$9))-((IF($A8=Nutrients!$B$79,Nutrients!$DA$79,(IF($A8=Nutrients!$B$77,Nutrients!$DA$77,Nutrients!$DA$78))))))))</f>
        <v>1496.128590017046</v>
      </c>
      <c r="T7" s="291">
        <f>IF(T5="","",((((T236-T297)*2000)+((SUM(T9:T229)-2000)*((IF($A8=Nutrients!$B$79,Nutrients!$DA$79,(IF($A8=Nutrients!$B$77,Nutrients!$DA$77,Nutrients!$DA$78)))))))/((IF($A7=Nutrients!$B$8,Nutrients!$DA$8,Nutrients!$DA$9))-((IF($A8=Nutrients!$B$79,Nutrients!$DA$79,(IF($A8=Nutrients!$B$77,Nutrients!$DA$77,Nutrients!$DA$78))))))))</f>
        <v>1552.3480796665817</v>
      </c>
      <c r="U7" s="291">
        <f>IF(U5="","",((((U236-U297)*2000)+((SUM(U9:U229)-2000)*((IF($A8=Nutrients!$B$79,Nutrients!$DA$79,(IF($A8=Nutrients!$B$77,Nutrients!$DA$77,Nutrients!$DA$78)))))))/((IF($A7=Nutrients!$B$8,Nutrients!$DA$8,Nutrients!$DA$9))-((IF($A8=Nutrients!$B$79,Nutrients!$DA$79,(IF($A8=Nutrients!$B$77,Nutrients!$DA$77,Nutrients!$DA$78))))))))</f>
        <v>1707.9835561942639</v>
      </c>
      <c r="W7" s="291">
        <f>IF(W5="","",((((W236-W297)*2000)+((SUM(W9:W229)-2000)*((IF($A8=Nutrients!$B$79,Nutrients!$DA$79,(IF($A8=Nutrients!$B$77,Nutrients!$DA$77,Nutrients!$DA$78)))))))/((IF($A7=Nutrients!$B$8,Nutrients!$DA$8,Nutrients!$DA$9))-((IF($A8=Nutrients!$B$79,Nutrients!$DA$79,(IF($A8=Nutrients!$B$77,Nutrients!$DA$77,Nutrients!$DA$78))))))))</f>
        <v>1138.1475327423341</v>
      </c>
      <c r="X7" s="291">
        <f>IF(X5="","",((((X236-X297)*2000)+((SUM(X9:X229)-2000)*((IF($A8=Nutrients!$B$79,Nutrients!$DA$79,(IF($A8=Nutrients!$B$77,Nutrients!$DA$77,Nutrients!$DA$78)))))))/((IF($A7=Nutrients!$B$8,Nutrients!$DA$8,Nutrients!$DA$9))-((IF($A8=Nutrients!$B$79,Nutrients!$DA$79,(IF($A8=Nutrients!$B$77,Nutrients!$DA$77,Nutrients!$DA$78))))))))</f>
        <v>1250.8535585686413</v>
      </c>
      <c r="Y7" s="291">
        <f>IF(Y5="","",((((Y236-Y297)*2000)+((SUM(Y9:Y229)-2000)*((IF($A8=Nutrients!$B$79,Nutrients!$DA$79,(IF($A8=Nutrients!$B$77,Nutrients!$DA$77,Nutrients!$DA$78)))))))/((IF($A7=Nutrients!$B$8,Nutrients!$DA$8,Nutrients!$DA$9))-((IF($A8=Nutrients!$B$79,Nutrients!$DA$79,(IF($A8=Nutrients!$B$77,Nutrients!$DA$77,Nutrients!$DA$78))))))))</f>
        <v>1349.387926380854</v>
      </c>
      <c r="Z7" s="291">
        <f>IF(Z5="","",((((Z236-Z297)*2000)+((SUM(Z9:Z229)-2000)*((IF($A8=Nutrients!$B$79,Nutrients!$DA$79,(IF($A8=Nutrients!$B$77,Nutrients!$DA$77,Nutrients!$DA$78)))))))/((IF($A7=Nutrients!$B$8,Nutrients!$DA$8,Nutrients!$DA$9))-((IF($A8=Nutrients!$B$79,Nutrients!$DA$79,(IF($A8=Nutrients!$B$77,Nutrients!$DA$77,Nutrients!$DA$78))))))))</f>
        <v>1432.4553721573238</v>
      </c>
      <c r="AA7" s="291">
        <f>IF(AA5="","",((((AA236-AA297)*2000)+((SUM(AA9:AA229)-2000)*((IF($A8=Nutrients!$B$79,Nutrients!$DA$79,(IF($A8=Nutrients!$B$77,Nutrients!$DA$77,Nutrients!$DA$78)))))))/((IF($A7=Nutrients!$B$8,Nutrients!$DA$8,Nutrients!$DA$9))-((IF($A8=Nutrients!$B$79,Nutrients!$DA$79,(IF($A8=Nutrients!$B$77,Nutrients!$DA$77,Nutrients!$DA$78))))))))</f>
        <v>1488.0803029191954</v>
      </c>
      <c r="AB7" s="291">
        <f>IF(AB5="","",((((AB236-AB297)*2000)+((SUM(AB9:AB229)-2000)*((IF($A8=Nutrients!$B$79,Nutrients!$DA$79,(IF($A8=Nutrients!$B$77,Nutrients!$DA$77,Nutrients!$DA$78)))))))/((IF($A7=Nutrients!$B$8,Nutrients!$DA$8,Nutrients!$DA$9))-((IF($A8=Nutrients!$B$79,Nutrients!$DA$79,(IF($A8=Nutrients!$B$77,Nutrients!$DA$77,Nutrients!$DA$78))))))))</f>
        <v>1707.9835561942639</v>
      </c>
      <c r="AD7" s="291">
        <f>IF(AD5="","",((((AD236-AD297)*2000)+((SUM(AD9:AD229)-2000)*((IF($A8=Nutrients!$B$79,Nutrients!$DA$79,(IF($A8=Nutrients!$B$77,Nutrients!$DA$77,Nutrients!$DA$78)))))))/((IF($A7=Nutrients!$B$8,Nutrients!$DA$8,Nutrients!$DA$9))-((IF($A8=Nutrients!$B$79,Nutrients!$DA$79,(IF($A8=Nutrients!$B$77,Nutrients!$DA$77,Nutrients!$DA$78))))))))</f>
        <v>1076.0201232791078</v>
      </c>
      <c r="AE7" s="291">
        <f>IF(AE5="","",((((AE236-AE297)*2000)+((SUM(AE9:AE229)-2000)*((IF($A8=Nutrients!$B$79,Nutrients!$DA$79,(IF($A8=Nutrients!$B$77,Nutrients!$DA$77,Nutrients!$DA$78)))))))/((IF($A7=Nutrients!$B$8,Nutrients!$DA$8,Nutrients!$DA$9))-((IF($A8=Nutrients!$B$79,Nutrients!$DA$79,(IF($A8=Nutrients!$B$77,Nutrients!$DA$77,Nutrients!$DA$78))))))))</f>
        <v>1189.0066369092604</v>
      </c>
      <c r="AF7" s="291">
        <f>IF(AF5="","",((((AF236-AF297)*2000)+((SUM(AF9:AF229)-2000)*((IF($A8=Nutrients!$B$79,Nutrients!$DA$79,(IF($A8=Nutrients!$B$77,Nutrients!$DA$77,Nutrients!$DA$78)))))))/((IF($A7=Nutrients!$B$8,Nutrients!$DA$8,Nutrients!$DA$9))-((IF($A8=Nutrients!$B$79,Nutrients!$DA$79,(IF($A8=Nutrients!$B$77,Nutrients!$DA$77,Nutrients!$DA$78))))))))</f>
        <v>1286.5432745011917</v>
      </c>
      <c r="AG7" s="291">
        <f>IF(AG5="","",((((AG236-AG297)*2000)+((SUM(AG9:AG229)-2000)*((IF($A8=Nutrients!$B$79,Nutrients!$DA$79,(IF($A8=Nutrients!$B$77,Nutrients!$DA$77,Nutrients!$DA$78)))))))/((IF($A7=Nutrients!$B$8,Nutrients!$DA$8,Nutrients!$DA$9))-((IF($A8=Nutrients!$B$79,Nutrients!$DA$79,(IF($A8=Nutrients!$B$77,Nutrients!$DA$77,Nutrients!$DA$78))))))))</f>
        <v>1368.5939113939482</v>
      </c>
      <c r="AH7" s="291">
        <f>IF(AH5="","",((((AH236-AH297)*2000)+((SUM(AH9:AH229)-2000)*((IF($A8=Nutrients!$B$79,Nutrients!$DA$79,(IF($A8=Nutrients!$B$77,Nutrients!$DA$77,Nutrients!$DA$78)))))))/((IF($A7=Nutrients!$B$8,Nutrients!$DA$8,Nutrients!$DA$9))-((IF($A8=Nutrients!$B$79,Nutrients!$DA$79,(IF($A8=Nutrients!$B$77,Nutrients!$DA$77,Nutrients!$DA$78))))))))</f>
        <v>1422.9927282741539</v>
      </c>
      <c r="AI7" s="291">
        <f>IF(AI5="","",((((AI236-AI297)*2000)+((SUM(AI9:AI229)-2000)*((IF($A8=Nutrients!$B$79,Nutrients!$DA$79,(IF($A8=Nutrients!$B$77,Nutrients!$DA$77,Nutrients!$DA$78)))))))/((IF($A7=Nutrients!$B$8,Nutrients!$DA$8,Nutrients!$DA$9))-((IF($A8=Nutrients!$B$79,Nutrients!$DA$79,(IF($A8=Nutrients!$B$77,Nutrients!$DA$77,Nutrients!$DA$78))))))))</f>
        <v>1707.9835561942639</v>
      </c>
      <c r="AK7" s="291">
        <f>IF(AK5="","",((((AK236-AK297)*2000)+((SUM(AK9:AK229)-2000)*((IF($A8=Nutrients!$B$79,Nutrients!$DA$79,(IF($A8=Nutrients!$B$77,Nutrients!$DA$77,Nutrients!$DA$78)))))))/((IF($A7=Nutrients!$B$8,Nutrients!$DA$8,Nutrients!$DA$9))-((IF($A8=Nutrients!$B$79,Nutrients!$DA$79,(IF($A8=Nutrients!$B$77,Nutrients!$DA$77,Nutrients!$DA$78))))))))</f>
        <v>1009.516971310784</v>
      </c>
      <c r="AL7" s="291">
        <f>IF(AL5="","",((((AL236-AL297)*2000)+((SUM(AL9:AL229)-2000)*((IF($A8=Nutrients!$B$79,Nutrients!$DA$79,(IF($A8=Nutrients!$B$77,Nutrients!$DA$77,Nutrients!$DA$78)))))))/((IF($A7=Nutrients!$B$8,Nutrients!$DA$8,Nutrients!$DA$9))-((IF($A8=Nutrients!$B$79,Nutrients!$DA$79,(IF($A8=Nutrients!$B$77,Nutrients!$DA$77,Nutrients!$DA$78))))))))</f>
        <v>1126.8668872035678</v>
      </c>
      <c r="AM7" s="291">
        <f>IF(AM5="","",((((AM236-AM297)*2000)+((SUM(AM9:AM229)-2000)*((IF($A8=Nutrients!$B$79,Nutrients!$DA$79,(IF($A8=Nutrients!$B$77,Nutrients!$DA$77,Nutrients!$DA$78)))))))/((IF($A7=Nutrients!$B$8,Nutrients!$DA$8,Nutrients!$DA$9))-((IF($A8=Nutrients!$B$79,Nutrients!$DA$79,(IF($A8=Nutrients!$B$77,Nutrients!$DA$77,Nutrients!$DA$78))))))))</f>
        <v>1223.3442863615398</v>
      </c>
      <c r="AN7" s="291">
        <f>IF(AN5="","",((((AN236-AN297)*2000)+((SUM(AN9:AN229)-2000)*((IF($A8=Nutrients!$B$79,Nutrients!$DA$79,(IF($A8=Nutrients!$B$77,Nutrients!$DA$77,Nutrients!$DA$78)))))))/((IF($A7=Nutrients!$B$8,Nutrients!$DA$8,Nutrients!$DA$9))-((IF($A8=Nutrients!$B$79,Nutrients!$DA$79,(IF($A8=Nutrients!$B$77,Nutrients!$DA$77,Nutrients!$DA$78))))))))</f>
        <v>1304.1556669741105</v>
      </c>
      <c r="AO7" s="291">
        <f>IF(AO5="","",((((AO236-AO297)*2000)+((SUM(AO9:AO229)-2000)*((IF($A8=Nutrients!$B$79,Nutrients!$DA$79,(IF($A8=Nutrients!$B$77,Nutrients!$DA$77,Nutrients!$DA$78)))))))/((IF($A7=Nutrients!$B$8,Nutrients!$DA$8,Nutrients!$DA$9))-((IF($A8=Nutrients!$B$79,Nutrients!$DA$79,(IF($A8=Nutrients!$B$77,Nutrients!$DA$77,Nutrients!$DA$78))))))))</f>
        <v>1357.440248276268</v>
      </c>
      <c r="AP7" s="291">
        <f>IF(AP5="","",((((AP236-AP297)*2000)+((SUM(AP9:AP229)-2000)*((IF($A8=Nutrients!$B$79,Nutrients!$DA$79,(IF($A8=Nutrients!$B$77,Nutrients!$DA$77,Nutrients!$DA$78)))))))/((IF($A7=Nutrients!$B$8,Nutrients!$DA$8,Nutrients!$DA$9))-((IF($A8=Nutrients!$B$79,Nutrients!$DA$79,(IF($A8=Nutrients!$B$77,Nutrients!$DA$77,Nutrients!$DA$78))))))))</f>
        <v>1707.9835561942639</v>
      </c>
      <c r="AR7" s="291">
        <f>IF(AR5="","",((((AR236-AR297)*2000)+((SUM(AR9:AR229)-2000)*((IF($A8=Nutrients!$B$79,Nutrients!$DA$79,(IF($A8=Nutrients!$B$77,Nutrients!$DA$77,Nutrients!$DA$78)))))))/((IF($A7=Nutrients!$B$8,Nutrients!$DA$8,Nutrients!$DA$9))-((IF($A8=Nutrients!$B$79,Nutrients!$DA$79,(IF($A8=Nutrients!$B$77,Nutrients!$DA$77,Nutrients!$DA$78))))))))</f>
        <v>949.05407749310336</v>
      </c>
      <c r="AS7" s="291">
        <f>IF(AS5="","",((((AS236-AS297)*2000)+((SUM(AS9:AS229)-2000)*((IF($A8=Nutrients!$B$79,Nutrients!$DA$79,(IF($A8=Nutrients!$B$77,Nutrients!$DA$77,Nutrients!$DA$78)))))))/((IF($A7=Nutrients!$B$8,Nutrients!$DA$8,Nutrients!$DA$9))-((IF($A8=Nutrients!$B$79,Nutrients!$DA$79,(IF($A8=Nutrients!$B$77,Nutrients!$DA$77,Nutrients!$DA$78))))))))</f>
        <v>1064.6992757716971</v>
      </c>
      <c r="AT7" s="291">
        <f>IF(AT5="","",((((AT236-AT297)*2000)+((SUM(AT9:AT229)-2000)*((IF($A8=Nutrients!$B$79,Nutrients!$DA$79,(IF($A8=Nutrients!$B$77,Nutrients!$DA$77,Nutrients!$DA$78)))))))/((IF($A7=Nutrients!$B$8,Nutrients!$DA$8,Nutrients!$DA$9))-((IF($A8=Nutrients!$B$79,Nutrients!$DA$79,(IF($A8=Nutrients!$B$77,Nutrients!$DA$77,Nutrients!$DA$78))))))))</f>
        <v>1159.9047612317727</v>
      </c>
      <c r="AU7" s="291">
        <f>IF(AU5="","",((((AU236-AU297)*2000)+((SUM(AU9:AU229)-2000)*((IF($A8=Nutrients!$B$79,Nutrients!$DA$79,(IF($A8=Nutrients!$B$77,Nutrients!$DA$77,Nutrients!$DA$78)))))))/((IF($A7=Nutrients!$B$8,Nutrients!$DA$8,Nutrients!$DA$9))-((IF($A8=Nutrients!$B$79,Nutrients!$DA$79,(IF($A8=Nutrients!$B$77,Nutrients!$DA$77,Nutrients!$DA$78))))))))</f>
        <v>1238.9553256084312</v>
      </c>
      <c r="AV7" s="291">
        <f>IF(AV5="","",((((AV236-AV297)*2000)+((SUM(AV9:AV229)-2000)*((IF($A8=Nutrients!$B$79,Nutrients!$DA$79,(IF($A8=Nutrients!$B$77,Nutrients!$DA$77,Nutrients!$DA$78)))))))/((IF($A7=Nutrients!$B$8,Nutrients!$DA$8,Nutrients!$DA$9))-((IF($A8=Nutrients!$B$79,Nutrients!$DA$79,(IF($A8=Nutrients!$B$77,Nutrients!$DA$77,Nutrients!$DA$78))))))))</f>
        <v>1291.8912554771791</v>
      </c>
      <c r="AW7" s="291">
        <f>IF(AW5="","",((((AW236-AW297)*2000)+((SUM(AW9:AW229)-2000)*((IF($A8=Nutrients!$B$79,Nutrients!$DA$79,(IF($A8=Nutrients!$B$77,Nutrients!$DA$77,Nutrients!$DA$78)))))))/((IF($A7=Nutrients!$B$8,Nutrients!$DA$8,Nutrients!$DA$9))-((IF($A8=Nutrients!$B$79,Nutrients!$DA$79,(IF($A8=Nutrients!$B$77,Nutrients!$DA$77,Nutrients!$DA$78))))))))</f>
        <v>1707.9835561942639</v>
      </c>
    </row>
    <row r="8" spans="1:49" x14ac:dyDescent="0.25">
      <c r="A8" t="s">
        <v>295</v>
      </c>
      <c r="B8" s="291">
        <f t="shared" ref="B8:G8" si="6">IF(B5="","",2000-SUM(B9:B218)-B7)</f>
        <v>618.86019033712819</v>
      </c>
      <c r="C8" s="291">
        <f t="shared" si="6"/>
        <v>508.40076632216437</v>
      </c>
      <c r="D8" s="291">
        <f t="shared" si="6"/>
        <v>413.17469083498395</v>
      </c>
      <c r="E8" s="291">
        <f t="shared" si="6"/>
        <v>332.93731204963137</v>
      </c>
      <c r="F8" s="291">
        <f t="shared" si="6"/>
        <v>279.42017973722363</v>
      </c>
      <c r="G8" s="291">
        <f t="shared" si="6"/>
        <v>252.24678261106305</v>
      </c>
      <c r="H8" s="291"/>
      <c r="I8" s="291">
        <f t="shared" ref="I8:N8" si="7">IF(I5="","",2000-SUM(I9:I220)-I7)</f>
        <v>579.72796148471252</v>
      </c>
      <c r="J8" s="291">
        <f t="shared" si="7"/>
        <v>470.46274825960973</v>
      </c>
      <c r="K8" s="291">
        <f t="shared" si="7"/>
        <v>376.21853261661499</v>
      </c>
      <c r="L8" s="291">
        <f t="shared" si="7"/>
        <v>296.60029079575452</v>
      </c>
      <c r="M8" s="291">
        <f t="shared" si="7"/>
        <v>243.04676151850572</v>
      </c>
      <c r="N8" s="291">
        <f t="shared" si="7"/>
        <v>252.24678261106305</v>
      </c>
      <c r="O8" s="30"/>
      <c r="P8" s="291">
        <f t="shared" ref="P8:U8" si="8">IF(P5="","",2000-SUM(P9:P220)-P7)</f>
        <v>542.13484627731373</v>
      </c>
      <c r="Q8" s="291">
        <f t="shared" si="8"/>
        <v>433.59129575908241</v>
      </c>
      <c r="R8" s="291">
        <f t="shared" si="8"/>
        <v>340.11627481056735</v>
      </c>
      <c r="S8" s="291">
        <f t="shared" si="8"/>
        <v>260.13961826990953</v>
      </c>
      <c r="T8" s="291">
        <f t="shared" si="8"/>
        <v>207.22923734472192</v>
      </c>
      <c r="U8" s="291">
        <f t="shared" si="8"/>
        <v>252.24678261106305</v>
      </c>
      <c r="W8" s="291">
        <f t="shared" ref="W8:AB8" si="9">IF(W5="","",2000-SUM(W9:W220)-W7)</f>
        <v>504.53846175648732</v>
      </c>
      <c r="X8" s="291">
        <f t="shared" si="9"/>
        <v>396.71969672966043</v>
      </c>
      <c r="Y8" s="291">
        <f t="shared" si="9"/>
        <v>302.89852594704598</v>
      </c>
      <c r="Z8" s="291">
        <f t="shared" si="9"/>
        <v>223.9650185018395</v>
      </c>
      <c r="AA8" s="291">
        <f t="shared" si="9"/>
        <v>171.48701409210821</v>
      </c>
      <c r="AB8" s="291">
        <f t="shared" si="9"/>
        <v>252.24678261106305</v>
      </c>
      <c r="AD8" s="291">
        <f t="shared" ref="AD8:AI8" si="10">IF(AD5="","",2000-SUM(AD9:AD220)-AD7)</f>
        <v>466.85617797046848</v>
      </c>
      <c r="AE8" s="291">
        <f t="shared" si="10"/>
        <v>358.75544458911759</v>
      </c>
      <c r="AF8" s="291">
        <f t="shared" si="10"/>
        <v>265.94433176741268</v>
      </c>
      <c r="AG8" s="291">
        <f t="shared" si="10"/>
        <v>187.78622681901493</v>
      </c>
      <c r="AH8" s="291">
        <f t="shared" si="10"/>
        <v>135.40874902024802</v>
      </c>
      <c r="AI8" s="291">
        <f t="shared" si="10"/>
        <v>252.24678261106305</v>
      </c>
      <c r="AK8" s="291">
        <f t="shared" ref="AK8:AP8" si="11">IF(AK5="","",2000-SUM(AK9:AK220)-AK7)</f>
        <v>433.54501165180579</v>
      </c>
      <c r="AL8" s="291">
        <f t="shared" si="11"/>
        <v>321.10519429480996</v>
      </c>
      <c r="AM8" s="291">
        <f t="shared" si="11"/>
        <v>229.13331990706433</v>
      </c>
      <c r="AN8" s="291">
        <f t="shared" si="11"/>
        <v>151.34069727197857</v>
      </c>
      <c r="AO8" s="291">
        <f t="shared" si="11"/>
        <v>99.228372943307704</v>
      </c>
      <c r="AP8" s="291">
        <f t="shared" si="11"/>
        <v>252.24678261106305</v>
      </c>
      <c r="AR8" s="291">
        <f t="shared" ref="AR8:AW8" si="12">IF(AR5="","",2000-SUM(AR9:AR220)-AR7)</f>
        <v>394.21371623587459</v>
      </c>
      <c r="AS8" s="291">
        <f t="shared" si="12"/>
        <v>283.46315798291153</v>
      </c>
      <c r="AT8" s="291">
        <f t="shared" si="12"/>
        <v>192.53704041308356</v>
      </c>
      <c r="AU8" s="291">
        <f t="shared" si="12"/>
        <v>114.79722758459206</v>
      </c>
      <c r="AV8" s="291">
        <f t="shared" si="12"/>
        <v>63.052883145728174</v>
      </c>
      <c r="AW8" s="291">
        <f t="shared" si="12"/>
        <v>252.24678261106305</v>
      </c>
    </row>
    <row r="9" spans="1:49" ht="13.05" hidden="1" customHeight="1" x14ac:dyDescent="0.25">
      <c r="A9" t="str">
        <f>Nutrients!B8</f>
        <v>Corn</v>
      </c>
      <c r="B9" s="99"/>
      <c r="C9" s="99"/>
      <c r="D9" s="99"/>
      <c r="E9" s="99"/>
      <c r="F9" s="99"/>
      <c r="G9" s="99"/>
      <c r="H9" s="99"/>
      <c r="I9" s="99"/>
      <c r="J9" s="99"/>
      <c r="K9" s="99"/>
      <c r="L9" s="99"/>
      <c r="M9" s="99"/>
      <c r="N9" s="99"/>
      <c r="O9" s="10"/>
      <c r="P9" s="99"/>
      <c r="Q9" s="99"/>
      <c r="R9" s="99"/>
      <c r="S9" s="99"/>
      <c r="T9" s="99"/>
      <c r="U9" s="99"/>
      <c r="W9" s="99"/>
      <c r="X9" s="99"/>
      <c r="Y9" s="99"/>
      <c r="Z9" s="99"/>
      <c r="AA9" s="99"/>
      <c r="AB9" s="99"/>
      <c r="AD9" s="99"/>
      <c r="AE9" s="99"/>
      <c r="AF9" s="99"/>
      <c r="AG9" s="99"/>
      <c r="AH9" s="99"/>
      <c r="AI9" s="99"/>
      <c r="AK9" s="99"/>
      <c r="AL9" s="99"/>
      <c r="AM9" s="99"/>
      <c r="AN9" s="99"/>
      <c r="AO9" s="99"/>
      <c r="AP9" s="99"/>
      <c r="AR9" s="99"/>
      <c r="AS9" s="99"/>
      <c r="AT9" s="99"/>
      <c r="AU9" s="99"/>
      <c r="AV9" s="99"/>
      <c r="AW9" s="99"/>
    </row>
    <row r="10" spans="1:49" ht="13.05" hidden="1" customHeight="1" x14ac:dyDescent="0.25">
      <c r="A10" t="str">
        <f>Nutrients!B9</f>
        <v>Milo</v>
      </c>
      <c r="B10" s="99"/>
      <c r="C10" s="99"/>
      <c r="D10" s="99"/>
      <c r="E10" s="99"/>
      <c r="F10" s="99"/>
      <c r="G10" s="99"/>
      <c r="H10" s="99"/>
      <c r="I10" s="99"/>
      <c r="J10" s="99"/>
      <c r="K10" s="99"/>
      <c r="L10" s="99"/>
      <c r="M10" s="99"/>
      <c r="N10" s="99"/>
      <c r="O10" s="10"/>
      <c r="P10" s="99"/>
      <c r="Q10" s="99"/>
      <c r="R10" s="99"/>
      <c r="S10" s="99"/>
      <c r="T10" s="99"/>
      <c r="U10" s="99"/>
      <c r="W10" s="99"/>
      <c r="X10" s="99"/>
      <c r="Y10" s="99"/>
      <c r="Z10" s="99"/>
      <c r="AA10" s="99"/>
      <c r="AB10" s="99"/>
      <c r="AD10" s="99"/>
      <c r="AE10" s="99"/>
      <c r="AF10" s="99"/>
      <c r="AG10" s="99"/>
      <c r="AH10" s="99"/>
      <c r="AI10" s="99"/>
      <c r="AK10" s="99"/>
      <c r="AL10" s="99"/>
      <c r="AM10" s="99"/>
      <c r="AN10" s="99"/>
      <c r="AO10" s="99"/>
      <c r="AP10" s="99"/>
      <c r="AR10" s="99"/>
      <c r="AS10" s="99"/>
      <c r="AT10" s="99"/>
      <c r="AU10" s="99"/>
      <c r="AV10" s="99"/>
      <c r="AW10" s="99"/>
    </row>
    <row r="11" spans="1:49" ht="13.05" hidden="1" customHeight="1" x14ac:dyDescent="0.25">
      <c r="A11" t="str">
        <f>Nutrients!B10</f>
        <v>Alfalfa Meal</v>
      </c>
      <c r="B11" s="106"/>
      <c r="C11" s="106"/>
      <c r="D11" s="106"/>
      <c r="E11" s="106"/>
      <c r="F11" s="106"/>
      <c r="G11" s="106"/>
      <c r="H11" s="106"/>
      <c r="I11" s="106"/>
      <c r="J11" s="106"/>
      <c r="K11" s="106"/>
      <c r="L11" s="106"/>
      <c r="M11" s="106"/>
      <c r="N11" s="106"/>
      <c r="O11" s="29"/>
      <c r="P11" s="106"/>
      <c r="Q11" s="106"/>
      <c r="R11" s="106"/>
      <c r="S11" s="106"/>
      <c r="T11" s="106"/>
      <c r="U11" s="106"/>
      <c r="W11" s="106"/>
      <c r="X11" s="106"/>
      <c r="Y11" s="106"/>
      <c r="Z11" s="106"/>
      <c r="AA11" s="106"/>
      <c r="AB11" s="106"/>
      <c r="AD11" s="106"/>
      <c r="AE11" s="106"/>
      <c r="AF11" s="106"/>
      <c r="AG11" s="106"/>
      <c r="AH11" s="106"/>
      <c r="AI11" s="106"/>
      <c r="AK11" s="106"/>
      <c r="AL11" s="106"/>
      <c r="AM11" s="106"/>
      <c r="AN11" s="106"/>
      <c r="AO11" s="106"/>
      <c r="AP11" s="106"/>
      <c r="AR11" s="106"/>
      <c r="AS11" s="106"/>
      <c r="AT11" s="106"/>
      <c r="AU11" s="106"/>
      <c r="AV11" s="106"/>
      <c r="AW11" s="106"/>
    </row>
    <row r="12" spans="1:49" ht="13.05" hidden="1" customHeight="1" x14ac:dyDescent="0.25">
      <c r="A12" t="str">
        <f>Nutrients!B11</f>
        <v>Bakery Meal</v>
      </c>
      <c r="B12" s="106"/>
      <c r="C12" s="106"/>
      <c r="D12" s="106"/>
      <c r="E12" s="106"/>
      <c r="F12" s="106"/>
      <c r="G12" s="106"/>
      <c r="H12" s="106"/>
      <c r="I12" s="106"/>
      <c r="J12" s="106"/>
      <c r="K12" s="106"/>
      <c r="L12" s="106"/>
      <c r="M12" s="106"/>
      <c r="N12" s="106"/>
      <c r="O12" s="29"/>
      <c r="P12" s="106"/>
      <c r="Q12" s="106"/>
      <c r="R12" s="106"/>
      <c r="S12" s="106"/>
      <c r="T12" s="106"/>
      <c r="U12" s="106"/>
      <c r="W12" s="106"/>
      <c r="X12" s="106"/>
      <c r="Y12" s="106"/>
      <c r="Z12" s="106"/>
      <c r="AA12" s="106"/>
      <c r="AB12" s="106"/>
      <c r="AD12" s="106"/>
      <c r="AE12" s="106"/>
      <c r="AF12" s="106"/>
      <c r="AG12" s="106"/>
      <c r="AH12" s="106"/>
      <c r="AI12" s="106"/>
      <c r="AK12" s="106"/>
      <c r="AL12" s="106"/>
      <c r="AM12" s="106"/>
      <c r="AN12" s="106"/>
      <c r="AO12" s="106"/>
      <c r="AP12" s="106"/>
      <c r="AR12" s="106"/>
      <c r="AS12" s="106"/>
      <c r="AT12" s="106"/>
      <c r="AU12" s="106"/>
      <c r="AV12" s="106"/>
      <c r="AW12" s="106"/>
    </row>
    <row r="13" spans="1:49" ht="13.05" hidden="1" customHeight="1" x14ac:dyDescent="0.25">
      <c r="A13" t="str">
        <f>Nutrients!B12</f>
        <v>Barley</v>
      </c>
      <c r="B13" s="99"/>
      <c r="C13" s="99"/>
      <c r="D13" s="99"/>
      <c r="E13" s="99"/>
      <c r="F13" s="99"/>
      <c r="G13" s="99"/>
      <c r="H13" s="99"/>
      <c r="I13" s="99"/>
      <c r="J13" s="99"/>
      <c r="K13" s="99"/>
      <c r="L13" s="99"/>
      <c r="M13" s="99"/>
      <c r="N13" s="99"/>
      <c r="O13" s="10"/>
      <c r="P13" s="99"/>
      <c r="Q13" s="99"/>
      <c r="R13" s="99"/>
      <c r="S13" s="99"/>
      <c r="T13" s="99"/>
      <c r="U13" s="99"/>
      <c r="W13" s="99"/>
      <c r="X13" s="99"/>
      <c r="Y13" s="99"/>
      <c r="Z13" s="99"/>
      <c r="AA13" s="99"/>
      <c r="AB13" s="99"/>
      <c r="AD13" s="99"/>
      <c r="AE13" s="99"/>
      <c r="AF13" s="99"/>
      <c r="AG13" s="99"/>
      <c r="AH13" s="99"/>
      <c r="AI13" s="99"/>
      <c r="AK13" s="99"/>
      <c r="AL13" s="99"/>
      <c r="AM13" s="99"/>
      <c r="AN13" s="99"/>
      <c r="AO13" s="99"/>
      <c r="AP13" s="99"/>
      <c r="AR13" s="99"/>
      <c r="AS13" s="99"/>
      <c r="AT13" s="99"/>
      <c r="AU13" s="99"/>
      <c r="AV13" s="99"/>
      <c r="AW13" s="99"/>
    </row>
    <row r="14" spans="1:49" ht="13.05" hidden="1" customHeight="1" x14ac:dyDescent="0.25">
      <c r="A14" t="str">
        <f>Nutrients!B13</f>
        <v>Barley, Hulless</v>
      </c>
      <c r="B14" s="99"/>
      <c r="C14" s="99"/>
      <c r="D14" s="99"/>
      <c r="E14" s="99"/>
      <c r="F14" s="99"/>
      <c r="G14" s="99"/>
      <c r="H14" s="99"/>
      <c r="I14" s="99"/>
      <c r="J14" s="99"/>
      <c r="K14" s="99"/>
      <c r="L14" s="99"/>
      <c r="M14" s="99"/>
      <c r="N14" s="99"/>
      <c r="O14" s="10"/>
      <c r="P14" s="99"/>
      <c r="Q14" s="99"/>
      <c r="R14" s="99"/>
      <c r="S14" s="99"/>
      <c r="T14" s="99"/>
      <c r="U14" s="99"/>
      <c r="W14" s="99"/>
      <c r="X14" s="99"/>
      <c r="Y14" s="99"/>
      <c r="Z14" s="99"/>
      <c r="AA14" s="99"/>
      <c r="AB14" s="99"/>
      <c r="AD14" s="99"/>
      <c r="AE14" s="99"/>
      <c r="AF14" s="99"/>
      <c r="AG14" s="99"/>
      <c r="AH14" s="99"/>
      <c r="AI14" s="99"/>
      <c r="AK14" s="99"/>
      <c r="AL14" s="99"/>
      <c r="AM14" s="99"/>
      <c r="AN14" s="99"/>
      <c r="AO14" s="99"/>
      <c r="AP14" s="99"/>
      <c r="AR14" s="99"/>
      <c r="AS14" s="99"/>
      <c r="AT14" s="99"/>
      <c r="AU14" s="99"/>
      <c r="AV14" s="99"/>
      <c r="AW14" s="99"/>
    </row>
    <row r="15" spans="1:49" ht="13.05" hidden="1" customHeight="1" x14ac:dyDescent="0.25">
      <c r="A15" t="str">
        <f>Nutrients!B14</f>
        <v>Beans, Faba</v>
      </c>
      <c r="B15" s="99"/>
      <c r="C15" s="99"/>
      <c r="D15" s="99"/>
      <c r="E15" s="99"/>
      <c r="F15" s="99"/>
      <c r="G15" s="99"/>
      <c r="H15" s="99"/>
      <c r="I15" s="99"/>
      <c r="J15" s="99"/>
      <c r="K15" s="99"/>
      <c r="L15" s="99"/>
      <c r="M15" s="99"/>
      <c r="N15" s="99"/>
      <c r="O15" s="10"/>
      <c r="P15" s="99"/>
      <c r="Q15" s="99"/>
      <c r="R15" s="99"/>
      <c r="S15" s="99"/>
      <c r="T15" s="99"/>
      <c r="U15" s="99"/>
      <c r="W15" s="99"/>
      <c r="X15" s="99"/>
      <c r="Y15" s="99"/>
      <c r="Z15" s="99"/>
      <c r="AA15" s="99"/>
      <c r="AB15" s="99"/>
      <c r="AD15" s="99"/>
      <c r="AE15" s="99"/>
      <c r="AF15" s="99"/>
      <c r="AG15" s="99"/>
      <c r="AH15" s="99"/>
      <c r="AI15" s="99"/>
      <c r="AK15" s="99"/>
      <c r="AL15" s="99"/>
      <c r="AM15" s="99"/>
      <c r="AN15" s="99"/>
      <c r="AO15" s="99"/>
      <c r="AP15" s="99"/>
      <c r="AR15" s="99"/>
      <c r="AS15" s="99"/>
      <c r="AT15" s="99"/>
      <c r="AU15" s="99"/>
      <c r="AV15" s="99"/>
      <c r="AW15" s="99"/>
    </row>
    <row r="16" spans="1:49" ht="13.05" hidden="1" customHeight="1" x14ac:dyDescent="0.25">
      <c r="A16" t="str">
        <f>Nutrients!B15</f>
        <v>Blood Meal</v>
      </c>
      <c r="B16" s="99"/>
      <c r="C16" s="99"/>
      <c r="D16" s="99"/>
      <c r="E16" s="99"/>
      <c r="F16" s="99"/>
      <c r="G16" s="99"/>
      <c r="H16" s="99"/>
      <c r="I16" s="99"/>
      <c r="J16" s="99"/>
      <c r="K16" s="99"/>
      <c r="L16" s="99"/>
      <c r="M16" s="99"/>
      <c r="N16" s="99"/>
      <c r="O16" s="10"/>
      <c r="P16" s="99"/>
      <c r="Q16" s="99"/>
      <c r="R16" s="99"/>
      <c r="S16" s="99"/>
      <c r="T16" s="99"/>
      <c r="U16" s="99"/>
      <c r="W16" s="99"/>
      <c r="X16" s="99"/>
      <c r="Y16" s="99"/>
      <c r="Z16" s="99"/>
      <c r="AA16" s="99"/>
      <c r="AB16" s="99"/>
      <c r="AD16" s="99"/>
      <c r="AE16" s="99"/>
      <c r="AF16" s="99"/>
      <c r="AG16" s="99"/>
      <c r="AH16" s="99"/>
      <c r="AI16" s="99"/>
      <c r="AK16" s="99"/>
      <c r="AL16" s="99"/>
      <c r="AM16" s="99"/>
      <c r="AN16" s="99"/>
      <c r="AO16" s="99"/>
      <c r="AP16" s="99"/>
      <c r="AR16" s="99"/>
      <c r="AS16" s="99"/>
      <c r="AT16" s="99"/>
      <c r="AU16" s="99"/>
      <c r="AV16" s="99"/>
      <c r="AW16" s="99"/>
    </row>
    <row r="17" spans="1:49" ht="13.05" hidden="1" customHeight="1" x14ac:dyDescent="0.25">
      <c r="A17" t="str">
        <f>Nutrients!B16</f>
        <v>Blood Plasma</v>
      </c>
      <c r="B17" s="99"/>
      <c r="C17" s="99"/>
      <c r="D17" s="99"/>
      <c r="E17" s="99"/>
      <c r="F17" s="99"/>
      <c r="G17" s="99"/>
      <c r="H17" s="99"/>
      <c r="I17" s="99"/>
      <c r="J17" s="99"/>
      <c r="K17" s="99"/>
      <c r="L17" s="99"/>
      <c r="M17" s="99"/>
      <c r="N17" s="99"/>
      <c r="O17" s="10"/>
      <c r="P17" s="99"/>
      <c r="Q17" s="99"/>
      <c r="R17" s="99"/>
      <c r="S17" s="99"/>
      <c r="T17" s="99"/>
      <c r="U17" s="99"/>
      <c r="W17" s="99"/>
      <c r="X17" s="99"/>
      <c r="Y17" s="99"/>
      <c r="Z17" s="99"/>
      <c r="AA17" s="99"/>
      <c r="AB17" s="99"/>
      <c r="AD17" s="99"/>
      <c r="AE17" s="99"/>
      <c r="AF17" s="99"/>
      <c r="AG17" s="99"/>
      <c r="AH17" s="99"/>
      <c r="AI17" s="99"/>
      <c r="AK17" s="99"/>
      <c r="AL17" s="99"/>
      <c r="AM17" s="99"/>
      <c r="AN17" s="99"/>
      <c r="AO17" s="99"/>
      <c r="AP17" s="99"/>
      <c r="AR17" s="99"/>
      <c r="AS17" s="99"/>
      <c r="AT17" s="99"/>
      <c r="AU17" s="99"/>
      <c r="AV17" s="99"/>
      <c r="AW17" s="99"/>
    </row>
    <row r="18" spans="1:49" ht="13.05" hidden="1" customHeight="1" x14ac:dyDescent="0.25">
      <c r="A18" t="str">
        <f>Nutrients!B17</f>
        <v>Brewers Grain</v>
      </c>
      <c r="B18" s="99"/>
      <c r="C18" s="99"/>
      <c r="D18" s="99"/>
      <c r="E18" s="99"/>
      <c r="F18" s="99"/>
      <c r="G18" s="99"/>
      <c r="H18" s="99"/>
      <c r="I18" s="99"/>
      <c r="J18" s="99"/>
      <c r="K18" s="99"/>
      <c r="L18" s="99"/>
      <c r="M18" s="99"/>
      <c r="N18" s="99"/>
      <c r="O18" s="10"/>
      <c r="P18" s="99"/>
      <c r="Q18" s="99"/>
      <c r="R18" s="99"/>
      <c r="S18" s="99"/>
      <c r="T18" s="99"/>
      <c r="U18" s="99"/>
      <c r="W18" s="99"/>
      <c r="X18" s="99"/>
      <c r="Y18" s="99"/>
      <c r="Z18" s="99"/>
      <c r="AA18" s="99"/>
      <c r="AB18" s="99"/>
      <c r="AD18" s="99"/>
      <c r="AE18" s="99"/>
      <c r="AF18" s="99"/>
      <c r="AG18" s="99"/>
      <c r="AH18" s="99"/>
      <c r="AI18" s="99"/>
      <c r="AK18" s="99"/>
      <c r="AL18" s="99"/>
      <c r="AM18" s="99"/>
      <c r="AN18" s="99"/>
      <c r="AO18" s="99"/>
      <c r="AP18" s="99"/>
      <c r="AR18" s="99"/>
      <c r="AS18" s="99"/>
      <c r="AT18" s="99"/>
      <c r="AU18" s="99"/>
      <c r="AV18" s="99"/>
      <c r="AW18" s="99"/>
    </row>
    <row r="19" spans="1:49" ht="13.05" hidden="1" customHeight="1" x14ac:dyDescent="0.25">
      <c r="A19" t="str">
        <f>Nutrients!B18</f>
        <v>Canola, Full Fat</v>
      </c>
      <c r="B19" s="99"/>
      <c r="C19" s="99"/>
      <c r="D19" s="99"/>
      <c r="E19" s="99"/>
      <c r="F19" s="99"/>
      <c r="G19" s="99"/>
      <c r="H19" s="99"/>
      <c r="I19" s="99"/>
      <c r="J19" s="99"/>
      <c r="K19" s="99"/>
      <c r="L19" s="99"/>
      <c r="M19" s="99"/>
      <c r="N19" s="99"/>
      <c r="O19" s="10"/>
      <c r="P19" s="99"/>
      <c r="Q19" s="99"/>
      <c r="R19" s="99"/>
      <c r="S19" s="99"/>
      <c r="T19" s="99"/>
      <c r="U19" s="99"/>
      <c r="W19" s="99"/>
      <c r="X19" s="99"/>
      <c r="Y19" s="99"/>
      <c r="Z19" s="99"/>
      <c r="AA19" s="99"/>
      <c r="AB19" s="99"/>
      <c r="AD19" s="99"/>
      <c r="AE19" s="99"/>
      <c r="AF19" s="99"/>
      <c r="AG19" s="99"/>
      <c r="AH19" s="99"/>
      <c r="AI19" s="99"/>
      <c r="AK19" s="99"/>
      <c r="AL19" s="99"/>
      <c r="AM19" s="99"/>
      <c r="AN19" s="99"/>
      <c r="AO19" s="99"/>
      <c r="AP19" s="99"/>
      <c r="AR19" s="99"/>
      <c r="AS19" s="99"/>
      <c r="AT19" s="99"/>
      <c r="AU19" s="99"/>
      <c r="AV19" s="99"/>
      <c r="AW19" s="99"/>
    </row>
    <row r="20" spans="1:49" ht="13.05" hidden="1" customHeight="1" x14ac:dyDescent="0.25">
      <c r="A20" t="str">
        <f>Nutrients!B19</f>
        <v>Canola Meal, Expelled</v>
      </c>
      <c r="B20" s="99"/>
      <c r="C20" s="99"/>
      <c r="D20" s="99"/>
      <c r="E20" s="99"/>
      <c r="F20" s="99"/>
      <c r="G20" s="99"/>
      <c r="H20" s="99"/>
      <c r="I20" s="99"/>
      <c r="J20" s="99"/>
      <c r="K20" s="99"/>
      <c r="L20" s="99"/>
      <c r="M20" s="99"/>
      <c r="N20" s="99"/>
      <c r="O20" s="10"/>
      <c r="P20" s="99"/>
      <c r="Q20" s="99"/>
      <c r="R20" s="99"/>
      <c r="S20" s="99"/>
      <c r="T20" s="99"/>
      <c r="U20" s="99"/>
      <c r="W20" s="99"/>
      <c r="X20" s="99"/>
      <c r="Y20" s="99"/>
      <c r="Z20" s="99"/>
      <c r="AA20" s="99"/>
      <c r="AB20" s="99"/>
      <c r="AD20" s="99"/>
      <c r="AE20" s="99"/>
      <c r="AF20" s="99"/>
      <c r="AG20" s="99"/>
      <c r="AH20" s="99"/>
      <c r="AI20" s="99"/>
      <c r="AK20" s="99"/>
      <c r="AL20" s="99"/>
      <c r="AM20" s="99"/>
      <c r="AN20" s="99"/>
      <c r="AO20" s="99"/>
      <c r="AP20" s="99"/>
      <c r="AR20" s="99"/>
      <c r="AS20" s="99"/>
      <c r="AT20" s="99"/>
      <c r="AU20" s="99"/>
      <c r="AV20" s="99"/>
      <c r="AW20" s="99"/>
    </row>
    <row r="21" spans="1:49" ht="13.05" hidden="1" customHeight="1" x14ac:dyDescent="0.25">
      <c r="A21" t="str">
        <f>Nutrients!B20</f>
        <v>Canola Meal, Solvent Extracted</v>
      </c>
      <c r="B21" s="99"/>
      <c r="C21" s="99"/>
      <c r="D21" s="99"/>
      <c r="E21" s="99"/>
      <c r="F21" s="99"/>
      <c r="G21" s="99"/>
      <c r="H21" s="99"/>
      <c r="I21" s="99"/>
      <c r="J21" s="99"/>
      <c r="K21" s="99"/>
      <c r="L21" s="99"/>
      <c r="M21" s="99"/>
      <c r="N21" s="99"/>
      <c r="O21" s="10"/>
      <c r="P21" s="99"/>
      <c r="Q21" s="99"/>
      <c r="R21" s="99"/>
      <c r="S21" s="99"/>
      <c r="T21" s="99"/>
      <c r="U21" s="99"/>
      <c r="W21" s="99"/>
      <c r="X21" s="99"/>
      <c r="Y21" s="99"/>
      <c r="Z21" s="99"/>
      <c r="AA21" s="99"/>
      <c r="AB21" s="99"/>
      <c r="AD21" s="99"/>
      <c r="AE21" s="99"/>
      <c r="AF21" s="99"/>
      <c r="AG21" s="99"/>
      <c r="AH21" s="99"/>
      <c r="AI21" s="99"/>
      <c r="AK21" s="99"/>
      <c r="AL21" s="99"/>
      <c r="AM21" s="99"/>
      <c r="AN21" s="99"/>
      <c r="AO21" s="99"/>
      <c r="AP21" s="99"/>
      <c r="AR21" s="99"/>
      <c r="AS21" s="99"/>
      <c r="AT21" s="99"/>
      <c r="AU21" s="99"/>
      <c r="AV21" s="99"/>
      <c r="AW21" s="99"/>
    </row>
    <row r="22" spans="1:49" ht="13.05" hidden="1" customHeight="1" x14ac:dyDescent="0.25">
      <c r="A22" t="str">
        <f>Nutrients!B21</f>
        <v>Casava Meal</v>
      </c>
      <c r="B22" s="99"/>
      <c r="C22" s="99"/>
      <c r="D22" s="99"/>
      <c r="E22" s="99"/>
      <c r="F22" s="99"/>
      <c r="G22" s="99"/>
      <c r="H22" s="99"/>
      <c r="I22" s="99"/>
      <c r="J22" s="99"/>
      <c r="K22" s="99"/>
      <c r="L22" s="99"/>
      <c r="M22" s="99"/>
      <c r="N22" s="99"/>
      <c r="O22" s="10"/>
      <c r="P22" s="99"/>
      <c r="Q22" s="99"/>
      <c r="R22" s="99"/>
      <c r="S22" s="99"/>
      <c r="T22" s="99"/>
      <c r="U22" s="99"/>
      <c r="W22" s="99"/>
      <c r="X22" s="99"/>
      <c r="Y22" s="99"/>
      <c r="Z22" s="99"/>
      <c r="AA22" s="99"/>
      <c r="AB22" s="99"/>
      <c r="AD22" s="99"/>
      <c r="AE22" s="99"/>
      <c r="AF22" s="99"/>
      <c r="AG22" s="99"/>
      <c r="AH22" s="99"/>
      <c r="AI22" s="99"/>
      <c r="AK22" s="99"/>
      <c r="AL22" s="99"/>
      <c r="AM22" s="99"/>
      <c r="AN22" s="99"/>
      <c r="AO22" s="99"/>
      <c r="AP22" s="99"/>
      <c r="AR22" s="99"/>
      <c r="AS22" s="99"/>
      <c r="AT22" s="99"/>
      <c r="AU22" s="99"/>
      <c r="AV22" s="99"/>
      <c r="AW22" s="99"/>
    </row>
    <row r="23" spans="1:49" ht="13.05" hidden="1" customHeight="1" x14ac:dyDescent="0.25">
      <c r="A23" t="str">
        <f>Nutrients!B22</f>
        <v>Citrus Pulp</v>
      </c>
      <c r="B23" s="99"/>
      <c r="C23" s="99"/>
      <c r="D23" s="99"/>
      <c r="E23" s="99"/>
      <c r="F23" s="99"/>
      <c r="G23" s="99"/>
      <c r="H23" s="99"/>
      <c r="I23" s="99"/>
      <c r="J23" s="99"/>
      <c r="K23" s="99"/>
      <c r="L23" s="99"/>
      <c r="M23" s="99"/>
      <c r="N23" s="99"/>
      <c r="O23" s="10"/>
      <c r="P23" s="99"/>
      <c r="Q23" s="99"/>
      <c r="R23" s="99"/>
      <c r="S23" s="99"/>
      <c r="T23" s="99"/>
      <c r="U23" s="99"/>
      <c r="W23" s="99"/>
      <c r="X23" s="99"/>
      <c r="Y23" s="99"/>
      <c r="Z23" s="99"/>
      <c r="AA23" s="99"/>
      <c r="AB23" s="99"/>
      <c r="AD23" s="99"/>
      <c r="AE23" s="99"/>
      <c r="AF23" s="99"/>
      <c r="AG23" s="99"/>
      <c r="AH23" s="99"/>
      <c r="AI23" s="99"/>
      <c r="AK23" s="99"/>
      <c r="AL23" s="99"/>
      <c r="AM23" s="99"/>
      <c r="AN23" s="99"/>
      <c r="AO23" s="99"/>
      <c r="AP23" s="99"/>
      <c r="AR23" s="99"/>
      <c r="AS23" s="99"/>
      <c r="AT23" s="99"/>
      <c r="AU23" s="99"/>
      <c r="AV23" s="99"/>
      <c r="AW23" s="99"/>
    </row>
    <row r="24" spans="1:49" ht="13.05" hidden="1" customHeight="1" x14ac:dyDescent="0.25">
      <c r="A24" t="str">
        <f>Nutrients!B23</f>
        <v>Copra Meal</v>
      </c>
      <c r="B24" s="99"/>
      <c r="C24" s="99"/>
      <c r="D24" s="99"/>
      <c r="E24" s="99"/>
      <c r="F24" s="99"/>
      <c r="G24" s="99"/>
      <c r="H24" s="99"/>
      <c r="I24" s="99"/>
      <c r="J24" s="99"/>
      <c r="K24" s="99"/>
      <c r="L24" s="99"/>
      <c r="M24" s="99"/>
      <c r="N24" s="99"/>
      <c r="O24" s="10"/>
      <c r="P24" s="99"/>
      <c r="Q24" s="99"/>
      <c r="R24" s="99"/>
      <c r="S24" s="99"/>
      <c r="T24" s="99"/>
      <c r="U24" s="99"/>
      <c r="W24" s="99"/>
      <c r="X24" s="99"/>
      <c r="Y24" s="99"/>
      <c r="Z24" s="99"/>
      <c r="AA24" s="99"/>
      <c r="AB24" s="99"/>
      <c r="AD24" s="99"/>
      <c r="AE24" s="99"/>
      <c r="AF24" s="99"/>
      <c r="AG24" s="99"/>
      <c r="AH24" s="99"/>
      <c r="AI24" s="99"/>
      <c r="AK24" s="99"/>
      <c r="AL24" s="99"/>
      <c r="AM24" s="99"/>
      <c r="AN24" s="99"/>
      <c r="AO24" s="99"/>
      <c r="AP24" s="99"/>
      <c r="AR24" s="99"/>
      <c r="AS24" s="99"/>
      <c r="AT24" s="99"/>
      <c r="AU24" s="99"/>
      <c r="AV24" s="99"/>
      <c r="AW24" s="99"/>
    </row>
    <row r="25" spans="1:49" ht="13.05" hidden="1" customHeight="1" x14ac:dyDescent="0.25">
      <c r="A25" t="str">
        <f>Nutrients!B24</f>
        <v>Corn, Yellow Dent</v>
      </c>
      <c r="B25" s="99"/>
      <c r="C25" s="99"/>
      <c r="D25" s="99"/>
      <c r="E25" s="99"/>
      <c r="F25" s="99"/>
      <c r="G25" s="99"/>
      <c r="H25" s="99"/>
      <c r="I25" s="99"/>
      <c r="J25" s="99"/>
      <c r="K25" s="99"/>
      <c r="L25" s="99"/>
      <c r="M25" s="99"/>
      <c r="N25" s="99"/>
      <c r="O25" s="10"/>
      <c r="P25" s="99"/>
      <c r="Q25" s="99"/>
      <c r="R25" s="99"/>
      <c r="S25" s="99"/>
      <c r="T25" s="99"/>
      <c r="U25" s="99"/>
      <c r="W25" s="99"/>
      <c r="X25" s="99"/>
      <c r="Y25" s="99"/>
      <c r="Z25" s="99"/>
      <c r="AA25" s="99"/>
      <c r="AB25" s="99"/>
      <c r="AD25" s="99"/>
      <c r="AE25" s="99"/>
      <c r="AF25" s="99"/>
      <c r="AG25" s="99"/>
      <c r="AH25" s="99"/>
      <c r="AI25" s="99"/>
      <c r="AK25" s="99"/>
      <c r="AL25" s="99"/>
      <c r="AM25" s="99"/>
      <c r="AN25" s="99"/>
      <c r="AO25" s="99"/>
      <c r="AP25" s="99"/>
      <c r="AR25" s="99"/>
      <c r="AS25" s="99"/>
      <c r="AT25" s="99"/>
      <c r="AU25" s="99"/>
      <c r="AV25" s="99"/>
      <c r="AW25" s="99"/>
    </row>
    <row r="26" spans="1:49" ht="13.05" hidden="1" customHeight="1" x14ac:dyDescent="0.25">
      <c r="A26" t="str">
        <f>Nutrients!B25</f>
        <v>Corn, Nutridense</v>
      </c>
      <c r="B26" s="99"/>
      <c r="C26" s="99"/>
      <c r="D26" s="99"/>
      <c r="E26" s="99"/>
      <c r="F26" s="99"/>
      <c r="G26" s="99"/>
      <c r="H26" s="99"/>
      <c r="I26" s="99"/>
      <c r="J26" s="99"/>
      <c r="K26" s="99"/>
      <c r="L26" s="99"/>
      <c r="M26" s="99"/>
      <c r="N26" s="99"/>
      <c r="O26" s="10"/>
      <c r="P26" s="99"/>
      <c r="Q26" s="99"/>
      <c r="R26" s="99"/>
      <c r="S26" s="99"/>
      <c r="T26" s="99"/>
      <c r="U26" s="99"/>
      <c r="W26" s="99"/>
      <c r="X26" s="99"/>
      <c r="Y26" s="99"/>
      <c r="Z26" s="99"/>
      <c r="AA26" s="99"/>
      <c r="AB26" s="99"/>
      <c r="AD26" s="99"/>
      <c r="AE26" s="99"/>
      <c r="AF26" s="99"/>
      <c r="AG26" s="99"/>
      <c r="AH26" s="99"/>
      <c r="AI26" s="99"/>
      <c r="AK26" s="99"/>
      <c r="AL26" s="99"/>
      <c r="AM26" s="99"/>
      <c r="AN26" s="99"/>
      <c r="AO26" s="99"/>
      <c r="AP26" s="99"/>
      <c r="AR26" s="99"/>
      <c r="AS26" s="99"/>
      <c r="AT26" s="99"/>
      <c r="AU26" s="99"/>
      <c r="AV26" s="99"/>
      <c r="AW26" s="99"/>
    </row>
    <row r="27" spans="1:49" ht="13.05" hidden="1" customHeight="1" x14ac:dyDescent="0.25">
      <c r="A27" t="str">
        <f>Nutrients!B26</f>
        <v>Corn Bran</v>
      </c>
      <c r="B27" s="99"/>
      <c r="C27" s="99"/>
      <c r="D27" s="99"/>
      <c r="E27" s="99"/>
      <c r="F27" s="99"/>
      <c r="G27" s="99"/>
      <c r="H27" s="99"/>
      <c r="I27" s="99"/>
      <c r="J27" s="99"/>
      <c r="K27" s="99"/>
      <c r="L27" s="99"/>
      <c r="M27" s="99"/>
      <c r="N27" s="99"/>
      <c r="O27" s="10"/>
      <c r="P27" s="99"/>
      <c r="Q27" s="99"/>
      <c r="R27" s="99"/>
      <c r="S27" s="99"/>
      <c r="T27" s="99"/>
      <c r="U27" s="99"/>
      <c r="W27" s="99"/>
      <c r="X27" s="99"/>
      <c r="Y27" s="99"/>
      <c r="Z27" s="99"/>
      <c r="AA27" s="99"/>
      <c r="AB27" s="99"/>
      <c r="AD27" s="99"/>
      <c r="AE27" s="99"/>
      <c r="AF27" s="99"/>
      <c r="AG27" s="99"/>
      <c r="AH27" s="99"/>
      <c r="AI27" s="99"/>
      <c r="AK27" s="99"/>
      <c r="AL27" s="99"/>
      <c r="AM27" s="99"/>
      <c r="AN27" s="99"/>
      <c r="AO27" s="99"/>
      <c r="AP27" s="99"/>
      <c r="AR27" s="99"/>
      <c r="AS27" s="99"/>
      <c r="AT27" s="99"/>
      <c r="AU27" s="99"/>
      <c r="AV27" s="99"/>
      <c r="AW27" s="99"/>
    </row>
    <row r="28" spans="1:49" ht="13.05" hidden="1" customHeight="1" x14ac:dyDescent="0.25">
      <c r="A28" t="str">
        <f>Nutrients!B27</f>
        <v>Corn DDG</v>
      </c>
      <c r="B28" s="99"/>
      <c r="C28" s="99"/>
      <c r="D28" s="99"/>
      <c r="E28" s="99"/>
      <c r="F28" s="99"/>
      <c r="G28" s="99"/>
      <c r="H28" s="99"/>
      <c r="I28" s="99"/>
      <c r="J28" s="99"/>
      <c r="K28" s="99"/>
      <c r="L28" s="99"/>
      <c r="M28" s="99"/>
      <c r="N28" s="99"/>
      <c r="O28" s="10"/>
      <c r="P28" s="99"/>
      <c r="Q28" s="99"/>
      <c r="R28" s="99"/>
      <c r="S28" s="99"/>
      <c r="T28" s="99"/>
      <c r="U28" s="99"/>
      <c r="W28" s="99"/>
      <c r="X28" s="99"/>
      <c r="Y28" s="99"/>
      <c r="Z28" s="99"/>
      <c r="AA28" s="99"/>
      <c r="AB28" s="99"/>
      <c r="AD28" s="99"/>
      <c r="AE28" s="99"/>
      <c r="AF28" s="99"/>
      <c r="AG28" s="99"/>
      <c r="AH28" s="99"/>
      <c r="AI28" s="99"/>
      <c r="AK28" s="99"/>
      <c r="AL28" s="99"/>
      <c r="AM28" s="99"/>
      <c r="AN28" s="99"/>
      <c r="AO28" s="99"/>
      <c r="AP28" s="99"/>
      <c r="AR28" s="99"/>
      <c r="AS28" s="99"/>
      <c r="AT28" s="99"/>
      <c r="AU28" s="99"/>
      <c r="AV28" s="99"/>
      <c r="AW28" s="99"/>
    </row>
    <row r="29" spans="1:49" ht="13.05" hidden="1" customHeight="1" x14ac:dyDescent="0.25">
      <c r="A29" t="str">
        <f>Nutrients!B28</f>
        <v>Corn DDGS, &gt;10% Oil</v>
      </c>
      <c r="B29" s="99"/>
      <c r="C29" s="99"/>
      <c r="D29" s="99"/>
      <c r="E29" s="99"/>
      <c r="F29" s="99"/>
      <c r="G29" s="99"/>
      <c r="H29" s="99"/>
      <c r="I29" s="99"/>
      <c r="J29" s="99"/>
      <c r="K29" s="99"/>
      <c r="L29" s="99"/>
      <c r="M29" s="99"/>
      <c r="N29" s="99"/>
      <c r="O29" s="10"/>
      <c r="P29" s="99"/>
      <c r="Q29" s="99"/>
      <c r="R29" s="99"/>
      <c r="S29" s="99"/>
      <c r="T29" s="99"/>
      <c r="U29" s="99"/>
      <c r="W29" s="99"/>
      <c r="X29" s="99"/>
      <c r="Y29" s="99"/>
      <c r="Z29" s="99"/>
      <c r="AA29" s="99"/>
      <c r="AB29" s="99"/>
      <c r="AD29" s="99"/>
      <c r="AE29" s="99"/>
      <c r="AF29" s="99"/>
      <c r="AG29" s="99"/>
      <c r="AH29" s="99"/>
      <c r="AI29" s="99"/>
      <c r="AK29" s="99"/>
      <c r="AL29" s="99"/>
      <c r="AM29" s="99"/>
      <c r="AN29" s="99"/>
      <c r="AO29" s="99"/>
      <c r="AP29" s="99"/>
      <c r="AR29" s="99"/>
      <c r="AS29" s="99"/>
      <c r="AT29" s="99"/>
      <c r="AU29" s="99"/>
      <c r="AV29" s="99"/>
      <c r="AW29" s="99"/>
    </row>
    <row r="30" spans="1:49" ht="13.05" hidden="1" customHeight="1" x14ac:dyDescent="0.25">
      <c r="A30" t="str">
        <f>Nutrients!B29</f>
        <v>Corn DDGS, &gt;6 and &lt;9% Oil</v>
      </c>
      <c r="B30" s="99"/>
      <c r="C30" s="99"/>
      <c r="D30" s="99"/>
      <c r="E30" s="99"/>
      <c r="F30" s="99"/>
      <c r="G30" s="99"/>
      <c r="H30" s="99"/>
      <c r="I30" s="99"/>
      <c r="J30" s="99"/>
      <c r="K30" s="99"/>
      <c r="L30" s="99"/>
      <c r="M30" s="99"/>
      <c r="N30" s="99"/>
      <c r="O30" s="10"/>
      <c r="P30" s="99"/>
      <c r="Q30" s="99"/>
      <c r="R30" s="99"/>
      <c r="S30" s="99"/>
      <c r="T30" s="99"/>
      <c r="U30" s="99"/>
      <c r="W30" s="99"/>
      <c r="X30" s="99"/>
      <c r="Y30" s="99"/>
      <c r="Z30" s="99"/>
      <c r="AA30" s="99"/>
      <c r="AB30" s="99"/>
      <c r="AD30" s="99"/>
      <c r="AE30" s="99"/>
      <c r="AF30" s="99"/>
      <c r="AG30" s="99"/>
      <c r="AH30" s="99"/>
      <c r="AI30" s="99"/>
      <c r="AK30" s="99"/>
      <c r="AL30" s="99"/>
      <c r="AM30" s="99"/>
      <c r="AN30" s="99"/>
      <c r="AO30" s="99"/>
      <c r="AP30" s="99"/>
      <c r="AR30" s="99"/>
      <c r="AS30" s="99"/>
      <c r="AT30" s="99"/>
      <c r="AU30" s="99"/>
      <c r="AV30" s="99"/>
      <c r="AW30" s="99"/>
    </row>
    <row r="31" spans="1:49" ht="13.05" hidden="1" customHeight="1" x14ac:dyDescent="0.25">
      <c r="A31" t="str">
        <f>Nutrients!B30</f>
        <v>Corn DDGS, &lt;4% Oil</v>
      </c>
      <c r="B31" s="99"/>
      <c r="C31" s="99"/>
      <c r="D31" s="99"/>
      <c r="E31" s="99"/>
      <c r="F31" s="99"/>
      <c r="G31" s="99"/>
      <c r="H31" s="99"/>
      <c r="I31" s="99"/>
      <c r="J31" s="99"/>
      <c r="K31" s="99"/>
      <c r="L31" s="99"/>
      <c r="M31" s="99"/>
      <c r="N31" s="99"/>
      <c r="O31" s="10"/>
      <c r="P31" s="99"/>
      <c r="Q31" s="99"/>
      <c r="R31" s="99"/>
      <c r="S31" s="99"/>
      <c r="T31" s="99"/>
      <c r="U31" s="99"/>
      <c r="W31" s="99"/>
      <c r="X31" s="99"/>
      <c r="Y31" s="99"/>
      <c r="Z31" s="99"/>
      <c r="AA31" s="99"/>
      <c r="AB31" s="99"/>
      <c r="AD31" s="99"/>
      <c r="AE31" s="99"/>
      <c r="AF31" s="99"/>
      <c r="AG31" s="99"/>
      <c r="AH31" s="99"/>
      <c r="AI31" s="99"/>
      <c r="AK31" s="99"/>
      <c r="AL31" s="99"/>
      <c r="AM31" s="99"/>
      <c r="AN31" s="99"/>
      <c r="AO31" s="99"/>
      <c r="AP31" s="99"/>
      <c r="AR31" s="99"/>
      <c r="AS31" s="99"/>
      <c r="AT31" s="99"/>
      <c r="AU31" s="99"/>
      <c r="AV31" s="99"/>
      <c r="AW31" s="99"/>
    </row>
    <row r="32" spans="1:49" ht="13.05" hidden="1" customHeight="1" x14ac:dyDescent="0.25">
      <c r="A32" t="str">
        <f>Nutrients!B31</f>
        <v>Corn HP DDG</v>
      </c>
      <c r="B32" s="99"/>
      <c r="C32" s="99"/>
      <c r="D32" s="99"/>
      <c r="E32" s="99"/>
      <c r="F32" s="99"/>
      <c r="G32" s="99"/>
      <c r="H32" s="99"/>
      <c r="I32" s="99"/>
      <c r="J32" s="99"/>
      <c r="K32" s="99"/>
      <c r="L32" s="99"/>
      <c r="M32" s="99"/>
      <c r="N32" s="99"/>
      <c r="O32" s="10"/>
      <c r="P32" s="99"/>
      <c r="Q32" s="99"/>
      <c r="R32" s="99"/>
      <c r="S32" s="99"/>
      <c r="T32" s="99"/>
      <c r="U32" s="99"/>
      <c r="W32" s="99"/>
      <c r="X32" s="99"/>
      <c r="Y32" s="99"/>
      <c r="Z32" s="99"/>
      <c r="AA32" s="99"/>
      <c r="AB32" s="99"/>
      <c r="AD32" s="99"/>
      <c r="AE32" s="99"/>
      <c r="AF32" s="99"/>
      <c r="AG32" s="99"/>
      <c r="AH32" s="99"/>
      <c r="AI32" s="99"/>
      <c r="AK32" s="99"/>
      <c r="AL32" s="99"/>
      <c r="AM32" s="99"/>
      <c r="AN32" s="99"/>
      <c r="AO32" s="99"/>
      <c r="AP32" s="99"/>
      <c r="AR32" s="99"/>
      <c r="AS32" s="99"/>
      <c r="AT32" s="99"/>
      <c r="AU32" s="99"/>
      <c r="AV32" s="99"/>
      <c r="AW32" s="99"/>
    </row>
    <row r="33" spans="1:49" ht="13.05" hidden="1" customHeight="1" x14ac:dyDescent="0.25">
      <c r="A33" t="str">
        <f>Nutrients!B32</f>
        <v>Corn Germ</v>
      </c>
      <c r="B33" s="99"/>
      <c r="C33" s="99"/>
      <c r="D33" s="99"/>
      <c r="E33" s="99"/>
      <c r="F33" s="99"/>
      <c r="G33" s="99"/>
      <c r="H33" s="99"/>
      <c r="I33" s="99"/>
      <c r="J33" s="99"/>
      <c r="K33" s="99"/>
      <c r="L33" s="99"/>
      <c r="M33" s="99"/>
      <c r="N33" s="99"/>
      <c r="O33" s="10"/>
      <c r="P33" s="99"/>
      <c r="Q33" s="99"/>
      <c r="R33" s="99"/>
      <c r="S33" s="99"/>
      <c r="T33" s="99"/>
      <c r="U33" s="99"/>
      <c r="W33" s="99"/>
      <c r="X33" s="99"/>
      <c r="Y33" s="99"/>
      <c r="Z33" s="99"/>
      <c r="AA33" s="99"/>
      <c r="AB33" s="99"/>
      <c r="AD33" s="99"/>
      <c r="AE33" s="99"/>
      <c r="AF33" s="99"/>
      <c r="AG33" s="99"/>
      <c r="AH33" s="99"/>
      <c r="AI33" s="99"/>
      <c r="AK33" s="99"/>
      <c r="AL33" s="99"/>
      <c r="AM33" s="99"/>
      <c r="AN33" s="99"/>
      <c r="AO33" s="99"/>
      <c r="AP33" s="99"/>
      <c r="AR33" s="99"/>
      <c r="AS33" s="99"/>
      <c r="AT33" s="99"/>
      <c r="AU33" s="99"/>
      <c r="AV33" s="99"/>
      <c r="AW33" s="99"/>
    </row>
    <row r="34" spans="1:49" ht="13.05" hidden="1" customHeight="1" x14ac:dyDescent="0.25">
      <c r="A34" t="str">
        <f>Nutrients!B33</f>
        <v>Corn Germ Meal</v>
      </c>
      <c r="B34" s="99"/>
      <c r="C34" s="99"/>
      <c r="D34" s="99"/>
      <c r="E34" s="99"/>
      <c r="F34" s="99"/>
      <c r="G34" s="99"/>
      <c r="H34" s="99"/>
      <c r="I34" s="99"/>
      <c r="J34" s="99"/>
      <c r="K34" s="99"/>
      <c r="L34" s="99"/>
      <c r="M34" s="99"/>
      <c r="N34" s="99"/>
      <c r="O34" s="10"/>
      <c r="P34" s="99"/>
      <c r="Q34" s="99"/>
      <c r="R34" s="99"/>
      <c r="S34" s="99"/>
      <c r="T34" s="99"/>
      <c r="U34" s="99"/>
      <c r="W34" s="99"/>
      <c r="X34" s="99"/>
      <c r="Y34" s="99"/>
      <c r="Z34" s="99"/>
      <c r="AA34" s="99"/>
      <c r="AB34" s="99"/>
      <c r="AD34" s="99"/>
      <c r="AE34" s="99"/>
      <c r="AF34" s="99"/>
      <c r="AG34" s="99"/>
      <c r="AH34" s="99"/>
      <c r="AI34" s="99"/>
      <c r="AK34" s="99"/>
      <c r="AL34" s="99"/>
      <c r="AM34" s="99"/>
      <c r="AN34" s="99"/>
      <c r="AO34" s="99"/>
      <c r="AP34" s="99"/>
      <c r="AR34" s="99"/>
      <c r="AS34" s="99"/>
      <c r="AT34" s="99"/>
      <c r="AU34" s="99"/>
      <c r="AV34" s="99"/>
      <c r="AW34" s="99"/>
    </row>
    <row r="35" spans="1:49" ht="13.05" hidden="1" customHeight="1" x14ac:dyDescent="0.25">
      <c r="A35" t="str">
        <f>Nutrients!B34</f>
        <v>Corn Gluten Feed</v>
      </c>
      <c r="B35" s="99"/>
      <c r="C35" s="99"/>
      <c r="D35" s="99"/>
      <c r="E35" s="99"/>
      <c r="F35" s="99"/>
      <c r="G35" s="99"/>
      <c r="H35" s="99"/>
      <c r="I35" s="99"/>
      <c r="J35" s="99"/>
      <c r="K35" s="99"/>
      <c r="L35" s="99"/>
      <c r="M35" s="99"/>
      <c r="N35" s="99"/>
      <c r="O35" s="10"/>
      <c r="P35" s="99"/>
      <c r="Q35" s="99"/>
      <c r="R35" s="99"/>
      <c r="S35" s="99"/>
      <c r="T35" s="99"/>
      <c r="U35" s="99"/>
      <c r="W35" s="99"/>
      <c r="X35" s="99"/>
      <c r="Y35" s="99"/>
      <c r="Z35" s="99"/>
      <c r="AA35" s="99"/>
      <c r="AB35" s="99"/>
      <c r="AD35" s="99"/>
      <c r="AE35" s="99"/>
      <c r="AF35" s="99"/>
      <c r="AG35" s="99"/>
      <c r="AH35" s="99"/>
      <c r="AI35" s="99"/>
      <c r="AK35" s="99"/>
      <c r="AL35" s="99"/>
      <c r="AM35" s="99"/>
      <c r="AN35" s="99"/>
      <c r="AO35" s="99"/>
      <c r="AP35" s="99"/>
      <c r="AR35" s="99"/>
      <c r="AS35" s="99"/>
      <c r="AT35" s="99"/>
      <c r="AU35" s="99"/>
      <c r="AV35" s="99"/>
      <c r="AW35" s="99"/>
    </row>
    <row r="36" spans="1:49" ht="13.05" hidden="1" customHeight="1" x14ac:dyDescent="0.25">
      <c r="A36" t="str">
        <f>Nutrients!B35</f>
        <v>Corn Gluten Meal</v>
      </c>
      <c r="B36" s="99"/>
      <c r="C36" s="99"/>
      <c r="D36" s="99"/>
      <c r="E36" s="99"/>
      <c r="F36" s="99"/>
      <c r="G36" s="99"/>
      <c r="H36" s="99"/>
      <c r="I36" s="99"/>
      <c r="J36" s="99"/>
      <c r="K36" s="99"/>
      <c r="L36" s="99"/>
      <c r="M36" s="99"/>
      <c r="N36" s="99"/>
      <c r="O36" s="10"/>
      <c r="P36" s="99"/>
      <c r="Q36" s="99"/>
      <c r="R36" s="99"/>
      <c r="S36" s="99"/>
      <c r="T36" s="99"/>
      <c r="U36" s="99"/>
      <c r="W36" s="99"/>
      <c r="X36" s="99"/>
      <c r="Y36" s="99"/>
      <c r="Z36" s="99"/>
      <c r="AA36" s="99"/>
      <c r="AB36" s="99"/>
      <c r="AD36" s="99"/>
      <c r="AE36" s="99"/>
      <c r="AF36" s="99"/>
      <c r="AG36" s="99"/>
      <c r="AH36" s="99"/>
      <c r="AI36" s="99"/>
      <c r="AK36" s="99"/>
      <c r="AL36" s="99"/>
      <c r="AM36" s="99"/>
      <c r="AN36" s="99"/>
      <c r="AO36" s="99"/>
      <c r="AP36" s="99"/>
      <c r="AR36" s="99"/>
      <c r="AS36" s="99"/>
      <c r="AT36" s="99"/>
      <c r="AU36" s="99"/>
      <c r="AV36" s="99"/>
      <c r="AW36" s="99"/>
    </row>
    <row r="37" spans="1:49" ht="13.05" hidden="1" customHeight="1" x14ac:dyDescent="0.25">
      <c r="A37" t="str">
        <f>Nutrients!B36</f>
        <v>Corn Grits, Hominy Feed</v>
      </c>
      <c r="B37" s="99"/>
      <c r="C37" s="99"/>
      <c r="D37" s="99"/>
      <c r="E37" s="99"/>
      <c r="F37" s="99"/>
      <c r="G37" s="99"/>
      <c r="H37" s="99"/>
      <c r="I37" s="99"/>
      <c r="J37" s="99"/>
      <c r="K37" s="99"/>
      <c r="L37" s="99"/>
      <c r="M37" s="99"/>
      <c r="N37" s="99"/>
      <c r="O37" s="10"/>
      <c r="P37" s="99"/>
      <c r="Q37" s="99"/>
      <c r="R37" s="99"/>
      <c r="S37" s="99"/>
      <c r="T37" s="99"/>
      <c r="U37" s="99"/>
      <c r="W37" s="99"/>
      <c r="X37" s="99"/>
      <c r="Y37" s="99"/>
      <c r="Z37" s="99"/>
      <c r="AA37" s="99"/>
      <c r="AB37" s="99"/>
      <c r="AD37" s="99"/>
      <c r="AE37" s="99"/>
      <c r="AF37" s="99"/>
      <c r="AG37" s="99"/>
      <c r="AH37" s="99"/>
      <c r="AI37" s="99"/>
      <c r="AK37" s="99"/>
      <c r="AL37" s="99"/>
      <c r="AM37" s="99"/>
      <c r="AN37" s="99"/>
      <c r="AO37" s="99"/>
      <c r="AP37" s="99"/>
      <c r="AR37" s="99"/>
      <c r="AS37" s="99"/>
      <c r="AT37" s="99"/>
      <c r="AU37" s="99"/>
      <c r="AV37" s="99"/>
      <c r="AW37" s="99"/>
    </row>
    <row r="38" spans="1:49" ht="13.05" hidden="1" customHeight="1" x14ac:dyDescent="0.25">
      <c r="A38" t="str">
        <f>Nutrients!B37</f>
        <v>Cotton Seeds, Fullfat</v>
      </c>
      <c r="B38" s="99"/>
      <c r="C38" s="99"/>
      <c r="D38" s="99"/>
      <c r="E38" s="99"/>
      <c r="F38" s="99"/>
      <c r="G38" s="99"/>
      <c r="H38" s="99"/>
      <c r="I38" s="99"/>
      <c r="J38" s="99"/>
      <c r="K38" s="99"/>
      <c r="L38" s="99"/>
      <c r="M38" s="99"/>
      <c r="N38" s="99"/>
      <c r="O38" s="10"/>
      <c r="P38" s="99"/>
      <c r="Q38" s="99"/>
      <c r="R38" s="99"/>
      <c r="S38" s="99"/>
      <c r="T38" s="99"/>
      <c r="U38" s="99"/>
      <c r="W38" s="99"/>
      <c r="X38" s="99"/>
      <c r="Y38" s="99"/>
      <c r="Z38" s="99"/>
      <c r="AA38" s="99"/>
      <c r="AB38" s="99"/>
      <c r="AD38" s="99"/>
      <c r="AE38" s="99"/>
      <c r="AF38" s="99"/>
      <c r="AG38" s="99"/>
      <c r="AH38" s="99"/>
      <c r="AI38" s="99"/>
      <c r="AK38" s="99"/>
      <c r="AL38" s="99"/>
      <c r="AM38" s="99"/>
      <c r="AN38" s="99"/>
      <c r="AO38" s="99"/>
      <c r="AP38" s="99"/>
      <c r="AR38" s="99"/>
      <c r="AS38" s="99"/>
      <c r="AT38" s="99"/>
      <c r="AU38" s="99"/>
      <c r="AV38" s="99"/>
      <c r="AW38" s="99"/>
    </row>
    <row r="39" spans="1:49" ht="13.05" hidden="1" customHeight="1" x14ac:dyDescent="0.25">
      <c r="A39" t="str">
        <f>Nutrients!B38</f>
        <v>Cotton Seed Meal</v>
      </c>
      <c r="B39" s="99"/>
      <c r="C39" s="99"/>
      <c r="D39" s="99"/>
      <c r="E39" s="99"/>
      <c r="F39" s="99"/>
      <c r="G39" s="99"/>
      <c r="H39" s="99"/>
      <c r="I39" s="99"/>
      <c r="J39" s="99"/>
      <c r="K39" s="99"/>
      <c r="L39" s="99"/>
      <c r="M39" s="99"/>
      <c r="N39" s="99"/>
      <c r="O39" s="10"/>
      <c r="P39" s="99"/>
      <c r="Q39" s="99"/>
      <c r="R39" s="99"/>
      <c r="S39" s="99"/>
      <c r="T39" s="99"/>
      <c r="U39" s="99"/>
      <c r="W39" s="99"/>
      <c r="X39" s="99"/>
      <c r="Y39" s="99"/>
      <c r="Z39" s="99"/>
      <c r="AA39" s="99"/>
      <c r="AB39" s="99"/>
      <c r="AD39" s="99"/>
      <c r="AE39" s="99"/>
      <c r="AF39" s="99"/>
      <c r="AG39" s="99"/>
      <c r="AH39" s="99"/>
      <c r="AI39" s="99"/>
      <c r="AK39" s="99"/>
      <c r="AL39" s="99"/>
      <c r="AM39" s="99"/>
      <c r="AN39" s="99"/>
      <c r="AO39" s="99"/>
      <c r="AP39" s="99"/>
      <c r="AR39" s="99"/>
      <c r="AS39" s="99"/>
      <c r="AT39" s="99"/>
      <c r="AU39" s="99"/>
      <c r="AV39" s="99"/>
      <c r="AW39" s="99"/>
    </row>
    <row r="40" spans="1:49" ht="13.05" hidden="1" customHeight="1" x14ac:dyDescent="0.25">
      <c r="A40" t="str">
        <f>Nutrients!B39</f>
        <v>Feather Meal</v>
      </c>
      <c r="B40" s="99"/>
      <c r="C40" s="99"/>
      <c r="D40" s="99"/>
      <c r="E40" s="99"/>
      <c r="F40" s="99"/>
      <c r="G40" s="99"/>
      <c r="H40" s="99"/>
      <c r="I40" s="99"/>
      <c r="J40" s="99"/>
      <c r="K40" s="99"/>
      <c r="L40" s="99"/>
      <c r="M40" s="99"/>
      <c r="N40" s="99"/>
      <c r="O40" s="10"/>
      <c r="P40" s="99"/>
      <c r="Q40" s="99"/>
      <c r="R40" s="99"/>
      <c r="S40" s="99"/>
      <c r="T40" s="99"/>
      <c r="U40" s="99"/>
      <c r="W40" s="99"/>
      <c r="X40" s="99"/>
      <c r="Y40" s="99"/>
      <c r="Z40" s="99"/>
      <c r="AA40" s="99"/>
      <c r="AB40" s="99"/>
      <c r="AD40" s="99"/>
      <c r="AE40" s="99"/>
      <c r="AF40" s="99"/>
      <c r="AG40" s="99"/>
      <c r="AH40" s="99"/>
      <c r="AI40" s="99"/>
      <c r="AK40" s="99"/>
      <c r="AL40" s="99"/>
      <c r="AM40" s="99"/>
      <c r="AN40" s="99"/>
      <c r="AO40" s="99"/>
      <c r="AP40" s="99"/>
      <c r="AR40" s="99"/>
      <c r="AS40" s="99"/>
      <c r="AT40" s="99"/>
      <c r="AU40" s="99"/>
      <c r="AV40" s="99"/>
      <c r="AW40" s="99"/>
    </row>
    <row r="41" spans="1:49" ht="13.05" hidden="1" customHeight="1" x14ac:dyDescent="0.25">
      <c r="A41" t="str">
        <f>Nutrients!B40</f>
        <v>Fish Meal Combined</v>
      </c>
      <c r="B41" s="99"/>
      <c r="C41" s="99"/>
      <c r="D41" s="99"/>
      <c r="E41" s="99"/>
      <c r="F41" s="99"/>
      <c r="G41" s="99"/>
      <c r="H41" s="99"/>
      <c r="I41" s="99"/>
      <c r="J41" s="99"/>
      <c r="K41" s="99"/>
      <c r="L41" s="99"/>
      <c r="M41" s="99"/>
      <c r="N41" s="99"/>
      <c r="O41" s="10"/>
      <c r="P41" s="99"/>
      <c r="Q41" s="99"/>
      <c r="R41" s="99"/>
      <c r="S41" s="99"/>
      <c r="T41" s="99"/>
      <c r="U41" s="99"/>
      <c r="W41" s="99"/>
      <c r="X41" s="99"/>
      <c r="Y41" s="99"/>
      <c r="Z41" s="99"/>
      <c r="AA41" s="99"/>
      <c r="AB41" s="99"/>
      <c r="AD41" s="99"/>
      <c r="AE41" s="99"/>
      <c r="AF41" s="99"/>
      <c r="AG41" s="99"/>
      <c r="AH41" s="99"/>
      <c r="AI41" s="99"/>
      <c r="AK41" s="99"/>
      <c r="AL41" s="99"/>
      <c r="AM41" s="99"/>
      <c r="AN41" s="99"/>
      <c r="AO41" s="99"/>
      <c r="AP41" s="99"/>
      <c r="AR41" s="99"/>
      <c r="AS41" s="99"/>
      <c r="AT41" s="99"/>
      <c r="AU41" s="99"/>
      <c r="AV41" s="99"/>
      <c r="AW41" s="99"/>
    </row>
    <row r="42" spans="1:49" ht="13.05" hidden="1" customHeight="1" x14ac:dyDescent="0.25">
      <c r="A42" t="str">
        <f>Nutrients!B41</f>
        <v>Flaxseed</v>
      </c>
      <c r="B42" s="99"/>
      <c r="C42" s="99"/>
      <c r="D42" s="99"/>
      <c r="E42" s="99"/>
      <c r="F42" s="99"/>
      <c r="G42" s="99"/>
      <c r="H42" s="99"/>
      <c r="I42" s="99"/>
      <c r="J42" s="99"/>
      <c r="K42" s="99"/>
      <c r="L42" s="99"/>
      <c r="M42" s="99"/>
      <c r="N42" s="99"/>
      <c r="O42" s="10"/>
      <c r="P42" s="99"/>
      <c r="Q42" s="99"/>
      <c r="R42" s="99"/>
      <c r="S42" s="99"/>
      <c r="T42" s="99"/>
      <c r="U42" s="99"/>
      <c r="W42" s="99"/>
      <c r="X42" s="99"/>
      <c r="Y42" s="99"/>
      <c r="Z42" s="99"/>
      <c r="AA42" s="99"/>
      <c r="AB42" s="99"/>
      <c r="AD42" s="99"/>
      <c r="AE42" s="99"/>
      <c r="AF42" s="99"/>
      <c r="AG42" s="99"/>
      <c r="AH42" s="99"/>
      <c r="AI42" s="99"/>
      <c r="AK42" s="99"/>
      <c r="AL42" s="99"/>
      <c r="AM42" s="99"/>
      <c r="AN42" s="99"/>
      <c r="AO42" s="99"/>
      <c r="AP42" s="99"/>
      <c r="AR42" s="99"/>
      <c r="AS42" s="99"/>
      <c r="AT42" s="99"/>
      <c r="AU42" s="99"/>
      <c r="AV42" s="99"/>
      <c r="AW42" s="99"/>
    </row>
    <row r="43" spans="1:49" ht="13.05" hidden="1" customHeight="1" x14ac:dyDescent="0.25">
      <c r="A43" t="str">
        <f>Nutrients!B42</f>
        <v>Flaxseed Meal</v>
      </c>
      <c r="B43" s="99"/>
      <c r="C43" s="99"/>
      <c r="D43" s="99"/>
      <c r="E43" s="99"/>
      <c r="F43" s="99"/>
      <c r="G43" s="99"/>
      <c r="H43" s="99"/>
      <c r="I43" s="99"/>
      <c r="J43" s="99"/>
      <c r="K43" s="99"/>
      <c r="L43" s="99"/>
      <c r="M43" s="99"/>
      <c r="N43" s="99"/>
      <c r="O43" s="10"/>
      <c r="P43" s="99"/>
      <c r="Q43" s="99"/>
      <c r="R43" s="99"/>
      <c r="S43" s="99"/>
      <c r="T43" s="99"/>
      <c r="U43" s="99"/>
      <c r="W43" s="99"/>
      <c r="X43" s="99"/>
      <c r="Y43" s="99"/>
      <c r="Z43" s="99"/>
      <c r="AA43" s="99"/>
      <c r="AB43" s="99"/>
      <c r="AD43" s="99"/>
      <c r="AE43" s="99"/>
      <c r="AF43" s="99"/>
      <c r="AG43" s="99"/>
      <c r="AH43" s="99"/>
      <c r="AI43" s="99"/>
      <c r="AK43" s="99"/>
      <c r="AL43" s="99"/>
      <c r="AM43" s="99"/>
      <c r="AN43" s="99"/>
      <c r="AO43" s="99"/>
      <c r="AP43" s="99"/>
      <c r="AR43" s="99"/>
      <c r="AS43" s="99"/>
      <c r="AT43" s="99"/>
      <c r="AU43" s="99"/>
      <c r="AV43" s="99"/>
      <c r="AW43" s="99"/>
    </row>
    <row r="44" spans="1:49" ht="13.05" hidden="1" customHeight="1" x14ac:dyDescent="0.25">
      <c r="A44" t="str">
        <f>Nutrients!B43</f>
        <v>Lupins</v>
      </c>
      <c r="B44" s="99"/>
      <c r="C44" s="99"/>
      <c r="D44" s="99"/>
      <c r="E44" s="99"/>
      <c r="F44" s="99"/>
      <c r="G44" s="99"/>
      <c r="H44" s="99"/>
      <c r="I44" s="99"/>
      <c r="J44" s="99"/>
      <c r="K44" s="99"/>
      <c r="L44" s="99"/>
      <c r="M44" s="99"/>
      <c r="N44" s="99"/>
      <c r="O44" s="10"/>
      <c r="P44" s="99"/>
      <c r="Q44" s="99"/>
      <c r="R44" s="99"/>
      <c r="S44" s="99"/>
      <c r="T44" s="99"/>
      <c r="U44" s="99"/>
      <c r="W44" s="99"/>
      <c r="X44" s="99"/>
      <c r="Y44" s="99"/>
      <c r="Z44" s="99"/>
      <c r="AA44" s="99"/>
      <c r="AB44" s="99"/>
      <c r="AD44" s="99"/>
      <c r="AE44" s="99"/>
      <c r="AF44" s="99"/>
      <c r="AG44" s="99"/>
      <c r="AH44" s="99"/>
      <c r="AI44" s="99"/>
      <c r="AK44" s="99"/>
      <c r="AL44" s="99"/>
      <c r="AM44" s="99"/>
      <c r="AN44" s="99"/>
      <c r="AO44" s="99"/>
      <c r="AP44" s="99"/>
      <c r="AR44" s="99"/>
      <c r="AS44" s="99"/>
      <c r="AT44" s="99"/>
      <c r="AU44" s="99"/>
      <c r="AV44" s="99"/>
      <c r="AW44" s="99"/>
    </row>
    <row r="45" spans="1:49" ht="13.05" hidden="1" customHeight="1" x14ac:dyDescent="0.25">
      <c r="A45" t="str">
        <f>Nutrients!B44</f>
        <v>Meat Meal</v>
      </c>
      <c r="B45" s="99"/>
      <c r="C45" s="99"/>
      <c r="D45" s="99"/>
      <c r="E45" s="99"/>
      <c r="F45" s="99"/>
      <c r="G45" s="99"/>
      <c r="H45" s="99"/>
      <c r="I45" s="99"/>
      <c r="J45" s="99"/>
      <c r="K45" s="99"/>
      <c r="L45" s="99"/>
      <c r="M45" s="99"/>
      <c r="N45" s="99"/>
      <c r="O45" s="10"/>
      <c r="P45" s="99"/>
      <c r="Q45" s="99"/>
      <c r="R45" s="99"/>
      <c r="S45" s="99"/>
      <c r="T45" s="99"/>
      <c r="U45" s="99"/>
      <c r="W45" s="99"/>
      <c r="X45" s="99"/>
      <c r="Y45" s="99"/>
      <c r="Z45" s="99"/>
      <c r="AA45" s="99"/>
      <c r="AB45" s="99"/>
      <c r="AD45" s="99"/>
      <c r="AE45" s="99"/>
      <c r="AF45" s="99"/>
      <c r="AG45" s="99"/>
      <c r="AH45" s="99"/>
      <c r="AI45" s="99"/>
      <c r="AK45" s="99"/>
      <c r="AL45" s="99"/>
      <c r="AM45" s="99"/>
      <c r="AN45" s="99"/>
      <c r="AO45" s="99"/>
      <c r="AP45" s="99"/>
      <c r="AR45" s="99"/>
      <c r="AS45" s="99"/>
      <c r="AT45" s="99"/>
      <c r="AU45" s="99"/>
      <c r="AV45" s="99"/>
      <c r="AW45" s="99"/>
    </row>
    <row r="46" spans="1:49" ht="13.05" hidden="1" customHeight="1" x14ac:dyDescent="0.25">
      <c r="A46" t="str">
        <f>Nutrients!B45</f>
        <v>Meat and Bone Meal, P &gt;4%</v>
      </c>
      <c r="B46" s="99"/>
      <c r="C46" s="99"/>
      <c r="D46" s="99"/>
      <c r="E46" s="99"/>
      <c r="F46" s="99"/>
      <c r="G46" s="99"/>
      <c r="H46" s="99"/>
      <c r="I46" s="99"/>
      <c r="J46" s="99"/>
      <c r="K46" s="99"/>
      <c r="L46" s="99"/>
      <c r="M46" s="99"/>
      <c r="N46" s="99"/>
      <c r="O46" s="10"/>
      <c r="P46" s="99"/>
      <c r="Q46" s="99"/>
      <c r="R46" s="99"/>
      <c r="S46" s="99"/>
      <c r="T46" s="99"/>
      <c r="U46" s="99"/>
      <c r="W46" s="99"/>
      <c r="X46" s="99"/>
      <c r="Y46" s="99"/>
      <c r="Z46" s="99"/>
      <c r="AA46" s="99"/>
      <c r="AB46" s="99"/>
      <c r="AD46" s="99"/>
      <c r="AE46" s="99"/>
      <c r="AF46" s="99"/>
      <c r="AG46" s="99"/>
      <c r="AH46" s="99"/>
      <c r="AI46" s="99"/>
      <c r="AK46" s="99"/>
      <c r="AL46" s="99"/>
      <c r="AM46" s="99"/>
      <c r="AN46" s="99"/>
      <c r="AO46" s="99"/>
      <c r="AP46" s="99"/>
      <c r="AR46" s="99"/>
      <c r="AS46" s="99"/>
      <c r="AT46" s="99"/>
      <c r="AU46" s="99"/>
      <c r="AV46" s="99"/>
      <c r="AW46" s="99"/>
    </row>
    <row r="47" spans="1:49" ht="13.05" hidden="1" customHeight="1" x14ac:dyDescent="0.25">
      <c r="A47" t="str">
        <f>Nutrients!B46</f>
        <v>Milk, Casein</v>
      </c>
      <c r="B47" s="99"/>
      <c r="C47" s="99"/>
      <c r="D47" s="99"/>
      <c r="E47" s="99"/>
      <c r="F47" s="99"/>
      <c r="G47" s="99"/>
      <c r="H47" s="99"/>
      <c r="I47" s="99"/>
      <c r="J47" s="99"/>
      <c r="K47" s="99"/>
      <c r="L47" s="99"/>
      <c r="M47" s="99"/>
      <c r="N47" s="99"/>
      <c r="O47" s="10"/>
      <c r="P47" s="99"/>
      <c r="Q47" s="99"/>
      <c r="R47" s="99"/>
      <c r="S47" s="99"/>
      <c r="T47" s="99"/>
      <c r="U47" s="99"/>
      <c r="W47" s="99"/>
      <c r="X47" s="99"/>
      <c r="Y47" s="99"/>
      <c r="Z47" s="99"/>
      <c r="AA47" s="99"/>
      <c r="AB47" s="99"/>
      <c r="AD47" s="99"/>
      <c r="AE47" s="99"/>
      <c r="AF47" s="99"/>
      <c r="AG47" s="99"/>
      <c r="AH47" s="99"/>
      <c r="AI47" s="99"/>
      <c r="AK47" s="99"/>
      <c r="AL47" s="99"/>
      <c r="AM47" s="99"/>
      <c r="AN47" s="99"/>
      <c r="AO47" s="99"/>
      <c r="AP47" s="99"/>
      <c r="AR47" s="99"/>
      <c r="AS47" s="99"/>
      <c r="AT47" s="99"/>
      <c r="AU47" s="99"/>
      <c r="AV47" s="99"/>
      <c r="AW47" s="99"/>
    </row>
    <row r="48" spans="1:49" ht="13.05" hidden="1" customHeight="1" x14ac:dyDescent="0.25">
      <c r="A48" t="str">
        <f>Nutrients!B47</f>
        <v>Milk, Lactose</v>
      </c>
      <c r="B48" s="99"/>
      <c r="C48" s="99"/>
      <c r="D48" s="99"/>
      <c r="E48" s="99"/>
      <c r="F48" s="99"/>
      <c r="G48" s="99"/>
      <c r="H48" s="99"/>
      <c r="I48" s="99"/>
      <c r="J48" s="99"/>
      <c r="K48" s="99"/>
      <c r="L48" s="99"/>
      <c r="M48" s="99"/>
      <c r="N48" s="99"/>
      <c r="O48" s="10"/>
      <c r="P48" s="99"/>
      <c r="Q48" s="99"/>
      <c r="R48" s="99"/>
      <c r="S48" s="99"/>
      <c r="T48" s="99"/>
      <c r="U48" s="99"/>
      <c r="W48" s="99"/>
      <c r="X48" s="99"/>
      <c r="Y48" s="99"/>
      <c r="Z48" s="99"/>
      <c r="AA48" s="99"/>
      <c r="AB48" s="99"/>
      <c r="AD48" s="99"/>
      <c r="AE48" s="99"/>
      <c r="AF48" s="99"/>
      <c r="AG48" s="99"/>
      <c r="AH48" s="99"/>
      <c r="AI48" s="99"/>
      <c r="AK48" s="99"/>
      <c r="AL48" s="99"/>
      <c r="AM48" s="99"/>
      <c r="AN48" s="99"/>
      <c r="AO48" s="99"/>
      <c r="AP48" s="99"/>
      <c r="AR48" s="99"/>
      <c r="AS48" s="99"/>
      <c r="AT48" s="99"/>
      <c r="AU48" s="99"/>
      <c r="AV48" s="99"/>
      <c r="AW48" s="99"/>
    </row>
    <row r="49" spans="1:49" ht="13.05" hidden="1" customHeight="1" x14ac:dyDescent="0.25">
      <c r="A49" t="str">
        <f>Nutrients!B48</f>
        <v>Milk, Skim Milk Powder</v>
      </c>
      <c r="B49" s="99"/>
      <c r="C49" s="99"/>
      <c r="D49" s="99"/>
      <c r="E49" s="99"/>
      <c r="F49" s="99"/>
      <c r="G49" s="99"/>
      <c r="H49" s="99"/>
      <c r="I49" s="99"/>
      <c r="J49" s="99"/>
      <c r="K49" s="99"/>
      <c r="L49" s="99"/>
      <c r="M49" s="99"/>
      <c r="N49" s="99"/>
      <c r="O49" s="10"/>
      <c r="P49" s="99"/>
      <c r="Q49" s="99"/>
      <c r="R49" s="99"/>
      <c r="S49" s="99"/>
      <c r="T49" s="99"/>
      <c r="U49" s="99"/>
      <c r="W49" s="99"/>
      <c r="X49" s="99"/>
      <c r="Y49" s="99"/>
      <c r="Z49" s="99"/>
      <c r="AA49" s="99"/>
      <c r="AB49" s="99"/>
      <c r="AD49" s="99"/>
      <c r="AE49" s="99"/>
      <c r="AF49" s="99"/>
      <c r="AG49" s="99"/>
      <c r="AH49" s="99"/>
      <c r="AI49" s="99"/>
      <c r="AK49" s="99"/>
      <c r="AL49" s="99"/>
      <c r="AM49" s="99"/>
      <c r="AN49" s="99"/>
      <c r="AO49" s="99"/>
      <c r="AP49" s="99"/>
      <c r="AR49" s="99"/>
      <c r="AS49" s="99"/>
      <c r="AT49" s="99"/>
      <c r="AU49" s="99"/>
      <c r="AV49" s="99"/>
      <c r="AW49" s="99"/>
    </row>
    <row r="50" spans="1:49" ht="13.05" hidden="1" customHeight="1" x14ac:dyDescent="0.25">
      <c r="A50" t="str">
        <f>Nutrients!B49</f>
        <v>Milk, Whey Powder</v>
      </c>
      <c r="B50" s="99"/>
      <c r="C50" s="99"/>
      <c r="D50" s="99"/>
      <c r="E50" s="99"/>
      <c r="F50" s="99"/>
      <c r="G50" s="99"/>
      <c r="H50" s="99"/>
      <c r="I50" s="99"/>
      <c r="J50" s="99"/>
      <c r="K50" s="99"/>
      <c r="L50" s="99"/>
      <c r="M50" s="99"/>
      <c r="N50" s="99"/>
      <c r="O50" s="10"/>
      <c r="P50" s="99"/>
      <c r="Q50" s="99"/>
      <c r="R50" s="99"/>
      <c r="S50" s="99"/>
      <c r="T50" s="99"/>
      <c r="U50" s="99"/>
      <c r="W50" s="99"/>
      <c r="X50" s="99"/>
      <c r="Y50" s="99"/>
      <c r="Z50" s="99"/>
      <c r="AA50" s="99"/>
      <c r="AB50" s="99"/>
      <c r="AD50" s="99"/>
      <c r="AE50" s="99"/>
      <c r="AF50" s="99"/>
      <c r="AG50" s="99"/>
      <c r="AH50" s="99"/>
      <c r="AI50" s="99"/>
      <c r="AK50" s="99"/>
      <c r="AL50" s="99"/>
      <c r="AM50" s="99"/>
      <c r="AN50" s="99"/>
      <c r="AO50" s="99"/>
      <c r="AP50" s="99"/>
      <c r="AR50" s="99"/>
      <c r="AS50" s="99"/>
      <c r="AT50" s="99"/>
      <c r="AU50" s="99"/>
      <c r="AV50" s="99"/>
      <c r="AW50" s="99"/>
    </row>
    <row r="51" spans="1:49" ht="13.05" hidden="1" customHeight="1" x14ac:dyDescent="0.25">
      <c r="A51" t="str">
        <f>Nutrients!B50</f>
        <v>Milk, Whey Permeate, 80% lactose</v>
      </c>
      <c r="B51" s="99"/>
      <c r="C51" s="99"/>
      <c r="D51" s="99"/>
      <c r="E51" s="99"/>
      <c r="F51" s="99"/>
      <c r="G51" s="99"/>
      <c r="H51" s="99"/>
      <c r="I51" s="99"/>
      <c r="J51" s="99"/>
      <c r="K51" s="99"/>
      <c r="L51" s="99"/>
      <c r="M51" s="99"/>
      <c r="N51" s="99"/>
      <c r="O51" s="10"/>
      <c r="P51" s="99"/>
      <c r="Q51" s="99"/>
      <c r="R51" s="99"/>
      <c r="S51" s="99"/>
      <c r="T51" s="99"/>
      <c r="U51" s="99"/>
      <c r="W51" s="99"/>
      <c r="X51" s="99"/>
      <c r="Y51" s="99"/>
      <c r="Z51" s="99"/>
      <c r="AA51" s="99"/>
      <c r="AB51" s="99"/>
      <c r="AD51" s="99"/>
      <c r="AE51" s="99"/>
      <c r="AF51" s="99"/>
      <c r="AG51" s="99"/>
      <c r="AH51" s="99"/>
      <c r="AI51" s="99"/>
      <c r="AK51" s="99"/>
      <c r="AL51" s="99"/>
      <c r="AM51" s="99"/>
      <c r="AN51" s="99"/>
      <c r="AO51" s="99"/>
      <c r="AP51" s="99"/>
      <c r="AR51" s="99"/>
      <c r="AS51" s="99"/>
      <c r="AT51" s="99"/>
      <c r="AU51" s="99"/>
      <c r="AV51" s="99"/>
      <c r="AW51" s="99"/>
    </row>
    <row r="52" spans="1:49" ht="12.75" hidden="1" customHeight="1" x14ac:dyDescent="0.25">
      <c r="A52" t="str">
        <f>Nutrients!B51</f>
        <v>Milk, Whey Protein Concentrate</v>
      </c>
      <c r="B52" s="99"/>
      <c r="C52" s="99"/>
      <c r="D52" s="99"/>
      <c r="E52" s="99"/>
      <c r="F52" s="99"/>
      <c r="G52" s="99"/>
      <c r="H52" s="99"/>
      <c r="I52" s="99"/>
      <c r="J52" s="99"/>
      <c r="K52" s="99"/>
      <c r="L52" s="99"/>
      <c r="M52" s="99"/>
      <c r="N52" s="99"/>
      <c r="O52" s="10"/>
      <c r="P52" s="99"/>
      <c r="Q52" s="99"/>
      <c r="R52" s="99"/>
      <c r="S52" s="99"/>
      <c r="T52" s="99"/>
      <c r="U52" s="99"/>
      <c r="W52" s="99"/>
      <c r="X52" s="99"/>
      <c r="Y52" s="99"/>
      <c r="Z52" s="99"/>
      <c r="AA52" s="99"/>
      <c r="AB52" s="99"/>
      <c r="AD52" s="99"/>
      <c r="AE52" s="99"/>
      <c r="AF52" s="99"/>
      <c r="AG52" s="99"/>
      <c r="AH52" s="99"/>
      <c r="AI52" s="99"/>
      <c r="AK52" s="99"/>
      <c r="AL52" s="99"/>
      <c r="AM52" s="99"/>
      <c r="AN52" s="99"/>
      <c r="AO52" s="99"/>
      <c r="AP52" s="99"/>
      <c r="AR52" s="99"/>
      <c r="AS52" s="99"/>
      <c r="AT52" s="99"/>
      <c r="AU52" s="99"/>
      <c r="AV52" s="99"/>
      <c r="AW52" s="99"/>
    </row>
    <row r="53" spans="1:49" ht="12.75" hidden="1" customHeight="1" x14ac:dyDescent="0.25">
      <c r="A53" t="str">
        <f>Nutrients!B52</f>
        <v>Millet</v>
      </c>
      <c r="B53" s="99"/>
      <c r="C53" s="99"/>
      <c r="D53" s="99"/>
      <c r="E53" s="99"/>
      <c r="F53" s="99"/>
      <c r="G53" s="99"/>
      <c r="H53" s="99"/>
      <c r="I53" s="99"/>
      <c r="J53" s="99"/>
      <c r="K53" s="99"/>
      <c r="L53" s="99"/>
      <c r="M53" s="99"/>
      <c r="N53" s="99"/>
      <c r="O53" s="10"/>
      <c r="P53" s="99"/>
      <c r="Q53" s="99"/>
      <c r="R53" s="99"/>
      <c r="S53" s="99"/>
      <c r="T53" s="99"/>
      <c r="U53" s="99"/>
      <c r="W53" s="99"/>
      <c r="X53" s="99"/>
      <c r="Y53" s="99"/>
      <c r="Z53" s="99"/>
      <c r="AA53" s="99"/>
      <c r="AB53" s="99"/>
      <c r="AD53" s="99"/>
      <c r="AE53" s="99"/>
      <c r="AF53" s="99"/>
      <c r="AG53" s="99"/>
      <c r="AH53" s="99"/>
      <c r="AI53" s="99"/>
      <c r="AK53" s="99"/>
      <c r="AL53" s="99"/>
      <c r="AM53" s="99"/>
      <c r="AN53" s="99"/>
      <c r="AO53" s="99"/>
      <c r="AP53" s="99"/>
      <c r="AR53" s="99"/>
      <c r="AS53" s="99"/>
      <c r="AT53" s="99"/>
      <c r="AU53" s="99"/>
      <c r="AV53" s="99"/>
      <c r="AW53" s="99"/>
    </row>
    <row r="54" spans="1:49" ht="12.75" hidden="1" customHeight="1" x14ac:dyDescent="0.25">
      <c r="A54" t="str">
        <f>Nutrients!B53</f>
        <v>Molasses, Sugarbeet</v>
      </c>
      <c r="B54" s="99"/>
      <c r="C54" s="99"/>
      <c r="D54" s="99"/>
      <c r="E54" s="99"/>
      <c r="F54" s="99"/>
      <c r="G54" s="99"/>
      <c r="H54" s="99"/>
      <c r="I54" s="99"/>
      <c r="J54" s="99"/>
      <c r="K54" s="99"/>
      <c r="L54" s="99"/>
      <c r="M54" s="99"/>
      <c r="N54" s="99"/>
      <c r="O54" s="10"/>
      <c r="P54" s="99"/>
      <c r="Q54" s="99"/>
      <c r="R54" s="99"/>
      <c r="S54" s="99"/>
      <c r="T54" s="99"/>
      <c r="U54" s="99"/>
      <c r="W54" s="99"/>
      <c r="X54" s="99"/>
      <c r="Y54" s="99"/>
      <c r="Z54" s="99"/>
      <c r="AA54" s="99"/>
      <c r="AB54" s="99"/>
      <c r="AD54" s="99"/>
      <c r="AE54" s="99"/>
      <c r="AF54" s="99"/>
      <c r="AG54" s="99"/>
      <c r="AH54" s="99"/>
      <c r="AI54" s="99"/>
      <c r="AK54" s="99"/>
      <c r="AL54" s="99"/>
      <c r="AM54" s="99"/>
      <c r="AN54" s="99"/>
      <c r="AO54" s="99"/>
      <c r="AP54" s="99"/>
      <c r="AR54" s="99"/>
      <c r="AS54" s="99"/>
      <c r="AT54" s="99"/>
      <c r="AU54" s="99"/>
      <c r="AV54" s="99"/>
      <c r="AW54" s="99"/>
    </row>
    <row r="55" spans="1:49" ht="12.75" hidden="1" customHeight="1" x14ac:dyDescent="0.25">
      <c r="A55" t="str">
        <f>Nutrients!B54</f>
        <v>Molasses, Sugarcane</v>
      </c>
      <c r="B55" s="99"/>
      <c r="C55" s="99"/>
      <c r="D55" s="99"/>
      <c r="E55" s="99"/>
      <c r="F55" s="99"/>
      <c r="G55" s="99"/>
      <c r="H55" s="99"/>
      <c r="I55" s="99"/>
      <c r="J55" s="99"/>
      <c r="K55" s="99"/>
      <c r="L55" s="99"/>
      <c r="M55" s="99"/>
      <c r="N55" s="99"/>
      <c r="O55" s="10"/>
      <c r="P55" s="99"/>
      <c r="Q55" s="99"/>
      <c r="R55" s="99"/>
      <c r="S55" s="99"/>
      <c r="T55" s="99"/>
      <c r="U55" s="99"/>
      <c r="W55" s="99"/>
      <c r="X55" s="99"/>
      <c r="Y55" s="99"/>
      <c r="Z55" s="99"/>
      <c r="AA55" s="99"/>
      <c r="AB55" s="99"/>
      <c r="AD55" s="99"/>
      <c r="AE55" s="99"/>
      <c r="AF55" s="99"/>
      <c r="AG55" s="99"/>
      <c r="AH55" s="99"/>
      <c r="AI55" s="99"/>
      <c r="AK55" s="99"/>
      <c r="AL55" s="99"/>
      <c r="AM55" s="99"/>
      <c r="AN55" s="99"/>
      <c r="AO55" s="99"/>
      <c r="AP55" s="99"/>
      <c r="AR55" s="99"/>
      <c r="AS55" s="99"/>
      <c r="AT55" s="99"/>
      <c r="AU55" s="99"/>
      <c r="AV55" s="99"/>
      <c r="AW55" s="99"/>
    </row>
    <row r="56" spans="1:49" ht="12.75" hidden="1" customHeight="1" x14ac:dyDescent="0.25">
      <c r="A56" t="str">
        <f>Nutrients!B55</f>
        <v>Oats</v>
      </c>
      <c r="B56" s="99"/>
      <c r="C56" s="99"/>
      <c r="D56" s="99"/>
      <c r="E56" s="99"/>
      <c r="F56" s="99"/>
      <c r="G56" s="99"/>
      <c r="H56" s="99"/>
      <c r="I56" s="99"/>
      <c r="J56" s="99"/>
      <c r="K56" s="99"/>
      <c r="L56" s="99"/>
      <c r="M56" s="99"/>
      <c r="N56" s="99"/>
      <c r="O56" s="10"/>
      <c r="P56" s="99"/>
      <c r="Q56" s="99"/>
      <c r="R56" s="99"/>
      <c r="S56" s="99"/>
      <c r="T56" s="99"/>
      <c r="U56" s="99"/>
      <c r="W56" s="99"/>
      <c r="X56" s="99"/>
      <c r="Y56" s="99"/>
      <c r="Z56" s="99"/>
      <c r="AA56" s="99"/>
      <c r="AB56" s="99"/>
      <c r="AD56" s="99"/>
      <c r="AE56" s="99"/>
      <c r="AF56" s="99"/>
      <c r="AG56" s="99"/>
      <c r="AH56" s="99"/>
      <c r="AI56" s="99"/>
      <c r="AK56" s="99"/>
      <c r="AL56" s="99"/>
      <c r="AM56" s="99"/>
      <c r="AN56" s="99"/>
      <c r="AO56" s="99"/>
      <c r="AP56" s="99"/>
      <c r="AR56" s="99"/>
      <c r="AS56" s="99"/>
      <c r="AT56" s="99"/>
      <c r="AU56" s="99"/>
      <c r="AV56" s="99"/>
      <c r="AW56" s="99"/>
    </row>
    <row r="57" spans="1:49" ht="12.75" hidden="1" customHeight="1" x14ac:dyDescent="0.25">
      <c r="A57" t="str">
        <f>Nutrients!B56</f>
        <v>Oats, Naked</v>
      </c>
      <c r="B57" s="99"/>
      <c r="C57" s="99"/>
      <c r="D57" s="99"/>
      <c r="E57" s="99"/>
      <c r="F57" s="99"/>
      <c r="G57" s="99"/>
      <c r="H57" s="99"/>
      <c r="I57" s="99"/>
      <c r="J57" s="99"/>
      <c r="K57" s="99"/>
      <c r="L57" s="99"/>
      <c r="M57" s="99"/>
      <c r="N57" s="99"/>
      <c r="O57" s="10"/>
      <c r="P57" s="99"/>
      <c r="Q57" s="99"/>
      <c r="R57" s="99"/>
      <c r="S57" s="99"/>
      <c r="T57" s="99"/>
      <c r="U57" s="99"/>
      <c r="W57" s="99"/>
      <c r="X57" s="99"/>
      <c r="Y57" s="99"/>
      <c r="Z57" s="99"/>
      <c r="AA57" s="99"/>
      <c r="AB57" s="99"/>
      <c r="AD57" s="99"/>
      <c r="AE57" s="99"/>
      <c r="AF57" s="99"/>
      <c r="AG57" s="99"/>
      <c r="AH57" s="99"/>
      <c r="AI57" s="99"/>
      <c r="AK57" s="99"/>
      <c r="AL57" s="99"/>
      <c r="AM57" s="99"/>
      <c r="AN57" s="99"/>
      <c r="AO57" s="99"/>
      <c r="AP57" s="99"/>
      <c r="AR57" s="99"/>
      <c r="AS57" s="99"/>
      <c r="AT57" s="99"/>
      <c r="AU57" s="99"/>
      <c r="AV57" s="99"/>
      <c r="AW57" s="99"/>
    </row>
    <row r="58" spans="1:49" ht="12.75" hidden="1" customHeight="1" x14ac:dyDescent="0.25">
      <c r="A58" t="str">
        <f>Nutrients!B57</f>
        <v>Oat Groats</v>
      </c>
      <c r="B58" s="99"/>
      <c r="C58" s="99"/>
      <c r="D58" s="99"/>
      <c r="E58" s="99"/>
      <c r="F58" s="99"/>
      <c r="G58" s="99"/>
      <c r="H58" s="99"/>
      <c r="I58" s="99"/>
      <c r="J58" s="99"/>
      <c r="K58" s="99"/>
      <c r="L58" s="99"/>
      <c r="M58" s="99"/>
      <c r="N58" s="99"/>
      <c r="O58" s="10"/>
      <c r="P58" s="99"/>
      <c r="Q58" s="99"/>
      <c r="R58" s="99"/>
      <c r="S58" s="99"/>
      <c r="T58" s="99"/>
      <c r="U58" s="99"/>
      <c r="W58" s="99"/>
      <c r="X58" s="99"/>
      <c r="Y58" s="99"/>
      <c r="Z58" s="99"/>
      <c r="AA58" s="99"/>
      <c r="AB58" s="99"/>
      <c r="AD58" s="99"/>
      <c r="AE58" s="99"/>
      <c r="AF58" s="99"/>
      <c r="AG58" s="99"/>
      <c r="AH58" s="99"/>
      <c r="AI58" s="99"/>
      <c r="AK58" s="99"/>
      <c r="AL58" s="99"/>
      <c r="AM58" s="99"/>
      <c r="AN58" s="99"/>
      <c r="AO58" s="99"/>
      <c r="AP58" s="99"/>
      <c r="AR58" s="99"/>
      <c r="AS58" s="99"/>
      <c r="AT58" s="99"/>
      <c r="AU58" s="99"/>
      <c r="AV58" s="99"/>
      <c r="AW58" s="99"/>
    </row>
    <row r="59" spans="1:49" ht="12.75" hidden="1" customHeight="1" x14ac:dyDescent="0.25">
      <c r="A59" t="str">
        <f>Nutrients!B58</f>
        <v>Peanut Meal, Expelled</v>
      </c>
      <c r="B59" s="99"/>
      <c r="C59" s="99"/>
      <c r="D59" s="99"/>
      <c r="E59" s="99"/>
      <c r="F59" s="99"/>
      <c r="G59" s="99"/>
      <c r="H59" s="99"/>
      <c r="I59" s="99"/>
      <c r="J59" s="99"/>
      <c r="K59" s="99"/>
      <c r="L59" s="99"/>
      <c r="M59" s="99"/>
      <c r="N59" s="99"/>
      <c r="O59" s="10"/>
      <c r="P59" s="99"/>
      <c r="Q59" s="99"/>
      <c r="R59" s="99"/>
      <c r="S59" s="99"/>
      <c r="T59" s="99"/>
      <c r="U59" s="99"/>
      <c r="W59" s="99"/>
      <c r="X59" s="99"/>
      <c r="Y59" s="99"/>
      <c r="Z59" s="99"/>
      <c r="AA59" s="99"/>
      <c r="AB59" s="99"/>
      <c r="AD59" s="99"/>
      <c r="AE59" s="99"/>
      <c r="AF59" s="99"/>
      <c r="AG59" s="99"/>
      <c r="AH59" s="99"/>
      <c r="AI59" s="99"/>
      <c r="AK59" s="99"/>
      <c r="AL59" s="99"/>
      <c r="AM59" s="99"/>
      <c r="AN59" s="99"/>
      <c r="AO59" s="99"/>
      <c r="AP59" s="99"/>
      <c r="AR59" s="99"/>
      <c r="AS59" s="99"/>
      <c r="AT59" s="99"/>
      <c r="AU59" s="99"/>
      <c r="AV59" s="99"/>
      <c r="AW59" s="99"/>
    </row>
    <row r="60" spans="1:49" ht="12.75" hidden="1" customHeight="1" x14ac:dyDescent="0.25">
      <c r="A60" t="str">
        <f>Nutrients!B59</f>
        <v>Peanut Meal, Extracted</v>
      </c>
      <c r="B60" s="99"/>
      <c r="C60" s="99"/>
      <c r="D60" s="99"/>
      <c r="E60" s="99"/>
      <c r="F60" s="99"/>
      <c r="G60" s="99"/>
      <c r="H60" s="99"/>
      <c r="I60" s="99"/>
      <c r="J60" s="99"/>
      <c r="K60" s="99"/>
      <c r="L60" s="99"/>
      <c r="M60" s="99"/>
      <c r="N60" s="99"/>
      <c r="O60" s="10"/>
      <c r="P60" s="99"/>
      <c r="Q60" s="99"/>
      <c r="R60" s="99"/>
      <c r="S60" s="99"/>
      <c r="T60" s="99"/>
      <c r="U60" s="99"/>
      <c r="W60" s="99"/>
      <c r="X60" s="99"/>
      <c r="Y60" s="99"/>
      <c r="Z60" s="99"/>
      <c r="AA60" s="99"/>
      <c r="AB60" s="99"/>
      <c r="AD60" s="99"/>
      <c r="AE60" s="99"/>
      <c r="AF60" s="99"/>
      <c r="AG60" s="99"/>
      <c r="AH60" s="99"/>
      <c r="AI60" s="99"/>
      <c r="AK60" s="99"/>
      <c r="AL60" s="99"/>
      <c r="AM60" s="99"/>
      <c r="AN60" s="99"/>
      <c r="AO60" s="99"/>
      <c r="AP60" s="99"/>
      <c r="AR60" s="99"/>
      <c r="AS60" s="99"/>
      <c r="AT60" s="99"/>
      <c r="AU60" s="99"/>
      <c r="AV60" s="99"/>
      <c r="AW60" s="99"/>
    </row>
    <row r="61" spans="1:49" ht="12.75" hidden="1" customHeight="1" x14ac:dyDescent="0.25">
      <c r="A61" t="str">
        <f>Nutrients!B60</f>
        <v>Peas, Field Peas</v>
      </c>
      <c r="B61" s="99"/>
      <c r="C61" s="99"/>
      <c r="D61" s="99"/>
      <c r="E61" s="99"/>
      <c r="F61" s="99"/>
      <c r="G61" s="99"/>
      <c r="H61" s="99"/>
      <c r="I61" s="99"/>
      <c r="J61" s="99"/>
      <c r="K61" s="99"/>
      <c r="L61" s="99"/>
      <c r="M61" s="99"/>
      <c r="N61" s="99"/>
      <c r="O61" s="10"/>
      <c r="P61" s="99"/>
      <c r="Q61" s="99"/>
      <c r="R61" s="99"/>
      <c r="S61" s="99"/>
      <c r="T61" s="99"/>
      <c r="U61" s="99"/>
      <c r="W61" s="99"/>
      <c r="X61" s="99"/>
      <c r="Y61" s="99"/>
      <c r="Z61" s="99"/>
      <c r="AA61" s="99"/>
      <c r="AB61" s="99"/>
      <c r="AD61" s="99"/>
      <c r="AE61" s="99"/>
      <c r="AF61" s="99"/>
      <c r="AG61" s="99"/>
      <c r="AH61" s="99"/>
      <c r="AI61" s="99"/>
      <c r="AK61" s="99"/>
      <c r="AL61" s="99"/>
      <c r="AM61" s="99"/>
      <c r="AN61" s="99"/>
      <c r="AO61" s="99"/>
      <c r="AP61" s="99"/>
      <c r="AR61" s="99"/>
      <c r="AS61" s="99"/>
      <c r="AT61" s="99"/>
      <c r="AU61" s="99"/>
      <c r="AV61" s="99"/>
      <c r="AW61" s="99"/>
    </row>
    <row r="62" spans="1:49" ht="12.75" hidden="1" customHeight="1" x14ac:dyDescent="0.25">
      <c r="A62" t="str">
        <f>Nutrients!B61</f>
        <v>Pea Protein Concentrate</v>
      </c>
      <c r="B62" s="99"/>
      <c r="C62" s="99"/>
      <c r="D62" s="99"/>
      <c r="E62" s="99"/>
      <c r="F62" s="99"/>
      <c r="G62" s="99"/>
      <c r="H62" s="99"/>
      <c r="I62" s="99"/>
      <c r="J62" s="99"/>
      <c r="K62" s="99"/>
      <c r="L62" s="99"/>
      <c r="M62" s="99"/>
      <c r="N62" s="99"/>
      <c r="O62" s="10"/>
      <c r="P62" s="99"/>
      <c r="Q62" s="99"/>
      <c r="R62" s="99"/>
      <c r="S62" s="99"/>
      <c r="T62" s="99"/>
      <c r="U62" s="99"/>
      <c r="W62" s="99"/>
      <c r="X62" s="99"/>
      <c r="Y62" s="99"/>
      <c r="Z62" s="99"/>
      <c r="AA62" s="99"/>
      <c r="AB62" s="99"/>
      <c r="AD62" s="99"/>
      <c r="AE62" s="99"/>
      <c r="AF62" s="99"/>
      <c r="AG62" s="99"/>
      <c r="AH62" s="99"/>
      <c r="AI62" s="99"/>
      <c r="AK62" s="99"/>
      <c r="AL62" s="99"/>
      <c r="AM62" s="99"/>
      <c r="AN62" s="99"/>
      <c r="AO62" s="99"/>
      <c r="AP62" s="99"/>
      <c r="AR62" s="99"/>
      <c r="AS62" s="99"/>
      <c r="AT62" s="99"/>
      <c r="AU62" s="99"/>
      <c r="AV62" s="99"/>
      <c r="AW62" s="99"/>
    </row>
    <row r="63" spans="1:49" ht="12.75" hidden="1" customHeight="1" x14ac:dyDescent="0.25">
      <c r="A63" t="str">
        <f>Nutrients!B62</f>
        <v>Potato Protein Concentrate</v>
      </c>
      <c r="B63" s="99"/>
      <c r="C63" s="99"/>
      <c r="D63" s="99"/>
      <c r="E63" s="99"/>
      <c r="F63" s="99"/>
      <c r="G63" s="99"/>
      <c r="H63" s="99"/>
      <c r="I63" s="99"/>
      <c r="J63" s="99"/>
      <c r="K63" s="99"/>
      <c r="L63" s="99"/>
      <c r="M63" s="99"/>
      <c r="N63" s="99"/>
      <c r="O63" s="10"/>
      <c r="P63" s="99"/>
      <c r="Q63" s="99"/>
      <c r="R63" s="99"/>
      <c r="S63" s="99"/>
      <c r="T63" s="99"/>
      <c r="U63" s="99"/>
      <c r="W63" s="99"/>
      <c r="X63" s="99"/>
      <c r="Y63" s="99"/>
      <c r="Z63" s="99"/>
      <c r="AA63" s="99"/>
      <c r="AB63" s="99"/>
      <c r="AD63" s="99"/>
      <c r="AE63" s="99"/>
      <c r="AF63" s="99"/>
      <c r="AG63" s="99"/>
      <c r="AH63" s="99"/>
      <c r="AI63" s="99"/>
      <c r="AK63" s="99"/>
      <c r="AL63" s="99"/>
      <c r="AM63" s="99"/>
      <c r="AN63" s="99"/>
      <c r="AO63" s="99"/>
      <c r="AP63" s="99"/>
      <c r="AR63" s="99"/>
      <c r="AS63" s="99"/>
      <c r="AT63" s="99"/>
      <c r="AU63" s="99"/>
      <c r="AV63" s="99"/>
      <c r="AW63" s="99"/>
    </row>
    <row r="64" spans="1:49" ht="12.75" hidden="1" customHeight="1" x14ac:dyDescent="0.25">
      <c r="A64" t="str">
        <f>Nutrients!B63</f>
        <v>Poultry Byproduct</v>
      </c>
      <c r="B64" s="99"/>
      <c r="C64" s="99"/>
      <c r="D64" s="99"/>
      <c r="E64" s="99"/>
      <c r="F64" s="99"/>
      <c r="G64" s="99"/>
      <c r="H64" s="99"/>
      <c r="I64" s="99"/>
      <c r="J64" s="99"/>
      <c r="K64" s="99"/>
      <c r="L64" s="99"/>
      <c r="M64" s="99"/>
      <c r="N64" s="99"/>
      <c r="O64" s="10"/>
      <c r="P64" s="99"/>
      <c r="Q64" s="99"/>
      <c r="R64" s="99"/>
      <c r="S64" s="99"/>
      <c r="T64" s="99"/>
      <c r="U64" s="99"/>
      <c r="W64" s="99"/>
      <c r="X64" s="99"/>
      <c r="Y64" s="99"/>
      <c r="Z64" s="99"/>
      <c r="AA64" s="99"/>
      <c r="AB64" s="99"/>
      <c r="AD64" s="99"/>
      <c r="AE64" s="99"/>
      <c r="AF64" s="99"/>
      <c r="AG64" s="99"/>
      <c r="AH64" s="99"/>
      <c r="AI64" s="99"/>
      <c r="AK64" s="99"/>
      <c r="AL64" s="99"/>
      <c r="AM64" s="99"/>
      <c r="AN64" s="99"/>
      <c r="AO64" s="99"/>
      <c r="AP64" s="99"/>
      <c r="AR64" s="99"/>
      <c r="AS64" s="99"/>
      <c r="AT64" s="99"/>
      <c r="AU64" s="99"/>
      <c r="AV64" s="99"/>
      <c r="AW64" s="99"/>
    </row>
    <row r="65" spans="1:49" ht="12.75" hidden="1" customHeight="1" x14ac:dyDescent="0.25">
      <c r="A65" t="str">
        <f>Nutrients!B64</f>
        <v>Rice</v>
      </c>
      <c r="B65" s="99"/>
      <c r="C65" s="99"/>
      <c r="D65" s="99"/>
      <c r="E65" s="99"/>
      <c r="F65" s="99"/>
      <c r="G65" s="99"/>
      <c r="H65" s="99"/>
      <c r="I65" s="99"/>
      <c r="J65" s="99"/>
      <c r="K65" s="99"/>
      <c r="L65" s="99"/>
      <c r="M65" s="99"/>
      <c r="N65" s="99"/>
      <c r="O65" s="10"/>
      <c r="P65" s="99"/>
      <c r="Q65" s="99"/>
      <c r="R65" s="99"/>
      <c r="S65" s="99"/>
      <c r="T65" s="99"/>
      <c r="U65" s="99"/>
      <c r="W65" s="99"/>
      <c r="X65" s="99"/>
      <c r="Y65" s="99"/>
      <c r="Z65" s="99"/>
      <c r="AA65" s="99"/>
      <c r="AB65" s="99"/>
      <c r="AD65" s="99"/>
      <c r="AE65" s="99"/>
      <c r="AF65" s="99"/>
      <c r="AG65" s="99"/>
      <c r="AH65" s="99"/>
      <c r="AI65" s="99"/>
      <c r="AK65" s="99"/>
      <c r="AL65" s="99"/>
      <c r="AM65" s="99"/>
      <c r="AN65" s="99"/>
      <c r="AO65" s="99"/>
      <c r="AP65" s="99"/>
      <c r="AR65" s="99"/>
      <c r="AS65" s="99"/>
      <c r="AT65" s="99"/>
      <c r="AU65" s="99"/>
      <c r="AV65" s="99"/>
      <c r="AW65" s="99"/>
    </row>
    <row r="66" spans="1:49" ht="12.75" hidden="1" customHeight="1" x14ac:dyDescent="0.25">
      <c r="A66" t="str">
        <f>Nutrients!B65</f>
        <v>Rice Bran</v>
      </c>
      <c r="B66" s="99"/>
      <c r="C66" s="99"/>
      <c r="D66" s="99"/>
      <c r="E66" s="99"/>
      <c r="F66" s="99"/>
      <c r="G66" s="99"/>
      <c r="H66" s="99"/>
      <c r="I66" s="99"/>
      <c r="J66" s="99"/>
      <c r="K66" s="99"/>
      <c r="L66" s="99"/>
      <c r="M66" s="99"/>
      <c r="N66" s="99"/>
      <c r="O66" s="10"/>
      <c r="P66" s="99"/>
      <c r="Q66" s="99"/>
      <c r="R66" s="99"/>
      <c r="S66" s="99"/>
      <c r="T66" s="99"/>
      <c r="U66" s="99"/>
      <c r="W66" s="99"/>
      <c r="X66" s="99"/>
      <c r="Y66" s="99"/>
      <c r="Z66" s="99"/>
      <c r="AA66" s="99"/>
      <c r="AB66" s="99"/>
      <c r="AD66" s="99"/>
      <c r="AE66" s="99"/>
      <c r="AF66" s="99"/>
      <c r="AG66" s="99"/>
      <c r="AH66" s="99"/>
      <c r="AI66" s="99"/>
      <c r="AK66" s="99"/>
      <c r="AL66" s="99"/>
      <c r="AM66" s="99"/>
      <c r="AN66" s="99"/>
      <c r="AO66" s="99"/>
      <c r="AP66" s="99"/>
      <c r="AR66" s="99"/>
      <c r="AS66" s="99"/>
      <c r="AT66" s="99"/>
      <c r="AU66" s="99"/>
      <c r="AV66" s="99"/>
      <c r="AW66" s="99"/>
    </row>
    <row r="67" spans="1:49" ht="12.75" hidden="1" customHeight="1" x14ac:dyDescent="0.25">
      <c r="A67" t="str">
        <f>Nutrients!B66</f>
        <v>Rice Bran, Defatted</v>
      </c>
      <c r="B67" s="99"/>
      <c r="C67" s="99"/>
      <c r="D67" s="99"/>
      <c r="E67" s="99"/>
      <c r="F67" s="99"/>
      <c r="G67" s="99"/>
      <c r="H67" s="99"/>
      <c r="I67" s="99"/>
      <c r="J67" s="99"/>
      <c r="K67" s="99"/>
      <c r="L67" s="99"/>
      <c r="M67" s="99"/>
      <c r="N67" s="99"/>
      <c r="O67" s="10"/>
      <c r="P67" s="99"/>
      <c r="Q67" s="99"/>
      <c r="R67" s="99"/>
      <c r="S67" s="99"/>
      <c r="T67" s="99"/>
      <c r="U67" s="99"/>
      <c r="W67" s="99"/>
      <c r="X67" s="99"/>
      <c r="Y67" s="99"/>
      <c r="Z67" s="99"/>
      <c r="AA67" s="99"/>
      <c r="AB67" s="99"/>
      <c r="AD67" s="99"/>
      <c r="AE67" s="99"/>
      <c r="AF67" s="99"/>
      <c r="AG67" s="99"/>
      <c r="AH67" s="99"/>
      <c r="AI67" s="99"/>
      <c r="AK67" s="99"/>
      <c r="AL67" s="99"/>
      <c r="AM67" s="99"/>
      <c r="AN67" s="99"/>
      <c r="AO67" s="99"/>
      <c r="AP67" s="99"/>
      <c r="AR67" s="99"/>
      <c r="AS67" s="99"/>
      <c r="AT67" s="99"/>
      <c r="AU67" s="99"/>
      <c r="AV67" s="99"/>
      <c r="AW67" s="99"/>
    </row>
    <row r="68" spans="1:49" ht="12.75" hidden="1" customHeight="1" x14ac:dyDescent="0.25">
      <c r="A68" t="str">
        <f>Nutrients!B67</f>
        <v>Rice, Broken</v>
      </c>
      <c r="B68" s="99"/>
      <c r="C68" s="99"/>
      <c r="D68" s="99"/>
      <c r="E68" s="99"/>
      <c r="F68" s="99"/>
      <c r="G68" s="99"/>
      <c r="H68" s="99"/>
      <c r="I68" s="99"/>
      <c r="J68" s="99"/>
      <c r="K68" s="99"/>
      <c r="L68" s="99"/>
      <c r="M68" s="99"/>
      <c r="N68" s="99"/>
      <c r="O68" s="10"/>
      <c r="P68" s="99"/>
      <c r="Q68" s="99"/>
      <c r="R68" s="99"/>
      <c r="S68" s="99"/>
      <c r="T68" s="99"/>
      <c r="U68" s="99"/>
      <c r="W68" s="99"/>
      <c r="X68" s="99"/>
      <c r="Y68" s="99"/>
      <c r="Z68" s="99"/>
      <c r="AA68" s="99"/>
      <c r="AB68" s="99"/>
      <c r="AD68" s="99"/>
      <c r="AE68" s="99"/>
      <c r="AF68" s="99"/>
      <c r="AG68" s="99"/>
      <c r="AH68" s="99"/>
      <c r="AI68" s="99"/>
      <c r="AK68" s="99"/>
      <c r="AL68" s="99"/>
      <c r="AM68" s="99"/>
      <c r="AN68" s="99"/>
      <c r="AO68" s="99"/>
      <c r="AP68" s="99"/>
      <c r="AR68" s="99"/>
      <c r="AS68" s="99"/>
      <c r="AT68" s="99"/>
      <c r="AU68" s="99"/>
      <c r="AV68" s="99"/>
      <c r="AW68" s="99"/>
    </row>
    <row r="69" spans="1:49" ht="12.75" hidden="1" customHeight="1" x14ac:dyDescent="0.25">
      <c r="A69" t="str">
        <f>Nutrients!B68</f>
        <v>Rye</v>
      </c>
      <c r="B69" s="99"/>
      <c r="C69" s="99"/>
      <c r="D69" s="99"/>
      <c r="E69" s="99"/>
      <c r="F69" s="99"/>
      <c r="G69" s="99"/>
      <c r="H69" s="99"/>
      <c r="I69" s="99"/>
      <c r="J69" s="99"/>
      <c r="K69" s="99"/>
      <c r="L69" s="99"/>
      <c r="M69" s="99"/>
      <c r="N69" s="99"/>
      <c r="O69" s="10"/>
      <c r="P69" s="99"/>
      <c r="Q69" s="99"/>
      <c r="R69" s="99"/>
      <c r="S69" s="99"/>
      <c r="T69" s="99"/>
      <c r="U69" s="99"/>
      <c r="W69" s="99"/>
      <c r="X69" s="99"/>
      <c r="Y69" s="99"/>
      <c r="Z69" s="99"/>
      <c r="AA69" s="99"/>
      <c r="AB69" s="99"/>
      <c r="AD69" s="99"/>
      <c r="AE69" s="99"/>
      <c r="AF69" s="99"/>
      <c r="AG69" s="99"/>
      <c r="AH69" s="99"/>
      <c r="AI69" s="99"/>
      <c r="AK69" s="99"/>
      <c r="AL69" s="99"/>
      <c r="AM69" s="99"/>
      <c r="AN69" s="99"/>
      <c r="AO69" s="99"/>
      <c r="AP69" s="99"/>
      <c r="AR69" s="99"/>
      <c r="AS69" s="99"/>
      <c r="AT69" s="99"/>
      <c r="AU69" s="99"/>
      <c r="AV69" s="99"/>
      <c r="AW69" s="99"/>
    </row>
    <row r="70" spans="1:49" ht="12.75" hidden="1" customHeight="1" x14ac:dyDescent="0.25">
      <c r="A70" t="str">
        <f>Nutrients!B69</f>
        <v>Sesame Meal</v>
      </c>
      <c r="B70" s="99"/>
      <c r="C70" s="99"/>
      <c r="D70" s="99"/>
      <c r="E70" s="99"/>
      <c r="F70" s="99"/>
      <c r="G70" s="99"/>
      <c r="H70" s="99"/>
      <c r="I70" s="99"/>
      <c r="J70" s="99"/>
      <c r="K70" s="99"/>
      <c r="L70" s="99"/>
      <c r="M70" s="99"/>
      <c r="N70" s="99"/>
      <c r="O70" s="10"/>
      <c r="P70" s="99"/>
      <c r="Q70" s="99"/>
      <c r="R70" s="99"/>
      <c r="S70" s="99"/>
      <c r="T70" s="99"/>
      <c r="U70" s="99"/>
      <c r="W70" s="99"/>
      <c r="X70" s="99"/>
      <c r="Y70" s="99"/>
      <c r="Z70" s="99"/>
      <c r="AA70" s="99"/>
      <c r="AB70" s="99"/>
      <c r="AD70" s="99"/>
      <c r="AE70" s="99"/>
      <c r="AF70" s="99"/>
      <c r="AG70" s="99"/>
      <c r="AH70" s="99"/>
      <c r="AI70" s="99"/>
      <c r="AK70" s="99"/>
      <c r="AL70" s="99"/>
      <c r="AM70" s="99"/>
      <c r="AN70" s="99"/>
      <c r="AO70" s="99"/>
      <c r="AP70" s="99"/>
      <c r="AR70" s="99"/>
      <c r="AS70" s="99"/>
      <c r="AT70" s="99"/>
      <c r="AU70" s="99"/>
      <c r="AV70" s="99"/>
      <c r="AW70" s="99"/>
    </row>
    <row r="71" spans="1:49" ht="12.75" hidden="1" customHeight="1" x14ac:dyDescent="0.25">
      <c r="A71" t="str">
        <f>Nutrients!B70</f>
        <v>Sorghum</v>
      </c>
      <c r="B71" s="99"/>
      <c r="C71" s="99"/>
      <c r="D71" s="99"/>
      <c r="E71" s="99"/>
      <c r="F71" s="99"/>
      <c r="G71" s="99"/>
      <c r="H71" s="99"/>
      <c r="I71" s="99"/>
      <c r="J71" s="99"/>
      <c r="K71" s="99"/>
      <c r="L71" s="99"/>
      <c r="M71" s="99"/>
      <c r="N71" s="99"/>
      <c r="O71" s="10"/>
      <c r="P71" s="99"/>
      <c r="Q71" s="99"/>
      <c r="R71" s="99"/>
      <c r="S71" s="99"/>
      <c r="T71" s="99"/>
      <c r="U71" s="99"/>
      <c r="W71" s="99"/>
      <c r="X71" s="99"/>
      <c r="Y71" s="99"/>
      <c r="Z71" s="99"/>
      <c r="AA71" s="99"/>
      <c r="AB71" s="99"/>
      <c r="AD71" s="99"/>
      <c r="AE71" s="99"/>
      <c r="AF71" s="99"/>
      <c r="AG71" s="99"/>
      <c r="AH71" s="99"/>
      <c r="AI71" s="99"/>
      <c r="AK71" s="99"/>
      <c r="AL71" s="99"/>
      <c r="AM71" s="99"/>
      <c r="AN71" s="99"/>
      <c r="AO71" s="99"/>
      <c r="AP71" s="99"/>
      <c r="AR71" s="99"/>
      <c r="AS71" s="99"/>
      <c r="AT71" s="99"/>
      <c r="AU71" s="99"/>
      <c r="AV71" s="99"/>
      <c r="AW71" s="99"/>
    </row>
    <row r="72" spans="1:49" ht="12.75" hidden="1" customHeight="1" x14ac:dyDescent="0.25">
      <c r="A72" t="str">
        <f>Nutrients!B71</f>
        <v>Soybeans, Full Fat</v>
      </c>
      <c r="B72" s="99"/>
      <c r="C72" s="99"/>
      <c r="D72" s="99"/>
      <c r="E72" s="99"/>
      <c r="F72" s="99"/>
      <c r="G72" s="99"/>
      <c r="H72" s="99"/>
      <c r="I72" s="99"/>
      <c r="J72" s="99"/>
      <c r="K72" s="99"/>
      <c r="L72" s="99"/>
      <c r="M72" s="99"/>
      <c r="N72" s="99"/>
      <c r="O72" s="10"/>
      <c r="P72" s="99"/>
      <c r="Q72" s="99"/>
      <c r="R72" s="99"/>
      <c r="S72" s="99"/>
      <c r="T72" s="99"/>
      <c r="U72" s="99"/>
      <c r="W72" s="99"/>
      <c r="X72" s="99"/>
      <c r="Y72" s="99"/>
      <c r="Z72" s="99"/>
      <c r="AA72" s="99"/>
      <c r="AB72" s="99"/>
      <c r="AD72" s="99"/>
      <c r="AE72" s="99"/>
      <c r="AF72" s="99"/>
      <c r="AG72" s="99"/>
      <c r="AH72" s="99"/>
      <c r="AI72" s="99"/>
      <c r="AK72" s="99"/>
      <c r="AL72" s="99"/>
      <c r="AM72" s="99"/>
      <c r="AN72" s="99"/>
      <c r="AO72" s="99"/>
      <c r="AP72" s="99"/>
      <c r="AR72" s="99"/>
      <c r="AS72" s="99"/>
      <c r="AT72" s="99"/>
      <c r="AU72" s="99"/>
      <c r="AV72" s="99"/>
      <c r="AW72" s="99"/>
    </row>
    <row r="73" spans="1:49" ht="12.75" hidden="1" customHeight="1" x14ac:dyDescent="0.25">
      <c r="A73" t="str">
        <f>Nutrients!B72</f>
        <v>Soybeans, High Protein, Full Fat</v>
      </c>
      <c r="B73" s="99"/>
      <c r="C73" s="99"/>
      <c r="D73" s="99"/>
      <c r="E73" s="99"/>
      <c r="F73" s="99"/>
      <c r="G73" s="99"/>
      <c r="H73" s="99"/>
      <c r="I73" s="99"/>
      <c r="J73" s="99"/>
      <c r="K73" s="99"/>
      <c r="L73" s="99"/>
      <c r="M73" s="99"/>
      <c r="N73" s="99"/>
      <c r="O73" s="10"/>
      <c r="P73" s="99"/>
      <c r="Q73" s="99"/>
      <c r="R73" s="99"/>
      <c r="S73" s="99"/>
      <c r="T73" s="99"/>
      <c r="U73" s="99"/>
      <c r="W73" s="99"/>
      <c r="X73" s="99"/>
      <c r="Y73" s="99"/>
      <c r="Z73" s="99"/>
      <c r="AA73" s="99"/>
      <c r="AB73" s="99"/>
      <c r="AD73" s="99"/>
      <c r="AE73" s="99"/>
      <c r="AF73" s="99"/>
      <c r="AG73" s="99"/>
      <c r="AH73" s="99"/>
      <c r="AI73" s="99"/>
      <c r="AK73" s="99"/>
      <c r="AL73" s="99"/>
      <c r="AM73" s="99"/>
      <c r="AN73" s="99"/>
      <c r="AO73" s="99"/>
      <c r="AP73" s="99"/>
      <c r="AR73" s="99"/>
      <c r="AS73" s="99"/>
      <c r="AT73" s="99"/>
      <c r="AU73" s="99"/>
      <c r="AV73" s="99"/>
      <c r="AW73" s="99"/>
    </row>
    <row r="74" spans="1:49" ht="12.75" hidden="1" customHeight="1" x14ac:dyDescent="0.25">
      <c r="A74" t="str">
        <f>Nutrients!B73</f>
        <v>Soybeans, Low Oligosaccharide, Full Fat</v>
      </c>
      <c r="B74" s="99"/>
      <c r="C74" s="99"/>
      <c r="D74" s="99"/>
      <c r="E74" s="99"/>
      <c r="F74" s="99"/>
      <c r="G74" s="99"/>
      <c r="H74" s="99"/>
      <c r="I74" s="99"/>
      <c r="J74" s="99"/>
      <c r="K74" s="99"/>
      <c r="L74" s="99"/>
      <c r="M74" s="99"/>
      <c r="N74" s="99"/>
      <c r="O74" s="10"/>
      <c r="P74" s="99"/>
      <c r="Q74" s="99"/>
      <c r="R74" s="99"/>
      <c r="S74" s="99"/>
      <c r="T74" s="99"/>
      <c r="U74" s="99"/>
      <c r="W74" s="99"/>
      <c r="X74" s="99"/>
      <c r="Y74" s="99"/>
      <c r="Z74" s="99"/>
      <c r="AA74" s="99"/>
      <c r="AB74" s="99"/>
      <c r="AD74" s="99"/>
      <c r="AE74" s="99"/>
      <c r="AF74" s="99"/>
      <c r="AG74" s="99"/>
      <c r="AH74" s="99"/>
      <c r="AI74" s="99"/>
      <c r="AK74" s="99"/>
      <c r="AL74" s="99"/>
      <c r="AM74" s="99"/>
      <c r="AN74" s="99"/>
      <c r="AO74" s="99"/>
      <c r="AP74" s="99"/>
      <c r="AR74" s="99"/>
      <c r="AS74" s="99"/>
      <c r="AT74" s="99"/>
      <c r="AU74" s="99"/>
      <c r="AV74" s="99"/>
      <c r="AW74" s="99"/>
    </row>
    <row r="75" spans="1:49" ht="12.75" hidden="1" customHeight="1" x14ac:dyDescent="0.25">
      <c r="A75" t="str">
        <f>Nutrients!B74</f>
        <v>Soybean Meal, High Protein, Expelled</v>
      </c>
      <c r="B75" s="99"/>
      <c r="C75" s="99"/>
      <c r="D75" s="99"/>
      <c r="E75" s="99"/>
      <c r="F75" s="99"/>
      <c r="G75" s="99"/>
      <c r="H75" s="99"/>
      <c r="I75" s="99"/>
      <c r="J75" s="99"/>
      <c r="K75" s="99"/>
      <c r="L75" s="99"/>
      <c r="M75" s="99"/>
      <c r="N75" s="99"/>
      <c r="O75" s="10"/>
      <c r="P75" s="99"/>
      <c r="Q75" s="99"/>
      <c r="R75" s="99"/>
      <c r="S75" s="99"/>
      <c r="T75" s="99"/>
      <c r="U75" s="99"/>
      <c r="W75" s="99"/>
      <c r="X75" s="99"/>
      <c r="Y75" s="99"/>
      <c r="Z75" s="99"/>
      <c r="AA75" s="99"/>
      <c r="AB75" s="99"/>
      <c r="AD75" s="99"/>
      <c r="AE75" s="99"/>
      <c r="AF75" s="99"/>
      <c r="AG75" s="99"/>
      <c r="AH75" s="99"/>
      <c r="AI75" s="99"/>
      <c r="AK75" s="99"/>
      <c r="AL75" s="99"/>
      <c r="AM75" s="99"/>
      <c r="AN75" s="99"/>
      <c r="AO75" s="99"/>
      <c r="AP75" s="99"/>
      <c r="AR75" s="99"/>
      <c r="AS75" s="99"/>
      <c r="AT75" s="99"/>
      <c r="AU75" s="99"/>
      <c r="AV75" s="99"/>
      <c r="AW75" s="99"/>
    </row>
    <row r="76" spans="1:49" ht="12.75" hidden="1" customHeight="1" x14ac:dyDescent="0.25">
      <c r="A76" t="str">
        <f>Nutrients!B75</f>
        <v>Soybean Meal, Low Oligosacch, Expell</v>
      </c>
      <c r="B76" s="99"/>
      <c r="C76" s="99"/>
      <c r="D76" s="99"/>
      <c r="E76" s="99"/>
      <c r="F76" s="99"/>
      <c r="G76" s="99"/>
      <c r="H76" s="99"/>
      <c r="I76" s="99"/>
      <c r="J76" s="99"/>
      <c r="K76" s="99"/>
      <c r="L76" s="99"/>
      <c r="M76" s="99"/>
      <c r="N76" s="99"/>
      <c r="O76" s="10"/>
      <c r="P76" s="99"/>
      <c r="Q76" s="99"/>
      <c r="R76" s="99"/>
      <c r="S76" s="99"/>
      <c r="T76" s="99"/>
      <c r="U76" s="99"/>
      <c r="W76" s="99"/>
      <c r="X76" s="99"/>
      <c r="Y76" s="99"/>
      <c r="Z76" s="99"/>
      <c r="AA76" s="99"/>
      <c r="AB76" s="99"/>
      <c r="AD76" s="99"/>
      <c r="AE76" s="99"/>
      <c r="AF76" s="99"/>
      <c r="AG76" s="99"/>
      <c r="AH76" s="99"/>
      <c r="AI76" s="99"/>
      <c r="AK76" s="99"/>
      <c r="AL76" s="99"/>
      <c r="AM76" s="99"/>
      <c r="AN76" s="99"/>
      <c r="AO76" s="99"/>
      <c r="AP76" s="99"/>
      <c r="AR76" s="99"/>
      <c r="AS76" s="99"/>
      <c r="AT76" s="99"/>
      <c r="AU76" s="99"/>
      <c r="AV76" s="99"/>
      <c r="AW76" s="99"/>
    </row>
    <row r="77" spans="1:49" ht="12.75" hidden="1" customHeight="1" x14ac:dyDescent="0.25">
      <c r="A77" t="str">
        <f>Nutrients!B76</f>
        <v>Soybean Meal, Expelled</v>
      </c>
      <c r="B77" s="99"/>
      <c r="C77" s="99"/>
      <c r="D77" s="99"/>
      <c r="E77" s="99"/>
      <c r="F77" s="99"/>
      <c r="G77" s="99"/>
      <c r="H77" s="99"/>
      <c r="I77" s="99"/>
      <c r="J77" s="99"/>
      <c r="K77" s="99"/>
      <c r="L77" s="99"/>
      <c r="M77" s="99"/>
      <c r="N77" s="99"/>
      <c r="O77" s="10"/>
      <c r="P77" s="99"/>
      <c r="Q77" s="99"/>
      <c r="R77" s="99"/>
      <c r="S77" s="99"/>
      <c r="T77" s="99"/>
      <c r="U77" s="99"/>
      <c r="W77" s="99"/>
      <c r="X77" s="99"/>
      <c r="Y77" s="99"/>
      <c r="Z77" s="99"/>
      <c r="AA77" s="99"/>
      <c r="AB77" s="99"/>
      <c r="AD77" s="99"/>
      <c r="AE77" s="99"/>
      <c r="AF77" s="99"/>
      <c r="AG77" s="99"/>
      <c r="AH77" s="99"/>
      <c r="AI77" s="99"/>
      <c r="AK77" s="99"/>
      <c r="AL77" s="99"/>
      <c r="AM77" s="99"/>
      <c r="AN77" s="99"/>
      <c r="AO77" s="99"/>
      <c r="AP77" s="99"/>
      <c r="AR77" s="99"/>
      <c r="AS77" s="99"/>
      <c r="AT77" s="99"/>
      <c r="AU77" s="99"/>
      <c r="AV77" s="99"/>
      <c r="AW77" s="99"/>
    </row>
    <row r="78" spans="1:49" ht="12.75" hidden="1" customHeight="1" x14ac:dyDescent="0.25">
      <c r="A78" t="str">
        <f>Nutrients!B77</f>
        <v>Soybean Meal, Dehulled, Expelled</v>
      </c>
      <c r="B78" s="99"/>
      <c r="C78" s="99"/>
      <c r="D78" s="99"/>
      <c r="E78" s="99"/>
      <c r="F78" s="99"/>
      <c r="G78" s="99"/>
      <c r="H78" s="99"/>
      <c r="I78" s="99"/>
      <c r="J78" s="99"/>
      <c r="K78" s="99"/>
      <c r="L78" s="99"/>
      <c r="M78" s="99"/>
      <c r="N78" s="99"/>
      <c r="O78" s="10"/>
      <c r="P78" s="99"/>
      <c r="Q78" s="99"/>
      <c r="R78" s="99"/>
      <c r="S78" s="99"/>
      <c r="T78" s="99"/>
      <c r="U78" s="99"/>
      <c r="W78" s="99"/>
      <c r="X78" s="99"/>
      <c r="Y78" s="99"/>
      <c r="Z78" s="99"/>
      <c r="AA78" s="99"/>
      <c r="AB78" s="99"/>
      <c r="AD78" s="99"/>
      <c r="AE78" s="99"/>
      <c r="AF78" s="99"/>
      <c r="AG78" s="99"/>
      <c r="AH78" s="99"/>
      <c r="AI78" s="99"/>
      <c r="AK78" s="99"/>
      <c r="AL78" s="99"/>
      <c r="AM78" s="99"/>
      <c r="AN78" s="99"/>
      <c r="AO78" s="99"/>
      <c r="AP78" s="99"/>
      <c r="AR78" s="99"/>
      <c r="AS78" s="99"/>
      <c r="AT78" s="99"/>
      <c r="AU78" s="99"/>
      <c r="AV78" s="99"/>
      <c r="AW78" s="99"/>
    </row>
    <row r="79" spans="1:49" ht="12.75" hidden="1" customHeight="1" x14ac:dyDescent="0.25">
      <c r="A79" t="str">
        <f>Nutrients!B78</f>
        <v>Soybean Meal, Solvent Extracted</v>
      </c>
      <c r="B79" s="99"/>
      <c r="C79" s="99"/>
      <c r="D79" s="99"/>
      <c r="E79" s="99"/>
      <c r="F79" s="99"/>
      <c r="G79" s="99"/>
      <c r="H79" s="99"/>
      <c r="I79" s="99"/>
      <c r="J79" s="99"/>
      <c r="K79" s="99"/>
      <c r="L79" s="99"/>
      <c r="M79" s="99"/>
      <c r="N79" s="99"/>
      <c r="O79" s="10"/>
      <c r="P79" s="99"/>
      <c r="Q79" s="99"/>
      <c r="R79" s="99"/>
      <c r="S79" s="99"/>
      <c r="T79" s="99"/>
      <c r="U79" s="99"/>
      <c r="W79" s="99"/>
      <c r="X79" s="99"/>
      <c r="Y79" s="99"/>
      <c r="Z79" s="99"/>
      <c r="AA79" s="99"/>
      <c r="AB79" s="99"/>
      <c r="AD79" s="99"/>
      <c r="AE79" s="99"/>
      <c r="AF79" s="99"/>
      <c r="AG79" s="99"/>
      <c r="AH79" s="99"/>
      <c r="AI79" s="99"/>
      <c r="AK79" s="99"/>
      <c r="AL79" s="99"/>
      <c r="AM79" s="99"/>
      <c r="AN79" s="99"/>
      <c r="AO79" s="99"/>
      <c r="AP79" s="99"/>
      <c r="AR79" s="99"/>
      <c r="AS79" s="99"/>
      <c r="AT79" s="99"/>
      <c r="AU79" s="99"/>
      <c r="AV79" s="99"/>
      <c r="AW79" s="99"/>
    </row>
    <row r="80" spans="1:49" ht="12.75" hidden="1" customHeight="1" x14ac:dyDescent="0.25">
      <c r="A80" t="str">
        <f>Nutrients!B79</f>
        <v>Soybean Meal, Dehull, Sol Extr</v>
      </c>
      <c r="B80" s="99"/>
      <c r="C80" s="99"/>
      <c r="D80" s="99"/>
      <c r="E80" s="99"/>
      <c r="F80" s="99"/>
      <c r="G80" s="99"/>
      <c r="H80" s="99"/>
      <c r="I80" s="99"/>
      <c r="J80" s="99"/>
      <c r="K80" s="99"/>
      <c r="L80" s="99"/>
      <c r="M80" s="99"/>
      <c r="N80" s="99"/>
      <c r="O80" s="10"/>
      <c r="P80" s="99"/>
      <c r="Q80" s="99"/>
      <c r="R80" s="99"/>
      <c r="S80" s="99"/>
      <c r="T80" s="99"/>
      <c r="U80" s="99"/>
      <c r="W80" s="99"/>
      <c r="X80" s="99"/>
      <c r="Y80" s="99"/>
      <c r="Z80" s="99"/>
      <c r="AA80" s="99"/>
      <c r="AB80" s="99"/>
      <c r="AD80" s="99"/>
      <c r="AE80" s="99"/>
      <c r="AF80" s="99"/>
      <c r="AG80" s="99"/>
      <c r="AH80" s="99"/>
      <c r="AI80" s="99"/>
      <c r="AK80" s="99"/>
      <c r="AL80" s="99"/>
      <c r="AM80" s="99"/>
      <c r="AN80" s="99"/>
      <c r="AO80" s="99"/>
      <c r="AP80" s="99"/>
      <c r="AR80" s="99"/>
      <c r="AS80" s="99"/>
      <c r="AT80" s="99"/>
      <c r="AU80" s="99"/>
      <c r="AV80" s="99"/>
      <c r="AW80" s="99"/>
    </row>
    <row r="81" spans="1:49" ht="12.75" hidden="1" customHeight="1" x14ac:dyDescent="0.25">
      <c r="A81" t="str">
        <f>Nutrients!B80</f>
        <v>Soybean Meal, High Prot, Dehull, Solv Extr</v>
      </c>
      <c r="B81" s="99"/>
      <c r="C81" s="99"/>
      <c r="D81" s="99"/>
      <c r="E81" s="99"/>
      <c r="F81" s="99"/>
      <c r="G81" s="99"/>
      <c r="H81" s="99"/>
      <c r="I81" s="99"/>
      <c r="J81" s="99"/>
      <c r="K81" s="99"/>
      <c r="L81" s="99"/>
      <c r="M81" s="99"/>
      <c r="N81" s="99"/>
      <c r="O81" s="10"/>
      <c r="P81" s="99"/>
      <c r="Q81" s="99"/>
      <c r="R81" s="99"/>
      <c r="S81" s="99"/>
      <c r="T81" s="99"/>
      <c r="U81" s="99"/>
      <c r="W81" s="99"/>
      <c r="X81" s="99"/>
      <c r="Y81" s="99"/>
      <c r="Z81" s="99"/>
      <c r="AA81" s="99"/>
      <c r="AB81" s="99"/>
      <c r="AD81" s="99"/>
      <c r="AE81" s="99"/>
      <c r="AF81" s="99"/>
      <c r="AG81" s="99"/>
      <c r="AH81" s="99"/>
      <c r="AI81" s="99"/>
      <c r="AK81" s="99"/>
      <c r="AL81" s="99"/>
      <c r="AM81" s="99"/>
      <c r="AN81" s="99"/>
      <c r="AO81" s="99"/>
      <c r="AP81" s="99"/>
      <c r="AR81" s="99"/>
      <c r="AS81" s="99"/>
      <c r="AT81" s="99"/>
      <c r="AU81" s="99"/>
      <c r="AV81" s="99"/>
      <c r="AW81" s="99"/>
    </row>
    <row r="82" spans="1:49" ht="12.75" hidden="1" customHeight="1" x14ac:dyDescent="0.25">
      <c r="A82" t="str">
        <f>Nutrients!B81</f>
        <v>Soybean Meal, Enzyme Treated</v>
      </c>
      <c r="B82" s="99"/>
      <c r="C82" s="99"/>
      <c r="D82" s="99"/>
      <c r="E82" s="99"/>
      <c r="F82" s="99"/>
      <c r="G82" s="99"/>
      <c r="H82" s="99"/>
      <c r="I82" s="99"/>
      <c r="J82" s="99"/>
      <c r="K82" s="99"/>
      <c r="L82" s="99"/>
      <c r="M82" s="99"/>
      <c r="N82" s="99"/>
      <c r="O82" s="10"/>
      <c r="P82" s="99"/>
      <c r="Q82" s="99"/>
      <c r="R82" s="99"/>
      <c r="S82" s="99"/>
      <c r="T82" s="99"/>
      <c r="U82" s="99"/>
      <c r="W82" s="99"/>
      <c r="X82" s="99"/>
      <c r="Y82" s="99"/>
      <c r="Z82" s="99"/>
      <c r="AA82" s="99"/>
      <c r="AB82" s="99"/>
      <c r="AD82" s="99"/>
      <c r="AE82" s="99"/>
      <c r="AF82" s="99"/>
      <c r="AG82" s="99"/>
      <c r="AH82" s="99"/>
      <c r="AI82" s="99"/>
      <c r="AK82" s="99"/>
      <c r="AL82" s="99"/>
      <c r="AM82" s="99"/>
      <c r="AN82" s="99"/>
      <c r="AO82" s="99"/>
      <c r="AP82" s="99"/>
      <c r="AR82" s="99"/>
      <c r="AS82" s="99"/>
      <c r="AT82" s="99"/>
      <c r="AU82" s="99"/>
      <c r="AV82" s="99"/>
      <c r="AW82" s="99"/>
    </row>
    <row r="83" spans="1:49" ht="12.75" hidden="1" customHeight="1" x14ac:dyDescent="0.25">
      <c r="A83" t="str">
        <f>Nutrients!B82</f>
        <v>Soybean Meal, Fermented</v>
      </c>
      <c r="B83" s="99"/>
      <c r="C83" s="99"/>
      <c r="D83" s="99"/>
      <c r="E83" s="99"/>
      <c r="F83" s="99"/>
      <c r="G83" s="99"/>
      <c r="H83" s="99"/>
      <c r="I83" s="99"/>
      <c r="J83" s="99"/>
      <c r="K83" s="99"/>
      <c r="L83" s="99"/>
      <c r="M83" s="99"/>
      <c r="N83" s="99"/>
      <c r="O83" s="10"/>
      <c r="P83" s="99"/>
      <c r="Q83" s="99"/>
      <c r="R83" s="99"/>
      <c r="S83" s="99"/>
      <c r="T83" s="99"/>
      <c r="U83" s="99"/>
      <c r="W83" s="99"/>
      <c r="X83" s="99"/>
      <c r="Y83" s="99"/>
      <c r="Z83" s="99"/>
      <c r="AA83" s="99"/>
      <c r="AB83" s="99"/>
      <c r="AD83" s="99"/>
      <c r="AE83" s="99"/>
      <c r="AF83" s="99"/>
      <c r="AG83" s="99"/>
      <c r="AH83" s="99"/>
      <c r="AI83" s="99"/>
      <c r="AK83" s="99"/>
      <c r="AL83" s="99"/>
      <c r="AM83" s="99"/>
      <c r="AN83" s="99"/>
      <c r="AO83" s="99"/>
      <c r="AP83" s="99"/>
      <c r="AR83" s="99"/>
      <c r="AS83" s="99"/>
      <c r="AT83" s="99"/>
      <c r="AU83" s="99"/>
      <c r="AV83" s="99"/>
      <c r="AW83" s="99"/>
    </row>
    <row r="84" spans="1:49" ht="12.75" hidden="1" customHeight="1" x14ac:dyDescent="0.25">
      <c r="A84" t="str">
        <f>Nutrients!B83</f>
        <v>Soybean Hulls</v>
      </c>
      <c r="B84" s="99"/>
      <c r="C84" s="99"/>
      <c r="D84" s="99"/>
      <c r="E84" s="99"/>
      <c r="F84" s="99"/>
      <c r="G84" s="99"/>
      <c r="H84" s="99"/>
      <c r="I84" s="99"/>
      <c r="J84" s="99"/>
      <c r="K84" s="99"/>
      <c r="L84" s="99"/>
      <c r="M84" s="99"/>
      <c r="N84" s="99"/>
      <c r="O84" s="10"/>
      <c r="P84" s="99"/>
      <c r="Q84" s="99"/>
      <c r="R84" s="99"/>
      <c r="S84" s="99"/>
      <c r="T84" s="99"/>
      <c r="U84" s="99"/>
      <c r="W84" s="99"/>
      <c r="X84" s="99"/>
      <c r="Y84" s="99"/>
      <c r="Z84" s="99"/>
      <c r="AA84" s="99"/>
      <c r="AB84" s="99"/>
      <c r="AD84" s="99"/>
      <c r="AE84" s="99"/>
      <c r="AF84" s="99"/>
      <c r="AG84" s="99"/>
      <c r="AH84" s="99"/>
      <c r="AI84" s="99"/>
      <c r="AK84" s="99"/>
      <c r="AL84" s="99"/>
      <c r="AM84" s="99"/>
      <c r="AN84" s="99"/>
      <c r="AO84" s="99"/>
      <c r="AP84" s="99"/>
      <c r="AR84" s="99"/>
      <c r="AS84" s="99"/>
      <c r="AT84" s="99"/>
      <c r="AU84" s="99"/>
      <c r="AV84" s="99"/>
      <c r="AW84" s="99"/>
    </row>
    <row r="85" spans="1:49" ht="12.75" hidden="1" customHeight="1" x14ac:dyDescent="0.25">
      <c r="A85" t="str">
        <f>Nutrients!B84</f>
        <v>Soy Protein Concentrate</v>
      </c>
      <c r="B85" s="99"/>
      <c r="C85" s="99"/>
      <c r="D85" s="99"/>
      <c r="E85" s="99"/>
      <c r="F85" s="99"/>
      <c r="G85" s="99"/>
      <c r="H85" s="99"/>
      <c r="I85" s="99"/>
      <c r="J85" s="99"/>
      <c r="K85" s="99"/>
      <c r="L85" s="99"/>
      <c r="M85" s="99"/>
      <c r="N85" s="99"/>
      <c r="O85" s="10"/>
      <c r="P85" s="99"/>
      <c r="Q85" s="99"/>
      <c r="R85" s="99"/>
      <c r="S85" s="99"/>
      <c r="T85" s="99"/>
      <c r="U85" s="99"/>
      <c r="W85" s="99"/>
      <c r="X85" s="99"/>
      <c r="Y85" s="99"/>
      <c r="Z85" s="99"/>
      <c r="AA85" s="99"/>
      <c r="AB85" s="99"/>
      <c r="AD85" s="99"/>
      <c r="AE85" s="99"/>
      <c r="AF85" s="99"/>
      <c r="AG85" s="99"/>
      <c r="AH85" s="99"/>
      <c r="AI85" s="99"/>
      <c r="AK85" s="99"/>
      <c r="AL85" s="99"/>
      <c r="AM85" s="99"/>
      <c r="AN85" s="99"/>
      <c r="AO85" s="99"/>
      <c r="AP85" s="99"/>
      <c r="AR85" s="99"/>
      <c r="AS85" s="99"/>
      <c r="AT85" s="99"/>
      <c r="AU85" s="99"/>
      <c r="AV85" s="99"/>
      <c r="AW85" s="99"/>
    </row>
    <row r="86" spans="1:49" ht="12.75" hidden="1" customHeight="1" x14ac:dyDescent="0.25">
      <c r="A86" t="str">
        <f>Nutrients!B85</f>
        <v>Soy Protein Isolate</v>
      </c>
      <c r="B86" s="99"/>
      <c r="C86" s="99"/>
      <c r="D86" s="99"/>
      <c r="E86" s="99"/>
      <c r="F86" s="99"/>
      <c r="G86" s="99"/>
      <c r="H86" s="99"/>
      <c r="I86" s="99"/>
      <c r="J86" s="99"/>
      <c r="K86" s="99"/>
      <c r="L86" s="99"/>
      <c r="M86" s="99"/>
      <c r="N86" s="99"/>
      <c r="O86" s="10"/>
      <c r="P86" s="99"/>
      <c r="Q86" s="99"/>
      <c r="R86" s="99"/>
      <c r="S86" s="99"/>
      <c r="T86" s="99"/>
      <c r="U86" s="99"/>
      <c r="W86" s="99"/>
      <c r="X86" s="99"/>
      <c r="Y86" s="99"/>
      <c r="Z86" s="99"/>
      <c r="AA86" s="99"/>
      <c r="AB86" s="99"/>
      <c r="AD86" s="99"/>
      <c r="AE86" s="99"/>
      <c r="AF86" s="99"/>
      <c r="AG86" s="99"/>
      <c r="AH86" s="99"/>
      <c r="AI86" s="99"/>
      <c r="AK86" s="99"/>
      <c r="AL86" s="99"/>
      <c r="AM86" s="99"/>
      <c r="AN86" s="99"/>
      <c r="AO86" s="99"/>
      <c r="AP86" s="99"/>
      <c r="AR86" s="99"/>
      <c r="AS86" s="99"/>
      <c r="AT86" s="99"/>
      <c r="AU86" s="99"/>
      <c r="AV86" s="99"/>
      <c r="AW86" s="99"/>
    </row>
    <row r="87" spans="1:49" ht="12.75" hidden="1" customHeight="1" x14ac:dyDescent="0.25">
      <c r="A87" t="str">
        <f>Nutrients!B86</f>
        <v>Sugar Beet Pulp</v>
      </c>
      <c r="B87" s="99"/>
      <c r="C87" s="99"/>
      <c r="D87" s="99"/>
      <c r="E87" s="99"/>
      <c r="F87" s="99"/>
      <c r="G87" s="99"/>
      <c r="H87" s="99"/>
      <c r="I87" s="99"/>
      <c r="J87" s="99"/>
      <c r="K87" s="99"/>
      <c r="L87" s="99"/>
      <c r="M87" s="99"/>
      <c r="N87" s="99"/>
      <c r="O87" s="10"/>
      <c r="P87" s="99"/>
      <c r="Q87" s="99"/>
      <c r="R87" s="99"/>
      <c r="S87" s="99"/>
      <c r="T87" s="99"/>
      <c r="U87" s="99"/>
      <c r="W87" s="99"/>
      <c r="X87" s="99"/>
      <c r="Y87" s="99"/>
      <c r="Z87" s="99"/>
      <c r="AA87" s="99"/>
      <c r="AB87" s="99"/>
      <c r="AD87" s="99"/>
      <c r="AE87" s="99"/>
      <c r="AF87" s="99"/>
      <c r="AG87" s="99"/>
      <c r="AH87" s="99"/>
      <c r="AI87" s="99"/>
      <c r="AK87" s="99"/>
      <c r="AL87" s="99"/>
      <c r="AM87" s="99"/>
      <c r="AN87" s="99"/>
      <c r="AO87" s="99"/>
      <c r="AP87" s="99"/>
      <c r="AR87" s="99"/>
      <c r="AS87" s="99"/>
      <c r="AT87" s="99"/>
      <c r="AU87" s="99"/>
      <c r="AV87" s="99"/>
      <c r="AW87" s="99"/>
    </row>
    <row r="88" spans="1:49" ht="12.75" hidden="1" customHeight="1" x14ac:dyDescent="0.25">
      <c r="A88" t="str">
        <f>Nutrients!B87</f>
        <v>Sunflower, Full Fat</v>
      </c>
      <c r="B88" s="99"/>
      <c r="C88" s="99"/>
      <c r="D88" s="99"/>
      <c r="E88" s="99"/>
      <c r="F88" s="99"/>
      <c r="G88" s="99"/>
      <c r="H88" s="99"/>
      <c r="I88" s="99"/>
      <c r="J88" s="99"/>
      <c r="K88" s="99"/>
      <c r="L88" s="99"/>
      <c r="M88" s="99"/>
      <c r="N88" s="99"/>
      <c r="O88" s="10"/>
      <c r="P88" s="99"/>
      <c r="Q88" s="99"/>
      <c r="R88" s="99"/>
      <c r="S88" s="99"/>
      <c r="T88" s="99"/>
      <c r="U88" s="99"/>
      <c r="W88" s="99"/>
      <c r="X88" s="99"/>
      <c r="Y88" s="99"/>
      <c r="Z88" s="99"/>
      <c r="AA88" s="99"/>
      <c r="AB88" s="99"/>
      <c r="AD88" s="99"/>
      <c r="AE88" s="99"/>
      <c r="AF88" s="99"/>
      <c r="AG88" s="99"/>
      <c r="AH88" s="99"/>
      <c r="AI88" s="99"/>
      <c r="AK88" s="99"/>
      <c r="AL88" s="99"/>
      <c r="AM88" s="99"/>
      <c r="AN88" s="99"/>
      <c r="AO88" s="99"/>
      <c r="AP88" s="99"/>
      <c r="AR88" s="99"/>
      <c r="AS88" s="99"/>
      <c r="AT88" s="99"/>
      <c r="AU88" s="99"/>
      <c r="AV88" s="99"/>
      <c r="AW88" s="99"/>
    </row>
    <row r="89" spans="1:49" ht="12.75" hidden="1" customHeight="1" x14ac:dyDescent="0.25">
      <c r="A89" t="str">
        <f>Nutrients!B88</f>
        <v>Sunflower Meal, Solvent Extracted</v>
      </c>
      <c r="B89" s="99"/>
      <c r="C89" s="99"/>
      <c r="D89" s="99"/>
      <c r="E89" s="99"/>
      <c r="F89" s="99"/>
      <c r="G89" s="99"/>
      <c r="H89" s="99"/>
      <c r="I89" s="99"/>
      <c r="J89" s="99"/>
      <c r="K89" s="99"/>
      <c r="L89" s="99"/>
      <c r="M89" s="99"/>
      <c r="N89" s="99"/>
      <c r="O89" s="10"/>
      <c r="P89" s="99"/>
      <c r="Q89" s="99"/>
      <c r="R89" s="99"/>
      <c r="S89" s="99"/>
      <c r="T89" s="99"/>
      <c r="U89" s="99"/>
      <c r="W89" s="99"/>
      <c r="X89" s="99"/>
      <c r="Y89" s="99"/>
      <c r="Z89" s="99"/>
      <c r="AA89" s="99"/>
      <c r="AB89" s="99"/>
      <c r="AD89" s="99"/>
      <c r="AE89" s="99"/>
      <c r="AF89" s="99"/>
      <c r="AG89" s="99"/>
      <c r="AH89" s="99"/>
      <c r="AI89" s="99"/>
      <c r="AK89" s="99"/>
      <c r="AL89" s="99"/>
      <c r="AM89" s="99"/>
      <c r="AN89" s="99"/>
      <c r="AO89" s="99"/>
      <c r="AP89" s="99"/>
      <c r="AR89" s="99"/>
      <c r="AS89" s="99"/>
      <c r="AT89" s="99"/>
      <c r="AU89" s="99"/>
      <c r="AV89" s="99"/>
      <c r="AW89" s="99"/>
    </row>
    <row r="90" spans="1:49" ht="12.75" hidden="1" customHeight="1" x14ac:dyDescent="0.25">
      <c r="A90" t="str">
        <f>Nutrients!B89</f>
        <v>Sunflower Meal, Dehulled, Solvent Extr</v>
      </c>
      <c r="B90" s="99"/>
      <c r="C90" s="99"/>
      <c r="D90" s="99"/>
      <c r="E90" s="99"/>
      <c r="F90" s="99"/>
      <c r="G90" s="99"/>
      <c r="H90" s="99"/>
      <c r="I90" s="99"/>
      <c r="J90" s="99"/>
      <c r="K90" s="99"/>
      <c r="L90" s="99"/>
      <c r="M90" s="99"/>
      <c r="N90" s="99"/>
      <c r="O90" s="10"/>
      <c r="P90" s="99"/>
      <c r="Q90" s="99"/>
      <c r="R90" s="99"/>
      <c r="S90" s="99"/>
      <c r="T90" s="99"/>
      <c r="U90" s="99"/>
      <c r="W90" s="99"/>
      <c r="X90" s="99"/>
      <c r="Y90" s="99"/>
      <c r="Z90" s="99"/>
      <c r="AA90" s="99"/>
      <c r="AB90" s="99"/>
      <c r="AD90" s="99"/>
      <c r="AE90" s="99"/>
      <c r="AF90" s="99"/>
      <c r="AG90" s="99"/>
      <c r="AH90" s="99"/>
      <c r="AI90" s="99"/>
      <c r="AK90" s="99"/>
      <c r="AL90" s="99"/>
      <c r="AM90" s="99"/>
      <c r="AN90" s="99"/>
      <c r="AO90" s="99"/>
      <c r="AP90" s="99"/>
      <c r="AR90" s="99"/>
      <c r="AS90" s="99"/>
      <c r="AT90" s="99"/>
      <c r="AU90" s="99"/>
      <c r="AV90" s="99"/>
      <c r="AW90" s="99"/>
    </row>
    <row r="91" spans="1:49" ht="12.75" hidden="1" customHeight="1" x14ac:dyDescent="0.25">
      <c r="A91" t="str">
        <f>Nutrients!B90</f>
        <v>Triticale</v>
      </c>
      <c r="B91" s="99"/>
      <c r="C91" s="99"/>
      <c r="D91" s="99"/>
      <c r="E91" s="99"/>
      <c r="F91" s="99"/>
      <c r="G91" s="99"/>
      <c r="H91" s="99"/>
      <c r="I91" s="99"/>
      <c r="J91" s="99"/>
      <c r="K91" s="99"/>
      <c r="L91" s="99"/>
      <c r="M91" s="99"/>
      <c r="N91" s="99"/>
      <c r="O91" s="10"/>
      <c r="P91" s="99"/>
      <c r="Q91" s="99"/>
      <c r="R91" s="99"/>
      <c r="S91" s="99"/>
      <c r="T91" s="99"/>
      <c r="U91" s="99"/>
      <c r="W91" s="99"/>
      <c r="X91" s="99"/>
      <c r="Y91" s="99"/>
      <c r="Z91" s="99"/>
      <c r="AA91" s="99"/>
      <c r="AB91" s="99"/>
      <c r="AD91" s="99"/>
      <c r="AE91" s="99"/>
      <c r="AF91" s="99"/>
      <c r="AG91" s="99"/>
      <c r="AH91" s="99"/>
      <c r="AI91" s="99"/>
      <c r="AK91" s="99"/>
      <c r="AL91" s="99"/>
      <c r="AM91" s="99"/>
      <c r="AN91" s="99"/>
      <c r="AO91" s="99"/>
      <c r="AP91" s="99"/>
      <c r="AR91" s="99"/>
      <c r="AS91" s="99"/>
      <c r="AT91" s="99"/>
      <c r="AU91" s="99"/>
      <c r="AV91" s="99"/>
      <c r="AW91" s="99"/>
    </row>
    <row r="92" spans="1:49" ht="12.75" hidden="1" customHeight="1" x14ac:dyDescent="0.25">
      <c r="A92" t="str">
        <f>Nutrients!B91</f>
        <v>Wheat, Hard Red</v>
      </c>
      <c r="B92" s="99"/>
      <c r="C92" s="99"/>
      <c r="D92" s="99"/>
      <c r="E92" s="99"/>
      <c r="F92" s="99"/>
      <c r="G92" s="99"/>
      <c r="H92" s="99"/>
      <c r="I92" s="99"/>
      <c r="J92" s="99"/>
      <c r="K92" s="99"/>
      <c r="L92" s="99"/>
      <c r="M92" s="99"/>
      <c r="N92" s="99"/>
      <c r="O92" s="10"/>
      <c r="P92" s="99"/>
      <c r="Q92" s="99"/>
      <c r="R92" s="99"/>
      <c r="S92" s="99"/>
      <c r="T92" s="99"/>
      <c r="U92" s="99"/>
      <c r="W92" s="99"/>
      <c r="X92" s="99"/>
      <c r="Y92" s="99"/>
      <c r="Z92" s="99"/>
      <c r="AA92" s="99"/>
      <c r="AB92" s="99"/>
      <c r="AD92" s="99"/>
      <c r="AE92" s="99"/>
      <c r="AF92" s="99"/>
      <c r="AG92" s="99"/>
      <c r="AH92" s="99"/>
      <c r="AI92" s="99"/>
      <c r="AK92" s="99"/>
      <c r="AL92" s="99"/>
      <c r="AM92" s="99"/>
      <c r="AN92" s="99"/>
      <c r="AO92" s="99"/>
      <c r="AP92" s="99"/>
      <c r="AR92" s="99"/>
      <c r="AS92" s="99"/>
      <c r="AT92" s="99"/>
      <c r="AU92" s="99"/>
      <c r="AV92" s="99"/>
      <c r="AW92" s="99"/>
    </row>
    <row r="93" spans="1:49" ht="12.75" hidden="1" customHeight="1" x14ac:dyDescent="0.25">
      <c r="A93" t="str">
        <f>Nutrients!B92</f>
        <v>Wheat, Soft Red</v>
      </c>
      <c r="B93" s="99"/>
      <c r="C93" s="99"/>
      <c r="D93" s="99"/>
      <c r="E93" s="99"/>
      <c r="F93" s="99"/>
      <c r="G93" s="99"/>
      <c r="H93" s="99"/>
      <c r="I93" s="99"/>
      <c r="J93" s="99"/>
      <c r="K93" s="99"/>
      <c r="L93" s="99"/>
      <c r="M93" s="99"/>
      <c r="N93" s="99"/>
      <c r="O93" s="10"/>
      <c r="P93" s="99"/>
      <c r="Q93" s="99"/>
      <c r="R93" s="99"/>
      <c r="S93" s="99"/>
      <c r="T93" s="99"/>
      <c r="U93" s="99"/>
      <c r="W93" s="99"/>
      <c r="X93" s="99"/>
      <c r="Y93" s="99"/>
      <c r="Z93" s="99"/>
      <c r="AA93" s="99"/>
      <c r="AB93" s="99"/>
      <c r="AD93" s="99"/>
      <c r="AE93" s="99"/>
      <c r="AF93" s="99"/>
      <c r="AG93" s="99"/>
      <c r="AH93" s="99"/>
      <c r="AI93" s="99"/>
      <c r="AK93" s="99"/>
      <c r="AL93" s="99"/>
      <c r="AM93" s="99"/>
      <c r="AN93" s="99"/>
      <c r="AO93" s="99"/>
      <c r="AP93" s="99"/>
      <c r="AR93" s="99"/>
      <c r="AS93" s="99"/>
      <c r="AT93" s="99"/>
      <c r="AU93" s="99"/>
      <c r="AV93" s="99"/>
      <c r="AW93" s="99"/>
    </row>
    <row r="94" spans="1:49" ht="12.75" hidden="1" customHeight="1" x14ac:dyDescent="0.25">
      <c r="A94" t="str">
        <f>Nutrients!B93</f>
        <v>Wheat Bran</v>
      </c>
      <c r="B94" s="99"/>
      <c r="C94" s="99"/>
      <c r="D94" s="99"/>
      <c r="E94" s="99"/>
      <c r="F94" s="99"/>
      <c r="G94" s="99"/>
      <c r="H94" s="99"/>
      <c r="I94" s="99"/>
      <c r="J94" s="99"/>
      <c r="K94" s="99"/>
      <c r="L94" s="99"/>
      <c r="M94" s="99"/>
      <c r="N94" s="99"/>
      <c r="O94" s="10"/>
      <c r="P94" s="99"/>
      <c r="Q94" s="99"/>
      <c r="R94" s="99"/>
      <c r="S94" s="99"/>
      <c r="T94" s="99"/>
      <c r="U94" s="99"/>
      <c r="W94" s="99"/>
      <c r="X94" s="99"/>
      <c r="Y94" s="99"/>
      <c r="Z94" s="99"/>
      <c r="AA94" s="99"/>
      <c r="AB94" s="99"/>
      <c r="AD94" s="99"/>
      <c r="AE94" s="99"/>
      <c r="AF94" s="99"/>
      <c r="AG94" s="99"/>
      <c r="AH94" s="99"/>
      <c r="AI94" s="99"/>
      <c r="AK94" s="99"/>
      <c r="AL94" s="99"/>
      <c r="AM94" s="99"/>
      <c r="AN94" s="99"/>
      <c r="AO94" s="99"/>
      <c r="AP94" s="99"/>
      <c r="AR94" s="99"/>
      <c r="AS94" s="99"/>
      <c r="AT94" s="99"/>
      <c r="AU94" s="99"/>
      <c r="AV94" s="99"/>
      <c r="AW94" s="99"/>
    </row>
    <row r="95" spans="1:49" ht="12.75" hidden="1" customHeight="1" x14ac:dyDescent="0.25">
      <c r="A95" t="str">
        <f>Nutrients!B94</f>
        <v>Wheat Middlings</v>
      </c>
      <c r="B95" s="99"/>
      <c r="C95" s="99"/>
      <c r="D95" s="99"/>
      <c r="E95" s="99"/>
      <c r="F95" s="99"/>
      <c r="G95" s="99"/>
      <c r="H95" s="99"/>
      <c r="I95" s="99"/>
      <c r="J95" s="99"/>
      <c r="K95" s="99"/>
      <c r="L95" s="99"/>
      <c r="M95" s="99"/>
      <c r="N95" s="99"/>
      <c r="O95" s="10"/>
      <c r="P95" s="99"/>
      <c r="Q95" s="99"/>
      <c r="R95" s="99"/>
      <c r="S95" s="99"/>
      <c r="T95" s="99"/>
      <c r="U95" s="99"/>
      <c r="W95" s="99"/>
      <c r="X95" s="99"/>
      <c r="Y95" s="99"/>
      <c r="Z95" s="99"/>
      <c r="AA95" s="99"/>
      <c r="AB95" s="99"/>
      <c r="AD95" s="99"/>
      <c r="AE95" s="99"/>
      <c r="AF95" s="99"/>
      <c r="AG95" s="99"/>
      <c r="AH95" s="99"/>
      <c r="AI95" s="99"/>
      <c r="AK95" s="99"/>
      <c r="AL95" s="99"/>
      <c r="AM95" s="99"/>
      <c r="AN95" s="99"/>
      <c r="AO95" s="99"/>
      <c r="AP95" s="99"/>
      <c r="AR95" s="99"/>
      <c r="AS95" s="99"/>
      <c r="AT95" s="99"/>
      <c r="AU95" s="99"/>
      <c r="AV95" s="99"/>
      <c r="AW95" s="99"/>
    </row>
    <row r="96" spans="1:49" ht="12.75" hidden="1" customHeight="1" x14ac:dyDescent="0.25">
      <c r="A96" t="str">
        <f>Nutrients!B95</f>
        <v>Wheat Shorts</v>
      </c>
      <c r="B96" s="99"/>
      <c r="C96" s="99"/>
      <c r="D96" s="99"/>
      <c r="E96" s="99"/>
      <c r="F96" s="99"/>
      <c r="G96" s="99"/>
      <c r="H96" s="99"/>
      <c r="I96" s="99"/>
      <c r="J96" s="99"/>
      <c r="K96" s="99"/>
      <c r="L96" s="99"/>
      <c r="M96" s="99"/>
      <c r="N96" s="99"/>
      <c r="O96" s="10"/>
      <c r="P96" s="99"/>
      <c r="Q96" s="99"/>
      <c r="R96" s="99"/>
      <c r="S96" s="99"/>
      <c r="T96" s="99"/>
      <c r="U96" s="99"/>
      <c r="W96" s="99"/>
      <c r="X96" s="99"/>
      <c r="Y96" s="99"/>
      <c r="Z96" s="99"/>
      <c r="AA96" s="99"/>
      <c r="AB96" s="99"/>
      <c r="AD96" s="99"/>
      <c r="AE96" s="99"/>
      <c r="AF96" s="99"/>
      <c r="AG96" s="99"/>
      <c r="AH96" s="99"/>
      <c r="AI96" s="99"/>
      <c r="AK96" s="99"/>
      <c r="AL96" s="99"/>
      <c r="AM96" s="99"/>
      <c r="AN96" s="99"/>
      <c r="AO96" s="99"/>
      <c r="AP96" s="99"/>
      <c r="AR96" s="99"/>
      <c r="AS96" s="99"/>
      <c r="AT96" s="99"/>
      <c r="AU96" s="99"/>
      <c r="AV96" s="99"/>
      <c r="AW96" s="99"/>
    </row>
    <row r="97" spans="1:49" ht="12.75" hidden="1" customHeight="1" x14ac:dyDescent="0.25">
      <c r="A97" t="str">
        <f>Nutrients!B96</f>
        <v>Wheat DDGS</v>
      </c>
      <c r="B97" s="99"/>
      <c r="C97" s="99"/>
      <c r="D97" s="99"/>
      <c r="E97" s="99"/>
      <c r="F97" s="99"/>
      <c r="G97" s="99"/>
      <c r="H97" s="99"/>
      <c r="I97" s="99"/>
      <c r="J97" s="99"/>
      <c r="K97" s="99"/>
      <c r="L97" s="99"/>
      <c r="M97" s="99"/>
      <c r="N97" s="99"/>
      <c r="O97" s="10"/>
      <c r="P97" s="99"/>
      <c r="Q97" s="99"/>
      <c r="R97" s="99"/>
      <c r="S97" s="99"/>
      <c r="T97" s="99"/>
      <c r="U97" s="99"/>
      <c r="W97" s="99"/>
      <c r="X97" s="99"/>
      <c r="Y97" s="99"/>
      <c r="Z97" s="99"/>
      <c r="AA97" s="99"/>
      <c r="AB97" s="99"/>
      <c r="AD97" s="99"/>
      <c r="AE97" s="99"/>
      <c r="AF97" s="99"/>
      <c r="AG97" s="99"/>
      <c r="AH97" s="99"/>
      <c r="AI97" s="99"/>
      <c r="AK97" s="99"/>
      <c r="AL97" s="99"/>
      <c r="AM97" s="99"/>
      <c r="AN97" s="99"/>
      <c r="AO97" s="99"/>
      <c r="AP97" s="99"/>
      <c r="AR97" s="99"/>
      <c r="AS97" s="99"/>
      <c r="AT97" s="99"/>
      <c r="AU97" s="99"/>
      <c r="AV97" s="99"/>
      <c r="AW97" s="99"/>
    </row>
    <row r="98" spans="1:49" ht="12.75" hidden="1" customHeight="1" x14ac:dyDescent="0.25">
      <c r="A98" t="str">
        <f>Nutrients!B97</f>
        <v>Yeast, Brewers' Yeast</v>
      </c>
      <c r="B98" s="99"/>
      <c r="C98" s="99"/>
      <c r="D98" s="99"/>
      <c r="E98" s="99"/>
      <c r="F98" s="99"/>
      <c r="G98" s="99"/>
      <c r="H98" s="99"/>
      <c r="I98" s="99"/>
      <c r="J98" s="99"/>
      <c r="K98" s="99"/>
      <c r="L98" s="99"/>
      <c r="M98" s="99"/>
      <c r="N98" s="99"/>
      <c r="O98" s="10"/>
      <c r="P98" s="99"/>
      <c r="Q98" s="99"/>
      <c r="R98" s="99"/>
      <c r="S98" s="99"/>
      <c r="T98" s="99"/>
      <c r="U98" s="99"/>
      <c r="W98" s="99"/>
      <c r="X98" s="99"/>
      <c r="Y98" s="99"/>
      <c r="Z98" s="99"/>
      <c r="AA98" s="99"/>
      <c r="AB98" s="99"/>
      <c r="AD98" s="99"/>
      <c r="AE98" s="99"/>
      <c r="AF98" s="99"/>
      <c r="AG98" s="99"/>
      <c r="AH98" s="99"/>
      <c r="AI98" s="99"/>
      <c r="AK98" s="99"/>
      <c r="AL98" s="99"/>
      <c r="AM98" s="99"/>
      <c r="AN98" s="99"/>
      <c r="AO98" s="99"/>
      <c r="AP98" s="99"/>
      <c r="AR98" s="99"/>
      <c r="AS98" s="99"/>
      <c r="AT98" s="99"/>
      <c r="AU98" s="99"/>
      <c r="AV98" s="99"/>
      <c r="AW98" s="99"/>
    </row>
    <row r="99" spans="1:49" ht="12.75" hidden="1" customHeight="1" x14ac:dyDescent="0.25">
      <c r="A99" t="str">
        <f>Nutrients!B98</f>
        <v>Yeast, Single Cell Protein</v>
      </c>
      <c r="B99" s="99"/>
      <c r="C99" s="99"/>
      <c r="D99" s="99"/>
      <c r="E99" s="99"/>
      <c r="F99" s="99"/>
      <c r="G99" s="99"/>
      <c r="H99" s="99"/>
      <c r="I99" s="99"/>
      <c r="J99" s="99"/>
      <c r="K99" s="99"/>
      <c r="L99" s="99"/>
      <c r="M99" s="99"/>
      <c r="N99" s="99"/>
      <c r="O99" s="10"/>
      <c r="P99" s="99"/>
      <c r="Q99" s="99"/>
      <c r="R99" s="99"/>
      <c r="S99" s="99"/>
      <c r="T99" s="99"/>
      <c r="U99" s="99"/>
      <c r="W99" s="99"/>
      <c r="X99" s="99"/>
      <c r="Y99" s="99"/>
      <c r="Z99" s="99"/>
      <c r="AA99" s="99"/>
      <c r="AB99" s="99"/>
      <c r="AD99" s="99"/>
      <c r="AE99" s="99"/>
      <c r="AF99" s="99"/>
      <c r="AG99" s="99"/>
      <c r="AH99" s="99"/>
      <c r="AI99" s="99"/>
      <c r="AK99" s="99"/>
      <c r="AL99" s="99"/>
      <c r="AM99" s="99"/>
      <c r="AN99" s="99"/>
      <c r="AO99" s="99"/>
      <c r="AP99" s="99"/>
      <c r="AR99" s="99"/>
      <c r="AS99" s="99"/>
      <c r="AT99" s="99"/>
      <c r="AU99" s="99"/>
      <c r="AV99" s="99"/>
      <c r="AW99" s="99"/>
    </row>
    <row r="100" spans="1:49" ht="12.75" hidden="1" customHeight="1" x14ac:dyDescent="0.25">
      <c r="A100" t="str">
        <f>Nutrients!B99</f>
        <v>Beef Tallow</v>
      </c>
      <c r="B100" s="99"/>
      <c r="C100" s="99"/>
      <c r="D100" s="99"/>
      <c r="E100" s="99"/>
      <c r="F100" s="99"/>
      <c r="G100" s="99"/>
      <c r="H100" s="99"/>
      <c r="I100" s="99"/>
      <c r="J100" s="99"/>
      <c r="K100" s="99"/>
      <c r="L100" s="99"/>
      <c r="M100" s="99"/>
      <c r="N100" s="99"/>
      <c r="O100" s="10"/>
      <c r="P100" s="99"/>
      <c r="Q100" s="99"/>
      <c r="R100" s="99"/>
      <c r="S100" s="99"/>
      <c r="T100" s="99"/>
      <c r="U100" s="99"/>
      <c r="W100" s="99"/>
      <c r="X100" s="99"/>
      <c r="Y100" s="99"/>
      <c r="Z100" s="99"/>
      <c r="AA100" s="99"/>
      <c r="AB100" s="99"/>
      <c r="AD100" s="99"/>
      <c r="AE100" s="99"/>
      <c r="AF100" s="99"/>
      <c r="AG100" s="99"/>
      <c r="AH100" s="99"/>
      <c r="AI100" s="99"/>
      <c r="AK100" s="99"/>
      <c r="AL100" s="99"/>
      <c r="AM100" s="99"/>
      <c r="AN100" s="99"/>
      <c r="AO100" s="99"/>
      <c r="AP100" s="99"/>
      <c r="AR100" s="99"/>
      <c r="AS100" s="99"/>
      <c r="AT100" s="99"/>
      <c r="AU100" s="99"/>
      <c r="AV100" s="99"/>
      <c r="AW100" s="99"/>
    </row>
    <row r="101" spans="1:49" x14ac:dyDescent="0.25">
      <c r="A101" t="str">
        <f>Nutrients!B100</f>
        <v>Choice White Grease</v>
      </c>
      <c r="B101" s="99"/>
      <c r="C101" s="99"/>
      <c r="D101" s="99"/>
      <c r="E101" s="99"/>
      <c r="F101" s="99"/>
      <c r="G101" s="99"/>
      <c r="H101" s="99"/>
      <c r="I101" s="99"/>
      <c r="J101" s="99"/>
      <c r="K101" s="99"/>
      <c r="L101" s="99"/>
      <c r="M101" s="99"/>
      <c r="N101" s="99"/>
      <c r="O101" s="10"/>
      <c r="P101" s="99"/>
      <c r="Q101" s="99"/>
      <c r="R101" s="99"/>
      <c r="S101" s="99"/>
      <c r="T101" s="99"/>
      <c r="U101" s="99"/>
      <c r="W101" s="99"/>
      <c r="X101" s="99"/>
      <c r="Y101" s="99"/>
      <c r="Z101" s="99"/>
      <c r="AA101" s="99"/>
      <c r="AB101" s="99"/>
      <c r="AD101" s="99"/>
      <c r="AE101" s="99"/>
      <c r="AF101" s="99"/>
      <c r="AG101" s="99"/>
      <c r="AH101" s="99"/>
      <c r="AI101" s="99"/>
      <c r="AJ101" s="398"/>
      <c r="AK101" s="99"/>
      <c r="AL101" s="99"/>
      <c r="AM101" s="99"/>
      <c r="AN101" s="99"/>
      <c r="AO101" s="99"/>
      <c r="AP101" s="99"/>
      <c r="AR101" s="99"/>
      <c r="AS101" s="99"/>
      <c r="AT101" s="99"/>
      <c r="AU101" s="99"/>
      <c r="AV101" s="99"/>
      <c r="AW101" s="99"/>
    </row>
    <row r="102" spans="1:49" ht="13.05" hidden="1" customHeight="1" x14ac:dyDescent="0.25">
      <c r="A102" t="str">
        <f>Nutrients!B101</f>
        <v>Poultry Fat</v>
      </c>
      <c r="B102" s="99"/>
      <c r="C102" s="99"/>
      <c r="D102" s="99"/>
      <c r="E102" s="99"/>
      <c r="F102" s="99"/>
      <c r="G102" s="99"/>
      <c r="H102" s="99"/>
      <c r="I102" s="99"/>
      <c r="J102" s="99"/>
      <c r="K102" s="99"/>
      <c r="L102" s="99"/>
      <c r="M102" s="99"/>
      <c r="N102" s="99"/>
      <c r="O102" s="10"/>
      <c r="P102" s="99"/>
      <c r="Q102" s="99"/>
      <c r="R102" s="99"/>
      <c r="S102" s="99"/>
      <c r="T102" s="99"/>
      <c r="U102" s="99"/>
      <c r="W102" s="99"/>
      <c r="X102" s="99"/>
      <c r="Y102" s="99"/>
      <c r="Z102" s="99"/>
      <c r="AA102" s="99"/>
      <c r="AB102" s="99"/>
      <c r="AD102" s="99"/>
      <c r="AE102" s="99"/>
      <c r="AF102" s="99"/>
      <c r="AG102" s="99"/>
      <c r="AH102" s="99"/>
      <c r="AI102" s="99"/>
      <c r="AK102" s="99"/>
      <c r="AL102" s="99"/>
      <c r="AM102" s="99"/>
      <c r="AN102" s="99"/>
      <c r="AO102" s="99"/>
      <c r="AP102" s="99"/>
      <c r="AR102" s="99"/>
      <c r="AS102" s="99"/>
      <c r="AT102" s="99"/>
      <c r="AU102" s="99"/>
      <c r="AV102" s="99"/>
      <c r="AW102" s="99"/>
    </row>
    <row r="103" spans="1:49" ht="13.05" hidden="1" customHeight="1" x14ac:dyDescent="0.25">
      <c r="A103" t="str">
        <f>Nutrients!B102</f>
        <v>Lard</v>
      </c>
      <c r="B103" s="99"/>
      <c r="C103" s="99"/>
      <c r="D103" s="99"/>
      <c r="E103" s="99"/>
      <c r="F103" s="99"/>
      <c r="G103" s="99"/>
      <c r="H103" s="99"/>
      <c r="I103" s="99"/>
      <c r="J103" s="99"/>
      <c r="K103" s="99"/>
      <c r="L103" s="99"/>
      <c r="M103" s="99"/>
      <c r="N103" s="99"/>
      <c r="O103" s="10"/>
      <c r="P103" s="99"/>
      <c r="Q103" s="99"/>
      <c r="R103" s="99"/>
      <c r="S103" s="99"/>
      <c r="T103" s="99"/>
      <c r="U103" s="99"/>
      <c r="W103" s="99"/>
      <c r="X103" s="99"/>
      <c r="Y103" s="99"/>
      <c r="Z103" s="99"/>
      <c r="AA103" s="99"/>
      <c r="AB103" s="99"/>
      <c r="AD103" s="99"/>
      <c r="AE103" s="99"/>
      <c r="AF103" s="99"/>
      <c r="AG103" s="99"/>
      <c r="AH103" s="99"/>
      <c r="AI103" s="99"/>
      <c r="AK103" s="99"/>
      <c r="AL103" s="99"/>
      <c r="AM103" s="99"/>
      <c r="AN103" s="99"/>
      <c r="AO103" s="99"/>
      <c r="AP103" s="99"/>
      <c r="AR103" s="99"/>
      <c r="AS103" s="99"/>
      <c r="AT103" s="99"/>
      <c r="AU103" s="99"/>
      <c r="AV103" s="99"/>
      <c r="AW103" s="99"/>
    </row>
    <row r="104" spans="1:49" ht="13.05" hidden="1" customHeight="1" x14ac:dyDescent="0.25">
      <c r="A104" t="str">
        <f>Nutrients!B103</f>
        <v>Restaurant Grease</v>
      </c>
      <c r="B104" s="99"/>
      <c r="C104" s="99"/>
      <c r="D104" s="99"/>
      <c r="E104" s="99"/>
      <c r="F104" s="99"/>
      <c r="G104" s="99"/>
      <c r="H104" s="99"/>
      <c r="I104" s="99"/>
      <c r="J104" s="99"/>
      <c r="K104" s="99"/>
      <c r="L104" s="99"/>
      <c r="M104" s="99"/>
      <c r="N104" s="99"/>
      <c r="O104" s="10"/>
      <c r="P104" s="99"/>
      <c r="Q104" s="99"/>
      <c r="R104" s="99"/>
      <c r="S104" s="99"/>
      <c r="T104" s="99"/>
      <c r="U104" s="99"/>
      <c r="W104" s="99"/>
      <c r="X104" s="99"/>
      <c r="Y104" s="99"/>
      <c r="Z104" s="99"/>
      <c r="AA104" s="99"/>
      <c r="AB104" s="99"/>
      <c r="AD104" s="99"/>
      <c r="AE104" s="99"/>
      <c r="AF104" s="99"/>
      <c r="AG104" s="99"/>
      <c r="AH104" s="99"/>
      <c r="AI104" s="99"/>
      <c r="AK104" s="99"/>
      <c r="AL104" s="99"/>
      <c r="AM104" s="99"/>
      <c r="AN104" s="99"/>
      <c r="AO104" s="99"/>
      <c r="AP104" s="99"/>
      <c r="AR104" s="99"/>
      <c r="AS104" s="99"/>
      <c r="AT104" s="99"/>
      <c r="AU104" s="99"/>
      <c r="AV104" s="99"/>
      <c r="AW104" s="99"/>
    </row>
    <row r="105" spans="1:49" ht="13.05" hidden="1" customHeight="1" x14ac:dyDescent="0.25">
      <c r="A105" t="str">
        <f>Nutrients!B104</f>
        <v>Canola oil</v>
      </c>
      <c r="B105" s="99"/>
      <c r="C105" s="99"/>
      <c r="D105" s="99"/>
      <c r="E105" s="99"/>
      <c r="F105" s="99"/>
      <c r="G105" s="99"/>
      <c r="H105" s="99"/>
      <c r="I105" s="99"/>
      <c r="J105" s="99"/>
      <c r="K105" s="99"/>
      <c r="L105" s="99"/>
      <c r="M105" s="99"/>
      <c r="N105" s="99"/>
      <c r="O105" s="10"/>
      <c r="P105" s="99"/>
      <c r="Q105" s="99"/>
      <c r="R105" s="99"/>
      <c r="S105" s="99"/>
      <c r="T105" s="99"/>
      <c r="U105" s="99"/>
      <c r="W105" s="99"/>
      <c r="X105" s="99"/>
      <c r="Y105" s="99"/>
      <c r="Z105" s="99"/>
      <c r="AA105" s="99"/>
      <c r="AB105" s="99"/>
      <c r="AD105" s="99"/>
      <c r="AE105" s="99"/>
      <c r="AF105" s="99"/>
      <c r="AG105" s="99"/>
      <c r="AH105" s="99"/>
      <c r="AI105" s="99"/>
      <c r="AK105" s="99"/>
      <c r="AL105" s="99"/>
      <c r="AM105" s="99"/>
      <c r="AN105" s="99"/>
      <c r="AO105" s="99"/>
      <c r="AP105" s="99"/>
      <c r="AR105" s="99"/>
      <c r="AS105" s="99"/>
      <c r="AT105" s="99"/>
      <c r="AU105" s="99"/>
      <c r="AV105" s="99"/>
      <c r="AW105" s="99"/>
    </row>
    <row r="106" spans="1:49" ht="13.05" hidden="1" customHeight="1" x14ac:dyDescent="0.25">
      <c r="A106" t="str">
        <f>Nutrients!B105</f>
        <v>Coconut oil</v>
      </c>
      <c r="B106" s="99"/>
      <c r="C106" s="99"/>
      <c r="D106" s="99"/>
      <c r="E106" s="99"/>
      <c r="F106" s="99"/>
      <c r="G106" s="99"/>
      <c r="H106" s="99"/>
      <c r="I106" s="99"/>
      <c r="J106" s="99"/>
      <c r="K106" s="99"/>
      <c r="L106" s="99"/>
      <c r="M106" s="99"/>
      <c r="N106" s="99"/>
      <c r="O106" s="10"/>
      <c r="P106" s="99"/>
      <c r="Q106" s="99"/>
      <c r="R106" s="99"/>
      <c r="S106" s="99"/>
      <c r="T106" s="99"/>
      <c r="U106" s="99"/>
      <c r="W106" s="99"/>
      <c r="X106" s="99"/>
      <c r="Y106" s="99"/>
      <c r="Z106" s="99"/>
      <c r="AA106" s="99"/>
      <c r="AB106" s="99"/>
      <c r="AD106" s="99"/>
      <c r="AE106" s="99"/>
      <c r="AF106" s="99"/>
      <c r="AG106" s="99"/>
      <c r="AH106" s="99"/>
      <c r="AI106" s="99"/>
      <c r="AK106" s="99"/>
      <c r="AL106" s="99"/>
      <c r="AM106" s="99"/>
      <c r="AN106" s="99"/>
      <c r="AO106" s="99"/>
      <c r="AP106" s="99"/>
      <c r="AR106" s="99"/>
      <c r="AS106" s="99"/>
      <c r="AT106" s="99"/>
      <c r="AU106" s="99"/>
      <c r="AV106" s="99"/>
      <c r="AW106" s="99"/>
    </row>
    <row r="107" spans="1:49" ht="13.05" hidden="1" customHeight="1" x14ac:dyDescent="0.25">
      <c r="A107" t="str">
        <f>Nutrients!B106</f>
        <v>Corn oil</v>
      </c>
      <c r="B107" s="99"/>
      <c r="C107" s="99"/>
      <c r="D107" s="99"/>
      <c r="E107" s="99"/>
      <c r="F107" s="99"/>
      <c r="G107" s="99"/>
      <c r="H107" s="99"/>
      <c r="I107" s="99"/>
      <c r="J107" s="99"/>
      <c r="K107" s="99"/>
      <c r="L107" s="99"/>
      <c r="M107" s="99"/>
      <c r="N107" s="99"/>
      <c r="O107" s="10"/>
      <c r="P107" s="99"/>
      <c r="Q107" s="99"/>
      <c r="R107" s="99"/>
      <c r="S107" s="99"/>
      <c r="T107" s="99"/>
      <c r="U107" s="99"/>
      <c r="W107" s="99"/>
      <c r="X107" s="99"/>
      <c r="Y107" s="99"/>
      <c r="Z107" s="99"/>
      <c r="AA107" s="99"/>
      <c r="AB107" s="99"/>
      <c r="AD107" s="99"/>
      <c r="AE107" s="99"/>
      <c r="AF107" s="99"/>
      <c r="AG107" s="99"/>
      <c r="AH107" s="99"/>
      <c r="AI107" s="99"/>
      <c r="AK107" s="99"/>
      <c r="AL107" s="99"/>
      <c r="AM107" s="99"/>
      <c r="AN107" s="99"/>
      <c r="AO107" s="99"/>
      <c r="AP107" s="99"/>
      <c r="AR107" s="99"/>
      <c r="AS107" s="99"/>
      <c r="AT107" s="99"/>
      <c r="AU107" s="99"/>
      <c r="AV107" s="99"/>
      <c r="AW107" s="99"/>
    </row>
    <row r="108" spans="1:49" ht="13.05" hidden="1" customHeight="1" x14ac:dyDescent="0.25">
      <c r="A108" t="str">
        <f>Nutrients!B107</f>
        <v>Palm Kernel oil</v>
      </c>
      <c r="B108" s="99"/>
      <c r="C108" s="99"/>
      <c r="D108" s="99"/>
      <c r="E108" s="99"/>
      <c r="F108" s="99"/>
      <c r="G108" s="99"/>
      <c r="H108" s="99"/>
      <c r="I108" s="99"/>
      <c r="J108" s="99"/>
      <c r="K108" s="99"/>
      <c r="L108" s="99"/>
      <c r="M108" s="99"/>
      <c r="N108" s="99"/>
      <c r="O108" s="10"/>
      <c r="P108" s="99"/>
      <c r="Q108" s="99"/>
      <c r="R108" s="99"/>
      <c r="S108" s="99"/>
      <c r="T108" s="99"/>
      <c r="U108" s="99"/>
      <c r="W108" s="99"/>
      <c r="X108" s="99"/>
      <c r="Y108" s="99"/>
      <c r="Z108" s="99"/>
      <c r="AA108" s="99"/>
      <c r="AB108" s="99"/>
      <c r="AD108" s="99"/>
      <c r="AE108" s="99"/>
      <c r="AF108" s="99"/>
      <c r="AG108" s="99"/>
      <c r="AH108" s="99"/>
      <c r="AI108" s="99"/>
      <c r="AK108" s="99"/>
      <c r="AL108" s="99"/>
      <c r="AM108" s="99"/>
      <c r="AN108" s="99"/>
      <c r="AO108" s="99"/>
      <c r="AP108" s="99"/>
      <c r="AR108" s="99"/>
      <c r="AS108" s="99"/>
      <c r="AT108" s="99"/>
      <c r="AU108" s="99"/>
      <c r="AV108" s="99"/>
      <c r="AW108" s="99"/>
    </row>
    <row r="109" spans="1:49" ht="13.05" hidden="1" customHeight="1" x14ac:dyDescent="0.25">
      <c r="A109" t="str">
        <f>Nutrients!B108</f>
        <v>Soybean oil</v>
      </c>
      <c r="B109" s="99"/>
      <c r="C109" s="99"/>
      <c r="D109" s="99"/>
      <c r="E109" s="99"/>
      <c r="F109" s="99"/>
      <c r="G109" s="99"/>
      <c r="H109" s="99"/>
      <c r="I109" s="99"/>
      <c r="J109" s="99"/>
      <c r="K109" s="99"/>
      <c r="L109" s="99"/>
      <c r="M109" s="99"/>
      <c r="N109" s="99"/>
      <c r="O109" s="10"/>
      <c r="P109" s="99"/>
      <c r="Q109" s="99"/>
      <c r="R109" s="99"/>
      <c r="S109" s="99"/>
      <c r="T109" s="99"/>
      <c r="U109" s="99"/>
      <c r="W109" s="99"/>
      <c r="X109" s="99"/>
      <c r="Y109" s="99"/>
      <c r="Z109" s="99"/>
      <c r="AA109" s="99"/>
      <c r="AB109" s="99"/>
      <c r="AD109" s="99"/>
      <c r="AE109" s="99"/>
      <c r="AF109" s="99"/>
      <c r="AG109" s="99"/>
      <c r="AH109" s="99"/>
      <c r="AI109" s="99"/>
      <c r="AK109" s="99"/>
      <c r="AL109" s="99"/>
      <c r="AM109" s="99"/>
      <c r="AN109" s="99"/>
      <c r="AO109" s="99"/>
      <c r="AP109" s="99"/>
      <c r="AR109" s="99"/>
      <c r="AS109" s="99"/>
      <c r="AT109" s="99"/>
      <c r="AU109" s="99"/>
      <c r="AV109" s="99"/>
      <c r="AW109" s="99"/>
    </row>
    <row r="110" spans="1:49" ht="13.05" hidden="1" customHeight="1" x14ac:dyDescent="0.25">
      <c r="A110" t="str">
        <f>Nutrients!B109</f>
        <v>Soybean Lecithin</v>
      </c>
      <c r="B110" s="99"/>
      <c r="C110" s="99"/>
      <c r="D110" s="99"/>
      <c r="E110" s="99"/>
      <c r="F110" s="99"/>
      <c r="G110" s="99"/>
      <c r="H110" s="99"/>
      <c r="I110" s="99"/>
      <c r="J110" s="99"/>
      <c r="K110" s="99"/>
      <c r="L110" s="99"/>
      <c r="M110" s="99"/>
      <c r="N110" s="99"/>
      <c r="O110" s="10"/>
      <c r="P110" s="99"/>
      <c r="Q110" s="99"/>
      <c r="R110" s="99"/>
      <c r="S110" s="99"/>
      <c r="T110" s="99"/>
      <c r="U110" s="99"/>
      <c r="W110" s="99"/>
      <c r="X110" s="99"/>
      <c r="Y110" s="99"/>
      <c r="Z110" s="99"/>
      <c r="AA110" s="99"/>
      <c r="AB110" s="99"/>
      <c r="AD110" s="99"/>
      <c r="AE110" s="99"/>
      <c r="AF110" s="99"/>
      <c r="AG110" s="99"/>
      <c r="AH110" s="99"/>
      <c r="AI110" s="99"/>
      <c r="AK110" s="99"/>
      <c r="AL110" s="99"/>
      <c r="AM110" s="99"/>
      <c r="AN110" s="99"/>
      <c r="AO110" s="99"/>
      <c r="AP110" s="99"/>
      <c r="AR110" s="99"/>
      <c r="AS110" s="99"/>
      <c r="AT110" s="99"/>
      <c r="AU110" s="99"/>
      <c r="AV110" s="99"/>
      <c r="AW110" s="99"/>
    </row>
    <row r="111" spans="1:49" ht="13.05" hidden="1" customHeight="1" x14ac:dyDescent="0.25">
      <c r="A111" t="str">
        <f>Nutrients!B110</f>
        <v>Sunflower oil</v>
      </c>
      <c r="B111" s="99"/>
      <c r="C111" s="99"/>
      <c r="D111" s="99"/>
      <c r="E111" s="99"/>
      <c r="F111" s="99"/>
      <c r="G111" s="99"/>
      <c r="H111" s="99"/>
      <c r="I111" s="99"/>
      <c r="J111" s="99"/>
      <c r="K111" s="99"/>
      <c r="L111" s="99"/>
      <c r="M111" s="99"/>
      <c r="N111" s="99"/>
      <c r="O111" s="10"/>
      <c r="P111" s="99"/>
      <c r="Q111" s="99"/>
      <c r="R111" s="99"/>
      <c r="S111" s="99"/>
      <c r="T111" s="99"/>
      <c r="U111" s="99"/>
      <c r="W111" s="99"/>
      <c r="X111" s="99"/>
      <c r="Y111" s="99"/>
      <c r="Z111" s="99"/>
      <c r="AA111" s="99"/>
      <c r="AB111" s="99"/>
      <c r="AD111" s="99"/>
      <c r="AE111" s="99"/>
      <c r="AF111" s="99"/>
      <c r="AG111" s="99"/>
      <c r="AH111" s="99"/>
      <c r="AI111" s="99"/>
      <c r="AK111" s="99"/>
      <c r="AL111" s="99"/>
      <c r="AM111" s="99"/>
      <c r="AN111" s="99"/>
      <c r="AO111" s="99"/>
      <c r="AP111" s="99"/>
      <c r="AR111" s="99"/>
      <c r="AS111" s="99"/>
      <c r="AT111" s="99"/>
      <c r="AU111" s="99"/>
      <c r="AV111" s="99"/>
      <c r="AW111" s="99"/>
    </row>
    <row r="112" spans="1:49" ht="13.05" hidden="1" customHeight="1" x14ac:dyDescent="0.25">
      <c r="A112" t="str">
        <f>Nutrients!B111</f>
        <v>Fat, A/V blend</v>
      </c>
      <c r="B112" s="99"/>
      <c r="C112" s="99"/>
      <c r="D112" s="99"/>
      <c r="E112" s="99"/>
      <c r="F112" s="99"/>
      <c r="G112" s="99"/>
      <c r="H112" s="99"/>
      <c r="I112" s="99"/>
      <c r="J112" s="99"/>
      <c r="K112" s="99"/>
      <c r="L112" s="99"/>
      <c r="M112" s="99"/>
      <c r="N112" s="99"/>
      <c r="O112" s="10"/>
      <c r="P112" s="99"/>
      <c r="Q112" s="99"/>
      <c r="R112" s="99"/>
      <c r="S112" s="99"/>
      <c r="T112" s="99"/>
      <c r="U112" s="99"/>
      <c r="W112" s="99"/>
      <c r="X112" s="99"/>
      <c r="Y112" s="99"/>
      <c r="Z112" s="99"/>
      <c r="AA112" s="99"/>
      <c r="AB112" s="99"/>
      <c r="AD112" s="99"/>
      <c r="AE112" s="99"/>
      <c r="AF112" s="99"/>
      <c r="AG112" s="99"/>
      <c r="AH112" s="99"/>
      <c r="AI112" s="99"/>
      <c r="AK112" s="99"/>
      <c r="AL112" s="99"/>
      <c r="AM112" s="99"/>
      <c r="AN112" s="99"/>
      <c r="AO112" s="99"/>
      <c r="AP112" s="99"/>
      <c r="AR112" s="99"/>
      <c r="AS112" s="99"/>
      <c r="AT112" s="99"/>
      <c r="AU112" s="99"/>
      <c r="AV112" s="99"/>
      <c r="AW112" s="99"/>
    </row>
    <row r="113" spans="1:51" x14ac:dyDescent="0.25">
      <c r="A113" t="s">
        <v>327</v>
      </c>
      <c r="B113" s="106">
        <v>20.650850091543401</v>
      </c>
      <c r="C113" s="106">
        <v>19.206</v>
      </c>
      <c r="D113" s="106">
        <v>19.148185418768257</v>
      </c>
      <c r="E113" s="106">
        <v>18.64855351548341</v>
      </c>
      <c r="F113" s="106">
        <v>18.080501293847359</v>
      </c>
      <c r="G113" s="106">
        <v>17.747857076024747</v>
      </c>
      <c r="H113" s="106"/>
      <c r="I113" s="106">
        <v>21.302725380416337</v>
      </c>
      <c r="J113" s="106">
        <v>19.896000000000001</v>
      </c>
      <c r="K113" s="106">
        <v>19.854046420115569</v>
      </c>
      <c r="L113" s="106">
        <v>19.192483222547349</v>
      </c>
      <c r="M113" s="106">
        <v>18.682939713542989</v>
      </c>
      <c r="N113" s="106">
        <v>17.747857076024747</v>
      </c>
      <c r="O113" s="29"/>
      <c r="P113" s="106">
        <v>22.005524349635031</v>
      </c>
      <c r="Q113" s="106">
        <v>20.596522561060773</v>
      </c>
      <c r="R113" s="106">
        <v>20.564824391214646</v>
      </c>
      <c r="S113" s="106">
        <v>19.90194296254014</v>
      </c>
      <c r="T113" s="106">
        <v>19.392906410118851</v>
      </c>
      <c r="U113" s="106">
        <v>17.747857076024747</v>
      </c>
      <c r="V113" s="9"/>
      <c r="W113" s="106">
        <v>22.675524349635033</v>
      </c>
      <c r="X113" s="106">
        <v>21.266522561060775</v>
      </c>
      <c r="Y113" s="106">
        <v>21.234824391214648</v>
      </c>
      <c r="Z113" s="106">
        <v>20.571942962540142</v>
      </c>
      <c r="AA113" s="106">
        <v>20.062906410118853</v>
      </c>
      <c r="AB113" s="106">
        <v>17.747857076024747</v>
      </c>
      <c r="AC113" s="9"/>
      <c r="AD113" s="106">
        <v>23.36521759887999</v>
      </c>
      <c r="AE113" s="106">
        <v>21.957696360984666</v>
      </c>
      <c r="AF113" s="106">
        <v>21.92941656439486</v>
      </c>
      <c r="AG113" s="106">
        <v>21.272195408740227</v>
      </c>
      <c r="AH113" s="106">
        <v>21.087790236012584</v>
      </c>
      <c r="AI113" s="106">
        <v>17.747857076024747</v>
      </c>
      <c r="AJ113" s="9"/>
      <c r="AK113" s="106">
        <v>24.059535885866481</v>
      </c>
      <c r="AL113" s="106">
        <v>22.627696360984668</v>
      </c>
      <c r="AM113" s="106">
        <v>22.599416564394861</v>
      </c>
      <c r="AN113" s="106">
        <v>22.209557883861148</v>
      </c>
      <c r="AO113" s="106">
        <v>22.260646310838833</v>
      </c>
      <c r="AP113" s="106">
        <v>17.747857076024747</v>
      </c>
      <c r="AQ113" s="9"/>
      <c r="AR113" s="106">
        <v>24.733725119478365</v>
      </c>
      <c r="AS113" s="106">
        <v>23.317344104753687</v>
      </c>
      <c r="AT113" s="106">
        <v>23.295221188143067</v>
      </c>
      <c r="AU113" s="106">
        <v>23.393368936927086</v>
      </c>
      <c r="AV113" s="106">
        <v>23.433612856971386</v>
      </c>
      <c r="AW113" s="106">
        <v>17.747857076024747</v>
      </c>
      <c r="AX113" s="9"/>
    </row>
    <row r="114" spans="1:51" ht="13.05" hidden="1" customHeight="1" x14ac:dyDescent="0.25">
      <c r="A114" t="str">
        <f>Nutrients!B113</f>
        <v>Calcium phosphate (tricalcium)</v>
      </c>
      <c r="B114" s="106"/>
      <c r="C114" s="106"/>
      <c r="D114" s="106"/>
      <c r="E114" s="106"/>
      <c r="F114" s="106"/>
      <c r="G114" s="106"/>
      <c r="H114" s="106"/>
      <c r="I114" s="106"/>
      <c r="J114" s="106"/>
      <c r="K114" s="106"/>
      <c r="L114" s="106"/>
      <c r="M114" s="106"/>
      <c r="N114" s="106"/>
      <c r="O114" s="29"/>
      <c r="P114" s="106"/>
      <c r="Q114" s="106"/>
      <c r="R114" s="106"/>
      <c r="S114" s="106"/>
      <c r="T114" s="106"/>
      <c r="U114" s="106"/>
      <c r="V114" s="9"/>
      <c r="W114" s="106"/>
      <c r="X114" s="106"/>
      <c r="Y114" s="106"/>
      <c r="Z114" s="106"/>
      <c r="AA114" s="106"/>
      <c r="AB114" s="106"/>
      <c r="AC114" s="9"/>
      <c r="AD114" s="106"/>
      <c r="AE114" s="106"/>
      <c r="AF114" s="106"/>
      <c r="AG114" s="106"/>
      <c r="AH114" s="106"/>
      <c r="AI114" s="106"/>
      <c r="AJ114" s="9"/>
      <c r="AK114" s="106"/>
      <c r="AL114" s="106"/>
      <c r="AM114" s="106"/>
      <c r="AN114" s="106"/>
      <c r="AO114" s="106"/>
      <c r="AP114" s="106"/>
      <c r="AQ114" s="9"/>
      <c r="AR114" s="106"/>
      <c r="AS114" s="106"/>
      <c r="AT114" s="106"/>
      <c r="AU114" s="106"/>
      <c r="AV114" s="106"/>
      <c r="AW114" s="106"/>
      <c r="AX114" s="9"/>
    </row>
    <row r="115" spans="1:51" ht="13.2" hidden="1" customHeight="1" x14ac:dyDescent="0.25">
      <c r="A115" t="str">
        <f>Nutrients!B114</f>
        <v>Calcium phosphate (dicalcium)</v>
      </c>
      <c r="B115" s="106"/>
      <c r="C115" s="106"/>
      <c r="D115" s="106"/>
      <c r="E115" s="106"/>
      <c r="F115" s="106"/>
      <c r="G115" s="106"/>
      <c r="H115" s="106"/>
      <c r="I115" s="106"/>
      <c r="J115" s="106"/>
      <c r="K115" s="106"/>
      <c r="L115" s="106"/>
      <c r="M115" s="106"/>
      <c r="N115" s="106"/>
      <c r="O115" s="29"/>
      <c r="P115" s="106"/>
      <c r="Q115" s="106"/>
      <c r="R115" s="106"/>
      <c r="S115" s="106"/>
      <c r="T115" s="106"/>
      <c r="U115" s="106"/>
      <c r="V115" s="9"/>
      <c r="W115" s="106"/>
      <c r="X115" s="106"/>
      <c r="Y115" s="106"/>
      <c r="Z115" s="106"/>
      <c r="AA115" s="106"/>
      <c r="AB115" s="106"/>
      <c r="AC115" s="9"/>
      <c r="AD115" s="106"/>
      <c r="AE115" s="106"/>
      <c r="AF115" s="106"/>
      <c r="AG115" s="106"/>
      <c r="AH115" s="106"/>
      <c r="AI115" s="106"/>
      <c r="AJ115" s="9"/>
      <c r="AK115" s="106"/>
      <c r="AL115" s="106"/>
      <c r="AM115" s="106"/>
      <c r="AN115" s="106"/>
      <c r="AO115" s="106"/>
      <c r="AP115" s="106"/>
      <c r="AQ115" s="9"/>
      <c r="AR115" s="106"/>
      <c r="AS115" s="106"/>
      <c r="AT115" s="106"/>
      <c r="AU115" s="106"/>
      <c r="AV115" s="106"/>
      <c r="AW115" s="106"/>
      <c r="AX115" s="9"/>
    </row>
    <row r="116" spans="1:51" x14ac:dyDescent="0.25">
      <c r="A116" t="s">
        <v>330</v>
      </c>
      <c r="B116" s="106">
        <v>13.279340186607511</v>
      </c>
      <c r="C116" s="106">
        <v>10.560038663342741</v>
      </c>
      <c r="D116" s="106">
        <v>7.7098828288906036</v>
      </c>
      <c r="E116" s="106">
        <v>5.7362235571478868</v>
      </c>
      <c r="F116" s="106">
        <v>4.249911842640179</v>
      </c>
      <c r="G116" s="106">
        <v>3.6237362366975527</v>
      </c>
      <c r="H116" s="106"/>
      <c r="I116" s="106">
        <v>12.059340186607511</v>
      </c>
      <c r="J116" s="106">
        <v>9.3400386633427406</v>
      </c>
      <c r="K116" s="106">
        <v>6.4898828288906039</v>
      </c>
      <c r="L116" s="106">
        <v>4.2618749180561419</v>
      </c>
      <c r="M116" s="106">
        <v>2.8506400350413044</v>
      </c>
      <c r="N116" s="106">
        <v>3.6237362366975527</v>
      </c>
      <c r="O116" s="29"/>
      <c r="P116" s="106">
        <v>10.83934018660751</v>
      </c>
      <c r="Q116" s="106">
        <v>8.1200386633427399</v>
      </c>
      <c r="R116" s="106">
        <v>5.2698828288906041</v>
      </c>
      <c r="S116" s="106">
        <v>3.0418749180561422</v>
      </c>
      <c r="T116" s="106">
        <v>1.6306400350413044</v>
      </c>
      <c r="U116" s="106">
        <v>3.6237362366975527</v>
      </c>
      <c r="V116" s="9"/>
      <c r="W116" s="106">
        <v>9.6193401866075092</v>
      </c>
      <c r="X116" s="106">
        <v>6.9000386633427402</v>
      </c>
      <c r="Y116" s="106">
        <v>4.0498828288906044</v>
      </c>
      <c r="Z116" s="106">
        <v>1.8218749180561422</v>
      </c>
      <c r="AA116" s="106">
        <v>0.41064003504130442</v>
      </c>
      <c r="AB116" s="106">
        <v>3.6237362366975527</v>
      </c>
      <c r="AC116" s="9"/>
      <c r="AD116" s="106">
        <v>8.3993401866075086</v>
      </c>
      <c r="AE116" s="106">
        <v>5.6800386633427404</v>
      </c>
      <c r="AF116" s="106">
        <v>2.8298828288906046</v>
      </c>
      <c r="AG116" s="106">
        <v>0.60187491805614224</v>
      </c>
      <c r="AH116" s="106"/>
      <c r="AI116" s="106">
        <v>3.6237362366975527</v>
      </c>
      <c r="AJ116" s="9"/>
      <c r="AK116" s="106">
        <v>7.1793401866075088</v>
      </c>
      <c r="AL116" s="106">
        <v>4.4600386633427407</v>
      </c>
      <c r="AM116" s="106">
        <v>1.6098828288906046</v>
      </c>
      <c r="AN116" s="106"/>
      <c r="AO116" s="106"/>
      <c r="AP116" s="106">
        <v>3.6237362366975527</v>
      </c>
      <c r="AQ116" s="9"/>
      <c r="AR116" s="106">
        <v>5.9593401866075091</v>
      </c>
      <c r="AS116" s="106">
        <v>3.2400386633427409</v>
      </c>
      <c r="AT116" s="106">
        <v>0.38988282889060466</v>
      </c>
      <c r="AU116" s="106"/>
      <c r="AV116" s="106"/>
      <c r="AW116" s="106">
        <v>3.6237362366975527</v>
      </c>
      <c r="AX116" s="9"/>
    </row>
    <row r="117" spans="1:51" ht="13.05" hidden="1" customHeight="1" x14ac:dyDescent="0.25">
      <c r="A117" t="str">
        <f>Nutrients!B116</f>
        <v>Calcium sulfate, dihydrate</v>
      </c>
      <c r="B117" s="106"/>
      <c r="C117" s="106"/>
      <c r="D117" s="106"/>
      <c r="E117" s="106"/>
      <c r="F117" s="106"/>
      <c r="G117" s="106"/>
      <c r="H117" s="106"/>
      <c r="I117" s="106"/>
      <c r="J117" s="106"/>
      <c r="K117" s="106"/>
      <c r="L117" s="106"/>
      <c r="M117" s="106"/>
      <c r="N117" s="106"/>
      <c r="O117" s="29"/>
      <c r="P117" s="106"/>
      <c r="Q117" s="106"/>
      <c r="R117" s="106"/>
      <c r="S117" s="106"/>
      <c r="T117" s="106"/>
      <c r="U117" s="106"/>
      <c r="V117" s="9"/>
      <c r="W117" s="106"/>
      <c r="X117" s="106"/>
      <c r="Y117" s="106"/>
      <c r="Z117" s="106"/>
      <c r="AA117" s="106"/>
      <c r="AB117" s="106"/>
      <c r="AC117" s="9"/>
      <c r="AD117" s="106"/>
      <c r="AE117" s="106"/>
      <c r="AF117" s="106"/>
      <c r="AG117" s="106"/>
      <c r="AH117" s="106"/>
      <c r="AI117" s="106"/>
      <c r="AJ117" s="9"/>
      <c r="AK117" s="106"/>
      <c r="AL117" s="106"/>
      <c r="AM117" s="106"/>
      <c r="AN117" s="106"/>
      <c r="AO117" s="106"/>
      <c r="AP117" s="106"/>
      <c r="AQ117" s="9"/>
      <c r="AR117" s="106"/>
      <c r="AS117" s="106"/>
      <c r="AT117" s="106"/>
      <c r="AU117" s="106"/>
      <c r="AV117" s="106"/>
      <c r="AW117" s="106"/>
      <c r="AX117" s="9"/>
    </row>
    <row r="118" spans="1:51" ht="13.05" hidden="1" customHeight="1" x14ac:dyDescent="0.25">
      <c r="A118" t="str">
        <f>Nutrients!B117</f>
        <v>Limestone, ground</v>
      </c>
      <c r="B118" s="106"/>
      <c r="C118" s="106"/>
      <c r="D118" s="106"/>
      <c r="E118" s="106"/>
      <c r="F118" s="106"/>
      <c r="G118" s="106"/>
      <c r="H118" s="106"/>
      <c r="I118" s="106"/>
      <c r="J118" s="106"/>
      <c r="K118" s="106"/>
      <c r="L118" s="106"/>
      <c r="M118" s="106"/>
      <c r="N118" s="106"/>
      <c r="O118" s="29"/>
      <c r="P118" s="106"/>
      <c r="Q118" s="106"/>
      <c r="R118" s="106"/>
      <c r="S118" s="106"/>
      <c r="T118" s="106"/>
      <c r="U118" s="106"/>
      <c r="V118" s="9"/>
      <c r="W118" s="106"/>
      <c r="X118" s="106"/>
      <c r="Y118" s="106"/>
      <c r="Z118" s="106"/>
      <c r="AA118" s="106"/>
      <c r="AB118" s="106"/>
      <c r="AC118" s="9"/>
      <c r="AD118" s="106"/>
      <c r="AE118" s="106"/>
      <c r="AF118" s="106"/>
      <c r="AG118" s="106"/>
      <c r="AH118" s="106"/>
      <c r="AI118" s="106"/>
      <c r="AJ118" s="9"/>
      <c r="AK118" s="106"/>
      <c r="AL118" s="106"/>
      <c r="AM118" s="106"/>
      <c r="AN118" s="106"/>
      <c r="AO118" s="106"/>
      <c r="AP118" s="106"/>
      <c r="AQ118" s="9"/>
      <c r="AR118" s="106"/>
      <c r="AS118" s="106"/>
      <c r="AT118" s="106"/>
      <c r="AU118" s="106"/>
      <c r="AV118" s="106"/>
      <c r="AW118" s="106"/>
      <c r="AX118" s="9"/>
    </row>
    <row r="119" spans="1:51" ht="13.05" hidden="1" customHeight="1" x14ac:dyDescent="0.25">
      <c r="A119" t="str">
        <f>Nutrients!B118</f>
        <v>Magnesium phosphate</v>
      </c>
      <c r="B119" s="106"/>
      <c r="C119" s="106"/>
      <c r="D119" s="106"/>
      <c r="E119" s="106"/>
      <c r="F119" s="106"/>
      <c r="G119" s="106"/>
      <c r="H119" s="106"/>
      <c r="I119" s="106"/>
      <c r="J119" s="106"/>
      <c r="K119" s="106"/>
      <c r="L119" s="106"/>
      <c r="M119" s="106"/>
      <c r="N119" s="106"/>
      <c r="O119" s="29"/>
      <c r="P119" s="106"/>
      <c r="Q119" s="106"/>
      <c r="R119" s="106"/>
      <c r="S119" s="106"/>
      <c r="T119" s="106"/>
      <c r="U119" s="106"/>
      <c r="V119" s="9"/>
      <c r="W119" s="106"/>
      <c r="X119" s="106"/>
      <c r="Y119" s="106"/>
      <c r="Z119" s="106"/>
      <c r="AA119" s="106"/>
      <c r="AB119" s="106"/>
      <c r="AC119" s="9"/>
      <c r="AD119" s="106"/>
      <c r="AE119" s="106"/>
      <c r="AF119" s="106"/>
      <c r="AG119" s="106"/>
      <c r="AH119" s="106"/>
      <c r="AI119" s="106"/>
      <c r="AJ119" s="9"/>
      <c r="AK119" s="106"/>
      <c r="AL119" s="106"/>
      <c r="AM119" s="106"/>
      <c r="AN119" s="106"/>
      <c r="AO119" s="106"/>
      <c r="AP119" s="106"/>
      <c r="AQ119" s="9"/>
      <c r="AR119" s="106"/>
      <c r="AS119" s="106"/>
      <c r="AT119" s="106"/>
      <c r="AU119" s="106"/>
      <c r="AV119" s="106"/>
      <c r="AW119" s="106"/>
      <c r="AX119" s="9"/>
    </row>
    <row r="120" spans="1:51" ht="13.05" hidden="1" customHeight="1" x14ac:dyDescent="0.25">
      <c r="A120" t="str">
        <f>Nutrients!B119</f>
        <v>Sodium carbonate</v>
      </c>
      <c r="B120" s="106"/>
      <c r="C120" s="106"/>
      <c r="D120" s="106"/>
      <c r="E120" s="106"/>
      <c r="F120" s="106"/>
      <c r="G120" s="106"/>
      <c r="H120" s="106"/>
      <c r="I120" s="106"/>
      <c r="J120" s="106"/>
      <c r="K120" s="106"/>
      <c r="L120" s="106"/>
      <c r="M120" s="106"/>
      <c r="N120" s="106"/>
      <c r="O120" s="29"/>
      <c r="P120" s="106"/>
      <c r="Q120" s="106"/>
      <c r="R120" s="106"/>
      <c r="S120" s="106"/>
      <c r="T120" s="106"/>
      <c r="U120" s="106"/>
      <c r="V120" s="9"/>
      <c r="W120" s="106"/>
      <c r="X120" s="106"/>
      <c r="Y120" s="106"/>
      <c r="Z120" s="106"/>
      <c r="AA120" s="106"/>
      <c r="AB120" s="106"/>
      <c r="AC120" s="9"/>
      <c r="AD120" s="106"/>
      <c r="AE120" s="106"/>
      <c r="AF120" s="106"/>
      <c r="AG120" s="106"/>
      <c r="AH120" s="106"/>
      <c r="AI120" s="106"/>
      <c r="AJ120" s="9"/>
      <c r="AK120" s="106"/>
      <c r="AL120" s="106"/>
      <c r="AM120" s="106"/>
      <c r="AN120" s="106"/>
      <c r="AO120" s="106"/>
      <c r="AP120" s="106"/>
      <c r="AQ120" s="9"/>
      <c r="AR120" s="106"/>
      <c r="AS120" s="106"/>
      <c r="AT120" s="106"/>
      <c r="AU120" s="106"/>
      <c r="AV120" s="106"/>
      <c r="AW120" s="106"/>
      <c r="AX120" s="9"/>
    </row>
    <row r="121" spans="1:51" ht="13.05" hidden="1" customHeight="1" x14ac:dyDescent="0.25">
      <c r="A121" t="str">
        <f>Nutrients!B120</f>
        <v>Sodium bicarbonate</v>
      </c>
      <c r="B121" s="106"/>
      <c r="C121" s="106"/>
      <c r="D121" s="106"/>
      <c r="E121" s="106"/>
      <c r="F121" s="106"/>
      <c r="G121" s="106"/>
      <c r="H121" s="106"/>
      <c r="I121" s="106"/>
      <c r="J121" s="106"/>
      <c r="K121" s="106"/>
      <c r="L121" s="106"/>
      <c r="M121" s="106"/>
      <c r="N121" s="106"/>
      <c r="O121" s="29"/>
      <c r="P121" s="106"/>
      <c r="Q121" s="106"/>
      <c r="R121" s="106"/>
      <c r="S121" s="106"/>
      <c r="T121" s="106"/>
      <c r="U121" s="106"/>
      <c r="V121" s="9"/>
      <c r="W121" s="106"/>
      <c r="X121" s="106"/>
      <c r="Y121" s="106"/>
      <c r="Z121" s="106"/>
      <c r="AA121" s="106"/>
      <c r="AB121" s="106"/>
      <c r="AC121" s="9"/>
      <c r="AD121" s="106"/>
      <c r="AE121" s="106"/>
      <c r="AF121" s="106"/>
      <c r="AG121" s="106"/>
      <c r="AH121" s="106"/>
      <c r="AI121" s="106"/>
      <c r="AJ121" s="9"/>
      <c r="AK121" s="106"/>
      <c r="AL121" s="106"/>
      <c r="AM121" s="106"/>
      <c r="AN121" s="106"/>
      <c r="AO121" s="106"/>
      <c r="AP121" s="106"/>
      <c r="AQ121" s="9"/>
      <c r="AR121" s="106"/>
      <c r="AS121" s="106"/>
      <c r="AT121" s="106"/>
      <c r="AU121" s="106"/>
      <c r="AV121" s="106"/>
      <c r="AW121" s="106"/>
      <c r="AX121" s="9"/>
    </row>
    <row r="122" spans="1:51" x14ac:dyDescent="0.25">
      <c r="A122" t="str">
        <f>Nutrients!B121</f>
        <v>Sodium chloride</v>
      </c>
      <c r="B122" s="106">
        <v>7</v>
      </c>
      <c r="C122" s="106">
        <v>7</v>
      </c>
      <c r="D122" s="106">
        <v>7</v>
      </c>
      <c r="E122" s="106">
        <v>7</v>
      </c>
      <c r="F122" s="106">
        <v>7</v>
      </c>
      <c r="G122" s="106">
        <v>7</v>
      </c>
      <c r="H122" s="106"/>
      <c r="I122" s="106">
        <v>7</v>
      </c>
      <c r="J122" s="106">
        <v>7</v>
      </c>
      <c r="K122" s="106">
        <v>7</v>
      </c>
      <c r="L122" s="106">
        <v>7</v>
      </c>
      <c r="M122" s="106">
        <v>7</v>
      </c>
      <c r="N122" s="106">
        <v>7</v>
      </c>
      <c r="O122" s="29"/>
      <c r="P122" s="106">
        <v>7</v>
      </c>
      <c r="Q122" s="106">
        <v>7</v>
      </c>
      <c r="R122" s="106">
        <v>7</v>
      </c>
      <c r="S122" s="106">
        <v>7</v>
      </c>
      <c r="T122" s="106">
        <v>7</v>
      </c>
      <c r="U122" s="106">
        <v>7</v>
      </c>
      <c r="V122" s="9"/>
      <c r="W122" s="106">
        <v>7</v>
      </c>
      <c r="X122" s="106">
        <v>7</v>
      </c>
      <c r="Y122" s="106">
        <v>7</v>
      </c>
      <c r="Z122" s="106">
        <v>7</v>
      </c>
      <c r="AA122" s="106">
        <v>7</v>
      </c>
      <c r="AB122" s="106">
        <v>7</v>
      </c>
      <c r="AC122" s="9"/>
      <c r="AD122" s="106">
        <v>7</v>
      </c>
      <c r="AE122" s="106">
        <v>7</v>
      </c>
      <c r="AF122" s="106">
        <v>7</v>
      </c>
      <c r="AG122" s="106">
        <v>7</v>
      </c>
      <c r="AH122" s="106">
        <v>7</v>
      </c>
      <c r="AI122" s="106">
        <v>7</v>
      </c>
      <c r="AJ122" s="9"/>
      <c r="AK122" s="106">
        <v>7</v>
      </c>
      <c r="AL122" s="106">
        <v>7</v>
      </c>
      <c r="AM122" s="106">
        <v>7</v>
      </c>
      <c r="AN122" s="106">
        <v>7</v>
      </c>
      <c r="AO122" s="106">
        <v>7</v>
      </c>
      <c r="AP122" s="106">
        <v>7</v>
      </c>
      <c r="AQ122" s="9"/>
      <c r="AR122" s="106">
        <v>7</v>
      </c>
      <c r="AS122" s="106">
        <v>7</v>
      </c>
      <c r="AT122" s="106">
        <v>7</v>
      </c>
      <c r="AU122" s="106">
        <v>7</v>
      </c>
      <c r="AV122" s="106">
        <v>7</v>
      </c>
      <c r="AW122" s="106">
        <v>7</v>
      </c>
      <c r="AX122" s="9"/>
    </row>
    <row r="123" spans="1:51" ht="13.05" hidden="1" customHeight="1" x14ac:dyDescent="0.25">
      <c r="A123" t="str">
        <f>Nutrients!B122</f>
        <v>Sodium phosphate, monobasic</v>
      </c>
      <c r="B123" s="106"/>
      <c r="C123" s="106"/>
      <c r="D123" s="106"/>
      <c r="E123" s="106"/>
      <c r="F123" s="106"/>
      <c r="G123" s="106"/>
      <c r="H123" s="106"/>
      <c r="I123" s="106"/>
      <c r="J123" s="106"/>
      <c r="K123" s="106"/>
      <c r="L123" s="106"/>
      <c r="M123" s="106"/>
      <c r="N123" s="106"/>
      <c r="O123" s="29"/>
      <c r="P123" s="106"/>
      <c r="Q123" s="106"/>
      <c r="R123" s="106"/>
      <c r="S123" s="106"/>
      <c r="T123" s="106"/>
      <c r="U123" s="106"/>
      <c r="V123" s="9"/>
      <c r="W123" s="106"/>
      <c r="X123" s="106"/>
      <c r="Y123" s="106"/>
      <c r="Z123" s="106"/>
      <c r="AA123" s="106"/>
      <c r="AB123" s="106"/>
      <c r="AC123" s="9"/>
      <c r="AD123" s="106"/>
      <c r="AE123" s="106"/>
      <c r="AF123" s="106"/>
      <c r="AG123" s="106"/>
      <c r="AH123" s="106"/>
      <c r="AI123" s="106"/>
      <c r="AJ123" s="9"/>
      <c r="AK123" s="106"/>
      <c r="AL123" s="106"/>
      <c r="AM123" s="106"/>
      <c r="AN123" s="106"/>
      <c r="AO123" s="106"/>
      <c r="AP123" s="106"/>
      <c r="AQ123" s="9"/>
      <c r="AR123" s="106"/>
      <c r="AS123" s="106"/>
      <c r="AT123" s="106"/>
      <c r="AU123" s="106"/>
      <c r="AV123" s="106"/>
      <c r="AW123" s="106"/>
      <c r="AX123" s="9"/>
    </row>
    <row r="124" spans="1:51" ht="13.05" hidden="1" customHeight="1" x14ac:dyDescent="0.25">
      <c r="A124" t="str">
        <f>Nutrients!B123</f>
        <v>Sodium sulfate, decahydrate</v>
      </c>
      <c r="B124" s="106"/>
      <c r="C124" s="106"/>
      <c r="D124" s="106"/>
      <c r="E124" s="106"/>
      <c r="F124" s="106"/>
      <c r="G124" s="106"/>
      <c r="H124" s="106"/>
      <c r="I124" s="106"/>
      <c r="J124" s="106"/>
      <c r="K124" s="106"/>
      <c r="L124" s="106"/>
      <c r="M124" s="106"/>
      <c r="N124" s="106"/>
      <c r="O124" s="29"/>
      <c r="P124" s="106"/>
      <c r="Q124" s="106"/>
      <c r="R124" s="106"/>
      <c r="S124" s="106"/>
      <c r="T124" s="106"/>
      <c r="U124" s="106"/>
      <c r="V124" s="9"/>
      <c r="W124" s="106"/>
      <c r="X124" s="106"/>
      <c r="Y124" s="106"/>
      <c r="Z124" s="106"/>
      <c r="AA124" s="106"/>
      <c r="AB124" s="106"/>
      <c r="AC124" s="9"/>
      <c r="AD124" s="106"/>
      <c r="AE124" s="106"/>
      <c r="AF124" s="106"/>
      <c r="AG124" s="106"/>
      <c r="AH124" s="106"/>
      <c r="AI124" s="106"/>
      <c r="AJ124" s="9"/>
      <c r="AK124" s="106"/>
      <c r="AL124" s="106"/>
      <c r="AM124" s="106"/>
      <c r="AN124" s="106"/>
      <c r="AO124" s="106"/>
      <c r="AP124" s="106"/>
      <c r="AQ124" s="9"/>
      <c r="AR124" s="106"/>
      <c r="AS124" s="106"/>
      <c r="AT124" s="106"/>
      <c r="AU124" s="106"/>
      <c r="AV124" s="106"/>
      <c r="AW124" s="106"/>
      <c r="AX124" s="9"/>
    </row>
    <row r="125" spans="1:51" x14ac:dyDescent="0.25">
      <c r="A125" t="s">
        <v>377</v>
      </c>
      <c r="B125" s="106">
        <v>6.3084820001521269</v>
      </c>
      <c r="C125" s="106">
        <v>6.2433597724335907</v>
      </c>
      <c r="D125" s="106">
        <v>6.1008877821794973</v>
      </c>
      <c r="E125" s="106">
        <v>6.0262980797710428</v>
      </c>
      <c r="F125" s="106">
        <v>5.9214818115557355</v>
      </c>
      <c r="G125" s="106">
        <v>5.7904970568511782</v>
      </c>
      <c r="H125" s="106"/>
      <c r="I125" s="106">
        <v>6.8584820001521267</v>
      </c>
      <c r="J125" s="106">
        <v>6.7933597724335906</v>
      </c>
      <c r="K125" s="106">
        <v>6.6508877821794972</v>
      </c>
      <c r="L125" s="106">
        <v>6.5762980797710426</v>
      </c>
      <c r="M125" s="106">
        <v>6.4714818115557353</v>
      </c>
      <c r="N125" s="106">
        <v>5.7904970568511782</v>
      </c>
      <c r="O125" s="106"/>
      <c r="P125" s="106">
        <v>7.4084820001521265</v>
      </c>
      <c r="Q125" s="106">
        <v>7.3433597724335904</v>
      </c>
      <c r="R125" s="106">
        <v>7.200887782179497</v>
      </c>
      <c r="S125" s="106">
        <v>7.1262980797710425</v>
      </c>
      <c r="T125" s="106">
        <v>7.0214818115557351</v>
      </c>
      <c r="U125" s="106">
        <v>5.7904970568511782</v>
      </c>
      <c r="V125" s="106"/>
      <c r="W125" s="106">
        <v>7.9584820001521264</v>
      </c>
      <c r="X125" s="106">
        <v>7.8933597724335902</v>
      </c>
      <c r="Y125" s="106">
        <v>7.7508877821794968</v>
      </c>
      <c r="Z125" s="106">
        <v>7.6762980797710423</v>
      </c>
      <c r="AA125" s="106">
        <v>7.571481811555735</v>
      </c>
      <c r="AB125" s="106">
        <v>5.7904970568511782</v>
      </c>
      <c r="AC125" s="106"/>
      <c r="AD125" s="106">
        <v>8.5084820001521262</v>
      </c>
      <c r="AE125" s="106">
        <v>8.44335977243359</v>
      </c>
      <c r="AF125" s="106">
        <v>8.3008877821794975</v>
      </c>
      <c r="AG125" s="106">
        <v>8.226298079771043</v>
      </c>
      <c r="AH125" s="106">
        <v>8.1214818115557357</v>
      </c>
      <c r="AI125" s="106">
        <v>5.7904970568511782</v>
      </c>
      <c r="AJ125" s="106"/>
      <c r="AK125" s="106">
        <v>9.0584820001521269</v>
      </c>
      <c r="AL125" s="106">
        <v>8.9933597724335907</v>
      </c>
      <c r="AM125" s="106">
        <v>8.8508877821794982</v>
      </c>
      <c r="AN125" s="106">
        <v>8.7762980797710437</v>
      </c>
      <c r="AO125" s="106">
        <v>8.6714818115557364</v>
      </c>
      <c r="AP125" s="106">
        <v>5.7904970568511782</v>
      </c>
      <c r="AQ125" s="106"/>
      <c r="AR125" s="106">
        <v>9.6084820001521276</v>
      </c>
      <c r="AS125" s="106">
        <v>9.5433597724335915</v>
      </c>
      <c r="AT125" s="106">
        <v>9.4008877821794989</v>
      </c>
      <c r="AU125" s="106">
        <v>9.3262980797710444</v>
      </c>
      <c r="AV125" s="106">
        <v>9.2214818115557371</v>
      </c>
      <c r="AW125" s="106">
        <v>5.7904970568511782</v>
      </c>
      <c r="AX125" s="106"/>
      <c r="AY125" s="106"/>
    </row>
    <row r="126" spans="1:51" x14ac:dyDescent="0.25">
      <c r="A126" t="s">
        <v>338</v>
      </c>
      <c r="B126" s="106">
        <v>2.0001072741250949</v>
      </c>
      <c r="C126" s="106">
        <v>1.4142932363875236</v>
      </c>
      <c r="D126" s="106">
        <v>0.86934747110785748</v>
      </c>
      <c r="E126" s="106">
        <v>0.597281406401727</v>
      </c>
      <c r="F126" s="106">
        <v>0.26418732884583351</v>
      </c>
      <c r="G126" s="106">
        <v>0.20625243191767928</v>
      </c>
      <c r="H126" s="106"/>
      <c r="I126" s="106">
        <v>1.7701072741250949</v>
      </c>
      <c r="J126" s="106">
        <v>1.1842932363875236</v>
      </c>
      <c r="K126" s="106">
        <v>0.65309697440645997</v>
      </c>
      <c r="L126" s="106">
        <v>0.38218237220779228</v>
      </c>
      <c r="M126" s="91">
        <v>4.8849705104336741E-2</v>
      </c>
      <c r="N126" s="106">
        <v>0.20625243191767928</v>
      </c>
      <c r="O126" s="29"/>
      <c r="P126" s="106">
        <v>1.550107274125095</v>
      </c>
      <c r="Q126" s="106">
        <v>0.97762432561587609</v>
      </c>
      <c r="R126" s="106">
        <v>0.43309697440646</v>
      </c>
      <c r="S126" s="106">
        <v>0.16218237220779227</v>
      </c>
      <c r="T126" s="91"/>
      <c r="U126" s="106">
        <v>0.20625243191767928</v>
      </c>
      <c r="V126" s="9"/>
      <c r="W126" s="106">
        <v>1.330107274125095</v>
      </c>
      <c r="X126" s="106">
        <v>0.75762432561587612</v>
      </c>
      <c r="Y126" s="106">
        <v>0.22340313648572985</v>
      </c>
      <c r="Z126" s="106"/>
      <c r="AA126" s="106"/>
      <c r="AB126" s="106">
        <v>0.20625243191767928</v>
      </c>
      <c r="AC126" s="9"/>
      <c r="AD126" s="106">
        <v>1.110107274125095</v>
      </c>
      <c r="AE126" s="106">
        <v>0.53762432561587614</v>
      </c>
      <c r="AF126" s="106"/>
      <c r="AG126" s="106"/>
      <c r="AH126" s="106"/>
      <c r="AI126" s="106">
        <v>0.20625243191767928</v>
      </c>
      <c r="AJ126" s="9"/>
      <c r="AK126" s="106">
        <v>0.89010727412509505</v>
      </c>
      <c r="AL126" s="106">
        <v>0.31762432561587617</v>
      </c>
      <c r="AM126" s="106"/>
      <c r="AN126" s="106"/>
      <c r="AO126" s="106"/>
      <c r="AP126" s="106">
        <v>0.20625243191767928</v>
      </c>
      <c r="AQ126" s="9"/>
      <c r="AR126" s="106">
        <v>0.67010727412509508</v>
      </c>
      <c r="AS126" s="106">
        <v>9.7624325615876167E-2</v>
      </c>
      <c r="AT126" s="106"/>
      <c r="AU126" s="106"/>
      <c r="AV126" s="106"/>
      <c r="AW126" s="106">
        <v>0.20625243191767928</v>
      </c>
      <c r="AX126" s="9"/>
    </row>
    <row r="127" spans="1:51" x14ac:dyDescent="0.25">
      <c r="A127" t="s">
        <v>339</v>
      </c>
      <c r="B127" s="106">
        <v>2.1021642542029664</v>
      </c>
      <c r="C127" s="106">
        <v>1.8931061779303802</v>
      </c>
      <c r="D127" s="106">
        <v>1.6694885978130205</v>
      </c>
      <c r="E127" s="106">
        <v>1.6715266713984547</v>
      </c>
      <c r="F127" s="106">
        <v>1.5185483019032111</v>
      </c>
      <c r="G127" s="106">
        <v>1.5481920365803807</v>
      </c>
      <c r="H127" s="106"/>
      <c r="I127" s="106">
        <v>2.0221642542029663</v>
      </c>
      <c r="J127" s="106">
        <v>1.8131061779303801</v>
      </c>
      <c r="K127" s="106">
        <v>1.5894885978130204</v>
      </c>
      <c r="L127" s="106">
        <v>1.5915266713984546</v>
      </c>
      <c r="M127" s="106">
        <v>1.438548301903211</v>
      </c>
      <c r="N127" s="106">
        <v>1.5481920365803807</v>
      </c>
      <c r="O127" s="29"/>
      <c r="P127" s="106">
        <v>1.9421642542029662</v>
      </c>
      <c r="Q127" s="106">
        <v>1.73310617793038</v>
      </c>
      <c r="R127" s="106">
        <v>1.5094885978130204</v>
      </c>
      <c r="S127" s="106">
        <v>1.5115266713984545</v>
      </c>
      <c r="T127" s="106">
        <v>1.358548301903211</v>
      </c>
      <c r="U127" s="106">
        <v>1.5481920365803807</v>
      </c>
      <c r="V127" s="9"/>
      <c r="W127" s="106">
        <v>1.8621642542029662</v>
      </c>
      <c r="X127" s="106">
        <v>1.6531061779303799</v>
      </c>
      <c r="Y127" s="106">
        <v>1.4294885978130203</v>
      </c>
      <c r="Z127" s="106">
        <v>1.4315266713984545</v>
      </c>
      <c r="AA127" s="106">
        <v>1.2785483019032109</v>
      </c>
      <c r="AB127" s="106">
        <v>1.5481920365803807</v>
      </c>
      <c r="AC127" s="9"/>
      <c r="AD127" s="106">
        <v>1.7821642542029661</v>
      </c>
      <c r="AE127" s="106">
        <v>1.5731061779303799</v>
      </c>
      <c r="AF127" s="106">
        <v>1.3494885978130202</v>
      </c>
      <c r="AG127" s="106">
        <v>1.3515266713984544</v>
      </c>
      <c r="AH127" s="106">
        <v>1.1985483019032108</v>
      </c>
      <c r="AI127" s="106">
        <v>1.5481920365803807</v>
      </c>
      <c r="AJ127" s="9"/>
      <c r="AK127" s="106">
        <v>1.702164254202966</v>
      </c>
      <c r="AL127" s="106">
        <v>1.4931061779303798</v>
      </c>
      <c r="AM127" s="106">
        <v>1.2694885978130201</v>
      </c>
      <c r="AN127" s="106">
        <v>1.2715266713984543</v>
      </c>
      <c r="AO127" s="106">
        <v>1.1185483019032108</v>
      </c>
      <c r="AP127" s="106">
        <v>1.5481920365803807</v>
      </c>
      <c r="AQ127" s="9"/>
      <c r="AR127" s="106">
        <v>1.6221642542029659</v>
      </c>
      <c r="AS127" s="106">
        <v>1.4131061779303797</v>
      </c>
      <c r="AT127" s="106">
        <v>1.1894885978130201</v>
      </c>
      <c r="AU127" s="106">
        <v>1.1915266713984543</v>
      </c>
      <c r="AV127" s="106">
        <v>1.0385483019032107</v>
      </c>
      <c r="AW127" s="106">
        <v>1.5481920365803807</v>
      </c>
      <c r="AX127" s="9"/>
    </row>
    <row r="128" spans="1:51" x14ac:dyDescent="0.25">
      <c r="A128" t="s">
        <v>340</v>
      </c>
      <c r="B128" s="106">
        <v>0.1583874364560095</v>
      </c>
      <c r="C128" s="106">
        <v>0.24609320131494719</v>
      </c>
      <c r="D128" s="106">
        <v>0.31506093551644743</v>
      </c>
      <c r="E128" s="106">
        <v>0.36796670907097156</v>
      </c>
      <c r="F128" s="106">
        <v>0.39910643007729607</v>
      </c>
      <c r="G128" s="106">
        <v>0.40312635660152313</v>
      </c>
      <c r="H128" s="106"/>
      <c r="I128" s="106">
        <v>0.23838743645600952</v>
      </c>
      <c r="J128" s="106">
        <v>0.32609320131494718</v>
      </c>
      <c r="K128" s="106">
        <v>0.39506093551644744</v>
      </c>
      <c r="L128" s="106">
        <v>0.44796670907097158</v>
      </c>
      <c r="M128" s="106">
        <v>0.47910643007729609</v>
      </c>
      <c r="N128" s="106">
        <v>0.40312635660152313</v>
      </c>
      <c r="O128" s="29"/>
      <c r="P128" s="106">
        <v>0.32838743645600954</v>
      </c>
      <c r="Q128" s="106">
        <v>0.4160932013149472</v>
      </c>
      <c r="R128" s="106">
        <v>0.48506093551644747</v>
      </c>
      <c r="S128" s="106">
        <v>0.53796670907097155</v>
      </c>
      <c r="T128" s="106">
        <v>0.56910643007729611</v>
      </c>
      <c r="U128" s="106">
        <v>0.40312635660152313</v>
      </c>
      <c r="V128" s="9"/>
      <c r="W128" s="106">
        <v>0.41838743645600951</v>
      </c>
      <c r="X128" s="106">
        <v>0.50609320131494717</v>
      </c>
      <c r="Y128" s="106">
        <v>0.57506093551644744</v>
      </c>
      <c r="Z128" s="106">
        <v>0.62796670907097152</v>
      </c>
      <c r="AA128" s="106">
        <v>0.65910643007729608</v>
      </c>
      <c r="AB128" s="106">
        <v>0.40312635660152313</v>
      </c>
      <c r="AC128" s="9"/>
      <c r="AD128" s="106">
        <v>0.50838743645600948</v>
      </c>
      <c r="AE128" s="106">
        <v>0.59609320131494714</v>
      </c>
      <c r="AF128" s="106">
        <v>0.65271795811769306</v>
      </c>
      <c r="AG128" s="106">
        <v>0.71796670907097149</v>
      </c>
      <c r="AH128" s="106">
        <v>0.74070235612654567</v>
      </c>
      <c r="AI128" s="106">
        <v>0.40312635660152313</v>
      </c>
      <c r="AJ128" s="9"/>
      <c r="AK128" s="106">
        <v>0.59838743645600945</v>
      </c>
      <c r="AL128" s="106">
        <v>0.68609320131494711</v>
      </c>
      <c r="AM128" s="106">
        <v>0.74271795811769303</v>
      </c>
      <c r="AN128" s="106">
        <v>0.79625311888019668</v>
      </c>
      <c r="AO128" s="106">
        <v>0.83070235612654564</v>
      </c>
      <c r="AP128" s="106">
        <v>0.40312635660152313</v>
      </c>
      <c r="AQ128" s="9"/>
      <c r="AR128" s="106">
        <v>0.68838743645600942</v>
      </c>
      <c r="AS128" s="106">
        <v>0.77609320131494708</v>
      </c>
      <c r="AT128" s="106">
        <v>0.832717958117693</v>
      </c>
      <c r="AU128" s="106">
        <v>0.88625311888019664</v>
      </c>
      <c r="AV128" s="106">
        <v>0.91221840666227716</v>
      </c>
      <c r="AW128" s="106">
        <v>0.40312635660152313</v>
      </c>
      <c r="AX128" s="9"/>
    </row>
    <row r="129" spans="1:50" x14ac:dyDescent="0.25">
      <c r="A129" t="s">
        <v>341</v>
      </c>
      <c r="B129" s="106"/>
      <c r="C129" s="106"/>
      <c r="D129" s="106"/>
      <c r="E129" s="106"/>
      <c r="F129" s="106"/>
      <c r="G129" s="106"/>
      <c r="H129" s="106"/>
      <c r="I129" s="106"/>
      <c r="J129" s="106"/>
      <c r="K129" s="106"/>
      <c r="L129" s="106"/>
      <c r="M129" s="106"/>
      <c r="N129" s="106"/>
      <c r="O129" s="29"/>
      <c r="P129" s="106"/>
      <c r="Q129" s="106"/>
      <c r="R129" s="106"/>
      <c r="S129" s="106"/>
      <c r="T129" s="106"/>
      <c r="U129" s="106"/>
      <c r="V129" s="9"/>
      <c r="W129" s="106"/>
      <c r="X129" s="106"/>
      <c r="Y129" s="106"/>
      <c r="Z129" s="106"/>
      <c r="AA129" s="106"/>
      <c r="AB129" s="106"/>
      <c r="AC129" s="9"/>
      <c r="AD129" s="106"/>
      <c r="AE129" s="106"/>
      <c r="AF129" s="106"/>
      <c r="AG129" s="106"/>
      <c r="AH129" s="106"/>
      <c r="AI129" s="106"/>
      <c r="AJ129" s="9"/>
      <c r="AK129" s="106"/>
      <c r="AL129" s="106"/>
      <c r="AM129" s="106"/>
      <c r="AN129" s="106"/>
      <c r="AO129" s="106"/>
      <c r="AP129" s="106"/>
      <c r="AQ129" s="9"/>
      <c r="AR129" s="106"/>
      <c r="AS129" s="106"/>
      <c r="AT129" s="106"/>
      <c r="AU129" s="106"/>
      <c r="AV129" s="106"/>
      <c r="AW129" s="106"/>
      <c r="AX129" s="9"/>
    </row>
    <row r="130" spans="1:50" ht="13.05" hidden="1" customHeight="1" x14ac:dyDescent="0.25">
      <c r="A130" t="str">
        <f>Nutrients!B129</f>
        <v>L-Ile</v>
      </c>
      <c r="B130" s="106"/>
      <c r="C130" s="106"/>
      <c r="D130" s="106"/>
      <c r="E130" s="106"/>
      <c r="F130" s="106"/>
      <c r="G130" s="106"/>
      <c r="H130" s="106"/>
      <c r="I130" s="106"/>
      <c r="J130" s="106"/>
      <c r="K130" s="106"/>
      <c r="L130" s="106"/>
      <c r="M130" s="106"/>
      <c r="N130" s="106"/>
      <c r="O130" s="29"/>
      <c r="P130" s="106"/>
      <c r="Q130" s="106"/>
      <c r="R130" s="106"/>
      <c r="S130" s="106"/>
      <c r="T130" s="106"/>
      <c r="U130" s="106"/>
      <c r="V130" s="9"/>
      <c r="W130" s="106"/>
      <c r="X130" s="106"/>
      <c r="Y130" s="106"/>
      <c r="Z130" s="106"/>
      <c r="AA130" s="106"/>
      <c r="AB130" s="106"/>
      <c r="AC130" s="9"/>
      <c r="AD130" s="106"/>
      <c r="AE130" s="106"/>
      <c r="AF130" s="106"/>
      <c r="AG130" s="106"/>
      <c r="AH130" s="106"/>
      <c r="AI130" s="106"/>
      <c r="AJ130" s="9"/>
      <c r="AK130" s="106"/>
      <c r="AL130" s="106"/>
      <c r="AM130" s="106"/>
      <c r="AN130" s="106"/>
      <c r="AO130" s="106"/>
      <c r="AP130" s="106"/>
      <c r="AQ130" s="9"/>
      <c r="AR130" s="106"/>
      <c r="AS130" s="106"/>
      <c r="AT130" s="106"/>
      <c r="AU130" s="106"/>
      <c r="AV130" s="106"/>
      <c r="AW130" s="106"/>
      <c r="AX130" s="9"/>
    </row>
    <row r="131" spans="1:50" ht="13.05" hidden="1" customHeight="1" x14ac:dyDescent="0.25">
      <c r="A131" t="str">
        <f>Nutrients!B130</f>
        <v>Methionine hydroxy analog</v>
      </c>
      <c r="B131" s="106"/>
      <c r="C131" s="106"/>
      <c r="D131" s="106"/>
      <c r="E131" s="106"/>
      <c r="F131" s="106"/>
      <c r="G131" s="106"/>
      <c r="H131" s="106"/>
      <c r="I131" s="106"/>
      <c r="J131" s="106"/>
      <c r="K131" s="106"/>
      <c r="L131" s="106"/>
      <c r="M131" s="106"/>
      <c r="N131" s="106"/>
      <c r="O131" s="29"/>
      <c r="P131" s="106"/>
      <c r="Q131" s="106"/>
      <c r="R131" s="106"/>
      <c r="S131" s="106"/>
      <c r="T131" s="106"/>
      <c r="U131" s="106"/>
      <c r="V131" s="9"/>
      <c r="W131" s="106"/>
      <c r="X131" s="106"/>
      <c r="Y131" s="106"/>
      <c r="Z131" s="106"/>
      <c r="AA131" s="106"/>
      <c r="AB131" s="106"/>
      <c r="AC131" s="9"/>
      <c r="AD131" s="106"/>
      <c r="AE131" s="106"/>
      <c r="AF131" s="106"/>
      <c r="AG131" s="106"/>
      <c r="AH131" s="106"/>
      <c r="AI131" s="106"/>
      <c r="AJ131" s="9"/>
      <c r="AK131" s="106"/>
      <c r="AL131" s="106"/>
      <c r="AM131" s="106"/>
      <c r="AN131" s="106"/>
      <c r="AO131" s="106"/>
      <c r="AP131" s="106"/>
      <c r="AQ131" s="9"/>
      <c r="AR131" s="106"/>
      <c r="AS131" s="106"/>
      <c r="AT131" s="106"/>
      <c r="AU131" s="106"/>
      <c r="AV131" s="106"/>
      <c r="AW131" s="106"/>
      <c r="AX131" s="9"/>
    </row>
    <row r="132" spans="1:50" ht="13.05" hidden="1" customHeight="1" x14ac:dyDescent="0.25">
      <c r="A132" t="str">
        <f>Nutrients!B131</f>
        <v>Glutamine</v>
      </c>
      <c r="B132" s="106"/>
      <c r="C132" s="106"/>
      <c r="D132" s="106"/>
      <c r="E132" s="106"/>
      <c r="F132" s="106"/>
      <c r="G132" s="106"/>
      <c r="H132" s="106"/>
      <c r="I132" s="106"/>
      <c r="J132" s="106"/>
      <c r="K132" s="106"/>
      <c r="L132" s="106"/>
      <c r="M132" s="106"/>
      <c r="N132" s="106"/>
      <c r="O132" s="29"/>
      <c r="P132" s="106"/>
      <c r="Q132" s="106"/>
      <c r="R132" s="106"/>
      <c r="S132" s="106"/>
      <c r="T132" s="106"/>
      <c r="U132" s="106"/>
      <c r="V132" s="9"/>
      <c r="W132" s="106"/>
      <c r="X132" s="106"/>
      <c r="Y132" s="106"/>
      <c r="Z132" s="106"/>
      <c r="AA132" s="106"/>
      <c r="AB132" s="106"/>
      <c r="AC132" s="9"/>
      <c r="AD132" s="106"/>
      <c r="AE132" s="106"/>
      <c r="AF132" s="106"/>
      <c r="AG132" s="106"/>
      <c r="AH132" s="106"/>
      <c r="AI132" s="106"/>
      <c r="AJ132" s="9"/>
      <c r="AK132" s="106"/>
      <c r="AL132" s="106"/>
      <c r="AM132" s="106"/>
      <c r="AN132" s="106"/>
      <c r="AO132" s="106"/>
      <c r="AP132" s="106"/>
      <c r="AQ132" s="9"/>
      <c r="AR132" s="106"/>
      <c r="AS132" s="106"/>
      <c r="AT132" s="106"/>
      <c r="AU132" s="106"/>
      <c r="AV132" s="106"/>
      <c r="AW132" s="106"/>
      <c r="AX132" s="9"/>
    </row>
    <row r="133" spans="1:50" ht="13.05" hidden="1" customHeight="1" x14ac:dyDescent="0.25">
      <c r="A133" t="str">
        <f>Nutrients!B132</f>
        <v>Glutamic acid</v>
      </c>
      <c r="B133" s="106"/>
      <c r="C133" s="106"/>
      <c r="D133" s="106"/>
      <c r="E133" s="106"/>
      <c r="F133" s="106"/>
      <c r="G133" s="106"/>
      <c r="H133" s="106"/>
      <c r="I133" s="106"/>
      <c r="J133" s="106"/>
      <c r="K133" s="106"/>
      <c r="L133" s="106"/>
      <c r="M133" s="106"/>
      <c r="N133" s="106"/>
      <c r="O133" s="29"/>
      <c r="P133" s="106"/>
      <c r="Q133" s="106"/>
      <c r="R133" s="106"/>
      <c r="S133" s="106"/>
      <c r="T133" s="106"/>
      <c r="U133" s="106"/>
      <c r="V133" s="9"/>
      <c r="W133" s="106"/>
      <c r="X133" s="106"/>
      <c r="Y133" s="106"/>
      <c r="Z133" s="106"/>
      <c r="AA133" s="106"/>
      <c r="AB133" s="106"/>
      <c r="AC133" s="9"/>
      <c r="AD133" s="106"/>
      <c r="AE133" s="106"/>
      <c r="AF133" s="106"/>
      <c r="AG133" s="106"/>
      <c r="AH133" s="106"/>
      <c r="AI133" s="106"/>
      <c r="AJ133" s="9"/>
      <c r="AK133" s="106"/>
      <c r="AL133" s="106"/>
      <c r="AM133" s="106"/>
      <c r="AN133" s="106"/>
      <c r="AO133" s="106"/>
      <c r="AP133" s="106"/>
      <c r="AQ133" s="9"/>
      <c r="AR133" s="106"/>
      <c r="AS133" s="106"/>
      <c r="AT133" s="106"/>
      <c r="AU133" s="106"/>
      <c r="AV133" s="106"/>
      <c r="AW133" s="106"/>
      <c r="AX133" s="9"/>
    </row>
    <row r="134" spans="1:50" ht="13.05" hidden="1" customHeight="1" x14ac:dyDescent="0.25">
      <c r="A134" t="str">
        <f>Nutrients!B133</f>
        <v>Biolys</v>
      </c>
      <c r="B134" s="106"/>
      <c r="C134" s="106"/>
      <c r="D134" s="106"/>
      <c r="E134" s="106"/>
      <c r="F134" s="106"/>
      <c r="G134" s="106"/>
      <c r="H134" s="106"/>
      <c r="I134" s="106"/>
      <c r="J134" s="106"/>
      <c r="K134" s="106"/>
      <c r="L134" s="106"/>
      <c r="M134" s="106"/>
      <c r="N134" s="106"/>
      <c r="O134" s="29"/>
      <c r="P134" s="106"/>
      <c r="Q134" s="106"/>
      <c r="R134" s="106"/>
      <c r="S134" s="106"/>
      <c r="T134" s="106"/>
      <c r="U134" s="106"/>
      <c r="V134" s="9"/>
      <c r="W134" s="106"/>
      <c r="X134" s="106"/>
      <c r="Y134" s="106"/>
      <c r="Z134" s="106"/>
      <c r="AA134" s="106"/>
      <c r="AB134" s="106"/>
      <c r="AC134" s="9"/>
      <c r="AD134" s="106"/>
      <c r="AE134" s="106"/>
      <c r="AF134" s="106"/>
      <c r="AG134" s="106"/>
      <c r="AH134" s="106"/>
      <c r="AI134" s="106"/>
      <c r="AJ134" s="9"/>
      <c r="AK134" s="106"/>
      <c r="AL134" s="106"/>
      <c r="AM134" s="106"/>
      <c r="AN134" s="106"/>
      <c r="AO134" s="106"/>
      <c r="AP134" s="106"/>
      <c r="AQ134" s="9"/>
      <c r="AR134" s="106"/>
      <c r="AS134" s="106"/>
      <c r="AT134" s="106"/>
      <c r="AU134" s="106"/>
      <c r="AV134" s="106"/>
      <c r="AW134" s="106"/>
      <c r="AX134" s="9"/>
    </row>
    <row r="135" spans="1:50" ht="13.05" hidden="1" customHeight="1" x14ac:dyDescent="0.25">
      <c r="A135" t="str">
        <f>Nutrients!B134</f>
        <v>Liquid lysine 60%</v>
      </c>
      <c r="B135" s="106"/>
      <c r="C135" s="106"/>
      <c r="D135" s="106"/>
      <c r="E135" s="106"/>
      <c r="F135" s="106"/>
      <c r="G135" s="106"/>
      <c r="H135" s="106"/>
      <c r="I135" s="106"/>
      <c r="J135" s="106"/>
      <c r="K135" s="106"/>
      <c r="L135" s="106"/>
      <c r="M135" s="106"/>
      <c r="N135" s="106"/>
      <c r="O135" s="29"/>
      <c r="P135" s="106"/>
      <c r="Q135" s="106"/>
      <c r="R135" s="106"/>
      <c r="S135" s="106"/>
      <c r="T135" s="106"/>
      <c r="U135" s="106"/>
      <c r="V135" s="9"/>
      <c r="W135" s="106"/>
      <c r="X135" s="106"/>
      <c r="Y135" s="106"/>
      <c r="Z135" s="106"/>
      <c r="AA135" s="106"/>
      <c r="AB135" s="106"/>
      <c r="AC135" s="9"/>
      <c r="AD135" s="106"/>
      <c r="AE135" s="106"/>
      <c r="AF135" s="106"/>
      <c r="AG135" s="106"/>
      <c r="AH135" s="106"/>
      <c r="AI135" s="106"/>
      <c r="AJ135" s="9"/>
      <c r="AK135" s="106"/>
      <c r="AL135" s="106"/>
      <c r="AM135" s="106"/>
      <c r="AN135" s="106"/>
      <c r="AO135" s="106"/>
      <c r="AP135" s="106"/>
      <c r="AQ135" s="9"/>
      <c r="AR135" s="106"/>
      <c r="AS135" s="106"/>
      <c r="AT135" s="106"/>
      <c r="AU135" s="106"/>
      <c r="AV135" s="106"/>
      <c r="AW135" s="106"/>
      <c r="AX135" s="9"/>
    </row>
    <row r="136" spans="1:50" ht="13.05" hidden="1" customHeight="1" x14ac:dyDescent="0.25">
      <c r="A136" t="str">
        <f>Nutrients!B135</f>
        <v>MHA dry</v>
      </c>
      <c r="B136" s="106"/>
      <c r="C136" s="106"/>
      <c r="D136" s="106"/>
      <c r="E136" s="106"/>
      <c r="F136" s="106"/>
      <c r="G136" s="106"/>
      <c r="H136" s="106"/>
      <c r="I136" s="106"/>
      <c r="J136" s="106"/>
      <c r="K136" s="106"/>
      <c r="L136" s="106"/>
      <c r="M136" s="106"/>
      <c r="N136" s="106"/>
      <c r="O136" s="29"/>
      <c r="P136" s="106"/>
      <c r="Q136" s="106"/>
      <c r="R136" s="106"/>
      <c r="S136" s="106"/>
      <c r="T136" s="106"/>
      <c r="U136" s="106"/>
      <c r="V136" s="9"/>
      <c r="W136" s="106"/>
      <c r="X136" s="106"/>
      <c r="Y136" s="106"/>
      <c r="Z136" s="106"/>
      <c r="AA136" s="106"/>
      <c r="AB136" s="106"/>
      <c r="AC136" s="9"/>
      <c r="AD136" s="106"/>
      <c r="AE136" s="106"/>
      <c r="AF136" s="106"/>
      <c r="AG136" s="106"/>
      <c r="AH136" s="106"/>
      <c r="AI136" s="106"/>
      <c r="AJ136" s="9"/>
      <c r="AK136" s="106"/>
      <c r="AL136" s="106"/>
      <c r="AM136" s="106"/>
      <c r="AN136" s="106"/>
      <c r="AO136" s="106"/>
      <c r="AP136" s="106"/>
      <c r="AQ136" s="9"/>
      <c r="AR136" s="106"/>
      <c r="AS136" s="106"/>
      <c r="AT136" s="106"/>
      <c r="AU136" s="106"/>
      <c r="AV136" s="106"/>
      <c r="AW136" s="106"/>
      <c r="AX136" s="9"/>
    </row>
    <row r="137" spans="1:50" ht="13.05" hidden="1" customHeight="1" x14ac:dyDescent="0.25">
      <c r="A137" t="str">
        <f>Nutrients!B136</f>
        <v>Paylean, 9 g/lb</v>
      </c>
      <c r="B137" s="106"/>
      <c r="C137" s="106"/>
      <c r="D137" s="106"/>
      <c r="E137" s="106"/>
      <c r="F137" s="106"/>
      <c r="G137" s="106"/>
      <c r="H137" s="106"/>
      <c r="I137" s="106"/>
      <c r="J137" s="106"/>
      <c r="K137" s="106"/>
      <c r="L137" s="106"/>
      <c r="M137" s="106"/>
      <c r="N137" s="106"/>
      <c r="O137" s="29"/>
      <c r="P137" s="106"/>
      <c r="Q137" s="106"/>
      <c r="R137" s="106"/>
      <c r="S137" s="106"/>
      <c r="T137" s="106"/>
      <c r="U137" s="106"/>
      <c r="V137" s="9"/>
      <c r="W137" s="106"/>
      <c r="X137" s="106"/>
      <c r="Y137" s="106"/>
      <c r="Z137" s="106"/>
      <c r="AA137" s="106"/>
      <c r="AB137" s="106"/>
      <c r="AC137" s="9"/>
      <c r="AD137" s="106"/>
      <c r="AE137" s="106"/>
      <c r="AF137" s="106"/>
      <c r="AG137" s="106"/>
      <c r="AH137" s="106"/>
      <c r="AI137" s="106"/>
      <c r="AJ137" s="9"/>
      <c r="AK137" s="106"/>
      <c r="AL137" s="106"/>
      <c r="AM137" s="106"/>
      <c r="AN137" s="106"/>
      <c r="AO137" s="106"/>
      <c r="AP137" s="106"/>
      <c r="AQ137" s="9"/>
      <c r="AR137" s="106"/>
      <c r="AS137" s="106"/>
      <c r="AT137" s="106"/>
      <c r="AU137" s="106"/>
      <c r="AV137" s="106"/>
      <c r="AW137" s="106"/>
      <c r="AX137" s="9"/>
    </row>
    <row r="138" spans="1:50" ht="13.05" hidden="1" customHeight="1" x14ac:dyDescent="0.25">
      <c r="A138" t="str">
        <f>Nutrients!B137</f>
        <v>Tribasic copper chloride</v>
      </c>
      <c r="B138" s="106"/>
      <c r="C138" s="106"/>
      <c r="D138" s="106"/>
      <c r="E138" s="106"/>
      <c r="F138" s="106"/>
      <c r="G138" s="106"/>
      <c r="H138" s="106"/>
      <c r="I138" s="106"/>
      <c r="J138" s="106"/>
      <c r="K138" s="106"/>
      <c r="L138" s="106"/>
      <c r="M138" s="106"/>
      <c r="N138" s="106"/>
      <c r="O138" s="29"/>
      <c r="P138" s="106"/>
      <c r="Q138" s="106"/>
      <c r="R138" s="106"/>
      <c r="S138" s="106"/>
      <c r="T138" s="106"/>
      <c r="U138" s="106"/>
      <c r="V138" s="9"/>
      <c r="W138" s="106"/>
      <c r="X138" s="106"/>
      <c r="Y138" s="106"/>
      <c r="Z138" s="106"/>
      <c r="AA138" s="106"/>
      <c r="AB138" s="106"/>
      <c r="AC138" s="9"/>
      <c r="AD138" s="106"/>
      <c r="AE138" s="106"/>
      <c r="AF138" s="106"/>
      <c r="AG138" s="106"/>
      <c r="AH138" s="106"/>
      <c r="AI138" s="106"/>
      <c r="AJ138" s="9"/>
      <c r="AK138" s="106"/>
      <c r="AL138" s="106"/>
      <c r="AM138" s="106"/>
      <c r="AN138" s="106"/>
      <c r="AO138" s="106"/>
      <c r="AP138" s="106"/>
      <c r="AQ138" s="9"/>
      <c r="AR138" s="106"/>
      <c r="AS138" s="106"/>
      <c r="AT138" s="106"/>
      <c r="AU138" s="106"/>
      <c r="AV138" s="106"/>
      <c r="AW138" s="106"/>
      <c r="AX138" s="9"/>
    </row>
    <row r="139" spans="1:50" ht="13.05" hidden="1" customHeight="1" x14ac:dyDescent="0.25">
      <c r="A139" t="str">
        <f>Nutrients!B138</f>
        <v>2018 Starter base mix</v>
      </c>
      <c r="B139" s="106"/>
      <c r="C139" s="106"/>
      <c r="D139" s="106"/>
      <c r="E139" s="106"/>
      <c r="F139" s="106"/>
      <c r="G139" s="106"/>
      <c r="H139" s="106"/>
      <c r="I139" s="106"/>
      <c r="J139" s="106"/>
      <c r="K139" s="106"/>
      <c r="L139" s="106"/>
      <c r="M139" s="106"/>
      <c r="N139" s="106"/>
      <c r="O139" s="29"/>
      <c r="P139" s="106"/>
      <c r="Q139" s="106"/>
      <c r="R139" s="106"/>
      <c r="S139" s="106"/>
      <c r="T139" s="106"/>
      <c r="U139" s="106"/>
      <c r="V139" s="9"/>
      <c r="W139" s="106"/>
      <c r="X139" s="106"/>
      <c r="Y139" s="106"/>
      <c r="Z139" s="106"/>
      <c r="AA139" s="106"/>
      <c r="AB139" s="106"/>
      <c r="AC139" s="9"/>
      <c r="AD139" s="106"/>
      <c r="AE139" s="106"/>
      <c r="AF139" s="106"/>
      <c r="AG139" s="106"/>
      <c r="AH139" s="106"/>
      <c r="AI139" s="106"/>
      <c r="AJ139" s="9"/>
      <c r="AK139" s="106"/>
      <c r="AL139" s="106"/>
      <c r="AM139" s="106"/>
      <c r="AN139" s="106"/>
      <c r="AO139" s="106"/>
      <c r="AP139" s="106"/>
      <c r="AQ139" s="9"/>
      <c r="AR139" s="106"/>
      <c r="AS139" s="106"/>
      <c r="AT139" s="106"/>
      <c r="AU139" s="106"/>
      <c r="AV139" s="106"/>
      <c r="AW139" s="106"/>
      <c r="AX139" s="9"/>
    </row>
    <row r="140" spans="1:50" ht="13.05" hidden="1" customHeight="1" x14ac:dyDescent="0.25">
      <c r="A140" t="str">
        <f>Nutrients!B139</f>
        <v>2018 Grow-finish base mix</v>
      </c>
      <c r="B140" s="106"/>
      <c r="C140" s="106"/>
      <c r="D140" s="106"/>
      <c r="E140" s="106"/>
      <c r="F140" s="106"/>
      <c r="G140" s="106"/>
      <c r="H140" s="106"/>
      <c r="I140" s="106"/>
      <c r="J140" s="106"/>
      <c r="K140" s="106"/>
      <c r="L140" s="106"/>
      <c r="M140" s="106"/>
      <c r="N140" s="106"/>
      <c r="O140" s="29"/>
      <c r="P140" s="106"/>
      <c r="Q140" s="106"/>
      <c r="R140" s="106"/>
      <c r="S140" s="106"/>
      <c r="T140" s="106"/>
      <c r="U140" s="106"/>
      <c r="V140" s="9"/>
      <c r="W140" s="106"/>
      <c r="X140" s="106"/>
      <c r="Y140" s="106"/>
      <c r="Z140" s="106"/>
      <c r="AA140" s="106"/>
      <c r="AB140" s="106"/>
      <c r="AC140" s="9"/>
      <c r="AD140" s="106"/>
      <c r="AE140" s="106"/>
      <c r="AF140" s="106"/>
      <c r="AG140" s="106"/>
      <c r="AH140" s="106"/>
      <c r="AI140" s="106"/>
      <c r="AJ140" s="9"/>
      <c r="AK140" s="106"/>
      <c r="AL140" s="106"/>
      <c r="AM140" s="106"/>
      <c r="AN140" s="106"/>
      <c r="AO140" s="106"/>
      <c r="AP140" s="106"/>
      <c r="AQ140" s="9"/>
      <c r="AR140" s="106"/>
      <c r="AS140" s="106"/>
      <c r="AT140" s="106"/>
      <c r="AU140" s="106"/>
      <c r="AV140" s="106"/>
      <c r="AW140" s="106"/>
      <c r="AX140" s="9"/>
    </row>
    <row r="141" spans="1:50" ht="13.05" hidden="1" customHeight="1" x14ac:dyDescent="0.25">
      <c r="A141" t="str">
        <f>Nutrients!B140</f>
        <v>Developer base mix</v>
      </c>
      <c r="B141" s="106"/>
      <c r="C141" s="106"/>
      <c r="D141" s="106"/>
      <c r="E141" s="106"/>
      <c r="F141" s="106"/>
      <c r="G141" s="106"/>
      <c r="H141" s="106"/>
      <c r="I141" s="106"/>
      <c r="J141" s="106"/>
      <c r="K141" s="106"/>
      <c r="L141" s="106"/>
      <c r="M141" s="106"/>
      <c r="N141" s="106"/>
      <c r="O141" s="29"/>
      <c r="P141" s="106"/>
      <c r="Q141" s="106"/>
      <c r="R141" s="106"/>
      <c r="S141" s="106"/>
      <c r="T141" s="106"/>
      <c r="U141" s="106"/>
      <c r="V141" s="9"/>
      <c r="W141" s="106"/>
      <c r="X141" s="106"/>
      <c r="Y141" s="106"/>
      <c r="Z141" s="106"/>
      <c r="AA141" s="106"/>
      <c r="AB141" s="106"/>
      <c r="AC141" s="9"/>
      <c r="AD141" s="106"/>
      <c r="AE141" s="106"/>
      <c r="AF141" s="106"/>
      <c r="AG141" s="106"/>
      <c r="AH141" s="106"/>
      <c r="AI141" s="106"/>
      <c r="AJ141" s="9"/>
      <c r="AK141" s="106"/>
      <c r="AL141" s="106"/>
      <c r="AM141" s="106"/>
      <c r="AN141" s="106"/>
      <c r="AO141" s="106"/>
      <c r="AP141" s="106"/>
      <c r="AQ141" s="9"/>
      <c r="AR141" s="106"/>
      <c r="AS141" s="106"/>
      <c r="AT141" s="106"/>
      <c r="AU141" s="106"/>
      <c r="AV141" s="106"/>
      <c r="AW141" s="106"/>
      <c r="AX141" s="9"/>
    </row>
    <row r="142" spans="1:50" ht="13.05" hidden="1" customHeight="1" x14ac:dyDescent="0.25">
      <c r="A142" t="str">
        <f>Nutrients!B141</f>
        <v>2018 Sow base mix</v>
      </c>
      <c r="B142" s="106"/>
      <c r="C142" s="106"/>
      <c r="D142" s="106"/>
      <c r="E142" s="106"/>
      <c r="F142" s="106"/>
      <c r="G142" s="106"/>
      <c r="H142" s="106"/>
      <c r="I142" s="106"/>
      <c r="J142" s="106"/>
      <c r="K142" s="106"/>
      <c r="L142" s="106"/>
      <c r="M142" s="106"/>
      <c r="N142" s="106"/>
      <c r="O142" s="29"/>
      <c r="P142" s="106"/>
      <c r="Q142" s="106"/>
      <c r="R142" s="106"/>
      <c r="S142" s="106"/>
      <c r="T142" s="106"/>
      <c r="U142" s="106"/>
      <c r="V142" s="9"/>
      <c r="W142" s="106"/>
      <c r="X142" s="106"/>
      <c r="Y142" s="106"/>
      <c r="Z142" s="106"/>
      <c r="AA142" s="106"/>
      <c r="AB142" s="106"/>
      <c r="AC142" s="9"/>
      <c r="AD142" s="106"/>
      <c r="AE142" s="106"/>
      <c r="AF142" s="106"/>
      <c r="AG142" s="106"/>
      <c r="AH142" s="106"/>
      <c r="AI142" s="106"/>
      <c r="AJ142" s="9"/>
      <c r="AK142" s="106"/>
      <c r="AL142" s="106"/>
      <c r="AM142" s="106"/>
      <c r="AN142" s="106"/>
      <c r="AO142" s="106"/>
      <c r="AP142" s="106"/>
      <c r="AQ142" s="9"/>
      <c r="AR142" s="106"/>
      <c r="AS142" s="106"/>
      <c r="AT142" s="106"/>
      <c r="AU142" s="106"/>
      <c r="AV142" s="106"/>
      <c r="AW142" s="106"/>
      <c r="AX142" s="9"/>
    </row>
    <row r="143" spans="1:50" ht="13.2" hidden="1" customHeight="1" x14ac:dyDescent="0.25">
      <c r="A143" t="str">
        <f>Nutrients!B142</f>
        <v>Vitamin premix with phytase</v>
      </c>
      <c r="B143" s="106"/>
      <c r="C143" s="106"/>
      <c r="D143" s="106"/>
      <c r="E143" s="106"/>
      <c r="F143" s="106"/>
      <c r="G143" s="106"/>
      <c r="H143" s="106"/>
      <c r="I143" s="106"/>
      <c r="J143" s="106"/>
      <c r="K143" s="106"/>
      <c r="L143" s="106"/>
      <c r="M143" s="106"/>
      <c r="N143" s="106"/>
      <c r="O143" s="29"/>
      <c r="P143" s="106"/>
      <c r="Q143" s="106"/>
      <c r="R143" s="106"/>
      <c r="S143" s="106"/>
      <c r="T143" s="106"/>
      <c r="U143" s="106"/>
      <c r="V143" s="9"/>
      <c r="W143" s="106"/>
      <c r="X143" s="106"/>
      <c r="Y143" s="106"/>
      <c r="Z143" s="106"/>
      <c r="AA143" s="106"/>
      <c r="AB143" s="106"/>
      <c r="AC143" s="9"/>
      <c r="AD143" s="106"/>
      <c r="AE143" s="106"/>
      <c r="AF143" s="106"/>
      <c r="AG143" s="106"/>
      <c r="AH143" s="106"/>
      <c r="AI143" s="106"/>
      <c r="AJ143" s="9"/>
      <c r="AK143" s="106"/>
      <c r="AL143" s="106"/>
      <c r="AM143" s="106"/>
      <c r="AN143" s="106"/>
      <c r="AO143" s="106"/>
      <c r="AP143" s="106"/>
      <c r="AQ143" s="9"/>
      <c r="AR143" s="106"/>
      <c r="AS143" s="106"/>
      <c r="AT143" s="106"/>
      <c r="AU143" s="106"/>
      <c r="AV143" s="106"/>
      <c r="AW143" s="106"/>
      <c r="AX143" s="9"/>
    </row>
    <row r="144" spans="1:50" x14ac:dyDescent="0.25">
      <c r="A144" t="str">
        <f>Nutrients!B143</f>
        <v>Trace mineral premix</v>
      </c>
      <c r="B144" s="106">
        <v>3</v>
      </c>
      <c r="C144" s="106">
        <v>3</v>
      </c>
      <c r="D144" s="106">
        <v>2.5</v>
      </c>
      <c r="E144" s="106">
        <v>2</v>
      </c>
      <c r="F144" s="106">
        <v>1.5</v>
      </c>
      <c r="G144" s="106">
        <v>1.5</v>
      </c>
      <c r="H144" s="106"/>
      <c r="I144" s="106">
        <v>3</v>
      </c>
      <c r="J144" s="106">
        <v>3</v>
      </c>
      <c r="K144" s="106">
        <v>2.5</v>
      </c>
      <c r="L144" s="106">
        <v>2</v>
      </c>
      <c r="M144" s="106">
        <v>1.5</v>
      </c>
      <c r="N144" s="106">
        <v>1.5</v>
      </c>
      <c r="O144" s="29"/>
      <c r="P144" s="106">
        <v>3</v>
      </c>
      <c r="Q144" s="106">
        <v>3</v>
      </c>
      <c r="R144" s="106">
        <v>2.5</v>
      </c>
      <c r="S144" s="106">
        <v>2</v>
      </c>
      <c r="T144" s="106">
        <v>1.5</v>
      </c>
      <c r="U144" s="106">
        <v>1.5</v>
      </c>
      <c r="V144" s="9"/>
      <c r="W144" s="106">
        <v>3</v>
      </c>
      <c r="X144" s="106">
        <v>3</v>
      </c>
      <c r="Y144" s="106">
        <v>2.5</v>
      </c>
      <c r="Z144" s="106">
        <v>2</v>
      </c>
      <c r="AA144" s="106">
        <v>1.5</v>
      </c>
      <c r="AB144" s="106">
        <v>1.5</v>
      </c>
      <c r="AC144" s="9"/>
      <c r="AD144" s="106">
        <v>3</v>
      </c>
      <c r="AE144" s="106">
        <v>3</v>
      </c>
      <c r="AF144" s="106">
        <v>2.5</v>
      </c>
      <c r="AG144" s="106">
        <v>2</v>
      </c>
      <c r="AH144" s="106">
        <v>1.5</v>
      </c>
      <c r="AI144" s="106">
        <v>1.5</v>
      </c>
      <c r="AJ144" s="9"/>
      <c r="AK144" s="106">
        <v>3</v>
      </c>
      <c r="AL144" s="106">
        <v>3</v>
      </c>
      <c r="AM144" s="106">
        <v>2.5</v>
      </c>
      <c r="AN144" s="106">
        <v>2</v>
      </c>
      <c r="AO144" s="106">
        <v>1.5</v>
      </c>
      <c r="AP144" s="106">
        <v>1.5</v>
      </c>
      <c r="AQ144" s="9"/>
      <c r="AR144" s="106">
        <v>3</v>
      </c>
      <c r="AS144" s="106">
        <v>3</v>
      </c>
      <c r="AT144" s="106">
        <v>2.5</v>
      </c>
      <c r="AU144" s="106">
        <v>2</v>
      </c>
      <c r="AV144" s="106">
        <v>1.5</v>
      </c>
      <c r="AW144" s="106">
        <v>1.5</v>
      </c>
      <c r="AX144" s="9"/>
    </row>
    <row r="145" spans="1:50" ht="13.05" hidden="1" customHeight="1" x14ac:dyDescent="0.25">
      <c r="A145" t="str">
        <f>Nutrients!B144</f>
        <v>Sow add pack</v>
      </c>
      <c r="B145" s="106"/>
      <c r="C145" s="106"/>
      <c r="D145" s="106"/>
      <c r="E145" s="106"/>
      <c r="F145" s="106"/>
      <c r="G145" s="106"/>
      <c r="H145" s="106"/>
      <c r="I145" s="106"/>
      <c r="J145" s="106"/>
      <c r="K145" s="106"/>
      <c r="L145" s="106"/>
      <c r="M145" s="106"/>
      <c r="N145" s="106"/>
      <c r="O145" s="29"/>
      <c r="P145" s="106"/>
      <c r="Q145" s="106"/>
      <c r="R145" s="106"/>
      <c r="S145" s="106"/>
      <c r="T145" s="106"/>
      <c r="U145" s="106"/>
      <c r="V145" s="9"/>
      <c r="W145" s="106"/>
      <c r="X145" s="106"/>
      <c r="Y145" s="106"/>
      <c r="Z145" s="106"/>
      <c r="AA145" s="106"/>
      <c r="AB145" s="106"/>
      <c r="AC145" s="9"/>
      <c r="AD145" s="106"/>
      <c r="AE145" s="106"/>
      <c r="AF145" s="106"/>
      <c r="AG145" s="106"/>
      <c r="AH145" s="106"/>
      <c r="AI145" s="106"/>
      <c r="AJ145" s="9"/>
      <c r="AK145" s="106"/>
      <c r="AL145" s="106"/>
      <c r="AM145" s="106"/>
      <c r="AN145" s="106"/>
      <c r="AO145" s="106"/>
      <c r="AP145" s="106"/>
      <c r="AQ145" s="9"/>
      <c r="AR145" s="106"/>
      <c r="AS145" s="106"/>
      <c r="AT145" s="106"/>
      <c r="AU145" s="106"/>
      <c r="AV145" s="106"/>
      <c r="AW145" s="106"/>
      <c r="AX145" s="9"/>
    </row>
    <row r="146" spans="1:50" x14ac:dyDescent="0.25">
      <c r="A146" t="str">
        <f>Nutrients!B145</f>
        <v>Vitamin premix without phytase</v>
      </c>
      <c r="B146" s="106">
        <v>3</v>
      </c>
      <c r="C146" s="106">
        <v>3</v>
      </c>
      <c r="D146" s="106">
        <v>2.5</v>
      </c>
      <c r="E146" s="106">
        <v>2</v>
      </c>
      <c r="F146" s="106">
        <v>1.5</v>
      </c>
      <c r="G146" s="106">
        <v>1.5</v>
      </c>
      <c r="H146" s="106"/>
      <c r="I146" s="106">
        <v>3</v>
      </c>
      <c r="J146" s="106">
        <v>3</v>
      </c>
      <c r="K146" s="106">
        <v>2.5</v>
      </c>
      <c r="L146" s="106">
        <v>2</v>
      </c>
      <c r="M146" s="106">
        <v>1.5</v>
      </c>
      <c r="N146" s="106">
        <v>1.5</v>
      </c>
      <c r="O146" s="29"/>
      <c r="P146" s="106">
        <v>3</v>
      </c>
      <c r="Q146" s="106">
        <v>3</v>
      </c>
      <c r="R146" s="106">
        <v>2.5</v>
      </c>
      <c r="S146" s="106">
        <v>2</v>
      </c>
      <c r="T146" s="106">
        <v>1.5</v>
      </c>
      <c r="U146" s="106">
        <v>1.5</v>
      </c>
      <c r="V146" s="9"/>
      <c r="W146" s="106">
        <v>3</v>
      </c>
      <c r="X146" s="106">
        <v>3</v>
      </c>
      <c r="Y146" s="106">
        <v>2.5</v>
      </c>
      <c r="Z146" s="106">
        <v>2</v>
      </c>
      <c r="AA146" s="106">
        <v>1.5</v>
      </c>
      <c r="AB146" s="106">
        <v>1.5</v>
      </c>
      <c r="AC146" s="9"/>
      <c r="AD146" s="106">
        <v>3</v>
      </c>
      <c r="AE146" s="106">
        <v>3</v>
      </c>
      <c r="AF146" s="106">
        <v>2.5</v>
      </c>
      <c r="AG146" s="106">
        <v>2</v>
      </c>
      <c r="AH146" s="106">
        <v>1.5</v>
      </c>
      <c r="AI146" s="106">
        <v>1.5</v>
      </c>
      <c r="AJ146" s="9"/>
      <c r="AK146" s="106">
        <v>3</v>
      </c>
      <c r="AL146" s="106">
        <v>3</v>
      </c>
      <c r="AM146" s="106">
        <v>2.5</v>
      </c>
      <c r="AN146" s="106">
        <v>2</v>
      </c>
      <c r="AO146" s="106">
        <v>1.5</v>
      </c>
      <c r="AP146" s="106">
        <v>1.5</v>
      </c>
      <c r="AQ146" s="9"/>
      <c r="AR146" s="106">
        <v>3</v>
      </c>
      <c r="AS146" s="106">
        <v>3</v>
      </c>
      <c r="AT146" s="106">
        <v>2.5</v>
      </c>
      <c r="AU146" s="106">
        <v>2</v>
      </c>
      <c r="AV146" s="106">
        <v>1.5</v>
      </c>
      <c r="AW146" s="106">
        <v>1.5</v>
      </c>
      <c r="AX146" s="9"/>
    </row>
    <row r="147" spans="1:50" ht="13.05" hidden="1" customHeight="1" x14ac:dyDescent="0.25">
      <c r="A147" t="str">
        <f>Nutrients!B146</f>
        <v>GF DDGS Base Mix</v>
      </c>
      <c r="B147" s="106"/>
      <c r="C147" s="106"/>
      <c r="D147" s="106"/>
      <c r="E147" s="106"/>
      <c r="F147" s="106"/>
      <c r="G147" s="106"/>
      <c r="H147" s="106"/>
      <c r="I147" s="106"/>
      <c r="J147" s="106"/>
      <c r="K147" s="106"/>
      <c r="L147" s="106"/>
      <c r="M147" s="106"/>
      <c r="N147" s="106"/>
      <c r="O147" s="29"/>
      <c r="P147" s="106"/>
      <c r="Q147" s="106"/>
      <c r="R147" s="106"/>
      <c r="S147" s="106"/>
      <c r="T147" s="106"/>
      <c r="U147" s="106"/>
      <c r="V147" s="9"/>
      <c r="W147" s="106"/>
      <c r="X147" s="106"/>
      <c r="Y147" s="106"/>
      <c r="Z147" s="106"/>
      <c r="AA147" s="106"/>
      <c r="AB147" s="106"/>
      <c r="AC147" s="9"/>
      <c r="AD147" s="106"/>
      <c r="AE147" s="106"/>
      <c r="AF147" s="106"/>
      <c r="AG147" s="106"/>
      <c r="AH147" s="106"/>
      <c r="AI147" s="106"/>
      <c r="AJ147" s="9"/>
      <c r="AK147" s="106"/>
      <c r="AL147" s="106"/>
      <c r="AM147" s="106"/>
      <c r="AN147" s="106"/>
      <c r="AO147" s="106"/>
      <c r="AP147" s="106"/>
      <c r="AQ147" s="9"/>
      <c r="AR147" s="106"/>
      <c r="AS147" s="106"/>
      <c r="AT147" s="106"/>
      <c r="AU147" s="106"/>
      <c r="AV147" s="106"/>
      <c r="AW147" s="106"/>
      <c r="AX147" s="9"/>
    </row>
    <row r="148" spans="1:50" ht="13.05" hidden="1" customHeight="1" x14ac:dyDescent="0.25">
      <c r="A148" t="str">
        <f>Nutrients!B147</f>
        <v>GF synthetics Base Mix</v>
      </c>
      <c r="B148" s="106"/>
      <c r="C148" s="106"/>
      <c r="D148" s="106"/>
      <c r="E148" s="106"/>
      <c r="F148" s="106"/>
      <c r="G148" s="106"/>
      <c r="H148" s="106"/>
      <c r="I148" s="106"/>
      <c r="J148" s="106"/>
      <c r="K148" s="106"/>
      <c r="L148" s="106"/>
      <c r="M148" s="106"/>
      <c r="N148" s="106"/>
      <c r="O148" s="29"/>
      <c r="P148" s="106"/>
      <c r="Q148" s="106"/>
      <c r="R148" s="106"/>
      <c r="S148" s="106"/>
      <c r="T148" s="106"/>
      <c r="U148" s="106"/>
      <c r="V148" s="9"/>
      <c r="W148" s="106"/>
      <c r="X148" s="106"/>
      <c r="Y148" s="106"/>
      <c r="Z148" s="106"/>
      <c r="AA148" s="106"/>
      <c r="AB148" s="106"/>
      <c r="AC148" s="9"/>
      <c r="AD148" s="106"/>
      <c r="AE148" s="106"/>
      <c r="AF148" s="106"/>
      <c r="AG148" s="106"/>
      <c r="AH148" s="106"/>
      <c r="AI148" s="106"/>
      <c r="AJ148" s="9"/>
      <c r="AK148" s="106"/>
      <c r="AL148" s="106"/>
      <c r="AM148" s="106"/>
      <c r="AN148" s="106"/>
      <c r="AO148" s="106"/>
      <c r="AP148" s="106"/>
      <c r="AQ148" s="9"/>
      <c r="AR148" s="106"/>
      <c r="AS148" s="106"/>
      <c r="AT148" s="106"/>
      <c r="AU148" s="106"/>
      <c r="AV148" s="106"/>
      <c r="AW148" s="106"/>
      <c r="AX148" s="9"/>
    </row>
    <row r="149" spans="1:50" ht="13.05" hidden="1" customHeight="1" x14ac:dyDescent="0.25">
      <c r="A149" t="str">
        <f>Nutrients!B148</f>
        <v>Choline chloride 60%</v>
      </c>
      <c r="B149" s="106"/>
      <c r="C149" s="106"/>
      <c r="D149" s="106"/>
      <c r="E149" s="106"/>
      <c r="F149" s="106"/>
      <c r="G149" s="106"/>
      <c r="H149" s="106"/>
      <c r="I149" s="106"/>
      <c r="J149" s="106"/>
      <c r="K149" s="106"/>
      <c r="L149" s="106"/>
      <c r="M149" s="106"/>
      <c r="N149" s="106"/>
      <c r="O149" s="29"/>
      <c r="P149" s="106"/>
      <c r="Q149" s="106"/>
      <c r="R149" s="106"/>
      <c r="S149" s="106"/>
      <c r="T149" s="106"/>
      <c r="U149" s="106"/>
      <c r="V149" s="9"/>
      <c r="W149" s="106"/>
      <c r="X149" s="106"/>
      <c r="Y149" s="106"/>
      <c r="Z149" s="106"/>
      <c r="AA149" s="106"/>
      <c r="AB149" s="106"/>
      <c r="AC149" s="9"/>
      <c r="AD149" s="106"/>
      <c r="AE149" s="106"/>
      <c r="AF149" s="106"/>
      <c r="AG149" s="106"/>
      <c r="AH149" s="106"/>
      <c r="AI149" s="106"/>
      <c r="AJ149" s="9"/>
      <c r="AK149" s="106"/>
      <c r="AL149" s="106"/>
      <c r="AM149" s="106"/>
      <c r="AN149" s="106"/>
      <c r="AO149" s="106"/>
      <c r="AP149" s="106"/>
      <c r="AQ149" s="9"/>
      <c r="AR149" s="106"/>
      <c r="AS149" s="106"/>
      <c r="AT149" s="106"/>
      <c r="AU149" s="106"/>
      <c r="AV149" s="106"/>
      <c r="AW149" s="106"/>
      <c r="AX149" s="9"/>
    </row>
    <row r="150" spans="1:50" ht="13.05" hidden="1" customHeight="1" x14ac:dyDescent="0.25">
      <c r="A150" t="str">
        <f>Nutrients!B149</f>
        <v>Natuphos 600</v>
      </c>
      <c r="B150" s="106"/>
      <c r="C150" s="106"/>
      <c r="D150" s="106"/>
      <c r="E150" s="106"/>
      <c r="F150" s="106"/>
      <c r="G150" s="106"/>
      <c r="H150" s="106"/>
      <c r="I150" s="106"/>
      <c r="J150" s="106"/>
      <c r="K150" s="106"/>
      <c r="L150" s="106"/>
      <c r="M150" s="106"/>
      <c r="N150" s="106"/>
      <c r="O150" s="29"/>
      <c r="P150" s="106"/>
      <c r="Q150" s="106"/>
      <c r="R150" s="106"/>
      <c r="S150" s="106"/>
      <c r="T150" s="106"/>
      <c r="U150" s="106"/>
      <c r="V150" s="9"/>
      <c r="W150" s="106"/>
      <c r="X150" s="106"/>
      <c r="Y150" s="106"/>
      <c r="Z150" s="106"/>
      <c r="AA150" s="106"/>
      <c r="AB150" s="106"/>
      <c r="AC150" s="9"/>
      <c r="AD150" s="106"/>
      <c r="AE150" s="106"/>
      <c r="AF150" s="106"/>
      <c r="AG150" s="106"/>
      <c r="AH150" s="106"/>
      <c r="AI150" s="106"/>
      <c r="AJ150" s="9"/>
      <c r="AK150" s="106"/>
      <c r="AL150" s="106"/>
      <c r="AM150" s="106"/>
      <c r="AN150" s="106"/>
      <c r="AO150" s="106"/>
      <c r="AP150" s="106"/>
      <c r="AQ150" s="9"/>
      <c r="AR150" s="106"/>
      <c r="AS150" s="106"/>
      <c r="AT150" s="106"/>
      <c r="AU150" s="106"/>
      <c r="AV150" s="106"/>
      <c r="AW150" s="106"/>
      <c r="AX150" s="9"/>
    </row>
    <row r="151" spans="1:50" ht="13.05" hidden="1" customHeight="1" x14ac:dyDescent="0.25">
      <c r="A151" t="str">
        <f>Nutrients!B150</f>
        <v>Natuphos 1200</v>
      </c>
      <c r="B151" s="106"/>
      <c r="C151" s="106"/>
      <c r="D151" s="106"/>
      <c r="E151" s="106"/>
      <c r="F151" s="106"/>
      <c r="G151" s="106"/>
      <c r="H151" s="106"/>
      <c r="I151" s="106"/>
      <c r="J151" s="106"/>
      <c r="K151" s="106"/>
      <c r="L151" s="106"/>
      <c r="M151" s="106"/>
      <c r="N151" s="106"/>
      <c r="O151" s="29"/>
      <c r="P151" s="106"/>
      <c r="Q151" s="106"/>
      <c r="R151" s="106"/>
      <c r="S151" s="106"/>
      <c r="T151" s="106"/>
      <c r="U151" s="106"/>
      <c r="V151" s="9"/>
      <c r="W151" s="106"/>
      <c r="X151" s="106"/>
      <c r="Y151" s="106"/>
      <c r="Z151" s="106"/>
      <c r="AA151" s="106"/>
      <c r="AB151" s="106"/>
      <c r="AC151" s="9"/>
      <c r="AD151" s="106"/>
      <c r="AE151" s="106"/>
      <c r="AF151" s="106"/>
      <c r="AG151" s="106"/>
      <c r="AH151" s="106"/>
      <c r="AI151" s="106"/>
      <c r="AJ151" s="9"/>
      <c r="AK151" s="106"/>
      <c r="AL151" s="106"/>
      <c r="AM151" s="106"/>
      <c r="AN151" s="106"/>
      <c r="AO151" s="106"/>
      <c r="AP151" s="106"/>
      <c r="AQ151" s="9"/>
      <c r="AR151" s="106"/>
      <c r="AS151" s="106"/>
      <c r="AT151" s="106"/>
      <c r="AU151" s="106"/>
      <c r="AV151" s="106"/>
      <c r="AW151" s="106"/>
      <c r="AX151" s="9"/>
    </row>
    <row r="152" spans="1:50" ht="13.05" hidden="1" customHeight="1" x14ac:dyDescent="0.25">
      <c r="A152" t="str">
        <f>Nutrients!B151</f>
        <v>Optiphos 2000</v>
      </c>
      <c r="B152" s="106"/>
      <c r="C152" s="106"/>
      <c r="D152" s="106"/>
      <c r="E152" s="106"/>
      <c r="F152" s="106"/>
      <c r="G152" s="106"/>
      <c r="H152" s="106"/>
      <c r="I152" s="106"/>
      <c r="J152" s="106"/>
      <c r="K152" s="106"/>
      <c r="L152" s="106"/>
      <c r="M152" s="106"/>
      <c r="N152" s="106"/>
      <c r="O152" s="29"/>
      <c r="P152" s="106"/>
      <c r="Q152" s="106"/>
      <c r="R152" s="106"/>
      <c r="S152" s="106"/>
      <c r="T152" s="106"/>
      <c r="U152" s="106"/>
      <c r="V152" s="9"/>
      <c r="W152" s="106"/>
      <c r="X152" s="106"/>
      <c r="Y152" s="106"/>
      <c r="Z152" s="106"/>
      <c r="AA152" s="106"/>
      <c r="AB152" s="106"/>
      <c r="AC152" s="9"/>
      <c r="AD152" s="106"/>
      <c r="AE152" s="106"/>
      <c r="AF152" s="106"/>
      <c r="AG152" s="106"/>
      <c r="AH152" s="106"/>
      <c r="AI152" s="106"/>
      <c r="AJ152" s="9"/>
      <c r="AK152" s="106"/>
      <c r="AL152" s="106"/>
      <c r="AM152" s="106"/>
      <c r="AN152" s="106"/>
      <c r="AO152" s="106"/>
      <c r="AP152" s="106"/>
      <c r="AQ152" s="9"/>
      <c r="AR152" s="106"/>
      <c r="AS152" s="106"/>
      <c r="AT152" s="106"/>
      <c r="AU152" s="106"/>
      <c r="AV152" s="106"/>
      <c r="AW152" s="106"/>
      <c r="AX152" s="9"/>
    </row>
    <row r="153" spans="1:50" ht="13.05" hidden="1" customHeight="1" x14ac:dyDescent="0.25">
      <c r="A153" t="str">
        <f>Nutrients!B152</f>
        <v>Phyzyme 1200</v>
      </c>
      <c r="B153" s="106"/>
      <c r="C153" s="106"/>
      <c r="D153" s="106"/>
      <c r="E153" s="106"/>
      <c r="F153" s="106"/>
      <c r="G153" s="106"/>
      <c r="H153" s="106"/>
      <c r="I153" s="106"/>
      <c r="J153" s="106"/>
      <c r="K153" s="106"/>
      <c r="L153" s="106"/>
      <c r="M153" s="106"/>
      <c r="N153" s="106"/>
      <c r="O153" s="29"/>
      <c r="P153" s="106"/>
      <c r="Q153" s="106"/>
      <c r="R153" s="106"/>
      <c r="S153" s="106"/>
      <c r="T153" s="106"/>
      <c r="U153" s="106"/>
      <c r="V153" s="9"/>
      <c r="W153" s="106"/>
      <c r="X153" s="106"/>
      <c r="Y153" s="106"/>
      <c r="Z153" s="106"/>
      <c r="AA153" s="106"/>
      <c r="AB153" s="106"/>
      <c r="AC153" s="9"/>
      <c r="AD153" s="106"/>
      <c r="AE153" s="106"/>
      <c r="AF153" s="106"/>
      <c r="AG153" s="106"/>
      <c r="AH153" s="106"/>
      <c r="AI153" s="106"/>
      <c r="AJ153" s="9"/>
      <c r="AK153" s="106"/>
      <c r="AL153" s="106"/>
      <c r="AM153" s="106"/>
      <c r="AN153" s="106"/>
      <c r="AO153" s="106"/>
      <c r="AP153" s="106"/>
      <c r="AQ153" s="9"/>
      <c r="AR153" s="106"/>
      <c r="AS153" s="106"/>
      <c r="AT153" s="106"/>
      <c r="AU153" s="106"/>
      <c r="AV153" s="106"/>
      <c r="AW153" s="106"/>
      <c r="AX153" s="9"/>
    </row>
    <row r="154" spans="1:50" ht="13.05" hidden="1" customHeight="1" x14ac:dyDescent="0.25">
      <c r="A154" t="str">
        <f>Nutrients!B153</f>
        <v>Phyzyme 5000</v>
      </c>
      <c r="B154" s="106"/>
      <c r="C154" s="106"/>
      <c r="D154" s="106"/>
      <c r="E154" s="106"/>
      <c r="F154" s="106"/>
      <c r="G154" s="106"/>
      <c r="H154" s="106"/>
      <c r="I154" s="106"/>
      <c r="J154" s="106"/>
      <c r="K154" s="106"/>
      <c r="L154" s="106"/>
      <c r="M154" s="106"/>
      <c r="N154" s="106"/>
      <c r="O154" s="29"/>
      <c r="P154" s="106"/>
      <c r="Q154" s="106"/>
      <c r="R154" s="106"/>
      <c r="S154" s="106"/>
      <c r="T154" s="106"/>
      <c r="U154" s="106"/>
      <c r="V154" s="9"/>
      <c r="W154" s="106"/>
      <c r="X154" s="106"/>
      <c r="Y154" s="106"/>
      <c r="Z154" s="106"/>
      <c r="AA154" s="106"/>
      <c r="AB154" s="106"/>
      <c r="AC154" s="9"/>
      <c r="AD154" s="106"/>
      <c r="AE154" s="106"/>
      <c r="AF154" s="106"/>
      <c r="AG154" s="106"/>
      <c r="AH154" s="106"/>
      <c r="AI154" s="106"/>
      <c r="AJ154" s="9"/>
      <c r="AK154" s="106"/>
      <c r="AL154" s="106"/>
      <c r="AM154" s="106"/>
      <c r="AN154" s="106"/>
      <c r="AO154" s="106"/>
      <c r="AP154" s="106"/>
      <c r="AQ154" s="9"/>
      <c r="AR154" s="106"/>
      <c r="AS154" s="106"/>
      <c r="AT154" s="106"/>
      <c r="AU154" s="106"/>
      <c r="AV154" s="106"/>
      <c r="AW154" s="106"/>
      <c r="AX154" s="9"/>
    </row>
    <row r="155" spans="1:50" ht="13.05" hidden="1" customHeight="1" x14ac:dyDescent="0.25">
      <c r="A155" t="str">
        <f>Nutrients!B154</f>
        <v>Ronozyme Hiphos GT (10,000)</v>
      </c>
      <c r="B155" s="106"/>
      <c r="C155" s="106"/>
      <c r="D155" s="106"/>
      <c r="E155" s="106"/>
      <c r="F155" s="106"/>
      <c r="G155" s="106"/>
      <c r="H155" s="106"/>
      <c r="I155" s="106"/>
      <c r="J155" s="106"/>
      <c r="K155" s="106"/>
      <c r="L155" s="106"/>
      <c r="M155" s="106"/>
      <c r="N155" s="106"/>
      <c r="O155" s="29"/>
      <c r="P155" s="106"/>
      <c r="Q155" s="106"/>
      <c r="R155" s="106"/>
      <c r="S155" s="106"/>
      <c r="T155" s="106"/>
      <c r="U155" s="106"/>
      <c r="V155" s="9"/>
      <c r="W155" s="106"/>
      <c r="X155" s="106"/>
      <c r="Y155" s="106"/>
      <c r="Z155" s="106"/>
      <c r="AA155" s="106"/>
      <c r="AB155" s="106"/>
      <c r="AC155" s="9"/>
      <c r="AD155" s="106"/>
      <c r="AE155" s="106"/>
      <c r="AF155" s="106"/>
      <c r="AG155" s="106"/>
      <c r="AH155" s="106"/>
      <c r="AI155" s="106"/>
      <c r="AJ155" s="9"/>
      <c r="AK155" s="106"/>
      <c r="AL155" s="106"/>
      <c r="AM155" s="106"/>
      <c r="AN155" s="106"/>
      <c r="AO155" s="106"/>
      <c r="AP155" s="106"/>
      <c r="AQ155" s="9"/>
      <c r="AR155" s="106"/>
      <c r="AS155" s="106"/>
      <c r="AT155" s="106"/>
      <c r="AU155" s="106"/>
      <c r="AV155" s="106"/>
      <c r="AW155" s="106"/>
      <c r="AX155" s="9"/>
    </row>
    <row r="156" spans="1:50" ht="13.05" hidden="1" customHeight="1" x14ac:dyDescent="0.25">
      <c r="A156" t="str">
        <f>Nutrients!B155</f>
        <v>Ronozyme Hiphos M (50,000)</v>
      </c>
      <c r="B156" s="106"/>
      <c r="C156" s="106"/>
      <c r="D156" s="106"/>
      <c r="E156" s="106"/>
      <c r="F156" s="106"/>
      <c r="G156" s="106"/>
      <c r="H156" s="106"/>
      <c r="I156" s="106"/>
      <c r="J156" s="106"/>
      <c r="K156" s="106"/>
      <c r="L156" s="106"/>
      <c r="M156" s="106"/>
      <c r="N156" s="106"/>
      <c r="O156" s="29"/>
      <c r="P156" s="106"/>
      <c r="Q156" s="106"/>
      <c r="R156" s="106"/>
      <c r="S156" s="106"/>
      <c r="T156" s="106"/>
      <c r="U156" s="106"/>
      <c r="V156" s="9"/>
      <c r="W156" s="106"/>
      <c r="X156" s="106"/>
      <c r="Y156" s="106"/>
      <c r="Z156" s="106"/>
      <c r="AA156" s="106"/>
      <c r="AB156" s="106"/>
      <c r="AC156" s="9"/>
      <c r="AD156" s="106"/>
      <c r="AE156" s="106"/>
      <c r="AF156" s="106"/>
      <c r="AG156" s="106"/>
      <c r="AH156" s="106"/>
      <c r="AI156" s="106"/>
      <c r="AJ156" s="9"/>
      <c r="AK156" s="106"/>
      <c r="AL156" s="106"/>
      <c r="AM156" s="106"/>
      <c r="AN156" s="106"/>
      <c r="AO156" s="106"/>
      <c r="AP156" s="106"/>
      <c r="AQ156" s="9"/>
      <c r="AR156" s="106"/>
      <c r="AS156" s="106"/>
      <c r="AT156" s="106"/>
      <c r="AU156" s="106"/>
      <c r="AV156" s="106"/>
      <c r="AW156" s="106"/>
      <c r="AX156" s="9"/>
    </row>
    <row r="157" spans="1:50" ht="13.05" customHeight="1" x14ac:dyDescent="0.25">
      <c r="A157" t="str">
        <f>Nutrients!B156</f>
        <v>Ronozyme HiPhos 2700</v>
      </c>
      <c r="B157" s="106">
        <v>0.45</v>
      </c>
      <c r="C157" s="106">
        <v>0.45</v>
      </c>
      <c r="D157" s="106">
        <v>0.45</v>
      </c>
      <c r="E157" s="106">
        <v>0.45</v>
      </c>
      <c r="F157" s="106">
        <v>0.45</v>
      </c>
      <c r="G157" s="106">
        <v>0.45</v>
      </c>
      <c r="H157" s="106"/>
      <c r="I157" s="106">
        <v>0.45</v>
      </c>
      <c r="J157" s="106">
        <v>0.45</v>
      </c>
      <c r="K157" s="106">
        <v>0.45</v>
      </c>
      <c r="L157" s="106">
        <v>0.45</v>
      </c>
      <c r="M157" s="106">
        <v>0.45</v>
      </c>
      <c r="N157" s="106">
        <v>0.45</v>
      </c>
      <c r="O157" s="29"/>
      <c r="P157" s="106">
        <v>0.45</v>
      </c>
      <c r="Q157" s="106">
        <v>0.45</v>
      </c>
      <c r="R157" s="106">
        <v>0.45</v>
      </c>
      <c r="S157" s="106">
        <v>0.45</v>
      </c>
      <c r="T157" s="106">
        <v>0.45</v>
      </c>
      <c r="U157" s="106">
        <v>0.45</v>
      </c>
      <c r="V157" s="9"/>
      <c r="W157" s="106">
        <v>0.45</v>
      </c>
      <c r="X157" s="106">
        <v>0.45</v>
      </c>
      <c r="Y157" s="106">
        <v>0.45</v>
      </c>
      <c r="Z157" s="106">
        <v>0.45</v>
      </c>
      <c r="AA157" s="106">
        <v>0.45</v>
      </c>
      <c r="AB157" s="106">
        <v>0.45</v>
      </c>
      <c r="AC157" s="9"/>
      <c r="AD157" s="106">
        <v>0.45</v>
      </c>
      <c r="AE157" s="106">
        <v>0.45</v>
      </c>
      <c r="AF157" s="106">
        <v>0.45</v>
      </c>
      <c r="AG157" s="106">
        <v>0.45</v>
      </c>
      <c r="AH157" s="106">
        <v>0.45</v>
      </c>
      <c r="AI157" s="106">
        <v>0.45</v>
      </c>
      <c r="AJ157" s="9"/>
      <c r="AK157" s="106">
        <v>0.45</v>
      </c>
      <c r="AL157" s="106">
        <v>0.45</v>
      </c>
      <c r="AM157" s="106">
        <v>0.45</v>
      </c>
      <c r="AN157" s="106">
        <v>0.45</v>
      </c>
      <c r="AO157" s="106">
        <v>0.45</v>
      </c>
      <c r="AP157" s="106">
        <v>0.45</v>
      </c>
      <c r="AQ157" s="9"/>
      <c r="AR157" s="106">
        <v>0.45</v>
      </c>
      <c r="AS157" s="106">
        <v>0.45</v>
      </c>
      <c r="AT157" s="106">
        <v>0.45</v>
      </c>
      <c r="AU157" s="106">
        <v>0.45</v>
      </c>
      <c r="AV157" s="106">
        <v>0.45</v>
      </c>
      <c r="AW157" s="106">
        <v>0.45</v>
      </c>
      <c r="AX157" s="9"/>
    </row>
    <row r="158" spans="1:50" ht="13.05" hidden="1" customHeight="1" thickBot="1" x14ac:dyDescent="0.3">
      <c r="A158" t="str">
        <f>Nutrients!B157</f>
        <v>Zinc oxide</v>
      </c>
      <c r="B158" s="106"/>
      <c r="C158" s="106"/>
      <c r="D158" s="106"/>
      <c r="E158" s="106"/>
      <c r="F158" s="106"/>
      <c r="G158" s="106"/>
      <c r="H158" s="106"/>
      <c r="I158" s="106"/>
      <c r="J158" s="106"/>
      <c r="K158" s="106"/>
      <c r="L158" s="106"/>
      <c r="M158" s="106"/>
      <c r="N158" s="106"/>
      <c r="O158" s="29"/>
      <c r="P158" s="106"/>
      <c r="Q158" s="106"/>
      <c r="R158" s="106"/>
      <c r="S158" s="106"/>
      <c r="T158" s="106"/>
      <c r="U158" s="106"/>
      <c r="V158" s="9"/>
      <c r="W158" s="106"/>
      <c r="X158" s="106"/>
      <c r="Y158" s="106"/>
      <c r="Z158" s="106"/>
      <c r="AA158" s="106"/>
      <c r="AB158" s="106"/>
      <c r="AC158" s="9"/>
      <c r="AD158" s="106"/>
      <c r="AE158" s="106"/>
      <c r="AF158" s="106"/>
      <c r="AG158" s="106"/>
      <c r="AH158" s="106"/>
      <c r="AI158" s="106"/>
      <c r="AJ158" s="9"/>
      <c r="AK158" s="106"/>
      <c r="AL158" s="106"/>
      <c r="AM158" s="106"/>
      <c r="AN158" s="106"/>
      <c r="AO158" s="106"/>
      <c r="AP158" s="106"/>
      <c r="AQ158" s="9"/>
      <c r="AR158" s="106"/>
      <c r="AS158" s="106"/>
      <c r="AT158" s="106"/>
      <c r="AU158" s="106"/>
      <c r="AV158" s="106"/>
      <c r="AW158" s="106"/>
      <c r="AX158" s="9"/>
    </row>
    <row r="159" spans="1:50" ht="13.05" hidden="1" customHeight="1" thickBot="1" x14ac:dyDescent="0.3">
      <c r="A159" t="str">
        <f>Nutrients!B158</f>
        <v>Copper sulfate</v>
      </c>
      <c r="B159" s="106"/>
      <c r="C159" s="106"/>
      <c r="D159" s="106"/>
      <c r="E159" s="106"/>
      <c r="F159" s="106"/>
      <c r="G159" s="106"/>
      <c r="H159" s="106"/>
      <c r="I159" s="106"/>
      <c r="J159" s="106"/>
      <c r="K159" s="106"/>
      <c r="L159" s="106"/>
      <c r="M159" s="106"/>
      <c r="N159" s="106"/>
      <c r="O159" s="29"/>
      <c r="P159" s="106"/>
      <c r="Q159" s="106"/>
      <c r="R159" s="106"/>
      <c r="S159" s="106"/>
      <c r="T159" s="106"/>
      <c r="U159" s="106"/>
      <c r="V159" s="9"/>
      <c r="W159" s="106"/>
      <c r="X159" s="106"/>
      <c r="Y159" s="106"/>
      <c r="Z159" s="106"/>
      <c r="AA159" s="106"/>
      <c r="AB159" s="106"/>
      <c r="AC159" s="9"/>
      <c r="AD159" s="106"/>
      <c r="AE159" s="106"/>
      <c r="AF159" s="106"/>
      <c r="AG159" s="106"/>
      <c r="AH159" s="106"/>
      <c r="AI159" s="106"/>
      <c r="AJ159" s="9"/>
      <c r="AK159" s="106"/>
      <c r="AL159" s="106"/>
      <c r="AM159" s="106"/>
      <c r="AN159" s="106"/>
      <c r="AO159" s="106"/>
      <c r="AP159" s="106"/>
      <c r="AQ159" s="9"/>
      <c r="AR159" s="106"/>
      <c r="AS159" s="106"/>
      <c r="AT159" s="106"/>
      <c r="AU159" s="106"/>
      <c r="AV159" s="106"/>
      <c r="AW159" s="106"/>
      <c r="AX159" s="9"/>
    </row>
    <row r="160" spans="1:50" ht="13.05" hidden="1" customHeight="1" thickBot="1" x14ac:dyDescent="0.3">
      <c r="A160" t="str">
        <f>Nutrients!B159</f>
        <v>Potassium chloride</v>
      </c>
      <c r="B160" s="106"/>
      <c r="C160" s="106"/>
      <c r="D160" s="106"/>
      <c r="E160" s="106"/>
      <c r="F160" s="106"/>
      <c r="G160" s="106"/>
      <c r="H160" s="106"/>
      <c r="I160" s="106"/>
      <c r="J160" s="106"/>
      <c r="K160" s="106"/>
      <c r="L160" s="106"/>
      <c r="M160" s="106"/>
      <c r="N160" s="106"/>
      <c r="O160" s="29"/>
      <c r="P160" s="106"/>
      <c r="Q160" s="106"/>
      <c r="R160" s="106"/>
      <c r="S160" s="106"/>
      <c r="T160" s="106"/>
      <c r="U160" s="106"/>
      <c r="V160" s="9"/>
      <c r="W160" s="106"/>
      <c r="X160" s="106"/>
      <c r="Y160" s="106"/>
      <c r="Z160" s="106"/>
      <c r="AA160" s="106"/>
      <c r="AB160" s="106"/>
      <c r="AC160" s="9"/>
      <c r="AD160" s="106"/>
      <c r="AE160" s="106"/>
      <c r="AF160" s="106"/>
      <c r="AG160" s="106"/>
      <c r="AH160" s="106"/>
      <c r="AI160" s="106"/>
      <c r="AJ160" s="9"/>
      <c r="AK160" s="106"/>
      <c r="AL160" s="106"/>
      <c r="AM160" s="106"/>
      <c r="AN160" s="106"/>
      <c r="AO160" s="106"/>
      <c r="AP160" s="106"/>
      <c r="AQ160" s="9"/>
      <c r="AR160" s="106"/>
      <c r="AS160" s="106"/>
      <c r="AT160" s="106"/>
      <c r="AU160" s="106"/>
      <c r="AV160" s="106"/>
      <c r="AW160" s="106"/>
      <c r="AX160" s="9"/>
    </row>
    <row r="161" spans="1:50" ht="13.05" hidden="1" customHeight="1" thickBot="1" x14ac:dyDescent="0.3">
      <c r="A161" t="str">
        <f>Nutrients!B160</f>
        <v>Calcium chloride</v>
      </c>
      <c r="B161" s="106"/>
      <c r="C161" s="106"/>
      <c r="D161" s="106"/>
      <c r="E161" s="106"/>
      <c r="F161" s="106"/>
      <c r="G161" s="106"/>
      <c r="H161" s="106"/>
      <c r="I161" s="106"/>
      <c r="J161" s="106"/>
      <c r="K161" s="106"/>
      <c r="L161" s="106"/>
      <c r="M161" s="106"/>
      <c r="N161" s="106"/>
      <c r="O161" s="29"/>
      <c r="P161" s="106"/>
      <c r="Q161" s="106"/>
      <c r="R161" s="106"/>
      <c r="S161" s="106"/>
      <c r="T161" s="106"/>
      <c r="U161" s="106"/>
      <c r="V161" s="9"/>
      <c r="W161" s="106"/>
      <c r="X161" s="106"/>
      <c r="Y161" s="106"/>
      <c r="Z161" s="106"/>
      <c r="AA161" s="106"/>
      <c r="AB161" s="106"/>
      <c r="AC161" s="9"/>
      <c r="AD161" s="106"/>
      <c r="AE161" s="106"/>
      <c r="AF161" s="106"/>
      <c r="AG161" s="106"/>
      <c r="AH161" s="106"/>
      <c r="AI161" s="106"/>
      <c r="AJ161" s="9"/>
      <c r="AK161" s="106"/>
      <c r="AL161" s="106"/>
      <c r="AM161" s="106"/>
      <c r="AN161" s="106"/>
      <c r="AO161" s="106"/>
      <c r="AP161" s="106"/>
      <c r="AQ161" s="9"/>
      <c r="AR161" s="106"/>
      <c r="AS161" s="106"/>
      <c r="AT161" s="106"/>
      <c r="AU161" s="106"/>
      <c r="AV161" s="106"/>
      <c r="AW161" s="106"/>
      <c r="AX161" s="9"/>
    </row>
    <row r="162" spans="1:50" ht="13.05" hidden="1" customHeight="1" thickBot="1" x14ac:dyDescent="0.3">
      <c r="A162" t="str">
        <f>Nutrients!B161</f>
        <v>Acidifier</v>
      </c>
      <c r="B162" s="106"/>
      <c r="C162" s="106"/>
      <c r="D162" s="106"/>
      <c r="E162" s="106"/>
      <c r="F162" s="106"/>
      <c r="G162" s="106"/>
      <c r="H162" s="106"/>
      <c r="I162" s="106"/>
      <c r="J162" s="106"/>
      <c r="K162" s="106"/>
      <c r="L162" s="106"/>
      <c r="M162" s="106"/>
      <c r="N162" s="106"/>
      <c r="O162" s="29"/>
      <c r="P162" s="106"/>
      <c r="Q162" s="106"/>
      <c r="R162" s="106"/>
      <c r="S162" s="106"/>
      <c r="T162" s="106"/>
      <c r="U162" s="106"/>
      <c r="V162" s="9"/>
      <c r="W162" s="106"/>
      <c r="X162" s="106"/>
      <c r="Y162" s="106"/>
      <c r="Z162" s="106"/>
      <c r="AA162" s="106"/>
      <c r="AB162" s="106"/>
      <c r="AC162" s="9"/>
      <c r="AD162" s="106"/>
      <c r="AE162" s="106"/>
      <c r="AF162" s="106"/>
      <c r="AG162" s="106"/>
      <c r="AH162" s="106"/>
      <c r="AI162" s="106"/>
      <c r="AJ162" s="9"/>
      <c r="AK162" s="106"/>
      <c r="AL162" s="106"/>
      <c r="AM162" s="106"/>
      <c r="AN162" s="106"/>
      <c r="AO162" s="106"/>
      <c r="AP162" s="106"/>
      <c r="AQ162" s="9"/>
      <c r="AR162" s="106"/>
      <c r="AS162" s="106"/>
      <c r="AT162" s="106"/>
      <c r="AU162" s="106"/>
      <c r="AV162" s="106"/>
      <c r="AW162" s="106"/>
      <c r="AX162" s="9"/>
    </row>
    <row r="163" spans="1:50" ht="13.05" hidden="1" customHeight="1" thickBot="1" x14ac:dyDescent="0.3">
      <c r="A163" t="str">
        <f>Nutrients!B162</f>
        <v>Vitamin E, 20,000 IU</v>
      </c>
      <c r="B163" s="106"/>
      <c r="C163" s="106"/>
      <c r="D163" s="106"/>
      <c r="E163" s="106"/>
      <c r="F163" s="106"/>
      <c r="G163" s="106"/>
      <c r="H163" s="106"/>
      <c r="I163" s="106"/>
      <c r="J163" s="106"/>
      <c r="K163" s="106"/>
      <c r="L163" s="106"/>
      <c r="M163" s="106"/>
      <c r="N163" s="106"/>
      <c r="O163" s="29"/>
      <c r="P163" s="106"/>
      <c r="Q163" s="106"/>
      <c r="R163" s="106"/>
      <c r="S163" s="106"/>
      <c r="T163" s="106"/>
      <c r="U163" s="106"/>
      <c r="V163" s="9"/>
      <c r="W163" s="106"/>
      <c r="X163" s="106"/>
      <c r="Y163" s="106"/>
      <c r="Z163" s="106"/>
      <c r="AA163" s="106"/>
      <c r="AB163" s="106"/>
      <c r="AC163" s="9"/>
      <c r="AD163" s="106"/>
      <c r="AE163" s="106"/>
      <c r="AF163" s="106"/>
      <c r="AG163" s="106"/>
      <c r="AH163" s="106"/>
      <c r="AI163" s="106"/>
      <c r="AJ163" s="9"/>
      <c r="AK163" s="106"/>
      <c r="AL163" s="106"/>
      <c r="AM163" s="106"/>
      <c r="AN163" s="106"/>
      <c r="AO163" s="106"/>
      <c r="AP163" s="106"/>
      <c r="AQ163" s="9"/>
      <c r="AR163" s="106"/>
      <c r="AS163" s="106"/>
      <c r="AT163" s="106"/>
      <c r="AU163" s="106"/>
      <c r="AV163" s="106"/>
      <c r="AW163" s="106"/>
      <c r="AX163" s="9"/>
    </row>
    <row r="164" spans="1:50" ht="13.05" hidden="1" customHeight="1" thickBot="1" x14ac:dyDescent="0.3">
      <c r="A164" t="str">
        <f>Nutrients!B163</f>
        <v>Other ingredient</v>
      </c>
      <c r="B164" s="106"/>
      <c r="C164" s="106"/>
      <c r="D164" s="106"/>
      <c r="E164" s="106"/>
      <c r="F164" s="106"/>
      <c r="G164" s="106"/>
      <c r="H164" s="106"/>
      <c r="I164" s="106"/>
      <c r="J164" s="106"/>
      <c r="K164" s="106"/>
      <c r="L164" s="106"/>
      <c r="M164" s="106"/>
      <c r="N164" s="106"/>
      <c r="O164" s="29"/>
      <c r="P164" s="106"/>
      <c r="Q164" s="106"/>
      <c r="R164" s="106"/>
      <c r="S164" s="106"/>
      <c r="T164" s="106"/>
      <c r="U164" s="106"/>
      <c r="V164" s="9"/>
      <c r="W164" s="106"/>
      <c r="X164" s="106"/>
      <c r="Y164" s="106"/>
      <c r="Z164" s="106"/>
      <c r="AA164" s="106"/>
      <c r="AB164" s="106"/>
      <c r="AC164" s="9"/>
      <c r="AD164" s="106"/>
      <c r="AE164" s="106"/>
      <c r="AF164" s="106"/>
      <c r="AG164" s="106"/>
      <c r="AH164" s="106"/>
      <c r="AI164" s="106"/>
      <c r="AJ164" s="9"/>
      <c r="AK164" s="106"/>
      <c r="AL164" s="106"/>
      <c r="AM164" s="106"/>
      <c r="AN164" s="106"/>
      <c r="AO164" s="106"/>
      <c r="AP164" s="106"/>
      <c r="AQ164" s="9"/>
      <c r="AR164" s="106"/>
      <c r="AS164" s="106"/>
      <c r="AT164" s="106"/>
      <c r="AU164" s="106"/>
      <c r="AV164" s="106"/>
      <c r="AW164" s="106"/>
      <c r="AX164" s="9"/>
    </row>
    <row r="165" spans="1:50" ht="13.05" hidden="1" customHeight="1" thickBot="1" x14ac:dyDescent="0.3">
      <c r="A165" t="str">
        <f>Nutrients!B164</f>
        <v>DPS 50</v>
      </c>
      <c r="B165" s="106"/>
      <c r="C165" s="106"/>
      <c r="D165" s="106"/>
      <c r="E165" s="106"/>
      <c r="F165" s="106"/>
      <c r="G165" s="106"/>
      <c r="H165" s="106"/>
      <c r="I165" s="106"/>
      <c r="J165" s="106"/>
      <c r="K165" s="106"/>
      <c r="L165" s="106"/>
      <c r="M165" s="106"/>
      <c r="N165" s="106"/>
      <c r="O165" s="29"/>
      <c r="P165" s="106"/>
      <c r="Q165" s="106"/>
      <c r="R165" s="106"/>
      <c r="S165" s="106"/>
      <c r="T165" s="106"/>
      <c r="U165" s="106"/>
      <c r="V165" s="9"/>
      <c r="W165" s="106"/>
      <c r="X165" s="106"/>
      <c r="Y165" s="106"/>
      <c r="Z165" s="106"/>
      <c r="AA165" s="106"/>
      <c r="AB165" s="106"/>
      <c r="AC165" s="9"/>
      <c r="AD165" s="106"/>
      <c r="AE165" s="106"/>
      <c r="AF165" s="106"/>
      <c r="AG165" s="106"/>
      <c r="AH165" s="106"/>
      <c r="AI165" s="106"/>
      <c r="AJ165" s="9"/>
      <c r="AK165" s="106"/>
      <c r="AL165" s="106"/>
      <c r="AM165" s="106"/>
      <c r="AN165" s="106"/>
      <c r="AO165" s="106"/>
      <c r="AP165" s="106"/>
      <c r="AQ165" s="9"/>
      <c r="AR165" s="106"/>
      <c r="AS165" s="106"/>
      <c r="AT165" s="106"/>
      <c r="AU165" s="106"/>
      <c r="AV165" s="106"/>
      <c r="AW165" s="106"/>
      <c r="AX165" s="9"/>
    </row>
    <row r="166" spans="1:50" ht="13.05" hidden="1" customHeight="1" thickBot="1" x14ac:dyDescent="0.3">
      <c r="A166" t="str">
        <f>Nutrients!B165</f>
        <v>PEP2+</v>
      </c>
      <c r="B166" s="106"/>
      <c r="C166" s="106"/>
      <c r="D166" s="106"/>
      <c r="E166" s="106"/>
      <c r="F166" s="106"/>
      <c r="G166" s="106"/>
      <c r="H166" s="106"/>
      <c r="I166" s="106"/>
      <c r="J166" s="106"/>
      <c r="K166" s="106"/>
      <c r="L166" s="106"/>
      <c r="M166" s="106"/>
      <c r="N166" s="106"/>
      <c r="O166" s="29"/>
      <c r="P166" s="106"/>
      <c r="Q166" s="106"/>
      <c r="R166" s="106"/>
      <c r="S166" s="106"/>
      <c r="T166" s="106"/>
      <c r="U166" s="106"/>
      <c r="V166" s="9"/>
      <c r="W166" s="106"/>
      <c r="X166" s="106"/>
      <c r="Y166" s="106"/>
      <c r="Z166" s="106"/>
      <c r="AA166" s="106"/>
      <c r="AB166" s="106"/>
      <c r="AC166" s="9"/>
      <c r="AD166" s="106"/>
      <c r="AE166" s="106"/>
      <c r="AF166" s="106"/>
      <c r="AG166" s="106"/>
      <c r="AH166" s="106"/>
      <c r="AI166" s="106"/>
      <c r="AJ166" s="9"/>
      <c r="AK166" s="106"/>
      <c r="AL166" s="106"/>
      <c r="AM166" s="106"/>
      <c r="AN166" s="106"/>
      <c r="AO166" s="106"/>
      <c r="AP166" s="106"/>
      <c r="AQ166" s="9"/>
      <c r="AR166" s="106"/>
      <c r="AS166" s="106"/>
      <c r="AT166" s="106"/>
      <c r="AU166" s="106"/>
      <c r="AV166" s="106"/>
      <c r="AW166" s="106"/>
      <c r="AX166" s="9"/>
    </row>
    <row r="167" spans="1:50" ht="13.05" hidden="1" customHeight="1" thickBot="1" x14ac:dyDescent="0.3">
      <c r="A167" t="str">
        <f>Nutrients!B166</f>
        <v>PEP NS</v>
      </c>
      <c r="B167" s="106"/>
      <c r="C167" s="106"/>
      <c r="D167" s="106"/>
      <c r="E167" s="106"/>
      <c r="F167" s="106"/>
      <c r="G167" s="106"/>
      <c r="H167" s="106"/>
      <c r="I167" s="106"/>
      <c r="J167" s="106"/>
      <c r="K167" s="106"/>
      <c r="L167" s="106"/>
      <c r="M167" s="106"/>
      <c r="N167" s="106"/>
      <c r="O167" s="29"/>
      <c r="P167" s="106"/>
      <c r="Q167" s="106"/>
      <c r="R167" s="106"/>
      <c r="S167" s="106"/>
      <c r="T167" s="106"/>
      <c r="U167" s="106"/>
      <c r="V167" s="9"/>
      <c r="W167" s="106"/>
      <c r="X167" s="106"/>
      <c r="Y167" s="106"/>
      <c r="Z167" s="106"/>
      <c r="AA167" s="106"/>
      <c r="AB167" s="106"/>
      <c r="AC167" s="9"/>
      <c r="AD167" s="106"/>
      <c r="AE167" s="106"/>
      <c r="AF167" s="106"/>
      <c r="AG167" s="106"/>
      <c r="AH167" s="106"/>
      <c r="AI167" s="106"/>
      <c r="AJ167" s="9"/>
      <c r="AK167" s="106"/>
      <c r="AL167" s="106"/>
      <c r="AM167" s="106"/>
      <c r="AN167" s="106"/>
      <c r="AO167" s="106"/>
      <c r="AP167" s="106"/>
      <c r="AQ167" s="9"/>
      <c r="AR167" s="106"/>
      <c r="AS167" s="106"/>
      <c r="AT167" s="106"/>
      <c r="AU167" s="106"/>
      <c r="AV167" s="106"/>
      <c r="AW167" s="106"/>
      <c r="AX167" s="9"/>
    </row>
    <row r="168" spans="1:50" ht="13.05" hidden="1" customHeight="1" thickBot="1" x14ac:dyDescent="0.3">
      <c r="A168" t="str">
        <f>Nutrients!B167</f>
        <v>Vitamin premix (2x) with phytase</v>
      </c>
      <c r="B168" s="106"/>
      <c r="C168" s="106"/>
      <c r="D168" s="106"/>
      <c r="E168" s="106"/>
      <c r="F168" s="106"/>
      <c r="G168" s="106"/>
      <c r="H168" s="106"/>
      <c r="I168" s="106"/>
      <c r="J168" s="106"/>
      <c r="K168" s="106"/>
      <c r="L168" s="106"/>
      <c r="M168" s="106"/>
      <c r="N168" s="106"/>
      <c r="O168" s="29"/>
      <c r="P168" s="106"/>
      <c r="Q168" s="106"/>
      <c r="R168" s="106"/>
      <c r="S168" s="106"/>
      <c r="T168" s="106"/>
      <c r="U168" s="106"/>
      <c r="V168" s="9"/>
      <c r="W168" s="106"/>
      <c r="X168" s="106"/>
      <c r="Y168" s="106"/>
      <c r="Z168" s="106"/>
      <c r="AA168" s="106"/>
      <c r="AB168" s="106"/>
      <c r="AC168" s="9"/>
      <c r="AD168" s="106"/>
      <c r="AE168" s="106"/>
      <c r="AF168" s="106"/>
      <c r="AG168" s="106"/>
      <c r="AH168" s="106"/>
      <c r="AI168" s="106"/>
      <c r="AJ168" s="9"/>
      <c r="AK168" s="106"/>
      <c r="AL168" s="106"/>
      <c r="AM168" s="106"/>
      <c r="AN168" s="106"/>
      <c r="AO168" s="106"/>
      <c r="AP168" s="106"/>
      <c r="AQ168" s="9"/>
      <c r="AR168" s="106"/>
      <c r="AS168" s="106"/>
      <c r="AT168" s="106"/>
      <c r="AU168" s="106"/>
      <c r="AV168" s="106"/>
      <c r="AW168" s="106"/>
      <c r="AX168" s="9"/>
    </row>
    <row r="169" spans="1:50" ht="13.05" hidden="1" customHeight="1" thickBot="1" x14ac:dyDescent="0.3">
      <c r="A169" t="str">
        <f>Nutrients!B168</f>
        <v>Vitamin premix (2x) without phytase</v>
      </c>
      <c r="B169" s="106"/>
      <c r="C169" s="106"/>
      <c r="D169" s="106"/>
      <c r="E169" s="106"/>
      <c r="F169" s="106"/>
      <c r="G169" s="106"/>
      <c r="H169" s="106"/>
      <c r="I169" s="106"/>
      <c r="J169" s="106"/>
      <c r="K169" s="106"/>
      <c r="L169" s="106"/>
      <c r="M169" s="106"/>
      <c r="N169" s="106"/>
      <c r="O169" s="29"/>
      <c r="P169" s="106"/>
      <c r="Q169" s="106"/>
      <c r="R169" s="106"/>
      <c r="S169" s="106"/>
      <c r="T169" s="106"/>
      <c r="U169" s="106"/>
      <c r="V169" s="9"/>
      <c r="W169" s="106"/>
      <c r="X169" s="106"/>
      <c r="Y169" s="106"/>
      <c r="Z169" s="106"/>
      <c r="AA169" s="106"/>
      <c r="AB169" s="106"/>
      <c r="AC169" s="9"/>
      <c r="AD169" s="106"/>
      <c r="AE169" s="106"/>
      <c r="AF169" s="106"/>
      <c r="AG169" s="106"/>
      <c r="AH169" s="106"/>
      <c r="AI169" s="106"/>
      <c r="AJ169" s="9"/>
      <c r="AK169" s="106"/>
      <c r="AL169" s="106"/>
      <c r="AM169" s="106"/>
      <c r="AN169" s="106"/>
      <c r="AO169" s="106"/>
      <c r="AP169" s="106"/>
      <c r="AQ169" s="9"/>
      <c r="AR169" s="106"/>
      <c r="AS169" s="106"/>
      <c r="AT169" s="106"/>
      <c r="AU169" s="106"/>
      <c r="AV169" s="106"/>
      <c r="AW169" s="106"/>
      <c r="AX169" s="9"/>
    </row>
    <row r="170" spans="1:50" ht="13.2" hidden="1" customHeight="1" thickBot="1" x14ac:dyDescent="0.3">
      <c r="A170" t="str">
        <f>Nutrients!B169</f>
        <v>Corn DDGS, 10.5% Oil</v>
      </c>
      <c r="B170" s="106"/>
      <c r="C170" s="106"/>
      <c r="D170" s="106"/>
      <c r="E170" s="106"/>
      <c r="F170" s="106"/>
      <c r="G170" s="106"/>
      <c r="H170" s="106"/>
      <c r="I170" s="106"/>
      <c r="J170" s="106"/>
      <c r="K170" s="106"/>
      <c r="L170" s="106"/>
      <c r="M170" s="106"/>
      <c r="N170" s="106"/>
      <c r="O170" s="29"/>
      <c r="P170" s="106"/>
      <c r="Q170" s="106"/>
      <c r="R170" s="106"/>
      <c r="S170" s="106"/>
      <c r="T170" s="106"/>
      <c r="U170" s="106"/>
      <c r="V170" s="9"/>
      <c r="W170" s="106"/>
      <c r="X170" s="106"/>
      <c r="Y170" s="106"/>
      <c r="Z170" s="106"/>
      <c r="AA170" s="106"/>
      <c r="AB170" s="106"/>
      <c r="AC170" s="9"/>
      <c r="AD170" s="106"/>
      <c r="AE170" s="106"/>
      <c r="AF170" s="106"/>
      <c r="AG170" s="106"/>
      <c r="AH170" s="106"/>
      <c r="AI170" s="106"/>
      <c r="AJ170" s="9"/>
      <c r="AK170" s="106"/>
      <c r="AL170" s="106"/>
      <c r="AM170" s="106"/>
      <c r="AN170" s="106"/>
      <c r="AO170" s="106"/>
      <c r="AP170" s="106"/>
      <c r="AQ170" s="9"/>
      <c r="AR170" s="106"/>
      <c r="AS170" s="106"/>
      <c r="AT170" s="106"/>
      <c r="AU170" s="106"/>
      <c r="AV170" s="106"/>
      <c r="AW170" s="106"/>
      <c r="AX170" s="9"/>
    </row>
    <row r="171" spans="1:50" ht="13.2" hidden="1" customHeight="1" thickBot="1" x14ac:dyDescent="0.3">
      <c r="A171" t="str">
        <f>Nutrients!B170</f>
        <v>Corn DDGS, 7.5% Oil</v>
      </c>
      <c r="B171" s="106"/>
      <c r="C171" s="106"/>
      <c r="D171" s="106"/>
      <c r="E171" s="106"/>
      <c r="F171" s="106"/>
      <c r="G171" s="106"/>
      <c r="H171" s="106"/>
      <c r="I171" s="106"/>
      <c r="J171" s="106"/>
      <c r="K171" s="106"/>
      <c r="L171" s="106"/>
      <c r="M171" s="106"/>
      <c r="N171" s="106"/>
      <c r="O171" s="29"/>
      <c r="P171" s="106"/>
      <c r="Q171" s="106"/>
      <c r="R171" s="106"/>
      <c r="S171" s="106"/>
      <c r="T171" s="106"/>
      <c r="U171" s="106"/>
      <c r="V171" s="9"/>
      <c r="W171" s="106"/>
      <c r="X171" s="106"/>
      <c r="Y171" s="106"/>
      <c r="Z171" s="106"/>
      <c r="AA171" s="106"/>
      <c r="AB171" s="106"/>
      <c r="AC171" s="9"/>
      <c r="AD171" s="106"/>
      <c r="AE171" s="106"/>
      <c r="AF171" s="106"/>
      <c r="AG171" s="106"/>
      <c r="AH171" s="106"/>
      <c r="AI171" s="106"/>
      <c r="AJ171" s="9"/>
      <c r="AK171" s="106"/>
      <c r="AL171" s="106"/>
      <c r="AM171" s="106"/>
      <c r="AN171" s="106"/>
      <c r="AO171" s="106"/>
      <c r="AP171" s="106"/>
      <c r="AQ171" s="9"/>
      <c r="AR171" s="106"/>
      <c r="AS171" s="106"/>
      <c r="AT171" s="106"/>
      <c r="AU171" s="106"/>
      <c r="AV171" s="106"/>
      <c r="AW171" s="106"/>
      <c r="AX171" s="9"/>
    </row>
    <row r="172" spans="1:50" ht="12.75" hidden="1" customHeight="1" thickBot="1" x14ac:dyDescent="0.3">
      <c r="A172" t="str">
        <f>Nutrients!B171</f>
        <v>Corn DDGS, 4.5% Oil</v>
      </c>
      <c r="B172" s="106"/>
      <c r="C172" s="106"/>
      <c r="D172" s="106"/>
      <c r="E172" s="106"/>
      <c r="F172" s="106"/>
      <c r="G172" s="106"/>
      <c r="H172" s="106"/>
      <c r="I172" s="106"/>
      <c r="J172" s="106"/>
      <c r="K172" s="106"/>
      <c r="L172" s="106"/>
      <c r="M172" s="106"/>
      <c r="N172" s="106"/>
      <c r="O172" s="29"/>
      <c r="P172" s="106"/>
      <c r="Q172" s="106"/>
      <c r="R172" s="106"/>
      <c r="S172" s="106"/>
      <c r="T172" s="106"/>
      <c r="U172" s="106"/>
      <c r="V172" s="9"/>
      <c r="W172" s="106"/>
      <c r="X172" s="106"/>
      <c r="Y172" s="106"/>
      <c r="Z172" s="106"/>
      <c r="AA172" s="106"/>
      <c r="AB172" s="106"/>
      <c r="AC172" s="9"/>
      <c r="AD172" s="106"/>
      <c r="AE172" s="106"/>
      <c r="AF172" s="106"/>
      <c r="AG172" s="106"/>
      <c r="AH172" s="106"/>
      <c r="AI172" s="106"/>
      <c r="AJ172" s="9"/>
      <c r="AK172" s="106"/>
      <c r="AL172" s="106"/>
      <c r="AM172" s="106"/>
      <c r="AN172" s="106"/>
      <c r="AO172" s="106"/>
      <c r="AP172" s="106"/>
      <c r="AQ172" s="9"/>
      <c r="AR172" s="106"/>
      <c r="AS172" s="106"/>
      <c r="AT172" s="106"/>
      <c r="AU172" s="106"/>
      <c r="AV172" s="106"/>
      <c r="AW172" s="106"/>
      <c r="AX172" s="9"/>
    </row>
    <row r="173" spans="1:50" ht="13.05" hidden="1" customHeight="1" thickBot="1" x14ac:dyDescent="0.3">
      <c r="A173" t="str">
        <f>Nutrients!B172</f>
        <v>MEPRO Hubbard</v>
      </c>
      <c r="B173" s="106"/>
      <c r="C173" s="106"/>
      <c r="D173" s="106"/>
      <c r="E173" s="106"/>
      <c r="F173" s="106"/>
      <c r="G173" s="106"/>
      <c r="H173" s="106"/>
      <c r="I173" s="106"/>
      <c r="J173" s="106"/>
      <c r="K173" s="106"/>
      <c r="L173" s="106"/>
      <c r="M173" s="106"/>
      <c r="N173" s="106"/>
      <c r="O173" s="29"/>
      <c r="P173" s="106"/>
      <c r="Q173" s="106"/>
      <c r="R173" s="106"/>
      <c r="S173" s="106"/>
      <c r="T173" s="106"/>
      <c r="U173" s="106"/>
      <c r="V173" s="9"/>
      <c r="W173" s="106"/>
      <c r="X173" s="106"/>
      <c r="Y173" s="106"/>
      <c r="Z173" s="106"/>
      <c r="AA173" s="106"/>
      <c r="AB173" s="106"/>
      <c r="AC173" s="9"/>
      <c r="AD173" s="106"/>
      <c r="AE173" s="106"/>
      <c r="AF173" s="106"/>
      <c r="AG173" s="106"/>
      <c r="AH173" s="106"/>
      <c r="AI173" s="106"/>
      <c r="AJ173" s="9"/>
      <c r="AK173" s="106"/>
      <c r="AL173" s="106"/>
      <c r="AM173" s="106"/>
      <c r="AN173" s="106"/>
      <c r="AO173" s="106"/>
      <c r="AP173" s="106"/>
      <c r="AQ173" s="9"/>
      <c r="AR173" s="106"/>
      <c r="AS173" s="106"/>
      <c r="AT173" s="106"/>
      <c r="AU173" s="106"/>
      <c r="AV173" s="106"/>
      <c r="AW173" s="106"/>
      <c r="AX173" s="9"/>
    </row>
    <row r="174" spans="1:50" ht="13.05" hidden="1" customHeight="1" thickBot="1" x14ac:dyDescent="0.3">
      <c r="A174" t="str">
        <f>Nutrients!B173</f>
        <v>HP 300 Apr 2022 loadings</v>
      </c>
      <c r="B174" s="106"/>
      <c r="C174" s="106"/>
      <c r="D174" s="106"/>
      <c r="E174" s="106"/>
      <c r="F174" s="106"/>
      <c r="G174" s="106"/>
      <c r="H174" s="106"/>
      <c r="I174" s="106"/>
      <c r="J174" s="106"/>
      <c r="K174" s="106"/>
      <c r="L174" s="106"/>
      <c r="M174" s="106"/>
      <c r="N174" s="106"/>
      <c r="O174" s="29"/>
      <c r="P174" s="106"/>
      <c r="Q174" s="106"/>
      <c r="R174" s="106"/>
      <c r="S174" s="106"/>
      <c r="T174" s="106"/>
      <c r="U174" s="106"/>
      <c r="V174" s="9"/>
      <c r="W174" s="106"/>
      <c r="X174" s="106"/>
      <c r="Y174" s="106"/>
      <c r="Z174" s="106"/>
      <c r="AA174" s="106"/>
      <c r="AB174" s="106"/>
      <c r="AC174" s="9"/>
      <c r="AD174" s="106"/>
      <c r="AE174" s="106"/>
      <c r="AF174" s="106"/>
      <c r="AG174" s="106"/>
      <c r="AH174" s="106"/>
      <c r="AI174" s="106"/>
      <c r="AJ174" s="9"/>
      <c r="AK174" s="106"/>
      <c r="AL174" s="106"/>
      <c r="AM174" s="106"/>
      <c r="AN174" s="106"/>
      <c r="AO174" s="106"/>
      <c r="AP174" s="106"/>
      <c r="AQ174" s="9"/>
      <c r="AR174" s="106"/>
      <c r="AS174" s="106"/>
      <c r="AT174" s="106"/>
      <c r="AU174" s="106"/>
      <c r="AV174" s="106"/>
      <c r="AW174" s="106"/>
      <c r="AX174" s="9"/>
    </row>
    <row r="175" spans="1:50" ht="13.05" hidden="1" customHeight="1" thickBot="1" x14ac:dyDescent="0.3">
      <c r="A175" t="str">
        <f>Nutrients!B174</f>
        <v>Glycine</v>
      </c>
      <c r="B175" s="106"/>
      <c r="C175" s="106"/>
      <c r="D175" s="106"/>
      <c r="E175" s="106"/>
      <c r="F175" s="106"/>
      <c r="G175" s="106"/>
      <c r="H175" s="106"/>
      <c r="I175" s="106"/>
      <c r="J175" s="106"/>
      <c r="K175" s="106"/>
      <c r="L175" s="106"/>
      <c r="M175" s="106"/>
      <c r="N175" s="106"/>
      <c r="O175" s="29"/>
      <c r="P175" s="106"/>
      <c r="Q175" s="106"/>
      <c r="R175" s="106"/>
      <c r="S175" s="106"/>
      <c r="T175" s="106"/>
      <c r="U175" s="106"/>
      <c r="V175" s="9"/>
      <c r="W175" s="106"/>
      <c r="X175" s="106"/>
      <c r="Y175" s="106"/>
      <c r="Z175" s="106"/>
      <c r="AA175" s="106"/>
      <c r="AB175" s="106"/>
      <c r="AC175" s="9"/>
      <c r="AD175" s="106"/>
      <c r="AE175" s="106"/>
      <c r="AF175" s="106"/>
      <c r="AG175" s="106"/>
      <c r="AH175" s="106"/>
      <c r="AI175" s="106"/>
      <c r="AJ175" s="9"/>
      <c r="AK175" s="106"/>
      <c r="AL175" s="106"/>
      <c r="AM175" s="106"/>
      <c r="AN175" s="106"/>
      <c r="AO175" s="106"/>
      <c r="AP175" s="106"/>
      <c r="AQ175" s="9"/>
      <c r="AR175" s="106"/>
      <c r="AS175" s="106"/>
      <c r="AT175" s="106"/>
      <c r="AU175" s="106"/>
      <c r="AV175" s="106"/>
      <c r="AW175" s="106"/>
      <c r="AX175" s="9"/>
    </row>
    <row r="176" spans="1:50" ht="13.05" hidden="1" customHeight="1" thickBot="1" x14ac:dyDescent="0.3">
      <c r="A176" t="str">
        <f>Nutrients!B175</f>
        <v>Phase 2 supplement 2018</v>
      </c>
      <c r="B176" s="106"/>
      <c r="C176" s="106"/>
      <c r="D176" s="106"/>
      <c r="E176" s="106"/>
      <c r="F176" s="106"/>
      <c r="G176" s="106"/>
      <c r="H176" s="106"/>
      <c r="I176" s="106"/>
      <c r="J176" s="106"/>
      <c r="K176" s="106"/>
      <c r="L176" s="106"/>
      <c r="M176" s="106"/>
      <c r="N176" s="106"/>
      <c r="O176" s="29"/>
      <c r="P176" s="106"/>
      <c r="Q176" s="106"/>
      <c r="R176" s="106"/>
      <c r="S176" s="106"/>
      <c r="T176" s="106"/>
      <c r="U176" s="106"/>
      <c r="V176" s="9"/>
      <c r="W176" s="106"/>
      <c r="X176" s="106"/>
      <c r="Y176" s="106"/>
      <c r="Z176" s="106"/>
      <c r="AA176" s="106"/>
      <c r="AB176" s="106"/>
      <c r="AC176" s="9"/>
      <c r="AD176" s="106"/>
      <c r="AE176" s="106"/>
      <c r="AF176" s="106"/>
      <c r="AG176" s="106"/>
      <c r="AH176" s="106"/>
      <c r="AI176" s="106"/>
      <c r="AJ176" s="9"/>
      <c r="AK176" s="106"/>
      <c r="AL176" s="106"/>
      <c r="AM176" s="106"/>
      <c r="AN176" s="106"/>
      <c r="AO176" s="106"/>
      <c r="AP176" s="106"/>
      <c r="AQ176" s="9"/>
      <c r="AR176" s="106"/>
      <c r="AS176" s="106"/>
      <c r="AT176" s="106"/>
      <c r="AU176" s="106"/>
      <c r="AV176" s="106"/>
      <c r="AW176" s="106"/>
      <c r="AX176" s="9"/>
    </row>
    <row r="177" spans="1:50" ht="13.05" hidden="1" customHeight="1" thickBot="1" x14ac:dyDescent="0.3">
      <c r="A177" t="str">
        <f>Nutrients!B176</f>
        <v>Fermex 200</v>
      </c>
      <c r="B177" s="106"/>
      <c r="C177" s="106"/>
      <c r="D177" s="106"/>
      <c r="E177" s="106"/>
      <c r="F177" s="106"/>
      <c r="G177" s="106"/>
      <c r="H177" s="106"/>
      <c r="I177" s="106"/>
      <c r="J177" s="106"/>
      <c r="K177" s="106"/>
      <c r="L177" s="106"/>
      <c r="M177" s="106"/>
      <c r="N177" s="106"/>
      <c r="O177" s="29"/>
      <c r="P177" s="106"/>
      <c r="Q177" s="106"/>
      <c r="R177" s="106"/>
      <c r="S177" s="106"/>
      <c r="T177" s="106"/>
      <c r="U177" s="106"/>
      <c r="V177" s="9"/>
      <c r="W177" s="106"/>
      <c r="X177" s="106"/>
      <c r="Y177" s="106"/>
      <c r="Z177" s="106"/>
      <c r="AA177" s="106"/>
      <c r="AB177" s="106"/>
      <c r="AC177" s="9"/>
      <c r="AD177" s="106"/>
      <c r="AE177" s="106"/>
      <c r="AF177" s="106"/>
      <c r="AG177" s="106"/>
      <c r="AH177" s="106"/>
      <c r="AI177" s="106"/>
      <c r="AJ177" s="9"/>
      <c r="AK177" s="106"/>
      <c r="AL177" s="106"/>
      <c r="AM177" s="106"/>
      <c r="AN177" s="106"/>
      <c r="AO177" s="106"/>
      <c r="AP177" s="106"/>
      <c r="AQ177" s="9"/>
      <c r="AR177" s="106"/>
      <c r="AS177" s="106"/>
      <c r="AT177" s="106"/>
      <c r="AU177" s="106"/>
      <c r="AV177" s="106"/>
      <c r="AW177" s="106"/>
      <c r="AX177" s="9"/>
    </row>
    <row r="178" spans="1:50" ht="13.05" hidden="1" customHeight="1" thickBot="1" x14ac:dyDescent="0.3">
      <c r="A178" t="str">
        <f>Nutrients!B177</f>
        <v>Soybean meal with 88% NE of corn</v>
      </c>
      <c r="B178" s="106"/>
      <c r="C178" s="106"/>
      <c r="D178" s="106"/>
      <c r="E178" s="106"/>
      <c r="F178" s="106"/>
      <c r="G178" s="106"/>
      <c r="H178" s="106"/>
      <c r="I178" s="106"/>
      <c r="J178" s="106"/>
      <c r="K178" s="106"/>
      <c r="L178" s="106"/>
      <c r="M178" s="106"/>
      <c r="N178" s="106"/>
      <c r="O178" s="29"/>
      <c r="P178" s="106"/>
      <c r="Q178" s="106"/>
      <c r="R178" s="106"/>
      <c r="S178" s="106"/>
      <c r="T178" s="106"/>
      <c r="U178" s="106"/>
      <c r="V178" s="9"/>
      <c r="W178" s="106"/>
      <c r="X178" s="106"/>
      <c r="Y178" s="106"/>
      <c r="Z178" s="106"/>
      <c r="AA178" s="106"/>
      <c r="AB178" s="106"/>
      <c r="AC178" s="9"/>
      <c r="AD178" s="106"/>
      <c r="AE178" s="106"/>
      <c r="AF178" s="106"/>
      <c r="AG178" s="106"/>
      <c r="AH178" s="106"/>
      <c r="AI178" s="106"/>
      <c r="AJ178" s="9"/>
      <c r="AK178" s="106"/>
      <c r="AL178" s="106"/>
      <c r="AM178" s="106"/>
      <c r="AN178" s="106"/>
      <c r="AO178" s="106"/>
      <c r="AP178" s="106"/>
      <c r="AQ178" s="9"/>
      <c r="AR178" s="106"/>
      <c r="AS178" s="106"/>
      <c r="AT178" s="106"/>
      <c r="AU178" s="106"/>
      <c r="AV178" s="106"/>
      <c r="AW178" s="106"/>
      <c r="AX178" s="9"/>
    </row>
    <row r="179" spans="1:50" ht="13.05" hidden="1" customHeight="1" thickBot="1" x14ac:dyDescent="0.3">
      <c r="A179" t="str">
        <f>Nutrients!B178</f>
        <v>Blue Dye NFP</v>
      </c>
      <c r="B179" s="106"/>
      <c r="C179" s="106"/>
      <c r="D179" s="106"/>
      <c r="E179" s="106"/>
      <c r="F179" s="106"/>
      <c r="G179" s="106"/>
      <c r="H179" s="106"/>
      <c r="I179" s="106"/>
      <c r="J179" s="106"/>
      <c r="K179" s="106"/>
      <c r="L179" s="106"/>
      <c r="M179" s="106"/>
      <c r="N179" s="106"/>
      <c r="O179" s="29"/>
      <c r="P179" s="106"/>
      <c r="Q179" s="106"/>
      <c r="R179" s="106"/>
      <c r="S179" s="106"/>
      <c r="T179" s="106"/>
      <c r="U179" s="106"/>
      <c r="V179" s="9"/>
      <c r="W179" s="106"/>
      <c r="X179" s="106"/>
      <c r="Y179" s="106"/>
      <c r="Z179" s="106"/>
      <c r="AA179" s="106"/>
      <c r="AB179" s="106"/>
      <c r="AC179" s="9"/>
      <c r="AD179" s="106"/>
      <c r="AE179" s="106"/>
      <c r="AF179" s="106"/>
      <c r="AG179" s="106"/>
      <c r="AH179" s="106"/>
      <c r="AI179" s="106"/>
      <c r="AJ179" s="9"/>
      <c r="AK179" s="106"/>
      <c r="AL179" s="106"/>
      <c r="AM179" s="106"/>
      <c r="AN179" s="106"/>
      <c r="AO179" s="106"/>
      <c r="AP179" s="106"/>
      <c r="AQ179" s="9"/>
      <c r="AR179" s="106"/>
      <c r="AS179" s="106"/>
      <c r="AT179" s="106"/>
      <c r="AU179" s="106"/>
      <c r="AV179" s="106"/>
      <c r="AW179" s="106"/>
      <c r="AX179" s="9"/>
    </row>
    <row r="180" spans="1:50" ht="13.05" hidden="1" customHeight="1" thickBot="1" x14ac:dyDescent="0.3">
      <c r="A180" t="str">
        <f>Nutrients!B179</f>
        <v>HP 300 2022 NFP</v>
      </c>
      <c r="B180" s="106"/>
      <c r="C180" s="106"/>
      <c r="D180" s="106"/>
      <c r="E180" s="106"/>
      <c r="F180" s="106"/>
      <c r="G180" s="106"/>
      <c r="H180" s="106"/>
      <c r="I180" s="106"/>
      <c r="J180" s="106"/>
      <c r="K180" s="106"/>
      <c r="L180" s="106"/>
      <c r="M180" s="106"/>
      <c r="N180" s="106"/>
      <c r="O180" s="29"/>
      <c r="P180" s="106"/>
      <c r="Q180" s="106"/>
      <c r="R180" s="106"/>
      <c r="S180" s="106"/>
      <c r="T180" s="106"/>
      <c r="U180" s="106"/>
      <c r="V180" s="9"/>
      <c r="W180" s="106"/>
      <c r="X180" s="106"/>
      <c r="Y180" s="106"/>
      <c r="Z180" s="106"/>
      <c r="AA180" s="106"/>
      <c r="AB180" s="106"/>
      <c r="AC180" s="9"/>
      <c r="AD180" s="106"/>
      <c r="AE180" s="106"/>
      <c r="AF180" s="106"/>
      <c r="AG180" s="106"/>
      <c r="AH180" s="106"/>
      <c r="AI180" s="106"/>
      <c r="AJ180" s="9"/>
      <c r="AK180" s="106"/>
      <c r="AL180" s="106"/>
      <c r="AM180" s="106"/>
      <c r="AN180" s="106"/>
      <c r="AO180" s="106"/>
      <c r="AP180" s="106"/>
      <c r="AQ180" s="9"/>
      <c r="AR180" s="106"/>
      <c r="AS180" s="106"/>
      <c r="AT180" s="106"/>
      <c r="AU180" s="106"/>
      <c r="AV180" s="106"/>
      <c r="AW180" s="106"/>
      <c r="AX180" s="9"/>
    </row>
    <row r="181" spans="1:50" ht="13.05" hidden="1" customHeight="1" thickBot="1" x14ac:dyDescent="0.3">
      <c r="A181" t="str">
        <f>Nutrients!B180</f>
        <v>AX3 Digest NFP</v>
      </c>
      <c r="B181" s="106"/>
      <c r="C181" s="106"/>
      <c r="D181" s="106"/>
      <c r="E181" s="106"/>
      <c r="F181" s="106"/>
      <c r="G181" s="106"/>
      <c r="H181" s="106"/>
      <c r="I181" s="106"/>
      <c r="J181" s="106"/>
      <c r="K181" s="106"/>
      <c r="L181" s="106"/>
      <c r="M181" s="106"/>
      <c r="N181" s="106"/>
      <c r="O181" s="29"/>
      <c r="P181" s="106"/>
      <c r="Q181" s="106"/>
      <c r="R181" s="106"/>
      <c r="S181" s="106"/>
      <c r="T181" s="106"/>
      <c r="U181" s="106"/>
      <c r="V181" s="9"/>
      <c r="W181" s="106"/>
      <c r="X181" s="106"/>
      <c r="Y181" s="106"/>
      <c r="Z181" s="106"/>
      <c r="AA181" s="106"/>
      <c r="AB181" s="106"/>
      <c r="AC181" s="9"/>
      <c r="AD181" s="106"/>
      <c r="AE181" s="106"/>
      <c r="AF181" s="106"/>
      <c r="AG181" s="106"/>
      <c r="AH181" s="106"/>
      <c r="AI181" s="106"/>
      <c r="AJ181" s="9"/>
      <c r="AK181" s="106"/>
      <c r="AL181" s="106"/>
      <c r="AM181" s="106"/>
      <c r="AN181" s="106"/>
      <c r="AO181" s="106"/>
      <c r="AP181" s="106"/>
      <c r="AQ181" s="9"/>
      <c r="AR181" s="106"/>
      <c r="AS181" s="106"/>
      <c r="AT181" s="106"/>
      <c r="AU181" s="106"/>
      <c r="AV181" s="106"/>
      <c r="AW181" s="106"/>
      <c r="AX181" s="9"/>
    </row>
    <row r="182" spans="1:50" ht="13.05" hidden="1" customHeight="1" thickBot="1" x14ac:dyDescent="0.3">
      <c r="A182" t="str">
        <f>Nutrients!B181</f>
        <v>Phase 2 supplement 2018 NFP</v>
      </c>
      <c r="B182" s="106"/>
      <c r="C182" s="106"/>
      <c r="D182" s="106"/>
      <c r="E182" s="106"/>
      <c r="F182" s="106"/>
      <c r="G182" s="106"/>
      <c r="H182" s="106"/>
      <c r="I182" s="106"/>
      <c r="J182" s="106"/>
      <c r="K182" s="106"/>
      <c r="L182" s="106"/>
      <c r="M182" s="106"/>
      <c r="N182" s="106"/>
      <c r="O182" s="29"/>
      <c r="P182" s="106"/>
      <c r="Q182" s="106"/>
      <c r="R182" s="106"/>
      <c r="S182" s="106"/>
      <c r="T182" s="106"/>
      <c r="U182" s="106"/>
      <c r="V182" s="9"/>
      <c r="W182" s="106"/>
      <c r="X182" s="106"/>
      <c r="Y182" s="106"/>
      <c r="Z182" s="106"/>
      <c r="AA182" s="106"/>
      <c r="AB182" s="106"/>
      <c r="AC182" s="9"/>
      <c r="AD182" s="106"/>
      <c r="AE182" s="106"/>
      <c r="AF182" s="106"/>
      <c r="AG182" s="106"/>
      <c r="AH182" s="106"/>
      <c r="AI182" s="106"/>
      <c r="AJ182" s="9"/>
      <c r="AK182" s="106"/>
      <c r="AL182" s="106"/>
      <c r="AM182" s="106"/>
      <c r="AN182" s="106"/>
      <c r="AO182" s="106"/>
      <c r="AP182" s="106"/>
      <c r="AQ182" s="9"/>
      <c r="AR182" s="106"/>
      <c r="AS182" s="106"/>
      <c r="AT182" s="106"/>
      <c r="AU182" s="106"/>
      <c r="AV182" s="106"/>
      <c r="AW182" s="106"/>
      <c r="AX182" s="9"/>
    </row>
    <row r="183" spans="1:50" ht="13.05" hidden="1" customHeight="1" thickBot="1" x14ac:dyDescent="0.3">
      <c r="A183" t="str">
        <f>Nutrients!B182</f>
        <v>Femex 200 NFP</v>
      </c>
      <c r="B183" s="106"/>
      <c r="C183" s="106"/>
      <c r="D183" s="106"/>
      <c r="E183" s="106"/>
      <c r="F183" s="106"/>
      <c r="G183" s="106"/>
      <c r="H183" s="106"/>
      <c r="I183" s="106"/>
      <c r="J183" s="106"/>
      <c r="K183" s="106"/>
      <c r="L183" s="106"/>
      <c r="M183" s="106"/>
      <c r="N183" s="106"/>
      <c r="O183" s="29"/>
      <c r="P183" s="106"/>
      <c r="Q183" s="106"/>
      <c r="R183" s="106"/>
      <c r="S183" s="106"/>
      <c r="T183" s="106"/>
      <c r="U183" s="106"/>
      <c r="V183" s="9"/>
      <c r="W183" s="106"/>
      <c r="X183" s="106"/>
      <c r="Y183" s="106"/>
      <c r="Z183" s="106"/>
      <c r="AA183" s="106"/>
      <c r="AB183" s="106"/>
      <c r="AC183" s="9"/>
      <c r="AD183" s="106"/>
      <c r="AE183" s="106"/>
      <c r="AF183" s="106"/>
      <c r="AG183" s="106"/>
      <c r="AH183" s="106"/>
      <c r="AI183" s="106"/>
      <c r="AJ183" s="9"/>
      <c r="AK183" s="106"/>
      <c r="AL183" s="106"/>
      <c r="AM183" s="106"/>
      <c r="AN183" s="106"/>
      <c r="AO183" s="106"/>
      <c r="AP183" s="106"/>
      <c r="AQ183" s="9"/>
      <c r="AR183" s="106"/>
      <c r="AS183" s="106"/>
      <c r="AT183" s="106"/>
      <c r="AU183" s="106"/>
      <c r="AV183" s="106"/>
      <c r="AW183" s="106"/>
      <c r="AX183" s="9"/>
    </row>
    <row r="184" spans="1:50" ht="13.05" hidden="1" customHeight="1" thickBot="1" x14ac:dyDescent="0.3">
      <c r="A184" t="str">
        <f>Nutrients!B183</f>
        <v xml:space="preserve">NFP Soybean meal w/88% NE of corn </v>
      </c>
      <c r="B184" s="106"/>
      <c r="C184" s="106"/>
      <c r="D184" s="106"/>
      <c r="E184" s="106"/>
      <c r="F184" s="106"/>
      <c r="G184" s="106"/>
      <c r="H184" s="106"/>
      <c r="I184" s="106"/>
      <c r="J184" s="106"/>
      <c r="K184" s="106"/>
      <c r="L184" s="106"/>
      <c r="M184" s="106"/>
      <c r="N184" s="106"/>
      <c r="O184" s="29"/>
      <c r="P184" s="106"/>
      <c r="Q184" s="106"/>
      <c r="R184" s="106"/>
      <c r="S184" s="106"/>
      <c r="T184" s="106"/>
      <c r="U184" s="106"/>
      <c r="V184" s="9"/>
      <c r="W184" s="106"/>
      <c r="X184" s="106"/>
      <c r="Y184" s="106"/>
      <c r="Z184" s="106"/>
      <c r="AA184" s="106"/>
      <c r="AB184" s="106"/>
      <c r="AC184" s="9"/>
      <c r="AD184" s="106"/>
      <c r="AE184" s="106"/>
      <c r="AF184" s="106"/>
      <c r="AG184" s="106"/>
      <c r="AH184" s="106"/>
      <c r="AI184" s="106"/>
      <c r="AJ184" s="9"/>
      <c r="AK184" s="106"/>
      <c r="AL184" s="106"/>
      <c r="AM184" s="106"/>
      <c r="AN184" s="106"/>
      <c r="AO184" s="106"/>
      <c r="AP184" s="106"/>
      <c r="AQ184" s="9"/>
      <c r="AR184" s="106"/>
      <c r="AS184" s="106"/>
      <c r="AT184" s="106"/>
      <c r="AU184" s="106"/>
      <c r="AV184" s="106"/>
      <c r="AW184" s="106"/>
      <c r="AX184" s="9"/>
    </row>
    <row r="185" spans="1:50" ht="13.05" hidden="1" customHeight="1" thickBot="1" x14ac:dyDescent="0.3">
      <c r="A185" t="str">
        <f>Nutrients!B184</f>
        <v>AV-E Digest NFP</v>
      </c>
      <c r="B185" s="106"/>
      <c r="C185" s="106"/>
      <c r="D185" s="106"/>
      <c r="E185" s="106"/>
      <c r="F185" s="106"/>
      <c r="G185" s="106"/>
      <c r="H185" s="106"/>
      <c r="I185" s="106"/>
      <c r="J185" s="106"/>
      <c r="K185" s="106"/>
      <c r="L185" s="106"/>
      <c r="M185" s="106"/>
      <c r="N185" s="106"/>
      <c r="O185" s="29"/>
      <c r="P185" s="106"/>
      <c r="Q185" s="106"/>
      <c r="R185" s="106"/>
      <c r="S185" s="106"/>
      <c r="T185" s="106"/>
      <c r="U185" s="106"/>
      <c r="V185" s="9"/>
      <c r="W185" s="106"/>
      <c r="X185" s="106"/>
      <c r="Y185" s="106"/>
      <c r="Z185" s="106"/>
      <c r="AA185" s="106"/>
      <c r="AB185" s="106"/>
      <c r="AC185" s="9"/>
      <c r="AD185" s="106"/>
      <c r="AE185" s="106"/>
      <c r="AF185" s="106"/>
      <c r="AG185" s="106"/>
      <c r="AH185" s="106"/>
      <c r="AI185" s="106"/>
      <c r="AJ185" s="9"/>
      <c r="AK185" s="106"/>
      <c r="AL185" s="106"/>
      <c r="AM185" s="106"/>
      <c r="AN185" s="106"/>
      <c r="AO185" s="106"/>
      <c r="AP185" s="106"/>
      <c r="AQ185" s="9"/>
      <c r="AR185" s="106"/>
      <c r="AS185" s="106"/>
      <c r="AT185" s="106"/>
      <c r="AU185" s="106"/>
      <c r="AV185" s="106"/>
      <c r="AW185" s="106"/>
      <c r="AX185" s="9"/>
    </row>
    <row r="186" spans="1:50" ht="13.05" hidden="1" customHeight="1" thickBot="1" x14ac:dyDescent="0.3">
      <c r="A186" t="str">
        <f>Nutrients!B185</f>
        <v>QFP Cereal Blend NFP</v>
      </c>
      <c r="B186" s="106"/>
      <c r="C186" s="106"/>
      <c r="D186" s="106"/>
      <c r="E186" s="106"/>
      <c r="F186" s="106"/>
      <c r="G186" s="106"/>
      <c r="H186" s="106"/>
      <c r="I186" s="106"/>
      <c r="J186" s="106"/>
      <c r="K186" s="106"/>
      <c r="L186" s="106"/>
      <c r="M186" s="106"/>
      <c r="N186" s="106"/>
      <c r="O186" s="29"/>
      <c r="P186" s="106"/>
      <c r="Q186" s="106"/>
      <c r="R186" s="106"/>
      <c r="S186" s="106"/>
      <c r="T186" s="106"/>
      <c r="U186" s="106"/>
      <c r="V186" s="9"/>
      <c r="W186" s="106"/>
      <c r="X186" s="106"/>
      <c r="Y186" s="106"/>
      <c r="Z186" s="106"/>
      <c r="AA186" s="106"/>
      <c r="AB186" s="106"/>
      <c r="AC186" s="9"/>
      <c r="AD186" s="106"/>
      <c r="AE186" s="106"/>
      <c r="AF186" s="106"/>
      <c r="AG186" s="106"/>
      <c r="AH186" s="106"/>
      <c r="AI186" s="106"/>
      <c r="AJ186" s="9"/>
      <c r="AK186" s="106"/>
      <c r="AL186" s="106"/>
      <c r="AM186" s="106"/>
      <c r="AN186" s="106"/>
      <c r="AO186" s="106"/>
      <c r="AP186" s="106"/>
      <c r="AQ186" s="9"/>
      <c r="AR186" s="106"/>
      <c r="AS186" s="106"/>
      <c r="AT186" s="106"/>
      <c r="AU186" s="106"/>
      <c r="AV186" s="106"/>
      <c r="AW186" s="106"/>
      <c r="AX186" s="9"/>
    </row>
    <row r="187" spans="1:50" ht="13.05" hidden="1" customHeight="1" thickBot="1" x14ac:dyDescent="0.3">
      <c r="A187" t="str">
        <f>Nutrients!B186</f>
        <v>FXP Ani-Tek NFP</v>
      </c>
      <c r="B187" s="106"/>
      <c r="C187" s="106"/>
      <c r="D187" s="106"/>
      <c r="E187" s="106"/>
      <c r="F187" s="106"/>
      <c r="G187" s="106"/>
      <c r="H187" s="106"/>
      <c r="I187" s="106"/>
      <c r="J187" s="106"/>
      <c r="K187" s="106"/>
      <c r="L187" s="106"/>
      <c r="M187" s="106"/>
      <c r="N187" s="106"/>
      <c r="O187" s="29"/>
      <c r="P187" s="106"/>
      <c r="Q187" s="106"/>
      <c r="R187" s="106"/>
      <c r="S187" s="106"/>
      <c r="T187" s="106"/>
      <c r="U187" s="106"/>
      <c r="V187" s="9"/>
      <c r="W187" s="106"/>
      <c r="X187" s="106"/>
      <c r="Y187" s="106"/>
      <c r="Z187" s="106"/>
      <c r="AA187" s="106"/>
      <c r="AB187" s="106"/>
      <c r="AC187" s="9"/>
      <c r="AD187" s="106"/>
      <c r="AE187" s="106"/>
      <c r="AF187" s="106"/>
      <c r="AG187" s="106"/>
      <c r="AH187" s="106"/>
      <c r="AI187" s="106"/>
      <c r="AJ187" s="9"/>
      <c r="AK187" s="106"/>
      <c r="AL187" s="106"/>
      <c r="AM187" s="106"/>
      <c r="AN187" s="106"/>
      <c r="AO187" s="106"/>
      <c r="AP187" s="106"/>
      <c r="AQ187" s="9"/>
      <c r="AR187" s="106"/>
      <c r="AS187" s="106"/>
      <c r="AT187" s="106"/>
      <c r="AU187" s="106"/>
      <c r="AV187" s="106"/>
      <c r="AW187" s="106"/>
      <c r="AX187" s="9"/>
    </row>
    <row r="188" spans="1:50" ht="13.05" hidden="1" customHeight="1" thickBot="1" x14ac:dyDescent="0.3">
      <c r="A188" t="str">
        <f>Nutrients!B187</f>
        <v>NFP VTM Grower (2021)</v>
      </c>
      <c r="B188" s="106"/>
      <c r="C188" s="106"/>
      <c r="D188" s="106"/>
      <c r="E188" s="106"/>
      <c r="F188" s="106"/>
      <c r="G188" s="106"/>
      <c r="H188" s="106"/>
      <c r="I188" s="106"/>
      <c r="J188" s="106"/>
      <c r="K188" s="106"/>
      <c r="L188" s="106"/>
      <c r="M188" s="106"/>
      <c r="N188" s="106"/>
      <c r="O188" s="29"/>
      <c r="P188" s="106"/>
      <c r="Q188" s="106"/>
      <c r="R188" s="106"/>
      <c r="S188" s="106"/>
      <c r="T188" s="106"/>
      <c r="U188" s="106"/>
      <c r="V188" s="9"/>
      <c r="W188" s="106"/>
      <c r="X188" s="106"/>
      <c r="Y188" s="106"/>
      <c r="Z188" s="106"/>
      <c r="AA188" s="106"/>
      <c r="AB188" s="106"/>
      <c r="AC188" s="9"/>
      <c r="AD188" s="106"/>
      <c r="AE188" s="106"/>
      <c r="AF188" s="106"/>
      <c r="AG188" s="106"/>
      <c r="AH188" s="106"/>
      <c r="AI188" s="106"/>
      <c r="AJ188" s="9"/>
      <c r="AK188" s="106"/>
      <c r="AL188" s="106"/>
      <c r="AM188" s="106"/>
      <c r="AN188" s="106"/>
      <c r="AO188" s="106"/>
      <c r="AP188" s="106"/>
      <c r="AQ188" s="9"/>
      <c r="AR188" s="106"/>
      <c r="AS188" s="106"/>
      <c r="AT188" s="106"/>
      <c r="AU188" s="106"/>
      <c r="AV188" s="106"/>
      <c r="AW188" s="106"/>
      <c r="AX188" s="9"/>
    </row>
    <row r="189" spans="1:50" ht="13.05" hidden="1" customHeight="1" thickBot="1" x14ac:dyDescent="0.3">
      <c r="A189" t="str">
        <f>Nutrients!B188</f>
        <v>NFP VTM Sow (2021)</v>
      </c>
      <c r="B189" s="106"/>
      <c r="C189" s="106"/>
      <c r="D189" s="106"/>
      <c r="E189" s="106"/>
      <c r="F189" s="106"/>
      <c r="G189" s="106"/>
      <c r="H189" s="106"/>
      <c r="I189" s="106"/>
      <c r="J189" s="106"/>
      <c r="K189" s="106"/>
      <c r="L189" s="106"/>
      <c r="M189" s="106"/>
      <c r="N189" s="106"/>
      <c r="O189" s="29"/>
      <c r="P189" s="106"/>
      <c r="Q189" s="106"/>
      <c r="R189" s="106"/>
      <c r="S189" s="106"/>
      <c r="T189" s="106"/>
      <c r="U189" s="106"/>
      <c r="V189" s="9"/>
      <c r="W189" s="106"/>
      <c r="X189" s="106"/>
      <c r="Y189" s="106"/>
      <c r="Z189" s="106"/>
      <c r="AA189" s="106"/>
      <c r="AB189" s="106"/>
      <c r="AC189" s="9"/>
      <c r="AD189" s="106"/>
      <c r="AE189" s="106"/>
      <c r="AF189" s="106"/>
      <c r="AG189" s="106"/>
      <c r="AH189" s="106"/>
      <c r="AI189" s="106"/>
      <c r="AJ189" s="9"/>
      <c r="AK189" s="106"/>
      <c r="AL189" s="106"/>
      <c r="AM189" s="106"/>
      <c r="AN189" s="106"/>
      <c r="AO189" s="106"/>
      <c r="AP189" s="106"/>
      <c r="AQ189" s="9"/>
      <c r="AR189" s="106"/>
      <c r="AS189" s="106"/>
      <c r="AT189" s="106"/>
      <c r="AU189" s="106"/>
      <c r="AV189" s="106"/>
      <c r="AW189" s="106"/>
      <c r="AX189" s="9"/>
    </row>
    <row r="190" spans="1:50" ht="13.05" hidden="1" customHeight="1" thickBot="1" x14ac:dyDescent="0.3">
      <c r="A190" t="str">
        <f>Nutrients!B189</f>
        <v>VevoVitall NFP</v>
      </c>
      <c r="B190" s="106"/>
      <c r="C190" s="106"/>
      <c r="D190" s="106"/>
      <c r="E190" s="106"/>
      <c r="F190" s="106"/>
      <c r="G190" s="106"/>
      <c r="H190" s="106"/>
      <c r="I190" s="106"/>
      <c r="J190" s="106"/>
      <c r="K190" s="106"/>
      <c r="L190" s="106"/>
      <c r="M190" s="106"/>
      <c r="N190" s="106"/>
      <c r="O190" s="29"/>
      <c r="P190" s="106"/>
      <c r="Q190" s="106"/>
      <c r="R190" s="106"/>
      <c r="S190" s="106"/>
      <c r="T190" s="106"/>
      <c r="U190" s="106"/>
      <c r="V190" s="9"/>
      <c r="W190" s="106"/>
      <c r="X190" s="106"/>
      <c r="Y190" s="106"/>
      <c r="Z190" s="106"/>
      <c r="AA190" s="106"/>
      <c r="AB190" s="106"/>
      <c r="AC190" s="9"/>
      <c r="AD190" s="106"/>
      <c r="AE190" s="106"/>
      <c r="AF190" s="106"/>
      <c r="AG190" s="106"/>
      <c r="AH190" s="106"/>
      <c r="AI190" s="106"/>
      <c r="AJ190" s="9"/>
      <c r="AK190" s="106"/>
      <c r="AL190" s="106"/>
      <c r="AM190" s="106"/>
      <c r="AN190" s="106"/>
      <c r="AO190" s="106"/>
      <c r="AP190" s="106"/>
      <c r="AQ190" s="9"/>
      <c r="AR190" s="106"/>
      <c r="AS190" s="106"/>
      <c r="AT190" s="106"/>
      <c r="AU190" s="106"/>
      <c r="AV190" s="106"/>
      <c r="AW190" s="106"/>
      <c r="AX190" s="9"/>
    </row>
    <row r="191" spans="1:50" ht="13.05" hidden="1" customHeight="1" thickBot="1" x14ac:dyDescent="0.3">
      <c r="A191" t="str">
        <f>Nutrients!B190</f>
        <v>MEPRO NFP</v>
      </c>
      <c r="B191" s="106"/>
      <c r="C191" s="106"/>
      <c r="D191" s="106"/>
      <c r="E191" s="106"/>
      <c r="F191" s="106"/>
      <c r="G191" s="106"/>
      <c r="H191" s="106"/>
      <c r="I191" s="106"/>
      <c r="J191" s="106"/>
      <c r="K191" s="106"/>
      <c r="L191" s="106"/>
      <c r="M191" s="106"/>
      <c r="N191" s="106"/>
      <c r="O191" s="29"/>
      <c r="P191" s="106"/>
      <c r="Q191" s="106"/>
      <c r="R191" s="106"/>
      <c r="S191" s="106"/>
      <c r="T191" s="106"/>
      <c r="U191" s="106"/>
      <c r="V191" s="9"/>
      <c r="W191" s="106"/>
      <c r="X191" s="106"/>
      <c r="Y191" s="106"/>
      <c r="Z191" s="106"/>
      <c r="AA191" s="106"/>
      <c r="AB191" s="106"/>
      <c r="AC191" s="9"/>
      <c r="AD191" s="106"/>
      <c r="AE191" s="106"/>
      <c r="AF191" s="106"/>
      <c r="AG191" s="106"/>
      <c r="AH191" s="106"/>
      <c r="AI191" s="106"/>
      <c r="AJ191" s="9"/>
      <c r="AK191" s="106"/>
      <c r="AL191" s="106"/>
      <c r="AM191" s="106"/>
      <c r="AN191" s="106"/>
      <c r="AO191" s="106"/>
      <c r="AP191" s="106"/>
      <c r="AQ191" s="9"/>
      <c r="AR191" s="106"/>
      <c r="AS191" s="106"/>
      <c r="AT191" s="106"/>
      <c r="AU191" s="106"/>
      <c r="AV191" s="106"/>
      <c r="AW191" s="106"/>
      <c r="AX191" s="9"/>
    </row>
    <row r="192" spans="1:50" ht="13.05" hidden="1" customHeight="1" thickBot="1" x14ac:dyDescent="0.3">
      <c r="A192" t="str">
        <f>Nutrients!B191</f>
        <v>AlphaGal 280 P NFP</v>
      </c>
      <c r="B192" s="106"/>
      <c r="C192" s="106"/>
      <c r="D192" s="106"/>
      <c r="E192" s="106"/>
      <c r="F192" s="106"/>
      <c r="G192" s="106"/>
      <c r="H192" s="106"/>
      <c r="I192" s="106"/>
      <c r="J192" s="106"/>
      <c r="K192" s="106"/>
      <c r="L192" s="106"/>
      <c r="M192" s="106"/>
      <c r="N192" s="106"/>
      <c r="O192" s="29"/>
      <c r="P192" s="106"/>
      <c r="Q192" s="106"/>
      <c r="R192" s="106"/>
      <c r="S192" s="106"/>
      <c r="T192" s="106"/>
      <c r="U192" s="106"/>
      <c r="V192" s="9"/>
      <c r="W192" s="106"/>
      <c r="X192" s="106"/>
      <c r="Y192" s="106"/>
      <c r="Z192" s="106"/>
      <c r="AA192" s="106"/>
      <c r="AB192" s="106"/>
      <c r="AC192" s="9"/>
      <c r="AD192" s="106"/>
      <c r="AE192" s="106"/>
      <c r="AF192" s="106"/>
      <c r="AG192" s="106"/>
      <c r="AH192" s="106"/>
      <c r="AI192" s="106"/>
      <c r="AJ192" s="9"/>
      <c r="AK192" s="106"/>
      <c r="AL192" s="106"/>
      <c r="AM192" s="106"/>
      <c r="AN192" s="106"/>
      <c r="AO192" s="106"/>
      <c r="AP192" s="106"/>
      <c r="AQ192" s="9"/>
      <c r="AR192" s="106"/>
      <c r="AS192" s="106"/>
      <c r="AT192" s="106"/>
      <c r="AU192" s="106"/>
      <c r="AV192" s="106"/>
      <c r="AW192" s="106"/>
      <c r="AX192" s="9"/>
    </row>
    <row r="193" spans="1:50" ht="13.05" hidden="1" customHeight="1" thickBot="1" x14ac:dyDescent="0.3">
      <c r="A193" t="str">
        <f>Nutrients!B192</f>
        <v xml:space="preserve">NFP Custom Manganese </v>
      </c>
      <c r="B193" s="106"/>
      <c r="C193" s="106"/>
      <c r="D193" s="106"/>
      <c r="E193" s="106"/>
      <c r="F193" s="106"/>
      <c r="G193" s="106"/>
      <c r="H193" s="106"/>
      <c r="I193" s="106"/>
      <c r="J193" s="106"/>
      <c r="K193" s="106"/>
      <c r="L193" s="106"/>
      <c r="M193" s="106"/>
      <c r="N193" s="106"/>
      <c r="O193" s="29"/>
      <c r="P193" s="106"/>
      <c r="Q193" s="106"/>
      <c r="R193" s="106"/>
      <c r="S193" s="106"/>
      <c r="T193" s="106"/>
      <c r="U193" s="106"/>
      <c r="V193" s="9"/>
      <c r="W193" s="106"/>
      <c r="X193" s="106"/>
      <c r="Y193" s="106"/>
      <c r="Z193" s="106"/>
      <c r="AA193" s="106"/>
      <c r="AB193" s="106"/>
      <c r="AC193" s="9"/>
      <c r="AD193" s="106"/>
      <c r="AE193" s="106"/>
      <c r="AF193" s="106"/>
      <c r="AG193" s="106"/>
      <c r="AH193" s="106"/>
      <c r="AI193" s="106"/>
      <c r="AJ193" s="9"/>
      <c r="AK193" s="106"/>
      <c r="AL193" s="106"/>
      <c r="AM193" s="106"/>
      <c r="AN193" s="106"/>
      <c r="AO193" s="106"/>
      <c r="AP193" s="106"/>
      <c r="AQ193" s="9"/>
      <c r="AR193" s="106"/>
      <c r="AS193" s="106"/>
      <c r="AT193" s="106"/>
      <c r="AU193" s="106"/>
      <c r="AV193" s="106"/>
      <c r="AW193" s="106"/>
      <c r="AX193" s="9"/>
    </row>
    <row r="194" spans="1:50" ht="13.05" hidden="1" customHeight="1" thickBot="1" x14ac:dyDescent="0.3">
      <c r="A194" t="str">
        <f>Nutrients!B193</f>
        <v>Fat Build R2 All Veg 4000 NFP</v>
      </c>
      <c r="B194" s="106"/>
      <c r="C194" s="106"/>
      <c r="D194" s="106"/>
      <c r="E194" s="106"/>
      <c r="F194" s="106"/>
      <c r="G194" s="106"/>
      <c r="H194" s="106"/>
      <c r="I194" s="106"/>
      <c r="J194" s="106"/>
      <c r="K194" s="106"/>
      <c r="L194" s="106"/>
      <c r="M194" s="106"/>
      <c r="N194" s="106"/>
      <c r="O194" s="29"/>
      <c r="P194" s="106"/>
      <c r="Q194" s="106"/>
      <c r="R194" s="106"/>
      <c r="S194" s="106"/>
      <c r="T194" s="106"/>
      <c r="U194" s="106"/>
      <c r="V194" s="9"/>
      <c r="W194" s="106"/>
      <c r="X194" s="106"/>
      <c r="Y194" s="106"/>
      <c r="Z194" s="106"/>
      <c r="AA194" s="106"/>
      <c r="AB194" s="106"/>
      <c r="AC194" s="9"/>
      <c r="AD194" s="106"/>
      <c r="AE194" s="106"/>
      <c r="AF194" s="106"/>
      <c r="AG194" s="106"/>
      <c r="AH194" s="106"/>
      <c r="AI194" s="106"/>
      <c r="AJ194" s="9"/>
      <c r="AK194" s="106"/>
      <c r="AL194" s="106"/>
      <c r="AM194" s="106"/>
      <c r="AN194" s="106"/>
      <c r="AO194" s="106"/>
      <c r="AP194" s="106"/>
      <c r="AQ194" s="9"/>
      <c r="AR194" s="106"/>
      <c r="AS194" s="106"/>
      <c r="AT194" s="106"/>
      <c r="AU194" s="106"/>
      <c r="AV194" s="106"/>
      <c r="AW194" s="106"/>
      <c r="AX194" s="9"/>
    </row>
    <row r="195" spans="1:50" ht="13.05" hidden="1" customHeight="1" thickBot="1" x14ac:dyDescent="0.3">
      <c r="A195" t="str">
        <f>Nutrients!B194</f>
        <v>LipoVital GL 90 NFP</v>
      </c>
      <c r="B195" s="106"/>
      <c r="C195" s="106"/>
      <c r="D195" s="106"/>
      <c r="E195" s="106"/>
      <c r="F195" s="106"/>
      <c r="G195" s="106"/>
      <c r="H195" s="106"/>
      <c r="I195" s="106"/>
      <c r="J195" s="106"/>
      <c r="K195" s="106"/>
      <c r="L195" s="106"/>
      <c r="M195" s="106"/>
      <c r="N195" s="106"/>
      <c r="O195" s="29"/>
      <c r="P195" s="106"/>
      <c r="Q195" s="106"/>
      <c r="R195" s="106"/>
      <c r="S195" s="106"/>
      <c r="T195" s="106"/>
      <c r="U195" s="106"/>
      <c r="V195" s="9"/>
      <c r="W195" s="106"/>
      <c r="X195" s="106"/>
      <c r="Y195" s="106"/>
      <c r="Z195" s="106"/>
      <c r="AA195" s="106"/>
      <c r="AB195" s="106"/>
      <c r="AC195" s="9"/>
      <c r="AD195" s="106"/>
      <c r="AE195" s="106"/>
      <c r="AF195" s="106"/>
      <c r="AG195" s="106"/>
      <c r="AH195" s="106"/>
      <c r="AI195" s="106"/>
      <c r="AJ195" s="9"/>
      <c r="AK195" s="106"/>
      <c r="AL195" s="106"/>
      <c r="AM195" s="106"/>
      <c r="AN195" s="106"/>
      <c r="AO195" s="106"/>
      <c r="AP195" s="106"/>
      <c r="AQ195" s="9"/>
      <c r="AR195" s="106"/>
      <c r="AS195" s="106"/>
      <c r="AT195" s="106"/>
      <c r="AU195" s="106"/>
      <c r="AV195" s="106"/>
      <c r="AW195" s="106"/>
      <c r="AX195" s="9"/>
    </row>
    <row r="196" spans="1:50" ht="13.05" hidden="1" customHeight="1" thickBot="1" x14ac:dyDescent="0.3">
      <c r="A196" t="str">
        <f>Nutrients!B195</f>
        <v>NFP Custom Zinc</v>
      </c>
      <c r="B196" s="106"/>
      <c r="C196" s="106"/>
      <c r="D196" s="106"/>
      <c r="E196" s="106"/>
      <c r="F196" s="106"/>
      <c r="G196" s="106"/>
      <c r="H196" s="106"/>
      <c r="I196" s="106"/>
      <c r="J196" s="106"/>
      <c r="K196" s="106"/>
      <c r="L196" s="106"/>
      <c r="M196" s="106"/>
      <c r="N196" s="106"/>
      <c r="O196" s="29"/>
      <c r="P196" s="106"/>
      <c r="Q196" s="106"/>
      <c r="R196" s="106"/>
      <c r="S196" s="106"/>
      <c r="T196" s="106"/>
      <c r="U196" s="106"/>
      <c r="V196" s="9"/>
      <c r="W196" s="106"/>
      <c r="X196" s="106"/>
      <c r="Y196" s="106"/>
      <c r="Z196" s="106"/>
      <c r="AA196" s="106"/>
      <c r="AB196" s="106"/>
      <c r="AC196" s="9"/>
      <c r="AD196" s="106"/>
      <c r="AE196" s="106"/>
      <c r="AF196" s="106"/>
      <c r="AG196" s="106"/>
      <c r="AH196" s="106"/>
      <c r="AI196" s="106"/>
      <c r="AJ196" s="9"/>
      <c r="AK196" s="106"/>
      <c r="AL196" s="106"/>
      <c r="AM196" s="106"/>
      <c r="AN196" s="106"/>
      <c r="AO196" s="106"/>
      <c r="AP196" s="106"/>
      <c r="AQ196" s="9"/>
      <c r="AR196" s="106"/>
      <c r="AS196" s="106"/>
      <c r="AT196" s="106"/>
      <c r="AU196" s="106"/>
      <c r="AV196" s="106"/>
      <c r="AW196" s="106"/>
      <c r="AX196" s="9"/>
    </row>
    <row r="197" spans="1:50" ht="13.05" hidden="1" customHeight="1" thickBot="1" x14ac:dyDescent="0.3">
      <c r="A197" t="str">
        <f>Nutrients!B196</f>
        <v>THRPRO-L Threonine 80% NFP</v>
      </c>
      <c r="B197" s="106"/>
      <c r="C197" s="106"/>
      <c r="D197" s="106"/>
      <c r="E197" s="106"/>
      <c r="F197" s="106"/>
      <c r="G197" s="106"/>
      <c r="H197" s="106"/>
      <c r="I197" s="106"/>
      <c r="J197" s="106"/>
      <c r="K197" s="106"/>
      <c r="L197" s="106"/>
      <c r="M197" s="106"/>
      <c r="N197" s="106"/>
      <c r="O197" s="29"/>
      <c r="P197" s="106"/>
      <c r="Q197" s="106"/>
      <c r="R197" s="106"/>
      <c r="S197" s="106"/>
      <c r="T197" s="106"/>
      <c r="U197" s="106"/>
      <c r="V197" s="9"/>
      <c r="W197" s="106"/>
      <c r="X197" s="106"/>
      <c r="Y197" s="106"/>
      <c r="Z197" s="106"/>
      <c r="AA197" s="106"/>
      <c r="AB197" s="106"/>
      <c r="AC197" s="9"/>
      <c r="AD197" s="106"/>
      <c r="AE197" s="106"/>
      <c r="AF197" s="106"/>
      <c r="AG197" s="106"/>
      <c r="AH197" s="106"/>
      <c r="AI197" s="106"/>
      <c r="AJ197" s="9"/>
      <c r="AK197" s="106"/>
      <c r="AL197" s="106"/>
      <c r="AM197" s="106"/>
      <c r="AN197" s="106"/>
      <c r="AO197" s="106"/>
      <c r="AP197" s="106"/>
      <c r="AQ197" s="9"/>
      <c r="AR197" s="106"/>
      <c r="AS197" s="106"/>
      <c r="AT197" s="106"/>
      <c r="AU197" s="106"/>
      <c r="AV197" s="106"/>
      <c r="AW197" s="106"/>
      <c r="AX197" s="9"/>
    </row>
    <row r="198" spans="1:50" ht="13.05" hidden="1" customHeight="1" thickBot="1" x14ac:dyDescent="0.3">
      <c r="A198" t="str">
        <f>Nutrients!B197</f>
        <v>Copper Chloride Intellibond TBCC NFP</v>
      </c>
      <c r="B198" s="106"/>
      <c r="C198" s="106"/>
      <c r="D198" s="106"/>
      <c r="E198" s="106"/>
      <c r="F198" s="106"/>
      <c r="G198" s="106"/>
      <c r="H198" s="106"/>
      <c r="I198" s="106"/>
      <c r="J198" s="106"/>
      <c r="K198" s="106"/>
      <c r="L198" s="106"/>
      <c r="M198" s="106"/>
      <c r="N198" s="106"/>
      <c r="O198" s="29"/>
      <c r="P198" s="106"/>
      <c r="Q198" s="106"/>
      <c r="R198" s="106"/>
      <c r="S198" s="106"/>
      <c r="T198" s="106"/>
      <c r="U198" s="106"/>
      <c r="V198" s="9"/>
      <c r="W198" s="106"/>
      <c r="X198" s="106"/>
      <c r="Y198" s="106"/>
      <c r="Z198" s="106"/>
      <c r="AA198" s="106"/>
      <c r="AB198" s="106"/>
      <c r="AC198" s="9"/>
      <c r="AD198" s="106"/>
      <c r="AE198" s="106"/>
      <c r="AF198" s="106"/>
      <c r="AG198" s="106"/>
      <c r="AH198" s="106"/>
      <c r="AI198" s="106"/>
      <c r="AJ198" s="9"/>
      <c r="AK198" s="106"/>
      <c r="AL198" s="106"/>
      <c r="AM198" s="106"/>
      <c r="AN198" s="106"/>
      <c r="AO198" s="106"/>
      <c r="AP198" s="106"/>
      <c r="AQ198" s="9"/>
      <c r="AR198" s="106"/>
      <c r="AS198" s="106"/>
      <c r="AT198" s="106"/>
      <c r="AU198" s="106"/>
      <c r="AV198" s="106"/>
      <c r="AW198" s="106"/>
      <c r="AX198" s="9"/>
    </row>
    <row r="199" spans="1:50" ht="13.05" hidden="1" customHeight="1" thickBot="1" x14ac:dyDescent="0.3">
      <c r="A199" t="str">
        <f>Nutrients!B198</f>
        <v>DDGS 7.5% Oil Green Plains NFP</v>
      </c>
      <c r="B199" s="106"/>
      <c r="C199" s="106"/>
      <c r="D199" s="106"/>
      <c r="E199" s="106"/>
      <c r="F199" s="106"/>
      <c r="G199" s="106"/>
      <c r="H199" s="106"/>
      <c r="I199" s="106"/>
      <c r="J199" s="106"/>
      <c r="K199" s="106"/>
      <c r="L199" s="106"/>
      <c r="M199" s="106"/>
      <c r="N199" s="106"/>
      <c r="O199" s="29"/>
      <c r="P199" s="106"/>
      <c r="Q199" s="106"/>
      <c r="R199" s="106"/>
      <c r="S199" s="106"/>
      <c r="T199" s="106"/>
      <c r="U199" s="106"/>
      <c r="V199" s="9"/>
      <c r="W199" s="106"/>
      <c r="X199" s="106"/>
      <c r="Y199" s="106"/>
      <c r="Z199" s="106"/>
      <c r="AA199" s="106"/>
      <c r="AB199" s="106"/>
      <c r="AC199" s="9"/>
      <c r="AD199" s="106"/>
      <c r="AE199" s="106"/>
      <c r="AF199" s="106"/>
      <c r="AG199" s="106"/>
      <c r="AH199" s="106"/>
      <c r="AI199" s="106"/>
      <c r="AJ199" s="9"/>
      <c r="AK199" s="106"/>
      <c r="AL199" s="106"/>
      <c r="AM199" s="106"/>
      <c r="AN199" s="106"/>
      <c r="AO199" s="106"/>
      <c r="AP199" s="106"/>
      <c r="AQ199" s="9"/>
      <c r="AR199" s="106"/>
      <c r="AS199" s="106"/>
      <c r="AT199" s="106"/>
      <c r="AU199" s="106"/>
      <c r="AV199" s="106"/>
      <c r="AW199" s="106"/>
      <c r="AX199" s="9"/>
    </row>
    <row r="200" spans="1:50" ht="13.05" hidden="1" customHeight="1" thickBot="1" x14ac:dyDescent="0.3">
      <c r="A200" t="str">
        <f>Nutrients!B199</f>
        <v>NHF GF VTM 2#</v>
      </c>
      <c r="B200" s="106"/>
      <c r="C200" s="106"/>
      <c r="D200" s="106"/>
      <c r="E200" s="106"/>
      <c r="F200" s="106"/>
      <c r="G200" s="106"/>
      <c r="H200" s="106"/>
      <c r="I200" s="106"/>
      <c r="J200" s="106"/>
      <c r="K200" s="106"/>
      <c r="L200" s="106"/>
      <c r="M200" s="106"/>
      <c r="N200" s="106"/>
      <c r="O200" s="29"/>
      <c r="P200" s="106"/>
      <c r="Q200" s="106"/>
      <c r="R200" s="106"/>
      <c r="S200" s="106"/>
      <c r="T200" s="106"/>
      <c r="U200" s="106"/>
      <c r="V200" s="9"/>
      <c r="W200" s="106"/>
      <c r="X200" s="106"/>
      <c r="Y200" s="106"/>
      <c r="Z200" s="106"/>
      <c r="AA200" s="106"/>
      <c r="AB200" s="106"/>
      <c r="AC200" s="9"/>
      <c r="AD200" s="106"/>
      <c r="AE200" s="106"/>
      <c r="AF200" s="106"/>
      <c r="AG200" s="106"/>
      <c r="AH200" s="106"/>
      <c r="AI200" s="106"/>
      <c r="AJ200" s="9"/>
      <c r="AK200" s="106"/>
      <c r="AL200" s="106"/>
      <c r="AM200" s="106"/>
      <c r="AN200" s="106"/>
      <c r="AO200" s="106"/>
      <c r="AP200" s="106"/>
      <c r="AQ200" s="9"/>
      <c r="AR200" s="106"/>
      <c r="AS200" s="106"/>
      <c r="AT200" s="106"/>
      <c r="AU200" s="106"/>
      <c r="AV200" s="106"/>
      <c r="AW200" s="106"/>
      <c r="AX200" s="9"/>
    </row>
    <row r="201" spans="1:50" ht="13.05" hidden="1" customHeight="1" thickBot="1" x14ac:dyDescent="0.3">
      <c r="A201" t="str">
        <f>Nutrients!B200</f>
        <v xml:space="preserve">Hubbard Vit Premix </v>
      </c>
      <c r="B201" s="106"/>
      <c r="C201" s="106"/>
      <c r="D201" s="106"/>
      <c r="E201" s="106"/>
      <c r="F201" s="106"/>
      <c r="G201" s="106"/>
      <c r="H201" s="106"/>
      <c r="I201" s="106"/>
      <c r="J201" s="106"/>
      <c r="K201" s="106"/>
      <c r="L201" s="106"/>
      <c r="M201" s="106"/>
      <c r="N201" s="106"/>
      <c r="O201" s="29"/>
      <c r="P201" s="106"/>
      <c r="Q201" s="106"/>
      <c r="R201" s="106"/>
      <c r="S201" s="106"/>
      <c r="T201" s="106"/>
      <c r="U201" s="106"/>
      <c r="V201" s="9"/>
      <c r="W201" s="106"/>
      <c r="X201" s="106"/>
      <c r="Y201" s="106"/>
      <c r="Z201" s="106"/>
      <c r="AA201" s="106"/>
      <c r="AB201" s="106"/>
      <c r="AC201" s="9"/>
      <c r="AD201" s="106"/>
      <c r="AE201" s="106"/>
      <c r="AF201" s="106"/>
      <c r="AG201" s="106"/>
      <c r="AH201" s="106"/>
      <c r="AI201" s="106"/>
      <c r="AJ201" s="9"/>
      <c r="AK201" s="106"/>
      <c r="AL201" s="106"/>
      <c r="AM201" s="106"/>
      <c r="AN201" s="106"/>
      <c r="AO201" s="106"/>
      <c r="AP201" s="106"/>
      <c r="AQ201" s="9"/>
      <c r="AR201" s="106"/>
      <c r="AS201" s="106"/>
      <c r="AT201" s="106"/>
      <c r="AU201" s="106"/>
      <c r="AV201" s="106"/>
      <c r="AW201" s="106"/>
      <c r="AX201" s="9"/>
    </row>
    <row r="202" spans="1:50" ht="13.05" hidden="1" customHeight="1" thickBot="1" x14ac:dyDescent="0.3">
      <c r="A202" t="str">
        <f>Nutrients!B201</f>
        <v>Hubbard TMP</v>
      </c>
      <c r="B202" s="106"/>
      <c r="C202" s="106"/>
      <c r="D202" s="106"/>
      <c r="E202" s="106"/>
      <c r="F202" s="106"/>
      <c r="G202" s="106"/>
      <c r="H202" s="106"/>
      <c r="I202" s="106"/>
      <c r="J202" s="106"/>
      <c r="K202" s="106"/>
      <c r="L202" s="106"/>
      <c r="M202" s="106"/>
      <c r="N202" s="106"/>
      <c r="O202" s="29"/>
      <c r="P202" s="106"/>
      <c r="Q202" s="106"/>
      <c r="R202" s="106"/>
      <c r="S202" s="106"/>
      <c r="T202" s="106"/>
      <c r="U202" s="106"/>
      <c r="V202" s="9"/>
      <c r="W202" s="106"/>
      <c r="X202" s="106"/>
      <c r="Y202" s="106"/>
      <c r="Z202" s="106"/>
      <c r="AA202" s="106"/>
      <c r="AB202" s="106"/>
      <c r="AC202" s="9"/>
      <c r="AD202" s="106"/>
      <c r="AE202" s="106"/>
      <c r="AF202" s="106"/>
      <c r="AG202" s="106"/>
      <c r="AH202" s="106"/>
      <c r="AI202" s="106"/>
      <c r="AJ202" s="9"/>
      <c r="AK202" s="106"/>
      <c r="AL202" s="106"/>
      <c r="AM202" s="106"/>
      <c r="AN202" s="106"/>
      <c r="AO202" s="106"/>
      <c r="AP202" s="106"/>
      <c r="AQ202" s="9"/>
      <c r="AR202" s="106"/>
      <c r="AS202" s="106"/>
      <c r="AT202" s="106"/>
      <c r="AU202" s="106"/>
      <c r="AV202" s="106"/>
      <c r="AW202" s="106"/>
      <c r="AX202" s="9"/>
    </row>
    <row r="203" spans="1:50" ht="13.05" hidden="1" customHeight="1" thickBot="1" x14ac:dyDescent="0.3">
      <c r="A203" t="str">
        <f>Nutrients!B202</f>
        <v>Inorganic Se 600 ppm Hubbard</v>
      </c>
      <c r="B203" s="106"/>
      <c r="C203" s="106"/>
      <c r="D203" s="106"/>
      <c r="E203" s="106"/>
      <c r="F203" s="106"/>
      <c r="G203" s="106"/>
      <c r="H203" s="106"/>
      <c r="I203" s="106"/>
      <c r="J203" s="106"/>
      <c r="K203" s="106"/>
      <c r="L203" s="106"/>
      <c r="M203" s="106"/>
      <c r="N203" s="106"/>
      <c r="O203" s="29"/>
      <c r="P203" s="106"/>
      <c r="Q203" s="106"/>
      <c r="R203" s="106"/>
      <c r="S203" s="106"/>
      <c r="T203" s="106"/>
      <c r="U203" s="106"/>
      <c r="V203" s="9"/>
      <c r="W203" s="106"/>
      <c r="X203" s="106"/>
      <c r="Y203" s="106"/>
      <c r="Z203" s="106"/>
      <c r="AA203" s="106"/>
      <c r="AB203" s="106"/>
      <c r="AC203" s="9"/>
      <c r="AD203" s="106"/>
      <c r="AE203" s="106"/>
      <c r="AF203" s="106"/>
      <c r="AG203" s="106"/>
      <c r="AH203" s="106"/>
      <c r="AI203" s="106"/>
      <c r="AJ203" s="9"/>
      <c r="AK203" s="106"/>
      <c r="AL203" s="106"/>
      <c r="AM203" s="106"/>
      <c r="AN203" s="106"/>
      <c r="AO203" s="106"/>
      <c r="AP203" s="106"/>
      <c r="AQ203" s="9"/>
      <c r="AR203" s="106"/>
      <c r="AS203" s="106"/>
      <c r="AT203" s="106"/>
      <c r="AU203" s="106"/>
      <c r="AV203" s="106"/>
      <c r="AW203" s="106"/>
      <c r="AX203" s="9"/>
    </row>
    <row r="204" spans="1:50" ht="13.05" hidden="1" customHeight="1" thickBot="1" x14ac:dyDescent="0.3">
      <c r="A204" t="str">
        <f>Nutrients!B203</f>
        <v>Quantum Blue  5G Hubbard</v>
      </c>
      <c r="B204" s="106"/>
      <c r="C204" s="106"/>
      <c r="D204" s="106"/>
      <c r="E204" s="106"/>
      <c r="F204" s="106"/>
      <c r="G204" s="106"/>
      <c r="H204" s="106"/>
      <c r="I204" s="106"/>
      <c r="J204" s="106"/>
      <c r="K204" s="106"/>
      <c r="L204" s="106"/>
      <c r="M204" s="106"/>
      <c r="N204" s="106"/>
      <c r="O204" s="29"/>
      <c r="P204" s="106"/>
      <c r="Q204" s="106"/>
      <c r="R204" s="106"/>
      <c r="S204" s="106"/>
      <c r="T204" s="106"/>
      <c r="U204" s="106"/>
      <c r="V204" s="9"/>
      <c r="W204" s="106"/>
      <c r="X204" s="106"/>
      <c r="Y204" s="106"/>
      <c r="Z204" s="106"/>
      <c r="AA204" s="106"/>
      <c r="AB204" s="106"/>
      <c r="AC204" s="9"/>
      <c r="AD204" s="106"/>
      <c r="AE204" s="106"/>
      <c r="AF204" s="106"/>
      <c r="AG204" s="106"/>
      <c r="AH204" s="106"/>
      <c r="AI204" s="106"/>
      <c r="AJ204" s="9"/>
      <c r="AK204" s="106"/>
      <c r="AL204" s="106"/>
      <c r="AM204" s="106"/>
      <c r="AN204" s="106"/>
      <c r="AO204" s="106"/>
      <c r="AP204" s="106"/>
      <c r="AQ204" s="9"/>
      <c r="AR204" s="106"/>
      <c r="AS204" s="106"/>
      <c r="AT204" s="106"/>
      <c r="AU204" s="106"/>
      <c r="AV204" s="106"/>
      <c r="AW204" s="106"/>
      <c r="AX204" s="9"/>
    </row>
    <row r="205" spans="1:50" ht="13.05" hidden="1" customHeight="1" thickBot="1" x14ac:dyDescent="0.3">
      <c r="A205" t="str">
        <f>Nutrients!B204</f>
        <v>TASA Prime meal Hubbard</v>
      </c>
      <c r="B205" s="106"/>
      <c r="C205" s="106"/>
      <c r="D205" s="106"/>
      <c r="E205" s="106"/>
      <c r="F205" s="106"/>
      <c r="G205" s="106"/>
      <c r="H205" s="106"/>
      <c r="I205" s="106"/>
      <c r="J205" s="106"/>
      <c r="K205" s="106"/>
      <c r="L205" s="106"/>
      <c r="M205" s="106"/>
      <c r="N205" s="106"/>
      <c r="O205" s="29"/>
      <c r="P205" s="106"/>
      <c r="Q205" s="106"/>
      <c r="R205" s="106"/>
      <c r="S205" s="106"/>
      <c r="T205" s="106"/>
      <c r="U205" s="106"/>
      <c r="V205" s="9"/>
      <c r="W205" s="106"/>
      <c r="X205" s="106"/>
      <c r="Y205" s="106"/>
      <c r="Z205" s="106"/>
      <c r="AA205" s="106"/>
      <c r="AB205" s="106"/>
      <c r="AC205" s="9"/>
      <c r="AD205" s="106"/>
      <c r="AE205" s="106"/>
      <c r="AF205" s="106"/>
      <c r="AG205" s="106"/>
      <c r="AH205" s="106"/>
      <c r="AI205" s="106"/>
      <c r="AJ205" s="9"/>
      <c r="AK205" s="106"/>
      <c r="AL205" s="106"/>
      <c r="AM205" s="106"/>
      <c r="AN205" s="106"/>
      <c r="AO205" s="106"/>
      <c r="AP205" s="106"/>
      <c r="AQ205" s="9"/>
      <c r="AR205" s="106"/>
      <c r="AS205" s="106"/>
      <c r="AT205" s="106"/>
      <c r="AU205" s="106"/>
      <c r="AV205" s="106"/>
      <c r="AW205" s="106"/>
      <c r="AX205" s="9"/>
    </row>
    <row r="206" spans="1:50" ht="13.05" hidden="1" customHeight="1" thickBot="1" x14ac:dyDescent="0.3">
      <c r="A206" t="str">
        <f>Nutrients!B205</f>
        <v>TASA Swine Hubbard</v>
      </c>
      <c r="B206" s="106"/>
      <c r="C206" s="106"/>
      <c r="D206" s="106"/>
      <c r="E206" s="106"/>
      <c r="F206" s="106"/>
      <c r="G206" s="106"/>
      <c r="H206" s="106"/>
      <c r="I206" s="106"/>
      <c r="J206" s="106"/>
      <c r="K206" s="106"/>
      <c r="L206" s="106"/>
      <c r="M206" s="106"/>
      <c r="N206" s="106"/>
      <c r="O206" s="29"/>
      <c r="P206" s="106"/>
      <c r="Q206" s="106"/>
      <c r="R206" s="106"/>
      <c r="S206" s="106"/>
      <c r="T206" s="106"/>
      <c r="U206" s="106"/>
      <c r="V206" s="9"/>
      <c r="W206" s="106"/>
      <c r="X206" s="106"/>
      <c r="Y206" s="106"/>
      <c r="Z206" s="106"/>
      <c r="AA206" s="106"/>
      <c r="AB206" s="106"/>
      <c r="AC206" s="9"/>
      <c r="AD206" s="106"/>
      <c r="AE206" s="106"/>
      <c r="AF206" s="106"/>
      <c r="AG206" s="106"/>
      <c r="AH206" s="106"/>
      <c r="AI206" s="106"/>
      <c r="AJ206" s="9"/>
      <c r="AK206" s="106"/>
      <c r="AL206" s="106"/>
      <c r="AM206" s="106"/>
      <c r="AN206" s="106"/>
      <c r="AO206" s="106"/>
      <c r="AP206" s="106"/>
      <c r="AQ206" s="9"/>
      <c r="AR206" s="106"/>
      <c r="AS206" s="106"/>
      <c r="AT206" s="106"/>
      <c r="AU206" s="106"/>
      <c r="AV206" s="106"/>
      <c r="AW206" s="106"/>
      <c r="AX206" s="9"/>
    </row>
    <row r="207" spans="1:50" ht="13.05" hidden="1" customHeight="1" thickBot="1" x14ac:dyDescent="0.3">
      <c r="A207" t="str">
        <f>Nutrients!B206</f>
        <v>TASA fish solubles Hubbard</v>
      </c>
      <c r="B207" s="106"/>
      <c r="C207" s="106"/>
      <c r="D207" s="106"/>
      <c r="E207" s="106"/>
      <c r="F207" s="106"/>
      <c r="G207" s="106"/>
      <c r="H207" s="106"/>
      <c r="I207" s="106"/>
      <c r="J207" s="106"/>
      <c r="K207" s="106"/>
      <c r="L207" s="106"/>
      <c r="M207" s="106"/>
      <c r="N207" s="106"/>
      <c r="O207" s="29"/>
      <c r="P207" s="106"/>
      <c r="Q207" s="106"/>
      <c r="R207" s="106"/>
      <c r="S207" s="106"/>
      <c r="T207" s="106"/>
      <c r="U207" s="106"/>
      <c r="V207" s="9"/>
      <c r="W207" s="106"/>
      <c r="X207" s="106"/>
      <c r="Y207" s="106"/>
      <c r="Z207" s="106"/>
      <c r="AA207" s="106"/>
      <c r="AB207" s="106"/>
      <c r="AC207" s="9"/>
      <c r="AD207" s="106"/>
      <c r="AE207" s="106"/>
      <c r="AF207" s="106"/>
      <c r="AG207" s="106"/>
      <c r="AH207" s="106"/>
      <c r="AI207" s="106"/>
      <c r="AJ207" s="9"/>
      <c r="AK207" s="106"/>
      <c r="AL207" s="106"/>
      <c r="AM207" s="106"/>
      <c r="AN207" s="106"/>
      <c r="AO207" s="106"/>
      <c r="AP207" s="106"/>
      <c r="AQ207" s="9"/>
      <c r="AR207" s="106"/>
      <c r="AS207" s="106"/>
      <c r="AT207" s="106"/>
      <c r="AU207" s="106"/>
      <c r="AV207" s="106"/>
      <c r="AW207" s="106"/>
      <c r="AX207" s="9"/>
    </row>
    <row r="208" spans="1:50" ht="13.05" hidden="1" customHeight="1" thickBot="1" x14ac:dyDescent="0.3">
      <c r="A208" t="str">
        <f>Nutrients!B207</f>
        <v>Mepro + TASA additive Hubbard</v>
      </c>
      <c r="B208" s="106"/>
      <c r="C208" s="106"/>
      <c r="D208" s="106"/>
      <c r="E208" s="106"/>
      <c r="F208" s="106"/>
      <c r="G208" s="106"/>
      <c r="H208" s="106"/>
      <c r="I208" s="106"/>
      <c r="J208" s="106"/>
      <c r="K208" s="106"/>
      <c r="L208" s="106"/>
      <c r="M208" s="106"/>
      <c r="N208" s="106"/>
      <c r="O208" s="29"/>
      <c r="P208" s="106"/>
      <c r="Q208" s="106"/>
      <c r="R208" s="106"/>
      <c r="S208" s="106"/>
      <c r="T208" s="106"/>
      <c r="U208" s="106"/>
      <c r="V208" s="9"/>
      <c r="W208" s="106"/>
      <c r="X208" s="106"/>
      <c r="Y208" s="106"/>
      <c r="Z208" s="106"/>
      <c r="AA208" s="106"/>
      <c r="AB208" s="106"/>
      <c r="AC208" s="9"/>
      <c r="AD208" s="106"/>
      <c r="AE208" s="106"/>
      <c r="AF208" s="106"/>
      <c r="AG208" s="106"/>
      <c r="AH208" s="106"/>
      <c r="AI208" s="106"/>
      <c r="AJ208" s="9"/>
      <c r="AK208" s="106"/>
      <c r="AL208" s="106"/>
      <c r="AM208" s="106"/>
      <c r="AN208" s="106"/>
      <c r="AO208" s="106"/>
      <c r="AP208" s="106"/>
      <c r="AQ208" s="9"/>
      <c r="AR208" s="106"/>
      <c r="AS208" s="106"/>
      <c r="AT208" s="106"/>
      <c r="AU208" s="106"/>
      <c r="AV208" s="106"/>
      <c r="AW208" s="106"/>
      <c r="AX208" s="9"/>
    </row>
    <row r="209" spans="1:50" ht="13.05" hidden="1" customHeight="1" thickBot="1" x14ac:dyDescent="0.3">
      <c r="A209" t="str">
        <f>Nutrients!B208</f>
        <v>TASA Prime + TASA additive Hubbard</v>
      </c>
      <c r="B209" s="106"/>
      <c r="C209" s="106"/>
      <c r="D209" s="106"/>
      <c r="E209" s="106"/>
      <c r="F209" s="106"/>
      <c r="G209" s="106"/>
      <c r="H209" s="106"/>
      <c r="I209" s="106"/>
      <c r="J209" s="106"/>
      <c r="K209" s="106"/>
      <c r="L209" s="106"/>
      <c r="M209" s="106"/>
      <c r="N209" s="106"/>
      <c r="O209" s="29"/>
      <c r="P209" s="106"/>
      <c r="Q209" s="106"/>
      <c r="R209" s="106"/>
      <c r="S209" s="106"/>
      <c r="T209" s="106"/>
      <c r="U209" s="106"/>
      <c r="V209" s="9"/>
      <c r="W209" s="106"/>
      <c r="X209" s="106"/>
      <c r="Y209" s="106"/>
      <c r="Z209" s="106"/>
      <c r="AA209" s="106"/>
      <c r="AB209" s="106"/>
      <c r="AC209" s="9"/>
      <c r="AD209" s="106"/>
      <c r="AE209" s="106"/>
      <c r="AF209" s="106"/>
      <c r="AG209" s="106"/>
      <c r="AH209" s="106"/>
      <c r="AI209" s="106"/>
      <c r="AJ209" s="9"/>
      <c r="AK209" s="106"/>
      <c r="AL209" s="106"/>
      <c r="AM209" s="106"/>
      <c r="AN209" s="106"/>
      <c r="AO209" s="106"/>
      <c r="AP209" s="106"/>
      <c r="AQ209" s="9"/>
      <c r="AR209" s="106"/>
      <c r="AS209" s="106"/>
      <c r="AT209" s="106"/>
      <c r="AU209" s="106"/>
      <c r="AV209" s="106"/>
      <c r="AW209" s="106"/>
      <c r="AX209" s="9"/>
    </row>
    <row r="210" spans="1:50" ht="13.05" hidden="1" customHeight="1" thickBot="1" x14ac:dyDescent="0.3">
      <c r="A210" t="str">
        <f>Nutrients!B209</f>
        <v>NHF SOW VTM 4# 2022</v>
      </c>
      <c r="B210" s="106"/>
      <c r="C210" s="106"/>
      <c r="D210" s="106"/>
      <c r="E210" s="106"/>
      <c r="F210" s="106"/>
      <c r="G210" s="106"/>
      <c r="H210" s="106"/>
      <c r="I210" s="106"/>
      <c r="J210" s="106"/>
      <c r="K210" s="106"/>
      <c r="L210" s="106"/>
      <c r="M210" s="106"/>
      <c r="N210" s="106"/>
      <c r="O210" s="29"/>
      <c r="P210" s="106"/>
      <c r="Q210" s="106"/>
      <c r="R210" s="106"/>
      <c r="S210" s="106"/>
      <c r="T210" s="106"/>
      <c r="U210" s="106"/>
      <c r="V210" s="9"/>
      <c r="W210" s="106"/>
      <c r="X210" s="106"/>
      <c r="Y210" s="106"/>
      <c r="Z210" s="106"/>
      <c r="AA210" s="106"/>
      <c r="AB210" s="106"/>
      <c r="AC210" s="9"/>
      <c r="AD210" s="106"/>
      <c r="AE210" s="106"/>
      <c r="AF210" s="106"/>
      <c r="AG210" s="106"/>
      <c r="AH210" s="106"/>
      <c r="AI210" s="106"/>
      <c r="AJ210" s="9"/>
      <c r="AK210" s="106"/>
      <c r="AL210" s="106"/>
      <c r="AM210" s="106"/>
      <c r="AN210" s="106"/>
      <c r="AO210" s="106"/>
      <c r="AP210" s="106"/>
      <c r="AQ210" s="9"/>
      <c r="AR210" s="106"/>
      <c r="AS210" s="106"/>
      <c r="AT210" s="106"/>
      <c r="AU210" s="106"/>
      <c r="AV210" s="106"/>
      <c r="AW210" s="106"/>
      <c r="AX210" s="9"/>
    </row>
    <row r="211" spans="1:50" ht="13.05" hidden="1" customHeight="1" thickBot="1" x14ac:dyDescent="0.3">
      <c r="A211" t="str">
        <f>Nutrients!B210</f>
        <v xml:space="preserve">ThrPro </v>
      </c>
      <c r="B211" s="106"/>
      <c r="C211" s="106"/>
      <c r="D211" s="106"/>
      <c r="E211" s="106"/>
      <c r="F211" s="106"/>
      <c r="G211" s="106"/>
      <c r="H211" s="106"/>
      <c r="I211" s="106"/>
      <c r="J211" s="106"/>
      <c r="K211" s="106"/>
      <c r="L211" s="106"/>
      <c r="M211" s="106"/>
      <c r="N211" s="106"/>
      <c r="O211" s="29"/>
      <c r="P211" s="106"/>
      <c r="Q211" s="106"/>
      <c r="R211" s="106"/>
      <c r="S211" s="106"/>
      <c r="T211" s="106"/>
      <c r="U211" s="106"/>
      <c r="V211" s="9"/>
      <c r="W211" s="106"/>
      <c r="X211" s="106"/>
      <c r="Y211" s="106"/>
      <c r="Z211" s="106"/>
      <c r="AA211" s="106"/>
      <c r="AB211" s="106"/>
      <c r="AC211" s="9"/>
      <c r="AD211" s="106"/>
      <c r="AE211" s="106"/>
      <c r="AF211" s="106"/>
      <c r="AG211" s="106"/>
      <c r="AH211" s="106"/>
      <c r="AI211" s="106"/>
      <c r="AJ211" s="9"/>
      <c r="AK211" s="106"/>
      <c r="AL211" s="106"/>
      <c r="AM211" s="106"/>
      <c r="AN211" s="106"/>
      <c r="AO211" s="106"/>
      <c r="AP211" s="106"/>
      <c r="AQ211" s="9"/>
      <c r="AR211" s="106"/>
      <c r="AS211" s="106"/>
      <c r="AT211" s="106"/>
      <c r="AU211" s="106"/>
      <c r="AV211" s="106"/>
      <c r="AW211" s="106"/>
      <c r="AX211" s="9"/>
    </row>
    <row r="212" spans="1:50" ht="13.05" hidden="1" customHeight="1" thickBot="1" x14ac:dyDescent="0.3">
      <c r="A212" t="str">
        <f>Nutrients!B211</f>
        <v>NHF Optiphos Plus 2500 G</v>
      </c>
      <c r="B212" s="106"/>
      <c r="C212" s="106"/>
      <c r="D212" s="106"/>
      <c r="E212" s="106"/>
      <c r="F212" s="106"/>
      <c r="G212" s="106"/>
      <c r="H212" s="106"/>
      <c r="I212" s="106"/>
      <c r="J212" s="106"/>
      <c r="K212" s="106"/>
      <c r="L212" s="106"/>
      <c r="M212" s="106"/>
      <c r="N212" s="106"/>
      <c r="O212" s="29"/>
      <c r="P212" s="106"/>
      <c r="Q212" s="106"/>
      <c r="R212" s="106"/>
      <c r="S212" s="106"/>
      <c r="T212" s="106"/>
      <c r="U212" s="106"/>
      <c r="V212" s="9"/>
      <c r="W212" s="106"/>
      <c r="X212" s="106"/>
      <c r="Y212" s="106"/>
      <c r="Z212" s="106"/>
      <c r="AA212" s="106"/>
      <c r="AB212" s="106"/>
      <c r="AC212" s="9"/>
      <c r="AD212" s="106"/>
      <c r="AE212" s="106"/>
      <c r="AF212" s="106"/>
      <c r="AG212" s="106"/>
      <c r="AH212" s="106"/>
      <c r="AI212" s="106"/>
      <c r="AJ212" s="9"/>
      <c r="AK212" s="106"/>
      <c r="AL212" s="106"/>
      <c r="AM212" s="106"/>
      <c r="AN212" s="106"/>
      <c r="AO212" s="106"/>
      <c r="AP212" s="106"/>
      <c r="AQ212" s="9"/>
      <c r="AR212" s="106"/>
      <c r="AS212" s="106"/>
      <c r="AT212" s="106"/>
      <c r="AU212" s="106"/>
      <c r="AV212" s="106"/>
      <c r="AW212" s="106"/>
      <c r="AX212" s="9"/>
    </row>
    <row r="213" spans="1:50" ht="13.05" hidden="1" customHeight="1" thickBot="1" x14ac:dyDescent="0.3">
      <c r="A213" t="str">
        <f>Nutrients!B212</f>
        <v>NHF Corn DDGS, Valero, Aurora</v>
      </c>
      <c r="B213" s="106"/>
      <c r="C213" s="106"/>
      <c r="D213" s="106"/>
      <c r="E213" s="106"/>
      <c r="F213" s="106"/>
      <c r="G213" s="106"/>
      <c r="H213" s="106"/>
      <c r="I213" s="106"/>
      <c r="J213" s="106"/>
      <c r="K213" s="106"/>
      <c r="L213" s="106"/>
      <c r="M213" s="106"/>
      <c r="N213" s="106"/>
      <c r="O213" s="29"/>
      <c r="P213" s="106"/>
      <c r="Q213" s="106"/>
      <c r="R213" s="106"/>
      <c r="S213" s="106"/>
      <c r="T213" s="106"/>
      <c r="U213" s="106"/>
      <c r="V213" s="9"/>
      <c r="W213" s="106"/>
      <c r="X213" s="106"/>
      <c r="Y213" s="106"/>
      <c r="Z213" s="106"/>
      <c r="AA213" s="106"/>
      <c r="AB213" s="106"/>
      <c r="AC213" s="9"/>
      <c r="AD213" s="106"/>
      <c r="AE213" s="106"/>
      <c r="AF213" s="106"/>
      <c r="AG213" s="106"/>
      <c r="AH213" s="106"/>
      <c r="AI213" s="106"/>
      <c r="AJ213" s="9"/>
      <c r="AK213" s="106"/>
      <c r="AL213" s="106"/>
      <c r="AM213" s="106"/>
      <c r="AN213" s="106"/>
      <c r="AO213" s="106"/>
      <c r="AP213" s="106"/>
      <c r="AQ213" s="9"/>
      <c r="AR213" s="106"/>
      <c r="AS213" s="106"/>
      <c r="AT213" s="106"/>
      <c r="AU213" s="106"/>
      <c r="AV213" s="106"/>
      <c r="AW213" s="106"/>
      <c r="AX213" s="9"/>
    </row>
    <row r="214" spans="1:50" ht="13.05" hidden="1" customHeight="1" thickBot="1" x14ac:dyDescent="0.3">
      <c r="A214" t="str">
        <f>Nutrients!B213</f>
        <v>HP 300 Hubbard</v>
      </c>
      <c r="B214" s="106"/>
      <c r="C214" s="106"/>
      <c r="D214" s="106"/>
      <c r="E214" s="106"/>
      <c r="F214" s="106"/>
      <c r="G214" s="106"/>
      <c r="H214" s="106"/>
      <c r="I214" s="106"/>
      <c r="J214" s="106"/>
      <c r="K214" s="106"/>
      <c r="L214" s="106"/>
      <c r="M214" s="106"/>
      <c r="N214" s="106"/>
      <c r="O214" s="29"/>
      <c r="P214" s="106"/>
      <c r="Q214" s="106"/>
      <c r="R214" s="106"/>
      <c r="S214" s="106"/>
      <c r="T214" s="106"/>
      <c r="U214" s="106"/>
      <c r="V214" s="9"/>
      <c r="W214" s="106"/>
      <c r="X214" s="106"/>
      <c r="Y214" s="106"/>
      <c r="Z214" s="106"/>
      <c r="AA214" s="106"/>
      <c r="AB214" s="106"/>
      <c r="AC214" s="9"/>
      <c r="AD214" s="106"/>
      <c r="AE214" s="106"/>
      <c r="AF214" s="106"/>
      <c r="AG214" s="106"/>
      <c r="AH214" s="106"/>
      <c r="AI214" s="106"/>
      <c r="AJ214" s="9"/>
      <c r="AK214" s="106"/>
      <c r="AL214" s="106"/>
      <c r="AM214" s="106"/>
      <c r="AN214" s="106"/>
      <c r="AO214" s="106"/>
      <c r="AP214" s="106"/>
      <c r="AQ214" s="9"/>
      <c r="AR214" s="106"/>
      <c r="AS214" s="106"/>
      <c r="AT214" s="106"/>
      <c r="AU214" s="106"/>
      <c r="AV214" s="106"/>
      <c r="AW214" s="106"/>
      <c r="AX214" s="9"/>
    </row>
    <row r="215" spans="1:50" ht="13.05" hidden="1" customHeight="1" thickBot="1" x14ac:dyDescent="0.3">
      <c r="A215" t="str">
        <f>Nutrients!B214</f>
        <v>NHF Corn DDGS, Illuminate for Aurora</v>
      </c>
      <c r="B215" s="106"/>
      <c r="C215" s="106"/>
      <c r="D215" s="106"/>
      <c r="E215" s="106"/>
      <c r="F215" s="106"/>
      <c r="G215" s="106"/>
      <c r="H215" s="106"/>
      <c r="I215" s="106"/>
      <c r="J215" s="106"/>
      <c r="K215" s="106"/>
      <c r="L215" s="106"/>
      <c r="M215" s="106"/>
      <c r="N215" s="106"/>
      <c r="O215" s="29"/>
      <c r="P215" s="106"/>
      <c r="Q215" s="106"/>
      <c r="R215" s="106"/>
      <c r="S215" s="106"/>
      <c r="T215" s="106"/>
      <c r="U215" s="106"/>
      <c r="V215" s="9"/>
      <c r="W215" s="106"/>
      <c r="X215" s="106"/>
      <c r="Y215" s="106"/>
      <c r="Z215" s="106"/>
      <c r="AA215" s="106"/>
      <c r="AB215" s="106"/>
      <c r="AC215" s="9"/>
      <c r="AD215" s="106"/>
      <c r="AE215" s="106"/>
      <c r="AF215" s="106"/>
      <c r="AG215" s="106"/>
      <c r="AH215" s="106"/>
      <c r="AI215" s="106"/>
      <c r="AJ215" s="9"/>
      <c r="AK215" s="106"/>
      <c r="AL215" s="106"/>
      <c r="AM215" s="106"/>
      <c r="AN215" s="106"/>
      <c r="AO215" s="106"/>
      <c r="AP215" s="106"/>
      <c r="AQ215" s="9"/>
      <c r="AR215" s="106"/>
      <c r="AS215" s="106"/>
      <c r="AT215" s="106"/>
      <c r="AU215" s="106"/>
      <c r="AV215" s="106"/>
      <c r="AW215" s="106"/>
      <c r="AX215" s="9"/>
    </row>
    <row r="216" spans="1:50" ht="13.05" hidden="1" customHeight="1" thickBot="1" x14ac:dyDescent="0.3">
      <c r="A216" t="str">
        <f>Nutrients!B215</f>
        <v>NFP Corn DDGS, MO analysis</v>
      </c>
      <c r="B216" s="106"/>
      <c r="C216" s="106"/>
      <c r="D216" s="106"/>
      <c r="E216" s="106"/>
      <c r="F216" s="106"/>
      <c r="G216" s="106"/>
      <c r="H216" s="106"/>
      <c r="I216" s="106"/>
      <c r="J216" s="106"/>
      <c r="K216" s="106"/>
      <c r="L216" s="106"/>
      <c r="M216" s="106"/>
      <c r="N216" s="106"/>
      <c r="O216" s="29"/>
      <c r="P216" s="106"/>
      <c r="Q216" s="106"/>
      <c r="R216" s="106"/>
      <c r="S216" s="106"/>
      <c r="T216" s="106"/>
      <c r="U216" s="106"/>
      <c r="V216" s="9"/>
      <c r="W216" s="106"/>
      <c r="X216" s="106"/>
      <c r="Y216" s="106"/>
      <c r="Z216" s="106"/>
      <c r="AA216" s="106"/>
      <c r="AB216" s="106"/>
      <c r="AC216" s="9"/>
      <c r="AD216" s="106"/>
      <c r="AE216" s="106"/>
      <c r="AF216" s="106"/>
      <c r="AG216" s="106"/>
      <c r="AH216" s="106"/>
      <c r="AI216" s="106"/>
      <c r="AJ216" s="9"/>
      <c r="AK216" s="106"/>
      <c r="AL216" s="106"/>
      <c r="AM216" s="106"/>
      <c r="AN216" s="106"/>
      <c r="AO216" s="106"/>
      <c r="AP216" s="106"/>
      <c r="AQ216" s="9"/>
      <c r="AR216" s="106"/>
      <c r="AS216" s="106"/>
      <c r="AT216" s="106"/>
      <c r="AU216" s="106"/>
      <c r="AV216" s="106"/>
      <c r="AW216" s="106"/>
      <c r="AX216" s="9"/>
    </row>
    <row r="217" spans="1:50" ht="13.05" hidden="1" customHeight="1" thickBot="1" x14ac:dyDescent="0.3">
      <c r="A217" t="str">
        <f>Nutrients!B216</f>
        <v>NFP Smizyme 2500</v>
      </c>
      <c r="B217" s="106"/>
      <c r="C217" s="106"/>
      <c r="D217" s="106"/>
      <c r="E217" s="106"/>
      <c r="F217" s="106"/>
      <c r="G217" s="106"/>
      <c r="H217" s="106"/>
      <c r="I217" s="106"/>
      <c r="J217" s="106"/>
      <c r="K217" s="106"/>
      <c r="L217" s="106"/>
      <c r="M217" s="106"/>
      <c r="N217" s="106"/>
      <c r="O217" s="29"/>
      <c r="P217" s="106"/>
      <c r="Q217" s="106"/>
      <c r="R217" s="106"/>
      <c r="S217" s="106"/>
      <c r="T217" s="106"/>
      <c r="U217" s="106"/>
      <c r="V217" s="9"/>
      <c r="W217" s="106"/>
      <c r="X217" s="106"/>
      <c r="Y217" s="106"/>
      <c r="Z217" s="106"/>
      <c r="AA217" s="106"/>
      <c r="AB217" s="106"/>
      <c r="AC217" s="9"/>
      <c r="AD217" s="106"/>
      <c r="AE217" s="106"/>
      <c r="AF217" s="106"/>
      <c r="AG217" s="106"/>
      <c r="AH217" s="106"/>
      <c r="AI217" s="106"/>
      <c r="AJ217" s="9"/>
      <c r="AK217" s="106"/>
      <c r="AL217" s="106"/>
      <c r="AM217" s="106"/>
      <c r="AN217" s="106"/>
      <c r="AO217" s="106"/>
      <c r="AP217" s="106"/>
      <c r="AQ217" s="9"/>
      <c r="AR217" s="106"/>
      <c r="AS217" s="106"/>
      <c r="AT217" s="106"/>
      <c r="AU217" s="106"/>
      <c r="AV217" s="106"/>
      <c r="AW217" s="106"/>
      <c r="AX217" s="9"/>
    </row>
    <row r="218" spans="1:50" ht="13.05" hidden="1" customHeight="1" thickBot="1" x14ac:dyDescent="0.3">
      <c r="A218" t="str">
        <f>Nutrients!B217</f>
        <v>NHF HP300 2022 loadings</v>
      </c>
      <c r="B218" s="106"/>
      <c r="C218" s="106"/>
      <c r="D218" s="106"/>
      <c r="E218" s="106"/>
      <c r="F218" s="106"/>
      <c r="G218" s="106"/>
      <c r="H218" s="106"/>
      <c r="I218" s="106"/>
      <c r="J218" s="106"/>
      <c r="K218" s="106"/>
      <c r="L218" s="106"/>
      <c r="M218" s="106"/>
      <c r="N218" s="106"/>
      <c r="O218" s="29"/>
      <c r="P218" s="106"/>
      <c r="Q218" s="106"/>
      <c r="R218" s="106"/>
      <c r="S218" s="106"/>
      <c r="T218" s="106"/>
      <c r="U218" s="106"/>
      <c r="V218" s="9"/>
      <c r="W218" s="106"/>
      <c r="X218" s="106"/>
      <c r="Y218" s="106"/>
      <c r="Z218" s="106"/>
      <c r="AA218" s="106"/>
      <c r="AB218" s="106"/>
      <c r="AC218" s="9"/>
      <c r="AD218" s="106"/>
      <c r="AE218" s="106"/>
      <c r="AF218" s="106"/>
      <c r="AG218" s="106"/>
      <c r="AH218" s="106"/>
      <c r="AI218" s="106"/>
      <c r="AJ218" s="9"/>
      <c r="AK218" s="106"/>
      <c r="AL218" s="106"/>
      <c r="AM218" s="106"/>
      <c r="AN218" s="106"/>
      <c r="AO218" s="106"/>
      <c r="AP218" s="106"/>
      <c r="AQ218" s="9"/>
      <c r="AR218" s="106"/>
      <c r="AS218" s="106"/>
      <c r="AT218" s="106"/>
      <c r="AU218" s="106"/>
      <c r="AV218" s="106"/>
      <c r="AW218" s="106"/>
      <c r="AX218" s="9"/>
    </row>
    <row r="219" spans="1:50" ht="13.05" hidden="1" customHeight="1" thickBot="1" x14ac:dyDescent="0.3">
      <c r="A219" t="str">
        <f>Nutrients!B218</f>
        <v>NHF Liquid Lys 55%</v>
      </c>
      <c r="B219" s="106"/>
      <c r="C219" s="106"/>
      <c r="D219" s="106"/>
      <c r="E219" s="106"/>
      <c r="F219" s="106"/>
      <c r="G219" s="106"/>
      <c r="H219" s="106"/>
      <c r="I219" s="106"/>
      <c r="J219" s="106"/>
      <c r="K219" s="106"/>
      <c r="L219" s="106"/>
      <c r="M219" s="106"/>
      <c r="N219" s="106"/>
      <c r="O219" s="29"/>
      <c r="P219" s="106"/>
      <c r="Q219" s="106"/>
      <c r="R219" s="106"/>
      <c r="S219" s="106"/>
      <c r="T219" s="106"/>
      <c r="U219" s="106"/>
      <c r="V219" s="9"/>
      <c r="W219" s="106"/>
      <c r="X219" s="106"/>
      <c r="Y219" s="106"/>
      <c r="Z219" s="106"/>
      <c r="AA219" s="106"/>
      <c r="AB219" s="106"/>
      <c r="AC219" s="9"/>
      <c r="AD219" s="106"/>
      <c r="AE219" s="106"/>
      <c r="AF219" s="106"/>
      <c r="AG219" s="106"/>
      <c r="AH219" s="106"/>
      <c r="AI219" s="106"/>
      <c r="AJ219" s="9"/>
      <c r="AK219" s="106"/>
      <c r="AL219" s="106"/>
      <c r="AM219" s="106"/>
      <c r="AN219" s="106"/>
      <c r="AO219" s="106"/>
      <c r="AP219" s="106"/>
      <c r="AQ219" s="9"/>
      <c r="AR219" s="106"/>
      <c r="AS219" s="106"/>
      <c r="AT219" s="106"/>
      <c r="AU219" s="106"/>
      <c r="AV219" s="106"/>
      <c r="AW219" s="106"/>
      <c r="AX219" s="9"/>
    </row>
    <row r="220" spans="1:50" ht="13.8" thickBot="1" x14ac:dyDescent="0.3">
      <c r="A220" t="str">
        <f>Nutrients!B219</f>
        <v>Corn DDGS with varying energy</v>
      </c>
      <c r="B220" s="106"/>
      <c r="C220" s="106"/>
      <c r="D220" s="106"/>
      <c r="E220" s="106"/>
      <c r="F220" s="106"/>
      <c r="G220" s="106"/>
      <c r="H220" s="106"/>
      <c r="I220" s="106">
        <v>100</v>
      </c>
      <c r="J220" s="106">
        <v>100</v>
      </c>
      <c r="K220" s="106">
        <v>100</v>
      </c>
      <c r="L220" s="106">
        <v>100</v>
      </c>
      <c r="M220" s="106">
        <v>100</v>
      </c>
      <c r="N220" s="106"/>
      <c r="O220" s="29"/>
      <c r="P220" s="106">
        <v>200</v>
      </c>
      <c r="Q220" s="106">
        <v>200</v>
      </c>
      <c r="R220" s="106">
        <v>200</v>
      </c>
      <c r="S220" s="106">
        <v>200</v>
      </c>
      <c r="T220" s="106">
        <v>200</v>
      </c>
      <c r="U220" s="106"/>
      <c r="V220" s="9"/>
      <c r="W220" s="106">
        <v>300</v>
      </c>
      <c r="X220" s="106">
        <v>300</v>
      </c>
      <c r="Y220" s="106">
        <v>300</v>
      </c>
      <c r="Z220" s="106">
        <v>300</v>
      </c>
      <c r="AA220" s="106">
        <v>300</v>
      </c>
      <c r="AB220" s="106"/>
      <c r="AC220" s="9"/>
      <c r="AD220" s="106">
        <v>400</v>
      </c>
      <c r="AE220" s="106">
        <v>400</v>
      </c>
      <c r="AF220" s="106">
        <v>400</v>
      </c>
      <c r="AG220" s="106">
        <v>400</v>
      </c>
      <c r="AH220" s="106">
        <v>400</v>
      </c>
      <c r="AI220" s="106"/>
      <c r="AJ220" s="9"/>
      <c r="AK220" s="106">
        <v>500</v>
      </c>
      <c r="AL220" s="106">
        <v>500</v>
      </c>
      <c r="AM220" s="106">
        <v>500</v>
      </c>
      <c r="AN220" s="106">
        <v>500</v>
      </c>
      <c r="AO220" s="106">
        <v>500</v>
      </c>
      <c r="AP220" s="106"/>
      <c r="AQ220" s="9"/>
      <c r="AR220" s="106">
        <v>600</v>
      </c>
      <c r="AS220" s="106">
        <v>600</v>
      </c>
      <c r="AT220" s="106">
        <v>600</v>
      </c>
      <c r="AU220" s="106">
        <v>600</v>
      </c>
      <c r="AV220" s="106">
        <v>600</v>
      </c>
      <c r="AW220" s="106"/>
      <c r="AX220" s="9"/>
    </row>
    <row r="221" spans="1:50" ht="13.05" hidden="1" customHeight="1" x14ac:dyDescent="0.25">
      <c r="A221" t="str">
        <f>Nutrients!B220</f>
        <v>Other ingredient</v>
      </c>
      <c r="B221" s="99"/>
      <c r="C221" s="99"/>
      <c r="D221" s="99"/>
      <c r="E221" s="99"/>
      <c r="F221" s="99"/>
      <c r="G221" s="99"/>
      <c r="H221" s="99"/>
      <c r="I221" s="99"/>
      <c r="J221" s="99"/>
      <c r="K221" s="99"/>
      <c r="L221" s="99"/>
      <c r="M221" s="99"/>
      <c r="N221" s="99"/>
      <c r="O221" s="10"/>
      <c r="P221" s="99"/>
      <c r="Q221" s="99"/>
      <c r="R221" s="99"/>
      <c r="S221" s="99"/>
      <c r="T221" s="99"/>
      <c r="U221" s="99"/>
      <c r="W221" s="99"/>
      <c r="X221" s="99"/>
      <c r="Y221" s="99"/>
      <c r="Z221" s="99"/>
      <c r="AA221" s="99"/>
      <c r="AB221" s="99"/>
      <c r="AD221" s="99"/>
      <c r="AE221" s="99"/>
      <c r="AF221" s="99"/>
      <c r="AG221" s="99"/>
      <c r="AH221" s="99"/>
      <c r="AI221" s="99"/>
      <c r="AK221" s="99"/>
      <c r="AL221" s="99"/>
      <c r="AM221" s="99"/>
      <c r="AN221" s="99"/>
      <c r="AO221" s="99"/>
      <c r="AP221" s="99"/>
      <c r="AR221" s="99"/>
      <c r="AS221" s="99"/>
      <c r="AT221" s="99"/>
      <c r="AU221" s="99"/>
      <c r="AV221" s="99"/>
      <c r="AW221" s="99"/>
    </row>
    <row r="222" spans="1:50" ht="13.05" hidden="1" customHeight="1" x14ac:dyDescent="0.25">
      <c r="A222" t="str">
        <f>Nutrients!B221</f>
        <v>Other ingredient</v>
      </c>
      <c r="B222" s="99"/>
      <c r="C222" s="99"/>
      <c r="D222" s="99"/>
      <c r="E222" s="99"/>
      <c r="F222" s="99"/>
      <c r="G222" s="99"/>
      <c r="H222" s="99"/>
      <c r="I222" s="99"/>
      <c r="J222" s="99"/>
      <c r="K222" s="99"/>
      <c r="L222" s="99"/>
      <c r="M222" s="99"/>
      <c r="N222" s="99"/>
      <c r="O222" s="10"/>
      <c r="P222" s="99"/>
      <c r="Q222" s="99"/>
      <c r="R222" s="99"/>
      <c r="S222" s="99"/>
      <c r="T222" s="99"/>
      <c r="U222" s="99"/>
      <c r="W222" s="99"/>
      <c r="X222" s="99"/>
      <c r="Y222" s="99"/>
      <c r="Z222" s="99"/>
      <c r="AA222" s="99"/>
      <c r="AB222" s="99"/>
      <c r="AD222" s="99"/>
      <c r="AE222" s="99"/>
      <c r="AF222" s="99"/>
      <c r="AG222" s="99"/>
      <c r="AH222" s="99"/>
      <c r="AI222" s="99"/>
      <c r="AK222" s="99"/>
      <c r="AL222" s="99"/>
      <c r="AM222" s="99"/>
      <c r="AN222" s="99"/>
      <c r="AO222" s="99"/>
      <c r="AP222" s="99"/>
      <c r="AR222" s="99"/>
      <c r="AS222" s="99"/>
      <c r="AT222" s="99"/>
      <c r="AU222" s="99"/>
      <c r="AV222" s="99"/>
      <c r="AW222" s="99"/>
    </row>
    <row r="223" spans="1:50" ht="13.05" hidden="1" customHeight="1" x14ac:dyDescent="0.25">
      <c r="A223" t="str">
        <f>Nutrients!B222</f>
        <v>Other ingredient</v>
      </c>
      <c r="B223" s="99"/>
      <c r="C223" s="99"/>
      <c r="D223" s="99"/>
      <c r="E223" s="99"/>
      <c r="F223" s="99"/>
      <c r="G223" s="99"/>
      <c r="H223" s="99"/>
      <c r="I223" s="99"/>
      <c r="J223" s="99"/>
      <c r="K223" s="99"/>
      <c r="L223" s="99"/>
      <c r="M223" s="99"/>
      <c r="N223" s="99"/>
      <c r="O223" s="10"/>
      <c r="P223" s="99"/>
      <c r="Q223" s="99"/>
      <c r="R223" s="99"/>
      <c r="S223" s="99"/>
      <c r="T223" s="99"/>
      <c r="U223" s="99"/>
      <c r="W223" s="99"/>
      <c r="X223" s="99"/>
      <c r="Y223" s="99"/>
      <c r="Z223" s="99"/>
      <c r="AA223" s="99"/>
      <c r="AB223" s="99"/>
      <c r="AD223" s="99"/>
      <c r="AE223" s="99"/>
      <c r="AF223" s="99"/>
      <c r="AG223" s="99"/>
      <c r="AH223" s="99"/>
      <c r="AI223" s="99"/>
      <c r="AK223" s="99"/>
      <c r="AL223" s="99"/>
      <c r="AM223" s="99"/>
      <c r="AN223" s="99"/>
      <c r="AO223" s="99"/>
      <c r="AP223" s="99"/>
      <c r="AR223" s="99"/>
      <c r="AS223" s="99"/>
      <c r="AT223" s="99"/>
      <c r="AU223" s="99"/>
      <c r="AV223" s="99"/>
      <c r="AW223" s="99"/>
    </row>
    <row r="224" spans="1:50" ht="13.05" hidden="1" customHeight="1" x14ac:dyDescent="0.25">
      <c r="A224" t="str">
        <f>Nutrients!B223</f>
        <v>Other ingredient</v>
      </c>
      <c r="B224" s="99"/>
      <c r="C224" s="99"/>
      <c r="D224" s="99"/>
      <c r="E224" s="99"/>
      <c r="F224" s="99"/>
      <c r="G224" s="99"/>
      <c r="H224" s="99"/>
      <c r="I224" s="99"/>
      <c r="J224" s="99"/>
      <c r="K224" s="99"/>
      <c r="L224" s="99"/>
      <c r="M224" s="99"/>
      <c r="N224" s="99"/>
      <c r="O224" s="10"/>
      <c r="P224" s="99"/>
      <c r="Q224" s="99"/>
      <c r="R224" s="99"/>
      <c r="S224" s="99"/>
      <c r="T224" s="99"/>
      <c r="U224" s="99"/>
      <c r="W224" s="99"/>
      <c r="X224" s="99"/>
      <c r="Y224" s="99"/>
      <c r="Z224" s="99"/>
      <c r="AA224" s="99"/>
      <c r="AB224" s="99"/>
      <c r="AD224" s="99"/>
      <c r="AE224" s="99"/>
      <c r="AF224" s="99"/>
      <c r="AG224" s="99"/>
      <c r="AH224" s="99"/>
      <c r="AI224" s="99"/>
      <c r="AK224" s="99"/>
      <c r="AL224" s="99"/>
      <c r="AM224" s="99"/>
      <c r="AN224" s="99"/>
      <c r="AO224" s="99"/>
      <c r="AP224" s="99"/>
      <c r="AR224" s="99"/>
      <c r="AS224" s="99"/>
      <c r="AT224" s="99"/>
      <c r="AU224" s="99"/>
      <c r="AV224" s="99"/>
      <c r="AW224" s="99"/>
    </row>
    <row r="225" spans="1:50" ht="13.05" hidden="1" customHeight="1" x14ac:dyDescent="0.25">
      <c r="A225" t="str">
        <f>Nutrients!B224</f>
        <v>Other ingredient</v>
      </c>
      <c r="B225" s="99"/>
      <c r="C225" s="99"/>
      <c r="D225" s="99"/>
      <c r="E225" s="99"/>
      <c r="F225" s="99"/>
      <c r="G225" s="99"/>
      <c r="H225" s="99"/>
      <c r="I225" s="99"/>
      <c r="J225" s="99"/>
      <c r="K225" s="99"/>
      <c r="L225" s="99"/>
      <c r="M225" s="99"/>
      <c r="N225" s="99"/>
      <c r="O225" s="10"/>
      <c r="P225" s="99"/>
      <c r="Q225" s="99"/>
      <c r="R225" s="99"/>
      <c r="S225" s="99"/>
      <c r="T225" s="99"/>
      <c r="U225" s="99"/>
      <c r="W225" s="99"/>
      <c r="X225" s="99"/>
      <c r="Y225" s="99"/>
      <c r="Z225" s="99"/>
      <c r="AA225" s="99"/>
      <c r="AB225" s="99"/>
      <c r="AD225" s="99"/>
      <c r="AE225" s="99"/>
      <c r="AF225" s="99"/>
      <c r="AG225" s="99"/>
      <c r="AH225" s="99"/>
      <c r="AI225" s="99"/>
      <c r="AK225" s="99"/>
      <c r="AL225" s="99"/>
      <c r="AM225" s="99"/>
      <c r="AN225" s="99"/>
      <c r="AO225" s="99"/>
      <c r="AP225" s="99"/>
      <c r="AR225" s="99"/>
      <c r="AS225" s="99"/>
      <c r="AT225" s="99"/>
      <c r="AU225" s="99"/>
      <c r="AV225" s="99"/>
      <c r="AW225" s="99"/>
    </row>
    <row r="226" spans="1:50" ht="13.05" hidden="1" customHeight="1" x14ac:dyDescent="0.25">
      <c r="A226" t="str">
        <f>Nutrients!B225</f>
        <v>Other ingredient</v>
      </c>
      <c r="B226" s="99"/>
      <c r="C226" s="99"/>
      <c r="D226" s="99"/>
      <c r="E226" s="99"/>
      <c r="F226" s="99"/>
      <c r="G226" s="99"/>
      <c r="H226" s="99"/>
      <c r="I226" s="99"/>
      <c r="J226" s="99"/>
      <c r="K226" s="99"/>
      <c r="L226" s="99"/>
      <c r="M226" s="99"/>
      <c r="N226" s="99"/>
      <c r="O226" s="10"/>
      <c r="P226" s="99"/>
      <c r="Q226" s="99"/>
      <c r="R226" s="99"/>
      <c r="S226" s="99"/>
      <c r="T226" s="99"/>
      <c r="U226" s="99"/>
      <c r="W226" s="99"/>
      <c r="X226" s="99"/>
      <c r="Y226" s="99"/>
      <c r="Z226" s="99"/>
      <c r="AA226" s="99"/>
      <c r="AB226" s="99"/>
      <c r="AD226" s="99"/>
      <c r="AE226" s="99"/>
      <c r="AF226" s="99"/>
      <c r="AG226" s="99"/>
      <c r="AH226" s="99"/>
      <c r="AI226" s="99"/>
      <c r="AK226" s="99"/>
      <c r="AL226" s="99"/>
      <c r="AM226" s="99"/>
      <c r="AN226" s="99"/>
      <c r="AO226" s="99"/>
      <c r="AP226" s="99"/>
      <c r="AR226" s="99"/>
      <c r="AS226" s="99"/>
      <c r="AT226" s="99"/>
      <c r="AU226" s="99"/>
      <c r="AV226" s="99"/>
      <c r="AW226" s="99"/>
    </row>
    <row r="227" spans="1:50" ht="13.05" hidden="1" customHeight="1" x14ac:dyDescent="0.25">
      <c r="A227" t="str">
        <f>Nutrients!B226</f>
        <v>Other ingredient</v>
      </c>
      <c r="B227" s="99"/>
      <c r="C227" s="99"/>
      <c r="D227" s="99"/>
      <c r="E227" s="99"/>
      <c r="F227" s="99"/>
      <c r="G227" s="99"/>
      <c r="H227" s="99"/>
      <c r="I227" s="99"/>
      <c r="J227" s="99"/>
      <c r="K227" s="99"/>
      <c r="L227" s="99"/>
      <c r="M227" s="99"/>
      <c r="N227" s="99"/>
      <c r="O227" s="10"/>
      <c r="P227" s="99"/>
      <c r="Q227" s="99"/>
      <c r="R227" s="99"/>
      <c r="S227" s="99"/>
      <c r="T227" s="99"/>
      <c r="U227" s="99"/>
      <c r="W227" s="99"/>
      <c r="X227" s="99"/>
      <c r="Y227" s="99"/>
      <c r="Z227" s="99"/>
      <c r="AA227" s="99"/>
      <c r="AB227" s="99"/>
      <c r="AD227" s="99"/>
      <c r="AE227" s="99"/>
      <c r="AF227" s="99"/>
      <c r="AG227" s="99"/>
      <c r="AH227" s="99"/>
      <c r="AI227" s="99"/>
      <c r="AK227" s="99"/>
      <c r="AL227" s="99"/>
      <c r="AM227" s="99"/>
      <c r="AN227" s="99"/>
      <c r="AO227" s="99"/>
      <c r="AP227" s="99"/>
      <c r="AR227" s="99"/>
      <c r="AS227" s="99"/>
      <c r="AT227" s="99"/>
      <c r="AU227" s="99"/>
      <c r="AV227" s="99"/>
      <c r="AW227" s="99"/>
    </row>
    <row r="228" spans="1:50" ht="13.05" hidden="1" customHeight="1" x14ac:dyDescent="0.25">
      <c r="A228" t="str">
        <f>Nutrients!B227</f>
        <v>Other ingredient</v>
      </c>
      <c r="B228" s="99"/>
      <c r="C228" s="99"/>
      <c r="D228" s="99"/>
      <c r="E228" s="99"/>
      <c r="F228" s="99"/>
      <c r="G228" s="99"/>
      <c r="H228" s="99"/>
      <c r="I228" s="99"/>
      <c r="J228" s="99"/>
      <c r="K228" s="99"/>
      <c r="L228" s="99"/>
      <c r="M228" s="99"/>
      <c r="N228" s="99"/>
      <c r="O228" s="10"/>
      <c r="P228" s="99"/>
      <c r="Q228" s="99"/>
      <c r="R228" s="99"/>
      <c r="S228" s="99"/>
      <c r="T228" s="99"/>
      <c r="U228" s="99"/>
      <c r="W228" s="99"/>
      <c r="X228" s="99"/>
      <c r="Y228" s="99"/>
      <c r="Z228" s="99"/>
      <c r="AA228" s="99"/>
      <c r="AB228" s="99"/>
      <c r="AD228" s="99"/>
      <c r="AE228" s="99"/>
      <c r="AF228" s="99"/>
      <c r="AG228" s="99"/>
      <c r="AH228" s="99"/>
      <c r="AI228" s="99"/>
      <c r="AK228" s="99"/>
      <c r="AL228" s="99"/>
      <c r="AM228" s="99"/>
      <c r="AN228" s="99"/>
      <c r="AO228" s="99"/>
      <c r="AP228" s="99"/>
      <c r="AR228" s="99"/>
      <c r="AS228" s="99"/>
      <c r="AT228" s="99"/>
      <c r="AU228" s="99"/>
      <c r="AV228" s="99"/>
      <c r="AW228" s="99"/>
    </row>
    <row r="229" spans="1:50" ht="13.95" hidden="1" customHeight="1" x14ac:dyDescent="0.25">
      <c r="A229" t="str">
        <f>Nutrients!B228</f>
        <v>Other ingredient</v>
      </c>
      <c r="B229" s="99"/>
      <c r="C229" s="99"/>
      <c r="D229" s="99"/>
      <c r="E229" s="99"/>
      <c r="F229" s="99"/>
      <c r="G229" s="99"/>
      <c r="H229" s="99"/>
      <c r="I229" s="99"/>
      <c r="J229" s="99"/>
      <c r="K229" s="99"/>
      <c r="L229" s="99"/>
      <c r="M229" s="99"/>
      <c r="N229" s="99"/>
      <c r="O229" s="10"/>
      <c r="P229" s="99"/>
      <c r="Q229" s="99"/>
      <c r="R229" s="99"/>
      <c r="S229" s="99"/>
      <c r="T229" s="99"/>
      <c r="U229" s="99"/>
      <c r="W229" s="99"/>
      <c r="X229" s="99"/>
      <c r="Y229" s="99"/>
      <c r="Z229" s="99"/>
      <c r="AA229" s="99"/>
      <c r="AB229" s="99"/>
      <c r="AD229" s="99"/>
      <c r="AE229" s="99"/>
      <c r="AF229" s="99"/>
      <c r="AG229" s="99"/>
      <c r="AH229" s="99"/>
      <c r="AI229" s="99"/>
      <c r="AK229" s="99"/>
      <c r="AL229" s="99"/>
      <c r="AM229" s="99"/>
      <c r="AN229" s="99"/>
      <c r="AO229" s="99"/>
      <c r="AP229" s="99"/>
      <c r="AR229" s="99"/>
      <c r="AS229" s="99"/>
      <c r="AT229" s="99"/>
      <c r="AU229" s="99"/>
      <c r="AV229" s="99"/>
      <c r="AW229" s="99"/>
    </row>
    <row r="230" spans="1:50" x14ac:dyDescent="0.25">
      <c r="A230" s="1" t="s">
        <v>17</v>
      </c>
      <c r="B230" s="292">
        <f t="shared" ref="B230:G230" si="13">SUM(B7:B229)</f>
        <v>2000</v>
      </c>
      <c r="C230" s="292">
        <f t="shared" si="13"/>
        <v>2000</v>
      </c>
      <c r="D230" s="292">
        <f t="shared" si="13"/>
        <v>2000</v>
      </c>
      <c r="E230" s="292">
        <f t="shared" si="13"/>
        <v>2000</v>
      </c>
      <c r="F230" s="292">
        <f t="shared" si="13"/>
        <v>2000</v>
      </c>
      <c r="G230" s="292">
        <f t="shared" si="13"/>
        <v>1999.9999999999998</v>
      </c>
      <c r="H230" s="292"/>
      <c r="I230" s="292">
        <f t="shared" ref="I230:N230" si="14">SUM(I7:I229)</f>
        <v>2000.0000000000002</v>
      </c>
      <c r="J230" s="292">
        <f t="shared" si="14"/>
        <v>2000</v>
      </c>
      <c r="K230" s="292">
        <f t="shared" si="14"/>
        <v>2000</v>
      </c>
      <c r="L230" s="292">
        <f t="shared" si="14"/>
        <v>1999.9999999999998</v>
      </c>
      <c r="M230" s="292">
        <f t="shared" si="14"/>
        <v>2000.0000000000002</v>
      </c>
      <c r="N230" s="292">
        <f t="shared" si="14"/>
        <v>1999.9999999999998</v>
      </c>
      <c r="O230" s="9"/>
      <c r="P230" s="292">
        <f t="shared" ref="P230:U230" si="15">SUM(P7:P229)</f>
        <v>2000.0000000000002</v>
      </c>
      <c r="Q230" s="292">
        <f t="shared" si="15"/>
        <v>1999.9999999999998</v>
      </c>
      <c r="R230" s="292">
        <f t="shared" si="15"/>
        <v>2000</v>
      </c>
      <c r="S230" s="292">
        <f t="shared" si="15"/>
        <v>2000.0000000000002</v>
      </c>
      <c r="T230" s="292">
        <f t="shared" si="15"/>
        <v>2000.0000000000002</v>
      </c>
      <c r="U230" s="292">
        <f t="shared" si="15"/>
        <v>1999.9999999999998</v>
      </c>
      <c r="W230" s="292">
        <f t="shared" ref="W230:AB230" si="16">SUM(W7:W229)</f>
        <v>2000.0000000000002</v>
      </c>
      <c r="X230" s="292">
        <f t="shared" si="16"/>
        <v>2000</v>
      </c>
      <c r="Y230" s="292">
        <f t="shared" si="16"/>
        <v>2000</v>
      </c>
      <c r="Z230" s="292">
        <f t="shared" si="16"/>
        <v>2000</v>
      </c>
      <c r="AA230" s="292">
        <f t="shared" si="16"/>
        <v>2000</v>
      </c>
      <c r="AB230" s="292">
        <f t="shared" si="16"/>
        <v>1999.9999999999998</v>
      </c>
      <c r="AD230" s="292">
        <f t="shared" ref="AD230:AI230" si="17">SUM(AD7:AD229)</f>
        <v>2000</v>
      </c>
      <c r="AE230" s="292">
        <f t="shared" si="17"/>
        <v>2000.0000000000002</v>
      </c>
      <c r="AF230" s="292">
        <f t="shared" si="17"/>
        <v>1999.9999999999998</v>
      </c>
      <c r="AG230" s="292">
        <f t="shared" si="17"/>
        <v>2000</v>
      </c>
      <c r="AH230" s="292">
        <f t="shared" si="17"/>
        <v>2000</v>
      </c>
      <c r="AI230" s="292">
        <f t="shared" si="17"/>
        <v>1999.9999999999998</v>
      </c>
      <c r="AK230" s="292">
        <f t="shared" ref="AK230:AP230" si="18">SUM(AK7:AK229)</f>
        <v>2000</v>
      </c>
      <c r="AL230" s="292">
        <f t="shared" si="18"/>
        <v>2000</v>
      </c>
      <c r="AM230" s="292">
        <f t="shared" si="18"/>
        <v>2000.0000000000002</v>
      </c>
      <c r="AN230" s="292">
        <f t="shared" si="18"/>
        <v>2000.0000000000002</v>
      </c>
      <c r="AO230" s="292">
        <f t="shared" si="18"/>
        <v>2000</v>
      </c>
      <c r="AP230" s="292">
        <f t="shared" si="18"/>
        <v>1999.9999999999998</v>
      </c>
      <c r="AR230" s="292">
        <f t="shared" ref="AR230:AW230" si="19">SUM(AR7:AR229)</f>
        <v>2000</v>
      </c>
      <c r="AS230" s="292">
        <f t="shared" si="19"/>
        <v>2000</v>
      </c>
      <c r="AT230" s="292">
        <f t="shared" si="19"/>
        <v>2000.0000000000005</v>
      </c>
      <c r="AU230" s="292">
        <f t="shared" si="19"/>
        <v>2000</v>
      </c>
      <c r="AV230" s="292">
        <f t="shared" si="19"/>
        <v>2000</v>
      </c>
      <c r="AW230" s="292">
        <f t="shared" si="19"/>
        <v>1999.9999999999998</v>
      </c>
    </row>
    <row r="231" spans="1:50" x14ac:dyDescent="0.25">
      <c r="A231" s="9"/>
      <c r="B231" s="7"/>
      <c r="C231" s="7"/>
      <c r="D231" s="7"/>
      <c r="E231" s="7"/>
      <c r="F231" s="7"/>
      <c r="G231" s="7"/>
      <c r="H231" s="7"/>
      <c r="I231" s="7"/>
      <c r="J231" s="7"/>
      <c r="K231" s="7"/>
      <c r="L231" s="7"/>
      <c r="M231" s="7"/>
      <c r="N231" s="7"/>
      <c r="O231" s="7"/>
      <c r="P231" s="7"/>
      <c r="Q231" s="7"/>
      <c r="R231" s="7"/>
      <c r="S231" s="7"/>
      <c r="T231" s="7"/>
      <c r="U231" s="7"/>
      <c r="W231" s="7"/>
      <c r="X231" s="7"/>
      <c r="Y231" s="7"/>
      <c r="Z231" s="7"/>
      <c r="AA231" s="7"/>
      <c r="AB231" s="7"/>
      <c r="AD231" s="7"/>
      <c r="AE231" s="7"/>
      <c r="AF231" s="7"/>
      <c r="AG231" s="7"/>
      <c r="AH231" s="7"/>
      <c r="AI231" s="7"/>
      <c r="AK231" s="7"/>
      <c r="AL231" s="7"/>
      <c r="AM231" s="7"/>
      <c r="AN231" s="7"/>
      <c r="AO231" s="7"/>
      <c r="AP231" s="7"/>
      <c r="AR231" s="7"/>
      <c r="AS231" s="7"/>
      <c r="AT231" s="7"/>
      <c r="AU231" s="7"/>
      <c r="AV231" s="7"/>
      <c r="AW231" s="7"/>
    </row>
    <row r="232" spans="1:50" x14ac:dyDescent="0.25">
      <c r="A232" s="41" t="s">
        <v>348</v>
      </c>
      <c r="B232" s="33">
        <f t="shared" ref="B232:G232" si="20" xml:space="preserve">  0.0000415*((B5+B6)/2)^2 - 0.0236*((B5+B6)/2) + 6.096</f>
        <v>4.6920843750000003</v>
      </c>
      <c r="C232" s="33">
        <f t="shared" si="20"/>
        <v>4.1130093749999999</v>
      </c>
      <c r="D232" s="33">
        <f t="shared" si="20"/>
        <v>3.6054000000000004</v>
      </c>
      <c r="E232" s="33">
        <f t="shared" si="20"/>
        <v>3.1925999999999997</v>
      </c>
      <c r="F232" s="33">
        <f t="shared" si="20"/>
        <v>2.9125999999999999</v>
      </c>
      <c r="G232" s="33">
        <f t="shared" si="20"/>
        <v>2.7606093749999996</v>
      </c>
      <c r="H232" s="33"/>
      <c r="I232" s="33">
        <f t="shared" ref="I232:N232" si="21" xml:space="preserve">  0.0000415*((I5+I6)/2)^2 - 0.0236*((I5+I6)/2) + 6.096</f>
        <v>4.6920843750000003</v>
      </c>
      <c r="J232" s="33">
        <f t="shared" si="21"/>
        <v>4.1130093749999999</v>
      </c>
      <c r="K232" s="33">
        <f t="shared" si="21"/>
        <v>3.6054000000000004</v>
      </c>
      <c r="L232" s="33">
        <f t="shared" si="21"/>
        <v>3.1925999999999997</v>
      </c>
      <c r="M232" s="33">
        <f t="shared" si="21"/>
        <v>2.9125999999999999</v>
      </c>
      <c r="N232" s="33">
        <f t="shared" si="21"/>
        <v>2.7606093749999996</v>
      </c>
      <c r="O232" s="33"/>
      <c r="P232" s="33">
        <f t="shared" ref="P232:U232" si="22" xml:space="preserve">  0.0000415*((P5+P6)/2)^2 - 0.0236*((P5+P6)/2) + 6.096</f>
        <v>4.6920843750000003</v>
      </c>
      <c r="Q232" s="33">
        <f t="shared" si="22"/>
        <v>4.1130093749999999</v>
      </c>
      <c r="R232" s="33">
        <f t="shared" si="22"/>
        <v>3.6054000000000004</v>
      </c>
      <c r="S232" s="33">
        <f t="shared" si="22"/>
        <v>3.1925999999999997</v>
      </c>
      <c r="T232" s="33">
        <f t="shared" si="22"/>
        <v>2.9125999999999999</v>
      </c>
      <c r="U232" s="33">
        <f t="shared" si="22"/>
        <v>2.7606093749999996</v>
      </c>
      <c r="W232" s="33">
        <f t="shared" ref="W232:AB232" si="23" xml:space="preserve">  0.0000415*((W5+W6)/2)^2 - 0.0236*((W5+W6)/2) + 6.096</f>
        <v>4.6920843750000003</v>
      </c>
      <c r="X232" s="33">
        <f t="shared" si="23"/>
        <v>4.1130093749999999</v>
      </c>
      <c r="Y232" s="33">
        <f t="shared" si="23"/>
        <v>3.6054000000000004</v>
      </c>
      <c r="Z232" s="33">
        <f t="shared" si="23"/>
        <v>3.1925999999999997</v>
      </c>
      <c r="AA232" s="33">
        <f t="shared" si="23"/>
        <v>2.9125999999999999</v>
      </c>
      <c r="AB232" s="33">
        <f t="shared" si="23"/>
        <v>2.7606093749999996</v>
      </c>
      <c r="AD232" s="33">
        <f t="shared" ref="AD232:AI232" si="24" xml:space="preserve">  0.0000415*((AD5+AD6)/2)^2 - 0.0236*((AD5+AD6)/2) + 6.096</f>
        <v>4.6920843750000003</v>
      </c>
      <c r="AE232" s="33">
        <f t="shared" si="24"/>
        <v>4.1130093749999999</v>
      </c>
      <c r="AF232" s="33">
        <f t="shared" si="24"/>
        <v>3.6054000000000004</v>
      </c>
      <c r="AG232" s="33">
        <f t="shared" si="24"/>
        <v>3.1925999999999997</v>
      </c>
      <c r="AH232" s="33">
        <f t="shared" si="24"/>
        <v>2.9125999999999999</v>
      </c>
      <c r="AI232" s="33">
        <f t="shared" si="24"/>
        <v>2.7606093749999996</v>
      </c>
      <c r="AK232" s="33">
        <f t="shared" ref="AK232:AP232" si="25" xml:space="preserve">  0.0000415*((AK5+AK6)/2)^2 - 0.0236*((AK5+AK6)/2) + 6.096</f>
        <v>4.6920843750000003</v>
      </c>
      <c r="AL232" s="33">
        <f t="shared" si="25"/>
        <v>4.1130093749999999</v>
      </c>
      <c r="AM232" s="33">
        <f t="shared" si="25"/>
        <v>3.6054000000000004</v>
      </c>
      <c r="AN232" s="33">
        <f t="shared" si="25"/>
        <v>3.1925999999999997</v>
      </c>
      <c r="AO232" s="33">
        <f t="shared" si="25"/>
        <v>2.9125999999999999</v>
      </c>
      <c r="AP232" s="33">
        <f t="shared" si="25"/>
        <v>2.7606093749999996</v>
      </c>
      <c r="AR232" s="33">
        <f t="shared" ref="AR232:AW232" si="26" xml:space="preserve">  0.0000415*((AR5+AR6)/2)^2 - 0.0236*((AR5+AR6)/2) + 6.096</f>
        <v>4.6920843750000003</v>
      </c>
      <c r="AS232" s="33">
        <f t="shared" si="26"/>
        <v>4.1130093749999999</v>
      </c>
      <c r="AT232" s="33">
        <f t="shared" si="26"/>
        <v>3.6054000000000004</v>
      </c>
      <c r="AU232" s="33">
        <f t="shared" si="26"/>
        <v>3.1925999999999997</v>
      </c>
      <c r="AV232" s="33">
        <f t="shared" si="26"/>
        <v>2.9125999999999999</v>
      </c>
      <c r="AW232" s="33">
        <f t="shared" si="26"/>
        <v>2.7606093749999996</v>
      </c>
    </row>
    <row r="233" spans="1:50" x14ac:dyDescent="0.25">
      <c r="A233" s="40" t="s">
        <v>108</v>
      </c>
      <c r="B233" s="26">
        <f t="shared" ref="B233:G233" si="27">IF(B232="","",B250*2.2046*B232/10000)</f>
        <v>1.1871600863382354</v>
      </c>
      <c r="C233" s="26">
        <f t="shared" si="27"/>
        <v>1.0488451848987548</v>
      </c>
      <c r="D233" s="26">
        <f t="shared" si="27"/>
        <v>0.92572438073141317</v>
      </c>
      <c r="E233" s="26">
        <f t="shared" si="27"/>
        <v>0.8245835224120116</v>
      </c>
      <c r="F233" s="26">
        <f t="shared" si="27"/>
        <v>0.755458195622838</v>
      </c>
      <c r="G233" s="26">
        <f t="shared" si="27"/>
        <v>0.71736927197173905</v>
      </c>
      <c r="H233" s="26"/>
      <c r="I233" s="26">
        <f t="shared" ref="I233:N233" si="28">IF(I232="","",I250*2.2046*I232/10000)</f>
        <v>1.1774776818496377</v>
      </c>
      <c r="J233" s="26">
        <f t="shared" si="28"/>
        <v>1.0402711661584119</v>
      </c>
      <c r="K233" s="26">
        <f t="shared" si="28"/>
        <v>0.91815722126548338</v>
      </c>
      <c r="L233" s="26">
        <f t="shared" si="28"/>
        <v>0.8180341815201696</v>
      </c>
      <c r="M233" s="26">
        <f t="shared" si="28"/>
        <v>0.74943263455094744</v>
      </c>
      <c r="N233" s="26">
        <f t="shared" si="28"/>
        <v>0.71736927197173905</v>
      </c>
      <c r="O233" s="26"/>
      <c r="P233" s="26">
        <f t="shared" ref="P233:U233" si="29">IF(P232="","",P250*2.2046*P232/10000)</f>
        <v>1.1676752516750242</v>
      </c>
      <c r="Q233" s="26">
        <f t="shared" si="29"/>
        <v>1.0316441123795455</v>
      </c>
      <c r="R233" s="26">
        <f t="shared" si="29"/>
        <v>0.91054937380477063</v>
      </c>
      <c r="S233" s="26">
        <f t="shared" si="29"/>
        <v>0.81131324375710157</v>
      </c>
      <c r="T233" s="26">
        <f t="shared" si="29"/>
        <v>0.74331238297594904</v>
      </c>
      <c r="U233" s="26">
        <f t="shared" si="29"/>
        <v>0.71736927197173905</v>
      </c>
      <c r="W233" s="26">
        <f t="shared" ref="W233:AB233" si="30">IF(W232="","",W250*2.2046*W232/10000)</f>
        <v>1.1578935868843403</v>
      </c>
      <c r="X233" s="26">
        <f t="shared" si="30"/>
        <v>1.0230298278603056</v>
      </c>
      <c r="Y233" s="26">
        <f t="shared" si="30"/>
        <v>0.90301761756554366</v>
      </c>
      <c r="Z233" s="26">
        <f t="shared" si="30"/>
        <v>0.80461043756340822</v>
      </c>
      <c r="AA233" s="26">
        <f t="shared" si="30"/>
        <v>0.73721516099794193</v>
      </c>
      <c r="AB233" s="26">
        <f t="shared" si="30"/>
        <v>0.71736927197173905</v>
      </c>
      <c r="AD233" s="26">
        <f t="shared" ref="AD233:AI233" si="31">IF(AD232="","",AD250*2.2046*AD232/10000)</f>
        <v>1.1481049618373196</v>
      </c>
      <c r="AE233" s="26">
        <f t="shared" si="31"/>
        <v>1.0144639494549055</v>
      </c>
      <c r="AF233" s="26">
        <f t="shared" si="31"/>
        <v>0.89545301472649386</v>
      </c>
      <c r="AG233" s="26">
        <f t="shared" si="31"/>
        <v>0.79793278240975041</v>
      </c>
      <c r="AH233" s="26">
        <f t="shared" si="31"/>
        <v>0.73067540078616933</v>
      </c>
      <c r="AI233" s="26">
        <f t="shared" si="31"/>
        <v>0.71736927197173905</v>
      </c>
      <c r="AK233" s="26">
        <f t="shared" ref="AK233:AP233" si="32">IF(AK232="","",AK250*2.2046*AK232/10000)</f>
        <v>1.1380394285773874</v>
      </c>
      <c r="AL233" s="26">
        <f t="shared" si="32"/>
        <v>1.005892451671029</v>
      </c>
      <c r="AM233" s="26">
        <f t="shared" si="32"/>
        <v>0.88795697032716892</v>
      </c>
      <c r="AN233" s="26">
        <f t="shared" si="32"/>
        <v>0.79089777824396623</v>
      </c>
      <c r="AO233" s="26">
        <f t="shared" si="32"/>
        <v>0.72392482481344878</v>
      </c>
      <c r="AP233" s="26">
        <f t="shared" si="32"/>
        <v>0.71736927197173905</v>
      </c>
      <c r="AR233" s="26">
        <f t="shared" ref="AR233:AW233" si="33">IF(AR232="","",AR250*2.2046*AR232/10000)</f>
        <v>1.1283638927666908</v>
      </c>
      <c r="AS233" s="26">
        <f t="shared" si="33"/>
        <v>0.99730970613348158</v>
      </c>
      <c r="AT233" s="26">
        <f t="shared" si="33"/>
        <v>0.88043815305997364</v>
      </c>
      <c r="AU233" s="26">
        <f t="shared" si="33"/>
        <v>0.78350905658140713</v>
      </c>
      <c r="AV233" s="26">
        <f t="shared" si="33"/>
        <v>0.71717141124620065</v>
      </c>
      <c r="AW233" s="26">
        <f t="shared" si="33"/>
        <v>0.71736927197173905</v>
      </c>
    </row>
    <row r="234" spans="1:50" x14ac:dyDescent="0.25">
      <c r="A234" s="40"/>
      <c r="B234" s="26"/>
      <c r="C234" s="26"/>
      <c r="D234" s="26"/>
      <c r="E234" s="26"/>
      <c r="F234" s="26"/>
      <c r="G234" s="26"/>
      <c r="H234" s="26"/>
      <c r="I234" s="26"/>
      <c r="J234" s="26"/>
      <c r="K234" s="26"/>
      <c r="L234" s="26"/>
      <c r="M234" s="26"/>
      <c r="N234" s="26"/>
      <c r="O234" s="26"/>
      <c r="P234" s="473"/>
      <c r="Q234" s="473"/>
      <c r="R234" s="473"/>
      <c r="S234" s="473"/>
      <c r="T234" s="473"/>
      <c r="U234" s="26"/>
      <c r="W234" s="473"/>
      <c r="X234" s="473"/>
      <c r="Y234" s="473"/>
      <c r="Z234" s="473"/>
      <c r="AA234" s="473"/>
      <c r="AB234" s="26"/>
      <c r="AD234" s="473"/>
      <c r="AE234" s="473"/>
      <c r="AF234" s="473"/>
      <c r="AG234" s="473"/>
      <c r="AH234" s="473"/>
      <c r="AI234" s="26"/>
      <c r="AK234" s="473"/>
      <c r="AL234" s="473"/>
      <c r="AM234" s="473"/>
      <c r="AN234" s="473"/>
      <c r="AO234" s="473"/>
      <c r="AP234" s="26"/>
      <c r="AR234" s="473"/>
      <c r="AS234" s="473"/>
      <c r="AT234" s="473"/>
      <c r="AU234" s="473"/>
      <c r="AV234" s="473"/>
      <c r="AW234" s="26"/>
    </row>
    <row r="235" spans="1:50" x14ac:dyDescent="0.25">
      <c r="A235" s="44" t="s">
        <v>143</v>
      </c>
      <c r="B235" s="26"/>
      <c r="C235" s="26"/>
      <c r="D235" s="26"/>
      <c r="E235" s="26"/>
      <c r="F235" s="26"/>
      <c r="G235" s="26"/>
      <c r="H235" s="26"/>
      <c r="I235" s="26"/>
      <c r="J235" s="26"/>
      <c r="K235" s="26"/>
      <c r="L235" s="26"/>
      <c r="M235" s="26"/>
      <c r="N235" s="26"/>
      <c r="O235" s="26"/>
      <c r="P235" s="26"/>
      <c r="Q235" s="26"/>
      <c r="R235" s="26"/>
      <c r="S235" s="26"/>
      <c r="T235" s="26"/>
      <c r="U235" s="26"/>
      <c r="W235" s="26"/>
      <c r="X235" s="26"/>
      <c r="Y235" s="26"/>
      <c r="Z235" s="26"/>
      <c r="AA235" s="26"/>
      <c r="AB235" s="26"/>
      <c r="AD235" s="26"/>
      <c r="AE235" s="26"/>
      <c r="AF235" s="26"/>
      <c r="AG235" s="26"/>
      <c r="AH235" s="26"/>
      <c r="AI235" s="26"/>
      <c r="AK235" s="26"/>
      <c r="AL235" s="26"/>
      <c r="AM235" s="26"/>
      <c r="AN235" s="26"/>
      <c r="AO235" s="26"/>
      <c r="AP235" s="26"/>
      <c r="AR235" s="26"/>
      <c r="AS235" s="26"/>
      <c r="AT235" s="26"/>
      <c r="AU235" s="26"/>
      <c r="AV235" s="26"/>
      <c r="AW235" s="26"/>
    </row>
    <row r="236" spans="1:50" x14ac:dyDescent="0.25">
      <c r="A236" s="34" t="s">
        <v>381</v>
      </c>
      <c r="B236" s="27">
        <v>1.1861119527718891</v>
      </c>
      <c r="C236" s="27">
        <v>1.0487231011263827</v>
      </c>
      <c r="D236" s="27">
        <v>0.92692570857780632</v>
      </c>
      <c r="E236" s="27">
        <v>0.82606841929078001</v>
      </c>
      <c r="F236" s="27">
        <v>0.75673053182615369</v>
      </c>
      <c r="G236" s="27">
        <v>0.71839352504319809</v>
      </c>
      <c r="H236" s="223"/>
      <c r="I236" s="27">
        <v>1.176359663632115</v>
      </c>
      <c r="J236" s="27">
        <v>1.0404298354051722</v>
      </c>
      <c r="K236" s="27">
        <v>0.9198321876360902</v>
      </c>
      <c r="L236" s="27">
        <v>0.81977155477303221</v>
      </c>
      <c r="M236" s="27">
        <v>0.75037675735226672</v>
      </c>
      <c r="N236" s="27">
        <v>0.71839352504319809</v>
      </c>
      <c r="O236" s="7"/>
      <c r="P236" s="27">
        <v>1.1684857665329609</v>
      </c>
      <c r="Q236" s="27">
        <v>1.0334387360651245</v>
      </c>
      <c r="R236" s="27">
        <v>0.91378340553869708</v>
      </c>
      <c r="S236" s="27">
        <v>0.81328394410468086</v>
      </c>
      <c r="T236" s="27">
        <v>0.74466093217492246</v>
      </c>
      <c r="U236" s="27">
        <v>0.71839352504319809</v>
      </c>
      <c r="V236" s="2"/>
      <c r="W236" s="27">
        <v>1.1606108994103048</v>
      </c>
      <c r="X236" s="27">
        <v>1.0264515137337917</v>
      </c>
      <c r="Y236" s="27">
        <v>0.90637130018555012</v>
      </c>
      <c r="Z236" s="27">
        <v>0.80714498863815465</v>
      </c>
      <c r="AA236" s="27">
        <v>0.73903650635744667</v>
      </c>
      <c r="AB236" s="27">
        <v>0.71839352504319809</v>
      </c>
      <c r="AC236" s="2"/>
      <c r="AD236" s="27">
        <v>1.1526290098320124</v>
      </c>
      <c r="AE236" s="27">
        <v>1.0181241605607756</v>
      </c>
      <c r="AF236" s="27">
        <v>0.89928210531326824</v>
      </c>
      <c r="AG236" s="27">
        <v>0.80098309911292542</v>
      </c>
      <c r="AH236" s="27">
        <v>0.73289361495012595</v>
      </c>
      <c r="AI236" s="27">
        <v>0.71839352504319809</v>
      </c>
      <c r="AJ236" s="2"/>
      <c r="AK236" s="309">
        <v>1.1499999999999999</v>
      </c>
      <c r="AL236" s="309">
        <v>1.0101833240253375</v>
      </c>
      <c r="AM236" s="309">
        <v>0.89234873408789994</v>
      </c>
      <c r="AN236" s="309">
        <v>0.79441650998473456</v>
      </c>
      <c r="AO236" s="309">
        <v>0.72657321918177553</v>
      </c>
      <c r="AP236" s="27">
        <v>0.71839352504319809</v>
      </c>
      <c r="AQ236" s="2"/>
      <c r="AR236" s="309">
        <v>1.1399999999999999</v>
      </c>
      <c r="AS236" s="309">
        <v>1.0022507297378567</v>
      </c>
      <c r="AT236" s="309">
        <v>0.8856759586639249</v>
      </c>
      <c r="AU236" s="309">
        <v>0.78765042013618369</v>
      </c>
      <c r="AV236" s="309">
        <v>0.720259582186488</v>
      </c>
      <c r="AW236" s="27">
        <v>0.71839352504319809</v>
      </c>
      <c r="AX236" s="2"/>
    </row>
    <row r="237" spans="1:50" x14ac:dyDescent="0.25">
      <c r="A237" s="39" t="s">
        <v>382</v>
      </c>
      <c r="B237" s="451">
        <f>(SUMPRODUCT(B$9:B$229,Nutrients!$CY$8:$CY$228)+(IF($A$7=Nutrients!$B$8,Nutrients!$CY$8,Nutrients!$CY$9)*B$7)+(((IF($A$8=Nutrients!$B$79,Nutrients!$CY$79,(IF($A$8=Nutrients!$B$77,Nutrients!$CY$77,Nutrients!$CY$78)))))*B$8))/2000/B$236*100</f>
        <v>62.49349603537744</v>
      </c>
      <c r="C237" s="451">
        <f>(SUMPRODUCT(C$9:C$229,Nutrients!$CY$8:$CY$228)+(IF($A$7=Nutrients!$B$8,Nutrients!$CY$8,Nutrients!$CY$9)*C$7)+(((IF($A$8=Nutrients!$B$79,Nutrients!$CY$79,(IF($A$8=Nutrients!$B$77,Nutrients!$CY$77,Nutrients!$CY$78)))))*C$8))/2000/C$236*100</f>
        <v>61.913365044093091</v>
      </c>
      <c r="D237" s="451">
        <f>(SUMPRODUCT(D$9:D$229,Nutrients!$CY$8:$CY$228)+(IF($A$7=Nutrients!$B$8,Nutrients!$CY$8,Nutrients!$CY$9)*D$7)+(((IF($A$8=Nutrients!$B$79,Nutrients!$CY$79,(IF($A$8=Nutrients!$B$77,Nutrients!$CY$77,Nutrients!$CY$78)))))*D$8))/2000/D$236*100</f>
        <v>61.503659114241785</v>
      </c>
      <c r="E237" s="451">
        <f>(SUMPRODUCT(E$9:E$229,Nutrients!$CY$8:$CY$228)+(IF($A$7=Nutrients!$B$8,Nutrients!$CY$8,Nutrients!$CY$9)*E$7)+(((IF($A$8=Nutrients!$B$79,Nutrients!$CY$79,(IF($A$8=Nutrients!$B$77,Nutrients!$CY$77,Nutrients!$CY$78)))))*E$8))/2000/E$236*100</f>
        <v>60.930382267932259</v>
      </c>
      <c r="F237" s="451">
        <f>(SUMPRODUCT(F$9:F$229,Nutrients!$CY$8:$CY$228)+(IF($A$7=Nutrients!$B$8,Nutrients!$CY$8,Nutrients!$CY$9)*F$7)+(((IF($A$8=Nutrients!$B$79,Nutrients!$CY$79,(IF($A$8=Nutrients!$B$77,Nutrients!$CY$77,Nutrients!$CY$78)))))*F$8))/2000/F$236*100</f>
        <v>60.645226830458597</v>
      </c>
      <c r="G237" s="451">
        <f>(SUMPRODUCT(G$9:G$229,Nutrients!$CY$8:$CY$228)+(IF($A$7=Nutrients!$B$8,Nutrients!$CY$8,Nutrients!$CY$9)*G$7)+(((IF($A$8=Nutrients!$B$79,Nutrients!$CY$79,(IF($A$8=Nutrients!$B$77,Nutrients!$CY$77,Nutrients!$CY$78)))))*G$8))/2000/G$236*100</f>
        <v>60.73149438608624</v>
      </c>
      <c r="H237" s="224"/>
      <c r="I237" s="451">
        <f>(SUMPRODUCT(I$9:I$229,Nutrients!$CY$8:$CY$228)+(IF($A$7=Nutrients!$B$8,Nutrients!$CY$8,Nutrients!$CY$9)*I$7)+(((IF($A$8=Nutrients!$B$79,Nutrients!$CY$79,(IF($A$8=Nutrients!$B$77,Nutrients!$CY$77,Nutrients!$CY$78)))))*I$8))/2000/I$236*100</f>
        <v>62.404219723667218</v>
      </c>
      <c r="J237" s="451">
        <f>(SUMPRODUCT(J$9:J$229,Nutrients!$CY$8:$CY$228)+(IF($A$7=Nutrients!$B$8,Nutrients!$CY$8,Nutrients!$CY$9)*J$7)+(((IF($A$8=Nutrients!$B$79,Nutrients!$CY$79,(IF($A$8=Nutrients!$B$77,Nutrients!$CY$77,Nutrients!$CY$78)))))*J$8))/2000/J$236*100</f>
        <v>61.815872429711774</v>
      </c>
      <c r="K237" s="451">
        <f>(SUMPRODUCT(K$9:K$229,Nutrients!$CY$8:$CY$228)+(IF($A$7=Nutrients!$B$8,Nutrients!$CY$8,Nutrients!$CY$9)*K$7)+(((IF($A$8=Nutrients!$B$79,Nutrients!$CY$79,(IF($A$8=Nutrients!$B$77,Nutrients!$CY$77,Nutrients!$CY$78)))))*K$8))/2000/K$236*100</f>
        <v>61.398498752642261</v>
      </c>
      <c r="L237" s="451">
        <f>(SUMPRODUCT(L$9:L$229,Nutrients!$CY$8:$CY$228)+(IF($A$7=Nutrients!$B$8,Nutrients!$CY$8,Nutrients!$CY$9)*L$7)+(((IF($A$8=Nutrients!$B$79,Nutrients!$CY$79,(IF($A$8=Nutrients!$B$77,Nutrients!$CY$77,Nutrients!$CY$78)))))*L$8))/2000/L$236*100</f>
        <v>60.817279268609624</v>
      </c>
      <c r="M237" s="451">
        <f>(SUMPRODUCT(M$9:M$229,Nutrients!$CY$8:$CY$228)+(IF($A$7=Nutrients!$B$8,Nutrients!$CY$8,Nutrients!$CY$9)*M$7)+(((IF($A$8=Nutrients!$B$79,Nutrients!$CY$79,(IF($A$8=Nutrients!$B$77,Nutrients!$CY$77,Nutrients!$CY$78)))))*M$8))/2000/M$236*100</f>
        <v>60.517768247195747</v>
      </c>
      <c r="N237" s="451">
        <f>(SUMPRODUCT(N$9:N$229,Nutrients!$CY$8:$CY$228)+(IF($A$7=Nutrients!$B$8,Nutrients!$CY$8,Nutrients!$CY$9)*N$7)+(((IF($A$8=Nutrients!$B$79,Nutrients!$CY$79,(IF($A$8=Nutrients!$B$77,Nutrients!$CY$77,Nutrients!$CY$78)))))*N$8))/2000/N$236*100</f>
        <v>60.73149438608624</v>
      </c>
      <c r="O237" s="472"/>
      <c r="P237" s="451">
        <f>(SUMPRODUCT(P$9:P$229,Nutrients!$CY$8:$CY$228)+(IF($A$7=Nutrients!$B$8,Nutrients!$CY$8,Nutrients!$CY$9)*P$7)+(((IF($A$8=Nutrients!$B$79,Nutrients!$CY$79,(IF($A$8=Nutrients!$B$77,Nutrients!$CY$77,Nutrients!$CY$78)))))*P$8))/2000/P$236*100</f>
        <v>62.322896759493617</v>
      </c>
      <c r="Q237" s="451">
        <f>(SUMPRODUCT(Q$9:Q$229,Nutrients!$CY$8:$CY$228)+(IF($A$7=Nutrients!$B$8,Nutrients!$CY$8,Nutrients!$CY$9)*Q$7)+(((IF($A$8=Nutrients!$B$79,Nutrients!$CY$79,(IF($A$8=Nutrients!$B$77,Nutrients!$CY$77,Nutrients!$CY$78)))))*Q$8))/2000/Q$236*100</f>
        <v>61.724995362112935</v>
      </c>
      <c r="R237" s="451">
        <f>(SUMPRODUCT(R$9:R$229,Nutrients!$CY$8:$CY$228)+(IF($A$7=Nutrients!$B$8,Nutrients!$CY$8,Nutrients!$CY$9)*R$7)+(((IF($A$8=Nutrients!$B$79,Nutrients!$CY$79,(IF($A$8=Nutrients!$B$77,Nutrients!$CY$77,Nutrients!$CY$78)))))*R$8))/2000/R$236*100</f>
        <v>61.2997496598529</v>
      </c>
      <c r="S237" s="451">
        <f>(SUMPRODUCT(S$9:S$229,Nutrients!$CY$8:$CY$228)+(IF($A$7=Nutrients!$B$8,Nutrients!$CY$8,Nutrients!$CY$9)*S$7)+(((IF($A$8=Nutrients!$B$79,Nutrients!$CY$79,(IF($A$8=Nutrients!$B$77,Nutrients!$CY$77,Nutrients!$CY$78)))))*S$8))/2000/S$236*100</f>
        <v>60.697930186711361</v>
      </c>
      <c r="T237" s="451">
        <f>(SUMPRODUCT(T$9:T$229,Nutrients!$CY$8:$CY$228)+(IF($A$7=Nutrients!$B$8,Nutrients!$CY$8,Nutrients!$CY$9)*T$7)+(((IF($A$8=Nutrients!$B$79,Nutrients!$CY$79,(IF($A$8=Nutrients!$B$77,Nutrients!$CY$77,Nutrients!$CY$78)))))*T$8))/2000/T$236*100</f>
        <v>60.391776020212042</v>
      </c>
      <c r="U237" s="451">
        <f>(SUMPRODUCT(U$9:U$229,Nutrients!$CY$8:$CY$228)+(IF($A$7=Nutrients!$B$8,Nutrients!$CY$8,Nutrients!$CY$9)*U$7)+(((IF($A$8=Nutrients!$B$79,Nutrients!$CY$79,(IF($A$8=Nutrients!$B$77,Nutrients!$CY$77,Nutrients!$CY$78)))))*U$8))/2000/U$236*100</f>
        <v>60.73149438608624</v>
      </c>
      <c r="V237" s="9"/>
      <c r="W237" s="451">
        <f>(SUMPRODUCT(W$9:W$229,Nutrients!$CY$8:$CY$228)+(IF($A$7=Nutrients!$B$8,Nutrients!$CY$8,Nutrients!$CY$9)*W$7)+(((IF($A$8=Nutrients!$B$79,Nutrients!$CY$79,(IF($A$8=Nutrients!$B$77,Nutrients!$CY$77,Nutrients!$CY$78)))))*W$8))/2000/W$236*100</f>
        <v>62.240610893500381</v>
      </c>
      <c r="X237" s="451">
        <f>(SUMPRODUCT(X$9:X$229,Nutrients!$CY$8:$CY$228)+(IF($A$7=Nutrients!$B$8,Nutrients!$CY$8,Nutrients!$CY$9)*X$7)+(((IF($A$8=Nutrients!$B$79,Nutrients!$CY$79,(IF($A$8=Nutrients!$B$77,Nutrients!$CY$77,Nutrients!$CY$78)))))*X$8))/2000/X$236*100</f>
        <v>61.633126090689181</v>
      </c>
      <c r="Y237" s="451">
        <f>(SUMPRODUCT(Y$9:Y$229,Nutrients!$CY$8:$CY$228)+(IF($A$7=Nutrients!$B$8,Nutrients!$CY$8,Nutrients!$CY$9)*Y$7)+(((IF($A$8=Nutrients!$B$79,Nutrients!$CY$79,(IF($A$8=Nutrients!$B$77,Nutrients!$CY$77,Nutrients!$CY$78)))))*Y$8))/2000/Y$236*100</f>
        <v>61.18905134069864</v>
      </c>
      <c r="Z237" s="451">
        <f>(SUMPRODUCT(Z$9:Z$229,Nutrients!$CY$8:$CY$228)+(IF($A$7=Nutrients!$B$8,Nutrients!$CY$8,Nutrients!$CY$9)*Z$7)+(((IF($A$8=Nutrients!$B$79,Nutrients!$CY$79,(IF($A$8=Nutrients!$B$77,Nutrients!$CY$77,Nutrients!$CY$78)))))*Z$8))/2000/Z$236*100</f>
        <v>60.579916957418931</v>
      </c>
      <c r="AA237" s="451">
        <f>(SUMPRODUCT(AA$9:AA$229,Nutrients!$CY$8:$CY$228)+(IF($A$7=Nutrients!$B$8,Nutrients!$CY$8,Nutrients!$CY$9)*AA$7)+(((IF($A$8=Nutrients!$B$79,Nutrients!$CY$79,(IF($A$8=Nutrients!$B$77,Nutrients!$CY$77,Nutrients!$CY$78)))))*AA$8))/2000/AA$236*100</f>
        <v>60.264776971602508</v>
      </c>
      <c r="AB237" s="451">
        <f>(SUMPRODUCT(AB$9:AB$229,Nutrients!$CY$8:$CY$228)+(IF($A$7=Nutrients!$B$8,Nutrients!$CY$8,Nutrients!$CY$9)*AB$7)+(((IF($A$8=Nutrients!$B$79,Nutrients!$CY$79,(IF($A$8=Nutrients!$B$77,Nutrients!$CY$77,Nutrients!$CY$78)))))*AB$8))/2000/AB$236*100</f>
        <v>60.73149438608624</v>
      </c>
      <c r="AC237" s="9"/>
      <c r="AD237" s="451">
        <f>(SUMPRODUCT(AD$9:AD$229,Nutrients!$CY$8:$CY$228)+(IF($A$7=Nutrients!$B$8,Nutrients!$CY$8,Nutrients!$CY$9)*AD$7)+(((IF($A$8=Nutrients!$B$79,Nutrients!$CY$79,(IF($A$8=Nutrients!$B$77,Nutrients!$CY$77,Nutrients!$CY$78)))))*AD$8))/2000/AD$236*100</f>
        <v>62.156534524333551</v>
      </c>
      <c r="AE237" s="451">
        <f>(SUMPRODUCT(AE$9:AE$229,Nutrients!$CY$8:$CY$228)+(IF($A$7=Nutrients!$B$8,Nutrients!$CY$8,Nutrients!$CY$9)*AE$7)+(((IF($A$8=Nutrients!$B$79,Nutrients!$CY$79,(IF($A$8=Nutrients!$B$77,Nutrients!$CY$77,Nutrients!$CY$78)))))*AE$8))/2000/AE$236*100</f>
        <v>61.53088160233321</v>
      </c>
      <c r="AF237" s="451">
        <f>(SUMPRODUCT(AF$9:AF$229,Nutrients!$CY$8:$CY$228)+(IF($A$7=Nutrients!$B$8,Nutrients!$CY$8,Nutrients!$CY$9)*AF$7)+(((IF($A$8=Nutrients!$B$79,Nutrients!$CY$79,(IF($A$8=Nutrients!$B$77,Nutrients!$CY$77,Nutrients!$CY$78)))))*AF$8))/2000/AF$236*100</f>
        <v>61.07915989982947</v>
      </c>
      <c r="AG237" s="451">
        <f>(SUMPRODUCT(AG$9:AG$229,Nutrients!$CY$8:$CY$228)+(IF($A$7=Nutrients!$B$8,Nutrients!$CY$8,Nutrients!$CY$9)*AG$7)+(((IF($A$8=Nutrients!$B$79,Nutrients!$CY$79,(IF($A$8=Nutrients!$B$77,Nutrients!$CY$77,Nutrients!$CY$78)))))*AG$8))/2000/AG$236*100</f>
        <v>60.458629572095376</v>
      </c>
      <c r="AH237" s="451">
        <f>(SUMPRODUCT(AH$9:AH$229,Nutrients!$CY$8:$CY$228)+(IF($A$7=Nutrients!$B$8,Nutrients!$CY$8,Nutrients!$CY$9)*AH$7)+(((IF($A$8=Nutrients!$B$79,Nutrients!$CY$79,(IF($A$8=Nutrients!$B$77,Nutrients!$CY$77,Nutrients!$CY$78)))))*AH$8))/2000/AH$236*100</f>
        <v>60.121865972026555</v>
      </c>
      <c r="AI237" s="451">
        <f>(SUMPRODUCT(AI$9:AI$229,Nutrients!$CY$8:$CY$228)+(IF($A$7=Nutrients!$B$8,Nutrients!$CY$8,Nutrients!$CY$9)*AI$7)+(((IF($A$8=Nutrients!$B$79,Nutrients!$CY$79,(IF($A$8=Nutrients!$B$77,Nutrients!$CY$77,Nutrients!$CY$78)))))*AI$8))/2000/AI$236*100</f>
        <v>60.73149438608624</v>
      </c>
      <c r="AJ237" s="9"/>
      <c r="AK237" s="451">
        <f>(SUMPRODUCT(AK$9:AK$229,Nutrients!$CY$8:$CY$228)+(IF($A$7=Nutrients!$B$8,Nutrients!$CY$8,Nutrients!$CY$9)*AK$7)+(((IF($A$8=Nutrients!$B$79,Nutrients!$CY$79,(IF($A$8=Nutrients!$B$77,Nutrients!$CY$77,Nutrients!$CY$78)))))*AK$8))/2000/AK$236*100</f>
        <v>62.100648948042839</v>
      </c>
      <c r="AL237" s="451">
        <f>(SUMPRODUCT(AL$9:AL$229,Nutrients!$CY$8:$CY$228)+(IF($A$7=Nutrients!$B$8,Nutrients!$CY$8,Nutrients!$CY$9)*AL$7)+(((IF($A$8=Nutrients!$B$79,Nutrients!$CY$79,(IF($A$8=Nutrients!$B$77,Nutrients!$CY$77,Nutrients!$CY$78)))))*AL$8))/2000/AL$236*100</f>
        <v>61.429720766441044</v>
      </c>
      <c r="AM237" s="451">
        <f>(SUMPRODUCT(AM$9:AM$229,Nutrients!$CY$8:$CY$228)+(IF($A$7=Nutrients!$B$8,Nutrients!$CY$8,Nutrients!$CY$9)*AM$7)+(((IF($A$8=Nutrients!$B$79,Nutrients!$CY$79,(IF($A$8=Nutrients!$B$77,Nutrients!$CY$77,Nutrients!$CY$78)))))*AM$8))/2000/AM$236*100</f>
        <v>60.967597514203639</v>
      </c>
      <c r="AN237" s="451">
        <f>(SUMPRODUCT(AN$9:AN$229,Nutrients!$CY$8:$CY$228)+(IF($A$7=Nutrients!$B$8,Nutrients!$CY$8,Nutrients!$CY$9)*AN$7)+(((IF($A$8=Nutrients!$B$79,Nutrients!$CY$79,(IF($A$8=Nutrients!$B$77,Nutrients!$CY$77,Nutrients!$CY$78)))))*AN$8))/2000/AN$236*100</f>
        <v>60.325888316437691</v>
      </c>
      <c r="AO237" s="451">
        <f>(SUMPRODUCT(AO$9:AO$229,Nutrients!$CY$8:$CY$228)+(IF($A$7=Nutrients!$B$8,Nutrients!$CY$8,Nutrients!$CY$9)*AO$7)+(((IF($A$8=Nutrients!$B$79,Nutrients!$CY$79,(IF($A$8=Nutrients!$B$77,Nutrients!$CY$77,Nutrients!$CY$78)))))*AO$8))/2000/AO$236*100</f>
        <v>59.970462515356751</v>
      </c>
      <c r="AP237" s="451">
        <f>(SUMPRODUCT(AP$9:AP$229,Nutrients!$CY$8:$CY$228)+(IF($A$7=Nutrients!$B$8,Nutrients!$CY$8,Nutrients!$CY$9)*AP$7)+(((IF($A$8=Nutrients!$B$79,Nutrients!$CY$79,(IF($A$8=Nutrients!$B$77,Nutrients!$CY$77,Nutrients!$CY$78)))))*AP$8))/2000/AP$236*100</f>
        <v>60.73149438608624</v>
      </c>
      <c r="AQ237" s="9"/>
      <c r="AR237" s="451">
        <f>(SUMPRODUCT(AR$9:AR$229,Nutrients!$CY$8:$CY$228)+(IF($A$7=Nutrients!$B$8,Nutrients!$CY$8,Nutrients!$CY$9)*AR$7)+(((IF($A$8=Nutrients!$B$79,Nutrients!$CY$79,(IF($A$8=Nutrients!$B$77,Nutrients!$CY$77,Nutrients!$CY$78)))))*AR$8))/2000/AR$236*100</f>
        <v>62.003607900669444</v>
      </c>
      <c r="AS237" s="451">
        <f>(SUMPRODUCT(AS$9:AS$229,Nutrients!$CY$8:$CY$228)+(IF($A$7=Nutrients!$B$8,Nutrients!$CY$8,Nutrients!$CY$9)*AS$7)+(((IF($A$8=Nutrients!$B$79,Nutrients!$CY$79,(IF($A$8=Nutrients!$B$77,Nutrients!$CY$77,Nutrients!$CY$78)))))*AS$8))/2000/AS$236*100</f>
        <v>61.326913911699712</v>
      </c>
      <c r="AT237" s="451">
        <f>(SUMPRODUCT(AT$9:AT$229,Nutrients!$CY$8:$CY$228)+(IF($A$7=Nutrients!$B$8,Nutrients!$CY$8,Nutrients!$CY$9)*AT$7)+(((IF($A$8=Nutrients!$B$79,Nutrients!$CY$79,(IF($A$8=Nutrients!$B$77,Nutrients!$CY$77,Nutrients!$CY$78)))))*AT$8))/2000/AT$236*100</f>
        <v>60.856353263542736</v>
      </c>
      <c r="AU237" s="451">
        <f>(SUMPRODUCT(AU$9:AU$229,Nutrients!$CY$8:$CY$228)+(IF($A$7=Nutrients!$B$8,Nutrients!$CY$8,Nutrients!$CY$9)*AU$7)+(((IF($A$8=Nutrients!$B$79,Nutrients!$CY$79,(IF($A$8=Nutrients!$B$77,Nutrients!$CY$77,Nutrients!$CY$78)))))*AU$8))/2000/AU$236*100</f>
        <v>60.183230921999019</v>
      </c>
      <c r="AV237" s="451">
        <f>(SUMPRODUCT(AV$9:AV$229,Nutrients!$CY$8:$CY$228)+(IF($A$7=Nutrients!$B$8,Nutrients!$CY$8,Nutrients!$CY$9)*AV$7)+(((IF($A$8=Nutrients!$B$79,Nutrients!$CY$79,(IF($A$8=Nutrients!$B$77,Nutrients!$CY$77,Nutrients!$CY$78)))))*AV$8))/2000/AV$236*100</f>
        <v>59.816542175055218</v>
      </c>
      <c r="AW237" s="451">
        <f>(SUMPRODUCT(AW$9:AW$229,Nutrients!$CY$8:$CY$228)+(IF($A$7=Nutrients!$B$8,Nutrients!$CY$8,Nutrients!$CY$9)*AW$7)+(((IF($A$8=Nutrients!$B$79,Nutrients!$CY$79,(IF($A$8=Nutrients!$B$77,Nutrients!$CY$77,Nutrients!$CY$78)))))*AW$8))/2000/AW$236*100</f>
        <v>60.73149438608624</v>
      </c>
      <c r="AX237" s="13"/>
    </row>
    <row r="238" spans="1:50" x14ac:dyDescent="0.25">
      <c r="A238" s="39" t="s">
        <v>383</v>
      </c>
      <c r="B238" s="451">
        <f>(SUMPRODUCT(B$9:B$229,Nutrients!$CZ$8:$CZ$228)+(IF($A$7=Nutrients!$B$8,Nutrients!$CZ$8,Nutrients!$CZ$9)*B$7)+(((IF($A$8=Nutrients!$B$79,Nutrients!$CZ$79,(IF($A$8=Nutrients!$B$77,Nutrients!$CZ$77,Nutrients!$CZ$78)))))*B$8))/2000/B$236*100</f>
        <v>129.6913711527971</v>
      </c>
      <c r="C238" s="451">
        <f>(SUMPRODUCT(C$9:C$229,Nutrients!$CZ$8:$CZ$228)+(IF($A$7=Nutrients!$B$8,Nutrients!$CZ$8,Nutrients!$CZ$9)*C$7)+(((IF($A$8=Nutrients!$B$79,Nutrients!$CZ$79,(IF($A$8=Nutrients!$B$77,Nutrients!$CZ$77,Nutrients!$CZ$78)))))*C$8))/2000/C$236*100</f>
        <v>134.50017414165401</v>
      </c>
      <c r="D238" s="451">
        <f>(SUMPRODUCT(D$9:D$229,Nutrients!$CZ$8:$CZ$228)+(IF($A$7=Nutrients!$B$8,Nutrients!$CZ$8,Nutrients!$CZ$9)*D$7)+(((IF($A$8=Nutrients!$B$79,Nutrients!$CZ$79,(IF($A$8=Nutrients!$B$77,Nutrients!$CZ$77,Nutrients!$CZ$78)))))*D$8))/2000/D$236*100</f>
        <v>140.31419316632173</v>
      </c>
      <c r="E238" s="451">
        <f>(SUMPRODUCT(E$9:E$229,Nutrients!$CZ$8:$CZ$228)+(IF($A$7=Nutrients!$B$8,Nutrients!$CZ$8,Nutrients!$CZ$9)*E$7)+(((IF($A$8=Nutrients!$B$79,Nutrients!$CZ$79,(IF($A$8=Nutrients!$B$77,Nutrients!$CZ$77,Nutrients!$CZ$78)))))*E$8))/2000/E$236*100</f>
        <v>146.22101496424654</v>
      </c>
      <c r="F238" s="451">
        <f>(SUMPRODUCT(F$9:F$229,Nutrients!$CZ$8:$CZ$228)+(IF($A$7=Nutrients!$B$8,Nutrients!$CZ$8,Nutrients!$CZ$9)*F$7)+(((IF($A$8=Nutrients!$B$79,Nutrients!$CZ$79,(IF($A$8=Nutrients!$B$77,Nutrients!$CZ$77,Nutrients!$CZ$78)))))*F$8))/2000/F$236*100</f>
        <v>151.50724048169781</v>
      </c>
      <c r="G238" s="451">
        <f>(SUMPRODUCT(G$9:G$229,Nutrients!$CZ$8:$CZ$228)+(IF($A$7=Nutrients!$B$8,Nutrients!$CZ$8,Nutrients!$CZ$9)*G$7)+(((IF($A$8=Nutrients!$B$79,Nutrients!$CZ$79,(IF($A$8=Nutrients!$B$77,Nutrients!$CZ$77,Nutrients!$CZ$78)))))*G$8))/2000/G$236*100</f>
        <v>155.21195132466949</v>
      </c>
      <c r="H238" s="224"/>
      <c r="I238" s="451">
        <f>(SUMPRODUCT(I$9:I$229,Nutrients!$CZ$8:$CZ$228)+(IF($A$7=Nutrients!$B$8,Nutrients!$CZ$8,Nutrients!$CZ$9)*I$7)+(((IF($A$8=Nutrients!$B$79,Nutrients!$CZ$79,(IF($A$8=Nutrients!$B$77,Nutrients!$CZ$77,Nutrients!$CZ$78)))))*I$8))/2000/I$236*100</f>
        <v>135.14916616405517</v>
      </c>
      <c r="J238" s="451">
        <f>(SUMPRODUCT(J$9:J$229,Nutrients!$CZ$8:$CZ$228)+(IF($A$7=Nutrients!$B$8,Nutrients!$CZ$8,Nutrients!$CZ$9)*J$7)+(((IF($A$8=Nutrients!$B$79,Nutrients!$CZ$79,(IF($A$8=Nutrients!$B$77,Nutrients!$CZ$77,Nutrients!$CZ$78)))))*J$8))/2000/J$236*100</f>
        <v>140.66083888124047</v>
      </c>
      <c r="K238" s="451">
        <f>(SUMPRODUCT(K$9:K$229,Nutrients!$CZ$8:$CZ$228)+(IF($A$7=Nutrients!$B$8,Nutrients!$CZ$8,Nutrients!$CZ$9)*K$7)+(((IF($A$8=Nutrients!$B$79,Nutrients!$CZ$79,(IF($A$8=Nutrients!$B$77,Nutrients!$CZ$77,Nutrients!$CZ$78)))))*K$8))/2000/K$236*100</f>
        <v>147.2760793725501</v>
      </c>
      <c r="L238" s="451">
        <f>(SUMPRODUCT(L$9:L$229,Nutrients!$CZ$8:$CZ$228)+(IF($A$7=Nutrients!$B$8,Nutrients!$CZ$8,Nutrients!$CZ$9)*L$7)+(((IF($A$8=Nutrients!$B$79,Nutrients!$CZ$79,(IF($A$8=Nutrients!$B$77,Nutrients!$CZ$77,Nutrients!$CZ$78)))))*L$8))/2000/L$236*100</f>
        <v>154.05158187769416</v>
      </c>
      <c r="M238" s="451">
        <f>(SUMPRODUCT(M$9:M$229,Nutrients!$CZ$8:$CZ$228)+(IF($A$7=Nutrients!$B$8,Nutrients!$CZ$8,Nutrients!$CZ$9)*M$7)+(((IF($A$8=Nutrients!$B$79,Nutrients!$CZ$79,(IF($A$8=Nutrients!$B$77,Nutrients!$CZ$77,Nutrients!$CZ$78)))))*M$8))/2000/M$236*100</f>
        <v>160.10470692285998</v>
      </c>
      <c r="N238" s="451">
        <f>(SUMPRODUCT(N$9:N$229,Nutrients!$CZ$8:$CZ$228)+(IF($A$7=Nutrients!$B$8,Nutrients!$CZ$8,Nutrients!$CZ$9)*N$7)+(((IF($A$8=Nutrients!$B$79,Nutrients!$CZ$79,(IF($A$8=Nutrients!$B$77,Nutrients!$CZ$77,Nutrients!$CZ$78)))))*N$8))/2000/N$236*100</f>
        <v>155.21195132466949</v>
      </c>
      <c r="O238" s="472"/>
      <c r="P238" s="451">
        <f>(SUMPRODUCT(P$9:P$229,Nutrients!$CZ$8:$CZ$228)+(IF($A$7=Nutrients!$B$8,Nutrients!$CZ$8,Nutrients!$CZ$9)*P$7)+(((IF($A$8=Nutrients!$B$79,Nutrients!$CZ$79,(IF($A$8=Nutrients!$B$77,Nutrients!$CZ$77,Nutrients!$CZ$78)))))*P$8))/2000/P$236*100</f>
        <v>140.62429288491089</v>
      </c>
      <c r="Q238" s="451">
        <f>(SUMPRODUCT(Q$9:Q$229,Nutrients!$CZ$8:$CZ$228)+(IF($A$7=Nutrients!$B$8,Nutrients!$CZ$8,Nutrients!$CZ$9)*Q$7)+(((IF($A$8=Nutrients!$B$79,Nutrients!$CZ$79,(IF($A$8=Nutrients!$B$77,Nutrients!$CZ$77,Nutrients!$CZ$78)))))*Q$8))/2000/Q$236*100</f>
        <v>146.85489649509384</v>
      </c>
      <c r="R238" s="451">
        <f>(SUMPRODUCT(R$9:R$229,Nutrients!$CZ$8:$CZ$228)+(IF($A$7=Nutrients!$B$8,Nutrients!$CZ$8,Nutrients!$CZ$9)*R$7)+(((IF($A$8=Nutrients!$B$79,Nutrients!$CZ$79,(IF($A$8=Nutrients!$B$77,Nutrients!$CZ$77,Nutrients!$CZ$78)))))*R$8))/2000/R$236*100</f>
        <v>154.27901929032052</v>
      </c>
      <c r="S238" s="451">
        <f>(SUMPRODUCT(S$9:S$229,Nutrients!$CZ$8:$CZ$228)+(IF($A$7=Nutrients!$B$8,Nutrients!$CZ$8,Nutrients!$CZ$9)*S$7)+(((IF($A$8=Nutrients!$B$79,Nutrients!$CZ$79,(IF($A$8=Nutrients!$B$77,Nutrients!$CZ$77,Nutrients!$CZ$78)))))*S$8))/2000/S$236*100</f>
        <v>162.00168375657071</v>
      </c>
      <c r="T238" s="451">
        <f>(SUMPRODUCT(T$9:T$229,Nutrients!$CZ$8:$CZ$228)+(IF($A$7=Nutrients!$B$8,Nutrients!$CZ$8,Nutrients!$CZ$9)*T$7)+(((IF($A$8=Nutrients!$B$79,Nutrients!$CZ$79,(IF($A$8=Nutrients!$B$77,Nutrients!$CZ$77,Nutrients!$CZ$78)))))*T$8))/2000/T$236*100</f>
        <v>168.7661099180946</v>
      </c>
      <c r="U238" s="451">
        <f>(SUMPRODUCT(U$9:U$229,Nutrients!$CZ$8:$CZ$228)+(IF($A$7=Nutrients!$B$8,Nutrients!$CZ$8,Nutrients!$CZ$9)*U$7)+(((IF($A$8=Nutrients!$B$79,Nutrients!$CZ$79,(IF($A$8=Nutrients!$B$77,Nutrients!$CZ$77,Nutrients!$CZ$78)))))*U$8))/2000/U$236*100</f>
        <v>155.21195132466949</v>
      </c>
      <c r="V238" s="9"/>
      <c r="W238" s="451">
        <f>(SUMPRODUCT(W$9:W$229,Nutrients!$CZ$8:$CZ$228)+(IF($A$7=Nutrients!$B$8,Nutrients!$CZ$8,Nutrients!$CZ$9)*W$7)+(((IF($A$8=Nutrients!$B$79,Nutrients!$CZ$79,(IF($A$8=Nutrients!$B$77,Nutrients!$CZ$77,Nutrients!$CZ$78)))))*W$8))/2000/W$236*100</f>
        <v>146.17468028440169</v>
      </c>
      <c r="X238" s="451">
        <f>(SUMPRODUCT(X$9:X$229,Nutrients!$CZ$8:$CZ$228)+(IF($A$7=Nutrients!$B$8,Nutrients!$CZ$8,Nutrients!$CZ$9)*X$7)+(((IF($A$8=Nutrients!$B$79,Nutrients!$CZ$79,(IF($A$8=Nutrients!$B$77,Nutrients!$CZ$77,Nutrients!$CZ$78)))))*X$8))/2000/X$236*100</f>
        <v>153.13451809248585</v>
      </c>
      <c r="Y238" s="451">
        <f>(SUMPRODUCT(Y$9:Y$229,Nutrients!$CZ$8:$CZ$228)+(IF($A$7=Nutrients!$B$8,Nutrients!$CZ$8,Nutrients!$CZ$9)*Y$7)+(((IF($A$8=Nutrients!$B$79,Nutrients!$CZ$79,(IF($A$8=Nutrients!$B$77,Nutrients!$CZ$77,Nutrients!$CZ$78)))))*Y$8))/2000/Y$236*100</f>
        <v>161.47479183039917</v>
      </c>
      <c r="Z238" s="451">
        <f>(SUMPRODUCT(Z$9:Z$229,Nutrients!$CZ$8:$CZ$228)+(IF($A$7=Nutrients!$B$8,Nutrients!$CZ$8,Nutrients!$CZ$9)*Z$7)+(((IF($A$8=Nutrients!$B$79,Nutrients!$CZ$79,(IF($A$8=Nutrients!$B$77,Nutrients!$CZ$77,Nutrients!$CZ$78)))))*Z$8))/2000/Z$236*100</f>
        <v>170.04687685646215</v>
      </c>
      <c r="AA238" s="451">
        <f>(SUMPRODUCT(AA$9:AA$229,Nutrients!$CZ$8:$CZ$228)+(IF($A$7=Nutrients!$B$8,Nutrients!$CZ$8,Nutrients!$CZ$9)*AA$7)+(((IF($A$8=Nutrients!$B$79,Nutrients!$CZ$79,(IF($A$8=Nutrients!$B$77,Nutrients!$CZ$77,Nutrients!$CZ$78)))))*AA$8))/2000/AA$236*100</f>
        <v>177.55101936876659</v>
      </c>
      <c r="AB238" s="451">
        <f>(SUMPRODUCT(AB$9:AB$229,Nutrients!$CZ$8:$CZ$228)+(IF($A$7=Nutrients!$B$8,Nutrients!$CZ$8,Nutrients!$CZ$9)*AB$7)+(((IF($A$8=Nutrients!$B$79,Nutrients!$CZ$79,(IF($A$8=Nutrients!$B$77,Nutrients!$CZ$77,Nutrients!$CZ$78)))))*AB$8))/2000/AB$236*100</f>
        <v>155.21195132466949</v>
      </c>
      <c r="AC238" s="9"/>
      <c r="AD238" s="451">
        <f>(SUMPRODUCT(AD$9:AD$229,Nutrients!$CZ$8:$CZ$228)+(IF($A$7=Nutrients!$B$8,Nutrients!$CZ$8,Nutrients!$CZ$9)*AD$7)+(((IF($A$8=Nutrients!$B$79,Nutrients!$CZ$79,(IF($A$8=Nutrients!$B$77,Nutrients!$CZ$77,Nutrients!$CZ$78)))))*AD$8))/2000/AD$236*100</f>
        <v>151.80552535353348</v>
      </c>
      <c r="AE238" s="451">
        <f>(SUMPRODUCT(AE$9:AE$229,Nutrients!$CZ$8:$CZ$228)+(IF($A$7=Nutrients!$B$8,Nutrients!$CZ$8,Nutrients!$CZ$9)*AE$7)+(((IF($A$8=Nutrients!$B$79,Nutrients!$CZ$79,(IF($A$8=Nutrients!$B$77,Nutrients!$CZ$77,Nutrients!$CZ$78)))))*AE$8))/2000/AE$236*100</f>
        <v>159.58317331551683</v>
      </c>
      <c r="AF238" s="451">
        <f>(SUMPRODUCT(AF$9:AF$229,Nutrients!$CZ$8:$CZ$228)+(IF($A$7=Nutrients!$B$8,Nutrients!$CZ$8,Nutrients!$CZ$9)*AF$7)+(((IF($A$8=Nutrients!$B$79,Nutrients!$CZ$79,(IF($A$8=Nutrients!$B$77,Nutrients!$CZ$77,Nutrients!$CZ$78)))))*AF$8))/2000/AF$236*100</f>
        <v>168.76312717711107</v>
      </c>
      <c r="AG238" s="451">
        <f>(SUMPRODUCT(AG$9:AG$229,Nutrients!$CZ$8:$CZ$228)+(IF($A$7=Nutrients!$B$8,Nutrients!$CZ$8,Nutrients!$CZ$9)*AG$7)+(((IF($A$8=Nutrients!$B$79,Nutrients!$CZ$79,(IF($A$8=Nutrients!$B$77,Nutrients!$CZ$77,Nutrients!$CZ$78)))))*AG$8))/2000/AG$236*100</f>
        <v>178.20984251182003</v>
      </c>
      <c r="AH238" s="451">
        <f>(SUMPRODUCT(AH$9:AH$229,Nutrients!$CZ$8:$CZ$228)+(IF($A$7=Nutrients!$B$8,Nutrients!$CZ$8,Nutrients!$CZ$9)*AH$7)+(((IF($A$8=Nutrients!$B$79,Nutrients!$CZ$79,(IF($A$8=Nutrients!$B$77,Nutrients!$CZ$77,Nutrients!$CZ$78)))))*AH$8))/2000/AH$236*100</f>
        <v>186.48283883053674</v>
      </c>
      <c r="AI238" s="451">
        <f>(SUMPRODUCT(AI$9:AI$229,Nutrients!$CZ$8:$CZ$228)+(IF($A$7=Nutrients!$B$8,Nutrients!$CZ$8,Nutrients!$CZ$9)*AI$7)+(((IF($A$8=Nutrients!$B$79,Nutrients!$CZ$79,(IF($A$8=Nutrients!$B$77,Nutrients!$CZ$77,Nutrients!$CZ$78)))))*AI$8))/2000/AI$236*100</f>
        <v>155.21195132466949</v>
      </c>
      <c r="AJ238" s="9"/>
      <c r="AK238" s="451">
        <f>(SUMPRODUCT(AK$9:AK$229,Nutrients!$CZ$8:$CZ$228)+(IF($A$7=Nutrients!$B$8,Nutrients!$CZ$8,Nutrients!$CZ$9)*AK$7)+(((IF($A$8=Nutrients!$B$79,Nutrients!$CZ$79,(IF($A$8=Nutrients!$B$77,Nutrients!$CZ$77,Nutrients!$CZ$78)))))*AK$8))/2000/AK$236*100</f>
        <v>157.22824189377215</v>
      </c>
      <c r="AL238" s="451">
        <f>(SUMPRODUCT(AL$9:AL$229,Nutrients!$CZ$8:$CZ$228)+(IF($A$7=Nutrients!$B$8,Nutrients!$CZ$8,Nutrients!$CZ$9)*AL$7)+(((IF($A$8=Nutrients!$B$79,Nutrients!$CZ$79,(IF($A$8=Nutrients!$B$77,Nutrients!$CZ$77,Nutrients!$CZ$78)))))*AL$8))/2000/AL$236*100</f>
        <v>166.11202399208233</v>
      </c>
      <c r="AM238" s="451">
        <f>(SUMPRODUCT(AM$9:AM$229,Nutrients!$CZ$8:$CZ$228)+(IF($A$7=Nutrients!$B$8,Nutrients!$CZ$8,Nutrients!$CZ$9)*AM$7)+(((IF($A$8=Nutrients!$B$79,Nutrients!$CZ$79,(IF($A$8=Nutrients!$B$77,Nutrients!$CZ$77,Nutrients!$CZ$78)))))*AM$8))/2000/AM$236*100</f>
        <v>176.14549849047239</v>
      </c>
      <c r="AN238" s="451">
        <f>(SUMPRODUCT(AN$9:AN$229,Nutrients!$CZ$8:$CZ$228)+(IF($A$7=Nutrients!$B$8,Nutrients!$CZ$8,Nutrients!$CZ$9)*AN$7)+(((IF($A$8=Nutrients!$B$79,Nutrients!$CZ$79,(IF($A$8=Nutrients!$B$77,Nutrients!$CZ$77,Nutrients!$CZ$78)))))*AN$8))/2000/AN$236*100</f>
        <v>186.5105836196264</v>
      </c>
      <c r="AO238" s="451">
        <f>(SUMPRODUCT(AO$9:AO$229,Nutrients!$CZ$8:$CZ$228)+(IF($A$7=Nutrients!$B$8,Nutrients!$CZ$8,Nutrients!$CZ$9)*AO$7)+(((IF($A$8=Nutrients!$B$79,Nutrients!$CZ$79,(IF($A$8=Nutrients!$B$77,Nutrients!$CZ$77,Nutrients!$CZ$78)))))*AO$8))/2000/AO$236*100</f>
        <v>195.56432340080264</v>
      </c>
      <c r="AP238" s="451">
        <f>(SUMPRODUCT(AP$9:AP$229,Nutrients!$CZ$8:$CZ$228)+(IF($A$7=Nutrients!$B$8,Nutrients!$CZ$8,Nutrients!$CZ$9)*AP$7)+(((IF($A$8=Nutrients!$B$79,Nutrients!$CZ$79,(IF($A$8=Nutrients!$B$77,Nutrients!$CZ$77,Nutrients!$CZ$78)))))*AP$8))/2000/AP$236*100</f>
        <v>155.21195132466949</v>
      </c>
      <c r="AQ238" s="9"/>
      <c r="AR238" s="451">
        <f>(SUMPRODUCT(AR$9:AR$229,Nutrients!$CZ$8:$CZ$228)+(IF($A$7=Nutrients!$B$8,Nutrients!$CZ$8,Nutrients!$CZ$9)*AR$7)+(((IF($A$8=Nutrients!$B$79,Nutrients!$CZ$79,(IF($A$8=Nutrients!$B$77,Nutrients!$CZ$77,Nutrients!$CZ$78)))))*AR$8))/2000/AR$236*100</f>
        <v>163.10777105101943</v>
      </c>
      <c r="AS238" s="451">
        <f>(SUMPRODUCT(AS$9:AS$229,Nutrients!$CZ$8:$CZ$228)+(IF($A$7=Nutrients!$B$8,Nutrients!$CZ$8,Nutrients!$CZ$9)*AS$7)+(((IF($A$8=Nutrients!$B$79,Nutrients!$CZ$79,(IF($A$8=Nutrients!$B$77,Nutrients!$CZ$77,Nutrients!$CZ$78)))))*AS$8))/2000/AS$236*100</f>
        <v>172.7430556274353</v>
      </c>
      <c r="AT238" s="451">
        <f>(SUMPRODUCT(AT$9:AT$229,Nutrients!$CZ$8:$CZ$228)+(IF($A$7=Nutrients!$B$8,Nutrients!$CZ$8,Nutrients!$CZ$9)*AT$7)+(((IF($A$8=Nutrients!$B$79,Nutrients!$CZ$79,(IF($A$8=Nutrients!$B$77,Nutrients!$CZ$77,Nutrients!$CZ$78)))))*AT$8))/2000/AT$236*100</f>
        <v>183.61672916058433</v>
      </c>
      <c r="AU238" s="451">
        <f>(SUMPRODUCT(AU$9:AU$229,Nutrients!$CZ$8:$CZ$228)+(IF($A$7=Nutrients!$B$8,Nutrients!$CZ$8,Nutrients!$CZ$9)*AU$7)+(((IF($A$8=Nutrients!$B$79,Nutrients!$CZ$79,(IF($A$8=Nutrients!$B$77,Nutrients!$CZ$77,Nutrients!$CZ$78)))))*AU$8))/2000/AU$236*100</f>
        <v>194.93886231982762</v>
      </c>
      <c r="AV238" s="451">
        <f>(SUMPRODUCT(AV$9:AV$229,Nutrients!$CZ$8:$CZ$228)+(IF($A$7=Nutrients!$B$8,Nutrients!$CZ$8,Nutrients!$CZ$9)*AV$7)+(((IF($A$8=Nutrients!$B$79,Nutrients!$CZ$79,(IF($A$8=Nutrients!$B$77,Nutrients!$CZ$77,Nutrients!$CZ$78)))))*AV$8))/2000/AV$236*100</f>
        <v>204.80455339223101</v>
      </c>
      <c r="AW238" s="451">
        <f>(SUMPRODUCT(AW$9:AW$229,Nutrients!$CZ$8:$CZ$228)+(IF($A$7=Nutrients!$B$8,Nutrients!$CZ$8,Nutrients!$CZ$9)*AW$7)+(((IF($A$8=Nutrients!$B$79,Nutrients!$CZ$79,(IF($A$8=Nutrients!$B$77,Nutrients!$CZ$77,Nutrients!$CZ$78)))))*AW$8))/2000/AW$236*100</f>
        <v>155.21195132466949</v>
      </c>
      <c r="AX238" s="13"/>
    </row>
    <row r="239" spans="1:50" x14ac:dyDescent="0.25">
      <c r="A239" s="38" t="s">
        <v>384</v>
      </c>
      <c r="B239" s="451">
        <f>(SUMPRODUCT(B$9:B$229,Nutrients!$DB$8:$DB$228)+(IF($A$7=Nutrients!$B$8,Nutrients!$DB$8,Nutrients!$DB$9)*B$7)+(((IF($A$8=Nutrients!$B$79,Nutrients!$DB$79,(IF($A$8=Nutrients!$B$77,Nutrients!$DB$77,Nutrients!$DB$78)))))*B$8))/2000/B$236*100</f>
        <v>32.176483378772197</v>
      </c>
      <c r="C239" s="451">
        <f>(SUMPRODUCT(C$9:C$229,Nutrients!$DB$8:$DB$228)+(IF($A$7=Nutrients!$B$8,Nutrients!$DB$8,Nutrients!$DB$9)*C$7)+(((IF($A$8=Nutrients!$B$79,Nutrients!$DB$79,(IF($A$8=Nutrients!$B$77,Nutrients!$DB$77,Nutrients!$DB$78)))))*C$8))/2000/C$236*100</f>
        <v>31.3204641187241</v>
      </c>
      <c r="D239" s="451">
        <f>(SUMPRODUCT(D$9:D$229,Nutrients!$DB$8:$DB$228)+(IF($A$7=Nutrients!$B$8,Nutrients!$DB$8,Nutrients!$DB$9)*D$7)+(((IF($A$8=Nutrients!$B$79,Nutrients!$DB$79,(IF($A$8=Nutrients!$B$77,Nutrients!$DB$77,Nutrients!$DB$78)))))*D$8))/2000/D$236*100</f>
        <v>30.28033378224459</v>
      </c>
      <c r="E239" s="451">
        <f>(SUMPRODUCT(E$9:E$229,Nutrients!$DB$8:$DB$228)+(IF($A$7=Nutrients!$B$8,Nutrients!$DB$8,Nutrients!$DB$9)*E$7)+(((IF($A$8=Nutrients!$B$79,Nutrients!$DB$79,(IF($A$8=Nutrients!$B$77,Nutrients!$DB$77,Nutrients!$DB$78)))))*E$8))/2000/E$236*100</f>
        <v>30.221879794096772</v>
      </c>
      <c r="F239" s="451">
        <f>(SUMPRODUCT(F$9:F$229,Nutrients!$DB$8:$DB$228)+(IF($A$7=Nutrients!$B$8,Nutrients!$DB$8,Nutrients!$DB$9)*F$7)+(((IF($A$8=Nutrients!$B$79,Nutrients!$DB$79,(IF($A$8=Nutrients!$B$77,Nutrients!$DB$77,Nutrients!$DB$78)))))*F$8))/2000/F$236*100</f>
        <v>29.27572686201405</v>
      </c>
      <c r="G239" s="451">
        <f>(SUMPRODUCT(G$9:G$229,Nutrients!$DB$8:$DB$228)+(IF($A$7=Nutrients!$B$8,Nutrients!$DB$8,Nutrients!$DB$9)*G$7)+(((IF($A$8=Nutrients!$B$79,Nutrients!$DB$79,(IF($A$8=Nutrients!$B$77,Nutrients!$DB$77,Nutrients!$DB$78)))))*G$8))/2000/G$236*100</f>
        <v>29.609559948404552</v>
      </c>
      <c r="H239" s="224"/>
      <c r="I239" s="451">
        <f>(SUMPRODUCT(I$9:I$229,Nutrients!$DB$8:$DB$228)+(IF($A$7=Nutrients!$B$8,Nutrients!$DB$8,Nutrients!$DB$9)*I$7)+(((IF($A$8=Nutrients!$B$79,Nutrients!$DB$79,(IF($A$8=Nutrients!$B$77,Nutrients!$DB$77,Nutrients!$DB$78)))))*I$8))/2000/I$236*100</f>
        <v>31.972666813313062</v>
      </c>
      <c r="J239" s="451">
        <f>(SUMPRODUCT(J$9:J$229,Nutrients!$DB$8:$DB$228)+(IF($A$7=Nutrients!$B$8,Nutrients!$DB$8,Nutrients!$DB$9)*J$7)+(((IF($A$8=Nutrients!$B$79,Nutrients!$DB$79,(IF($A$8=Nutrients!$B$77,Nutrients!$DB$77,Nutrients!$DB$78)))))*J$8))/2000/J$236*100</f>
        <v>31.063316062240133</v>
      </c>
      <c r="K239" s="451">
        <f>(SUMPRODUCT(K$9:K$229,Nutrients!$DB$8:$DB$228)+(IF($A$7=Nutrients!$B$8,Nutrients!$DB$8,Nutrients!$DB$9)*K$7)+(((IF($A$8=Nutrients!$B$79,Nutrients!$DB$79,(IF($A$8=Nutrients!$B$77,Nutrients!$DB$77,Nutrients!$DB$78)))))*K$8))/2000/K$236*100</f>
        <v>30.038079088916092</v>
      </c>
      <c r="L239" s="451">
        <f>(SUMPRODUCT(L$9:L$229,Nutrients!$DB$8:$DB$228)+(IF($A$7=Nutrients!$B$8,Nutrients!$DB$8,Nutrients!$DB$9)*L$7)+(((IF($A$8=Nutrients!$B$79,Nutrients!$DB$79,(IF($A$8=Nutrients!$B$77,Nutrients!$DB$77,Nutrients!$DB$78)))))*L$8))/2000/L$236*100</f>
        <v>29.947705118624985</v>
      </c>
      <c r="M239" s="451">
        <f>(SUMPRODUCT(M$9:M$229,Nutrients!$DB$8:$DB$228)+(IF($A$7=Nutrients!$B$8,Nutrients!$DB$8,Nutrients!$DB$9)*M$7)+(((IF($A$8=Nutrients!$B$79,Nutrients!$DB$79,(IF($A$8=Nutrients!$B$77,Nutrients!$DB$77,Nutrients!$DB$78)))))*M$8))/2000/M$236*100</f>
        <v>28.966497479904813</v>
      </c>
      <c r="N239" s="451">
        <f>(SUMPRODUCT(N$9:N$229,Nutrients!$DB$8:$DB$228)+(IF($A$7=Nutrients!$B$8,Nutrients!$DB$8,Nutrients!$DB$9)*N$7)+(((IF($A$8=Nutrients!$B$79,Nutrients!$DB$79,(IF($A$8=Nutrients!$B$77,Nutrients!$DB$77,Nutrients!$DB$78)))))*N$8))/2000/N$236*100</f>
        <v>29.609559948404552</v>
      </c>
      <c r="O239" s="472"/>
      <c r="P239" s="451">
        <f>(SUMPRODUCT(P$9:P$229,Nutrients!$DB$8:$DB$228)+(IF($A$7=Nutrients!$B$8,Nutrients!$DB$8,Nutrients!$DB$9)*P$7)+(((IF($A$8=Nutrients!$B$79,Nutrients!$DB$79,(IF($A$8=Nutrients!$B$77,Nutrients!$DB$77,Nutrients!$DB$78)))))*P$8))/2000/P$236*100</f>
        <v>31.78556845306889</v>
      </c>
      <c r="Q239" s="451">
        <f>(SUMPRODUCT(Q$9:Q$229,Nutrients!$DB$8:$DB$228)+(IF($A$7=Nutrients!$B$8,Nutrients!$DB$8,Nutrients!$DB$9)*Q$7)+(((IF($A$8=Nutrients!$B$79,Nutrients!$DB$79,(IF($A$8=Nutrients!$B$77,Nutrients!$DB$77,Nutrients!$DB$78)))))*Q$8))/2000/Q$236*100</f>
        <v>30.897601685784998</v>
      </c>
      <c r="R239" s="451">
        <f>(SUMPRODUCT(R$9:R$229,Nutrients!$DB$8:$DB$228)+(IF($A$7=Nutrients!$B$8,Nutrients!$DB$8,Nutrients!$DB$9)*R$7)+(((IF($A$8=Nutrients!$B$79,Nutrients!$DB$79,(IF($A$8=Nutrients!$B$77,Nutrients!$DB$77,Nutrients!$DB$78)))))*R$8))/2000/R$236*100</f>
        <v>29.758368048104668</v>
      </c>
      <c r="S239" s="451">
        <f>(SUMPRODUCT(S$9:S$229,Nutrients!$DB$8:$DB$228)+(IF($A$7=Nutrients!$B$8,Nutrients!$DB$8,Nutrients!$DB$9)*S$7)+(((IF($A$8=Nutrients!$B$79,Nutrients!$DB$79,(IF($A$8=Nutrients!$B$77,Nutrients!$DB$77,Nutrients!$DB$78)))))*S$8))/2000/S$236*100</f>
        <v>29.639131753681308</v>
      </c>
      <c r="T239" s="451">
        <f>(SUMPRODUCT(T$9:T$229,Nutrients!$DB$8:$DB$228)+(IF($A$7=Nutrients!$B$8,Nutrients!$DB$8,Nutrients!$DB$9)*T$7)+(((IF($A$8=Nutrients!$B$79,Nutrients!$DB$79,(IF($A$8=Nutrients!$B$77,Nutrients!$DB$77,Nutrients!$DB$78)))))*T$8))/2000/T$236*100</f>
        <v>29.746086503493846</v>
      </c>
      <c r="U239" s="451">
        <f>(SUMPRODUCT(U$9:U$229,Nutrients!$DB$8:$DB$228)+(IF($A$7=Nutrients!$B$8,Nutrients!$DB$8,Nutrients!$DB$9)*U$7)+(((IF($A$8=Nutrients!$B$79,Nutrients!$DB$79,(IF($A$8=Nutrients!$B$77,Nutrients!$DB$77,Nutrients!$DB$78)))))*U$8))/2000/U$236*100</f>
        <v>29.609559948404552</v>
      </c>
      <c r="V239" s="9"/>
      <c r="W239" s="451">
        <f>(SUMPRODUCT(W$9:W$229,Nutrients!$DB$8:$DB$228)+(IF($A$7=Nutrients!$B$8,Nutrients!$DB$8,Nutrients!$DB$9)*W$7)+(((IF($A$8=Nutrients!$B$79,Nutrients!$DB$79,(IF($A$8=Nutrients!$B$77,Nutrients!$DB$77,Nutrients!$DB$78)))))*W$8))/2000/W$236*100</f>
        <v>31.596106334434914</v>
      </c>
      <c r="X239" s="451">
        <f>(SUMPRODUCT(X$9:X$229,Nutrients!$DB$8:$DB$228)+(IF($A$7=Nutrients!$B$8,Nutrients!$DB$8,Nutrients!$DB$9)*X$7)+(((IF($A$8=Nutrients!$B$79,Nutrients!$DB$79,(IF($A$8=Nutrients!$B$77,Nutrients!$DB$77,Nutrients!$DB$78)))))*X$8))/2000/X$236*100</f>
        <v>30.665541495163772</v>
      </c>
      <c r="Y239" s="451">
        <f>(SUMPRODUCT(Y$9:Y$229,Nutrients!$DB$8:$DB$228)+(IF($A$7=Nutrients!$B$8,Nutrients!$DB$8,Nutrients!$DB$9)*Y$7)+(((IF($A$8=Nutrients!$B$79,Nutrients!$DB$79,(IF($A$8=Nutrients!$B$77,Nutrients!$DB$77,Nutrients!$DB$78)))))*Y$8))/2000/Y$236*100</f>
        <v>29.548441737744668</v>
      </c>
      <c r="Z239" s="451">
        <f>(SUMPRODUCT(Z$9:Z$229,Nutrients!$DB$8:$DB$228)+(IF($A$7=Nutrients!$B$8,Nutrients!$DB$8,Nutrients!$DB$9)*Z$7)+(((IF($A$8=Nutrients!$B$79,Nutrients!$DB$79,(IF($A$8=Nutrients!$B$77,Nutrients!$DB$77,Nutrients!$DB$78)))))*Z$8))/2000/Z$236*100</f>
        <v>29.675216989122237</v>
      </c>
      <c r="AA239" s="451">
        <f>(SUMPRODUCT(AA$9:AA$229,Nutrients!$DB$8:$DB$228)+(IF($A$7=Nutrients!$B$8,Nutrients!$DB$8,Nutrients!$DB$9)*AA$7)+(((IF($A$8=Nutrients!$B$79,Nutrients!$DB$79,(IF($A$8=Nutrients!$B$77,Nutrients!$DB$77,Nutrients!$DB$78)))))*AA$8))/2000/AA$236*100</f>
        <v>30.863325404266313</v>
      </c>
      <c r="AB239" s="451">
        <f>(SUMPRODUCT(AB$9:AB$229,Nutrients!$DB$8:$DB$228)+(IF($A$7=Nutrients!$B$8,Nutrients!$DB$8,Nutrients!$DB$9)*AB$7)+(((IF($A$8=Nutrients!$B$79,Nutrients!$DB$79,(IF($A$8=Nutrients!$B$77,Nutrients!$DB$77,Nutrients!$DB$78)))))*AB$8))/2000/AB$236*100</f>
        <v>29.609559948404552</v>
      </c>
      <c r="AC239" s="9"/>
      <c r="AD239" s="451">
        <f>(SUMPRODUCT(AD$9:AD$229,Nutrients!$DB$8:$DB$228)+(IF($A$7=Nutrients!$B$8,Nutrients!$DB$8,Nutrients!$DB$9)*AD$7)+(((IF($A$8=Nutrients!$B$79,Nutrients!$DB$79,(IF($A$8=Nutrients!$B$77,Nutrients!$DB$77,Nutrients!$DB$78)))))*AD$8))/2000/AD$236*100</f>
        <v>31.405187189252466</v>
      </c>
      <c r="AE239" s="451">
        <f>(SUMPRODUCT(AE$9:AE$229,Nutrients!$DB$8:$DB$228)+(IF($A$7=Nutrients!$B$8,Nutrients!$DB$8,Nutrients!$DB$9)*AE$7)+(((IF($A$8=Nutrients!$B$79,Nutrients!$DB$79,(IF($A$8=Nutrients!$B$77,Nutrients!$DB$77,Nutrients!$DB$78)))))*AE$8))/2000/AE$236*100</f>
        <v>30.446342297518985</v>
      </c>
      <c r="AF239" s="451">
        <f>(SUMPRODUCT(AF$9:AF$229,Nutrients!$DB$8:$DB$228)+(IF($A$7=Nutrients!$B$8,Nutrients!$DB$8,Nutrients!$DB$9)*AF$7)+(((IF($A$8=Nutrients!$B$79,Nutrients!$DB$79,(IF($A$8=Nutrients!$B$77,Nutrients!$DB$77,Nutrients!$DB$78)))))*AF$8))/2000/AF$236*100</f>
        <v>29.255585937464211</v>
      </c>
      <c r="AG239" s="451">
        <f>(SUMPRODUCT(AG$9:AG$229,Nutrients!$DB$8:$DB$228)+(IF($A$7=Nutrients!$B$8,Nutrients!$DB$8,Nutrients!$DB$9)*AG$7)+(((IF($A$8=Nutrients!$B$79,Nutrients!$DB$79,(IF($A$8=Nutrients!$B$77,Nutrients!$DB$77,Nutrients!$DB$78)))))*AG$8))/2000/AG$236*100</f>
        <v>30.713066832349295</v>
      </c>
      <c r="AH239" s="451">
        <f>(SUMPRODUCT(AH$9:AH$229,Nutrients!$DB$8:$DB$228)+(IF($A$7=Nutrients!$B$8,Nutrients!$DB$8,Nutrients!$DB$9)*AH$7)+(((IF($A$8=Nutrients!$B$79,Nutrients!$DB$79,(IF($A$8=Nutrients!$B$77,Nutrients!$DB$77,Nutrients!$DB$78)))))*AH$8))/2000/AH$236*100</f>
        <v>31.998362446785933</v>
      </c>
      <c r="AI239" s="451">
        <f>(SUMPRODUCT(AI$9:AI$229,Nutrients!$DB$8:$DB$228)+(IF($A$7=Nutrients!$B$8,Nutrients!$DB$8,Nutrients!$DB$9)*AI$7)+(((IF($A$8=Nutrients!$B$79,Nutrients!$DB$79,(IF($A$8=Nutrients!$B$77,Nutrients!$DB$77,Nutrients!$DB$78)))))*AI$8))/2000/AI$236*100</f>
        <v>29.609559948404552</v>
      </c>
      <c r="AJ239" s="9"/>
      <c r="AK239" s="451">
        <f>(SUMPRODUCT(AK$9:AK$229,Nutrients!$DB$8:$DB$228)+(IF($A$7=Nutrients!$B$8,Nutrients!$DB$8,Nutrients!$DB$9)*AK$7)+(((IF($A$8=Nutrients!$B$79,Nutrients!$DB$79,(IF($A$8=Nutrients!$B$77,Nutrients!$DB$77,Nutrients!$DB$78)))))*AK$8))/2000/AK$236*100</f>
        <v>31.150790981451664</v>
      </c>
      <c r="AL239" s="451">
        <f>(SUMPRODUCT(AL$9:AL$229,Nutrients!$DB$8:$DB$228)+(IF($A$7=Nutrients!$B$8,Nutrients!$DB$8,Nutrients!$DB$9)*AL$7)+(((IF($A$8=Nutrients!$B$79,Nutrients!$DB$79,(IF($A$8=Nutrients!$B$77,Nutrients!$DB$77,Nutrients!$DB$78)))))*AL$8))/2000/AL$236*100</f>
        <v>30.219030153975719</v>
      </c>
      <c r="AM239" s="451">
        <f>(SUMPRODUCT(AM$9:AM$229,Nutrients!$DB$8:$DB$228)+(IF($A$7=Nutrients!$B$8,Nutrients!$DB$8,Nutrients!$DB$9)*AM$7)+(((IF($A$8=Nutrients!$B$79,Nutrients!$DB$79,(IF($A$8=Nutrients!$B$77,Nutrients!$DB$77,Nutrients!$DB$78)))))*AM$8))/2000/AM$236*100</f>
        <v>30.194071433183044</v>
      </c>
      <c r="AN239" s="451">
        <f>(SUMPRODUCT(AN$9:AN$229,Nutrients!$DB$8:$DB$228)+(IF($A$7=Nutrients!$B$8,Nutrients!$DB$8,Nutrients!$DB$9)*AN$7)+(((IF($A$8=Nutrients!$B$79,Nutrients!$DB$79,(IF($A$8=Nutrients!$B$77,Nutrients!$DB$77,Nutrients!$DB$78)))))*AN$8))/2000/AN$236*100</f>
        <v>31.767795890545276</v>
      </c>
      <c r="AO239" s="451">
        <f>(SUMPRODUCT(AO$9:AO$229,Nutrients!$DB$8:$DB$228)+(IF($A$7=Nutrients!$B$8,Nutrients!$DB$8,Nutrients!$DB$9)*AO$7)+(((IF($A$8=Nutrients!$B$79,Nutrients!$DB$79,(IF($A$8=Nutrients!$B$77,Nutrients!$DB$77,Nutrients!$DB$78)))))*AO$8))/2000/AO$236*100</f>
        <v>33.151732950143028</v>
      </c>
      <c r="AP239" s="451">
        <f>(SUMPRODUCT(AP$9:AP$229,Nutrients!$DB$8:$DB$228)+(IF($A$7=Nutrients!$B$8,Nutrients!$DB$8,Nutrients!$DB$9)*AP$7)+(((IF($A$8=Nutrients!$B$79,Nutrients!$DB$79,(IF($A$8=Nutrients!$B$77,Nutrients!$DB$77,Nutrients!$DB$78)))))*AP$8))/2000/AP$236*100</f>
        <v>29.609559948404552</v>
      </c>
      <c r="AQ239" s="9"/>
      <c r="AR239" s="451">
        <f>(SUMPRODUCT(AR$9:AR$229,Nutrients!$DB$8:$DB$228)+(IF($A$7=Nutrients!$B$8,Nutrients!$DB$8,Nutrients!$DB$9)*AR$7)+(((IF($A$8=Nutrients!$B$79,Nutrients!$DB$79,(IF($A$8=Nutrients!$B$77,Nutrients!$DB$77,Nutrients!$DB$78)))))*AR$8))/2000/AR$236*100</f>
        <v>30.977730121051035</v>
      </c>
      <c r="AS239" s="451">
        <f>(SUMPRODUCT(AS$9:AS$229,Nutrients!$DB$8:$DB$228)+(IF($A$7=Nutrients!$B$8,Nutrients!$DB$8,Nutrients!$DB$9)*AS$7)+(((IF($A$8=Nutrients!$B$79,Nutrients!$DB$79,(IF($A$8=Nutrients!$B$77,Nutrients!$DB$77,Nutrients!$DB$78)))))*AS$8))/2000/AS$236*100</f>
        <v>29.987905124066877</v>
      </c>
      <c r="AT239" s="451">
        <f>(SUMPRODUCT(AT$9:AT$229,Nutrients!$DB$8:$DB$228)+(IF($A$7=Nutrients!$B$8,Nutrients!$DB$8,Nutrients!$DB$9)*AT$7)+(((IF($A$8=Nutrients!$B$79,Nutrients!$DB$79,(IF($A$8=Nutrients!$B$77,Nutrients!$DB$77,Nutrients!$DB$78)))))*AT$8))/2000/AT$236*100</f>
        <v>31.143262269735377</v>
      </c>
      <c r="AU239" s="451">
        <f>(SUMPRODUCT(AU$9:AU$229,Nutrients!$DB$8:$DB$228)+(IF($A$7=Nutrients!$B$8,Nutrients!$DB$8,Nutrients!$DB$9)*AU$7)+(((IF($A$8=Nutrients!$B$79,Nutrients!$DB$79,(IF($A$8=Nutrients!$B$77,Nutrients!$DB$77,Nutrients!$DB$78)))))*AU$8))/2000/AU$236*100</f>
        <v>32.837504152013821</v>
      </c>
      <c r="AV239" s="451">
        <f>(SUMPRODUCT(AV$9:AV$229,Nutrients!$DB$8:$DB$228)+(IF($A$7=Nutrients!$B$8,Nutrients!$DB$8,Nutrients!$DB$9)*AV$7)+(((IF($A$8=Nutrients!$B$79,Nutrients!$DB$79,(IF($A$8=Nutrients!$B$77,Nutrients!$DB$77,Nutrients!$DB$78)))))*AV$8))/2000/AV$236*100</f>
        <v>34.325261224280951</v>
      </c>
      <c r="AW239" s="451">
        <f>(SUMPRODUCT(AW$9:AW$229,Nutrients!$DB$8:$DB$228)+(IF($A$7=Nutrients!$B$8,Nutrients!$DB$8,Nutrients!$DB$9)*AW$7)+(((IF($A$8=Nutrients!$B$79,Nutrients!$DB$79,(IF($A$8=Nutrients!$B$77,Nutrients!$DB$77,Nutrients!$DB$78)))))*AW$8))/2000/AW$236*100</f>
        <v>29.609559948404552</v>
      </c>
      <c r="AX239" s="13"/>
    </row>
    <row r="240" spans="1:50" x14ac:dyDescent="0.25">
      <c r="A240" s="38" t="s">
        <v>385</v>
      </c>
      <c r="B240" s="225">
        <f>(SUMPRODUCT(B$9:B$229,Nutrients!$DC$8:$DC$228)+(IF($A$7=Nutrients!$B$8,Nutrients!$DC$8,Nutrients!$DC$9)*B$7)+(((IF($A$8=Nutrients!$B$79,Nutrients!$DC$79,(IF($A$8=Nutrients!$B$77,Nutrients!$DC$77,Nutrients!$DC$78)))))*B$8))/2000/B$236*100</f>
        <v>55.994418242240393</v>
      </c>
      <c r="C240" s="225">
        <f>(SUMPRODUCT(C$9:C$229,Nutrients!$DC$8:$DC$228)+(IF($A$7=Nutrients!$B$8,Nutrients!$DC$8,Nutrients!$DC$9)*C$7)+(((IF($A$8=Nutrients!$B$79,Nutrients!$DC$79,(IF($A$8=Nutrients!$B$77,Nutrients!$DC$77,Nutrients!$DC$78)))))*C$8))/2000/C$236*100</f>
        <v>55.998321129822401</v>
      </c>
      <c r="D240" s="225">
        <f>(SUMPRODUCT(D$9:D$229,Nutrients!$DC$8:$DC$228)+(IF($A$7=Nutrients!$B$8,Nutrients!$DC$8,Nutrients!$DC$9)*D$7)+(((IF($A$8=Nutrients!$B$79,Nutrients!$DC$79,(IF($A$8=Nutrients!$B$77,Nutrients!$DC$77,Nutrients!$DC$78)))))*D$8))/2000/D$236*100</f>
        <v>56.000205781178344</v>
      </c>
      <c r="E240" s="225">
        <f>(SUMPRODUCT(E$9:E$229,Nutrients!$DC$8:$DC$228)+(IF($A$7=Nutrients!$B$8,Nutrients!$DC$8,Nutrients!$DC$9)*E$7)+(((IF($A$8=Nutrients!$B$79,Nutrients!$DC$79,(IF($A$8=Nutrients!$B$77,Nutrients!$DC$77,Nutrients!$DC$78)))))*E$8))/2000/E$236*100</f>
        <v>56.999140886022367</v>
      </c>
      <c r="F240" s="225">
        <f>(SUMPRODUCT(F$9:F$229,Nutrients!$DC$8:$DC$228)+(IF($A$7=Nutrients!$B$8,Nutrients!$DC$8,Nutrients!$DC$9)*F$7)+(((IF($A$8=Nutrients!$B$79,Nutrients!$DC$79,(IF($A$8=Nutrients!$B$77,Nutrients!$DC$77,Nutrients!$DC$78)))))*F$8))/2000/F$236*100</f>
        <v>57.001109458079327</v>
      </c>
      <c r="G240" s="225">
        <f>(SUMPRODUCT(G$9:G$229,Nutrients!$DC$8:$DC$228)+(IF($A$7=Nutrients!$B$8,Nutrients!$DC$8,Nutrients!$DC$9)*G$7)+(((IF($A$8=Nutrients!$B$79,Nutrients!$DC$79,(IF($A$8=Nutrients!$B$77,Nutrients!$DC$77,Nutrients!$DC$78)))))*G$8))/2000/G$236*100</f>
        <v>58.001701198028378</v>
      </c>
      <c r="H240" s="224"/>
      <c r="I240" s="225">
        <f>(SUMPRODUCT(I$9:I$229,Nutrients!$DC$8:$DC$228)+(IF($A$7=Nutrients!$B$8,Nutrients!$DC$8,Nutrients!$DC$9)*I$7)+(((IF($A$8=Nutrients!$B$79,Nutrients!$DC$79,(IF($A$8=Nutrients!$B$77,Nutrients!$DC$77,Nutrients!$DC$78)))))*I$8))/2000/I$236*100</f>
        <v>55.983640041954054</v>
      </c>
      <c r="J240" s="225">
        <f>(SUMPRODUCT(J$9:J$229,Nutrients!$DC$8:$DC$228)+(IF($A$7=Nutrients!$B$8,Nutrients!$DC$8,Nutrients!$DC$9)*J$7)+(((IF($A$8=Nutrients!$B$79,Nutrients!$DC$79,(IF($A$8=Nutrients!$B$77,Nutrients!$DC$77,Nutrients!$DC$78)))))*J$8))/2000/J$236*100</f>
        <v>55.95762902663364</v>
      </c>
      <c r="K240" s="225">
        <f>(SUMPRODUCT(K$9:K$229,Nutrients!$DC$8:$DC$228)+(IF($A$7=Nutrients!$B$8,Nutrients!$DC$8,Nutrients!$DC$9)*K$7)+(((IF($A$8=Nutrients!$B$79,Nutrients!$DC$79,(IF($A$8=Nutrients!$B$77,Nutrients!$DC$77,Nutrients!$DC$78)))))*K$8))/2000/K$236*100</f>
        <v>56.001659847621625</v>
      </c>
      <c r="L240" s="225">
        <f>(SUMPRODUCT(L$9:L$229,Nutrients!$DC$8:$DC$228)+(IF($A$7=Nutrients!$B$8,Nutrients!$DC$8,Nutrients!$DC$9)*L$7)+(((IF($A$8=Nutrients!$B$79,Nutrients!$DC$79,(IF($A$8=Nutrients!$B$77,Nutrients!$DC$77,Nutrients!$DC$78)))))*L$8))/2000/L$236*100</f>
        <v>57.001862447239141</v>
      </c>
      <c r="M240" s="225">
        <f>(SUMPRODUCT(M$9:M$229,Nutrients!$DC$8:$DC$228)+(IF($A$7=Nutrients!$B$8,Nutrients!$DC$8,Nutrients!$DC$9)*M$7)+(((IF($A$8=Nutrients!$B$79,Nutrients!$DC$79,(IF($A$8=Nutrients!$B$77,Nutrients!$DC$77,Nutrients!$DC$78)))))*M$8))/2000/M$236*100</f>
        <v>57.002034686247839</v>
      </c>
      <c r="N240" s="225">
        <f>(SUMPRODUCT(N$9:N$229,Nutrients!$DC$8:$DC$228)+(IF($A$7=Nutrients!$B$8,Nutrients!$DC$8,Nutrients!$DC$9)*N$7)+(((IF($A$8=Nutrients!$B$79,Nutrients!$DC$79,(IF($A$8=Nutrients!$B$77,Nutrients!$DC$77,Nutrients!$DC$78)))))*N$8))/2000/N$236*100</f>
        <v>58.001701198028378</v>
      </c>
      <c r="O240" s="472"/>
      <c r="P240" s="225">
        <f>(SUMPRODUCT(P$9:P$229,Nutrients!$DC$8:$DC$228)+(IF($A$7=Nutrients!$B$8,Nutrients!$DC$8,Nutrients!$DC$9)*P$7)+(((IF($A$8=Nutrients!$B$79,Nutrients!$DC$79,(IF($A$8=Nutrients!$B$77,Nutrients!$DC$77,Nutrients!$DC$78)))))*P$8))/2000/P$236*100</f>
        <v>55.982146637266169</v>
      </c>
      <c r="Q240" s="225">
        <f>(SUMPRODUCT(Q$9:Q$229,Nutrients!$DC$8:$DC$228)+(IF($A$7=Nutrients!$B$8,Nutrients!$DC$8,Nutrients!$DC$9)*Q$7)+(((IF($A$8=Nutrients!$B$79,Nutrients!$DC$79,(IF($A$8=Nutrients!$B$77,Nutrients!$DC$77,Nutrients!$DC$78)))))*Q$8))/2000/Q$236*100</f>
        <v>56.002380597594772</v>
      </c>
      <c r="R240" s="225">
        <f>(SUMPRODUCT(R$9:R$229,Nutrients!$DC$8:$DC$228)+(IF($A$7=Nutrients!$B$8,Nutrients!$DC$8,Nutrients!$DC$9)*R$7)+(((IF($A$8=Nutrients!$B$79,Nutrients!$DC$79,(IF($A$8=Nutrients!$B$77,Nutrients!$DC$77,Nutrients!$DC$78)))))*R$8))/2000/R$236*100</f>
        <v>55.959756703526352</v>
      </c>
      <c r="S240" s="225">
        <f>(SUMPRODUCT(S$9:S$229,Nutrients!$DC$8:$DC$228)+(IF($A$7=Nutrients!$B$8,Nutrients!$DC$8,Nutrients!$DC$9)*S$7)+(((IF($A$8=Nutrients!$B$79,Nutrients!$DC$79,(IF($A$8=Nutrients!$B$77,Nutrients!$DC$77,Nutrients!$DC$78)))))*S$8))/2000/S$236*100</f>
        <v>56.973597437419784</v>
      </c>
      <c r="T240" s="225">
        <f>(SUMPRODUCT(T$9:T$229,Nutrients!$DC$8:$DC$228)+(IF($A$7=Nutrients!$B$8,Nutrients!$DC$8,Nutrients!$DC$9)*T$7)+(((IF($A$8=Nutrients!$B$79,Nutrients!$DC$79,(IF($A$8=Nutrients!$B$77,Nutrients!$DC$77,Nutrients!$DC$78)))))*T$8))/2000/T$236*100</f>
        <v>58.084332907487877</v>
      </c>
      <c r="U240" s="225">
        <f>(SUMPRODUCT(U$9:U$229,Nutrients!$DC$8:$DC$228)+(IF($A$7=Nutrients!$B$8,Nutrients!$DC$8,Nutrients!$DC$9)*U$7)+(((IF($A$8=Nutrients!$B$79,Nutrients!$DC$79,(IF($A$8=Nutrients!$B$77,Nutrients!$DC$77,Nutrients!$DC$78)))))*U$8))/2000/U$236*100</f>
        <v>58.001701198028378</v>
      </c>
      <c r="V240" s="9"/>
      <c r="W240" s="225">
        <f>(SUMPRODUCT(W$9:W$229,Nutrients!$DC$8:$DC$228)+(IF($A$7=Nutrients!$B$8,Nutrients!$DC$8,Nutrients!$DC$9)*W$7)+(((IF($A$8=Nutrients!$B$79,Nutrients!$DC$79,(IF($A$8=Nutrients!$B$77,Nutrients!$DC$77,Nutrients!$DC$78)))))*W$8))/2000/W$236*100</f>
        <v>55.980981609052868</v>
      </c>
      <c r="X240" s="225">
        <f>(SUMPRODUCT(X$9:X$229,Nutrients!$DC$8:$DC$228)+(IF($A$7=Nutrients!$B$8,Nutrients!$DC$8,Nutrients!$DC$9)*X$7)+(((IF($A$8=Nutrients!$B$79,Nutrients!$DC$79,(IF($A$8=Nutrients!$B$77,Nutrients!$DC$77,Nutrients!$DC$78)))))*X$8))/2000/X$236*100</f>
        <v>55.983879264904381</v>
      </c>
      <c r="Y240" s="225">
        <f>(SUMPRODUCT(Y$9:Y$229,Nutrients!$DC$8:$DC$228)+(IF($A$7=Nutrients!$B$8,Nutrients!$DC$8,Nutrients!$DC$9)*Y$7)+(((IF($A$8=Nutrients!$B$79,Nutrients!$DC$79,(IF($A$8=Nutrients!$B$77,Nutrients!$DC$77,Nutrients!$DC$78)))))*Y$8))/2000/Y$236*100</f>
        <v>56.004006800792006</v>
      </c>
      <c r="Z240" s="225">
        <f>(SUMPRODUCT(Z$9:Z$229,Nutrients!$DC$8:$DC$228)+(IF($A$7=Nutrients!$B$8,Nutrients!$DC$8,Nutrients!$DC$9)*Z$7)+(((IF($A$8=Nutrients!$B$79,Nutrients!$DC$79,(IF($A$8=Nutrients!$B$77,Nutrients!$DC$77,Nutrients!$DC$78)))))*Z$8))/2000/Z$236*100</f>
        <v>57.290122224372439</v>
      </c>
      <c r="AA240" s="225">
        <f>(SUMPRODUCT(AA$9:AA$229,Nutrients!$DC$8:$DC$228)+(IF($A$7=Nutrients!$B$8,Nutrients!$DC$8,Nutrients!$DC$9)*AA$7)+(((IF($A$8=Nutrients!$B$79,Nutrients!$DC$79,(IF($A$8=Nutrients!$B$77,Nutrients!$DC$77,Nutrients!$DC$78)))))*AA$8))/2000/AA$236*100</f>
        <v>59.507551141952788</v>
      </c>
      <c r="AB240" s="225">
        <f>(SUMPRODUCT(AB$9:AB$229,Nutrients!$DC$8:$DC$228)+(IF($A$7=Nutrients!$B$8,Nutrients!$DC$8,Nutrients!$DC$9)*AB$7)+(((IF($A$8=Nutrients!$B$79,Nutrients!$DC$79,(IF($A$8=Nutrients!$B$77,Nutrients!$DC$77,Nutrients!$DC$78)))))*AB$8))/2000/AB$236*100</f>
        <v>58.001701198028378</v>
      </c>
      <c r="AC240" s="9"/>
      <c r="AD240" s="225">
        <f>(SUMPRODUCT(AD$9:AD$229,Nutrients!$DC$8:$DC$228)+(IF($A$7=Nutrients!$B$8,Nutrients!$DC$8,Nutrients!$DC$9)*AD$7)+(((IF($A$8=Nutrients!$B$79,Nutrients!$DC$79,(IF($A$8=Nutrients!$B$77,Nutrients!$DC$77,Nutrients!$DC$78)))))*AD$8))/2000/AD$236*100</f>
        <v>55.98145963044454</v>
      </c>
      <c r="AE240" s="225">
        <f>(SUMPRODUCT(AE$9:AE$229,Nutrients!$DC$8:$DC$228)+(IF($A$7=Nutrients!$B$8,Nutrients!$DC$8,Nutrients!$DC$9)*AE$7)+(((IF($A$8=Nutrients!$B$79,Nutrients!$DC$79,(IF($A$8=Nutrients!$B$77,Nutrients!$DC$77,Nutrients!$DC$78)))))*AE$8))/2000/AE$236*100</f>
        <v>55.991223284436622</v>
      </c>
      <c r="AF240" s="225">
        <f>(SUMPRODUCT(AF$9:AF$229,Nutrients!$DC$8:$DC$228)+(IF($A$7=Nutrients!$B$8,Nutrients!$DC$8,Nutrients!$DC$9)*AF$7)+(((IF($A$8=Nutrients!$B$79,Nutrients!$DC$79,(IF($A$8=Nutrients!$B$77,Nutrients!$DC$77,Nutrients!$DC$78)))))*AF$8))/2000/AF$236*100</f>
        <v>55.966327870668088</v>
      </c>
      <c r="AG240" s="225">
        <f>(SUMPRODUCT(AG$9:AG$229,Nutrients!$DC$8:$DC$228)+(IF($A$7=Nutrients!$B$8,Nutrients!$DC$8,Nutrients!$DC$9)*AG$7)+(((IF($A$8=Nutrients!$B$79,Nutrients!$DC$79,(IF($A$8=Nutrients!$B$77,Nutrients!$DC$77,Nutrients!$DC$78)))))*AG$8))/2000/AG$236*100</f>
        <v>58.611569085169727</v>
      </c>
      <c r="AH240" s="225">
        <f>(SUMPRODUCT(AH$9:AH$229,Nutrients!$DC$8:$DC$228)+(IF($A$7=Nutrients!$B$8,Nutrients!$DC$8,Nutrients!$DC$9)*AH$7)+(((IF($A$8=Nutrients!$B$79,Nutrients!$DC$79,(IF($A$8=Nutrients!$B$77,Nutrients!$DC$77,Nutrients!$DC$78)))))*AH$8))/2000/AH$236*100</f>
        <v>60.951762399005304</v>
      </c>
      <c r="AI240" s="225">
        <f>(SUMPRODUCT(AI$9:AI$229,Nutrients!$DC$8:$DC$228)+(IF($A$7=Nutrients!$B$8,Nutrients!$DC$8,Nutrients!$DC$9)*AI$7)+(((IF($A$8=Nutrients!$B$79,Nutrients!$DC$79,(IF($A$8=Nutrients!$B$77,Nutrients!$DC$77,Nutrients!$DC$78)))))*AI$8))/2000/AI$236*100</f>
        <v>58.001701198028378</v>
      </c>
      <c r="AJ240" s="9"/>
      <c r="AK240" s="225">
        <f>(SUMPRODUCT(AK$9:AK$229,Nutrients!$DC$8:$DC$228)+(IF($A$7=Nutrients!$B$8,Nutrients!$DC$8,Nutrients!$DC$9)*AK$7)+(((IF($A$8=Nutrients!$B$79,Nutrients!$DC$79,(IF($A$8=Nutrients!$B$77,Nutrients!$DC$77,Nutrients!$DC$78)))))*AK$8))/2000/AK$236*100</f>
        <v>55.888662567995183</v>
      </c>
      <c r="AL240" s="225">
        <f>(SUMPRODUCT(AL$9:AL$229,Nutrients!$DC$8:$DC$228)+(IF($A$7=Nutrients!$B$8,Nutrients!$DC$8,Nutrients!$DC$9)*AL$7)+(((IF($A$8=Nutrients!$B$79,Nutrients!$DC$79,(IF($A$8=Nutrients!$B$77,Nutrients!$DC$77,Nutrients!$DC$78)))))*AL$8))/2000/AL$236*100</f>
        <v>55.99126419885441</v>
      </c>
      <c r="AM240" s="225">
        <f>(SUMPRODUCT(AM$9:AM$229,Nutrients!$DC$8:$DC$228)+(IF($A$7=Nutrients!$B$8,Nutrients!$DC$8,Nutrients!$DC$9)*AM$7)+(((IF($A$8=Nutrients!$B$79,Nutrients!$DC$79,(IF($A$8=Nutrients!$B$77,Nutrients!$DC$77,Nutrients!$DC$78)))))*AM$8))/2000/AM$236*100</f>
        <v>57.161035426483217</v>
      </c>
      <c r="AN240" s="225">
        <f>(SUMPRODUCT(AN$9:AN$229,Nutrients!$DC$8:$DC$228)+(IF($A$7=Nutrients!$B$8,Nutrients!$DC$8,Nutrients!$DC$9)*AN$7)+(((IF($A$8=Nutrients!$B$79,Nutrients!$DC$79,(IF($A$8=Nutrients!$B$77,Nutrients!$DC$77,Nutrients!$DC$78)))))*AN$8))/2000/AN$236*100</f>
        <v>59.953261936850978</v>
      </c>
      <c r="AO240" s="225">
        <f>(SUMPRODUCT(AO$9:AO$229,Nutrients!$DC$8:$DC$228)+(IF($A$7=Nutrients!$B$8,Nutrients!$DC$8,Nutrients!$DC$9)*AO$7)+(((IF($A$8=Nutrients!$B$79,Nutrients!$DC$79,(IF($A$8=Nutrients!$B$77,Nutrients!$DC$77,Nutrients!$DC$78)))))*AO$8))/2000/AO$236*100</f>
        <v>62.417689209002944</v>
      </c>
      <c r="AP240" s="225">
        <f>(SUMPRODUCT(AP$9:AP$229,Nutrients!$DC$8:$DC$228)+(IF($A$7=Nutrients!$B$8,Nutrients!$DC$8,Nutrients!$DC$9)*AP$7)+(((IF($A$8=Nutrients!$B$79,Nutrients!$DC$79,(IF($A$8=Nutrients!$B$77,Nutrients!$DC$77,Nutrients!$DC$78)))))*AP$8))/2000/AP$236*100</f>
        <v>58.001701198028378</v>
      </c>
      <c r="AQ240" s="9"/>
      <c r="AR240" s="225">
        <f>(SUMPRODUCT(AR$9:AR$229,Nutrients!$DC$8:$DC$228)+(IF($A$7=Nutrients!$B$8,Nutrients!$DC$8,Nutrients!$DC$9)*AR$7)+(((IF($A$8=Nutrients!$B$79,Nutrients!$DC$79,(IF($A$8=Nutrients!$B$77,Nutrients!$DC$77,Nutrients!$DC$78)))))*AR$8))/2000/AR$236*100</f>
        <v>55.923953144105688</v>
      </c>
      <c r="AS240" s="225">
        <f>(SUMPRODUCT(AS$9:AS$229,Nutrients!$DC$8:$DC$228)+(IF($A$7=Nutrients!$B$8,Nutrients!$DC$8,Nutrients!$DC$9)*AS$7)+(((IF($A$8=Nutrients!$B$79,Nutrients!$DC$79,(IF($A$8=Nutrients!$B$77,Nutrients!$DC$77,Nutrients!$DC$78)))))*AS$8))/2000/AS$236*100</f>
        <v>55.990910726645993</v>
      </c>
      <c r="AT240" s="225">
        <f>(SUMPRODUCT(AT$9:AT$229,Nutrients!$DC$8:$DC$228)+(IF($A$7=Nutrients!$B$8,Nutrients!$DC$8,Nutrients!$DC$9)*AT$7)+(((IF($A$8=Nutrients!$B$79,Nutrients!$DC$79,(IF($A$8=Nutrients!$B$77,Nutrients!$DC$77,Nutrients!$DC$78)))))*AT$8))/2000/AT$236*100</f>
        <v>58.367513913507871</v>
      </c>
      <c r="AU240" s="225">
        <f>(SUMPRODUCT(AU$9:AU$229,Nutrients!$DC$8:$DC$228)+(IF($A$7=Nutrients!$B$8,Nutrients!$DC$8,Nutrients!$DC$9)*AU$7)+(((IF($A$8=Nutrients!$B$79,Nutrients!$DC$79,(IF($A$8=Nutrients!$B$77,Nutrients!$DC$77,Nutrients!$DC$78)))))*AU$8))/2000/AU$236*100</f>
        <v>61.310921282589945</v>
      </c>
      <c r="AV240" s="225">
        <f>(SUMPRODUCT(AV$9:AV$229,Nutrients!$DC$8:$DC$228)+(IF($A$7=Nutrients!$B$8,Nutrients!$DC$8,Nutrients!$DC$9)*AV$7)+(((IF($A$8=Nutrients!$B$79,Nutrients!$DC$79,(IF($A$8=Nutrients!$B$77,Nutrients!$DC$77,Nutrients!$DC$78)))))*AV$8))/2000/AV$236*100</f>
        <v>63.909217943643171</v>
      </c>
      <c r="AW240" s="225">
        <f>(SUMPRODUCT(AW$9:AW$229,Nutrients!$DC$8:$DC$228)+(IF($A$7=Nutrients!$B$8,Nutrients!$DC$8,Nutrients!$DC$9)*AW$7)+(((IF($A$8=Nutrients!$B$79,Nutrients!$DC$79,(IF($A$8=Nutrients!$B$77,Nutrients!$DC$77,Nutrients!$DC$78)))))*AW$8))/2000/AW$236*100</f>
        <v>58.001701198028378</v>
      </c>
      <c r="AX240" s="13"/>
    </row>
    <row r="241" spans="1:56" x14ac:dyDescent="0.25">
      <c r="A241" s="38" t="s">
        <v>386</v>
      </c>
      <c r="B241" s="225">
        <f>(SUMPRODUCT(B$9:B$229,Nutrients!$DF$8:$DF$228)+(IF($A$7=Nutrients!$B$8,Nutrients!$DF$8,Nutrients!$DF$9)*B$7)+(((IF($A$8=Nutrients!$B$79,Nutrients!$DF$79,(IF($A$8=Nutrients!$B$77,Nutrients!$DF$77,Nutrients!$DF$78)))))*B$8))/2000/B$236*100</f>
        <v>61.999249045260719</v>
      </c>
      <c r="C241" s="225">
        <f>(SUMPRODUCT(C$9:C$229,Nutrients!$DF$8:$DF$228)+(IF($A$7=Nutrients!$B$8,Nutrients!$DF$8,Nutrients!$DF$9)*C$7)+(((IF($A$8=Nutrients!$B$79,Nutrients!$DF$79,(IF($A$8=Nutrients!$B$77,Nutrients!$DF$77,Nutrients!$DF$78)))))*C$8))/2000/C$236*100</f>
        <v>61.999768297038216</v>
      </c>
      <c r="D241" s="225">
        <f>(SUMPRODUCT(D$9:D$229,Nutrients!$DF$8:$DF$228)+(IF($A$7=Nutrients!$B$8,Nutrients!$DF$8,Nutrients!$DF$9)*D$7)+(((IF($A$8=Nutrients!$B$79,Nutrients!$DF$79,(IF($A$8=Nutrients!$B$77,Nutrients!$DF$77,Nutrients!$DF$78)))))*D$8))/2000/D$236*100</f>
        <v>62.000000000000014</v>
      </c>
      <c r="E241" s="225">
        <f>(SUMPRODUCT(E$9:E$229,Nutrients!$DF$8:$DF$228)+(IF($A$7=Nutrients!$B$8,Nutrients!$DF$8,Nutrients!$DF$9)*E$7)+(((IF($A$8=Nutrients!$B$79,Nutrients!$DF$79,(IF($A$8=Nutrients!$B$77,Nutrients!$DF$77,Nutrients!$DF$78)))))*E$8))/2000/E$236*100</f>
        <v>62.999881259958023</v>
      </c>
      <c r="F241" s="225">
        <f>(SUMPRODUCT(F$9:F$229,Nutrients!$DF$8:$DF$228)+(IF($A$7=Nutrients!$B$8,Nutrients!$DF$8,Nutrients!$DF$9)*F$7)+(((IF($A$8=Nutrients!$B$79,Nutrients!$DF$79,(IF($A$8=Nutrients!$B$77,Nutrients!$DF$77,Nutrients!$DF$78)))))*F$8))/2000/F$236*100</f>
        <v>63.000153115971145</v>
      </c>
      <c r="G241" s="225">
        <f>(SUMPRODUCT(G$9:G$229,Nutrients!$DF$8:$DF$228)+(IF($A$7=Nutrients!$B$8,Nutrients!$DF$8,Nutrients!$DF$9)*G$7)+(((IF($A$8=Nutrients!$B$79,Nutrients!$DF$79,(IF($A$8=Nutrients!$B$77,Nutrients!$DF$77,Nutrients!$DF$78)))))*G$8))/2000/G$236*100</f>
        <v>63.99976486226322</v>
      </c>
      <c r="H241" s="224"/>
      <c r="I241" s="225">
        <f>(SUMPRODUCT(I$9:I$229,Nutrients!$DF$8:$DF$228)+(IF($A$7=Nutrients!$B$8,Nutrients!$DF$8,Nutrients!$DF$9)*I$7)+(((IF($A$8=Nutrients!$B$79,Nutrients!$DF$79,(IF($A$8=Nutrients!$B$77,Nutrients!$DF$77,Nutrients!$DF$78)))))*I$8))/2000/I$236*100</f>
        <v>62.01093945270577</v>
      </c>
      <c r="J241" s="225">
        <f>(SUMPRODUCT(J$9:J$229,Nutrients!$DF$8:$DF$228)+(IF($A$7=Nutrients!$B$8,Nutrients!$DF$8,Nutrients!$DF$9)*J$7)+(((IF($A$8=Nutrients!$B$79,Nutrients!$DF$79,(IF($A$8=Nutrients!$B$77,Nutrients!$DF$77,Nutrients!$DF$78)))))*J$8))/2000/J$236*100</f>
        <v>62.004012562110148</v>
      </c>
      <c r="K241" s="225">
        <f>(SUMPRODUCT(K$9:K$229,Nutrients!$DF$8:$DF$228)+(IF($A$7=Nutrients!$B$8,Nutrients!$DF$8,Nutrients!$DF$9)*K$7)+(((IF($A$8=Nutrients!$B$79,Nutrients!$DF$79,(IF($A$8=Nutrients!$B$77,Nutrients!$DF$77,Nutrients!$DF$78)))))*K$8))/2000/K$236*100</f>
        <v>61.996462371652683</v>
      </c>
      <c r="L241" s="225">
        <f>(SUMPRODUCT(L$9:L$229,Nutrients!$DF$8:$DF$228)+(IF($A$7=Nutrients!$B$8,Nutrients!$DF$8,Nutrients!$DF$9)*L$7)+(((IF($A$8=Nutrients!$B$79,Nutrients!$DF$79,(IF($A$8=Nutrients!$B$77,Nutrients!$DF$77,Nutrients!$DF$78)))))*L$8))/2000/L$236*100</f>
        <v>63.00036061252834</v>
      </c>
      <c r="M241" s="225">
        <f>(SUMPRODUCT(M$9:M$229,Nutrients!$DF$8:$DF$228)+(IF($A$7=Nutrients!$B$8,Nutrients!$DF$8,Nutrients!$DF$9)*M$7)+(((IF($A$8=Nutrients!$B$79,Nutrients!$DF$79,(IF($A$8=Nutrients!$B$77,Nutrients!$DF$77,Nutrients!$DF$78)))))*M$8))/2000/M$236*100</f>
        <v>63.000230019249827</v>
      </c>
      <c r="N241" s="225">
        <f>(SUMPRODUCT(N$9:N$229,Nutrients!$DF$8:$DF$228)+(IF($A$7=Nutrients!$B$8,Nutrients!$DF$8,Nutrients!$DF$9)*N$7)+(((IF($A$8=Nutrients!$B$79,Nutrients!$DF$79,(IF($A$8=Nutrients!$B$77,Nutrients!$DF$77,Nutrients!$DF$78)))))*N$8))/2000/N$236*100</f>
        <v>63.99976486226322</v>
      </c>
      <c r="O241" s="472"/>
      <c r="P241" s="225">
        <f>(SUMPRODUCT(P$9:P$229,Nutrients!$DF$8:$DF$228)+(IF($A$7=Nutrients!$B$8,Nutrients!$DF$8,Nutrients!$DF$9)*P$7)+(((IF($A$8=Nutrients!$B$79,Nutrients!$DF$79,(IF($A$8=Nutrients!$B$77,Nutrients!$DF$77,Nutrients!$DF$78)))))*P$8))/2000/P$236*100</f>
        <v>62.012390910843948</v>
      </c>
      <c r="Q241" s="225">
        <f>(SUMPRODUCT(Q$9:Q$229,Nutrients!$DF$8:$DF$228)+(IF($A$7=Nutrients!$B$8,Nutrients!$DF$8,Nutrients!$DF$9)*Q$7)+(((IF($A$8=Nutrients!$B$79,Nutrients!$DF$79,(IF($A$8=Nutrients!$B$77,Nutrients!$DF$77,Nutrients!$DF$78)))))*Q$8))/2000/Q$236*100</f>
        <v>62.000193474320909</v>
      </c>
      <c r="R241" s="225">
        <f>(SUMPRODUCT(R$9:R$229,Nutrients!$DF$8:$DF$228)+(IF($A$7=Nutrients!$B$8,Nutrients!$DF$8,Nutrients!$DF$9)*R$7)+(((IF($A$8=Nutrients!$B$79,Nutrients!$DF$79,(IF($A$8=Nutrients!$B$77,Nutrients!$DF$77,Nutrients!$DF$78)))))*R$8))/2000/R$236*100</f>
        <v>61.985656927832956</v>
      </c>
      <c r="S241" s="225">
        <f>(SUMPRODUCT(S$9:S$229,Nutrients!$DF$8:$DF$228)+(IF($A$7=Nutrients!$B$8,Nutrients!$DF$8,Nutrients!$DF$9)*S$7)+(((IF($A$8=Nutrients!$B$79,Nutrients!$DF$79,(IF($A$8=Nutrients!$B$77,Nutrients!$DF$77,Nutrients!$DF$78)))))*S$8))/2000/S$236*100</f>
        <v>62.999610717339614</v>
      </c>
      <c r="T241" s="225">
        <f>(SUMPRODUCT(T$9:T$229,Nutrients!$DF$8:$DF$228)+(IF($A$7=Nutrients!$B$8,Nutrients!$DF$8,Nutrients!$DF$9)*T$7)+(((IF($A$8=Nutrients!$B$79,Nutrients!$DF$79,(IF($A$8=Nutrients!$B$77,Nutrients!$DF$77,Nutrients!$DF$78)))))*T$8))/2000/T$236*100</f>
        <v>62.990593263406048</v>
      </c>
      <c r="U241" s="225">
        <f>(SUMPRODUCT(U$9:U$229,Nutrients!$DF$8:$DF$228)+(IF($A$7=Nutrients!$B$8,Nutrients!$DF$8,Nutrients!$DF$9)*U$7)+(((IF($A$8=Nutrients!$B$79,Nutrients!$DF$79,(IF($A$8=Nutrients!$B$77,Nutrients!$DF$77,Nutrients!$DF$78)))))*U$8))/2000/U$236*100</f>
        <v>63.99976486226322</v>
      </c>
      <c r="V241" s="9"/>
      <c r="W241" s="225">
        <f>(SUMPRODUCT(W$9:W$229,Nutrients!$DF$8:$DF$228)+(IF($A$7=Nutrients!$B$8,Nutrients!$DF$8,Nutrients!$DF$9)*W$7)+(((IF($A$8=Nutrients!$B$79,Nutrients!$DF$79,(IF($A$8=Nutrients!$B$77,Nutrients!$DF$77,Nutrients!$DF$78)))))*W$8))/2000/W$236*100</f>
        <v>62.014026228197295</v>
      </c>
      <c r="X241" s="225">
        <f>(SUMPRODUCT(X$9:X$229,Nutrients!$DF$8:$DF$228)+(IF($A$7=Nutrients!$B$8,Nutrients!$DF$8,Nutrients!$DF$9)*X$7)+(((IF($A$8=Nutrients!$B$79,Nutrients!$DF$79,(IF($A$8=Nutrients!$B$77,Nutrients!$DF$77,Nutrients!$DF$78)))))*X$8))/2000/X$236*100</f>
        <v>61.996539011058182</v>
      </c>
      <c r="Y241" s="225">
        <f>(SUMPRODUCT(Y$9:Y$229,Nutrients!$DF$8:$DF$228)+(IF($A$7=Nutrients!$B$8,Nutrients!$DF$8,Nutrients!$DF$9)*Y$7)+(((IF($A$8=Nutrients!$B$79,Nutrients!$DF$79,(IF($A$8=Nutrients!$B$77,Nutrients!$DF$77,Nutrients!$DF$78)))))*Y$8))/2000/Y$236*100</f>
        <v>61.984268097663211</v>
      </c>
      <c r="Z241" s="225">
        <f>(SUMPRODUCT(Z$9:Z$229,Nutrients!$DF$8:$DF$228)+(IF($A$7=Nutrients!$B$8,Nutrients!$DF$8,Nutrients!$DF$9)*Z$7)+(((IF($A$8=Nutrients!$B$79,Nutrients!$DF$79,(IF($A$8=Nutrients!$B$77,Nutrients!$DF$77,Nutrients!$DF$78)))))*Z$8))/2000/Z$236*100</f>
        <v>62.995587158205623</v>
      </c>
      <c r="AA241" s="225">
        <f>(SUMPRODUCT(AA$9:AA$229,Nutrients!$DF$8:$DF$228)+(IF($A$7=Nutrients!$B$8,Nutrients!$DF$8,Nutrients!$DF$9)*AA$7)+(((IF($A$8=Nutrients!$B$79,Nutrients!$DF$79,(IF($A$8=Nutrients!$B$77,Nutrients!$DF$77,Nutrients!$DF$78)))))*AA$8))/2000/AA$236*100</f>
        <v>62.979844860074422</v>
      </c>
      <c r="AB241" s="225">
        <f>(SUMPRODUCT(AB$9:AB$229,Nutrients!$DF$8:$DF$228)+(IF($A$7=Nutrients!$B$8,Nutrients!$DF$8,Nutrients!$DF$9)*AB$7)+(((IF($A$8=Nutrients!$B$79,Nutrients!$DF$79,(IF($A$8=Nutrients!$B$77,Nutrients!$DF$77,Nutrients!$DF$78)))))*AB$8))/2000/AB$236*100</f>
        <v>63.99976486226322</v>
      </c>
      <c r="AC241" s="9"/>
      <c r="AD241" s="225">
        <f>(SUMPRODUCT(AD$9:AD$229,Nutrients!$DF$8:$DF$228)+(IF($A$7=Nutrients!$B$8,Nutrients!$DF$8,Nutrients!$DF$9)*AD$7)+(((IF($A$8=Nutrients!$B$79,Nutrients!$DF$79,(IF($A$8=Nutrients!$B$77,Nutrients!$DF$77,Nutrients!$DF$78)))))*AD$8))/2000/AD$236*100</f>
        <v>62.016170111736017</v>
      </c>
      <c r="AE241" s="225">
        <f>(SUMPRODUCT(AE$9:AE$229,Nutrients!$DF$8:$DF$228)+(IF($A$7=Nutrients!$B$8,Nutrients!$DF$8,Nutrients!$DF$9)*AE$7)+(((IF($A$8=Nutrients!$B$79,Nutrients!$DF$79,(IF($A$8=Nutrients!$B$77,Nutrients!$DF$77,Nutrients!$DF$78)))))*AE$8))/2000/AE$236*100</f>
        <v>62.000942333192519</v>
      </c>
      <c r="AF241" s="225">
        <f>(SUMPRODUCT(AF$9:AF$229,Nutrients!$DF$8:$DF$228)+(IF($A$7=Nutrients!$B$8,Nutrients!$DF$8,Nutrients!$DF$9)*AF$7)+(((IF($A$8=Nutrients!$B$79,Nutrients!$DF$79,(IF($A$8=Nutrients!$B$77,Nutrients!$DF$77,Nutrients!$DF$78)))))*AF$8))/2000/AF$236*100</f>
        <v>61.98062536799771</v>
      </c>
      <c r="AG241" s="225">
        <f>(SUMPRODUCT(AG$9:AG$229,Nutrients!$DF$8:$DF$228)+(IF($A$7=Nutrients!$B$8,Nutrients!$DF$8,Nutrients!$DF$9)*AG$7)+(((IF($A$8=Nutrients!$B$79,Nutrients!$DF$79,(IF($A$8=Nutrients!$B$77,Nutrients!$DF$77,Nutrients!$DF$78)))))*AG$8))/2000/AG$236*100</f>
        <v>62.990358357603824</v>
      </c>
      <c r="AH241" s="225">
        <f>(SUMPRODUCT(AH$9:AH$229,Nutrients!$DF$8:$DF$228)+(IF($A$7=Nutrients!$B$8,Nutrients!$DF$8,Nutrients!$DF$9)*AH$7)+(((IF($A$8=Nutrients!$B$79,Nutrients!$DF$79,(IF($A$8=Nutrients!$B$77,Nutrients!$DF$77,Nutrients!$DF$78)))))*AH$8))/2000/AH$236*100</f>
        <v>62.965173480000416</v>
      </c>
      <c r="AI241" s="225">
        <f>(SUMPRODUCT(AI$9:AI$229,Nutrients!$DF$8:$DF$228)+(IF($A$7=Nutrients!$B$8,Nutrients!$DF$8,Nutrients!$DF$9)*AI$7)+(((IF($A$8=Nutrients!$B$79,Nutrients!$DF$79,(IF($A$8=Nutrients!$B$77,Nutrients!$DF$77,Nutrients!$DF$78)))))*AI$8))/2000/AI$236*100</f>
        <v>63.99976486226322</v>
      </c>
      <c r="AJ241" s="9"/>
      <c r="AK241" s="225">
        <f>(SUMPRODUCT(AK$9:AK$229,Nutrients!$DF$8:$DF$228)+(IF($A$7=Nutrients!$B$8,Nutrients!$DF$8,Nutrients!$DF$9)*AK$7)+(((IF($A$8=Nutrients!$B$79,Nutrients!$DF$79,(IF($A$8=Nutrients!$B$77,Nutrients!$DF$77,Nutrients!$DF$78)))))*AK$8))/2000/AK$236*100</f>
        <v>61.989117455439228</v>
      </c>
      <c r="AL241" s="225">
        <f>(SUMPRODUCT(AL$9:AL$229,Nutrients!$DF$8:$DF$228)+(IF($A$7=Nutrients!$B$8,Nutrients!$DF$8,Nutrients!$DF$9)*AL$7)+(((IF($A$8=Nutrients!$B$79,Nutrients!$DF$79,(IF($A$8=Nutrients!$B$77,Nutrients!$DF$77,Nutrients!$DF$78)))))*AL$8))/2000/AL$236*100</f>
        <v>62.003140508974894</v>
      </c>
      <c r="AM241" s="225">
        <f>(SUMPRODUCT(AM$9:AM$229,Nutrients!$DF$8:$DF$228)+(IF($A$7=Nutrients!$B$8,Nutrients!$DF$8,Nutrients!$DF$9)*AM$7)+(((IF($A$8=Nutrients!$B$79,Nutrients!$DF$79,(IF($A$8=Nutrients!$B$77,Nutrients!$DF$77,Nutrients!$DF$78)))))*AM$8))/2000/AM$236*100</f>
        <v>61.974505680659611</v>
      </c>
      <c r="AN241" s="225">
        <f>(SUMPRODUCT(AN$9:AN$229,Nutrients!$DF$8:$DF$228)+(IF($A$7=Nutrients!$B$8,Nutrients!$DF$8,Nutrients!$DF$9)*AN$7)+(((IF($A$8=Nutrients!$B$79,Nutrients!$DF$79,(IF($A$8=Nutrients!$B$77,Nutrients!$DF$77,Nutrients!$DF$78)))))*AN$8))/2000/AN$236*100</f>
        <v>62.98276588804741</v>
      </c>
      <c r="AO241" s="225">
        <f>(SUMPRODUCT(AO$9:AO$229,Nutrients!$DF$8:$DF$228)+(IF($A$7=Nutrients!$B$8,Nutrients!$DF$8,Nutrients!$DF$9)*AO$7)+(((IF($A$8=Nutrients!$B$79,Nutrients!$DF$79,(IF($A$8=Nutrients!$B$77,Nutrients!$DF$77,Nutrients!$DF$78)))))*AO$8))/2000/AO$236*100</f>
        <v>62.947625837304123</v>
      </c>
      <c r="AP241" s="225">
        <f>(SUMPRODUCT(AP$9:AP$229,Nutrients!$DF$8:$DF$228)+(IF($A$7=Nutrients!$B$8,Nutrients!$DF$8,Nutrients!$DF$9)*AP$7)+(((IF($A$8=Nutrients!$B$79,Nutrients!$DF$79,(IF($A$8=Nutrients!$B$77,Nutrients!$DF$77,Nutrients!$DF$78)))))*AP$8))/2000/AP$236*100</f>
        <v>63.99976486226322</v>
      </c>
      <c r="AQ241" s="9"/>
      <c r="AR241" s="225">
        <f>(SUMPRODUCT(AR$9:AR$229,Nutrients!$DF$8:$DF$228)+(IF($A$7=Nutrients!$B$8,Nutrients!$DF$8,Nutrients!$DF$9)*AR$7)+(((IF($A$8=Nutrients!$B$79,Nutrients!$DF$79,(IF($A$8=Nutrients!$B$77,Nutrients!$DF$77,Nutrients!$DF$78)))))*AR$8))/2000/AR$236*100</f>
        <v>62.00224225944838</v>
      </c>
      <c r="AS241" s="225">
        <f>(SUMPRODUCT(AS$9:AS$229,Nutrients!$DF$8:$DF$228)+(IF($A$7=Nutrients!$B$8,Nutrients!$DF$8,Nutrients!$DF$9)*AS$7)+(((IF($A$8=Nutrients!$B$79,Nutrients!$DF$79,(IF($A$8=Nutrients!$B$77,Nutrients!$DF$77,Nutrients!$DF$78)))))*AS$8))/2000/AS$236*100</f>
        <v>62.005211783611692</v>
      </c>
      <c r="AT241" s="225">
        <f>(SUMPRODUCT(AT$9:AT$229,Nutrients!$DF$8:$DF$228)+(IF($A$7=Nutrients!$B$8,Nutrients!$DF$8,Nutrients!$DF$9)*AT$7)+(((IF($A$8=Nutrients!$B$79,Nutrients!$DF$79,(IF($A$8=Nutrients!$B$77,Nutrients!$DF$77,Nutrients!$DF$78)))))*AT$8))/2000/AT$236*100</f>
        <v>61.966294984176272</v>
      </c>
      <c r="AU241" s="225">
        <f>(SUMPRODUCT(AU$9:AU$229,Nutrients!$DF$8:$DF$228)+(IF($A$7=Nutrients!$B$8,Nutrients!$DF$8,Nutrients!$DF$9)*AU$7)+(((IF($A$8=Nutrients!$B$79,Nutrients!$DF$79,(IF($A$8=Nutrients!$B$77,Nutrients!$DF$77,Nutrients!$DF$78)))))*AU$8))/2000/AU$236*100</f>
        <v>62.970737828950426</v>
      </c>
      <c r="AV241" s="225">
        <f>(SUMPRODUCT(AV$9:AV$229,Nutrients!$DF$8:$DF$228)+(IF($A$7=Nutrients!$B$8,Nutrients!$DF$8,Nutrients!$DF$9)*AV$7)+(((IF($A$8=Nutrients!$B$79,Nutrients!$DF$79,(IF($A$8=Nutrients!$B$77,Nutrients!$DF$77,Nutrients!$DF$78)))))*AV$8))/2000/AV$236*100</f>
        <v>62.929768176067761</v>
      </c>
      <c r="AW241" s="225">
        <f>(SUMPRODUCT(AW$9:AW$229,Nutrients!$DF$8:$DF$228)+(IF($A$7=Nutrients!$B$8,Nutrients!$DF$8,Nutrients!$DF$9)*AW$7)+(((IF($A$8=Nutrients!$B$79,Nutrients!$DF$79,(IF($A$8=Nutrients!$B$77,Nutrients!$DF$77,Nutrients!$DF$78)))))*AW$8))/2000/AW$236*100</f>
        <v>63.99976486226322</v>
      </c>
      <c r="AX241" s="13"/>
    </row>
    <row r="242" spans="1:56" x14ac:dyDescent="0.25">
      <c r="A242" s="38" t="s">
        <v>387</v>
      </c>
      <c r="B242" s="225">
        <f>(SUMPRODUCT(B$9:B$229,Nutrients!$DG$8:$DG$228)+(IF($A$7=Nutrients!$B$8,Nutrients!$DG$8,Nutrients!$DG$9)*B$7)+(((IF($A$8=Nutrients!$B$79,Nutrients!$DG$79,(IF($A$8=Nutrients!$B$77,Nutrients!$DG$77,Nutrients!$DG$78)))))*B$8))/2000/B$236*100</f>
        <v>18.999999999999996</v>
      </c>
      <c r="C242" s="225">
        <f>(SUMPRODUCT(C$9:C$229,Nutrients!$DG$8:$DG$228)+(IF($A$7=Nutrients!$B$8,Nutrients!$DG$8,Nutrients!$DG$9)*C$7)+(((IF($A$8=Nutrients!$B$79,Nutrients!$DG$79,(IF($A$8=Nutrients!$B$77,Nutrients!$DG$77,Nutrients!$DG$78)))))*C$8))/2000/C$236*100</f>
        <v>18.999999999999993</v>
      </c>
      <c r="D242" s="225">
        <f>(SUMPRODUCT(D$9:D$229,Nutrients!$DG$8:$DG$228)+(IF($A$7=Nutrients!$B$8,Nutrients!$DG$8,Nutrients!$DG$9)*D$7)+(((IF($A$8=Nutrients!$B$79,Nutrients!$DG$79,(IF($A$8=Nutrients!$B$77,Nutrients!$DG$77,Nutrients!$DG$78)))))*D$8))/2000/D$236*100</f>
        <v>19.034949922351728</v>
      </c>
      <c r="E242" s="225">
        <f>(SUMPRODUCT(E$9:E$229,Nutrients!$DG$8:$DG$228)+(IF($A$7=Nutrients!$B$8,Nutrients!$DG$8,Nutrients!$DG$9)*E$7)+(((IF($A$8=Nutrients!$B$79,Nutrients!$DG$79,(IF($A$8=Nutrients!$B$77,Nutrients!$DG$77,Nutrients!$DG$78)))))*E$8))/2000/E$236*100</f>
        <v>19</v>
      </c>
      <c r="F242" s="225">
        <f>(SUMPRODUCT(F$9:F$229,Nutrients!$DG$8:$DG$228)+(IF($A$7=Nutrients!$B$8,Nutrients!$DG$8,Nutrients!$DG$9)*F$7)+(((IF($A$8=Nutrients!$B$79,Nutrients!$DG$79,(IF($A$8=Nutrients!$B$77,Nutrients!$DG$77,Nutrients!$DG$78)))))*F$8))/2000/F$236*100</f>
        <v>19.000000000000043</v>
      </c>
      <c r="G242" s="225">
        <f>(SUMPRODUCT(G$9:G$229,Nutrients!$DG$8:$DG$228)+(IF($A$7=Nutrients!$B$8,Nutrients!$DG$8,Nutrients!$DG$9)*G$7)+(((IF($A$8=Nutrients!$B$79,Nutrients!$DG$79,(IF($A$8=Nutrients!$B$77,Nutrients!$DG$77,Nutrients!$DG$78)))))*G$8))/2000/G$236*100</f>
        <v>18.999963234918017</v>
      </c>
      <c r="H242" s="224"/>
      <c r="I242" s="225">
        <f>(SUMPRODUCT(I$9:I$229,Nutrients!$DG$8:$DG$228)+(IF($A$7=Nutrients!$B$8,Nutrients!$DG$8,Nutrients!$DG$9)*I$7)+(((IF($A$8=Nutrients!$B$79,Nutrients!$DG$79,(IF($A$8=Nutrients!$B$77,Nutrients!$DG$77,Nutrients!$DG$78)))))*I$8))/2000/I$236*100</f>
        <v>18.96613749054703</v>
      </c>
      <c r="J242" s="225">
        <f>(SUMPRODUCT(J$9:J$229,Nutrients!$DG$8:$DG$228)+(IF($A$7=Nutrients!$B$8,Nutrients!$DG$8,Nutrients!$DG$9)*J$7)+(((IF($A$8=Nutrients!$B$79,Nutrients!$DG$79,(IF($A$8=Nutrients!$B$77,Nutrients!$DG$77,Nutrients!$DG$78)))))*J$8))/2000/J$236*100</f>
        <v>18.966695120433659</v>
      </c>
      <c r="K242" s="225">
        <f>(SUMPRODUCT(K$9:K$229,Nutrients!$DG$8:$DG$228)+(IF($A$7=Nutrients!$B$8,Nutrients!$DG$8,Nutrients!$DG$9)*K$7)+(((IF($A$8=Nutrients!$B$79,Nutrients!$DG$79,(IF($A$8=Nutrients!$B$77,Nutrients!$DG$77,Nutrients!$DG$78)))))*K$8))/2000/K$236*100</f>
        <v>19.002182096555781</v>
      </c>
      <c r="L242" s="225">
        <f>(SUMPRODUCT(L$9:L$229,Nutrients!$DG$8:$DG$228)+(IF($A$7=Nutrients!$B$8,Nutrients!$DG$8,Nutrients!$DG$9)*L$7)+(((IF($A$8=Nutrients!$B$79,Nutrients!$DG$79,(IF($A$8=Nutrients!$B$77,Nutrients!$DG$77,Nutrients!$DG$78)))))*L$8))/2000/L$236*100</f>
        <v>18.966548938995487</v>
      </c>
      <c r="M242" s="225">
        <f>(SUMPRODUCT(M$9:M$229,Nutrients!$DG$8:$DG$228)+(IF($A$7=Nutrients!$B$8,Nutrients!$DG$8,Nutrients!$DG$9)*M$7)+(((IF($A$8=Nutrients!$B$79,Nutrients!$DG$79,(IF($A$8=Nutrients!$B$77,Nutrients!$DG$77,Nutrients!$DG$78)))))*M$8))/2000/M$236*100</f>
        <v>18.963129694942889</v>
      </c>
      <c r="N242" s="225">
        <f>(SUMPRODUCT(N$9:N$229,Nutrients!$DG$8:$DG$228)+(IF($A$7=Nutrients!$B$8,Nutrients!$DG$8,Nutrients!$DG$9)*N$7)+(((IF($A$8=Nutrients!$B$79,Nutrients!$DG$79,(IF($A$8=Nutrients!$B$77,Nutrients!$DG$77,Nutrients!$DG$78)))))*N$8))/2000/N$236*100</f>
        <v>18.999963234918017</v>
      </c>
      <c r="O242" s="472"/>
      <c r="P242" s="225">
        <f>(SUMPRODUCT(P$9:P$229,Nutrients!$DG$8:$DG$228)+(IF($A$7=Nutrients!$B$8,Nutrients!$DG$8,Nutrients!$DG$9)*P$7)+(((IF($A$8=Nutrients!$B$79,Nutrients!$DG$79,(IF($A$8=Nutrients!$B$77,Nutrients!$DG$77,Nutrients!$DG$78)))))*P$8))/2000/P$236*100</f>
        <v>18.979458084351613</v>
      </c>
      <c r="Q242" s="225">
        <f>(SUMPRODUCT(Q$9:Q$229,Nutrients!$DG$8:$DG$228)+(IF($A$7=Nutrients!$B$8,Nutrients!$DG$8,Nutrients!$DG$9)*Q$7)+(((IF($A$8=Nutrients!$B$79,Nutrients!$DG$79,(IF($A$8=Nutrients!$B$77,Nutrients!$DG$77,Nutrients!$DG$78)))))*Q$8))/2000/Q$236*100</f>
        <v>18.984827369337388</v>
      </c>
      <c r="R242" s="225">
        <f>(SUMPRODUCT(R$9:R$229,Nutrients!$DG$8:$DG$228)+(IF($A$7=Nutrients!$B$8,Nutrients!$DG$8,Nutrients!$DG$9)*R$7)+(((IF($A$8=Nutrients!$B$79,Nutrients!$DG$79,(IF($A$8=Nutrients!$B$77,Nutrients!$DG$77,Nutrients!$DG$78)))))*R$8))/2000/R$236*100</f>
        <v>19.026630788039895</v>
      </c>
      <c r="S242" s="225">
        <f>(SUMPRODUCT(S$9:S$229,Nutrients!$DG$8:$DG$228)+(IF($A$7=Nutrients!$B$8,Nutrients!$DG$8,Nutrients!$DG$9)*S$7)+(((IF($A$8=Nutrients!$B$79,Nutrients!$DG$79,(IF($A$8=Nutrients!$B$77,Nutrients!$DG$77,Nutrients!$DG$78)))))*S$8))/2000/S$236*100</f>
        <v>18.991815022412361</v>
      </c>
      <c r="T242" s="225">
        <f>(SUMPRODUCT(T$9:T$229,Nutrients!$DG$8:$DG$228)+(IF($A$7=Nutrients!$B$8,Nutrients!$DG$8,Nutrients!$DG$9)*T$7)+(((IF($A$8=Nutrients!$B$79,Nutrients!$DG$79,(IF($A$8=Nutrients!$B$77,Nutrients!$DG$77,Nutrients!$DG$78)))))*T$8))/2000/T$236*100</f>
        <v>18.994350696939758</v>
      </c>
      <c r="U242" s="225">
        <f>(SUMPRODUCT(U$9:U$229,Nutrients!$DG$8:$DG$228)+(IF($A$7=Nutrients!$B$8,Nutrients!$DG$8,Nutrients!$DG$9)*U$7)+(((IF($A$8=Nutrients!$B$79,Nutrients!$DG$79,(IF($A$8=Nutrients!$B$77,Nutrients!$DG$77,Nutrients!$DG$78)))))*U$8))/2000/U$236*100</f>
        <v>18.999963234918017</v>
      </c>
      <c r="V242" s="9"/>
      <c r="W242" s="225">
        <f>(SUMPRODUCT(W$9:W$229,Nutrients!$DG$8:$DG$228)+(IF($A$7=Nutrients!$B$8,Nutrients!$DG$8,Nutrients!$DG$9)*W$7)+(((IF($A$8=Nutrients!$B$79,Nutrients!$DG$79,(IF($A$8=Nutrients!$B$77,Nutrients!$DG$77,Nutrients!$DG$78)))))*W$8))/2000/W$236*100</f>
        <v>18.992965286611927</v>
      </c>
      <c r="X242" s="225">
        <f>(SUMPRODUCT(X$9:X$229,Nutrients!$DG$8:$DG$228)+(IF($A$7=Nutrients!$B$8,Nutrients!$DG$8,Nutrients!$DG$9)*X$7)+(((IF($A$8=Nutrients!$B$79,Nutrients!$DG$79,(IF($A$8=Nutrients!$B$77,Nutrients!$DG$77,Nutrients!$DG$78)))))*X$8))/2000/X$236*100</f>
        <v>19.003233429746302</v>
      </c>
      <c r="Y242" s="225">
        <f>(SUMPRODUCT(Y$9:Y$229,Nutrients!$DG$8:$DG$228)+(IF($A$7=Nutrients!$B$8,Nutrients!$DG$8,Nutrients!$DG$9)*Y$7)+(((IF($A$8=Nutrients!$B$79,Nutrients!$DG$79,(IF($A$8=Nutrients!$B$77,Nutrients!$DG$77,Nutrients!$DG$78)))))*Y$8))/2000/Y$236*100</f>
        <v>19.046137425137381</v>
      </c>
      <c r="Z242" s="225">
        <f>(SUMPRODUCT(Z$9:Z$229,Nutrients!$DG$8:$DG$228)+(IF($A$7=Nutrients!$B$8,Nutrients!$DG$8,Nutrients!$DG$9)*Z$7)+(((IF($A$8=Nutrients!$B$79,Nutrients!$DG$79,(IF($A$8=Nutrients!$B$77,Nutrients!$DG$77,Nutrients!$DG$78)))))*Z$8))/2000/Z$236*100</f>
        <v>19.01901082126091</v>
      </c>
      <c r="AA242" s="225">
        <f>(SUMPRODUCT(AA$9:AA$229,Nutrients!$DG$8:$DG$228)+(IF($A$7=Nutrients!$B$8,Nutrients!$DG$8,Nutrients!$DG$9)*AA$7)+(((IF($A$8=Nutrients!$B$79,Nutrients!$DG$79,(IF($A$8=Nutrients!$B$77,Nutrients!$DG$77,Nutrients!$DG$78)))))*AA$8))/2000/AA$236*100</f>
        <v>19.026488064677384</v>
      </c>
      <c r="AB242" s="225">
        <f>(SUMPRODUCT(AB$9:AB$229,Nutrients!$DG$8:$DG$228)+(IF($A$7=Nutrients!$B$8,Nutrients!$DG$8,Nutrients!$DG$9)*AB$7)+(((IF($A$8=Nutrients!$B$79,Nutrients!$DG$79,(IF($A$8=Nutrients!$B$77,Nutrients!$DG$77,Nutrients!$DG$78)))))*AB$8))/2000/AB$236*100</f>
        <v>18.999963234918017</v>
      </c>
      <c r="AC242" s="9"/>
      <c r="AD242" s="225">
        <f>(SUMPRODUCT(AD$9:AD$229,Nutrients!$DG$8:$DG$228)+(IF($A$7=Nutrients!$B$8,Nutrients!$DG$8,Nutrients!$DG$9)*AD$7)+(((IF($A$8=Nutrients!$B$79,Nutrients!$DG$79,(IF($A$8=Nutrients!$B$77,Nutrients!$DG$77,Nutrients!$DG$78)))))*AD$8))/2000/AD$236*100</f>
        <v>19.006321697690311</v>
      </c>
      <c r="AE242" s="225">
        <f>(SUMPRODUCT(AE$9:AE$229,Nutrients!$DG$8:$DG$228)+(IF($A$7=Nutrients!$B$8,Nutrients!$DG$8,Nutrients!$DG$9)*AE$7)+(((IF($A$8=Nutrients!$B$79,Nutrients!$DG$79,(IF($A$8=Nutrients!$B$77,Nutrients!$DG$77,Nutrients!$DG$78)))))*AE$8))/2000/AE$236*100</f>
        <v>19.017227334407099</v>
      </c>
      <c r="AF242" s="225">
        <f>(SUMPRODUCT(AF$9:AF$229,Nutrients!$DG$8:$DG$228)+(IF($A$7=Nutrients!$B$8,Nutrients!$DG$8,Nutrients!$DG$9)*AF$7)+(((IF($A$8=Nutrients!$B$79,Nutrients!$DG$79,(IF($A$8=Nutrients!$B$77,Nutrients!$DG$77,Nutrients!$DG$78)))))*AF$8))/2000/AF$236*100</f>
        <v>18.999966790846877</v>
      </c>
      <c r="AG242" s="225">
        <f>(SUMPRODUCT(AG$9:AG$229,Nutrients!$DG$8:$DG$228)+(IF($A$7=Nutrients!$B$8,Nutrients!$DG$8,Nutrients!$DG$9)*AG$7)+(((IF($A$8=Nutrients!$B$79,Nutrients!$DG$79,(IF($A$8=Nutrients!$B$77,Nutrients!$DG$77,Nutrients!$DG$78)))))*AG$8))/2000/AG$236*100</f>
        <v>19.046447634243311</v>
      </c>
      <c r="AH242" s="225">
        <f>(SUMPRODUCT(AH$9:AH$229,Nutrients!$DG$8:$DG$228)+(IF($A$7=Nutrients!$B$8,Nutrients!$DG$8,Nutrients!$DG$9)*AH$7)+(((IF($A$8=Nutrients!$B$79,Nutrients!$DG$79,(IF($A$8=Nutrients!$B$77,Nutrients!$DG$77,Nutrients!$DG$78)))))*AH$8))/2000/AH$236*100</f>
        <v>18.999959259985769</v>
      </c>
      <c r="AI242" s="225">
        <f>(SUMPRODUCT(AI$9:AI$229,Nutrients!$DG$8:$DG$228)+(IF($A$7=Nutrients!$B$8,Nutrients!$DG$8,Nutrients!$DG$9)*AI$7)+(((IF($A$8=Nutrients!$B$79,Nutrients!$DG$79,(IF($A$8=Nutrients!$B$77,Nutrients!$DG$77,Nutrients!$DG$78)))))*AI$8))/2000/AI$236*100</f>
        <v>18.999963234918017</v>
      </c>
      <c r="AJ242" s="9"/>
      <c r="AK242" s="225">
        <f>(SUMPRODUCT(AK$9:AK$229,Nutrients!$DG$8:$DG$228)+(IF($A$7=Nutrients!$B$8,Nutrients!$DG$8,Nutrients!$DG$9)*AK$7)+(((IF($A$8=Nutrients!$B$79,Nutrients!$DG$79,(IF($A$8=Nutrients!$B$77,Nutrients!$DG$77,Nutrients!$DG$78)))))*AK$8))/2000/AK$236*100</f>
        <v>19.036344234507876</v>
      </c>
      <c r="AL242" s="225">
        <f>(SUMPRODUCT(AL$9:AL$229,Nutrients!$DG$8:$DG$228)+(IF($A$7=Nutrients!$B$8,Nutrients!$DG$8,Nutrients!$DG$9)*AL$7)+(((IF($A$8=Nutrients!$B$79,Nutrients!$DG$79,(IF($A$8=Nutrients!$B$77,Nutrients!$DG$77,Nutrients!$DG$78)))))*AL$8))/2000/AL$236*100</f>
        <v>19.032808939858032</v>
      </c>
      <c r="AM242" s="225">
        <f>(SUMPRODUCT(AM$9:AM$229,Nutrients!$DG$8:$DG$228)+(IF($A$7=Nutrients!$B$8,Nutrients!$DG$8,Nutrients!$DG$9)*AM$7)+(((IF($A$8=Nutrients!$B$79,Nutrients!$DG$79,(IF($A$8=Nutrients!$B$77,Nutrients!$DG$77,Nutrients!$DG$78)))))*AM$8))/2000/AM$236*100</f>
        <v>19.021395145702705</v>
      </c>
      <c r="AN242" s="225">
        <f>(SUMPRODUCT(AN$9:AN$229,Nutrients!$DG$8:$DG$228)+(IF($A$7=Nutrients!$B$8,Nutrients!$DG$8,Nutrients!$DG$9)*AN$7)+(((IF($A$8=Nutrients!$B$79,Nutrients!$DG$79,(IF($A$8=Nutrients!$B$77,Nutrients!$DG$77,Nutrients!$DG$78)))))*AN$8))/2000/AN$236*100</f>
        <v>18.999951326059914</v>
      </c>
      <c r="AO242" s="225">
        <f>(SUMPRODUCT(AO$9:AO$229,Nutrients!$DG$8:$DG$228)+(IF($A$7=Nutrients!$B$8,Nutrients!$DG$8,Nutrients!$DG$9)*AO$7)+(((IF($A$8=Nutrients!$B$79,Nutrients!$DG$79,(IF($A$8=Nutrients!$B$77,Nutrients!$DG$77,Nutrients!$DG$78)))))*AO$8))/2000/AO$236*100</f>
        <v>19.02853809550022</v>
      </c>
      <c r="AP242" s="225">
        <f>(SUMPRODUCT(AP$9:AP$229,Nutrients!$DG$8:$DG$228)+(IF($A$7=Nutrients!$B$8,Nutrients!$DG$8,Nutrients!$DG$9)*AP$7)+(((IF($A$8=Nutrients!$B$79,Nutrients!$DG$79,(IF($A$8=Nutrients!$B$77,Nutrients!$DG$77,Nutrients!$DG$78)))))*AP$8))/2000/AP$236*100</f>
        <v>18.999963234918017</v>
      </c>
      <c r="AQ242" s="9"/>
      <c r="AR242" s="225">
        <f>(SUMPRODUCT(AR$9:AR$229,Nutrients!$DG$8:$DG$228)+(IF($A$7=Nutrients!$B$8,Nutrients!$DG$8,Nutrients!$DG$9)*AR$7)+(((IF($A$8=Nutrients!$B$79,Nutrients!$DG$79,(IF($A$8=Nutrients!$B$77,Nutrients!$DG$77,Nutrients!$DG$78)))))*AR$8))/2000/AR$236*100</f>
        <v>19.043917651913343</v>
      </c>
      <c r="AS242" s="225">
        <f>(SUMPRODUCT(AS$9:AS$229,Nutrients!$DG$8:$DG$228)+(IF($A$7=Nutrients!$B$8,Nutrients!$DG$8,Nutrients!$DG$9)*AS$7)+(((IF($A$8=Nutrients!$B$79,Nutrients!$DG$79,(IF($A$8=Nutrients!$B$77,Nutrients!$DG$77,Nutrients!$DG$78)))))*AS$8))/2000/AS$236*100</f>
        <v>19.048660196551442</v>
      </c>
      <c r="AT242" s="225">
        <f>(SUMPRODUCT(AT$9:AT$229,Nutrients!$DG$8:$DG$228)+(IF($A$7=Nutrients!$B$8,Nutrients!$DG$8,Nutrients!$DG$9)*AT$7)+(((IF($A$8=Nutrients!$B$79,Nutrients!$DG$79,(IF($A$8=Nutrients!$B$77,Nutrients!$DG$77,Nutrients!$DG$78)))))*AT$8))/2000/AT$236*100</f>
        <v>19.044184930549896</v>
      </c>
      <c r="AU242" s="225">
        <f>(SUMPRODUCT(AU$9:AU$229,Nutrients!$DG$8:$DG$228)+(IF($A$7=Nutrients!$B$8,Nutrients!$DG$8,Nutrients!$DG$9)*AU$7)+(((IF($A$8=Nutrients!$B$79,Nutrients!$DG$79,(IF($A$8=Nutrients!$B$77,Nutrients!$DG$77,Nutrients!$DG$78)))))*AU$8))/2000/AU$236*100</f>
        <v>19.024294820724784</v>
      </c>
      <c r="AV242" s="225">
        <f>(SUMPRODUCT(AV$9:AV$229,Nutrients!$DG$8:$DG$228)+(IF($A$7=Nutrients!$B$8,Nutrients!$DG$8,Nutrients!$DG$9)*AV$7)+(((IF($A$8=Nutrients!$B$79,Nutrients!$DG$79,(IF($A$8=Nutrients!$B$77,Nutrients!$DG$77,Nutrients!$DG$78)))))*AV$8))/2000/AV$236*100</f>
        <v>18.999937835069783</v>
      </c>
      <c r="AW242" s="225">
        <f>(SUMPRODUCT(AW$9:AW$229,Nutrients!$DG$8:$DG$228)+(IF($A$7=Nutrients!$B$8,Nutrients!$DG$8,Nutrients!$DG$9)*AW$7)+(((IF($A$8=Nutrients!$B$79,Nutrients!$DG$79,(IF($A$8=Nutrients!$B$77,Nutrients!$DG$77,Nutrients!$DG$78)))))*AW$8))/2000/AW$236*100</f>
        <v>18.999963234918017</v>
      </c>
      <c r="AX242" s="13"/>
    </row>
    <row r="243" spans="1:56" x14ac:dyDescent="0.25">
      <c r="A243" s="38" t="s">
        <v>388</v>
      </c>
      <c r="B243" s="225">
        <f>(SUMPRODUCT(B$9:B$229,Nutrients!$DH$8:$DH$228)+(IF($A$7=Nutrients!$B$8,Nutrients!$DH$8,Nutrients!$DH$9)*B$7)+(((IF($A$8=Nutrients!$B$79,Nutrients!$DH$79,(IF($A$8=Nutrients!$B$77,Nutrients!$DH$77,Nutrients!$DH$78)))))*B$8))/2000/B$236*100</f>
        <v>67.993447185961713</v>
      </c>
      <c r="C243" s="225">
        <f>(SUMPRODUCT(C$9:C$229,Nutrients!$DH$8:$DH$228)+(IF($A$7=Nutrients!$B$8,Nutrients!$DH$8,Nutrients!$DH$9)*C$7)+(((IF($A$8=Nutrients!$B$79,Nutrients!$DH$79,(IF($A$8=Nutrients!$B$77,Nutrients!$DH$77,Nutrients!$DH$78)))))*C$8))/2000/C$236*100</f>
        <v>68.398027542407448</v>
      </c>
      <c r="D243" s="225">
        <f>(SUMPRODUCT(D$9:D$229,Nutrients!$DH$8:$DH$228)+(IF($A$7=Nutrients!$B$8,Nutrients!$DH$8,Nutrients!$DH$9)*D$7)+(((IF($A$8=Nutrients!$B$79,Nutrients!$DH$79,(IF($A$8=Nutrients!$B$77,Nutrients!$DH$77,Nutrients!$DH$78)))))*D$8))/2000/D$236*100</f>
        <v>69.100266999000937</v>
      </c>
      <c r="E243" s="225">
        <f>(SUMPRODUCT(E$9:E$229,Nutrients!$DH$8:$DH$228)+(IF($A$7=Nutrients!$B$8,Nutrients!$DH$8,Nutrients!$DH$9)*E$7)+(((IF($A$8=Nutrients!$B$79,Nutrients!$DH$79,(IF($A$8=Nutrients!$B$77,Nutrients!$DH$77,Nutrients!$DH$78)))))*E$8))/2000/E$236*100</f>
        <v>69.699001665042786</v>
      </c>
      <c r="F243" s="225">
        <f>(SUMPRODUCT(F$9:F$229,Nutrients!$DH$8:$DH$228)+(IF($A$7=Nutrients!$B$8,Nutrients!$DH$8,Nutrients!$DH$9)*F$7)+(((IF($A$8=Nutrients!$B$79,Nutrients!$DH$79,(IF($A$8=Nutrients!$B$77,Nutrients!$DH$77,Nutrients!$DH$78)))))*F$8))/2000/F$236*100</f>
        <v>70.40130835469482</v>
      </c>
      <c r="G243" s="225">
        <f>(SUMPRODUCT(G$9:G$229,Nutrients!$DH$8:$DH$228)+(IF($A$7=Nutrients!$B$8,Nutrients!$DH$8,Nutrients!$DH$9)*G$7)+(((IF($A$8=Nutrients!$B$79,Nutrients!$DH$79,(IF($A$8=Nutrients!$B$77,Nutrients!$DH$77,Nutrients!$DH$78)))))*G$8))/2000/G$236*100</f>
        <v>71.102510214887189</v>
      </c>
      <c r="H243" s="224"/>
      <c r="I243" s="225">
        <f>(SUMPRODUCT(I$9:I$229,Nutrients!$DH$8:$DH$228)+(IF($A$7=Nutrients!$B$8,Nutrients!$DH$8,Nutrients!$DH$9)*I$7)+(((IF($A$8=Nutrients!$B$79,Nutrients!$DH$79,(IF($A$8=Nutrients!$B$77,Nutrients!$DH$77,Nutrients!$DH$78)))))*I$8))/2000/I$236*100</f>
        <v>69.093974384643147</v>
      </c>
      <c r="J243" s="225">
        <f>(SUMPRODUCT(J$9:J$229,Nutrients!$DH$8:$DH$228)+(IF($A$7=Nutrients!$B$8,Nutrients!$DH$8,Nutrients!$DH$9)*J$7)+(((IF($A$8=Nutrients!$B$79,Nutrients!$DH$79,(IF($A$8=Nutrients!$B$77,Nutrients!$DH$77,Nutrients!$DH$78)))))*J$8))/2000/J$236*100</f>
        <v>69.643101119106518</v>
      </c>
      <c r="K243" s="225">
        <f>(SUMPRODUCT(K$9:K$229,Nutrients!$DH$8:$DH$228)+(IF($A$7=Nutrients!$B$8,Nutrients!$DH$8,Nutrients!$DH$9)*K$7)+(((IF($A$8=Nutrients!$B$79,Nutrients!$DH$79,(IF($A$8=Nutrients!$B$77,Nutrients!$DH$77,Nutrients!$DH$78)))))*K$8))/2000/K$236*100</f>
        <v>70.511197703413259</v>
      </c>
      <c r="L243" s="225">
        <f>(SUMPRODUCT(L$9:L$229,Nutrients!$DH$8:$DH$228)+(IF($A$7=Nutrients!$B$8,Nutrients!$DH$8,Nutrients!$DH$9)*L$7)+(((IF($A$8=Nutrients!$B$79,Nutrients!$DH$79,(IF($A$8=Nutrients!$B$77,Nutrients!$DH$77,Nutrients!$DH$78)))))*L$8))/2000/L$236*100</f>
        <v>71.288982894855948</v>
      </c>
      <c r="M243" s="225">
        <f>(SUMPRODUCT(M$9:M$229,Nutrients!$DH$8:$DH$228)+(IF($A$7=Nutrients!$B$8,Nutrients!$DH$8,Nutrients!$DH$9)*M$7)+(((IF($A$8=Nutrients!$B$79,Nutrients!$DH$79,(IF($A$8=Nutrients!$B$77,Nutrients!$DH$77,Nutrients!$DH$78)))))*M$8))/2000/M$236*100</f>
        <v>72.142845614545109</v>
      </c>
      <c r="N243" s="225">
        <f>(SUMPRODUCT(N$9:N$229,Nutrients!$DH$8:$DH$228)+(IF($A$7=Nutrients!$B$8,Nutrients!$DH$8,Nutrients!$DH$9)*N$7)+(((IF($A$8=Nutrients!$B$79,Nutrients!$DH$79,(IF($A$8=Nutrients!$B$77,Nutrients!$DH$77,Nutrients!$DH$78)))))*N$8))/2000/N$236*100</f>
        <v>71.102510214887189</v>
      </c>
      <c r="O243" s="472"/>
      <c r="P243" s="225">
        <f>(SUMPRODUCT(P$9:P$229,Nutrients!$DH$8:$DH$228)+(IF($A$7=Nutrients!$B$8,Nutrients!$DH$8,Nutrients!$DH$9)*P$7)+(((IF($A$8=Nutrients!$B$79,Nutrients!$DH$79,(IF($A$8=Nutrients!$B$77,Nutrients!$DH$77,Nutrients!$DH$78)))))*P$8))/2000/P$236*100</f>
        <v>70.206337297398179</v>
      </c>
      <c r="Q243" s="225">
        <f>(SUMPRODUCT(Q$9:Q$229,Nutrients!$DH$8:$DH$228)+(IF($A$7=Nutrients!$B$8,Nutrients!$DH$8,Nutrients!$DH$9)*Q$7)+(((IF($A$8=Nutrients!$B$79,Nutrients!$DH$79,(IF($A$8=Nutrients!$B$77,Nutrients!$DH$77,Nutrients!$DH$78)))))*Q$8))/2000/Q$236*100</f>
        <v>70.902210472313243</v>
      </c>
      <c r="R243" s="225">
        <f>(SUMPRODUCT(R$9:R$229,Nutrients!$DH$8:$DH$228)+(IF($A$7=Nutrients!$B$8,Nutrients!$DH$8,Nutrients!$DH$9)*R$7)+(((IF($A$8=Nutrients!$B$79,Nutrients!$DH$79,(IF($A$8=Nutrients!$B$77,Nutrients!$DH$77,Nutrients!$DH$78)))))*R$8))/2000/R$236*100</f>
        <v>71.937703152938838</v>
      </c>
      <c r="S243" s="225">
        <f>(SUMPRODUCT(S$9:S$229,Nutrients!$DH$8:$DH$228)+(IF($A$7=Nutrients!$B$8,Nutrients!$DH$8,Nutrients!$DH$9)*S$7)+(((IF($A$8=Nutrients!$B$79,Nutrients!$DH$79,(IF($A$8=Nutrients!$B$77,Nutrients!$DH$77,Nutrients!$DH$78)))))*S$8))/2000/S$236*100</f>
        <v>72.900156867116124</v>
      </c>
      <c r="T243" s="225">
        <f>(SUMPRODUCT(T$9:T$229,Nutrients!$DH$8:$DH$228)+(IF($A$7=Nutrients!$B$8,Nutrients!$DH$8,Nutrients!$DH$9)*T$7)+(((IF($A$8=Nutrients!$B$79,Nutrients!$DH$79,(IF($A$8=Nutrients!$B$77,Nutrients!$DH$77,Nutrients!$DH$78)))))*T$8))/2000/T$236*100</f>
        <v>73.901896651270803</v>
      </c>
      <c r="U243" s="225">
        <f>(SUMPRODUCT(U$9:U$229,Nutrients!$DH$8:$DH$228)+(IF($A$7=Nutrients!$B$8,Nutrients!$DH$8,Nutrients!$DH$9)*U$7)+(((IF($A$8=Nutrients!$B$79,Nutrients!$DH$79,(IF($A$8=Nutrients!$B$77,Nutrients!$DH$77,Nutrients!$DH$78)))))*U$8))/2000/U$236*100</f>
        <v>71.102510214887189</v>
      </c>
      <c r="V243" s="9"/>
      <c r="W243" s="225">
        <f>(SUMPRODUCT(W$9:W$229,Nutrients!$DH$8:$DH$228)+(IF($A$7=Nutrients!$B$8,Nutrients!$DH$8,Nutrients!$DH$9)*W$7)+(((IF($A$8=Nutrients!$B$79,Nutrients!$DH$79,(IF($A$8=Nutrients!$B$77,Nutrients!$DH$77,Nutrients!$DH$78)))))*W$8))/2000/W$236*100</f>
        <v>71.334063883838212</v>
      </c>
      <c r="X243" s="225">
        <f>(SUMPRODUCT(X$9:X$229,Nutrients!$DH$8:$DH$228)+(IF($A$7=Nutrients!$B$8,Nutrients!$DH$8,Nutrients!$DH$9)*X$7)+(((IF($A$8=Nutrients!$B$79,Nutrients!$DH$79,(IF($A$8=Nutrients!$B$77,Nutrients!$DH$77,Nutrients!$DH$78)))))*X$8))/2000/X$236*100</f>
        <v>72.178852710011938</v>
      </c>
      <c r="Y243" s="225">
        <f>(SUMPRODUCT(Y$9:Y$229,Nutrients!$DH$8:$DH$228)+(IF($A$7=Nutrients!$B$8,Nutrients!$DH$8,Nutrients!$DH$9)*Y$7)+(((IF($A$8=Nutrients!$B$79,Nutrients!$DH$79,(IF($A$8=Nutrients!$B$77,Nutrients!$DH$77,Nutrients!$DH$78)))))*Y$8))/2000/Y$236*100</f>
        <v>73.393911952958618</v>
      </c>
      <c r="Z243" s="225">
        <f>(SUMPRODUCT(Z$9:Z$229,Nutrients!$DH$8:$DH$228)+(IF($A$7=Nutrients!$B$8,Nutrients!$DH$8,Nutrients!$DH$9)*Z$7)+(((IF($A$8=Nutrients!$B$79,Nutrients!$DH$79,(IF($A$8=Nutrients!$B$77,Nutrients!$DH$77,Nutrients!$DH$78)))))*Z$8))/2000/Z$236*100</f>
        <v>74.533549938140879</v>
      </c>
      <c r="AA243" s="225">
        <f>(SUMPRODUCT(AA$9:AA$229,Nutrients!$DH$8:$DH$228)+(IF($A$7=Nutrients!$B$8,Nutrients!$DH$8,Nutrients!$DH$9)*AA$7)+(((IF($A$8=Nutrients!$B$79,Nutrients!$DH$79,(IF($A$8=Nutrients!$B$77,Nutrients!$DH$77,Nutrients!$DH$78)))))*AA$8))/2000/AA$236*100</f>
        <v>75.686909158492881</v>
      </c>
      <c r="AB243" s="225">
        <f>(SUMPRODUCT(AB$9:AB$229,Nutrients!$DH$8:$DH$228)+(IF($A$7=Nutrients!$B$8,Nutrients!$DH$8,Nutrients!$DH$9)*AB$7)+(((IF($A$8=Nutrients!$B$79,Nutrients!$DH$79,(IF($A$8=Nutrients!$B$77,Nutrients!$DH$77,Nutrients!$DH$78)))))*AB$8))/2000/AB$236*100</f>
        <v>71.102510214887189</v>
      </c>
      <c r="AC243" s="9"/>
      <c r="AD243" s="225">
        <f>(SUMPRODUCT(AD$9:AD$229,Nutrients!$DH$8:$DH$228)+(IF($A$7=Nutrients!$B$8,Nutrients!$DH$8,Nutrients!$DH$9)*AD$7)+(((IF($A$8=Nutrients!$B$79,Nutrients!$DH$79,(IF($A$8=Nutrients!$B$77,Nutrients!$DH$77,Nutrients!$DH$78)))))*AD$8))/2000/AD$236*100</f>
        <v>72.4775937028421</v>
      </c>
      <c r="AE243" s="225">
        <f>(SUMPRODUCT(AE$9:AE$229,Nutrients!$DH$8:$DH$228)+(IF($A$7=Nutrients!$B$8,Nutrients!$DH$8,Nutrients!$DH$9)*AE$7)+(((IF($A$8=Nutrients!$B$79,Nutrients!$DH$79,(IF($A$8=Nutrients!$B$77,Nutrients!$DH$77,Nutrients!$DH$78)))))*AE$8))/2000/AE$236*100</f>
        <v>73.481995814937449</v>
      </c>
      <c r="AF243" s="225">
        <f>(SUMPRODUCT(AF$9:AF$229,Nutrients!$DH$8:$DH$228)+(IF($A$7=Nutrients!$B$8,Nutrients!$DH$8,Nutrients!$DH$9)*AF$7)+(((IF($A$8=Nutrients!$B$79,Nutrients!$DH$79,(IF($A$8=Nutrients!$B$77,Nutrients!$DH$77,Nutrients!$DH$78)))))*AF$8))/2000/AF$236*100</f>
        <v>74.871137457329567</v>
      </c>
      <c r="AG243" s="225">
        <f>(SUMPRODUCT(AG$9:AG$229,Nutrients!$DH$8:$DH$228)+(IF($A$7=Nutrients!$B$8,Nutrients!$DH$8,Nutrients!$DH$9)*AG$7)+(((IF($A$8=Nutrients!$B$79,Nutrients!$DH$79,(IF($A$8=Nutrients!$B$77,Nutrients!$DH$77,Nutrients!$DH$78)))))*AG$8))/2000/AG$236*100</f>
        <v>76.189992197940839</v>
      </c>
      <c r="AH243" s="225">
        <f>(SUMPRODUCT(AH$9:AH$229,Nutrients!$DH$8:$DH$228)+(IF($A$7=Nutrients!$B$8,Nutrients!$DH$8,Nutrients!$DH$9)*AH$7)+(((IF($A$8=Nutrients!$B$79,Nutrients!$DH$79,(IF($A$8=Nutrients!$B$77,Nutrients!$DH$77,Nutrients!$DH$78)))))*AH$8))/2000/AH$236*100</f>
        <v>77.492218852370982</v>
      </c>
      <c r="AI243" s="225">
        <f>(SUMPRODUCT(AI$9:AI$229,Nutrients!$DH$8:$DH$228)+(IF($A$7=Nutrients!$B$8,Nutrients!$DH$8,Nutrients!$DH$9)*AI$7)+(((IF($A$8=Nutrients!$B$79,Nutrients!$DH$79,(IF($A$8=Nutrients!$B$77,Nutrients!$DH$77,Nutrients!$DH$78)))))*AI$8))/2000/AI$236*100</f>
        <v>71.102510214887189</v>
      </c>
      <c r="AJ243" s="9"/>
      <c r="AK243" s="225">
        <f>(SUMPRODUCT(AK$9:AK$229,Nutrients!$DH$8:$DH$228)+(IF($A$7=Nutrients!$B$8,Nutrients!$DH$8,Nutrients!$DH$9)*AK$7)+(((IF($A$8=Nutrients!$B$79,Nutrients!$DH$79,(IF($A$8=Nutrients!$B$77,Nutrients!$DH$77,Nutrients!$DH$78)))))*AK$8))/2000/AK$236*100</f>
        <v>73.6037463202656</v>
      </c>
      <c r="AL243" s="225">
        <f>(SUMPRODUCT(AL$9:AL$229,Nutrients!$DH$8:$DH$228)+(IF($A$7=Nutrients!$B$8,Nutrients!$DH$8,Nutrients!$DH$9)*AL$7)+(((IF($A$8=Nutrients!$B$79,Nutrients!$DH$79,(IF($A$8=Nutrients!$B$77,Nutrients!$DH$77,Nutrients!$DH$78)))))*AL$8))/2000/AL$236*100</f>
        <v>74.803645712631351</v>
      </c>
      <c r="AM243" s="225">
        <f>(SUMPRODUCT(AM$9:AM$229,Nutrients!$DH$8:$DH$228)+(IF($A$7=Nutrients!$B$8,Nutrients!$DH$8,Nutrients!$DH$9)*AM$7)+(((IF($A$8=Nutrients!$B$79,Nutrients!$DH$79,(IF($A$8=Nutrients!$B$77,Nutrients!$DH$77,Nutrients!$DH$78)))))*AM$8))/2000/AM$236*100</f>
        <v>76.36788071286135</v>
      </c>
      <c r="AN243" s="225">
        <f>(SUMPRODUCT(AN$9:AN$229,Nutrients!$DH$8:$DH$228)+(IF($A$7=Nutrients!$B$8,Nutrients!$DH$8,Nutrients!$DH$9)*AN$7)+(((IF($A$8=Nutrients!$B$79,Nutrients!$DH$79,(IF($A$8=Nutrients!$B$77,Nutrients!$DH$77,Nutrients!$DH$78)))))*AN$8))/2000/AN$236*100</f>
        <v>77.867905378141757</v>
      </c>
      <c r="AO243" s="225">
        <f>(SUMPRODUCT(AO$9:AO$229,Nutrients!$DH$8:$DH$228)+(IF($A$7=Nutrients!$B$8,Nutrients!$DH$8,Nutrients!$DH$9)*AO$7)+(((IF($A$8=Nutrients!$B$79,Nutrients!$DH$79,(IF($A$8=Nutrients!$B$77,Nutrients!$DH$77,Nutrients!$DH$78)))))*AO$8))/2000/AO$236*100</f>
        <v>79.323825684649535</v>
      </c>
      <c r="AP243" s="225">
        <f>(SUMPRODUCT(AP$9:AP$229,Nutrients!$DH$8:$DH$228)+(IF($A$7=Nutrients!$B$8,Nutrients!$DH$8,Nutrients!$DH$9)*AP$7)+(((IF($A$8=Nutrients!$B$79,Nutrients!$DH$79,(IF($A$8=Nutrients!$B$77,Nutrients!$DH$77,Nutrients!$DH$78)))))*AP$8))/2000/AP$236*100</f>
        <v>71.102510214887189</v>
      </c>
      <c r="AQ243" s="9"/>
      <c r="AR243" s="225">
        <f>(SUMPRODUCT(AR$9:AR$229,Nutrients!$DH$8:$DH$228)+(IF($A$7=Nutrients!$B$8,Nutrients!$DH$8,Nutrients!$DH$9)*AR$7)+(((IF($A$8=Nutrients!$B$79,Nutrients!$DH$79,(IF($A$8=Nutrients!$B$77,Nutrients!$DH$77,Nutrients!$DH$78)))))*AR$8))/2000/AR$236*100</f>
        <v>74.788564974389104</v>
      </c>
      <c r="AS243" s="225">
        <f>(SUMPRODUCT(AS$9:AS$229,Nutrients!$DH$8:$DH$228)+(IF($A$7=Nutrients!$B$8,Nutrients!$DH$8,Nutrients!$DH$9)*AS$7)+(((IF($A$8=Nutrients!$B$79,Nutrients!$DH$79,(IF($A$8=Nutrients!$B$77,Nutrients!$DH$77,Nutrients!$DH$78)))))*AS$8))/2000/AS$236*100</f>
        <v>76.145974347772778</v>
      </c>
      <c r="AT243" s="225">
        <f>(SUMPRODUCT(AT$9:AT$229,Nutrients!$DH$8:$DH$228)+(IF($A$7=Nutrients!$B$8,Nutrients!$DH$8,Nutrients!$DH$9)*AT$7)+(((IF($A$8=Nutrients!$B$79,Nutrients!$DH$79,(IF($A$8=Nutrients!$B$77,Nutrients!$DH$77,Nutrients!$DH$78)))))*AT$8))/2000/AT$236*100</f>
        <v>77.884435171212786</v>
      </c>
      <c r="AU243" s="225">
        <f>(SUMPRODUCT(AU$9:AU$229,Nutrients!$DH$8:$DH$228)+(IF($A$7=Nutrients!$B$8,Nutrients!$DH$8,Nutrients!$DH$9)*AU$7)+(((IF($A$8=Nutrients!$B$79,Nutrients!$DH$79,(IF($A$8=Nutrients!$B$77,Nutrients!$DH$77,Nutrients!$DH$78)))))*AU$8))/2000/AU$236*100</f>
        <v>79.566807091891107</v>
      </c>
      <c r="AV243" s="225">
        <f>(SUMPRODUCT(AV$9:AV$229,Nutrients!$DH$8:$DH$228)+(IF($A$7=Nutrients!$B$8,Nutrients!$DH$8,Nutrients!$DH$9)*AV$7)+(((IF($A$8=Nutrients!$B$79,Nutrients!$DH$79,(IF($A$8=Nutrients!$B$77,Nutrients!$DH$77,Nutrients!$DH$78)))))*AV$8))/2000/AV$236*100</f>
        <v>81.187549789161011</v>
      </c>
      <c r="AW243" s="225">
        <f>(SUMPRODUCT(AW$9:AW$229,Nutrients!$DH$8:$DH$228)+(IF($A$7=Nutrients!$B$8,Nutrients!$DH$8,Nutrients!$DH$9)*AW$7)+(((IF($A$8=Nutrients!$B$79,Nutrients!$DH$79,(IF($A$8=Nutrients!$B$77,Nutrients!$DH$77,Nutrients!$DH$78)))))*AW$8))/2000/AW$236*100</f>
        <v>71.102510214887189</v>
      </c>
      <c r="AX243" s="13"/>
    </row>
    <row r="244" spans="1:56" x14ac:dyDescent="0.25">
      <c r="A244" s="38" t="s">
        <v>394</v>
      </c>
      <c r="B244" s="451">
        <f>(SUMPRODUCT(B$9:B$229,Nutrients!$CX$8:$CX$228)+(IF($A$7=Nutrients!$B$8,Nutrients!$CX$8,Nutrients!$CX$9)*B$7)+(((IF($A$8=Nutrients!$B$79,Nutrients!$CX$79,(IF($A$8=Nutrients!$B$77,Nutrients!$CX$77,Nutrients!$CX$78)))))*B$8))/2000/B$236*100</f>
        <v>41.164178486168282</v>
      </c>
      <c r="C244" s="451">
        <f>(SUMPRODUCT(C$9:C$229,Nutrients!$CX$8:$CX$228)+(IF($A$7=Nutrients!$B$8,Nutrients!$CX$8,Nutrients!$CX$9)*C$7)+(((IF($A$8=Nutrients!$B$79,Nutrients!$CX$79,(IF($A$8=Nutrients!$B$77,Nutrients!$CX$77,Nutrients!$CX$78)))))*C$8))/2000/C$236*100</f>
        <v>41.586004986324909</v>
      </c>
      <c r="D244" s="451">
        <f>(SUMPRODUCT(D$9:D$229,Nutrients!$CX$8:$CX$228)+(IF($A$7=Nutrients!$B$8,Nutrients!$CX$8,Nutrients!$CX$9)*D$7)+(((IF($A$8=Nutrients!$B$79,Nutrients!$CX$79,(IF($A$8=Nutrients!$B$77,Nutrients!$CX$77,Nutrients!$CX$78)))))*D$8))/2000/D$236*100</f>
        <v>42.207205920724832</v>
      </c>
      <c r="E244" s="451">
        <f>(SUMPRODUCT(E$9:E$229,Nutrients!$CX$8:$CX$228)+(IF($A$7=Nutrients!$B$8,Nutrients!$CX$8,Nutrients!$CX$9)*E$7)+(((IF($A$8=Nutrients!$B$79,Nutrients!$CX$79,(IF($A$8=Nutrients!$B$77,Nutrients!$CX$77,Nutrients!$CX$78)))))*E$8))/2000/E$236*100</f>
        <v>42.778460155865318</v>
      </c>
      <c r="F244" s="451">
        <f>(SUMPRODUCT(F$9:F$229,Nutrients!$CX$8:$CX$228)+(IF($A$7=Nutrients!$B$8,Nutrients!$CX$8,Nutrients!$CX$9)*F$7)+(((IF($A$8=Nutrients!$B$79,Nutrients!$CX$79,(IF($A$8=Nutrients!$B$77,Nutrients!$CX$77,Nutrients!$CX$78)))))*F$8))/2000/F$236*100</f>
        <v>43.376570604149812</v>
      </c>
      <c r="G244" s="451">
        <f>(SUMPRODUCT(G$9:G$229,Nutrients!$CX$8:$CX$228)+(IF($A$7=Nutrients!$B$8,Nutrients!$CX$8,Nutrients!$CX$9)*G$7)+(((IF($A$8=Nutrients!$B$79,Nutrients!$CX$79,(IF($A$8=Nutrients!$B$77,Nutrients!$CX$77,Nutrients!$CX$78)))))*G$8))/2000/G$236*100</f>
        <v>43.904809548771325</v>
      </c>
      <c r="H244" s="224"/>
      <c r="I244" s="451">
        <f>(SUMPRODUCT(I$9:I$229,Nutrients!$CX$8:$CX$228)+(IF($A$7=Nutrients!$B$8,Nutrients!$CX$8,Nutrients!$CX$9)*I$7)+(((IF($A$8=Nutrients!$B$79,Nutrients!$CX$79,(IF($A$8=Nutrients!$B$77,Nutrients!$CX$77,Nutrients!$CX$78)))))*I$8))/2000/I$236*100</f>
        <v>41.558324022373206</v>
      </c>
      <c r="J244" s="451">
        <f>(SUMPRODUCT(J$9:J$229,Nutrients!$CX$8:$CX$228)+(IF($A$7=Nutrients!$B$8,Nutrients!$CX$8,Nutrients!$CX$9)*J$7)+(((IF($A$8=Nutrients!$B$79,Nutrients!$CX$79,(IF($A$8=Nutrients!$B$77,Nutrients!$CX$77,Nutrients!$CX$78)))))*J$8))/2000/J$236*100</f>
        <v>42.031597945464277</v>
      </c>
      <c r="K244" s="451">
        <f>(SUMPRODUCT(K$9:K$229,Nutrients!$CX$8:$CX$228)+(IF($A$7=Nutrients!$B$8,Nutrients!$CX$8,Nutrients!$CX$9)*K$7)+(((IF($A$8=Nutrients!$B$79,Nutrients!$CX$79,(IF($A$8=Nutrients!$B$77,Nutrients!$CX$77,Nutrients!$CX$78)))))*K$8))/2000/K$236*100</f>
        <v>42.712301314412471</v>
      </c>
      <c r="L244" s="451">
        <f>(SUMPRODUCT(L$9:L$229,Nutrients!$CX$8:$CX$228)+(IF($A$7=Nutrients!$B$8,Nutrients!$CX$8,Nutrients!$CX$9)*L$7)+(((IF($A$8=Nutrients!$B$79,Nutrients!$CX$79,(IF($A$8=Nutrients!$B$77,Nutrients!$CX$77,Nutrients!$CX$78)))))*L$8))/2000/L$236*100</f>
        <v>43.349601996006207</v>
      </c>
      <c r="M244" s="451">
        <f>(SUMPRODUCT(M$9:M$229,Nutrients!$CX$8:$CX$228)+(IF($A$7=Nutrients!$B$8,Nutrients!$CX$8,Nutrients!$CX$9)*M$7)+(((IF($A$8=Nutrients!$B$79,Nutrients!$CX$79,(IF($A$8=Nutrients!$B$77,Nutrients!$CX$77,Nutrients!$CX$78)))))*M$8))/2000/M$236*100</f>
        <v>44.004759739523536</v>
      </c>
      <c r="N244" s="451">
        <f>(SUMPRODUCT(N$9:N$229,Nutrients!$CX$8:$CX$228)+(IF($A$7=Nutrients!$B$8,Nutrients!$CX$8,Nutrients!$CX$9)*N$7)+(((IF($A$8=Nutrients!$B$79,Nutrients!$CX$79,(IF($A$8=Nutrients!$B$77,Nutrients!$CX$77,Nutrients!$CX$78)))))*N$8))/2000/N$236*100</f>
        <v>43.904809548771325</v>
      </c>
      <c r="O244" s="472"/>
      <c r="P244" s="451">
        <f>(SUMPRODUCT(P$9:P$229,Nutrients!$CX$8:$CX$228)+(IF($A$7=Nutrients!$B$8,Nutrients!$CX$8,Nutrients!$CX$9)*P$7)+(((IF($A$8=Nutrients!$B$79,Nutrients!$CX$79,(IF($A$8=Nutrients!$B$77,Nutrients!$CX$77,Nutrients!$CX$78)))))*P$8))/2000/P$236*100</f>
        <v>41.953754496569353</v>
      </c>
      <c r="Q244" s="451">
        <f>(SUMPRODUCT(Q$9:Q$229,Nutrients!$CX$8:$CX$228)+(IF($A$7=Nutrients!$B$8,Nutrients!$CX$8,Nutrients!$CX$9)*Q$7)+(((IF($A$8=Nutrients!$B$79,Nutrients!$CX$79,(IF($A$8=Nutrients!$B$77,Nutrients!$CX$77,Nutrients!$CX$78)))))*Q$8))/2000/Q$236*100</f>
        <v>42.479564410257716</v>
      </c>
      <c r="R244" s="451">
        <f>(SUMPRODUCT(R$9:R$229,Nutrients!$CX$8:$CX$228)+(IF($A$7=Nutrients!$B$8,Nutrients!$CX$8,Nutrients!$CX$9)*R$7)+(((IF($A$8=Nutrients!$B$79,Nutrients!$CX$79,(IF($A$8=Nutrients!$B$77,Nutrients!$CX$77,Nutrients!$CX$78)))))*R$8))/2000/R$236*100</f>
        <v>43.220223968997352</v>
      </c>
      <c r="S244" s="451">
        <f>(SUMPRODUCT(S$9:S$229,Nutrients!$CX$8:$CX$228)+(IF($A$7=Nutrients!$B$8,Nutrients!$CX$8,Nutrients!$CX$9)*S$7)+(((IF($A$8=Nutrients!$B$79,Nutrients!$CX$79,(IF($A$8=Nutrients!$B$77,Nutrients!$CX$77,Nutrients!$CX$78)))))*S$8))/2000/S$236*100</f>
        <v>43.927441366429107</v>
      </c>
      <c r="T244" s="451">
        <f>(SUMPRODUCT(T$9:T$229,Nutrients!$CX$8:$CX$228)+(IF($A$7=Nutrients!$B$8,Nutrients!$CX$8,Nutrients!$CX$9)*T$7)+(((IF($A$8=Nutrients!$B$79,Nutrients!$CX$79,(IF($A$8=Nutrients!$B$77,Nutrients!$CX$77,Nutrients!$CX$78)))))*T$8))/2000/T$236*100</f>
        <v>44.634798884181976</v>
      </c>
      <c r="U244" s="451">
        <f>(SUMPRODUCT(U$9:U$229,Nutrients!$CX$8:$CX$228)+(IF($A$7=Nutrients!$B$8,Nutrients!$CX$8,Nutrients!$CX$9)*U$7)+(((IF($A$8=Nutrients!$B$79,Nutrients!$CX$79,(IF($A$8=Nutrients!$B$77,Nutrients!$CX$77,Nutrients!$CX$78)))))*U$8))/2000/U$236*100</f>
        <v>43.904809548771325</v>
      </c>
      <c r="V244" s="9"/>
      <c r="W244" s="451">
        <f>(SUMPRODUCT(W$9:W$229,Nutrients!$CX$8:$CX$228)+(IF($A$7=Nutrients!$B$8,Nutrients!$CX$8,Nutrients!$CX$9)*W$7)+(((IF($A$8=Nutrients!$B$79,Nutrients!$CX$79,(IF($A$8=Nutrients!$B$77,Nutrients!$CX$77,Nutrients!$CX$78)))))*W$8))/2000/W$236*100</f>
        <v>42.354733053311584</v>
      </c>
      <c r="X244" s="451">
        <f>(SUMPRODUCT(X$9:X$229,Nutrients!$CX$8:$CX$228)+(IF($A$7=Nutrients!$B$8,Nutrients!$CX$8,Nutrients!$CX$9)*X$7)+(((IF($A$8=Nutrients!$B$79,Nutrients!$CX$79,(IF($A$8=Nutrients!$B$77,Nutrients!$CX$77,Nutrients!$CX$78)))))*X$8))/2000/X$236*100</f>
        <v>42.93388960445477</v>
      </c>
      <c r="Y244" s="451">
        <f>(SUMPRODUCT(Y$9:Y$229,Nutrients!$CX$8:$CX$228)+(IF($A$7=Nutrients!$B$8,Nutrients!$CX$8,Nutrients!$CX$9)*Y$7)+(((IF($A$8=Nutrients!$B$79,Nutrients!$CX$79,(IF($A$8=Nutrients!$B$77,Nutrients!$CX$77,Nutrients!$CX$78)))))*Y$8))/2000/Y$236*100</f>
        <v>43.742403177579369</v>
      </c>
      <c r="Z244" s="451">
        <f>(SUMPRODUCT(Z$9:Z$229,Nutrients!$CX$8:$CX$228)+(IF($A$7=Nutrients!$B$8,Nutrients!$CX$8,Nutrients!$CX$9)*Z$7)+(((IF($A$8=Nutrients!$B$79,Nutrients!$CX$79,(IF($A$8=Nutrients!$B$77,Nutrients!$CX$77,Nutrients!$CX$78)))))*Z$8))/2000/Z$236*100</f>
        <v>44.512003516259654</v>
      </c>
      <c r="AA244" s="451">
        <f>(SUMPRODUCT(AA$9:AA$229,Nutrients!$CX$8:$CX$228)+(IF($A$7=Nutrients!$B$8,Nutrients!$CX$8,Nutrients!$CX$9)*AA$7)+(((IF($A$8=Nutrients!$B$79,Nutrients!$CX$79,(IF($A$8=Nutrients!$B$77,Nutrients!$CX$77,Nutrients!$CX$78)))))*AA$8))/2000/AA$236*100</f>
        <v>45.273719959643884</v>
      </c>
      <c r="AB244" s="451">
        <f>(SUMPRODUCT(AB$9:AB$229,Nutrients!$CX$8:$CX$228)+(IF($A$7=Nutrients!$B$8,Nutrients!$CX$8,Nutrients!$CX$9)*AB$7)+(((IF($A$8=Nutrients!$B$79,Nutrients!$CX$79,(IF($A$8=Nutrients!$B$77,Nutrients!$CX$77,Nutrients!$CX$78)))))*AB$8))/2000/AB$236*100</f>
        <v>43.904809548771325</v>
      </c>
      <c r="AC244" s="9"/>
      <c r="AD244" s="451">
        <f>(SUMPRODUCT(AD$9:AD$229,Nutrients!$CX$8:$CX$228)+(IF($A$7=Nutrients!$B$8,Nutrients!$CX$8,Nutrients!$CX$9)*AD$7)+(((IF($A$8=Nutrients!$B$79,Nutrients!$CX$79,(IF($A$8=Nutrients!$B$77,Nutrients!$CX$77,Nutrients!$CX$78)))))*AD$8))/2000/AD$236*100</f>
        <v>42.761440028428829</v>
      </c>
      <c r="AE244" s="451">
        <f>(SUMPRODUCT(AE$9:AE$229,Nutrients!$CX$8:$CX$228)+(IF($A$7=Nutrients!$B$8,Nutrients!$CX$8,Nutrients!$CX$9)*AE$7)+(((IF($A$8=Nutrients!$B$79,Nutrients!$CX$79,(IF($A$8=Nutrients!$B$77,Nutrients!$CX$77,Nutrients!$CX$78)))))*AE$8))/2000/AE$236*100</f>
        <v>43.400227028903451</v>
      </c>
      <c r="AF244" s="451">
        <f>(SUMPRODUCT(AF$9:AF$229,Nutrients!$CX$8:$CX$228)+(IF($A$7=Nutrients!$B$8,Nutrients!$CX$8,Nutrients!$CX$9)*AF$7)+(((IF($A$8=Nutrients!$B$79,Nutrients!$CX$79,(IF($A$8=Nutrients!$B$77,Nutrients!$CX$77,Nutrients!$CX$78)))))*AF$8))/2000/AF$236*100</f>
        <v>44.271274040270221</v>
      </c>
      <c r="AG244" s="451">
        <f>(SUMPRODUCT(AG$9:AG$229,Nutrients!$CX$8:$CX$228)+(IF($A$7=Nutrients!$B$8,Nutrients!$CX$8,Nutrients!$CX$9)*AG$7)+(((IF($A$8=Nutrients!$B$79,Nutrients!$CX$79,(IF($A$8=Nutrients!$B$77,Nutrients!$CX$77,Nutrients!$CX$78)))))*AG$8))/2000/AG$236*100</f>
        <v>45.104175184557263</v>
      </c>
      <c r="AH244" s="451">
        <f>(SUMPRODUCT(AH$9:AH$229,Nutrients!$CX$8:$CX$228)+(IF($A$7=Nutrients!$B$8,Nutrients!$CX$8,Nutrients!$CX$9)*AH$7)+(((IF($A$8=Nutrients!$B$79,Nutrients!$CX$79,(IF($A$8=Nutrients!$B$77,Nutrients!$CX$77,Nutrients!$CX$78)))))*AH$8))/2000/AH$236*100</f>
        <v>45.917375770106759</v>
      </c>
      <c r="AI244" s="451">
        <f>(SUMPRODUCT(AI$9:AI$229,Nutrients!$CX$8:$CX$228)+(IF($A$7=Nutrients!$B$8,Nutrients!$CX$8,Nutrients!$CX$9)*AI$7)+(((IF($A$8=Nutrients!$B$79,Nutrients!$CX$79,(IF($A$8=Nutrients!$B$77,Nutrients!$CX$77,Nutrients!$CX$78)))))*AI$8))/2000/AI$236*100</f>
        <v>43.904809548771325</v>
      </c>
      <c r="AJ244" s="9"/>
      <c r="AK244" s="451">
        <f>(SUMPRODUCT(AK$9:AK$229,Nutrients!$CX$8:$CX$228)+(IF($A$7=Nutrients!$B$8,Nutrients!$CX$8,Nutrients!$CX$9)*AK$7)+(((IF($A$8=Nutrients!$B$79,Nutrients!$CX$79,(IF($A$8=Nutrients!$B$77,Nutrients!$CX$77,Nutrients!$CX$78)))))*AK$8))/2000/AK$236*100</f>
        <v>43.153897135129938</v>
      </c>
      <c r="AL244" s="451">
        <f>(SUMPRODUCT(AL$9:AL$229,Nutrients!$CX$8:$CX$228)+(IF($A$7=Nutrients!$B$8,Nutrients!$CX$8,Nutrients!$CX$9)*AL$7)+(((IF($A$8=Nutrients!$B$79,Nutrients!$CX$79,(IF($A$8=Nutrients!$B$77,Nutrients!$CX$77,Nutrients!$CX$78)))))*AL$8))/2000/AL$236*100</f>
        <v>43.872485650750043</v>
      </c>
      <c r="AM244" s="451">
        <f>(SUMPRODUCT(AM$9:AM$229,Nutrients!$CX$8:$CX$228)+(IF($A$7=Nutrients!$B$8,Nutrients!$CX$8,Nutrients!$CX$9)*AM$7)+(((IF($A$8=Nutrients!$B$79,Nutrients!$CX$79,(IF($A$8=Nutrients!$B$77,Nutrients!$CX$77,Nutrients!$CX$78)))))*AM$8))/2000/AM$236*100</f>
        <v>44.806012258957722</v>
      </c>
      <c r="AN244" s="451">
        <f>(SUMPRODUCT(AN$9:AN$229,Nutrients!$CX$8:$CX$228)+(IF($A$7=Nutrients!$B$8,Nutrients!$CX$8,Nutrients!$CX$9)*AN$7)+(((IF($A$8=Nutrients!$B$79,Nutrients!$CX$79,(IF($A$8=Nutrients!$B$77,Nutrients!$CX$77,Nutrients!$CX$78)))))*AN$8))/2000/AN$236*100</f>
        <v>45.702240763633903</v>
      </c>
      <c r="AO244" s="451">
        <f>(SUMPRODUCT(AO$9:AO$229,Nutrients!$CX$8:$CX$228)+(IF($A$7=Nutrients!$B$8,Nutrients!$CX$8,Nutrients!$CX$9)*AO$7)+(((IF($A$8=Nutrients!$B$79,Nutrients!$CX$79,(IF($A$8=Nutrients!$B$77,Nutrients!$CX$77,Nutrients!$CX$78)))))*AO$8))/2000/AO$236*100</f>
        <v>46.568822330762352</v>
      </c>
      <c r="AP244" s="451">
        <f>(SUMPRODUCT(AP$9:AP$229,Nutrients!$CX$8:$CX$228)+(IF($A$7=Nutrients!$B$8,Nutrients!$CX$8,Nutrients!$CX$9)*AP$7)+(((IF($A$8=Nutrients!$B$79,Nutrients!$CX$79,(IF($A$8=Nutrients!$B$77,Nutrients!$CX$77,Nutrients!$CX$78)))))*AP$8))/2000/AP$236*100</f>
        <v>43.904809548771325</v>
      </c>
      <c r="AQ244" s="9"/>
      <c r="AR244" s="451">
        <f>(SUMPRODUCT(AR$9:AR$229,Nutrients!$CX$8:$CX$228)+(IF($A$7=Nutrients!$B$8,Nutrients!$CX$8,Nutrients!$CX$9)*AR$7)+(((IF($A$8=Nutrients!$B$79,Nutrients!$CX$79,(IF($A$8=Nutrients!$B$77,Nutrients!$CX$77,Nutrients!$CX$78)))))*AR$8))/2000/AR$236*100</f>
        <v>43.57832339212078</v>
      </c>
      <c r="AS244" s="451">
        <f>(SUMPRODUCT(AS$9:AS$229,Nutrients!$CX$8:$CX$228)+(IF($A$7=Nutrients!$B$8,Nutrients!$CX$8,Nutrients!$CX$9)*AS$7)+(((IF($A$8=Nutrients!$B$79,Nutrients!$CX$79,(IF($A$8=Nutrients!$B$77,Nutrients!$CX$77,Nutrients!$CX$78)))))*AS$8))/2000/AS$236*100</f>
        <v>44.35205819019798</v>
      </c>
      <c r="AT244" s="451">
        <f>(SUMPRODUCT(AT$9:AT$229,Nutrients!$CX$8:$CX$228)+(IF($A$7=Nutrients!$B$8,Nutrients!$CX$8,Nutrients!$CX$9)*AT$7)+(((IF($A$8=Nutrients!$B$79,Nutrients!$CX$79,(IF($A$8=Nutrients!$B$77,Nutrients!$CX$77,Nutrients!$CX$78)))))*AT$8))/2000/AT$236*100</f>
        <v>45.347042060675463</v>
      </c>
      <c r="AU244" s="451">
        <f>(SUMPRODUCT(AU$9:AU$229,Nutrients!$CX$8:$CX$228)+(IF($A$7=Nutrients!$B$8,Nutrients!$CX$8,Nutrients!$CX$9)*AU$7)+(((IF($A$8=Nutrients!$B$79,Nutrients!$CX$79,(IF($A$8=Nutrients!$B$77,Nutrients!$CX$77,Nutrients!$CX$78)))))*AU$8))/2000/AU$236*100</f>
        <v>46.305206497098631</v>
      </c>
      <c r="AV244" s="451">
        <f>(SUMPRODUCT(AV$9:AV$229,Nutrients!$CX$8:$CX$228)+(IF($A$7=Nutrients!$B$8,Nutrients!$CX$8,Nutrients!$CX$9)*AV$7)+(((IF($A$8=Nutrients!$B$79,Nutrients!$CX$79,(IF($A$8=Nutrients!$B$77,Nutrients!$CX$77,Nutrients!$CX$78)))))*AV$8))/2000/AV$236*100</f>
        <v>47.231697869919486</v>
      </c>
      <c r="AW244" s="451">
        <f>(SUMPRODUCT(AW$9:AW$229,Nutrients!$CX$8:$CX$228)+(IF($A$7=Nutrients!$B$8,Nutrients!$CX$8,Nutrients!$CX$9)*AW$7)+(((IF($A$8=Nutrients!$B$79,Nutrients!$CX$79,(IF($A$8=Nutrients!$B$77,Nutrients!$CX$77,Nutrients!$CX$78)))))*AW$8))/2000/AW$236*100</f>
        <v>43.904809548771325</v>
      </c>
    </row>
    <row r="245" spans="1:56" x14ac:dyDescent="0.25">
      <c r="A245" s="5" t="s">
        <v>389</v>
      </c>
      <c r="B245" s="26">
        <f>(SUMPRODUCT(B$9:B$229,Nutrients!$AJ$8:$AJ$228)+(IF($A7=Nutrients!$B$8,Nutrients!$AJ$8,Nutrients!$AJ$9)*B$7)+(((IF($A8=Nutrients!$B$79,Nutrients!$AJ$79,(IF($A8=Nutrients!$B$77,Nutrients!$AJ$77,Nutrients!$AJ$78)))))*B$8))/2000</f>
        <v>1.3298660823074164</v>
      </c>
      <c r="C245" s="26">
        <f>(SUMPRODUCT(C$9:C$229,Nutrients!$AJ$8:$AJ$228)+(IF($A7=Nutrients!$B$8,Nutrients!$AJ$8,Nutrients!$AJ$9)*C$7)+(((IF($A8=Nutrients!$B$79,Nutrients!$AJ$79,(IF($A8=Nutrients!$B$77,Nutrients!$AJ$77,Nutrients!$AJ$78)))))*C$8))/2000</f>
        <v>1.17824480201899</v>
      </c>
      <c r="D245" s="26">
        <f>(SUMPRODUCT(D$9:D$229,Nutrients!$AJ$8:$AJ$228)+(IF($A7=Nutrients!$B$8,Nutrients!$AJ$8,Nutrients!$AJ$9)*D$7)+(((IF($A8=Nutrients!$B$79,Nutrients!$AJ$79,(IF($A8=Nutrients!$B$77,Nutrients!$AJ$77,Nutrients!$AJ$78)))))*D$8))/2000</f>
        <v>1.0441938280699909</v>
      </c>
      <c r="E245" s="26">
        <f>(SUMPRODUCT(E$9:E$229,Nutrients!$AJ$8:$AJ$228)+(IF($A7=Nutrients!$B$8,Nutrients!$AJ$8,Nutrients!$AJ$9)*E$7)+(((IF($A8=Nutrients!$B$79,Nutrients!$AJ$79,(IF($A8=Nutrients!$B$77,Nutrients!$AJ$77,Nutrients!$AJ$78)))))*E$8))/2000</f>
        <v>0.93300397092782039</v>
      </c>
      <c r="F245" s="26">
        <f>(SUMPRODUCT(F$9:F$229,Nutrients!$AJ$8:$AJ$228)+(IF($A7=Nutrients!$B$8,Nutrients!$AJ$8,Nutrients!$AJ$9)*F$7)+(((IF($A8=Nutrients!$B$79,Nutrients!$AJ$79,(IF($A8=Nutrients!$B$77,Nutrients!$AJ$77,Nutrients!$AJ$78)))))*F$8))/2000</f>
        <v>0.85681025979312531</v>
      </c>
      <c r="G245" s="26">
        <f>(SUMPRODUCT(G$9:G$229,Nutrients!$AJ$8:$AJ$228)+(IF($A7=Nutrients!$B$8,Nutrients!$AJ$8,Nutrients!$AJ$9)*G$7)+(((IF($A8=Nutrients!$B$79,Nutrients!$AJ$79,(IF($A8=Nutrients!$B$77,Nutrients!$AJ$77,Nutrients!$AJ$78)))))*G$8))/2000</f>
        <v>0.81496876682859276</v>
      </c>
      <c r="H245" s="26"/>
      <c r="I245" s="26">
        <f>(SUMPRODUCT(I$9:I$229,Nutrients!$AJ$8:$AJ$228)+(IF($A7=Nutrients!$B$8,Nutrients!$AJ$8,Nutrients!$AJ$9)*I$7)+(((IF($A8=Nutrients!$B$79,Nutrients!$AJ$79,(IF($A8=Nutrients!$B$77,Nutrients!$AJ$77,Nutrients!$AJ$78)))))*I$8))/2000</f>
        <v>1.3275429278012842</v>
      </c>
      <c r="J245" s="26">
        <f>(SUMPRODUCT(J$9:J$229,Nutrients!$AJ$8:$AJ$228)+(IF($A7=Nutrients!$B$8,Nutrients!$AJ$8,Nutrients!$AJ$9)*J$7)+(((IF($A8=Nutrients!$B$79,Nutrients!$AJ$79,(IF($A8=Nutrients!$B$77,Nutrients!$AJ$77,Nutrients!$AJ$78)))))*J$8))/2000</f>
        <v>1.1775350375442286</v>
      </c>
      <c r="K245" s="26">
        <f>(SUMPRODUCT(K$9:K$229,Nutrients!$AJ$8:$AJ$228)+(IF($A7=Nutrients!$B$8,Nutrients!$AJ$8,Nutrients!$AJ$9)*K$7)+(((IF($A8=Nutrients!$B$79,Nutrients!$AJ$79,(IF($A8=Nutrients!$B$77,Nutrients!$AJ$77,Nutrients!$AJ$78)))))*K$8))/2000</f>
        <v>1.0448107823710202</v>
      </c>
      <c r="L245" s="26">
        <f>(SUMPRODUCT(L$9:L$229,Nutrients!$AJ$8:$AJ$228)+(IF($A7=Nutrients!$B$8,Nutrients!$AJ$8,Nutrients!$AJ$9)*L$7)+(((IF($A8=Nutrients!$B$79,Nutrients!$AJ$79,(IF($A8=Nutrients!$B$77,Nutrients!$AJ$77,Nutrients!$AJ$78)))))*L$8))/2000</f>
        <v>0.93451174687459504</v>
      </c>
      <c r="M245" s="26">
        <f>(SUMPRODUCT(M$9:M$229,Nutrients!$AJ$8:$AJ$228)+(IF($A7=Nutrients!$B$8,Nutrients!$AJ$8,Nutrients!$AJ$9)*M$7)+(((IF($A8=Nutrients!$B$79,Nutrients!$AJ$79,(IF($A8=Nutrients!$B$77,Nutrients!$AJ$77,Nutrients!$AJ$78)))))*M$8))/2000</f>
        <v>0.85825204948321809</v>
      </c>
      <c r="N245" s="26">
        <f>(SUMPRODUCT(N$9:N$229,Nutrients!$AJ$8:$AJ$228)+(IF($A7=Nutrients!$B$8,Nutrients!$AJ$8,Nutrients!$AJ$9)*N$7)+(((IF($A8=Nutrients!$B$79,Nutrients!$AJ$79,(IF($A8=Nutrients!$B$77,Nutrients!$AJ$77,Nutrients!$AJ$78)))))*N$8))/2000</f>
        <v>0.81496876682859276</v>
      </c>
      <c r="O245" s="26"/>
      <c r="P245" s="26">
        <f>(SUMPRODUCT(P$9:P$229,Nutrients!$AJ$8:$AJ$228)+(IF($A7=Nutrients!$B$8,Nutrients!$AJ$8,Nutrients!$AJ$9)*P$7)+(((IF($A8=Nutrients!$B$79,Nutrients!$AJ$79,(IF($A8=Nutrients!$B$77,Nutrients!$AJ$77,Nutrients!$AJ$78)))))*P$8))/2000</f>
        <v>1.3272964068241064</v>
      </c>
      <c r="Q245" s="26">
        <f>(SUMPRODUCT(Q$9:Q$229,Nutrients!$AJ$8:$AJ$228)+(IF($A7=Nutrients!$B$8,Nutrients!$AJ$8,Nutrients!$AJ$9)*Q$7)+(((IF($A8=Nutrients!$B$79,Nutrients!$AJ$79,(IF($A8=Nutrients!$B$77,Nutrients!$AJ$77,Nutrients!$AJ$78)))))*Q$8))/2000</f>
        <v>1.178264987699728</v>
      </c>
      <c r="R245" s="26">
        <f>(SUMPRODUCT(R$9:R$229,Nutrients!$AJ$8:$AJ$228)+(IF($A7=Nutrients!$B$8,Nutrients!$AJ$8,Nutrients!$AJ$9)*R$7)+(((IF($A8=Nutrients!$B$79,Nutrients!$AJ$79,(IF($A8=Nutrients!$B$77,Nutrients!$AJ$77,Nutrients!$AJ$78)))))*R$8))/2000</f>
        <v>1.0465833757974383</v>
      </c>
      <c r="S245" s="26">
        <f>(SUMPRODUCT(S$9:S$229,Nutrients!$AJ$8:$AJ$228)+(IF($A7=Nutrients!$B$8,Nutrients!$AJ$8,Nutrients!$AJ$9)*S$7)+(((IF($A8=Nutrients!$B$79,Nutrients!$AJ$79,(IF($A8=Nutrients!$B$77,Nutrients!$AJ$77,Nutrients!$AJ$78)))))*S$8))/2000</f>
        <v>0.93579885313457589</v>
      </c>
      <c r="T245" s="26">
        <f>(SUMPRODUCT(T$9:T$229,Nutrients!$AJ$8:$AJ$228)+(IF($A7=Nutrients!$B$8,Nutrients!$AJ$8,Nutrients!$AJ$9)*T$7)+(((IF($A8=Nutrients!$B$79,Nutrients!$AJ$79,(IF($A8=Nutrients!$B$77,Nutrients!$AJ$77,Nutrients!$AJ$78)))))*T$8))/2000</f>
        <v>0.8603891646038071</v>
      </c>
      <c r="U245" s="26">
        <f>(SUMPRODUCT(U$9:U$229,Nutrients!$AJ$8:$AJ$228)+(IF($A7=Nutrients!$B$8,Nutrients!$AJ$8,Nutrients!$AJ$9)*U$7)+(((IF($A8=Nutrients!$B$79,Nutrients!$AJ$79,(IF($A8=Nutrients!$B$77,Nutrients!$AJ$77,Nutrients!$AJ$78)))))*U$8))/2000</f>
        <v>0.81496876682859276</v>
      </c>
      <c r="W245" s="26">
        <f>(SUMPRODUCT(W$9:W$229,Nutrients!$AJ$8:$AJ$228)+(IF($A7=Nutrients!$B$8,Nutrients!$AJ$8,Nutrients!$AJ$9)*W$7)+(((IF($A8=Nutrients!$B$79,Nutrients!$AJ$79,(IF($A8=Nutrients!$B$77,Nutrients!$AJ$77,Nutrients!$AJ$78)))))*W$8))/2000</f>
        <v>1.3270495557983868</v>
      </c>
      <c r="X245" s="26">
        <f>(SUMPRODUCT(X$9:X$229,Nutrients!$AJ$8:$AJ$228)+(IF($A7=Nutrients!$B$8,Nutrients!$AJ$8,Nutrients!$AJ$9)*X$7)+(((IF($A8=Nutrients!$B$79,Nutrients!$AJ$79,(IF($A8=Nutrients!$B$77,Nutrients!$AJ$77,Nutrients!$AJ$78)))))*X$8))/2000</f>
        <v>1.1790002210148609</v>
      </c>
      <c r="Y245" s="26">
        <f>(SUMPRODUCT(Y$9:Y$229,Nutrients!$AJ$8:$AJ$228)+(IF($A7=Nutrients!$B$8,Nutrients!$AJ$8,Nutrients!$AJ$9)*Y$7)+(((IF($A8=Nutrients!$B$79,Nutrients!$AJ$79,(IF($A8=Nutrients!$B$77,Nutrients!$AJ$77,Nutrients!$AJ$78)))))*Y$8))/2000</f>
        <v>1.0468482878171068</v>
      </c>
      <c r="Z245" s="26">
        <f>(SUMPRODUCT(Z$9:Z$229,Nutrients!$AJ$8:$AJ$228)+(IF($A7=Nutrients!$B$8,Nutrients!$AJ$8,Nutrients!$AJ$9)*Z$7)+(((IF($A8=Nutrients!$B$79,Nutrients!$AJ$79,(IF($A8=Nutrients!$B$77,Nutrients!$AJ$77,Nutrients!$AJ$78)))))*Z$8))/2000</f>
        <v>0.93747129324536693</v>
      </c>
      <c r="AA245" s="26">
        <f>(SUMPRODUCT(AA$9:AA$229,Nutrients!$AJ$8:$AJ$228)+(IF($A7=Nutrients!$B$8,Nutrients!$AJ$8,Nutrients!$AJ$9)*AA$7)+(((IF($A8=Nutrients!$B$79,Nutrients!$AJ$79,(IF($A8=Nutrients!$B$77,Nutrients!$AJ$77,Nutrients!$AJ$78)))))*AA$8))/2000</f>
        <v>0.86262720209651544</v>
      </c>
      <c r="AB245" s="26">
        <f>(SUMPRODUCT(AB$9:AB$229,Nutrients!$AJ$8:$AJ$228)+(IF($A7=Nutrients!$B$8,Nutrients!$AJ$8,Nutrients!$AJ$9)*AB$7)+(((IF($A8=Nutrients!$B$79,Nutrients!$AJ$79,(IF($A8=Nutrients!$B$77,Nutrients!$AJ$77,Nutrients!$AJ$78)))))*AB$8))/2000</f>
        <v>0.81496876682859276</v>
      </c>
      <c r="AD245" s="26">
        <f>(SUMPRODUCT(AD$9:AD$229,Nutrients!$AJ$8:$AJ$228)+(IF($A7=Nutrients!$B$8,Nutrients!$AJ$8,Nutrients!$AJ$9)*AD$7)+(((IF($A8=Nutrients!$B$79,Nutrients!$AJ$79,(IF($A8=Nutrients!$B$77,Nutrients!$AJ$77,Nutrients!$AJ$78)))))*AD$8))/2000</f>
        <v>1.3266838496121753</v>
      </c>
      <c r="AE245" s="26">
        <f>(SUMPRODUCT(AE$9:AE$229,Nutrients!$AJ$8:$AJ$228)+(IF($A7=Nutrients!$B$8,Nutrients!$AJ$8,Nutrients!$AJ$9)*AE$7)+(((IF($A8=Nutrients!$B$79,Nutrients!$AJ$79,(IF($A8=Nutrients!$B$77,Nutrients!$AJ$77,Nutrients!$AJ$78)))))*AE$8))/2000</f>
        <v>1.1782522626394349</v>
      </c>
      <c r="AF245" s="26">
        <f>(SUMPRODUCT(AF$9:AF$229,Nutrients!$AJ$8:$AJ$228)+(IF($A7=Nutrients!$B$8,Nutrients!$AJ$8,Nutrients!$AJ$9)*AF$7)+(((IF($A8=Nutrients!$B$79,Nutrients!$AJ$79,(IF($A8=Nutrients!$B$77,Nutrients!$AJ$77,Nutrients!$AJ$78)))))*AF$8))/2000</f>
        <v>1.047470498946292</v>
      </c>
      <c r="AG245" s="26">
        <f>(SUMPRODUCT(AG$9:AG$229,Nutrients!$AJ$8:$AJ$228)+(IF($A7=Nutrients!$B$8,Nutrients!$AJ$8,Nutrients!$AJ$9)*AG$7)+(((IF($A8=Nutrients!$B$79,Nutrients!$AJ$79,(IF($A8=Nutrients!$B$77,Nutrients!$AJ$77,Nutrients!$AJ$78)))))*AG$8))/2000</f>
        <v>0.93911399895936476</v>
      </c>
      <c r="AH245" s="26">
        <f>(SUMPRODUCT(AH$9:AH$229,Nutrients!$AJ$8:$AJ$228)+(IF($A7=Nutrients!$B$8,Nutrients!$AJ$8,Nutrients!$AJ$9)*AH$7)+(((IF($A8=Nutrients!$B$79,Nutrients!$AJ$79,(IF($A8=Nutrients!$B$77,Nutrients!$AJ$77,Nutrients!$AJ$78)))))*AH$8))/2000</f>
        <v>0.86426542295953235</v>
      </c>
      <c r="AI245" s="26">
        <f>(SUMPRODUCT(AI$9:AI$229,Nutrients!$AJ$8:$AJ$228)+(IF($A7=Nutrients!$B$8,Nutrients!$AJ$8,Nutrients!$AJ$9)*AI$7)+(((IF($A8=Nutrients!$B$79,Nutrients!$AJ$79,(IF($A8=Nutrients!$B$77,Nutrients!$AJ$77,Nutrients!$AJ$78)))))*AI$8))/2000</f>
        <v>0.81496876682859276</v>
      </c>
      <c r="AK245" s="26">
        <f>(SUMPRODUCT(AK$9:AK$229,Nutrients!$AJ$8:$AJ$228)+(IF($A7=Nutrients!$B$8,Nutrients!$AJ$8,Nutrients!$AJ$9)*AK$7)+(((IF($A8=Nutrients!$B$79,Nutrients!$AJ$79,(IF($A8=Nutrients!$B$77,Nutrients!$AJ$77,Nutrients!$AJ$78)))))*AK$8))/2000</f>
        <v>1.3322404294645143</v>
      </c>
      <c r="AL245" s="26">
        <f>(SUMPRODUCT(AL$9:AL$229,Nutrients!$AJ$8:$AJ$228)+(IF($A7=Nutrients!$B$8,Nutrients!$AJ$8,Nutrients!$AJ$9)*AL$7)+(((IF($A8=Nutrients!$B$79,Nutrients!$AJ$79,(IF($A8=Nutrients!$B$77,Nutrients!$AJ$77,Nutrients!$AJ$78)))))*AL$8))/2000</f>
        <v>1.1779324234906483</v>
      </c>
      <c r="AM245" s="26">
        <f>(SUMPRODUCT(AM$9:AM$229,Nutrients!$AJ$8:$AJ$228)+(IF($A7=Nutrients!$B$8,Nutrients!$AJ$8,Nutrients!$AJ$9)*AM$7)+(((IF($A8=Nutrients!$B$79,Nutrients!$AJ$79,(IF($A8=Nutrients!$B$77,Nutrients!$AJ$77,Nutrients!$AJ$78)))))*AM$8))/2000</f>
        <v>1.04826032787552</v>
      </c>
      <c r="AN245" s="26">
        <f>(SUMPRODUCT(AN$9:AN$229,Nutrients!$AJ$8:$AJ$228)+(IF($A7=Nutrients!$B$8,Nutrients!$AJ$8,Nutrients!$AJ$9)*AN$7)+(((IF($A8=Nutrients!$B$79,Nutrients!$AJ$79,(IF($A8=Nutrients!$B$77,Nutrients!$AJ$77,Nutrients!$AJ$78)))))*AN$8))/2000</f>
        <v>0.94028983467727123</v>
      </c>
      <c r="AO245" s="26">
        <f>(SUMPRODUCT(AO$9:AO$229,Nutrients!$AJ$8:$AJ$228)+(IF($A7=Nutrients!$B$8,Nutrients!$AJ$8,Nutrients!$AJ$9)*AO$7)+(((IF($A8=Nutrients!$B$79,Nutrients!$AJ$79,(IF($A8=Nutrients!$B$77,Nutrients!$AJ$77,Nutrients!$AJ$78)))))*AO$8))/2000</f>
        <v>0.86569440636592476</v>
      </c>
      <c r="AP245" s="26">
        <f>(SUMPRODUCT(AP$9:AP$229,Nutrients!$AJ$8:$AJ$228)+(IF($A7=Nutrients!$B$8,Nutrients!$AJ$8,Nutrients!$AJ$9)*AP$7)+(((IF($A8=Nutrients!$B$79,Nutrients!$AJ$79,(IF($A8=Nutrients!$B$77,Nutrients!$AJ$77,Nutrients!$AJ$78)))))*AP$8))/2000</f>
        <v>0.81496876682859276</v>
      </c>
      <c r="AR245" s="26">
        <f>(SUMPRODUCT(AR$9:AR$229,Nutrients!$AJ$8:$AJ$228)+(IF($A7=Nutrients!$B$8,Nutrients!$AJ$8,Nutrients!$AJ$9)*AR$7)+(((IF($A8=Nutrients!$B$79,Nutrients!$AJ$79,(IF($A8=Nutrients!$B$77,Nutrients!$AJ$77,Nutrients!$AJ$78)))))*AR$8))/2000</f>
        <v>1.329642250521726</v>
      </c>
      <c r="AS245" s="26">
        <f>(SUMPRODUCT(AS$9:AS$229,Nutrients!$AJ$8:$AJ$228)+(IF($A7=Nutrients!$B$8,Nutrients!$AJ$8,Nutrients!$AJ$9)*AS$7)+(((IF($A8=Nutrients!$B$79,Nutrients!$AJ$79,(IF($A8=Nutrients!$B$77,Nutrients!$AJ$77,Nutrients!$AJ$78)))))*AS$8))/2000</f>
        <v>1.1776212583200547</v>
      </c>
      <c r="AT245" s="26">
        <f>(SUMPRODUCT(AT$9:AT$229,Nutrients!$AJ$8:$AJ$228)+(IF($A7=Nutrients!$B$8,Nutrients!$AJ$8,Nutrients!$AJ$9)*AT$7)+(((IF($A8=Nutrients!$B$79,Nutrients!$AJ$79,(IF($A8=Nutrients!$B$77,Nutrients!$AJ$77,Nutrients!$AJ$78)))))*AT$8))/2000</f>
        <v>1.0493378935832074</v>
      </c>
      <c r="AU245" s="26">
        <f>(SUMPRODUCT(AU$9:AU$229,Nutrients!$AJ$8:$AJ$228)+(IF($A7=Nutrients!$B$8,Nutrients!$AJ$8,Nutrients!$AJ$9)*AU$7)+(((IF($A8=Nutrients!$B$79,Nutrients!$AJ$79,(IF($A8=Nutrients!$B$77,Nutrients!$AJ$77,Nutrients!$AJ$78)))))*AU$8))/2000</f>
        <v>0.9412254568692292</v>
      </c>
      <c r="AV245" s="26">
        <f>(SUMPRODUCT(AV$9:AV$229,Nutrients!$AJ$8:$AJ$228)+(IF($A7=Nutrients!$B$8,Nutrients!$AJ$8,Nutrients!$AJ$9)*AV$7)+(((IF($A8=Nutrients!$B$79,Nutrients!$AJ$79,(IF($A8=Nutrients!$B$77,Nutrients!$AJ$77,Nutrients!$AJ$78)))))*AV$8))/2000</f>
        <v>0.86713105736562113</v>
      </c>
      <c r="AW245" s="26">
        <f>(SUMPRODUCT(AW$9:AW$229,Nutrients!$AJ$8:$AJ$228)+(IF($A7=Nutrients!$B$8,Nutrients!$AJ$8,Nutrients!$AJ$9)*AW$7)+(((IF($A8=Nutrients!$B$79,Nutrients!$AJ$79,(IF($A8=Nutrients!$B$77,Nutrients!$AJ$77,Nutrients!$AJ$78)))))*AW$8))/2000</f>
        <v>0.81496876682859276</v>
      </c>
    </row>
    <row r="246" spans="1:56" x14ac:dyDescent="0.25">
      <c r="A246" s="3" t="s">
        <v>18</v>
      </c>
      <c r="B246" s="21">
        <f>(SUMPRODUCT(B$9:B$229,Nutrients!$E$8:$E$228)+(IF($A$7=Nutrients!$B$8,Nutrients!$E$8,Nutrients!$E$9)*B$7)+(((IF($A$8=Nutrients!$B$79,Nutrients!$E$79,(IF($A$8=Nutrients!$B$77,Nutrients!$E$77,Nutrients!$E$78)))))*B$8))/2000/2.2046</f>
        <v>1491.8402434475765</v>
      </c>
      <c r="C246" s="21">
        <f>(SUMPRODUCT(C$9:C$229,Nutrients!$E$8:$E$228)+(IF($A$7=Nutrients!$B$8,Nutrients!$E$8,Nutrients!$E$9)*C$7)+(((IF($A$8=Nutrients!$B$79,Nutrients!$E$79,(IF($A$8=Nutrients!$B$77,Nutrients!$E$77,Nutrients!$E$78)))))*C$8))/2000/2.2046</f>
        <v>1497.3394897230346</v>
      </c>
      <c r="D246" s="21">
        <f>(SUMPRODUCT(D$9:D$229,Nutrients!$E$8:$E$228)+(IF($A$7=Nutrients!$B$8,Nutrients!$E$8,Nutrients!$E$9)*D$7)+(((IF($A$8=Nutrients!$B$79,Nutrients!$E$79,(IF($A$8=Nutrients!$B$77,Nutrients!$E$77,Nutrients!$E$78)))))*D$8))/2000/2.2046</f>
        <v>1502.2809065274494</v>
      </c>
      <c r="E246" s="21">
        <f>(SUMPRODUCT(E$9:E$229,Nutrients!$E$8:$E$228)+(IF($A$7=Nutrients!$B$8,Nutrients!$E$8,Nutrients!$E$9)*E$7)+(((IF($A$8=Nutrients!$B$79,Nutrients!$E$79,(IF($A$8=Nutrients!$B$77,Nutrients!$E$77,Nutrients!$E$78)))))*E$8))/2000/2.2046</f>
        <v>1506.6896352343656</v>
      </c>
      <c r="F246" s="21">
        <f>(SUMPRODUCT(F$9:F$229,Nutrients!$E$8:$E$228)+(IF($A$7=Nutrients!$B$8,Nutrients!$E$8,Nutrients!$E$9)*F$7)+(((IF($A$8=Nutrients!$B$79,Nutrients!$E$79,(IF($A$8=Nutrients!$B$77,Nutrients!$E$77,Nutrients!$E$78)))))*F$8))/2000/2.2046</f>
        <v>1510.1029910587361</v>
      </c>
      <c r="G246" s="21">
        <f>(SUMPRODUCT(G$9:G$229,Nutrients!$E$8:$E$228)+(IF($A$7=Nutrients!$B$8,Nutrients!$E$8,Nutrients!$E$9)*G$7)+(((IF($A$8=Nutrients!$B$79,Nutrients!$E$79,(IF($A$8=Nutrients!$B$77,Nutrients!$E$77,Nutrients!$E$78)))))*G$8))/2000/2.2046</f>
        <v>1511.4146927250044</v>
      </c>
      <c r="H246" s="226"/>
      <c r="I246" s="21">
        <f>(SUMPRODUCT(I$9:I$229,Nutrients!$E$8:$E$228)+(IF($A$7=Nutrients!$B$8,Nutrients!$E$8,Nutrients!$E$9)*I$7)+(((IF($A$8=Nutrients!$B$79,Nutrients!$E$79,(IF($A$8=Nutrients!$B$77,Nutrients!$E$77,Nutrients!$E$78)))))*I$8))/2000/2.2046</f>
        <v>1495.2781048529041</v>
      </c>
      <c r="J246" s="21">
        <f>(SUMPRODUCT(J$9:J$229,Nutrients!$E$8:$E$228)+(IF($A$7=Nutrients!$B$8,Nutrients!$E$8,Nutrients!$E$9)*J$7)+(((IF($A$8=Nutrients!$B$79,Nutrients!$E$79,(IF($A$8=Nutrients!$B$77,Nutrients!$E$77,Nutrients!$E$78)))))*J$8))/2000/2.2046</f>
        <v>1500.7206404588412</v>
      </c>
      <c r="K246" s="21">
        <f>(SUMPRODUCT(K$9:K$229,Nutrients!$E$8:$E$228)+(IF($A$7=Nutrients!$B$8,Nutrients!$E$8,Nutrients!$E$9)*K$7)+(((IF($A$8=Nutrients!$B$79,Nutrients!$E$79,(IF($A$8=Nutrients!$B$77,Nutrients!$E$77,Nutrients!$E$78)))))*K$8))/2000/2.2046</f>
        <v>1505.6334623555911</v>
      </c>
      <c r="L246" s="21">
        <f>(SUMPRODUCT(L$9:L$229,Nutrients!$E$8:$E$228)+(IF($A$7=Nutrients!$B$8,Nutrients!$E$8,Nutrients!$E$9)*L$7)+(((IF($A$8=Nutrients!$B$79,Nutrients!$E$79,(IF($A$8=Nutrients!$B$77,Nutrients!$E$77,Nutrients!$E$78)))))*L$8))/2000/2.2046</f>
        <v>1510.3490479198617</v>
      </c>
      <c r="M246" s="21">
        <f>(SUMPRODUCT(M$9:M$229,Nutrients!$E$8:$E$228)+(IF($A$7=Nutrients!$B$8,Nutrients!$E$8,Nutrients!$E$9)*M$7)+(((IF($A$8=Nutrients!$B$79,Nutrients!$E$79,(IF($A$8=Nutrients!$B$77,Nutrients!$E$77,Nutrients!$E$78)))))*M$8))/2000/2.2046</f>
        <v>1513.6602731478024</v>
      </c>
      <c r="N246" s="21">
        <f>(SUMPRODUCT(N$9:N$229,Nutrients!$E$8:$E$228)+(IF($A$7=Nutrients!$B$8,Nutrients!$E$8,Nutrients!$E$9)*N$7)+(((IF($A$8=Nutrients!$B$79,Nutrients!$E$79,(IF($A$8=Nutrients!$B$77,Nutrients!$E$77,Nutrients!$E$78)))))*N$8))/2000/2.2046</f>
        <v>1511.4146927250044</v>
      </c>
      <c r="O246" s="234"/>
      <c r="P246" s="21">
        <f>(SUMPRODUCT(P$9:P$229,Nutrients!$E$8:$E$228)+(IF($A$7=Nutrients!$B$8,Nutrients!$E$8,Nutrients!$E$9)*P$7)+(((IF($A$8=Nutrients!$B$79,Nutrients!$E$79,(IF($A$8=Nutrients!$B$77,Nutrients!$E$77,Nutrients!$E$78)))))*P$8))/2000/2.2046</f>
        <v>1498.6522276269789</v>
      </c>
      <c r="Q246" s="21">
        <f>(SUMPRODUCT(Q$9:Q$229,Nutrients!$E$8:$E$228)+(IF($A$7=Nutrients!$B$8,Nutrients!$E$8,Nutrients!$E$9)*Q$7)+(((IF($A$8=Nutrients!$B$79,Nutrients!$E$79,(IF($A$8=Nutrients!$B$77,Nutrients!$E$77,Nutrients!$E$78)))))*Q$8))/2000/2.2046</f>
        <v>1504.085908129065</v>
      </c>
      <c r="R246" s="21">
        <f>(SUMPRODUCT(R$9:R$229,Nutrients!$E$8:$E$228)+(IF($A$7=Nutrients!$B$8,Nutrients!$E$8,Nutrients!$E$9)*R$7)+(((IF($A$8=Nutrients!$B$79,Nutrients!$E$79,(IF($A$8=Nutrients!$B$77,Nutrients!$E$77,Nutrients!$E$78)))))*R$8))/2000/2.2046</f>
        <v>1508.9672909019328</v>
      </c>
      <c r="S246" s="21">
        <f>(SUMPRODUCT(S$9:S$229,Nutrients!$E$8:$E$228)+(IF($A$7=Nutrients!$B$8,Nutrients!$E$8,Nutrients!$E$9)*S$7)+(((IF($A$8=Nutrients!$B$79,Nutrients!$E$79,(IF($A$8=Nutrients!$B$77,Nutrients!$E$77,Nutrients!$E$78)))))*S$8))/2000/2.2046</f>
        <v>1513.6921015594869</v>
      </c>
      <c r="T246" s="21">
        <f>(SUMPRODUCT(T$9:T$229,Nutrients!$E$8:$E$228)+(IF($A$7=Nutrients!$B$8,Nutrients!$E$8,Nutrients!$E$9)*T$7)+(((IF($A$8=Nutrients!$B$79,Nutrients!$E$79,(IF($A$8=Nutrients!$B$77,Nutrients!$E$77,Nutrients!$E$78)))))*T$8))/2000/2.2046</f>
        <v>1517.0642458490586</v>
      </c>
      <c r="U246" s="21">
        <f>(SUMPRODUCT(U$9:U$229,Nutrients!$E$8:$E$228)+(IF($A$7=Nutrients!$B$8,Nutrients!$E$8,Nutrients!$E$9)*U$7)+(((IF($A$8=Nutrients!$B$79,Nutrients!$E$79,(IF($A$8=Nutrients!$B$77,Nutrients!$E$77,Nutrients!$E$78)))))*U$8))/2000/2.2046</f>
        <v>1511.4146927250044</v>
      </c>
      <c r="W246" s="21">
        <f>(SUMPRODUCT(W$9:W$229,Nutrients!$E$8:$E$228)+(IF($A$7=Nutrients!$B$8,Nutrients!$E$8,Nutrients!$E$9)*W$7)+(((IF($A$8=Nutrients!$B$79,Nutrients!$E$79,(IF($A$8=Nutrients!$B$77,Nutrients!$E$77,Nutrients!$E$78)))))*W$8))/2000/2.2046</f>
        <v>1502.0516798715139</v>
      </c>
      <c r="X246" s="21">
        <f>(SUMPRODUCT(X$9:X$229,Nutrients!$E$8:$E$228)+(IF($A$7=Nutrients!$B$8,Nutrients!$E$8,Nutrients!$E$9)*X$7)+(((IF($A$8=Nutrients!$B$79,Nutrients!$E$79,(IF($A$8=Nutrients!$B$77,Nutrients!$E$77,Nutrients!$E$78)))))*X$8))/2000/2.2046</f>
        <v>1507.4687579662173</v>
      </c>
      <c r="Y246" s="21">
        <f>(SUMPRODUCT(Y$9:Y$229,Nutrients!$E$8:$E$228)+(IF($A$7=Nutrients!$B$8,Nutrients!$E$8,Nutrients!$E$9)*Y$7)+(((IF($A$8=Nutrients!$B$79,Nutrients!$E$79,(IF($A$8=Nutrients!$B$77,Nutrients!$E$77,Nutrients!$E$78)))))*Y$8))/2000/2.2046</f>
        <v>1512.3626488822301</v>
      </c>
      <c r="Z246" s="21">
        <f>(SUMPRODUCT(Z$9:Z$229,Nutrients!$E$8:$E$228)+(IF($A$7=Nutrients!$B$8,Nutrients!$E$8,Nutrients!$E$9)*Z$7)+(((IF($A$8=Nutrients!$B$79,Nutrients!$E$79,(IF($A$8=Nutrients!$B$77,Nutrients!$E$77,Nutrients!$E$78)))))*Z$8))/2000/2.2046</f>
        <v>1517.0846737515897</v>
      </c>
      <c r="AA246" s="21">
        <f>(SUMPRODUCT(AA$9:AA$229,Nutrients!$E$8:$E$228)+(IF($A$7=Nutrients!$B$8,Nutrients!$E$8,Nutrients!$E$9)*AA$7)+(((IF($A$8=Nutrients!$B$79,Nutrients!$E$79,(IF($A$8=Nutrients!$B$77,Nutrients!$E$77,Nutrients!$E$78)))))*AA$8))/2000/2.2046</f>
        <v>1520.518971093664</v>
      </c>
      <c r="AB246" s="21">
        <f>(SUMPRODUCT(AB$9:AB$229,Nutrients!$E$8:$E$228)+(IF($A$7=Nutrients!$B$8,Nutrients!$E$8,Nutrients!$E$9)*AB$7)+(((IF($A$8=Nutrients!$B$79,Nutrients!$E$79,(IF($A$8=Nutrients!$B$77,Nutrients!$E$77,Nutrients!$E$78)))))*AB$8))/2000/2.2046</f>
        <v>1511.4146927250044</v>
      </c>
      <c r="AD246" s="21">
        <f>(SUMPRODUCT(AD$9:AD$229,Nutrients!$E$8:$E$228)+(IF($A$7=Nutrients!$B$8,Nutrients!$E$8,Nutrients!$E$9)*AD$7)+(((IF($A$8=Nutrients!$B$79,Nutrients!$E$79,(IF($A$8=Nutrients!$B$77,Nutrients!$E$77,Nutrients!$E$78)))))*AD$8))/2000/2.2046</f>
        <v>1505.4379363536875</v>
      </c>
      <c r="AE246" s="21">
        <f>(SUMPRODUCT(AE$9:AE$229,Nutrients!$E$8:$E$228)+(IF($A$7=Nutrients!$B$8,Nutrients!$E$8,Nutrients!$E$9)*AE$7)+(((IF($A$8=Nutrients!$B$79,Nutrients!$E$79,(IF($A$8=Nutrients!$B$77,Nutrients!$E$77,Nutrients!$E$78)))))*AE$8))/2000/2.2046</f>
        <v>1510.8603334029074</v>
      </c>
      <c r="AF246" s="21">
        <f>(SUMPRODUCT(AF$9:AF$229,Nutrients!$E$8:$E$228)+(IF($A$7=Nutrients!$B$8,Nutrients!$E$8,Nutrients!$E$9)*AF$7)+(((IF($A$8=Nutrients!$B$79,Nutrients!$E$79,(IF($A$8=Nutrients!$B$77,Nutrients!$E$77,Nutrients!$E$78)))))*AF$8))/2000/2.2046</f>
        <v>1515.7191861337612</v>
      </c>
      <c r="AG246" s="21">
        <f>(SUMPRODUCT(AG$9:AG$229,Nutrients!$E$8:$E$228)+(IF($A$7=Nutrients!$B$8,Nutrients!$E$8,Nutrients!$E$9)*AG$7)+(((IF($A$8=Nutrients!$B$79,Nutrients!$E$79,(IF($A$8=Nutrients!$B$77,Nutrients!$E$77,Nutrients!$E$78)))))*AG$8))/2000/2.2046</f>
        <v>1520.5261055090778</v>
      </c>
      <c r="AH246" s="21">
        <f>(SUMPRODUCT(AH$9:AH$229,Nutrients!$E$8:$E$228)+(IF($A$7=Nutrients!$B$8,Nutrients!$E$8,Nutrients!$E$9)*AH$7)+(((IF($A$8=Nutrients!$B$79,Nutrients!$E$79,(IF($A$8=Nutrients!$B$77,Nutrients!$E$77,Nutrients!$E$78)))))*AH$8))/2000/2.2046</f>
        <v>1523.0796667784584</v>
      </c>
      <c r="AI246" s="21">
        <f>(SUMPRODUCT(AI$9:AI$229,Nutrients!$E$8:$E$228)+(IF($A$7=Nutrients!$B$8,Nutrients!$E$8,Nutrients!$E$9)*AI$7)+(((IF($A$8=Nutrients!$B$79,Nutrients!$E$79,(IF($A$8=Nutrients!$B$77,Nutrients!$E$77,Nutrients!$E$78)))))*AI$8))/2000/2.2046</f>
        <v>1511.4146927250044</v>
      </c>
      <c r="AK246" s="21">
        <f>(SUMPRODUCT(AK$9:AK$229,Nutrients!$E$8:$E$228)+(IF($A$7=Nutrients!$B$8,Nutrients!$E$8,Nutrients!$E$9)*AK$7)+(((IF($A$8=Nutrients!$B$79,Nutrients!$E$79,(IF($A$8=Nutrients!$B$77,Nutrients!$E$77,Nutrients!$E$78)))))*AK$8))/2000/2.2046</f>
        <v>1508.7205039881487</v>
      </c>
      <c r="AL246" s="21">
        <f>(SUMPRODUCT(AL$9:AL$229,Nutrients!$E$8:$E$228)+(IF($A$7=Nutrients!$B$8,Nutrients!$E$8,Nutrients!$E$9)*AL$7)+(((IF($A$8=Nutrients!$B$79,Nutrients!$E$79,(IF($A$8=Nutrients!$B$77,Nutrients!$E$77,Nutrients!$E$78)))))*AL$8))/2000/2.2046</f>
        <v>1514.2610195318475</v>
      </c>
      <c r="AM246" s="21">
        <f>(SUMPRODUCT(AM$9:AM$229,Nutrients!$E$8:$E$228)+(IF($A$7=Nutrients!$B$8,Nutrients!$E$8,Nutrients!$E$9)*AM$7)+(((IF($A$8=Nutrients!$B$79,Nutrients!$E$79,(IF($A$8=Nutrients!$B$77,Nutrients!$E$77,Nutrients!$E$78)))))*AM$8))/2000/2.2046</f>
        <v>1519.1983937446416</v>
      </c>
      <c r="AN246" s="21">
        <f>(SUMPRODUCT(AN$9:AN$229,Nutrients!$E$8:$E$228)+(IF($A$7=Nutrients!$B$8,Nutrients!$E$8,Nutrients!$E$9)*AN$7)+(((IF($A$8=Nutrients!$B$79,Nutrients!$E$79,(IF($A$8=Nutrients!$B$77,Nutrients!$E$77,Nutrients!$E$78)))))*AN$8))/2000/2.2046</f>
        <v>1523.3077710877762</v>
      </c>
      <c r="AO246" s="21">
        <f>(SUMPRODUCT(AO$9:AO$229,Nutrients!$E$8:$E$228)+(IF($A$7=Nutrients!$B$8,Nutrients!$E$8,Nutrients!$E$9)*AO$7)+(((IF($A$8=Nutrients!$B$79,Nutrients!$E$79,(IF($A$8=Nutrients!$B$77,Nutrients!$E$77,Nutrients!$E$78)))))*AO$8))/2000/2.2046</f>
        <v>1525.217862280984</v>
      </c>
      <c r="AP246" s="21">
        <f>(SUMPRODUCT(AP$9:AP$229,Nutrients!$E$8:$E$228)+(IF($A$7=Nutrients!$B$8,Nutrients!$E$8,Nutrients!$E$9)*AP$7)+(((IF($A$8=Nutrients!$B$79,Nutrients!$E$79,(IF($A$8=Nutrients!$B$77,Nutrients!$E$77,Nutrients!$E$78)))))*AP$8))/2000/2.2046</f>
        <v>1511.4146927250044</v>
      </c>
      <c r="AR246" s="21">
        <f>(SUMPRODUCT(AR$9:AR$229,Nutrients!$E$8:$E$228)+(IF($A$7=Nutrients!$B$8,Nutrients!$E$8,Nutrients!$E$9)*AR$7)+(((IF($A$8=Nutrients!$B$79,Nutrients!$E$79,(IF($A$8=Nutrients!$B$77,Nutrients!$E$77,Nutrients!$E$78)))))*AR$8))/2000/2.2046</f>
        <v>1512.1564715988029</v>
      </c>
      <c r="AS246" s="21">
        <f>(SUMPRODUCT(AS$9:AS$229,Nutrients!$E$8:$E$228)+(IF($A$7=Nutrients!$B$8,Nutrients!$E$8,Nutrients!$E$9)*AS$7)+(((IF($A$8=Nutrients!$B$79,Nutrients!$E$79,(IF($A$8=Nutrients!$B$77,Nutrients!$E$77,Nutrients!$E$78)))))*AS$8))/2000/2.2046</f>
        <v>1517.6463891175788</v>
      </c>
      <c r="AT246" s="21">
        <f>(SUMPRODUCT(AT$9:AT$229,Nutrients!$E$8:$E$228)+(IF($A$7=Nutrients!$B$8,Nutrients!$E$8,Nutrients!$E$9)*AT$7)+(((IF($A$8=Nutrients!$B$79,Nutrients!$E$79,(IF($A$8=Nutrients!$B$77,Nutrients!$E$77,Nutrients!$E$78)))))*AT$8))/2000/2.2046</f>
        <v>1522.6528134877396</v>
      </c>
      <c r="AU246" s="21">
        <f>(SUMPRODUCT(AU$9:AU$229,Nutrients!$E$8:$E$228)+(IF($A$7=Nutrients!$B$8,Nutrients!$E$8,Nutrients!$E$9)*AU$7)+(((IF($A$8=Nutrients!$B$79,Nutrients!$E$79,(IF($A$8=Nutrients!$B$77,Nutrients!$E$77,Nutrients!$E$78)))))*AU$8))/2000/2.2046</f>
        <v>1525.4458487239158</v>
      </c>
      <c r="AV246" s="21">
        <f>(SUMPRODUCT(AV$9:AV$229,Nutrients!$E$8:$E$228)+(IF($A$7=Nutrients!$B$8,Nutrients!$E$8,Nutrients!$E$9)*AV$7)+(((IF($A$8=Nutrients!$B$79,Nutrients!$E$79,(IF($A$8=Nutrients!$B$77,Nutrients!$E$77,Nutrients!$E$78)))))*AV$8))/2000/2.2046</f>
        <v>1527.3505289827599</v>
      </c>
      <c r="AW246" s="21">
        <f>(SUMPRODUCT(AW$9:AW$229,Nutrients!$E$8:$E$228)+(IF($A$7=Nutrients!$B$8,Nutrients!$E$8,Nutrients!$E$9)*AW$7)+(((IF($A$8=Nutrients!$B$79,Nutrients!$E$79,(IF($A$8=Nutrients!$B$77,Nutrients!$E$77,Nutrients!$E$78)))))*AW$8))/2000/2.2046</f>
        <v>1511.4146927250044</v>
      </c>
    </row>
    <row r="247" spans="1:56" x14ac:dyDescent="0.25">
      <c r="A247" s="5" t="s">
        <v>32</v>
      </c>
      <c r="B247" s="21">
        <f>(SUMPRODUCT(B$9:B$229,Nutrients!$DY$8:$DY$228)+(IF($A$7=Nutrients!$B$8,Nutrients!$DY$8,Nutrients!$DY$9)*B$7)+(((IF($A$8=Nutrients!$B$79,Nutrients!$DY$79,(IF($A$8=Nutrients!$B$77,Nutrients!$DY$77,Nutrients!$DY$78)))))*B$8))/2000/2.2046</f>
        <v>1084.249548676868</v>
      </c>
      <c r="C247" s="21">
        <f>(SUMPRODUCT(C$9:C$229,Nutrients!$DY$8:$DY$228)+(IF($A$7=Nutrients!$B$8,Nutrients!$DY$8,Nutrients!$DY$9)*C$7)+(((IF($A$8=Nutrients!$B$79,Nutrients!$DY$79,(IF($A$8=Nutrients!$B$77,Nutrients!$DY$77,Nutrients!$DY$78)))))*C$8))/2000/2.2046</f>
        <v>1102.8575690313603</v>
      </c>
      <c r="D247" s="21">
        <f>(SUMPRODUCT(D$9:D$229,Nutrients!$DY$8:$DY$228)+(IF($A$7=Nutrients!$B$8,Nutrients!$DY$8,Nutrients!$DY$9)*D$7)+(((IF($A$8=Nutrients!$B$79,Nutrients!$DY$79,(IF($A$8=Nutrients!$B$77,Nutrients!$DY$77,Nutrients!$DY$78)))))*D$8))/2000/2.2046</f>
        <v>1119.0569124625506</v>
      </c>
      <c r="E247" s="21">
        <f>(SUMPRODUCT(E$9:E$229,Nutrients!$DY$8:$DY$228)+(IF($A$7=Nutrients!$B$8,Nutrients!$DY$8,Nutrients!$DY$9)*E$7)+(((IF($A$8=Nutrients!$B$79,Nutrients!$DY$79,(IF($A$8=Nutrients!$B$77,Nutrients!$DY$77,Nutrients!$DY$78)))))*E$8))/2000/2.2046</f>
        <v>1132.8948287435808</v>
      </c>
      <c r="F247" s="21">
        <f>(SUMPRODUCT(F$9:F$229,Nutrients!$DY$8:$DY$228)+(IF($A$7=Nutrients!$B$8,Nutrients!$DY$8,Nutrients!$DY$9)*F$7)+(((IF($A$8=Nutrients!$B$79,Nutrients!$DY$79,(IF($A$8=Nutrients!$B$77,Nutrients!$DY$77,Nutrients!$DY$78)))))*F$8))/2000/2.2046</f>
        <v>1142.4960914643329</v>
      </c>
      <c r="G247" s="21">
        <f>(SUMPRODUCT(G$9:G$229,Nutrients!$DY$8:$DY$228)+(IF($A$7=Nutrients!$B$8,Nutrients!$DY$8,Nutrients!$DY$9)*G$7)+(((IF($A$8=Nutrients!$B$79,Nutrients!$DY$79,(IF($A$8=Nutrients!$B$77,Nutrients!$DY$77,Nutrients!$DY$78)))))*G$8))/2000/2.2046</f>
        <v>1147.04091606665</v>
      </c>
      <c r="H247" s="226"/>
      <c r="I247" s="21">
        <f>(SUMPRODUCT(I$9:I$229,Nutrients!$DY$8:$DY$228)+(IF($A$7=Nutrients!$B$8,Nutrients!$DY$8,Nutrients!$DY$9)*I$7)+(((IF($A$8=Nutrients!$B$79,Nutrients!$DY$79,(IF($A$8=Nutrients!$B$77,Nutrients!$DY$77,Nutrients!$DY$78)))))*I$8))/2000/2.2046</f>
        <v>1030.3054724813126</v>
      </c>
      <c r="J247" s="21">
        <f>(SUMPRODUCT(J$9:J$229,Nutrients!$DY$8:$DY$228)+(IF($A$7=Nutrients!$B$8,Nutrients!$DY$8,Nutrients!$DY$9)*J$7)+(((IF($A$8=Nutrients!$B$79,Nutrients!$DY$79,(IF($A$8=Nutrients!$B$77,Nutrients!$DY$77,Nutrients!$DY$78)))))*J$8))/2000/2.2046</f>
        <v>1048.7145298724788</v>
      </c>
      <c r="K247" s="21">
        <f>(SUMPRODUCT(K$9:K$229,Nutrients!$DY$8:$DY$228)+(IF($A$7=Nutrients!$B$8,Nutrients!$DY$8,Nutrients!$DY$9)*K$7)+(((IF($A$8=Nutrients!$B$79,Nutrients!$DY$79,(IF($A$8=Nutrients!$B$77,Nutrients!$DY$77,Nutrients!$DY$78)))))*K$8))/2000/2.2046</f>
        <v>1064.7642109414696</v>
      </c>
      <c r="L247" s="21">
        <f>(SUMPRODUCT(L$9:L$229,Nutrients!$DY$8:$DY$228)+(IF($A$7=Nutrients!$B$8,Nutrients!$DY$8,Nutrients!$DY$9)*L$7)+(((IF($A$8=Nutrients!$B$79,Nutrients!$DY$79,(IF($A$8=Nutrients!$B$77,Nutrients!$DY$77,Nutrients!$DY$78)))))*L$8))/2000/2.2046</f>
        <v>1078.7614320762229</v>
      </c>
      <c r="M247" s="21">
        <f>(SUMPRODUCT(M$9:M$229,Nutrients!$DY$8:$DY$228)+(IF($A$7=Nutrients!$B$8,Nutrients!$DY$8,Nutrients!$DY$9)*M$7)+(((IF($A$8=Nutrients!$B$79,Nutrients!$DY$79,(IF($A$8=Nutrients!$B$77,Nutrients!$DY$77,Nutrients!$DY$78)))))*M$8))/2000/2.2046</f>
        <v>1088.2876932598908</v>
      </c>
      <c r="N247" s="21">
        <f>(SUMPRODUCT(N$9:N$229,Nutrients!$DY$8:$DY$228)+(IF($A$7=Nutrients!$B$8,Nutrients!$DY$8,Nutrients!$DY$9)*N$7)+(((IF($A$8=Nutrients!$B$79,Nutrients!$DY$79,(IF($A$8=Nutrients!$B$77,Nutrients!$DY$77,Nutrients!$DY$78)))))*N$8))/2000/2.2046</f>
        <v>1147.04091606665</v>
      </c>
      <c r="O247" s="234"/>
      <c r="P247" s="21">
        <f>(SUMPRODUCT(P$9:P$229,Nutrients!$DY$8:$DY$228)+(IF($A$7=Nutrients!$B$8,Nutrients!$DY$8,Nutrients!$DY$9)*P$7)+(((IF($A$8=Nutrients!$B$79,Nutrients!$DY$79,(IF($A$8=Nutrients!$B$77,Nutrients!$DY$77,Nutrients!$DY$78)))))*P$8))/2000/2.2046</f>
        <v>976.11206043749053</v>
      </c>
      <c r="Q247" s="21">
        <f>(SUMPRODUCT(Q$9:Q$229,Nutrients!$DY$8:$DY$228)+(IF($A$7=Nutrients!$B$8,Nutrients!$DY$8,Nutrients!$DY$9)*Q$7)+(((IF($A$8=Nutrients!$B$79,Nutrients!$DY$79,(IF($A$8=Nutrients!$B$77,Nutrients!$DY$77,Nutrients!$DY$78)))))*Q$8))/2000/2.2046</f>
        <v>994.42057390554351</v>
      </c>
      <c r="R247" s="21">
        <f>(SUMPRODUCT(R$9:R$229,Nutrients!$DY$8:$DY$228)+(IF($A$7=Nutrients!$B$8,Nutrients!$DY$8,Nutrients!$DY$9)*R$7)+(((IF($A$8=Nutrients!$B$79,Nutrients!$DY$79,(IF($A$8=Nutrients!$B$77,Nutrients!$DY$77,Nutrients!$DY$78)))))*R$8))/2000/2.2046</f>
        <v>1010.3462226330507</v>
      </c>
      <c r="S247" s="21">
        <f>(SUMPRODUCT(S$9:S$229,Nutrients!$DY$8:$DY$228)+(IF($A$7=Nutrients!$B$8,Nutrients!$DY$8,Nutrients!$DY$9)*S$7)+(((IF($A$8=Nutrients!$B$79,Nutrients!$DY$79,(IF($A$8=Nutrients!$B$77,Nutrients!$DY$77,Nutrients!$DY$78)))))*S$8))/2000/2.2046</f>
        <v>1024.397073197247</v>
      </c>
      <c r="T247" s="21">
        <f>(SUMPRODUCT(T$9:T$229,Nutrients!$DY$8:$DY$228)+(IF($A$7=Nutrients!$B$8,Nutrients!$DY$8,Nutrients!$DY$9)*T$7)+(((IF($A$8=Nutrients!$B$79,Nutrients!$DY$79,(IF($A$8=Nutrients!$B$77,Nutrients!$DY$77,Nutrients!$DY$78)))))*T$8))/2000/2.2046</f>
        <v>1033.8856659994985</v>
      </c>
      <c r="U247" s="21">
        <f>(SUMPRODUCT(U$9:U$229,Nutrients!$DY$8:$DY$228)+(IF($A$7=Nutrients!$B$8,Nutrients!$DY$8,Nutrients!$DY$9)*U$7)+(((IF($A$8=Nutrients!$B$79,Nutrients!$DY$79,(IF($A$8=Nutrients!$B$77,Nutrients!$DY$77,Nutrients!$DY$78)))))*U$8))/2000/2.2046</f>
        <v>1147.04091606665</v>
      </c>
      <c r="W247" s="21">
        <f>(SUMPRODUCT(W$9:W$229,Nutrients!$DY$8:$DY$228)+(IF($A$7=Nutrients!$B$8,Nutrients!$DY$8,Nutrients!$DY$9)*W$7)+(((IF($A$8=Nutrients!$B$79,Nutrients!$DY$79,(IF($A$8=Nutrients!$B$77,Nutrients!$DY$77,Nutrients!$DY$78)))))*W$8))/2000/2.2046</f>
        <v>921.93884305985682</v>
      </c>
      <c r="X247" s="21">
        <f>(SUMPRODUCT(X$9:X$229,Nutrients!$DY$8:$DY$228)+(IF($A$7=Nutrients!$B$8,Nutrients!$DY$8,Nutrients!$DY$9)*X$7)+(((IF($A$8=Nutrients!$B$79,Nutrients!$DY$79,(IF($A$8=Nutrients!$B$77,Nutrients!$DY$77,Nutrients!$DY$78)))))*X$8))/2000/2.2046</f>
        <v>940.1405093516845</v>
      </c>
      <c r="Y247" s="21">
        <f>(SUMPRODUCT(Y$9:Y$229,Nutrients!$DY$8:$DY$228)+(IF($A$7=Nutrients!$B$8,Nutrients!$DY$8,Nutrients!$DY$9)*Y$7)+(((IF($A$8=Nutrients!$B$79,Nutrients!$DY$79,(IF($A$8=Nutrients!$B$77,Nutrients!$DY$77,Nutrients!$DY$78)))))*Y$8))/2000/2.2046</f>
        <v>956.12064653787843</v>
      </c>
      <c r="Z247" s="21">
        <f>(SUMPRODUCT(Z$9:Z$229,Nutrients!$DY$8:$DY$228)+(IF($A$7=Nutrients!$B$8,Nutrients!$DY$8,Nutrients!$DY$9)*Z$7)+(((IF($A$8=Nutrients!$B$79,Nutrients!$DY$79,(IF($A$8=Nutrients!$B$77,Nutrients!$DY$77,Nutrients!$DY$78)))))*Z$8))/2000/2.2046</f>
        <v>970.03366485522986</v>
      </c>
      <c r="AA247" s="21">
        <f>(SUMPRODUCT(AA$9:AA$229,Nutrients!$DY$8:$DY$228)+(IF($A$7=Nutrients!$B$8,Nutrients!$DY$8,Nutrients!$DY$9)*AA$7)+(((IF($A$8=Nutrients!$B$79,Nutrients!$DY$79,(IF($A$8=Nutrients!$B$77,Nutrients!$DY$77,Nutrients!$DY$78)))))*AA$8))/2000/2.2046</f>
        <v>979.51295555637921</v>
      </c>
      <c r="AB247" s="21">
        <f>(SUMPRODUCT(AB$9:AB$229,Nutrients!$DY$8:$DY$228)+(IF($A$7=Nutrients!$B$8,Nutrients!$DY$8,Nutrients!$DY$9)*AB$7)+(((IF($A$8=Nutrients!$B$79,Nutrients!$DY$79,(IF($A$8=Nutrients!$B$77,Nutrients!$DY$77,Nutrients!$DY$78)))))*AB$8))/2000/2.2046</f>
        <v>1147.04091606665</v>
      </c>
      <c r="AD247" s="21">
        <f>(SUMPRODUCT(AD$9:AD$229,Nutrients!$DY$8:$DY$228)+(IF($A$7=Nutrients!$B$8,Nutrients!$DY$8,Nutrients!$DY$9)*AD$7)+(((IF($A$8=Nutrients!$B$79,Nutrients!$DY$79,(IF($A$8=Nutrients!$B$77,Nutrients!$DY$77,Nutrients!$DY$78)))))*AD$8))/2000/2.2046</f>
        <v>867.76645290980991</v>
      </c>
      <c r="AE247" s="21">
        <f>(SUMPRODUCT(AE$9:AE$229,Nutrients!$DY$8:$DY$228)+(IF($A$7=Nutrients!$B$8,Nutrients!$DY$8,Nutrients!$DY$9)*AE$7)+(((IF($A$8=Nutrients!$B$79,Nutrients!$DY$79,(IF($A$8=Nutrients!$B$77,Nutrients!$DY$77,Nutrients!$DY$78)))))*AE$8))/2000/2.2046</f>
        <v>886.00879686904716</v>
      </c>
      <c r="AF247" s="21">
        <f>(SUMPRODUCT(AF$9:AF$229,Nutrients!$DY$8:$DY$228)+(IF($A$7=Nutrients!$B$8,Nutrients!$DY$8,Nutrients!$DY$9)*AF$7)+(((IF($A$8=Nutrients!$B$79,Nutrients!$DY$79,(IF($A$8=Nutrients!$B$77,Nutrients!$DY$77,Nutrients!$DY$78)))))*AF$8))/2000/2.2046</f>
        <v>901.83090082522074</v>
      </c>
      <c r="AG247" s="21">
        <f>(SUMPRODUCT(AG$9:AG$229,Nutrients!$DY$8:$DY$228)+(IF($A$7=Nutrients!$B$8,Nutrients!$DY$8,Nutrients!$DY$9)*AG$7)+(((IF($A$8=Nutrients!$B$79,Nutrients!$DY$79,(IF($A$8=Nutrients!$B$77,Nutrients!$DY$77,Nutrients!$DY$78)))))*AG$8))/2000/2.2046</f>
        <v>915.70713070196064</v>
      </c>
      <c r="AH247" s="21">
        <f>(SUMPRODUCT(AH$9:AH$229,Nutrients!$DY$8:$DY$228)+(IF($A$7=Nutrients!$B$8,Nutrients!$DY$8,Nutrients!$DY$9)*AH$7)+(((IF($A$8=Nutrients!$B$79,Nutrients!$DY$79,(IF($A$8=Nutrients!$B$77,Nutrients!$DY$77,Nutrients!$DY$78)))))*AH$8))/2000/2.2046</f>
        <v>924.48601407361025</v>
      </c>
      <c r="AI247" s="21">
        <f>(SUMPRODUCT(AI$9:AI$229,Nutrients!$DY$8:$DY$228)+(IF($A$7=Nutrients!$B$8,Nutrients!$DY$8,Nutrients!$DY$9)*AI$7)+(((IF($A$8=Nutrients!$B$79,Nutrients!$DY$79,(IF($A$8=Nutrients!$B$77,Nutrients!$DY$77,Nutrients!$DY$78)))))*AI$8))/2000/2.2046</f>
        <v>1147.04091606665</v>
      </c>
      <c r="AK247" s="21">
        <f>(SUMPRODUCT(AK$9:AK$229,Nutrients!$DY$8:$DY$228)+(IF($A$7=Nutrients!$B$8,Nutrients!$DY$8,Nutrients!$DY$9)*AK$7)+(((IF($A$8=Nutrients!$B$79,Nutrients!$DY$79,(IF($A$8=Nutrients!$B$77,Nutrients!$DY$77,Nutrients!$DY$78)))))*AK$8))/2000/2.2046</f>
        <v>812.94689712794843</v>
      </c>
      <c r="AL247" s="21">
        <f>(SUMPRODUCT(AL$9:AL$229,Nutrients!$DY$8:$DY$228)+(IF($A$7=Nutrients!$B$8,Nutrients!$DY$8,Nutrients!$DY$9)*AL$7)+(((IF($A$8=Nutrients!$B$79,Nutrients!$DY$79,(IF($A$8=Nutrients!$B$77,Nutrients!$DY$77,Nutrients!$DY$78)))))*AL$8))/2000/2.2046</f>
        <v>831.84352033164794</v>
      </c>
      <c r="AM247" s="21">
        <f>(SUMPRODUCT(AM$9:AM$229,Nutrients!$DY$8:$DY$228)+(IF($A$7=Nutrients!$B$8,Nutrients!$DY$8,Nutrients!$DY$9)*AM$7)+(((IF($A$8=Nutrients!$B$79,Nutrients!$DY$79,(IF($A$8=Nutrients!$B$77,Nutrients!$DY$77,Nutrients!$DY$78)))))*AM$8))/2000/2.2046</f>
        <v>847.61575016506151</v>
      </c>
      <c r="AN247" s="21">
        <f>(SUMPRODUCT(AN$9:AN$229,Nutrients!$DY$8:$DY$228)+(IF($A$7=Nutrients!$B$8,Nutrients!$DY$8,Nutrients!$DY$9)*AN$7)+(((IF($A$8=Nutrients!$B$79,Nutrients!$DY$79,(IF($A$8=Nutrients!$B$77,Nutrients!$DY$77,Nutrients!$DY$78)))))*AN$8))/2000/2.2046</f>
        <v>860.90027670761856</v>
      </c>
      <c r="AO247" s="21">
        <f>(SUMPRODUCT(AO$9:AO$229,Nutrients!$DY$8:$DY$228)+(IF($A$7=Nutrients!$B$8,Nutrients!$DY$8,Nutrients!$DY$9)*AO$7)+(((IF($A$8=Nutrients!$B$79,Nutrients!$DY$79,(IF($A$8=Nutrients!$B$77,Nutrients!$DY$77,Nutrients!$DY$78)))))*AO$8))/2000/2.2046</f>
        <v>869.14243153068207</v>
      </c>
      <c r="AP247" s="21">
        <f>(SUMPRODUCT(AP$9:AP$229,Nutrients!$DY$8:$DY$228)+(IF($A$7=Nutrients!$B$8,Nutrients!$DY$8,Nutrients!$DY$9)*AP$7)+(((IF($A$8=Nutrients!$B$79,Nutrients!$DY$79,(IF($A$8=Nutrients!$B$77,Nutrients!$DY$77,Nutrients!$DY$78)))))*AP$8))/2000/2.2046</f>
        <v>1147.04091606665</v>
      </c>
      <c r="AR247" s="21">
        <f>(SUMPRODUCT(AR$9:AR$229,Nutrients!$DY$8:$DY$228)+(IF($A$7=Nutrients!$B$8,Nutrients!$DY$8,Nutrients!$DY$9)*AR$7)+(((IF($A$8=Nutrients!$B$79,Nutrients!$DY$79,(IF($A$8=Nutrients!$B$77,Nutrients!$DY$77,Nutrients!$DY$78)))))*AR$8))/2000/2.2046</f>
        <v>759.02692084002376</v>
      </c>
      <c r="AS247" s="21">
        <f>(SUMPRODUCT(AS$9:AS$229,Nutrients!$DY$8:$DY$228)+(IF($A$7=Nutrients!$B$8,Nutrients!$DY$8,Nutrients!$DY$9)*AS$7)+(((IF($A$8=Nutrients!$B$79,Nutrients!$DY$79,(IF($A$8=Nutrients!$B$77,Nutrients!$DY$77,Nutrients!$DY$78)))))*AS$8))/2000/2.2046</f>
        <v>777.66522428740984</v>
      </c>
      <c r="AT247" s="21">
        <f>(SUMPRODUCT(AT$9:AT$229,Nutrients!$DY$8:$DY$228)+(IF($A$7=Nutrients!$B$8,Nutrients!$DY$8,Nutrients!$DY$9)*AT$7)+(((IF($A$8=Nutrients!$B$79,Nutrients!$DY$79,(IF($A$8=Nutrients!$B$77,Nutrients!$DY$77,Nutrients!$DY$78)))))*AT$8))/2000/2.2046</f>
        <v>793.35343487388752</v>
      </c>
      <c r="AU247" s="21">
        <f>(SUMPRODUCT(AU$9:AU$229,Nutrients!$DY$8:$DY$228)+(IF($A$7=Nutrients!$B$8,Nutrients!$DY$8,Nutrients!$DY$9)*AU$7)+(((IF($A$8=Nutrients!$B$79,Nutrients!$DY$79,(IF($A$8=Nutrients!$B$77,Nutrients!$DY$77,Nutrients!$DY$78)))))*AU$8))/2000/2.2046</f>
        <v>805.60363695577632</v>
      </c>
      <c r="AV247" s="21">
        <f>(SUMPRODUCT(AV$9:AV$229,Nutrients!$DY$8:$DY$228)+(IF($A$7=Nutrients!$B$8,Nutrients!$DY$8,Nutrients!$DY$9)*AV$7)+(((IF($A$8=Nutrients!$B$79,Nutrients!$DY$79,(IF($A$8=Nutrients!$B$77,Nutrients!$DY$77,Nutrients!$DY$78)))))*AV$8))/2000/2.2046</f>
        <v>813.79398307026099</v>
      </c>
      <c r="AW247" s="21">
        <f>(SUMPRODUCT(AW$9:AW$229,Nutrients!$DY$8:$DY$228)+(IF($A$7=Nutrients!$B$8,Nutrients!$DY$8,Nutrients!$DY$9)*AW$7)+(((IF($A$8=Nutrients!$B$79,Nutrients!$DY$79,(IF($A$8=Nutrients!$B$77,Nutrients!$DY$77,Nutrients!$DY$78)))))*AW$8))/2000/2.2046</f>
        <v>1147.04091606665</v>
      </c>
    </row>
    <row r="248" spans="1:56" x14ac:dyDescent="0.25">
      <c r="A248" s="5" t="s">
        <v>31</v>
      </c>
      <c r="B248" s="21">
        <f>(SUMPRODUCT(B$9:B$229,Nutrients!$DZ$8:$DZ$228)+(IF($A$7=Nutrients!$B$8,Nutrients!$DZ$8,Nutrients!$DZ$9)*B$7)+(((IF($A$8=Nutrients!$B$79,Nutrients!$DZ$79,(IF($A$8=Nutrients!$B$77,Nutrients!$DZ$77,Nutrients!$DZ$78)))))*B$8))/2000/2.2046</f>
        <v>1125.1001476776023</v>
      </c>
      <c r="C248" s="21">
        <f>(SUMPRODUCT(C$9:C$229,Nutrients!$DZ$8:$DZ$228)+(IF($A$7=Nutrients!$B$8,Nutrients!$DZ$8,Nutrients!$DZ$9)*C$7)+(((IF($A$8=Nutrients!$B$79,Nutrients!$DZ$79,(IF($A$8=Nutrients!$B$77,Nutrients!$DZ$77,Nutrients!$DZ$78)))))*C$8))/2000/2.2046</f>
        <v>1142.795652894368</v>
      </c>
      <c r="D248" s="21">
        <f>(SUMPRODUCT(D$9:D$229,Nutrients!$DZ$8:$DZ$228)+(IF($A$7=Nutrients!$B$8,Nutrients!$DZ$8,Nutrients!$DZ$9)*D$7)+(((IF($A$8=Nutrients!$B$79,Nutrients!$DZ$79,(IF($A$8=Nutrients!$B$77,Nutrients!$DZ$77,Nutrients!$DZ$78)))))*D$8))/2000/2.2046</f>
        <v>1158.2172951602411</v>
      </c>
      <c r="E248" s="21">
        <f>(SUMPRODUCT(E$9:E$229,Nutrients!$DZ$8:$DZ$228)+(IF($A$7=Nutrients!$B$8,Nutrients!$DZ$8,Nutrients!$DZ$9)*E$7)+(((IF($A$8=Nutrients!$B$79,Nutrients!$DZ$79,(IF($A$8=Nutrients!$B$77,Nutrients!$DZ$77,Nutrients!$DZ$78)))))*E$8))/2000/2.2046</f>
        <v>1171.3956144840422</v>
      </c>
      <c r="F248" s="21">
        <f>(SUMPRODUCT(F$9:F$229,Nutrients!$DZ$8:$DZ$228)+(IF($A$7=Nutrients!$B$8,Nutrients!$DZ$8,Nutrients!$DZ$9)*F$7)+(((IF($A$8=Nutrients!$B$79,Nutrients!$DZ$79,(IF($A$8=Nutrients!$B$77,Nutrients!$DZ$77,Nutrients!$DZ$78)))))*F$8))/2000/2.2046</f>
        <v>1180.5769470002078</v>
      </c>
      <c r="G248" s="21">
        <f>(SUMPRODUCT(G$9:G$229,Nutrients!$DZ$8:$DZ$228)+(IF($A$7=Nutrients!$B$8,Nutrients!$DZ$8,Nutrients!$DZ$9)*G$7)+(((IF($A$8=Nutrients!$B$79,Nutrients!$DZ$79,(IF($A$8=Nutrients!$B$77,Nutrients!$DZ$77,Nutrients!$DZ$78)))))*G$8))/2000/2.2046</f>
        <v>1184.8954698199086</v>
      </c>
      <c r="H248" s="226"/>
      <c r="I248" s="21">
        <f>(SUMPRODUCT(I$9:I$229,Nutrients!$DZ$8:$DZ$228)+(IF($A$7=Nutrients!$B$8,Nutrients!$DZ$8,Nutrients!$DZ$9)*I$7)+(((IF($A$8=Nutrients!$B$79,Nutrients!$DZ$79,(IF($A$8=Nutrients!$B$77,Nutrients!$DZ$77,Nutrients!$DZ$78)))))*I$8))/2000/2.2046</f>
        <v>1068.9911800783441</v>
      </c>
      <c r="J248" s="21">
        <f>(SUMPRODUCT(J$9:J$229,Nutrients!$DZ$8:$DZ$228)+(IF($A$7=Nutrients!$B$8,Nutrients!$DZ$8,Nutrients!$DZ$9)*J$7)+(((IF($A$8=Nutrients!$B$79,Nutrients!$DZ$79,(IF($A$8=Nutrients!$B$77,Nutrients!$DZ$77,Nutrients!$DZ$78)))))*J$8))/2000/2.2046</f>
        <v>1086.4978644107787</v>
      </c>
      <c r="K248" s="21">
        <f>(SUMPRODUCT(K$9:K$229,Nutrients!$DZ$8:$DZ$228)+(IF($A$7=Nutrients!$B$8,Nutrients!$DZ$8,Nutrients!$DZ$9)*K$7)+(((IF($A$8=Nutrients!$B$79,Nutrients!$DZ$79,(IF($A$8=Nutrients!$B$77,Nutrients!$DZ$77,Nutrients!$DZ$78)))))*K$8))/2000/2.2046</f>
        <v>1101.7782144390544</v>
      </c>
      <c r="L248" s="21">
        <f>(SUMPRODUCT(L$9:L$229,Nutrients!$DZ$8:$DZ$228)+(IF($A$7=Nutrients!$B$8,Nutrients!$DZ$8,Nutrients!$DZ$9)*L$7)+(((IF($A$8=Nutrients!$B$79,Nutrients!$DZ$79,(IF($A$8=Nutrients!$B$77,Nutrients!$DZ$77,Nutrients!$DZ$78)))))*L$8))/2000/2.2046</f>
        <v>1115.1289874318397</v>
      </c>
      <c r="M248" s="21">
        <f>(SUMPRODUCT(M$9:M$229,Nutrients!$DZ$8:$DZ$228)+(IF($A$7=Nutrients!$B$8,Nutrients!$DZ$8,Nutrients!$DZ$9)*M$7)+(((IF($A$8=Nutrients!$B$79,Nutrients!$DZ$79,(IF($A$8=Nutrients!$B$77,Nutrients!$DZ$77,Nutrients!$DZ$78)))))*M$8))/2000/2.2046</f>
        <v>1124.2325687885493</v>
      </c>
      <c r="N248" s="21">
        <f>(SUMPRODUCT(N$9:N$229,Nutrients!$DZ$8:$DZ$228)+(IF($A$7=Nutrients!$B$8,Nutrients!$DZ$8,Nutrients!$DZ$9)*N$7)+(((IF($A$8=Nutrients!$B$79,Nutrients!$DZ$79,(IF($A$8=Nutrients!$B$77,Nutrients!$DZ$77,Nutrients!$DZ$78)))))*N$8))/2000/2.2046</f>
        <v>1184.8954698199086</v>
      </c>
      <c r="O248" s="234"/>
      <c r="P248" s="21">
        <f>(SUMPRODUCT(P$9:P$229,Nutrients!$DZ$8:$DZ$228)+(IF($A$7=Nutrients!$B$8,Nutrients!$DZ$8,Nutrients!$DZ$9)*P$7)+(((IF($A$8=Nutrients!$B$79,Nutrients!$DZ$79,(IF($A$8=Nutrients!$B$77,Nutrients!$DZ$77,Nutrients!$DZ$78)))))*P$8))/2000/2.2046</f>
        <v>1012.6455525473967</v>
      </c>
      <c r="Q248" s="21">
        <f>(SUMPRODUCT(Q$9:Q$229,Nutrients!$DZ$8:$DZ$228)+(IF($A$7=Nutrients!$B$8,Nutrients!$DZ$8,Nutrients!$DZ$9)*Q$7)+(((IF($A$8=Nutrients!$B$79,Nutrients!$DZ$79,(IF($A$8=Nutrients!$B$77,Nutrients!$DZ$77,Nutrients!$DZ$78)))))*Q$8))/2000/2.2046</f>
        <v>1030.0580392630297</v>
      </c>
      <c r="R248" s="21">
        <f>(SUMPRODUCT(R$9:R$229,Nutrients!$DZ$8:$DZ$228)+(IF($A$7=Nutrients!$B$8,Nutrients!$DZ$8,Nutrients!$DZ$9)*R$7)+(((IF($A$8=Nutrients!$B$79,Nutrients!$DZ$79,(IF($A$8=Nutrients!$B$77,Nutrients!$DZ$77,Nutrients!$DZ$78)))))*R$8))/2000/2.2046</f>
        <v>1045.2213908430708</v>
      </c>
      <c r="S248" s="21">
        <f>(SUMPRODUCT(S$9:S$229,Nutrients!$DZ$8:$DZ$228)+(IF($A$7=Nutrients!$B$8,Nutrients!$DZ$8,Nutrients!$DZ$9)*S$7)+(((IF($A$8=Nutrients!$B$79,Nutrients!$DZ$79,(IF($A$8=Nutrients!$B$77,Nutrients!$DZ$77,Nutrients!$DZ$78)))))*S$8))/2000/2.2046</f>
        <v>1058.6225656661193</v>
      </c>
      <c r="T248" s="21">
        <f>(SUMPRODUCT(T$9:T$229,Nutrients!$DZ$8:$DZ$228)+(IF($A$7=Nutrients!$B$8,Nutrients!$DZ$8,Nutrients!$DZ$9)*T$7)+(((IF($A$8=Nutrients!$B$79,Nutrients!$DZ$79,(IF($A$8=Nutrients!$B$77,Nutrients!$DZ$77,Nutrients!$DZ$78)))))*T$8))/2000/2.2046</f>
        <v>1067.691198716248</v>
      </c>
      <c r="U248" s="21">
        <f>(SUMPRODUCT(U$9:U$229,Nutrients!$DZ$8:$DZ$228)+(IF($A$7=Nutrients!$B$8,Nutrients!$DZ$8,Nutrients!$DZ$9)*U$7)+(((IF($A$8=Nutrients!$B$79,Nutrients!$DZ$79,(IF($A$8=Nutrients!$B$77,Nutrients!$DZ$77,Nutrients!$DZ$78)))))*U$8))/2000/2.2046</f>
        <v>1184.8954698199086</v>
      </c>
      <c r="W248" s="21">
        <f>(SUMPRODUCT(W$9:W$229,Nutrients!$DZ$8:$DZ$228)+(IF($A$7=Nutrients!$B$8,Nutrients!$DZ$8,Nutrients!$DZ$9)*W$7)+(((IF($A$8=Nutrients!$B$79,Nutrients!$DZ$79,(IF($A$8=Nutrients!$B$77,Nutrients!$DZ$77,Nutrients!$DZ$78)))))*W$8))/2000/2.2046</f>
        <v>956.32068512421426</v>
      </c>
      <c r="X248" s="21">
        <f>(SUMPRODUCT(X$9:X$229,Nutrients!$DZ$8:$DZ$228)+(IF($A$7=Nutrients!$B$8,Nutrients!$DZ$8,Nutrients!$DZ$9)*X$7)+(((IF($A$8=Nutrients!$B$79,Nutrients!$DZ$79,(IF($A$8=Nutrients!$B$77,Nutrients!$DZ$77,Nutrients!$DZ$78)))))*X$8))/2000/2.2046</f>
        <v>973.63289987446649</v>
      </c>
      <c r="Y248" s="21">
        <f>(SUMPRODUCT(Y$9:Y$229,Nutrients!$DZ$8:$DZ$228)+(IF($A$7=Nutrients!$B$8,Nutrients!$DZ$8,Nutrients!$DZ$9)*Y$7)+(((IF($A$8=Nutrients!$B$79,Nutrients!$DZ$79,(IF($A$8=Nutrients!$B$77,Nutrients!$DZ$77,Nutrients!$DZ$78)))))*Y$8))/2000/2.2046</f>
        <v>988.84741266872163</v>
      </c>
      <c r="Z248" s="21">
        <f>(SUMPRODUCT(Z$9:Z$229,Nutrients!$DZ$8:$DZ$228)+(IF($A$7=Nutrients!$B$8,Nutrients!$DZ$8,Nutrients!$DZ$9)*Z$7)+(((IF($A$8=Nutrients!$B$79,Nutrients!$DZ$79,(IF($A$8=Nutrients!$B$77,Nutrients!$DZ$77,Nutrients!$DZ$78)))))*Z$8))/2000/2.2046</f>
        <v>1002.1193565890605</v>
      </c>
      <c r="AA248" s="21">
        <f>(SUMPRODUCT(AA$9:AA$229,Nutrients!$DZ$8:$DZ$228)+(IF($A$7=Nutrients!$B$8,Nutrients!$DZ$8,Nutrients!$DZ$9)*AA$7)+(((IF($A$8=Nutrients!$B$79,Nutrients!$DZ$79,(IF($A$8=Nutrients!$B$77,Nutrients!$DZ$77,Nutrients!$DZ$78)))))*AA$8))/2000/2.2046</f>
        <v>1011.1796674144463</v>
      </c>
      <c r="AB248" s="21">
        <f>(SUMPRODUCT(AB$9:AB$229,Nutrients!$DZ$8:$DZ$228)+(IF($A$7=Nutrients!$B$8,Nutrients!$DZ$8,Nutrients!$DZ$9)*AB$7)+(((IF($A$8=Nutrients!$B$79,Nutrients!$DZ$79,(IF($A$8=Nutrients!$B$77,Nutrients!$DZ$77,Nutrients!$DZ$78)))))*AB$8))/2000/2.2046</f>
        <v>1184.8954698199086</v>
      </c>
      <c r="AD248" s="21">
        <f>(SUMPRODUCT(AD$9:AD$229,Nutrients!$DZ$8:$DZ$228)+(IF($A$7=Nutrients!$B$8,Nutrients!$DZ$8,Nutrients!$DZ$9)*AD$7)+(((IF($A$8=Nutrients!$B$79,Nutrients!$DZ$79,(IF($A$8=Nutrients!$B$77,Nutrients!$DZ$77,Nutrients!$DZ$78)))))*AD$8))/2000/2.2046</f>
        <v>899.99550834362651</v>
      </c>
      <c r="AE248" s="21">
        <f>(SUMPRODUCT(AE$9:AE$229,Nutrients!$DZ$8:$DZ$228)+(IF($A$7=Nutrients!$B$8,Nutrients!$DZ$8,Nutrients!$DZ$9)*AE$7)+(((IF($A$8=Nutrients!$B$79,Nutrients!$DZ$79,(IF($A$8=Nutrients!$B$77,Nutrients!$DZ$77,Nutrients!$DZ$78)))))*AE$8))/2000/2.2046</f>
        <v>917.3458158982213</v>
      </c>
      <c r="AF248" s="21">
        <f>(SUMPRODUCT(AF$9:AF$229,Nutrients!$DZ$8:$DZ$228)+(IF($A$7=Nutrients!$B$8,Nutrients!$DZ$8,Nutrients!$DZ$9)*AF$7)+(((IF($A$8=Nutrients!$B$79,Nutrients!$DZ$79,(IF($A$8=Nutrients!$B$77,Nutrients!$DZ$77,Nutrients!$DZ$78)))))*AF$8))/2000/2.2046</f>
        <v>932.41168232122584</v>
      </c>
      <c r="AG248" s="21">
        <f>(SUMPRODUCT(AG$9:AG$229,Nutrients!$DZ$8:$DZ$228)+(IF($A$7=Nutrients!$B$8,Nutrients!$DZ$8,Nutrients!$DZ$9)*AG$7)+(((IF($A$8=Nutrients!$B$79,Nutrients!$DZ$79,(IF($A$8=Nutrients!$B$77,Nutrients!$DZ$77,Nutrients!$DZ$78)))))*AG$8))/2000/2.2046</f>
        <v>945.64949215750767</v>
      </c>
      <c r="AH248" s="21">
        <f>(SUMPRODUCT(AH$9:AH$229,Nutrients!$DZ$8:$DZ$228)+(IF($A$7=Nutrients!$B$8,Nutrients!$DZ$8,Nutrients!$DZ$9)*AH$7)+(((IF($A$8=Nutrients!$B$79,Nutrients!$DZ$79,(IF($A$8=Nutrients!$B$77,Nutrients!$DZ$77,Nutrients!$DZ$78)))))*AH$8))/2000/2.2046</f>
        <v>953.98988510335744</v>
      </c>
      <c r="AI248" s="21">
        <f>(SUMPRODUCT(AI$9:AI$229,Nutrients!$DZ$8:$DZ$228)+(IF($A$7=Nutrients!$B$8,Nutrients!$DZ$8,Nutrients!$DZ$9)*AI$7)+(((IF($A$8=Nutrients!$B$79,Nutrients!$DZ$79,(IF($A$8=Nutrients!$B$77,Nutrients!$DZ$77,Nutrients!$DZ$78)))))*AI$8))/2000/2.2046</f>
        <v>1184.8954698199086</v>
      </c>
      <c r="AK248" s="21">
        <f>(SUMPRODUCT(AK$9:AK$229,Nutrients!$DZ$8:$DZ$228)+(IF($A$7=Nutrients!$B$8,Nutrients!$DZ$8,Nutrients!$DZ$9)*AK$7)+(((IF($A$8=Nutrients!$B$79,Nutrients!$DZ$79,(IF($A$8=Nutrients!$B$77,Nutrients!$DZ$77,Nutrients!$DZ$78)))))*AK$8))/2000/2.2046</f>
        <v>843.06273653262019</v>
      </c>
      <c r="AL248" s="21">
        <f>(SUMPRODUCT(AL$9:AL$229,Nutrients!$DZ$8:$DZ$228)+(IF($A$7=Nutrients!$B$8,Nutrients!$DZ$8,Nutrients!$DZ$9)*AL$7)+(((IF($A$8=Nutrients!$B$79,Nutrients!$DZ$79,(IF($A$8=Nutrients!$B$77,Nutrients!$DZ$77,Nutrients!$DZ$78)))))*AL$8))/2000/2.2046</f>
        <v>861.02840064818213</v>
      </c>
      <c r="AM248" s="21">
        <f>(SUMPRODUCT(AM$9:AM$229,Nutrients!$DZ$8:$DZ$228)+(IF($A$7=Nutrients!$B$8,Nutrients!$DZ$8,Nutrients!$DZ$9)*AM$7)+(((IF($A$8=Nutrients!$B$79,Nutrients!$DZ$79,(IF($A$8=Nutrients!$B$77,Nutrients!$DZ$77,Nutrients!$DZ$78)))))*AM$8))/2000/2.2046</f>
        <v>876.04801481573986</v>
      </c>
      <c r="AN248" s="21">
        <f>(SUMPRODUCT(AN$9:AN$229,Nutrients!$DZ$8:$DZ$228)+(IF($A$7=Nutrients!$B$8,Nutrients!$DZ$8,Nutrients!$DZ$9)*AN$7)+(((IF($A$8=Nutrients!$B$79,Nutrients!$DZ$79,(IF($A$8=Nutrients!$B$77,Nutrients!$DZ$77,Nutrients!$DZ$78)))))*AN$8))/2000/2.2046</f>
        <v>888.68158330077972</v>
      </c>
      <c r="AO248" s="21">
        <f>(SUMPRODUCT(AO$9:AO$229,Nutrients!$DZ$8:$DZ$228)+(IF($A$7=Nutrients!$B$8,Nutrients!$DZ$8,Nutrients!$DZ$9)*AO$7)+(((IF($A$8=Nutrients!$B$79,Nutrients!$DZ$79,(IF($A$8=Nutrients!$B$77,Nutrients!$DZ$77,Nutrients!$DZ$78)))))*AO$8))/2000/2.2046</f>
        <v>896.47224750983901</v>
      </c>
      <c r="AP248" s="21">
        <f>(SUMPRODUCT(AP$9:AP$229,Nutrients!$DZ$8:$DZ$228)+(IF($A$7=Nutrients!$B$8,Nutrients!$DZ$8,Nutrients!$DZ$9)*AP$7)+(((IF($A$8=Nutrients!$B$79,Nutrients!$DZ$79,(IF($A$8=Nutrients!$B$77,Nutrients!$DZ$77,Nutrients!$DZ$78)))))*AP$8))/2000/2.2046</f>
        <v>1184.8954698199086</v>
      </c>
      <c r="AR248" s="21">
        <f>(SUMPRODUCT(AR$9:AR$229,Nutrients!$DZ$8:$DZ$228)+(IF($A$7=Nutrients!$B$8,Nutrients!$DZ$8,Nutrients!$DZ$9)*AR$7)+(((IF($A$8=Nutrients!$B$79,Nutrients!$DZ$79,(IF($A$8=Nutrients!$B$77,Nutrients!$DZ$77,Nutrients!$DZ$78)))))*AR$8))/2000/2.2046</f>
        <v>786.97529518179874</v>
      </c>
      <c r="AS248" s="21">
        <f>(SUMPRODUCT(AS$9:AS$229,Nutrients!$DZ$8:$DZ$228)+(IF($A$7=Nutrients!$B$8,Nutrients!$DZ$8,Nutrients!$DZ$9)*AS$7)+(((IF($A$8=Nutrients!$B$79,Nutrients!$DZ$79,(IF($A$8=Nutrients!$B$77,Nutrients!$DZ$77,Nutrients!$DZ$78)))))*AS$8))/2000/2.2046</f>
        <v>804.69768392173921</v>
      </c>
      <c r="AT248" s="21">
        <f>(SUMPRODUCT(AT$9:AT$229,Nutrients!$DZ$8:$DZ$228)+(IF($A$7=Nutrients!$B$8,Nutrients!$DZ$8,Nutrients!$DZ$9)*AT$7)+(((IF($A$8=Nutrients!$B$79,Nutrients!$DZ$79,(IF($A$8=Nutrients!$B$77,Nutrients!$DZ$77,Nutrients!$DZ$78)))))*AT$8))/2000/2.2046</f>
        <v>819.63866252246589</v>
      </c>
      <c r="AU248" s="21">
        <f>(SUMPRODUCT(AU$9:AU$229,Nutrients!$DZ$8:$DZ$228)+(IF($A$7=Nutrients!$B$8,Nutrients!$DZ$8,Nutrients!$DZ$9)*AU$7)+(((IF($A$8=Nutrients!$B$79,Nutrients!$DZ$79,(IF($A$8=Nutrients!$B$77,Nutrients!$DZ$77,Nutrients!$DZ$78)))))*AU$8))/2000/2.2046</f>
        <v>831.20739576890014</v>
      </c>
      <c r="AV248" s="21">
        <f>(SUMPRODUCT(AV$9:AV$229,Nutrients!$DZ$8:$DZ$228)+(IF($A$7=Nutrients!$B$8,Nutrients!$DZ$8,Nutrients!$DZ$9)*AV$7)+(((IF($A$8=Nutrients!$B$79,Nutrients!$DZ$79,(IF($A$8=Nutrients!$B$77,Nutrients!$DZ$77,Nutrients!$DZ$78)))))*AV$8))/2000/2.2046</f>
        <v>838.94994025425387</v>
      </c>
      <c r="AW248" s="21">
        <f>(SUMPRODUCT(AW$9:AW$229,Nutrients!$DZ$8:$DZ$228)+(IF($A$7=Nutrients!$B$8,Nutrients!$DZ$8,Nutrients!$DZ$9)*AW$7)+(((IF($A$8=Nutrients!$B$79,Nutrients!$DZ$79,(IF($A$8=Nutrients!$B$77,Nutrients!$DZ$77,Nutrients!$DZ$78)))))*AW$8))/2000/2.2046</f>
        <v>1184.8954698199086</v>
      </c>
    </row>
    <row r="249" spans="1:56" x14ac:dyDescent="0.25">
      <c r="A249" s="5" t="s">
        <v>61</v>
      </c>
      <c r="B249" s="21">
        <f>(SUMPRODUCT(B$9:B$229,Nutrients!$D$8:$D$228)+(IF($A$7=Nutrients!$B$8,Nutrients!$D$8,Nutrients!$D$9)*B$7)+(((IF($A$8=Nutrients!$B$79,Nutrients!$D$79,(IF($A$8=Nutrients!$B$77,Nutrients!$D$77,Nutrients!$D$78)))))*B$8))/2000/2.2046</f>
        <v>1555.1808706013358</v>
      </c>
      <c r="C249" s="21">
        <f>(SUMPRODUCT(C$9:C$229,Nutrients!$D$8:$D$228)+(IF($A$7=Nutrients!$B$8,Nutrients!$D$8,Nutrients!$D$9)*C$7)+(((IF($A$8=Nutrients!$B$79,Nutrients!$D$79,(IF($A$8=Nutrients!$B$77,Nutrients!$D$77,Nutrients!$D$78)))))*C$8))/2000/2.2046</f>
        <v>1553.9515936192374</v>
      </c>
      <c r="D249" s="21">
        <f>(SUMPRODUCT(D$9:D$229,Nutrients!$D$8:$D$228)+(IF($A$7=Nutrients!$B$8,Nutrients!$D$8,Nutrients!$D$9)*D$7)+(((IF($A$8=Nutrients!$B$79,Nutrients!$D$79,(IF($A$8=Nutrients!$B$77,Nutrients!$D$77,Nutrients!$D$78)))))*D$8))/2000/2.2046</f>
        <v>1553.0837722463236</v>
      </c>
      <c r="E249" s="21">
        <f>(SUMPRODUCT(E$9:E$229,Nutrients!$D$8:$D$228)+(IF($A$7=Nutrients!$B$8,Nutrients!$D$8,Nutrients!$D$9)*E$7)+(((IF($A$8=Nutrients!$B$79,Nutrients!$D$79,(IF($A$8=Nutrients!$B$77,Nutrients!$D$77,Nutrients!$D$78)))))*E$8))/2000/2.2046</f>
        <v>1552.6251876342408</v>
      </c>
      <c r="F249" s="21">
        <f>(SUMPRODUCT(F$9:F$229,Nutrients!$D$8:$D$228)+(IF($A$7=Nutrients!$B$8,Nutrients!$D$8,Nutrients!$D$9)*F$7)+(((IF($A$8=Nutrients!$B$79,Nutrients!$D$79,(IF($A$8=Nutrients!$B$77,Nutrients!$D$77,Nutrients!$D$78)))))*F$8))/2000/2.2046</f>
        <v>1552.7788119489294</v>
      </c>
      <c r="G249" s="21">
        <f>(SUMPRODUCT(G$9:G$229,Nutrients!$D$8:$D$228)+(IF($A$7=Nutrients!$B$8,Nutrients!$D$8,Nutrients!$D$9)*G$7)+(((IF($A$8=Nutrients!$B$79,Nutrients!$D$79,(IF($A$8=Nutrients!$B$77,Nutrients!$D$77,Nutrients!$D$78)))))*G$8))/2000/2.2046</f>
        <v>1552.432918309064</v>
      </c>
      <c r="H249" s="226"/>
      <c r="I249" s="21">
        <f>(SUMPRODUCT(I$9:I$229,Nutrients!$D$8:$D$228)+(IF($A$7=Nutrients!$B$8,Nutrients!$D$8,Nutrients!$D$9)*I$7)+(((IF($A$8=Nutrients!$B$79,Nutrients!$D$79,(IF($A$8=Nutrients!$B$77,Nutrients!$D$77,Nutrients!$D$78)))))*I$8))/2000/2.2046</f>
        <v>1561.2345478967395</v>
      </c>
      <c r="J249" s="21">
        <f>(SUMPRODUCT(J$9:J$229,Nutrients!$D$8:$D$228)+(IF($A$7=Nutrients!$B$8,Nutrients!$D$8,Nutrients!$D$9)*J$7)+(((IF($A$8=Nutrients!$B$79,Nutrients!$D$79,(IF($A$8=Nutrients!$B$77,Nutrients!$D$77,Nutrients!$D$78)))))*J$8))/2000/2.2046</f>
        <v>1560.0209334009417</v>
      </c>
      <c r="K249" s="21">
        <f>(SUMPRODUCT(K$9:K$229,Nutrients!$D$8:$D$228)+(IF($A$7=Nutrients!$B$8,Nutrients!$D$8,Nutrients!$D$9)*K$7)+(((IF($A$8=Nutrients!$B$79,Nutrients!$D$79,(IF($A$8=Nutrients!$B$77,Nutrients!$D$77,Nutrients!$D$78)))))*K$8))/2000/2.2046</f>
        <v>1559.184938107679</v>
      </c>
      <c r="L249" s="21">
        <f>(SUMPRODUCT(L$9:L$229,Nutrients!$D$8:$D$228)+(IF($A$7=Nutrients!$B$8,Nutrients!$D$8,Nutrients!$D$9)*L$7)+(((IF($A$8=Nutrients!$B$79,Nutrients!$D$79,(IF($A$8=Nutrients!$B$77,Nutrients!$D$77,Nutrients!$D$78)))))*L$8))/2000/2.2046</f>
        <v>1559.0763305351957</v>
      </c>
      <c r="M249" s="21">
        <f>(SUMPRODUCT(M$9:M$229,Nutrients!$D$8:$D$228)+(IF($A$7=Nutrients!$B$8,Nutrients!$D$8,Nutrients!$D$9)*M$7)+(((IF($A$8=Nutrients!$B$79,Nutrients!$D$79,(IF($A$8=Nutrients!$B$77,Nutrients!$D$77,Nutrients!$D$78)))))*M$8))/2000/2.2046</f>
        <v>1559.1238945863504</v>
      </c>
      <c r="N249" s="21">
        <f>(SUMPRODUCT(N$9:N$229,Nutrients!$D$8:$D$228)+(IF($A$7=Nutrients!$B$8,Nutrients!$D$8,Nutrients!$D$9)*N$7)+(((IF($A$8=Nutrients!$B$79,Nutrients!$D$79,(IF($A$8=Nutrients!$B$77,Nutrients!$D$77,Nutrients!$D$78)))))*N$8))/2000/2.2046</f>
        <v>1552.432918309064</v>
      </c>
      <c r="O249" s="234"/>
      <c r="P249" s="21">
        <f>(SUMPRODUCT(P$9:P$229,Nutrients!$D$8:$D$228)+(IF($A$7=Nutrients!$B$8,Nutrients!$D$8,Nutrients!$D$9)*P$7)+(((IF($A$8=Nutrients!$B$79,Nutrients!$D$79,(IF($A$8=Nutrients!$B$77,Nutrients!$D$77,Nutrients!$D$78)))))*P$8))/2000/2.2046</f>
        <v>1567.3190592372055</v>
      </c>
      <c r="Q249" s="21">
        <f>(SUMPRODUCT(Q$9:Q$229,Nutrients!$D$8:$D$228)+(IF($A$7=Nutrients!$B$8,Nutrients!$D$8,Nutrients!$D$9)*Q$7)+(((IF($A$8=Nutrients!$B$79,Nutrients!$D$79,(IF($A$8=Nutrients!$B$77,Nutrients!$D$77,Nutrients!$D$78)))))*Q$8))/2000/2.2046</f>
        <v>1566.1413447470138</v>
      </c>
      <c r="R249" s="21">
        <f>(SUMPRODUCT(R$9:R$229,Nutrients!$D$8:$D$228)+(IF($A$7=Nutrients!$B$8,Nutrients!$D$8,Nutrients!$D$9)*R$7)+(((IF($A$8=Nutrients!$B$79,Nutrients!$D$79,(IF($A$8=Nutrients!$B$77,Nutrients!$D$77,Nutrients!$D$78)))))*R$8))/2000/2.2046</f>
        <v>1565.3200093020728</v>
      </c>
      <c r="S249" s="21">
        <f>(SUMPRODUCT(S$9:S$229,Nutrients!$D$8:$D$228)+(IF($A$7=Nutrients!$B$8,Nutrients!$D$8,Nutrients!$D$9)*S$7)+(((IF($A$8=Nutrients!$B$79,Nutrients!$D$79,(IF($A$8=Nutrients!$B$77,Nutrients!$D$77,Nutrients!$D$78)))))*S$8))/2000/2.2046</f>
        <v>1565.1987771134739</v>
      </c>
      <c r="T249" s="21">
        <f>(SUMPRODUCT(T$9:T$229,Nutrients!$D$8:$D$228)+(IF($A$7=Nutrients!$B$8,Nutrients!$D$8,Nutrients!$D$9)*T$7)+(((IF($A$8=Nutrients!$B$79,Nutrients!$D$79,(IF($A$8=Nutrients!$B$77,Nutrients!$D$77,Nutrients!$D$78)))))*T$8))/2000/2.2046</f>
        <v>1565.355458138637</v>
      </c>
      <c r="U249" s="21">
        <f>(SUMPRODUCT(U$9:U$229,Nutrients!$D$8:$D$228)+(IF($A$7=Nutrients!$B$8,Nutrients!$D$8,Nutrients!$D$9)*U$7)+(((IF($A$8=Nutrients!$B$79,Nutrients!$D$79,(IF($A$8=Nutrients!$B$77,Nutrients!$D$77,Nutrients!$D$78)))))*U$8))/2000/2.2046</f>
        <v>1552.432918309064</v>
      </c>
      <c r="W249" s="21">
        <f>(SUMPRODUCT(W$9:W$229,Nutrients!$D$8:$D$228)+(IF($A$7=Nutrients!$B$8,Nutrients!$D$8,Nutrients!$D$9)*W$7)+(((IF($A$8=Nutrients!$B$79,Nutrients!$D$79,(IF($A$8=Nutrients!$B$77,Nutrients!$D$77,Nutrients!$D$78)))))*W$8))/2000/2.2046</f>
        <v>1573.4291171616594</v>
      </c>
      <c r="X249" s="21">
        <f>(SUMPRODUCT(X$9:X$229,Nutrients!$D$8:$D$228)+(IF($A$7=Nutrients!$B$8,Nutrients!$D$8,Nutrients!$D$9)*X$7)+(((IF($A$8=Nutrients!$B$79,Nutrients!$D$79,(IF($A$8=Nutrients!$B$77,Nutrients!$D$77,Nutrients!$D$78)))))*X$8))/2000/2.2046</f>
        <v>1572.279018557015</v>
      </c>
      <c r="Y249" s="21">
        <f>(SUMPRODUCT(Y$9:Y$229,Nutrients!$D$8:$D$228)+(IF($A$7=Nutrients!$B$8,Nutrients!$D$8,Nutrients!$D$9)*Y$7)+(((IF($A$8=Nutrients!$B$79,Nutrients!$D$79,(IF($A$8=Nutrients!$B$77,Nutrients!$D$77,Nutrients!$D$78)))))*Y$8))/2000/2.2046</f>
        <v>1571.4496130138305</v>
      </c>
      <c r="Z249" s="21">
        <f>(SUMPRODUCT(Z$9:Z$229,Nutrients!$D$8:$D$228)+(IF($A$7=Nutrients!$B$8,Nutrients!$D$8,Nutrients!$D$9)*Z$7)+(((IF($A$8=Nutrients!$B$79,Nutrients!$D$79,(IF($A$8=Nutrients!$B$77,Nutrients!$D$77,Nutrients!$D$78)))))*Z$8))/2000/2.2046</f>
        <v>1571.3917254587134</v>
      </c>
      <c r="AA249" s="21">
        <f>(SUMPRODUCT(AA$9:AA$229,Nutrients!$D$8:$D$228)+(IF($A$7=Nutrients!$B$8,Nutrients!$D$8,Nutrients!$D$9)*AA$7)+(((IF($A$8=Nutrients!$B$79,Nutrients!$D$79,(IF($A$8=Nutrients!$B$77,Nutrients!$D$77,Nutrients!$D$78)))))*AA$8))/2000/2.2046</f>
        <v>1571.6454351171278</v>
      </c>
      <c r="AB249" s="21">
        <f>(SUMPRODUCT(AB$9:AB$229,Nutrients!$D$8:$D$228)+(IF($A$7=Nutrients!$B$8,Nutrients!$D$8,Nutrients!$D$9)*AB$7)+(((IF($A$8=Nutrients!$B$79,Nutrients!$D$79,(IF($A$8=Nutrients!$B$77,Nutrients!$D$77,Nutrients!$D$78)))))*AB$8))/2000/2.2046</f>
        <v>1552.432918309064</v>
      </c>
      <c r="AD249" s="21">
        <f>(SUMPRODUCT(AD$9:AD$229,Nutrients!$D$8:$D$228)+(IF($A$7=Nutrients!$B$8,Nutrients!$D$8,Nutrients!$D$9)*AD$7)+(((IF($A$8=Nutrients!$B$79,Nutrients!$D$79,(IF($A$8=Nutrients!$B$77,Nutrients!$D$77,Nutrients!$D$78)))))*AD$8))/2000/2.2046</f>
        <v>1579.520488594301</v>
      </c>
      <c r="AE249" s="21">
        <f>(SUMPRODUCT(AE$9:AE$229,Nutrients!$D$8:$D$228)+(IF($A$7=Nutrients!$B$8,Nutrients!$D$8,Nutrients!$D$9)*AE$7)+(((IF($A$8=Nutrients!$B$79,Nutrients!$D$79,(IF($A$8=Nutrients!$B$77,Nutrients!$D$77,Nutrients!$D$78)))))*AE$8))/2000/2.2046</f>
        <v>1578.358487589232</v>
      </c>
      <c r="AF249" s="21">
        <f>(SUMPRODUCT(AF$9:AF$229,Nutrients!$D$8:$D$228)+(IF($A$7=Nutrients!$B$8,Nutrients!$D$8,Nutrients!$D$9)*AF$7)+(((IF($A$8=Nutrients!$B$79,Nutrients!$D$79,(IF($A$8=Nutrients!$B$77,Nutrients!$D$77,Nutrients!$D$78)))))*AF$8))/2000/2.2046</f>
        <v>1577.5544619986429</v>
      </c>
      <c r="AG249" s="21">
        <f>(SUMPRODUCT(AG$9:AG$229,Nutrients!$D$8:$D$228)+(IF($A$7=Nutrients!$B$8,Nutrients!$D$8,Nutrients!$D$9)*AG$7)+(((IF($A$8=Nutrients!$B$79,Nutrients!$D$79,(IF($A$8=Nutrients!$B$77,Nutrients!$D$77,Nutrients!$D$78)))))*AG$8))/2000/2.2046</f>
        <v>1577.6413902063882</v>
      </c>
      <c r="AH249" s="21">
        <f>(SUMPRODUCT(AH$9:AH$229,Nutrients!$D$8:$D$228)+(IF($A$7=Nutrients!$B$8,Nutrients!$D$8,Nutrients!$D$9)*AH$7)+(((IF($A$8=Nutrients!$B$79,Nutrients!$D$79,(IF($A$8=Nutrients!$B$77,Nutrients!$D$77,Nutrients!$D$78)))))*AH$8))/2000/2.2046</f>
        <v>1577.0054252801551</v>
      </c>
      <c r="AI249" s="21">
        <f>(SUMPRODUCT(AI$9:AI$229,Nutrients!$D$8:$D$228)+(IF($A$7=Nutrients!$B$8,Nutrients!$D$8,Nutrients!$D$9)*AI$7)+(((IF($A$8=Nutrients!$B$79,Nutrients!$D$79,(IF($A$8=Nutrients!$B$77,Nutrients!$D$77,Nutrients!$D$78)))))*AI$8))/2000/2.2046</f>
        <v>1552.432918309064</v>
      </c>
      <c r="AK249" s="21">
        <f>(SUMPRODUCT(AK$9:AK$229,Nutrients!$D$8:$D$228)+(IF($A$7=Nutrients!$B$8,Nutrients!$D$8,Nutrients!$D$9)*AK$7)+(((IF($A$8=Nutrients!$B$79,Nutrients!$D$79,(IF($A$8=Nutrients!$B$77,Nutrients!$D$77,Nutrients!$D$78)))))*AK$8))/2000/2.2046</f>
        <v>1585.774789068327</v>
      </c>
      <c r="AL249" s="21">
        <f>(SUMPRODUCT(AL$9:AL$229,Nutrients!$D$8:$D$228)+(IF($A$7=Nutrients!$B$8,Nutrients!$D$8,Nutrients!$D$9)*AL$7)+(((IF($A$8=Nutrients!$B$79,Nutrients!$D$79,(IF($A$8=Nutrients!$B$77,Nutrients!$D$77,Nutrients!$D$78)))))*AL$8))/2000/2.2046</f>
        <v>1584.4664931119019</v>
      </c>
      <c r="AM249" s="21">
        <f>(SUMPRODUCT(AM$9:AM$229,Nutrients!$D$8:$D$228)+(IF($A$7=Nutrients!$B$8,Nutrients!$D$8,Nutrients!$D$9)*AM$7)+(((IF($A$8=Nutrients!$B$79,Nutrients!$D$79,(IF($A$8=Nutrients!$B$77,Nutrients!$D$77,Nutrients!$D$78)))))*AM$8))/2000/2.2046</f>
        <v>1583.8037158332297</v>
      </c>
      <c r="AN249" s="21">
        <f>(SUMPRODUCT(AN$9:AN$229,Nutrients!$D$8:$D$228)+(IF($A$7=Nutrients!$B$8,Nutrients!$D$8,Nutrients!$D$9)*AN$7)+(((IF($A$8=Nutrients!$B$79,Nutrients!$D$79,(IF($A$8=Nutrients!$B$77,Nutrients!$D$77,Nutrients!$D$78)))))*AN$8))/2000/2.2046</f>
        <v>1583.2032208441665</v>
      </c>
      <c r="AO249" s="21">
        <f>(SUMPRODUCT(AO$9:AO$229,Nutrients!$D$8:$D$228)+(IF($A$7=Nutrients!$B$8,Nutrients!$D$8,Nutrients!$D$9)*AO$7)+(((IF($A$8=Nutrients!$B$79,Nutrients!$D$79,(IF($A$8=Nutrients!$B$77,Nutrients!$D$77,Nutrients!$D$78)))))*AO$8))/2000/2.2046</f>
        <v>1581.9302598317404</v>
      </c>
      <c r="AP249" s="21">
        <f>(SUMPRODUCT(AP$9:AP$229,Nutrients!$D$8:$D$228)+(IF($A$7=Nutrients!$B$8,Nutrients!$D$8,Nutrients!$D$9)*AP$7)+(((IF($A$8=Nutrients!$B$79,Nutrients!$D$79,(IF($A$8=Nutrients!$B$77,Nutrients!$D$77,Nutrients!$D$78)))))*AP$8))/2000/2.2046</f>
        <v>1552.432918309064</v>
      </c>
      <c r="AR249" s="21">
        <f>(SUMPRODUCT(AR$9:AR$229,Nutrients!$D$8:$D$228)+(IF($A$7=Nutrients!$B$8,Nutrients!$D$8,Nutrients!$D$9)*AR$7)+(((IF($A$8=Nutrients!$B$79,Nutrients!$D$79,(IF($A$8=Nutrients!$B$77,Nutrients!$D$77,Nutrients!$D$78)))))*AR$8))/2000/2.2046</f>
        <v>1591.815464321191</v>
      </c>
      <c r="AS249" s="21">
        <f>(SUMPRODUCT(AS$9:AS$229,Nutrients!$D$8:$D$228)+(IF($A$7=Nutrients!$B$8,Nutrients!$D$8,Nutrients!$D$9)*AS$7)+(((IF($A$8=Nutrients!$B$79,Nutrients!$D$79,(IF($A$8=Nutrients!$B$77,Nutrients!$D$77,Nutrients!$D$78)))))*AS$8))/2000/2.2046</f>
        <v>1590.5594336761435</v>
      </c>
      <c r="AT249" s="21">
        <f>(SUMPRODUCT(AT$9:AT$229,Nutrients!$D$8:$D$228)+(IF($A$7=Nutrients!$B$8,Nutrients!$D$8,Nutrients!$D$9)*AT$7)+(((IF($A$8=Nutrients!$B$79,Nutrients!$D$79,(IF($A$8=Nutrients!$B$77,Nutrients!$D$77,Nutrients!$D$78)))))*AT$8))/2000/2.2046</f>
        <v>1590.0409546267654</v>
      </c>
      <c r="AU249" s="21">
        <f>(SUMPRODUCT(AU$9:AU$229,Nutrients!$D$8:$D$228)+(IF($A$7=Nutrients!$B$8,Nutrients!$D$8,Nutrients!$D$9)*AU$7)+(((IF($A$8=Nutrients!$B$79,Nutrients!$D$79,(IF($A$8=Nutrients!$B$77,Nutrients!$D$77,Nutrients!$D$78)))))*AU$8))/2000/2.2046</f>
        <v>1588.1056464879086</v>
      </c>
      <c r="AV249" s="21">
        <f>(SUMPRODUCT(AV$9:AV$229,Nutrients!$D$8:$D$228)+(IF($A$7=Nutrients!$B$8,Nutrients!$D$8,Nutrients!$D$9)*AV$7)+(((IF($A$8=Nutrients!$B$79,Nutrients!$D$79,(IF($A$8=Nutrients!$B$77,Nutrients!$D$77,Nutrients!$D$78)))))*AV$8))/2000/2.2046</f>
        <v>1586.8491869099125</v>
      </c>
      <c r="AW249" s="21">
        <f>(SUMPRODUCT(AW$9:AW$229,Nutrients!$D$8:$D$228)+(IF($A$7=Nutrients!$B$8,Nutrients!$D$8,Nutrients!$D$9)*AW$7)+(((IF($A$8=Nutrients!$B$79,Nutrients!$D$79,(IF($A$8=Nutrients!$B$77,Nutrients!$D$77,Nutrients!$D$78)))))*AW$8))/2000/2.2046</f>
        <v>1552.432918309064</v>
      </c>
    </row>
    <row r="250" spans="1:56" x14ac:dyDescent="0.25">
      <c r="A250" s="5" t="s">
        <v>30</v>
      </c>
      <c r="B250" s="21">
        <f>(SUMPRODUCT(B$9:B$229,Nutrients!$F$8:$F$228)+(IF($A$7=Nutrients!$B$8,Nutrients!$F$8,Nutrients!$F$9)*B$7)+(((IF($A$8=Nutrients!$B$79,Nutrients!$F$79,(IF($A$8=Nutrients!$B$77,Nutrients!$F$77,Nutrients!$F$78)))))*B$8))/2000/2.2046</f>
        <v>1147.6611237487589</v>
      </c>
      <c r="C250" s="21">
        <f>(SUMPRODUCT(C$9:C$229,Nutrients!$F$8:$F$228)+(IF($A$7=Nutrients!$B$8,Nutrients!$F$8,Nutrients!$F$9)*C$7)+(((IF($A$8=Nutrients!$B$79,Nutrients!$F$79,(IF($A$8=Nutrients!$B$77,Nutrients!$F$77,Nutrients!$F$78)))))*C$8))/2000/2.2046</f>
        <v>1156.7030647238309</v>
      </c>
      <c r="D250" s="21">
        <f>(SUMPRODUCT(D$9:D$229,Nutrients!$F$8:$F$228)+(IF($A$7=Nutrients!$B$8,Nutrients!$F$8,Nutrients!$F$9)*D$7)+(((IF($A$8=Nutrients!$B$79,Nutrients!$F$79,(IF($A$8=Nutrients!$B$77,Nutrients!$F$77,Nutrients!$F$78)))))*D$8))/2000/2.2046</f>
        <v>1164.6580809828592</v>
      </c>
      <c r="E250" s="21">
        <f>(SUMPRODUCT(E$9:E$229,Nutrients!$F$8:$F$228)+(IF($A$7=Nutrients!$B$8,Nutrients!$F$8,Nutrients!$F$9)*E$7)+(((IF($A$8=Nutrients!$B$79,Nutrients!$F$79,(IF($A$8=Nutrients!$B$77,Nutrients!$F$77,Nutrients!$F$78)))))*E$8))/2000/2.2046</f>
        <v>1171.5486817586343</v>
      </c>
      <c r="F250" s="21">
        <f>(SUMPRODUCT(F$9:F$229,Nutrients!$F$8:$F$228)+(IF($A$7=Nutrients!$B$8,Nutrients!$F$8,Nutrients!$F$9)*F$7)+(((IF($A$8=Nutrients!$B$79,Nutrients!$F$79,(IF($A$8=Nutrients!$B$77,Nutrients!$F$77,Nutrients!$F$78)))))*F$8))/2000/2.2046</f>
        <v>1176.5212854349088</v>
      </c>
      <c r="G250" s="21">
        <f>(SUMPRODUCT(G$9:G$229,Nutrients!$F$8:$F$228)+(IF($A$7=Nutrients!$B$8,Nutrients!$F$8,Nutrients!$F$9)*G$7)+(((IF($A$8=Nutrients!$B$79,Nutrients!$F$79,(IF($A$8=Nutrients!$B$77,Nutrients!$F$77,Nutrients!$F$78)))))*G$8))/2000/2.2046</f>
        <v>1178.7128237398681</v>
      </c>
      <c r="H250" s="226"/>
      <c r="I250" s="21">
        <f>(SUMPRODUCT(I$9:I$229,Nutrients!$F$8:$F$228)+(IF($A$7=Nutrients!$B$8,Nutrients!$F$8,Nutrients!$F$9)*I$7)+(((IF($A$8=Nutrients!$B$79,Nutrients!$F$79,(IF($A$8=Nutrients!$B$77,Nutrients!$F$77,Nutrients!$F$78)))))*I$8))/2000/2.2046</f>
        <v>1138.3008703643573</v>
      </c>
      <c r="J250" s="21">
        <f>(SUMPRODUCT(J$9:J$229,Nutrients!$F$8:$F$228)+(IF($A$7=Nutrients!$B$8,Nutrients!$F$8,Nutrients!$F$9)*J$7)+(((IF($A$8=Nutrients!$B$79,Nutrients!$F$79,(IF($A$8=Nutrients!$B$77,Nutrients!$F$77,Nutrients!$F$78)))))*J$8))/2000/2.2046</f>
        <v>1147.2473377044885</v>
      </c>
      <c r="K250" s="21">
        <f>(SUMPRODUCT(K$9:K$229,Nutrients!$F$8:$F$228)+(IF($A$7=Nutrients!$B$8,Nutrients!$F$8,Nutrients!$F$9)*K$7)+(((IF($A$8=Nutrients!$B$79,Nutrients!$F$79,(IF($A$8=Nutrients!$B$77,Nutrients!$F$77,Nutrients!$F$78)))))*K$8))/2000/2.2046</f>
        <v>1155.137803019436</v>
      </c>
      <c r="L250" s="21">
        <f>(SUMPRODUCT(L$9:L$229,Nutrients!$F$8:$F$228)+(IF($A$7=Nutrients!$B$8,Nutrients!$F$8,Nutrients!$F$9)*L$7)+(((IF($A$8=Nutrients!$B$79,Nutrients!$F$79,(IF($A$8=Nutrients!$B$77,Nutrients!$F$77,Nutrients!$F$78)))))*L$8))/2000/2.2046</f>
        <v>1162.2435337903835</v>
      </c>
      <c r="M250" s="21">
        <f>(SUMPRODUCT(M$9:M$229,Nutrients!$F$8:$F$228)+(IF($A$7=Nutrients!$B$8,Nutrients!$F$8,Nutrients!$F$9)*M$7)+(((IF($A$8=Nutrients!$B$79,Nutrients!$F$79,(IF($A$8=Nutrients!$B$77,Nutrients!$F$77,Nutrients!$F$78)))))*M$8))/2000/2.2046</f>
        <v>1167.1373103865972</v>
      </c>
      <c r="N250" s="21">
        <f>(SUMPRODUCT(N$9:N$229,Nutrients!$F$8:$F$228)+(IF($A$7=Nutrients!$B$8,Nutrients!$F$8,Nutrients!$F$9)*N$7)+(((IF($A$8=Nutrients!$B$79,Nutrients!$F$79,(IF($A$8=Nutrients!$B$77,Nutrients!$F$77,Nutrients!$F$78)))))*N$8))/2000/2.2046</f>
        <v>1178.7128237398681</v>
      </c>
      <c r="O250" s="234"/>
      <c r="P250" s="21">
        <f>(SUMPRODUCT(P$9:P$229,Nutrients!$F$8:$F$228)+(IF($A$7=Nutrients!$B$8,Nutrients!$F$8,Nutrients!$F$9)*P$7)+(((IF($A$8=Nutrients!$B$79,Nutrients!$F$79,(IF($A$8=Nutrients!$B$77,Nutrients!$F$77,Nutrients!$F$78)))))*P$8))/2000/2.2046</f>
        <v>1128.8245847655332</v>
      </c>
      <c r="Q250" s="21">
        <f>(SUMPRODUCT(Q$9:Q$229,Nutrients!$F$8:$F$228)+(IF($A$7=Nutrients!$B$8,Nutrients!$F$8,Nutrients!$F$9)*Q$7)+(((IF($A$8=Nutrients!$B$79,Nutrients!$F$79,(IF($A$8=Nutrients!$B$77,Nutrients!$F$77,Nutrients!$F$78)))))*Q$8))/2000/2.2046</f>
        <v>1137.7331217942392</v>
      </c>
      <c r="R250" s="21">
        <f>(SUMPRODUCT(R$9:R$229,Nutrients!$F$8:$F$228)+(IF($A$7=Nutrients!$B$8,Nutrients!$F$8,Nutrients!$F$9)*R$7)+(((IF($A$8=Nutrients!$B$79,Nutrients!$F$79,(IF($A$8=Nutrients!$B$77,Nutrients!$F$77,Nutrients!$F$78)))))*R$8))/2000/2.2046</f>
        <v>1145.5663353035231</v>
      </c>
      <c r="S250" s="21">
        <f>(SUMPRODUCT(S$9:S$229,Nutrients!$F$8:$F$228)+(IF($A$7=Nutrients!$B$8,Nutrients!$F$8,Nutrients!$F$9)*S$7)+(((IF($A$8=Nutrients!$B$79,Nutrients!$F$79,(IF($A$8=Nutrients!$B$77,Nutrients!$F$77,Nutrients!$F$78)))))*S$8))/2000/2.2046</f>
        <v>1152.6945850635498</v>
      </c>
      <c r="T250" s="21">
        <f>(SUMPRODUCT(T$9:T$229,Nutrients!$F$8:$F$228)+(IF($A$7=Nutrients!$B$8,Nutrients!$F$8,Nutrients!$F$9)*T$7)+(((IF($A$8=Nutrients!$B$79,Nutrients!$F$79,(IF($A$8=Nutrients!$B$77,Nutrients!$F$77,Nutrients!$F$78)))))*T$8))/2000/2.2046</f>
        <v>1157.6058680223171</v>
      </c>
      <c r="U250" s="21">
        <f>(SUMPRODUCT(U$9:U$229,Nutrients!$F$8:$F$228)+(IF($A$7=Nutrients!$B$8,Nutrients!$F$8,Nutrients!$F$9)*U$7)+(((IF($A$8=Nutrients!$B$79,Nutrients!$F$79,(IF($A$8=Nutrients!$B$77,Nutrients!$F$77,Nutrients!$F$78)))))*U$8))/2000/2.2046</f>
        <v>1178.7128237398681</v>
      </c>
      <c r="W250" s="21">
        <f>(SUMPRODUCT(W$9:W$229,Nutrients!$F$8:$F$228)+(IF($A$7=Nutrients!$B$8,Nutrients!$F$8,Nutrients!$F$9)*W$7)+(((IF($A$8=Nutrients!$B$79,Nutrients!$F$79,(IF($A$8=Nutrients!$B$77,Nutrients!$F$77,Nutrients!$F$78)))))*W$8))/2000/2.2046</f>
        <v>1119.3683736487694</v>
      </c>
      <c r="X250" s="21">
        <f>(SUMPRODUCT(X$9:X$229,Nutrients!$F$8:$F$228)+(IF($A$7=Nutrients!$B$8,Nutrients!$F$8,Nutrients!$F$9)*X$7)+(((IF($A$8=Nutrients!$B$79,Nutrients!$F$79,(IF($A$8=Nutrients!$B$77,Nutrients!$F$77,Nutrients!$F$78)))))*X$8))/2000/2.2046</f>
        <v>1128.2329882690331</v>
      </c>
      <c r="Y250" s="21">
        <f>(SUMPRODUCT(Y$9:Y$229,Nutrients!$F$8:$F$228)+(IF($A$7=Nutrients!$B$8,Nutrients!$F$8,Nutrients!$F$9)*Y$7)+(((IF($A$8=Nutrients!$B$79,Nutrients!$F$79,(IF($A$8=Nutrients!$B$77,Nutrients!$F$77,Nutrients!$F$78)))))*Y$8))/2000/2.2046</f>
        <v>1136.090598301676</v>
      </c>
      <c r="Z250" s="21">
        <f>(SUMPRODUCT(Z$9:Z$229,Nutrients!$F$8:$F$228)+(IF($A$7=Nutrients!$B$8,Nutrients!$F$8,Nutrients!$F$9)*Z$7)+(((IF($A$8=Nutrients!$B$79,Nutrients!$F$79,(IF($A$8=Nutrients!$B$77,Nutrients!$F$77,Nutrients!$F$78)))))*Z$8))/2000/2.2046</f>
        <v>1143.1713972397924</v>
      </c>
      <c r="AA250" s="21">
        <f>(SUMPRODUCT(AA$9:AA$229,Nutrients!$F$8:$F$228)+(IF($A$7=Nutrients!$B$8,Nutrients!$F$8,Nutrients!$F$9)*AA$7)+(((IF($A$8=Nutrients!$B$79,Nutrients!$F$79,(IF($A$8=Nutrients!$B$77,Nutrients!$F$77,Nutrients!$F$78)))))*AA$8))/2000/2.2046</f>
        <v>1148.110291058945</v>
      </c>
      <c r="AB250" s="21">
        <f>(SUMPRODUCT(AB$9:AB$229,Nutrients!$F$8:$F$228)+(IF($A$7=Nutrients!$B$8,Nutrients!$F$8,Nutrients!$F$9)*AB$7)+(((IF($A$8=Nutrients!$B$79,Nutrients!$F$79,(IF($A$8=Nutrients!$B$77,Nutrients!$F$77,Nutrients!$F$78)))))*AB$8))/2000/2.2046</f>
        <v>1178.7128237398681</v>
      </c>
      <c r="AD250" s="21">
        <f>(SUMPRODUCT(AD$9:AD$229,Nutrients!$F$8:$F$228)+(IF($A$7=Nutrients!$B$8,Nutrients!$F$8,Nutrients!$F$9)*AD$7)+(((IF($A$8=Nutrients!$B$79,Nutrients!$F$79,(IF($A$8=Nutrients!$B$77,Nutrients!$F$77,Nutrients!$F$78)))))*AD$8))/2000/2.2046</f>
        <v>1109.9054338559818</v>
      </c>
      <c r="AE250" s="21">
        <f>(SUMPRODUCT(AE$9:AE$229,Nutrients!$F$8:$F$228)+(IF($A$7=Nutrients!$B$8,Nutrients!$F$8,Nutrients!$F$9)*AE$7)+(((IF($A$8=Nutrients!$B$79,Nutrients!$F$79,(IF($A$8=Nutrients!$B$77,Nutrients!$F$77,Nutrients!$F$78)))))*AE$8))/2000/2.2046</f>
        <v>1118.7862386950869</v>
      </c>
      <c r="AF250" s="21">
        <f>(SUMPRODUCT(AF$9:AF$229,Nutrients!$F$8:$F$228)+(IF($A$7=Nutrients!$B$8,Nutrients!$F$8,Nutrients!$F$9)*AF$7)+(((IF($A$8=Nutrients!$B$79,Nutrients!$F$79,(IF($A$8=Nutrients!$B$77,Nutrients!$F$77,Nutrients!$F$78)))))*AF$8))/2000/2.2046</f>
        <v>1126.5735368422334</v>
      </c>
      <c r="AG250" s="21">
        <f>(SUMPRODUCT(AG$9:AG$229,Nutrients!$F$8:$F$228)+(IF($A$7=Nutrients!$B$8,Nutrients!$F$8,Nutrients!$F$9)*AG$7)+(((IF($A$8=Nutrients!$B$79,Nutrients!$F$79,(IF($A$8=Nutrients!$B$77,Nutrients!$F$77,Nutrients!$F$78)))))*AG$8))/2000/2.2046</f>
        <v>1133.683943416288</v>
      </c>
      <c r="AH250" s="21">
        <f>(SUMPRODUCT(AH$9:AH$229,Nutrients!$F$8:$F$228)+(IF($A$7=Nutrients!$B$8,Nutrients!$F$8,Nutrients!$F$9)*AH$7)+(((IF($A$8=Nutrients!$B$79,Nutrients!$F$79,(IF($A$8=Nutrients!$B$77,Nutrients!$F$77,Nutrients!$F$78)))))*AH$8))/2000/2.2046</f>
        <v>1137.9255222188276</v>
      </c>
      <c r="AI250" s="21">
        <f>(SUMPRODUCT(AI$9:AI$229,Nutrients!$F$8:$F$228)+(IF($A$7=Nutrients!$B$8,Nutrients!$F$8,Nutrients!$F$9)*AI$7)+(((IF($A$8=Nutrients!$B$79,Nutrients!$F$79,(IF($A$8=Nutrients!$B$77,Nutrients!$F$77,Nutrients!$F$78)))))*AI$8))/2000/2.2046</f>
        <v>1178.7128237398681</v>
      </c>
      <c r="AK250" s="21">
        <f>(SUMPRODUCT(AK$9:AK$229,Nutrients!$F$8:$F$228)+(IF($A$7=Nutrients!$B$8,Nutrients!$F$8,Nutrients!$F$9)*AK$7)+(((IF($A$8=Nutrients!$B$79,Nutrients!$F$79,(IF($A$8=Nutrients!$B$77,Nutrients!$F$77,Nutrients!$F$78)))))*AK$8))/2000/2.2046</f>
        <v>1100.1747990872072</v>
      </c>
      <c r="AL250" s="21">
        <f>(SUMPRODUCT(AL$9:AL$229,Nutrients!$F$8:$F$228)+(IF($A$7=Nutrients!$B$8,Nutrients!$F$8,Nutrients!$F$9)*AL$7)+(((IF($A$8=Nutrients!$B$79,Nutrients!$F$79,(IF($A$8=Nutrients!$B$77,Nutrients!$F$77,Nutrients!$F$78)))))*AL$8))/2000/2.2046</f>
        <v>1109.3332918744932</v>
      </c>
      <c r="AM250" s="21">
        <f>(SUMPRODUCT(AM$9:AM$229,Nutrients!$F$8:$F$228)+(IF($A$7=Nutrients!$B$8,Nutrients!$F$8,Nutrients!$F$9)*AM$7)+(((IF($A$8=Nutrients!$B$79,Nutrients!$F$79,(IF($A$8=Nutrients!$B$77,Nutrients!$F$77,Nutrients!$F$78)))))*AM$8))/2000/2.2046</f>
        <v>1117.1427290696408</v>
      </c>
      <c r="AN250" s="21">
        <f>(SUMPRODUCT(AN$9:AN$229,Nutrients!$F$8:$F$228)+(IF($A$7=Nutrients!$B$8,Nutrients!$F$8,Nutrients!$F$9)*AN$7)+(((IF($A$8=Nutrients!$B$79,Nutrients!$F$79,(IF($A$8=Nutrients!$B$77,Nutrients!$F$77,Nutrients!$F$78)))))*AN$8))/2000/2.2046</f>
        <v>1123.6887766047048</v>
      </c>
      <c r="AO250" s="21">
        <f>(SUMPRODUCT(AO$9:AO$229,Nutrients!$F$8:$F$228)+(IF($A$7=Nutrients!$B$8,Nutrients!$F$8,Nutrients!$F$9)*AO$7)+(((IF($A$8=Nutrients!$B$79,Nutrients!$F$79,(IF($A$8=Nutrients!$B$77,Nutrients!$F$77,Nutrients!$F$78)))))*AO$8))/2000/2.2046</f>
        <v>1127.4124370913266</v>
      </c>
      <c r="AP250" s="21">
        <f>(SUMPRODUCT(AP$9:AP$229,Nutrients!$F$8:$F$228)+(IF($A$7=Nutrients!$B$8,Nutrients!$F$8,Nutrients!$F$9)*AP$7)+(((IF($A$8=Nutrients!$B$79,Nutrients!$F$79,(IF($A$8=Nutrients!$B$77,Nutrients!$F$77,Nutrients!$F$78)))))*AP$8))/2000/2.2046</f>
        <v>1178.7128237398681</v>
      </c>
      <c r="AR250" s="21">
        <f>(SUMPRODUCT(AR$9:AR$229,Nutrients!$F$8:$F$228)+(IF($A$7=Nutrients!$B$8,Nutrients!$F$8,Nutrients!$F$9)*AR$7)+(((IF($A$8=Nutrients!$B$79,Nutrients!$F$79,(IF($A$8=Nutrients!$B$77,Nutrients!$F$77,Nutrients!$F$78)))))*AR$8))/2000/2.2046</f>
        <v>1090.8211858473737</v>
      </c>
      <c r="AS250" s="21">
        <f>(SUMPRODUCT(AS$9:AS$229,Nutrients!$F$8:$F$228)+(IF($A$7=Nutrients!$B$8,Nutrients!$F$8,Nutrients!$F$9)*AS$7)+(((IF($A$8=Nutrients!$B$79,Nutrients!$F$79,(IF($A$8=Nutrients!$B$77,Nutrients!$F$77,Nutrients!$F$78)))))*AS$8))/2000/2.2046</f>
        <v>1099.8679406387109</v>
      </c>
      <c r="AT250" s="21">
        <f>(SUMPRODUCT(AT$9:AT$229,Nutrients!$F$8:$F$228)+(IF($A$7=Nutrients!$B$8,Nutrients!$F$8,Nutrients!$F$9)*AT$7)+(((IF($A$8=Nutrients!$B$79,Nutrients!$F$79,(IF($A$8=Nutrients!$B$77,Nutrients!$F$77,Nutrients!$F$78)))))*AT$8))/2000/2.2046</f>
        <v>1107.683270647736</v>
      </c>
      <c r="AU250" s="21">
        <f>(SUMPRODUCT(AU$9:AU$229,Nutrients!$F$8:$F$228)+(IF($A$7=Nutrients!$B$8,Nutrients!$F$8,Nutrients!$F$9)*AU$7)+(((IF($A$8=Nutrients!$B$79,Nutrients!$F$79,(IF($A$8=Nutrients!$B$77,Nutrients!$F$77,Nutrients!$F$78)))))*AU$8))/2000/2.2046</f>
        <v>1113.1910563757922</v>
      </c>
      <c r="AV250" s="21">
        <f>(SUMPRODUCT(AV$9:AV$229,Nutrients!$F$8:$F$228)+(IF($A$7=Nutrients!$B$8,Nutrients!$F$8,Nutrients!$F$9)*AV$7)+(((IF($A$8=Nutrients!$B$79,Nutrients!$F$79,(IF($A$8=Nutrients!$B$77,Nutrients!$F$77,Nutrients!$F$78)))))*AV$8))/2000/2.2046</f>
        <v>1116.8949328041945</v>
      </c>
      <c r="AW250" s="21">
        <f>(SUMPRODUCT(AW$9:AW$229,Nutrients!$F$8:$F$228)+(IF($A$7=Nutrients!$B$8,Nutrients!$F$8,Nutrients!$F$9)*AW$7)+(((IF($A$8=Nutrients!$B$79,Nutrients!$F$79,(IF($A$8=Nutrients!$B$77,Nutrients!$F$77,Nutrients!$F$78)))))*AW$8))/2000/2.2046</f>
        <v>1178.7128237398681</v>
      </c>
      <c r="AY250" s="21"/>
      <c r="AZ250" s="21"/>
      <c r="BA250" s="21"/>
      <c r="BB250" s="21"/>
      <c r="BC250" s="21"/>
      <c r="BD250" s="21"/>
    </row>
    <row r="251" spans="1:56" x14ac:dyDescent="0.25">
      <c r="A251" s="38" t="s">
        <v>29</v>
      </c>
      <c r="B251" s="21">
        <f t="shared" ref="B251:G251" si="34">B250*2.20462</f>
        <v>2530.1566666389886</v>
      </c>
      <c r="C251" s="21">
        <f t="shared" si="34"/>
        <v>2550.090710551452</v>
      </c>
      <c r="D251" s="21">
        <f t="shared" si="34"/>
        <v>2567.6284984964309</v>
      </c>
      <c r="E251" s="21">
        <f t="shared" si="34"/>
        <v>2582.8196547787202</v>
      </c>
      <c r="F251" s="21">
        <f t="shared" si="34"/>
        <v>2593.7823562955086</v>
      </c>
      <c r="G251" s="21">
        <f t="shared" si="34"/>
        <v>2598.6138654733877</v>
      </c>
      <c r="H251" s="226"/>
      <c r="I251" s="21">
        <f t="shared" ref="I251:N251" si="35">I250*2.20462</f>
        <v>2509.520864822669</v>
      </c>
      <c r="J251" s="21">
        <f t="shared" si="35"/>
        <v>2529.2444256500689</v>
      </c>
      <c r="K251" s="21">
        <f t="shared" si="35"/>
        <v>2546.6399032927088</v>
      </c>
      <c r="L251" s="21">
        <f t="shared" si="35"/>
        <v>2562.3053394649551</v>
      </c>
      <c r="M251" s="21">
        <f t="shared" si="35"/>
        <v>2573.0942572244994</v>
      </c>
      <c r="N251" s="21">
        <f t="shared" si="35"/>
        <v>2598.6138654733877</v>
      </c>
      <c r="O251" s="234"/>
      <c r="P251" s="21">
        <f t="shared" ref="P251:U251" si="36">P250*2.20462</f>
        <v>2488.6292560657898</v>
      </c>
      <c r="Q251" s="21">
        <f t="shared" si="36"/>
        <v>2508.2691949700152</v>
      </c>
      <c r="R251" s="21">
        <f t="shared" si="36"/>
        <v>2525.538454136853</v>
      </c>
      <c r="S251" s="21">
        <f t="shared" si="36"/>
        <v>2541.2535361228029</v>
      </c>
      <c r="T251" s="21">
        <f t="shared" si="36"/>
        <v>2552.0810487593603</v>
      </c>
      <c r="U251" s="21">
        <f t="shared" si="36"/>
        <v>2598.6138654733877</v>
      </c>
      <c r="W251" s="21">
        <f t="shared" ref="W251:AB251" si="37">W250*2.20462</f>
        <v>2467.7819039135497</v>
      </c>
      <c r="X251" s="21">
        <f t="shared" si="37"/>
        <v>2487.3250105976754</v>
      </c>
      <c r="Y251" s="21">
        <f t="shared" si="37"/>
        <v>2504.6480548278405</v>
      </c>
      <c r="Z251" s="21">
        <f t="shared" si="37"/>
        <v>2520.2585257827909</v>
      </c>
      <c r="AA251" s="21">
        <f t="shared" si="37"/>
        <v>2531.146909874371</v>
      </c>
      <c r="AB251" s="21">
        <f t="shared" si="37"/>
        <v>2598.6138654733877</v>
      </c>
      <c r="AD251" s="21">
        <f t="shared" ref="AD251:AI251" si="38">AD250*2.20462</f>
        <v>2446.9197175875743</v>
      </c>
      <c r="AE251" s="21">
        <f t="shared" si="38"/>
        <v>2466.4985175519623</v>
      </c>
      <c r="AF251" s="21">
        <f t="shared" si="38"/>
        <v>2483.6665507931243</v>
      </c>
      <c r="AG251" s="21">
        <f t="shared" si="38"/>
        <v>2499.3422953344166</v>
      </c>
      <c r="AH251" s="21">
        <f t="shared" si="38"/>
        <v>2508.6933647940714</v>
      </c>
      <c r="AI251" s="21">
        <f t="shared" si="38"/>
        <v>2598.6138654733877</v>
      </c>
      <c r="AK251" s="21">
        <f t="shared" ref="AK251:AP251" si="39">AK250*2.20462</f>
        <v>2425.4673655636389</v>
      </c>
      <c r="AL251" s="21">
        <f t="shared" si="39"/>
        <v>2445.6583619323451</v>
      </c>
      <c r="AM251" s="21">
        <f t="shared" si="39"/>
        <v>2462.8752033615115</v>
      </c>
      <c r="AN251" s="21">
        <f t="shared" si="39"/>
        <v>2477.3067506782641</v>
      </c>
      <c r="AO251" s="21">
        <f t="shared" si="39"/>
        <v>2485.5160070602801</v>
      </c>
      <c r="AP251" s="21">
        <f t="shared" si="39"/>
        <v>2598.6138654733877</v>
      </c>
      <c r="AR251" s="21">
        <f t="shared" ref="AR251:AW251" si="40">AR250*2.20462</f>
        <v>2404.8462027428368</v>
      </c>
      <c r="AS251" s="21">
        <f t="shared" si="40"/>
        <v>2424.7908592909148</v>
      </c>
      <c r="AT251" s="21">
        <f t="shared" si="40"/>
        <v>2442.0206921354115</v>
      </c>
      <c r="AU251" s="21">
        <f t="shared" si="40"/>
        <v>2454.1632667071985</v>
      </c>
      <c r="AV251" s="21">
        <f t="shared" si="40"/>
        <v>2462.328906758783</v>
      </c>
      <c r="AW251" s="21">
        <f t="shared" si="40"/>
        <v>2598.6138654733877</v>
      </c>
    </row>
    <row r="252" spans="1:56" x14ac:dyDescent="0.25">
      <c r="A252" s="38" t="s">
        <v>390</v>
      </c>
      <c r="B252" s="23">
        <f t="shared" ref="B252:G252" si="41">IF(B$5="","",B236/(B250*2.2046)*10000)</f>
        <v>4.6879417735209223</v>
      </c>
      <c r="C252" s="23">
        <f t="shared" si="41"/>
        <v>4.112530627795425</v>
      </c>
      <c r="D252" s="23">
        <f t="shared" si="41"/>
        <v>3.6100787872368278</v>
      </c>
      <c r="E252" s="23">
        <f t="shared" si="41"/>
        <v>3.198349183249853</v>
      </c>
      <c r="F252" s="23">
        <f t="shared" si="41"/>
        <v>2.9175053758993537</v>
      </c>
      <c r="G252" s="23">
        <f t="shared" si="41"/>
        <v>2.7645509469935567</v>
      </c>
      <c r="H252" s="227"/>
      <c r="I252" s="23">
        <f t="shared" ref="I252:N252" si="42">IF(I$5="","",I236/(I250*2.2046)*10000)</f>
        <v>4.6876292282993317</v>
      </c>
      <c r="J252" s="23">
        <f t="shared" si="42"/>
        <v>4.1136367192162773</v>
      </c>
      <c r="K252" s="23">
        <f t="shared" si="42"/>
        <v>3.6119772218664936</v>
      </c>
      <c r="L252" s="23">
        <f t="shared" si="42"/>
        <v>3.1993805697761695</v>
      </c>
      <c r="M252" s="23">
        <f t="shared" si="42"/>
        <v>2.9162692451654051</v>
      </c>
      <c r="N252" s="23">
        <f t="shared" si="42"/>
        <v>2.7645509469935567</v>
      </c>
      <c r="O252" s="198"/>
      <c r="P252" s="23">
        <f t="shared" ref="P252:U252" si="43">IF(P$5="","",P236/(P250*2.2046)*10000)</f>
        <v>4.6953412772039087</v>
      </c>
      <c r="Q252" s="23">
        <f t="shared" si="43"/>
        <v>4.1201642687805293</v>
      </c>
      <c r="R252" s="23">
        <f t="shared" si="43"/>
        <v>3.6182054319171923</v>
      </c>
      <c r="S252" s="23">
        <f t="shared" si="43"/>
        <v>3.2003549059849501</v>
      </c>
      <c r="T252" s="23">
        <f t="shared" si="43"/>
        <v>2.9178841638144175</v>
      </c>
      <c r="U252" s="23">
        <f t="shared" si="43"/>
        <v>2.7645509469935567</v>
      </c>
      <c r="W252" s="23">
        <f t="shared" ref="W252:AB252" si="44">IF(W$5="","",W236/(W250*2.2046)*10000)</f>
        <v>4.7030956283565173</v>
      </c>
      <c r="X252" s="23">
        <f t="shared" si="44"/>
        <v>4.1267659886320667</v>
      </c>
      <c r="Y252" s="23">
        <f t="shared" si="44"/>
        <v>3.6187899572754394</v>
      </c>
      <c r="Z252" s="23">
        <f t="shared" si="44"/>
        <v>3.2026568018800989</v>
      </c>
      <c r="AA252" s="23">
        <f t="shared" si="44"/>
        <v>2.9197957967968442</v>
      </c>
      <c r="AB252" s="23">
        <f t="shared" si="44"/>
        <v>2.7645509469935567</v>
      </c>
      <c r="AD252" s="23">
        <f t="shared" ref="AD252:AI252" si="45">IF(AD$5="","",AD236/(AD250*2.2046)*10000)</f>
        <v>4.7105732898755868</v>
      </c>
      <c r="AE252" s="23">
        <f t="shared" si="45"/>
        <v>4.127849214898708</v>
      </c>
      <c r="AF252" s="23">
        <f t="shared" si="45"/>
        <v>3.6208172278997499</v>
      </c>
      <c r="AG252" s="23">
        <f t="shared" si="45"/>
        <v>3.2048045883077343</v>
      </c>
      <c r="AH252" s="23">
        <f t="shared" si="45"/>
        <v>2.9214421897972596</v>
      </c>
      <c r="AI252" s="23">
        <f t="shared" si="45"/>
        <v>2.7645509469935567</v>
      </c>
      <c r="AK252" s="23">
        <f t="shared" ref="AK252:AP252" si="46">IF(AK$5="","",AK236/(AK250*2.2046)*10000)</f>
        <v>4.7413972624790093</v>
      </c>
      <c r="AL252" s="23">
        <f t="shared" si="46"/>
        <v>4.13055439006685</v>
      </c>
      <c r="AM252" s="23">
        <f t="shared" si="46"/>
        <v>3.6232320184333999</v>
      </c>
      <c r="AN252" s="23">
        <f t="shared" si="46"/>
        <v>3.2068039885110302</v>
      </c>
      <c r="AO252" s="23">
        <f t="shared" si="46"/>
        <v>2.9232554067118448</v>
      </c>
      <c r="AP252" s="23">
        <f t="shared" si="46"/>
        <v>2.7645509469935567</v>
      </c>
      <c r="AR252" s="23">
        <f t="shared" ref="AR252:AW252" si="47">IF(AR$5="","",AR236/(AR250*2.2046)*10000)</f>
        <v>4.7404708904541275</v>
      </c>
      <c r="AS252" s="23">
        <f t="shared" si="47"/>
        <v>4.1333866723249004</v>
      </c>
      <c r="AT252" s="23">
        <f t="shared" si="47"/>
        <v>3.6268488482340908</v>
      </c>
      <c r="AU252" s="23">
        <f t="shared" si="47"/>
        <v>3.2094750024953997</v>
      </c>
      <c r="AV252" s="23">
        <f t="shared" si="47"/>
        <v>2.9251417808624738</v>
      </c>
      <c r="AW252" s="23">
        <f t="shared" si="47"/>
        <v>2.7645509469935567</v>
      </c>
    </row>
    <row r="253" spans="1:56" x14ac:dyDescent="0.25">
      <c r="A253" s="51" t="s">
        <v>155</v>
      </c>
      <c r="B253" s="22">
        <f>(SUMPRODUCT(B$9:B$229,Nutrients!$I$8:$I$228)+(IF($A$7=Nutrients!$B$8,Nutrients!$I$8,Nutrients!$I$9)*B$7)+(((IF($A$8=Nutrients!$B$79,Nutrients!$I$79,(IF($A$8=Nutrients!$B$77,Nutrients!$I$77,Nutrients!$I$78)))))*B$8))/2000</f>
        <v>20.659564989031431</v>
      </c>
      <c r="C253" s="22">
        <f>(SUMPRODUCT(C$9:C$229,Nutrients!$I$8:$I$228)+(IF($A$7=Nutrients!$B$8,Nutrients!$I$8,Nutrients!$I$9)*C$7)+(((IF($A$8=Nutrients!$B$79,Nutrients!$I$79,(IF($A$8=Nutrients!$B$77,Nutrients!$I$77,Nutrients!$I$78)))))*C$8))/2000</f>
        <v>18.474711094282195</v>
      </c>
      <c r="D253" s="22">
        <f>(SUMPRODUCT(D$9:D$229,Nutrients!$I$8:$I$228)+(IF($A$7=Nutrients!$B$8,Nutrients!$I$8,Nutrients!$I$9)*D$7)+(((IF($A$8=Nutrients!$B$79,Nutrients!$I$79,(IF($A$8=Nutrients!$B$77,Nutrients!$I$77,Nutrients!$I$78)))))*D$8))/2000</f>
        <v>16.586100942528425</v>
      </c>
      <c r="E253" s="22">
        <f>(SUMPRODUCT(E$9:E$229,Nutrients!$I$8:$I$228)+(IF($A$7=Nutrients!$B$8,Nutrients!$I$8,Nutrients!$I$9)*E$7)+(((IF($A$8=Nutrients!$B$79,Nutrients!$I$79,(IF($A$8=Nutrients!$B$77,Nutrients!$I$77,Nutrients!$I$78)))))*E$8))/2000</f>
        <v>15.008183180211585</v>
      </c>
      <c r="F253" s="22">
        <f>(SUMPRODUCT(F$9:F$229,Nutrients!$I$8:$I$228)+(IF($A$7=Nutrients!$B$8,Nutrients!$I$8,Nutrients!$I$9)*F$7)+(((IF($A$8=Nutrients!$B$79,Nutrients!$I$79,(IF($A$8=Nutrients!$B$77,Nutrients!$I$77,Nutrients!$I$78)))))*F$8))/2000</f>
        <v>13.947394938936968</v>
      </c>
      <c r="G253" s="22">
        <f>(SUMPRODUCT(G$9:G$229,Nutrients!$I$8:$I$228)+(IF($A$7=Nutrients!$B$8,Nutrients!$I$8,Nutrients!$I$9)*G$7)+(((IF($A$8=Nutrients!$B$79,Nutrients!$I$79,(IF($A$8=Nutrients!$B$77,Nutrients!$I$77,Nutrients!$I$78)))))*G$8))/2000</f>
        <v>13.408858132850794</v>
      </c>
      <c r="H253" s="228"/>
      <c r="I253" s="22">
        <f>(SUMPRODUCT(I$9:I$229,Nutrients!$I$8:$I$228)+(IF($A$7=Nutrients!$B$8,Nutrients!$I$8,Nutrients!$I$9)*I$7)+(((IF($A$8=Nutrients!$B$79,Nutrients!$I$79,(IF($A$8=Nutrients!$B$77,Nutrients!$I$77,Nutrients!$I$78)))))*I$8))/2000</f>
        <v>20.868984554150327</v>
      </c>
      <c r="J253" s="22">
        <f>(SUMPRODUCT(J$9:J$229,Nutrients!$I$8:$I$228)+(IF($A$7=Nutrients!$B$8,Nutrients!$I$8,Nutrients!$I$9)*J$7)+(((IF($A$8=Nutrients!$B$79,Nutrients!$I$79,(IF($A$8=Nutrients!$B$77,Nutrients!$I$77,Nutrients!$I$78)))))*J$8))/2000</f>
        <v>18.707553277637057</v>
      </c>
      <c r="K253" s="22">
        <f>(SUMPRODUCT(K$9:K$229,Nutrients!$I$8:$I$228)+(IF($A$7=Nutrients!$B$8,Nutrients!$I$8,Nutrients!$I$9)*K$7)+(((IF($A$8=Nutrients!$B$79,Nutrients!$I$79,(IF($A$8=Nutrients!$B$77,Nutrients!$I$77,Nutrients!$I$78)))))*K$8))/2000</f>
        <v>16.838611432401887</v>
      </c>
      <c r="L253" s="22">
        <f>(SUMPRODUCT(L$9:L$229,Nutrients!$I$8:$I$228)+(IF($A$7=Nutrients!$B$8,Nutrients!$I$8,Nutrients!$I$9)*L$7)+(((IF($A$8=Nutrients!$B$79,Nutrients!$I$79,(IF($A$8=Nutrients!$B$77,Nutrients!$I$77,Nutrients!$I$78)))))*L$8))/2000</f>
        <v>15.274662648416196</v>
      </c>
      <c r="M253" s="22">
        <f>(SUMPRODUCT(M$9:M$229,Nutrients!$I$8:$I$228)+(IF($A$7=Nutrients!$B$8,Nutrients!$I$8,Nutrients!$I$9)*M$7)+(((IF($A$8=Nutrients!$B$79,Nutrients!$I$79,(IF($A$8=Nutrients!$B$77,Nutrients!$I$77,Nutrients!$I$78)))))*M$8))/2000</f>
        <v>14.212599358207665</v>
      </c>
      <c r="N253" s="22">
        <f>(SUMPRODUCT(N$9:N$229,Nutrients!$I$8:$I$228)+(IF($A$7=Nutrients!$B$8,Nutrients!$I$8,Nutrients!$I$9)*N$7)+(((IF($A$8=Nutrients!$B$79,Nutrients!$I$79,(IF($A$8=Nutrients!$B$77,Nutrients!$I$77,Nutrients!$I$78)))))*N$8))/2000</f>
        <v>13.408858132850794</v>
      </c>
      <c r="O253" s="235"/>
      <c r="P253" s="22">
        <f>(SUMPRODUCT(P$9:P$229,Nutrients!$I$8:$I$228)+(IF($A$7=Nutrients!$B$8,Nutrients!$I$8,Nutrients!$I$9)*P$7)+(((IF($A$8=Nutrients!$B$79,Nutrients!$I$79,(IF($A$8=Nutrients!$B$77,Nutrients!$I$77,Nutrients!$I$78)))))*P$8))/2000</f>
        <v>21.109223912627058</v>
      </c>
      <c r="Q253" s="22">
        <f>(SUMPRODUCT(Q$9:Q$229,Nutrients!$I$8:$I$228)+(IF($A$7=Nutrients!$B$8,Nutrients!$I$8,Nutrients!$I$9)*Q$7)+(((IF($A$8=Nutrients!$B$79,Nutrients!$I$79,(IF($A$8=Nutrients!$B$77,Nutrients!$I$77,Nutrients!$I$78)))))*Q$8))/2000</f>
        <v>18.962387521788358</v>
      </c>
      <c r="R253" s="22">
        <f>(SUMPRODUCT(R$9:R$229,Nutrients!$I$8:$I$228)+(IF($A$7=Nutrients!$B$8,Nutrients!$I$8,Nutrients!$I$9)*R$7)+(((IF($A$8=Nutrients!$B$79,Nutrients!$I$79,(IF($A$8=Nutrients!$B$77,Nutrients!$I$77,Nutrients!$I$78)))))*R$8))/2000</f>
        <v>17.108254896780547</v>
      </c>
      <c r="S253" s="22">
        <f>(SUMPRODUCT(S$9:S$229,Nutrients!$I$8:$I$228)+(IF($A$7=Nutrients!$B$8,Nutrients!$I$8,Nutrients!$I$9)*S$7)+(((IF($A$8=Nutrients!$B$79,Nutrients!$I$79,(IF($A$8=Nutrients!$B$77,Nutrients!$I$77,Nutrients!$I$78)))))*S$8))/2000</f>
        <v>15.53723464526462</v>
      </c>
      <c r="T253" s="22">
        <f>(SUMPRODUCT(T$9:T$229,Nutrients!$I$8:$I$228)+(IF($A$7=Nutrients!$B$8,Nutrients!$I$8,Nutrients!$I$9)*T$7)+(((IF($A$8=Nutrients!$B$79,Nutrients!$I$79,(IF($A$8=Nutrients!$B$77,Nutrients!$I$77,Nutrients!$I$78)))))*T$8))/2000</f>
        <v>14.492185496795154</v>
      </c>
      <c r="U253" s="22">
        <f>(SUMPRODUCT(U$9:U$229,Nutrients!$I$8:$I$228)+(IF($A$7=Nutrients!$B$8,Nutrients!$I$8,Nutrients!$I$9)*U$7)+(((IF($A$8=Nutrients!$B$79,Nutrients!$I$79,(IF($A$8=Nutrients!$B$77,Nutrients!$I$77,Nutrients!$I$78)))))*U$8))/2000</f>
        <v>13.408858132850794</v>
      </c>
      <c r="W253" s="22">
        <f>(SUMPRODUCT(W$9:W$229,Nutrients!$I$8:$I$228)+(IF($A$7=Nutrients!$B$8,Nutrients!$I$8,Nutrients!$I$9)*W$7)+(((IF($A$8=Nutrients!$B$79,Nutrients!$I$79,(IF($A$8=Nutrients!$B$77,Nutrients!$I$77,Nutrients!$I$78)))))*W$8))/2000</f>
        <v>21.349533850263338</v>
      </c>
      <c r="X253" s="22">
        <f>(SUMPRODUCT(X$9:X$229,Nutrients!$I$8:$I$228)+(IF($A$7=Nutrients!$B$8,Nutrients!$I$8,Nutrients!$I$9)*X$7)+(((IF($A$8=Nutrients!$B$79,Nutrients!$I$79,(IF($A$8=Nutrients!$B$77,Nutrients!$I$77,Nutrients!$I$78)))))*X$8))/2000</f>
        <v>19.217008348952426</v>
      </c>
      <c r="Y253" s="22">
        <f>(SUMPRODUCT(Y$9:Y$229,Nutrients!$I$8:$I$228)+(IF($A$7=Nutrients!$B$8,Nutrients!$I$8,Nutrients!$I$9)*Y$7)+(((IF($A$8=Nutrients!$B$79,Nutrients!$I$79,(IF($A$8=Nutrients!$B$77,Nutrients!$I$77,Nutrients!$I$78)))))*Y$8))/2000</f>
        <v>17.356300968408767</v>
      </c>
      <c r="Z253" s="22">
        <f>(SUMPRODUCT(Z$9:Z$229,Nutrients!$I$8:$I$228)+(IF($A$7=Nutrients!$B$8,Nutrients!$I$8,Nutrients!$I$9)*Z$7)+(((IF($A$8=Nutrients!$B$79,Nutrients!$I$79,(IF($A$8=Nutrients!$B$77,Nutrients!$I$77,Nutrients!$I$78)))))*Z$8))/2000</f>
        <v>15.807076172505134</v>
      </c>
      <c r="AA253" s="22">
        <f>(SUMPRODUCT(AA$9:AA$229,Nutrients!$I$8:$I$228)+(IF($A$7=Nutrients!$B$8,Nutrients!$I$8,Nutrients!$I$9)*AA$7)+(((IF($A$8=Nutrients!$B$79,Nutrients!$I$79,(IF($A$8=Nutrients!$B$77,Nutrients!$I$77,Nutrients!$I$78)))))*AA$8))/2000</f>
        <v>14.774655348672297</v>
      </c>
      <c r="AB253" s="22">
        <f>(SUMPRODUCT(AB$9:AB$229,Nutrients!$I$8:$I$228)+(IF($A$7=Nutrients!$B$8,Nutrients!$I$8,Nutrients!$I$9)*AB$7)+(((IF($A$8=Nutrients!$B$79,Nutrients!$I$79,(IF($A$8=Nutrients!$B$77,Nutrients!$I$77,Nutrients!$I$78)))))*AB$8))/2000</f>
        <v>13.408858132850794</v>
      </c>
      <c r="AD253" s="22">
        <f>(SUMPRODUCT(AD$9:AD$229,Nutrients!$I$8:$I$228)+(IF($A$7=Nutrients!$B$8,Nutrients!$I$8,Nutrients!$I$9)*AD$7)+(((IF($A$8=Nutrients!$B$79,Nutrients!$I$79,(IF($A$8=Nutrients!$B$77,Nutrients!$I$77,Nutrients!$I$78)))))*AD$8))/2000</f>
        <v>21.588066570721509</v>
      </c>
      <c r="AE253" s="22">
        <f>(SUMPRODUCT(AE$9:AE$229,Nutrients!$I$8:$I$228)+(IF($A$7=Nutrients!$B$8,Nutrients!$I$8,Nutrients!$I$9)*AE$7)+(((IF($A$8=Nutrients!$B$79,Nutrients!$I$79,(IF($A$8=Nutrients!$B$77,Nutrients!$I$77,Nutrients!$I$78)))))*AE$8))/2000</f>
        <v>19.449967504381718</v>
      </c>
      <c r="AF253" s="22">
        <f>(SUMPRODUCT(AF$9:AF$229,Nutrients!$I$8:$I$228)+(IF($A$7=Nutrients!$B$8,Nutrients!$I$8,Nutrients!$I$9)*AF$7)+(((IF($A$8=Nutrients!$B$79,Nutrients!$I$79,(IF($A$8=Nutrients!$B$77,Nutrients!$I$77,Nutrients!$I$78)))))*AF$8))/2000</f>
        <v>17.608625438371465</v>
      </c>
      <c r="AG253" s="22">
        <f>(SUMPRODUCT(AG$9:AG$229,Nutrients!$I$8:$I$228)+(IF($A$7=Nutrients!$B$8,Nutrients!$I$8,Nutrients!$I$9)*AG$7)+(((IF($A$8=Nutrients!$B$79,Nutrients!$I$79,(IF($A$8=Nutrients!$B$77,Nutrients!$I$77,Nutrients!$I$78)))))*AG$8))/2000</f>
        <v>16.080801340649419</v>
      </c>
      <c r="AH253" s="22">
        <f>(SUMPRODUCT(AH$9:AH$229,Nutrients!$I$8:$I$228)+(IF($A$7=Nutrients!$B$8,Nutrients!$I$8,Nutrients!$I$9)*AH$7)+(((IF($A$8=Nutrients!$B$79,Nutrients!$I$79,(IF($A$8=Nutrients!$B$77,Nutrients!$I$77,Nutrients!$I$78)))))*AH$8))/2000</f>
        <v>15.045367670524143</v>
      </c>
      <c r="AI253" s="22">
        <f>(SUMPRODUCT(AI$9:AI$229,Nutrients!$I$8:$I$228)+(IF($A$7=Nutrients!$B$8,Nutrients!$I$8,Nutrients!$I$9)*AI$7)+(((IF($A$8=Nutrients!$B$79,Nutrients!$I$79,(IF($A$8=Nutrients!$B$77,Nutrients!$I$77,Nutrients!$I$78)))))*AI$8))/2000</f>
        <v>13.408858132850794</v>
      </c>
      <c r="AK253" s="22">
        <f>(SUMPRODUCT(AK$9:AK$229,Nutrients!$I$8:$I$228)+(IF($A$7=Nutrients!$B$8,Nutrients!$I$8,Nutrients!$I$9)*AK$7)+(((IF($A$8=Nutrients!$B$79,Nutrients!$I$79,(IF($A$8=Nutrients!$B$77,Nutrients!$I$77,Nutrients!$I$78)))))*AK$8))/2000</f>
        <v>21.912887950417126</v>
      </c>
      <c r="AL253" s="22">
        <f>(SUMPRODUCT(AL$9:AL$229,Nutrients!$I$8:$I$228)+(IF($A$7=Nutrients!$B$8,Nutrients!$I$8,Nutrients!$I$9)*AL$7)+(((IF($A$8=Nutrients!$B$79,Nutrients!$I$79,(IF($A$8=Nutrients!$B$77,Nutrients!$I$77,Nutrients!$I$78)))))*AL$8))/2000</f>
        <v>19.689213862320614</v>
      </c>
      <c r="AM253" s="22">
        <f>(SUMPRODUCT(AM$9:AM$229,Nutrients!$I$8:$I$228)+(IF($A$7=Nutrients!$B$8,Nutrients!$I$8,Nutrients!$I$9)*AM$7)+(((IF($A$8=Nutrients!$B$79,Nutrients!$I$79,(IF($A$8=Nutrients!$B$77,Nutrients!$I$77,Nutrients!$I$78)))))*AM$8))/2000</f>
        <v>17.869992059188888</v>
      </c>
      <c r="AN253" s="22">
        <f>(SUMPRODUCT(AN$9:AN$229,Nutrients!$I$8:$I$228)+(IF($A$7=Nutrients!$B$8,Nutrients!$I$8,Nutrients!$I$9)*AN$7)+(((IF($A$8=Nutrients!$B$79,Nutrients!$I$79,(IF($A$8=Nutrients!$B$77,Nutrients!$I$77,Nutrients!$I$78)))))*AN$8))/2000</f>
        <v>16.345282240820236</v>
      </c>
      <c r="AO253" s="22">
        <f>(SUMPRODUCT(AO$9:AO$229,Nutrients!$I$8:$I$228)+(IF($A$7=Nutrients!$B$8,Nutrients!$I$8,Nutrients!$I$9)*AO$7)+(((IF($A$8=Nutrients!$B$79,Nutrients!$I$79,(IF($A$8=Nutrients!$B$77,Nutrients!$I$77,Nutrients!$I$78)))))*AO$8))/2000</f>
        <v>15.312088027856673</v>
      </c>
      <c r="AP253" s="22">
        <f>(SUMPRODUCT(AP$9:AP$229,Nutrients!$I$8:$I$228)+(IF($A$7=Nutrients!$B$8,Nutrients!$I$8,Nutrients!$I$9)*AP$7)+(((IF($A$8=Nutrients!$B$79,Nutrients!$I$79,(IF($A$8=Nutrients!$B$77,Nutrients!$I$77,Nutrients!$I$78)))))*AP$8))/2000</f>
        <v>13.408858132850794</v>
      </c>
      <c r="AR253" s="22">
        <f>(SUMPRODUCT(AR$9:AR$229,Nutrients!$I$8:$I$228)+(IF($A$7=Nutrients!$B$8,Nutrients!$I$8,Nutrients!$I$9)*AR$7)+(((IF($A$8=Nutrients!$B$79,Nutrients!$I$79,(IF($A$8=Nutrients!$B$77,Nutrients!$I$77,Nutrients!$I$78)))))*AR$8))/2000</f>
        <v>22.118924812787085</v>
      </c>
      <c r="AS253" s="22">
        <f>(SUMPRODUCT(AS$9:AS$229,Nutrients!$I$8:$I$228)+(IF($A$7=Nutrients!$B$8,Nutrients!$I$8,Nutrients!$I$9)*AS$7)+(((IF($A$8=Nutrients!$B$79,Nutrients!$I$79,(IF($A$8=Nutrients!$B$77,Nutrients!$I$77,Nutrients!$I$78)))))*AS$8))/2000</f>
        <v>19.928541456637848</v>
      </c>
      <c r="AT253" s="22">
        <f>(SUMPRODUCT(AT$9:AT$229,Nutrients!$I$8:$I$228)+(IF($A$7=Nutrients!$B$8,Nutrients!$I$8,Nutrients!$I$9)*AT$7)+(((IF($A$8=Nutrients!$B$79,Nutrients!$I$79,(IF($A$8=Nutrients!$B$77,Nutrients!$I$77,Nutrients!$I$78)))))*AT$8))/2000</f>
        <v>18.135492255530394</v>
      </c>
      <c r="AU253" s="22">
        <f>(SUMPRODUCT(AU$9:AU$229,Nutrients!$I$8:$I$228)+(IF($A$7=Nutrients!$B$8,Nutrients!$I$8,Nutrients!$I$9)*AU$7)+(((IF($A$8=Nutrients!$B$79,Nutrients!$I$79,(IF($A$8=Nutrients!$B$77,Nutrients!$I$77,Nutrients!$I$78)))))*AU$8))/2000</f>
        <v>16.604788180304155</v>
      </c>
      <c r="AV253" s="22">
        <f>(SUMPRODUCT(AV$9:AV$229,Nutrients!$I$8:$I$228)+(IF($A$7=Nutrients!$B$8,Nutrients!$I$8,Nutrients!$I$9)*AV$7)+(((IF($A$8=Nutrients!$B$79,Nutrients!$I$79,(IF($A$8=Nutrients!$B$77,Nutrients!$I$77,Nutrients!$I$78)))))*AV$8))/2000</f>
        <v>15.578575614171911</v>
      </c>
      <c r="AW253" s="22">
        <f>(SUMPRODUCT(AW$9:AW$229,Nutrients!$I$8:$I$228)+(IF($A$7=Nutrients!$B$8,Nutrients!$I$8,Nutrients!$I$9)*AW$7)+(((IF($A$8=Nutrients!$B$79,Nutrients!$I$79,(IF($A$8=Nutrients!$B$77,Nutrients!$I$77,Nutrients!$I$78)))))*AW$8))/2000</f>
        <v>13.408858132850794</v>
      </c>
    </row>
    <row r="254" spans="1:56" x14ac:dyDescent="0.25">
      <c r="A254" s="41" t="s">
        <v>144</v>
      </c>
      <c r="B254" s="23">
        <f>(SUMPRODUCT(B$9:B$229,Nutrients!$BS$8:$BS$228)+(IF($A$7=Nutrients!$B$8,Nutrients!$BS$8,Nutrients!$BS$9)*B$7)+(((IF($A$8=Nutrients!$B$79,Nutrients!$BS$79,(IF($A$8=Nutrients!$B$77,Nutrients!$BS$77,Nutrients!$BS$78)))))*B$8))/2000</f>
        <v>0.6959867621315019</v>
      </c>
      <c r="C254" s="23">
        <f>(SUMPRODUCT(C$9:C$229,Nutrients!$BS$8:$BS$228)+(IF($A$7=Nutrients!$B$8,Nutrients!$BS$8,Nutrients!$BS$9)*C$7)+(((IF($A$8=Nutrients!$B$79,Nutrients!$BS$79,(IF($A$8=Nutrients!$B$77,Nutrients!$BS$77,Nutrients!$BS$78)))))*C$8))/2000</f>
        <v>0.62662783783950593</v>
      </c>
      <c r="D254" s="23">
        <f>(SUMPRODUCT(D$9:D$229,Nutrients!$BS$8:$BS$228)+(IF($A$7=Nutrients!$B$8,Nutrients!$BS$8,Nutrients!$BS$9)*D$7)+(((IF($A$8=Nutrients!$B$79,Nutrients!$BS$79,(IF($A$8=Nutrients!$B$77,Nutrients!$BS$77,Nutrients!$BS$78)))))*D$8))/2000</f>
        <v>0.57472596332038417</v>
      </c>
      <c r="E254" s="23">
        <f>(SUMPRODUCT(E$9:E$229,Nutrients!$BS$8:$BS$228)+(IF($A$7=Nutrients!$B$8,Nutrients!$BS$8,Nutrients!$BS$9)*E$7)+(((IF($A$8=Nutrients!$B$79,Nutrients!$BS$79,(IF($A$8=Nutrients!$B$77,Nutrients!$BS$77,Nutrients!$BS$78)))))*E$8))/2000</f>
        <v>0.52452097205568682</v>
      </c>
      <c r="F254" s="23">
        <f>(SUMPRODUCT(F$9:F$229,Nutrients!$BS$8:$BS$228)+(IF($A$7=Nutrients!$B$8,Nutrients!$BS$8,Nutrients!$BS$9)*F$7)+(((IF($A$8=Nutrients!$B$79,Nutrients!$BS$79,(IF($A$8=Nutrients!$B$77,Nutrients!$BS$77,Nutrients!$BS$78)))))*F$8))/2000</f>
        <v>0.48152514697950427</v>
      </c>
      <c r="G254" s="23">
        <f>(SUMPRODUCT(G$9:G$229,Nutrients!$BS$8:$BS$228)+(IF($A$7=Nutrients!$B$8,Nutrients!$BS$8,Nutrients!$BS$9)*G$7)+(((IF($A$8=Nutrients!$B$79,Nutrients!$BS$79,(IF($A$8=Nutrients!$B$77,Nutrients!$BS$77,Nutrients!$BS$78)))))*G$8))/2000</f>
        <v>0.46528542953652235</v>
      </c>
      <c r="H254" s="227"/>
      <c r="I254" s="23">
        <f>(SUMPRODUCT(I$9:I$229,Nutrients!$BS$8:$BS$228)+(IF($A$7=Nutrients!$B$8,Nutrients!$BS$8,Nutrients!$BS$9)*I$7)+(((IF($A$8=Nutrients!$B$79,Nutrients!$BS$79,(IF($A$8=Nutrients!$B$77,Nutrients!$BS$77,Nutrients!$BS$78)))))*I$8))/2000</f>
        <v>0.69549234721729292</v>
      </c>
      <c r="J254" s="23">
        <f>(SUMPRODUCT(J$9:J$229,Nutrients!$BS$8:$BS$228)+(IF($A$7=Nutrients!$B$8,Nutrients!$BS$8,Nutrients!$BS$9)*J$7)+(((IF($A$8=Nutrients!$B$79,Nutrients!$BS$79,(IF($A$8=Nutrients!$B$77,Nutrients!$BS$77,Nutrients!$BS$78)))))*J$8))/2000</f>
        <v>0.62705204503980994</v>
      </c>
      <c r="K254" s="23">
        <f>(SUMPRODUCT(K$9:K$229,Nutrients!$BS$8:$BS$228)+(IF($A$7=Nutrients!$B$8,Nutrients!$BS$8,Nutrients!$BS$9)*K$7)+(((IF($A$8=Nutrients!$B$79,Nutrients!$BS$79,(IF($A$8=Nutrients!$B$77,Nutrients!$BS$77,Nutrients!$BS$78)))))*K$8))/2000</f>
        <v>0.57560738696742619</v>
      </c>
      <c r="L254" s="23">
        <f>(SUMPRODUCT(L$9:L$229,Nutrients!$BS$8:$BS$228)+(IF($A$7=Nutrients!$B$8,Nutrients!$BS$8,Nutrients!$BS$9)*L$7)+(((IF($A$8=Nutrients!$B$79,Nutrients!$BS$79,(IF($A$8=Nutrients!$B$77,Nutrients!$BS$77,Nutrients!$BS$78)))))*L$8))/2000</f>
        <v>0.52009619805015317</v>
      </c>
      <c r="M254" s="23">
        <f>(SUMPRODUCT(M$9:M$229,Nutrients!$BS$8:$BS$228)+(IF($A$7=Nutrients!$B$8,Nutrients!$BS$8,Nutrients!$BS$9)*M$7)+(((IF($A$8=Nutrients!$B$79,Nutrients!$BS$79,(IF($A$8=Nutrients!$B$77,Nutrients!$BS$77,Nutrients!$BS$78)))))*M$8))/2000</f>
        <v>0.47889538217647037</v>
      </c>
      <c r="N254" s="23">
        <f>(SUMPRODUCT(N$9:N$229,Nutrients!$BS$8:$BS$228)+(IF($A$7=Nutrients!$B$8,Nutrients!$BS$8,Nutrients!$BS$9)*N$7)+(((IF($A$8=Nutrients!$B$79,Nutrients!$BS$79,(IF($A$8=Nutrients!$B$77,Nutrients!$BS$77,Nutrients!$BS$78)))))*N$8))/2000</f>
        <v>0.46528542953652235</v>
      </c>
      <c r="O254" s="198"/>
      <c r="P254" s="23">
        <f>(SUMPRODUCT(P$9:P$229,Nutrients!$BS$8:$BS$228)+(IF($A$7=Nutrients!$B$8,Nutrients!$BS$8,Nutrients!$BS$9)*P$7)+(((IF($A$8=Nutrients!$B$79,Nutrients!$BS$79,(IF($A$8=Nutrients!$B$77,Nutrients!$BS$77,Nutrients!$BS$78)))))*P$8))/2000</f>
        <v>0.69621606652791368</v>
      </c>
      <c r="Q254" s="23">
        <f>(SUMPRODUCT(Q$9:Q$229,Nutrients!$BS$8:$BS$228)+(IF($A$7=Nutrients!$B$8,Nutrients!$BS$8,Nutrients!$BS$9)*Q$7)+(((IF($A$8=Nutrients!$B$79,Nutrients!$BS$79,(IF($A$8=Nutrients!$B$77,Nutrients!$BS$77,Nutrients!$BS$78)))))*Q$8))/2000</f>
        <v>0.62784369066614532</v>
      </c>
      <c r="R254" s="23">
        <f>(SUMPRODUCT(R$9:R$229,Nutrients!$BS$8:$BS$228)+(IF($A$7=Nutrients!$B$8,Nutrients!$BS$8,Nutrients!$BS$9)*R$7)+(((IF($A$8=Nutrients!$B$79,Nutrients!$BS$79,(IF($A$8=Nutrients!$B$77,Nutrients!$BS$77,Nutrients!$BS$78)))))*R$8))/2000</f>
        <v>0.57671570517143511</v>
      </c>
      <c r="S254" s="23">
        <f>(SUMPRODUCT(S$9:S$229,Nutrients!$BS$8:$BS$228)+(IF($A$7=Nutrients!$B$8,Nutrients!$BS$8,Nutrients!$BS$9)*S$7)+(((IF($A$8=Nutrients!$B$79,Nutrients!$BS$79,(IF($A$8=Nutrients!$B$77,Nutrients!$BS$77,Nutrients!$BS$78)))))*S$8))/2000</f>
        <v>0.52112359920610851</v>
      </c>
      <c r="T254" s="23">
        <f>(SUMPRODUCT(T$9:T$229,Nutrients!$BS$8:$BS$228)+(IF($A$7=Nutrients!$B$8,Nutrients!$BS$8,Nutrients!$BS$9)*T$7)+(((IF($A$8=Nutrients!$B$79,Nutrients!$BS$79,(IF($A$8=Nutrients!$B$77,Nutrients!$BS$77,Nutrients!$BS$78)))))*T$8))/2000</f>
        <v>0.48003051366870453</v>
      </c>
      <c r="U254" s="23">
        <f>(SUMPRODUCT(U$9:U$229,Nutrients!$BS$8:$BS$228)+(IF($A$7=Nutrients!$B$8,Nutrients!$BS$8,Nutrients!$BS$9)*U$7)+(((IF($A$8=Nutrients!$B$79,Nutrients!$BS$79,(IF($A$8=Nutrients!$B$77,Nutrients!$BS$77,Nutrients!$BS$78)))))*U$8))/2000</f>
        <v>0.46528542953652235</v>
      </c>
      <c r="W254" s="23">
        <f>(SUMPRODUCT(W$9:W$229,Nutrients!$BS$8:$BS$228)+(IF($A$7=Nutrients!$B$8,Nutrients!$BS$8,Nutrients!$BS$9)*W$7)+(((IF($A$8=Nutrients!$B$79,Nutrients!$BS$79,(IF($A$8=Nutrients!$B$77,Nutrients!$BS$77,Nutrients!$BS$78)))))*W$8))/2000</f>
        <v>0.69630822692718564</v>
      </c>
      <c r="X254" s="23">
        <f>(SUMPRODUCT(X$9:X$229,Nutrients!$BS$8:$BS$228)+(IF($A$7=Nutrients!$B$8,Nutrients!$BS$8,Nutrients!$BS$9)*X$7)+(((IF($A$8=Nutrients!$B$79,Nutrients!$BS$79,(IF($A$8=Nutrients!$B$77,Nutrients!$BS$77,Nutrients!$BS$78)))))*X$8))/2000</f>
        <v>0.62804819281658497</v>
      </c>
      <c r="Y254" s="23">
        <f>(SUMPRODUCT(Y$9:Y$229,Nutrients!$BS$8:$BS$228)+(IF($A$7=Nutrients!$B$8,Nutrients!$BS$8,Nutrients!$BS$9)*Y$7)+(((IF($A$8=Nutrients!$B$79,Nutrients!$BS$79,(IF($A$8=Nutrients!$B$77,Nutrients!$BS$77,Nutrients!$BS$78)))))*Y$8))/2000</f>
        <v>0.57686645103596856</v>
      </c>
      <c r="Z254" s="23">
        <f>(SUMPRODUCT(Z$9:Z$229,Nutrients!$BS$8:$BS$228)+(IF($A$7=Nutrients!$B$8,Nutrients!$BS$8,Nutrients!$BS$9)*Z$7)+(((IF($A$8=Nutrients!$B$79,Nutrients!$BS$79,(IF($A$8=Nutrients!$B$77,Nutrients!$BS$77,Nutrients!$BS$78)))))*Z$8))/2000</f>
        <v>0.52143555806577979</v>
      </c>
      <c r="AA254" s="23">
        <f>(SUMPRODUCT(AA$9:AA$229,Nutrients!$BS$8:$BS$228)+(IF($A$7=Nutrients!$B$8,Nutrients!$BS$8,Nutrients!$BS$9)*AA$7)+(((IF($A$8=Nutrients!$B$79,Nutrients!$BS$79,(IF($A$8=Nutrients!$B$77,Nutrients!$BS$77,Nutrients!$BS$78)))))*AA$8))/2000</f>
        <v>0.48040786906454946</v>
      </c>
      <c r="AB254" s="23">
        <f>(SUMPRODUCT(AB$9:AB$229,Nutrients!$BS$8:$BS$228)+(IF($A$7=Nutrients!$B$8,Nutrients!$BS$8,Nutrients!$BS$9)*AB$7)+(((IF($A$8=Nutrients!$B$79,Nutrients!$BS$79,(IF($A$8=Nutrients!$B$77,Nutrients!$BS$77,Nutrients!$BS$78)))))*AB$8))/2000</f>
        <v>0.46528542953652235</v>
      </c>
      <c r="AD254" s="23">
        <f>(SUMPRODUCT(AD$9:AD$229,Nutrients!$BS$8:$BS$228)+(IF($A$7=Nutrients!$B$8,Nutrients!$BS$8,Nutrients!$BS$9)*AD$7)+(((IF($A$8=Nutrients!$B$79,Nutrients!$BS$79,(IF($A$8=Nutrients!$B$77,Nutrients!$BS$77,Nutrients!$BS$78)))))*AD$8))/2000</f>
        <v>0.69676597105582572</v>
      </c>
      <c r="AE254" s="23">
        <f>(SUMPRODUCT(AE$9:AE$229,Nutrients!$BS$8:$BS$228)+(IF($A$7=Nutrients!$B$8,Nutrients!$BS$8,Nutrients!$BS$9)*AE$7)+(((IF($A$8=Nutrients!$B$79,Nutrients!$BS$79,(IF($A$8=Nutrients!$B$77,Nutrients!$BS$77,Nutrients!$BS$78)))))*AE$8))/2000</f>
        <v>0.62849071764533637</v>
      </c>
      <c r="AF254" s="23">
        <f>(SUMPRODUCT(AF$9:AF$229,Nutrients!$BS$8:$BS$228)+(IF($A$7=Nutrients!$B$8,Nutrients!$BS$8,Nutrients!$BS$9)*AF$7)+(((IF($A$8=Nutrients!$B$79,Nutrients!$BS$79,(IF($A$8=Nutrients!$B$77,Nutrients!$BS$77,Nutrients!$BS$78)))))*AF$8))/2000</f>
        <v>0.57753146181125159</v>
      </c>
      <c r="AG254" s="23">
        <f>(SUMPRODUCT(AG$9:AG$229,Nutrients!$BS$8:$BS$228)+(IF($A$7=Nutrients!$B$8,Nutrients!$BS$8,Nutrients!$BS$9)*AG$7)+(((IF($A$8=Nutrients!$B$79,Nutrients!$BS$79,(IF($A$8=Nutrients!$B$77,Nutrients!$BS$77,Nutrients!$BS$78)))))*AG$8))/2000</f>
        <v>0.5223273024198315</v>
      </c>
      <c r="AH254" s="23">
        <f>(SUMPRODUCT(AH$9:AH$229,Nutrients!$BS$8:$BS$228)+(IF($A$7=Nutrients!$B$8,Nutrients!$BS$8,Nutrients!$BS$9)*AH$7)+(((IF($A$8=Nutrients!$B$79,Nutrients!$BS$79,(IF($A$8=Nutrients!$B$77,Nutrients!$BS$77,Nutrients!$BS$78)))))*AH$8))/2000</f>
        <v>0.49483733291432469</v>
      </c>
      <c r="AI254" s="23">
        <f>(SUMPRODUCT(AI$9:AI$229,Nutrients!$BS$8:$BS$228)+(IF($A$7=Nutrients!$B$8,Nutrients!$BS$8,Nutrients!$BS$9)*AI$7)+(((IF($A$8=Nutrients!$B$79,Nutrients!$BS$79,(IF($A$8=Nutrients!$B$77,Nutrients!$BS$77,Nutrients!$BS$78)))))*AI$8))/2000</f>
        <v>0.46528542953652235</v>
      </c>
      <c r="AK254" s="23">
        <f>(SUMPRODUCT(AK$9:AK$229,Nutrients!$BS$8:$BS$228)+(IF($A$7=Nutrients!$B$8,Nutrients!$BS$8,Nutrients!$BS$9)*AK$7)+(((IF($A$8=Nutrients!$B$79,Nutrients!$BS$79,(IF($A$8=Nutrients!$B$77,Nutrients!$BS$77,Nutrients!$BS$78)))))*AK$8))/2000</f>
        <v>0.697990224118053</v>
      </c>
      <c r="AL254" s="23">
        <f>(SUMPRODUCT(AL$9:AL$229,Nutrients!$BS$8:$BS$228)+(IF($A$7=Nutrients!$B$8,Nutrients!$BS$8,Nutrients!$BS$9)*AL$7)+(((IF($A$8=Nutrients!$B$79,Nutrients!$BS$79,(IF($A$8=Nutrients!$B$77,Nutrients!$BS$77,Nutrients!$BS$78)))))*AL$8))/2000</f>
        <v>0.62857452884971898</v>
      </c>
      <c r="AM254" s="23">
        <f>(SUMPRODUCT(AM$9:AM$229,Nutrients!$BS$8:$BS$228)+(IF($A$7=Nutrients!$B$8,Nutrients!$BS$8,Nutrients!$BS$9)*AM$7)+(((IF($A$8=Nutrients!$B$79,Nutrients!$BS$79,(IF($A$8=Nutrients!$B$77,Nutrients!$BS$77,Nutrients!$BS$78)))))*AM$8))/2000</f>
        <v>0.57774315497289763</v>
      </c>
      <c r="AN254" s="23">
        <f>(SUMPRODUCT(AN$9:AN$229,Nutrients!$BS$8:$BS$228)+(IF($A$7=Nutrients!$B$8,Nutrients!$BS$8,Nutrients!$BS$9)*AN$7)+(((IF($A$8=Nutrients!$B$79,Nutrients!$BS$79,(IF($A$8=Nutrients!$B$77,Nutrients!$BS$77,Nutrients!$BS$78)))))*AN$8))/2000</f>
        <v>0.53329676098394463</v>
      </c>
      <c r="AO254" s="23">
        <f>(SUMPRODUCT(AO$9:AO$229,Nutrients!$BS$8:$BS$228)+(IF($A$7=Nutrients!$B$8,Nutrients!$BS$8,Nutrients!$BS$9)*AO$7)+(((IF($A$8=Nutrients!$B$79,Nutrients!$BS$79,(IF($A$8=Nutrients!$B$77,Nutrients!$BS$77,Nutrients!$BS$78)))))*AO$8))/2000</f>
        <v>0.51578952550205603</v>
      </c>
      <c r="AP254" s="23">
        <f>(SUMPRODUCT(AP$9:AP$229,Nutrients!$BS$8:$BS$228)+(IF($A$7=Nutrients!$B$8,Nutrients!$BS$8,Nutrients!$BS$9)*AP$7)+(((IF($A$8=Nutrients!$B$79,Nutrients!$BS$79,(IF($A$8=Nutrients!$B$77,Nutrients!$BS$77,Nutrients!$BS$78)))))*AP$8))/2000</f>
        <v>0.46528542953652235</v>
      </c>
      <c r="AR254" s="23">
        <f>(SUMPRODUCT(AR$9:AR$229,Nutrients!$BS$8:$BS$228)+(IF($A$7=Nutrients!$B$8,Nutrients!$BS$8,Nutrients!$BS$9)*AR$7)+(((IF($A$8=Nutrients!$B$79,Nutrients!$BS$79,(IF($A$8=Nutrients!$B$77,Nutrients!$BS$77,Nutrients!$BS$78)))))*AR$8))/2000</f>
        <v>0.69789407418327631</v>
      </c>
      <c r="AS254" s="23">
        <f>(SUMPRODUCT(AS$9:AS$229,Nutrients!$BS$8:$BS$228)+(IF($A$7=Nutrients!$B$8,Nutrients!$BS$8,Nutrients!$BS$9)*AS$7)+(((IF($A$8=Nutrients!$B$79,Nutrients!$BS$79,(IF($A$8=Nutrients!$B$77,Nutrients!$BS$77,Nutrients!$BS$78)))))*AS$8))/2000</f>
        <v>0.62903763581149053</v>
      </c>
      <c r="AT254" s="23">
        <f>(SUMPRODUCT(AT$9:AT$229,Nutrients!$BS$8:$BS$228)+(IF($A$7=Nutrients!$B$8,Nutrients!$BS$8,Nutrients!$BS$9)*AT$7)+(((IF($A$8=Nutrients!$B$79,Nutrients!$BS$79,(IF($A$8=Nutrients!$B$77,Nutrients!$BS$77,Nutrients!$BS$78)))))*AT$8))/2000</f>
        <v>0.57848461261224604</v>
      </c>
      <c r="AU254" s="23">
        <f>(SUMPRODUCT(AU$9:AU$229,Nutrients!$BS$8:$BS$228)+(IF($A$7=Nutrients!$B$8,Nutrients!$BS$8,Nutrients!$BS$9)*AU$7)+(((IF($A$8=Nutrients!$B$79,Nutrients!$BS$79,(IF($A$8=Nutrients!$B$77,Nutrients!$BS$77,Nutrients!$BS$78)))))*AU$8))/2000</f>
        <v>0.55440344784338846</v>
      </c>
      <c r="AV254" s="23">
        <f>(SUMPRODUCT(AV$9:AV$229,Nutrients!$BS$8:$BS$228)+(IF($A$7=Nutrients!$B$8,Nutrients!$BS$8,Nutrients!$BS$9)*AV$7)+(((IF($A$8=Nutrients!$B$79,Nutrients!$BS$79,(IF($A$8=Nutrients!$B$77,Nutrients!$BS$77,Nutrients!$BS$78)))))*AV$8))/2000</f>
        <v>0.53674468577051604</v>
      </c>
      <c r="AW254" s="23">
        <f>(SUMPRODUCT(AW$9:AW$229,Nutrients!$BS$8:$BS$228)+(IF($A$7=Nutrients!$B$8,Nutrients!$BS$8,Nutrients!$BS$9)*AW$7)+(((IF($A$8=Nutrients!$B$79,Nutrients!$BS$79,(IF($A$8=Nutrients!$B$77,Nutrients!$BS$77,Nutrients!$BS$78)))))*AW$8))/2000</f>
        <v>0.46528542953652235</v>
      </c>
    </row>
    <row r="255" spans="1:56" x14ac:dyDescent="0.25">
      <c r="A255" s="41" t="s">
        <v>145</v>
      </c>
      <c r="B255" s="23">
        <f>(SUMPRODUCT(B$9:B$229,Nutrients!$BX$8:$BX$228)+(IF($A$7=Nutrients!$B$8,Nutrients!$BX$8,Nutrients!$BX$9)*B$7)+(((IF($A$8=Nutrients!$B$79,Nutrients!$BX$79,(IF($A$8=Nutrients!$B$77,Nutrients!$BX$77,Nutrients!$BX$78)))))*B$8))/2000</f>
        <v>0.5346695452711987</v>
      </c>
      <c r="C255" s="23">
        <f>(SUMPRODUCT(C$9:C$229,Nutrients!$BX$8:$BX$228)+(IF($A$7=Nutrients!$B$8,Nutrients!$BX$8,Nutrients!$BX$9)*C$7)+(((IF($A$8=Nutrients!$B$79,Nutrients!$BX$79,(IF($A$8=Nutrients!$B$77,Nutrients!$BX$77,Nutrients!$BX$78)))))*C$8))/2000</f>
        <v>0.48121097221673825</v>
      </c>
      <c r="D255" s="23">
        <f>(SUMPRODUCT(D$9:D$229,Nutrients!$BX$8:$BX$228)+(IF($A$7=Nutrients!$B$8,Nutrients!$BX$8,Nutrients!$BX$9)*D$7)+(((IF($A$8=Nutrients!$B$79,Nutrients!$BX$79,(IF($A$8=Nutrients!$B$77,Nutrients!$BX$77,Nutrients!$BX$78)))))*D$8))/2000</f>
        <v>0.42976285680817727</v>
      </c>
      <c r="E255" s="23">
        <f>(SUMPRODUCT(E$9:E$229,Nutrients!$BX$8:$BX$228)+(IF($A$7=Nutrients!$B$8,Nutrients!$BX$8,Nutrients!$BX$9)*E$7)+(((IF($A$8=Nutrients!$B$79,Nutrients!$BX$79,(IF($A$8=Nutrients!$B$77,Nutrients!$BX$77,Nutrients!$BX$78)))))*E$8))/2000</f>
        <v>0.3909770634935561</v>
      </c>
      <c r="F255" s="23">
        <f>(SUMPRODUCT(F$9:F$229,Nutrients!$BX$8:$BX$228)+(IF($A$7=Nutrients!$B$8,Nutrients!$BX$8,Nutrients!$BX$9)*F$7)+(((IF($A$8=Nutrients!$B$79,Nutrients!$BX$79,(IF($A$8=Nutrients!$B$77,Nutrients!$BX$77,Nutrients!$BX$78)))))*F$8))/2000</f>
        <v>0.36342201195104268</v>
      </c>
      <c r="G255" s="23">
        <f>(SUMPRODUCT(G$9:G$229,Nutrients!$BX$8:$BX$228)+(IF($A$7=Nutrients!$B$8,Nutrients!$BX$8,Nutrients!$BX$9)*G$7)+(((IF($A$8=Nutrients!$B$79,Nutrients!$BX$79,(IF($A$8=Nutrients!$B$77,Nutrients!$BX$77,Nutrients!$BX$78)))))*G$8))/2000</f>
        <v>0.35071811324744068</v>
      </c>
      <c r="H255" s="227"/>
      <c r="I255" s="23">
        <f>(SUMPRODUCT(I$9:I$229,Nutrients!$BX$8:$BX$228)+(IF($A$7=Nutrients!$B$8,Nutrients!$BX$8,Nutrients!$BX$9)*I$7)+(((IF($A$8=Nutrients!$B$79,Nutrients!$BX$79,(IF($A$8=Nutrients!$B$77,Nutrients!$BX$77,Nutrients!$BX$78)))))*I$8))/2000</f>
        <v>0.53378856874474034</v>
      </c>
      <c r="J255" s="23">
        <f>(SUMPRODUCT(J$9:J$229,Nutrients!$BX$8:$BX$228)+(IF($A$7=Nutrients!$B$8,Nutrients!$BX$8,Nutrients!$BX$9)*J$7)+(((IF($A$8=Nutrients!$B$79,Nutrients!$BX$79,(IF($A$8=Nutrients!$B$77,Nutrients!$BX$77,Nutrients!$BX$78)))))*J$8))/2000</f>
        <v>0.48059411815266345</v>
      </c>
      <c r="K255" s="23">
        <f>(SUMPRODUCT(K$9:K$229,Nutrients!$BX$8:$BX$228)+(IF($A$7=Nutrients!$B$8,Nutrients!$BX$8,Nutrients!$BX$9)*K$7)+(((IF($A$8=Nutrients!$B$79,Nutrients!$BX$79,(IF($A$8=Nutrients!$B$77,Nutrients!$BX$77,Nutrients!$BX$78)))))*K$8))/2000</f>
        <v>0.42936323045345376</v>
      </c>
      <c r="L255" s="23">
        <f>(SUMPRODUCT(L$9:L$229,Nutrients!$BX$8:$BX$228)+(IF($A$7=Nutrients!$B$8,Nutrients!$BX$8,Nutrients!$BX$9)*L$7)+(((IF($A$8=Nutrients!$B$79,Nutrients!$BX$79,(IF($A$8=Nutrients!$B$77,Nutrients!$BX$77,Nutrients!$BX$78)))))*L$8))/2000</f>
        <v>0.38803484247387704</v>
      </c>
      <c r="M255" s="23">
        <f>(SUMPRODUCT(M$9:M$229,Nutrients!$BX$8:$BX$228)+(IF($A$7=Nutrients!$B$8,Nutrients!$BX$8,Nutrients!$BX$9)*M$7)+(((IF($A$8=Nutrients!$B$79,Nutrients!$BX$79,(IF($A$8=Nutrients!$B$77,Nutrients!$BX$77,Nutrients!$BX$78)))))*M$8))/2000</f>
        <v>0.36126192753585401</v>
      </c>
      <c r="N255" s="23">
        <f>(SUMPRODUCT(N$9:N$229,Nutrients!$BX$8:$BX$228)+(IF($A$7=Nutrients!$B$8,Nutrients!$BX$8,Nutrients!$BX$9)*N$7)+(((IF($A$8=Nutrients!$B$79,Nutrients!$BX$79,(IF($A$8=Nutrients!$B$77,Nutrients!$BX$77,Nutrients!$BX$78)))))*N$8))/2000</f>
        <v>0.35071811324744068</v>
      </c>
      <c r="O255" s="198"/>
      <c r="P255" s="23">
        <f>(SUMPRODUCT(P$9:P$229,Nutrients!$BX$8:$BX$228)+(IF($A$7=Nutrients!$B$8,Nutrients!$BX$8,Nutrients!$BX$9)*P$7)+(((IF($A$8=Nutrients!$B$79,Nutrients!$BX$79,(IF($A$8=Nutrients!$B$77,Nutrients!$BX$77,Nutrients!$BX$78)))))*P$8))/2000</f>
        <v>0.5332451819467694</v>
      </c>
      <c r="Q255" s="23">
        <f>(SUMPRODUCT(Q$9:Q$229,Nutrients!$BX$8:$BX$228)+(IF($A$7=Nutrients!$B$8,Nutrients!$BX$8,Nutrients!$BX$9)*Q$7)+(((IF($A$8=Nutrients!$B$79,Nutrients!$BX$79,(IF($A$8=Nutrients!$B$77,Nutrients!$BX$77,Nutrients!$BX$78)))))*Q$8))/2000</f>
        <v>0.48021164559111784</v>
      </c>
      <c r="R255" s="23">
        <f>(SUMPRODUCT(R$9:R$229,Nutrients!$BX$8:$BX$228)+(IF($A$7=Nutrients!$B$8,Nutrients!$BX$8,Nutrients!$BX$9)*R$7)+(((IF($A$8=Nutrients!$B$79,Nutrients!$BX$79,(IF($A$8=Nutrients!$B$77,Nutrients!$BX$77,Nutrients!$BX$78)))))*R$8))/2000</f>
        <v>0.42915432909056112</v>
      </c>
      <c r="S255" s="23">
        <f>(SUMPRODUCT(S$9:S$229,Nutrients!$BX$8:$BX$228)+(IF($A$7=Nutrients!$B$8,Nutrients!$BX$8,Nutrients!$BX$9)*S$7)+(((IF($A$8=Nutrients!$B$79,Nutrients!$BX$79,(IF($A$8=Nutrients!$B$77,Nutrients!$BX$77,Nutrients!$BX$78)))))*S$8))/2000</f>
        <v>0.3877454559867628</v>
      </c>
      <c r="T255" s="23">
        <f>(SUMPRODUCT(T$9:T$229,Nutrients!$BX$8:$BX$228)+(IF($A$7=Nutrients!$B$8,Nutrients!$BX$8,Nutrients!$BX$9)*T$7)+(((IF($A$8=Nutrients!$B$79,Nutrients!$BX$79,(IF($A$8=Nutrients!$B$77,Nutrients!$BX$77,Nutrients!$BX$78)))))*T$8))/2000</f>
        <v>0.36109493905482715</v>
      </c>
      <c r="U255" s="23">
        <f>(SUMPRODUCT(U$9:U$229,Nutrients!$BX$8:$BX$228)+(IF($A$7=Nutrients!$B$8,Nutrients!$BX$8,Nutrients!$BX$9)*U$7)+(((IF($A$8=Nutrients!$B$79,Nutrients!$BX$79,(IF($A$8=Nutrients!$B$77,Nutrients!$BX$77,Nutrients!$BX$78)))))*U$8))/2000</f>
        <v>0.35071811324744068</v>
      </c>
      <c r="W255" s="23">
        <f>(SUMPRODUCT(W$9:W$229,Nutrients!$BX$8:$BX$228)+(IF($A$7=Nutrients!$B$8,Nutrients!$BX$8,Nutrients!$BX$9)*W$7)+(((IF($A$8=Nutrients!$B$79,Nutrients!$BX$79,(IF($A$8=Nutrients!$B$77,Nutrients!$BX$77,Nutrients!$BX$78)))))*W$8))/2000</f>
        <v>0.53270499542958349</v>
      </c>
      <c r="X255" s="23">
        <f>(SUMPRODUCT(X$9:X$229,Nutrients!$BX$8:$BX$228)+(IF($A$7=Nutrients!$B$8,Nutrients!$BX$8,Nutrients!$BX$9)*X$7)+(((IF($A$8=Nutrients!$B$79,Nutrients!$BX$79,(IF($A$8=Nutrients!$B$77,Nutrients!$BX$77,Nutrients!$BX$78)))))*X$8))/2000</f>
        <v>0.47983453580949786</v>
      </c>
      <c r="Y255" s="23">
        <f>(SUMPRODUCT(Y$9:Y$229,Nutrients!$BX$8:$BX$228)+(IF($A$7=Nutrients!$B$8,Nutrients!$BX$8,Nutrients!$BX$9)*Y$7)+(((IF($A$8=Nutrients!$B$79,Nutrients!$BX$79,(IF($A$8=Nutrients!$B$77,Nutrients!$BX$77,Nutrients!$BX$78)))))*Y$8))/2000</f>
        <v>0.42869799579519852</v>
      </c>
      <c r="Z255" s="23">
        <f>(SUMPRODUCT(Z$9:Z$229,Nutrients!$BX$8:$BX$228)+(IF($A$7=Nutrients!$B$8,Nutrients!$BX$8,Nutrients!$BX$9)*Z$7)+(((IF($A$8=Nutrients!$B$79,Nutrients!$BX$79,(IF($A$8=Nutrients!$B$77,Nutrients!$BX$77,Nutrients!$BX$78)))))*Z$8))/2000</f>
        <v>0.38751765474733407</v>
      </c>
      <c r="AA255" s="23">
        <f>(SUMPRODUCT(AA$9:AA$229,Nutrients!$BX$8:$BX$228)+(IF($A$7=Nutrients!$B$8,Nutrients!$BX$8,Nutrients!$BX$9)*AA$7)+(((IF($A$8=Nutrients!$B$79,Nutrients!$BX$79,(IF($A$8=Nutrients!$B$77,Nutrients!$BX$77,Nutrients!$BX$78)))))*AA$8))/2000</f>
        <v>0.36094333882298901</v>
      </c>
      <c r="AB255" s="23">
        <f>(SUMPRODUCT(AB$9:AB$229,Nutrients!$BX$8:$BX$228)+(IF($A$7=Nutrients!$B$8,Nutrients!$BX$8,Nutrients!$BX$9)*AB$7)+(((IF($A$8=Nutrients!$B$79,Nutrients!$BX$79,(IF($A$8=Nutrients!$B$77,Nutrients!$BX$77,Nutrients!$BX$78)))))*AB$8))/2000</f>
        <v>0.35071811324744068</v>
      </c>
      <c r="AD255" s="23">
        <f>(SUMPRODUCT(AD$9:AD$229,Nutrients!$BX$8:$BX$228)+(IF($A$7=Nutrients!$B$8,Nutrients!$BX$8,Nutrients!$BX$9)*AD$7)+(((IF($A$8=Nutrients!$B$79,Nutrients!$BX$79,(IF($A$8=Nutrients!$B$77,Nutrients!$BX$77,Nutrients!$BX$78)))))*AD$8))/2000</f>
        <v>0.53214311838781991</v>
      </c>
      <c r="AE255" s="23">
        <f>(SUMPRODUCT(AE$9:AE$229,Nutrients!$BX$8:$BX$228)+(IF($A$7=Nutrients!$B$8,Nutrients!$BX$8,Nutrients!$BX$9)*AE$7)+(((IF($A$8=Nutrients!$B$79,Nutrients!$BX$79,(IF($A$8=Nutrients!$B$77,Nutrients!$BX$77,Nutrients!$BX$78)))))*AE$8))/2000</f>
        <v>0.47920903822188488</v>
      </c>
      <c r="AF255" s="23">
        <f>(SUMPRODUCT(AF$9:AF$229,Nutrients!$BX$8:$BX$228)+(IF($A$7=Nutrients!$B$8,Nutrients!$BX$8,Nutrients!$BX$9)*AF$7)+(((IF($A$8=Nutrients!$B$79,Nutrients!$BX$79,(IF($A$8=Nutrients!$B$77,Nutrients!$BX$77,Nutrients!$BX$78)))))*AF$8))/2000</f>
        <v>0.42830139803880435</v>
      </c>
      <c r="AG255" s="23">
        <f>(SUMPRODUCT(AG$9:AG$229,Nutrients!$BX$8:$BX$228)+(IF($A$7=Nutrients!$B$8,Nutrients!$BX$8,Nutrients!$BX$9)*AG$7)+(((IF($A$8=Nutrients!$B$79,Nutrients!$BX$79,(IF($A$8=Nutrients!$B$77,Nutrients!$BX$77,Nutrients!$BX$78)))))*AG$8))/2000</f>
        <v>0.38726419632515452</v>
      </c>
      <c r="AH255" s="23">
        <f>(SUMPRODUCT(AH$9:AH$229,Nutrients!$BX$8:$BX$228)+(IF($A$7=Nutrients!$B$8,Nutrients!$BX$8,Nutrients!$BX$9)*AH$7)+(((IF($A$8=Nutrients!$B$79,Nutrients!$BX$79,(IF($A$8=Nutrients!$B$77,Nutrients!$BX$77,Nutrients!$BX$78)))))*AH$8))/2000</f>
        <v>0.36927003848018819</v>
      </c>
      <c r="AI255" s="23">
        <f>(SUMPRODUCT(AI$9:AI$229,Nutrients!$BX$8:$BX$228)+(IF($A$7=Nutrients!$B$8,Nutrients!$BX$8,Nutrients!$BX$9)*AI$7)+(((IF($A$8=Nutrients!$B$79,Nutrients!$BX$79,(IF($A$8=Nutrients!$B$77,Nutrients!$BX$77,Nutrients!$BX$78)))))*AI$8))/2000</f>
        <v>0.35071811324744068</v>
      </c>
      <c r="AK255" s="23">
        <f>(SUMPRODUCT(AK$9:AK$229,Nutrients!$BX$8:$BX$228)+(IF($A$7=Nutrients!$B$8,Nutrients!$BX$8,Nutrients!$BX$9)*AK$7)+(((IF($A$8=Nutrients!$B$79,Nutrients!$BX$79,(IF($A$8=Nutrients!$B$77,Nutrients!$BX$77,Nutrients!$BX$78)))))*AK$8))/2000</f>
        <v>0.53256418777168235</v>
      </c>
      <c r="AL255" s="23">
        <f>(SUMPRODUCT(AL$9:AL$229,Nutrients!$BX$8:$BX$228)+(IF($A$7=Nutrients!$B$8,Nutrients!$BX$8,Nutrients!$BX$9)*AL$7)+(((IF($A$8=Nutrients!$B$79,Nutrients!$BX$79,(IF($A$8=Nutrients!$B$77,Nutrients!$BX$77,Nutrients!$BX$78)))))*AL$8))/2000</f>
        <v>0.47865673190566566</v>
      </c>
      <c r="AM255" s="23">
        <f>(SUMPRODUCT(AM$9:AM$229,Nutrients!$BX$8:$BX$228)+(IF($A$7=Nutrients!$B$8,Nutrients!$BX$8,Nutrients!$BX$9)*AM$7)+(((IF($A$8=Nutrients!$B$79,Nutrients!$BX$79,(IF($A$8=Nutrients!$B$77,Nutrients!$BX$77,Nutrients!$BX$78)))))*AM$8))/2000</f>
        <v>0.42790932037022594</v>
      </c>
      <c r="AN255" s="23">
        <f>(SUMPRODUCT(AN$9:AN$229,Nutrients!$BX$8:$BX$228)+(IF($A$7=Nutrients!$B$8,Nutrients!$BX$8,Nutrients!$BX$9)*AN$7)+(((IF($A$8=Nutrients!$B$79,Nutrients!$BX$79,(IF($A$8=Nutrients!$B$77,Nutrients!$BX$77,Nutrients!$BX$78)))))*AN$8))/2000</f>
        <v>0.39348827981702539</v>
      </c>
      <c r="AO255" s="23">
        <f>(SUMPRODUCT(AO$9:AO$229,Nutrients!$BX$8:$BX$228)+(IF($A$7=Nutrients!$B$8,Nutrients!$BX$8,Nutrients!$BX$9)*AO$7)+(((IF($A$8=Nutrients!$B$79,Nutrients!$BX$79,(IF($A$8=Nutrients!$B$77,Nutrients!$BX$77,Nutrients!$BX$78)))))*AO$8))/2000</f>
        <v>0.38191591113389745</v>
      </c>
      <c r="AP255" s="23">
        <f>(SUMPRODUCT(AP$9:AP$229,Nutrients!$BX$8:$BX$228)+(IF($A$7=Nutrients!$B$8,Nutrients!$BX$8,Nutrients!$BX$9)*AP$7)+(((IF($A$8=Nutrients!$B$79,Nutrients!$BX$79,(IF($A$8=Nutrients!$B$77,Nutrients!$BX$77,Nutrients!$BX$78)))))*AP$8))/2000</f>
        <v>0.35071811324744068</v>
      </c>
      <c r="AR255" s="23">
        <f>(SUMPRODUCT(AR$9:AR$229,Nutrients!$BX$8:$BX$228)+(IF($A$7=Nutrients!$B$8,Nutrients!$BX$8,Nutrients!$BX$9)*AR$7)+(((IF($A$8=Nutrients!$B$79,Nutrients!$BX$79,(IF($A$8=Nutrients!$B$77,Nutrients!$BX$77,Nutrients!$BX$78)))))*AR$8))/2000</f>
        <v>0.53163314359506442</v>
      </c>
      <c r="AS255" s="23">
        <f>(SUMPRODUCT(AS$9:AS$229,Nutrients!$BX$8:$BX$228)+(IF($A$7=Nutrients!$B$8,Nutrients!$BX$8,Nutrients!$BX$9)*AS$7)+(((IF($A$8=Nutrients!$B$79,Nutrients!$BX$79,(IF($A$8=Nutrients!$B$77,Nutrients!$BX$77,Nutrients!$BX$78)))))*AS$8))/2000</f>
        <v>0.47810391600623625</v>
      </c>
      <c r="AT255" s="23">
        <f>(SUMPRODUCT(AT$9:AT$229,Nutrients!$BX$8:$BX$228)+(IF($A$7=Nutrients!$B$8,Nutrients!$BX$8,Nutrients!$BX$9)*AT$7)+(((IF($A$8=Nutrients!$B$79,Nutrients!$BX$79,(IF($A$8=Nutrients!$B$77,Nutrients!$BX$77,Nutrients!$BX$78)))))*AT$8))/2000</f>
        <v>0.42756246092923061</v>
      </c>
      <c r="AU255" s="23">
        <f>(SUMPRODUCT(AU$9:AU$229,Nutrients!$BX$8:$BX$228)+(IF($A$7=Nutrients!$B$8,Nutrients!$BX$8,Nutrients!$BX$9)*AU$7)+(((IF($A$8=Nutrients!$B$79,Nutrients!$BX$79,(IF($A$8=Nutrients!$B$77,Nutrients!$BX$77,Nutrients!$BX$78)))))*AU$8))/2000</f>
        <v>0.40605114181099555</v>
      </c>
      <c r="AV255" s="23">
        <f>(SUMPRODUCT(AV$9:AV$229,Nutrients!$BX$8:$BX$228)+(IF($A$7=Nutrients!$B$8,Nutrients!$BX$8,Nutrients!$BX$9)*AV$7)+(((IF($A$8=Nutrients!$B$79,Nutrients!$BX$79,(IF($A$8=Nutrients!$B$77,Nutrients!$BX$77,Nutrients!$BX$78)))))*AV$8))/2000</f>
        <v>0.39456397285733658</v>
      </c>
      <c r="AW255" s="23">
        <f>(SUMPRODUCT(AW$9:AW$229,Nutrients!$BX$8:$BX$228)+(IF($A$7=Nutrients!$B$8,Nutrients!$BX$8,Nutrients!$BX$9)*AW$7)+(((IF($A$8=Nutrients!$B$79,Nutrients!$BX$79,(IF($A$8=Nutrients!$B$77,Nutrients!$BX$77,Nutrients!$BX$78)))))*AW$8))/2000</f>
        <v>0.35071811324744068</v>
      </c>
    </row>
    <row r="256" spans="1:56" x14ac:dyDescent="0.25">
      <c r="A256" s="48" t="s">
        <v>156</v>
      </c>
      <c r="B256" s="23">
        <f>(SUMPRODUCT(B$9:B$229,Nutrients!$EB$8:$EB$228)+(IF($A$7=Nutrients!$B$8,Nutrients!$EB$8,Nutrients!$EB$9)*B$7)+(((IF($A$8=Nutrients!$B$79,Nutrients!$EB$79,(IF($A$8=Nutrients!$B$77,Nutrients!$EB$77,Nutrients!$EB$78)))))*B$8))/2000</f>
        <v>0.21736490825429733</v>
      </c>
      <c r="C256" s="23">
        <f>(SUMPRODUCT(C$9:C$229,Nutrients!$EB$8:$EB$228)+(IF($A$7=Nutrients!$B$8,Nutrients!$EB$8,Nutrients!$EB$9)*C$7)+(((IF($A$8=Nutrients!$B$79,Nutrients!$EB$79,(IF($A$8=Nutrients!$B$77,Nutrients!$EB$77,Nutrients!$EB$78)))))*C$8))/2000</f>
        <v>0.18121360963694014</v>
      </c>
      <c r="D256" s="23">
        <f>(SUMPRODUCT(D$9:D$229,Nutrients!$EB$8:$EB$228)+(IF($A$7=Nutrients!$B$8,Nutrients!$EB$8,Nutrients!$EB$9)*D$7)+(((IF($A$8=Nutrients!$B$79,Nutrients!$EB$79,(IF($A$8=Nutrients!$B$77,Nutrients!$EB$77,Nutrients!$EB$78)))))*D$8))/2000</f>
        <v>0.1446187906188299</v>
      </c>
      <c r="E256" s="23">
        <f>(SUMPRODUCT(E$9:E$229,Nutrients!$EB$8:$EB$228)+(IF($A$7=Nutrients!$B$8,Nutrients!$EB$8,Nutrients!$EB$9)*E$7)+(((IF($A$8=Nutrients!$B$79,Nutrients!$EB$79,(IF($A$8=Nutrients!$B$77,Nutrients!$EB$77,Nutrients!$EB$78)))))*E$8))/2000</f>
        <v>0.11837941481999412</v>
      </c>
      <c r="F256" s="23">
        <f>(SUMPRODUCT(F$9:F$229,Nutrients!$EB$8:$EB$228)+(IF($A$7=Nutrients!$B$8,Nutrients!$EB$8,Nutrients!$EB$9)*F$7)+(((IF($A$8=Nutrients!$B$79,Nutrients!$EB$79,(IF($A$8=Nutrients!$B$77,Nutrients!$EB$77,Nutrients!$EB$78)))))*F$8))/2000</f>
        <v>9.9071678699147347E-2</v>
      </c>
      <c r="G256" s="23">
        <f>(SUMPRODUCT(G$9:G$229,Nutrients!$EB$8:$EB$228)+(IF($A$7=Nutrients!$B$8,Nutrients!$EB$8,Nutrients!$EB$9)*G$7)+(((IF($A$8=Nutrients!$B$79,Nutrients!$EB$79,(IF($A$8=Nutrients!$B$77,Nutrients!$EB$77,Nutrients!$EB$78)))))*G$8))/2000</f>
        <v>9.0636415067427589E-2</v>
      </c>
      <c r="H256" s="227"/>
      <c r="I256" s="23">
        <f>(SUMPRODUCT(I$9:I$229,Nutrients!$EB$8:$EB$228)+(IF($A$7=Nutrients!$B$8,Nutrients!$EB$8,Nutrients!$EB$9)*I$7)+(((IF($A$8=Nutrients!$B$79,Nutrients!$EB$79,(IF($A$8=Nutrients!$B$77,Nutrients!$EB$77,Nutrients!$EB$78)))))*I$8))/2000</f>
        <v>0.1999514842033541</v>
      </c>
      <c r="J256" s="23">
        <f>(SUMPRODUCT(J$9:J$229,Nutrients!$EB$8:$EB$228)+(IF($A$7=Nutrients!$B$8,Nutrients!$EB$8,Nutrients!$EB$9)*J$7)+(((IF($A$8=Nutrients!$B$79,Nutrients!$EB$79,(IF($A$8=Nutrients!$B$77,Nutrients!$EB$77,Nutrients!$EB$78)))))*J$8))/2000</f>
        <v>0.16387526439087105</v>
      </c>
      <c r="K256" s="23">
        <f>(SUMPRODUCT(K$9:K$229,Nutrients!$EB$8:$EB$228)+(IF($A$7=Nutrients!$B$8,Nutrients!$EB$8,Nutrients!$EB$9)*K$7)+(((IF($A$8=Nutrients!$B$79,Nutrients!$EB$79,(IF($A$8=Nutrients!$B$77,Nutrients!$EB$77,Nutrients!$EB$78)))))*K$8))/2000</f>
        <v>0.12734220546868985</v>
      </c>
      <c r="L256" s="23">
        <f>(SUMPRODUCT(L$9:L$229,Nutrients!$EB$8:$EB$228)+(IF($A$7=Nutrients!$B$8,Nutrients!$EB$8,Nutrients!$EB$9)*L$7)+(((IF($A$8=Nutrients!$B$79,Nutrients!$EB$79,(IF($A$8=Nutrients!$B$77,Nutrients!$EB$77,Nutrients!$EB$78)))))*L$8))/2000</f>
        <v>9.8415421378184612E-2</v>
      </c>
      <c r="M256" s="23">
        <f>(SUMPRODUCT(M$9:M$229,Nutrients!$EB$8:$EB$228)+(IF($A$7=Nutrients!$B$8,Nutrients!$EB$8,Nutrients!$EB$9)*M$7)+(((IF($A$8=Nutrients!$B$79,Nutrients!$EB$79,(IF($A$8=Nutrients!$B$77,Nutrients!$EB$77,Nutrients!$EB$78)))))*M$8))/2000</f>
        <v>7.9910024893893719E-2</v>
      </c>
      <c r="N256" s="23">
        <f>(SUMPRODUCT(N$9:N$229,Nutrients!$EB$8:$EB$228)+(IF($A$7=Nutrients!$B$8,Nutrients!$EB$8,Nutrients!$EB$9)*N$7)+(((IF($A$8=Nutrients!$B$79,Nutrients!$EB$79,(IF($A$8=Nutrients!$B$77,Nutrients!$EB$77,Nutrients!$EB$78)))))*N$8))/2000</f>
        <v>9.0636415067427589E-2</v>
      </c>
      <c r="O256" s="198"/>
      <c r="P256" s="23">
        <f>(SUMPRODUCT(P$9:P$229,Nutrients!$EB$8:$EB$228)+(IF($A$7=Nutrients!$B$8,Nutrients!$EB$8,Nutrients!$EB$9)*P$7)+(((IF($A$8=Nutrients!$B$79,Nutrients!$EB$79,(IF($A$8=Nutrients!$B$77,Nutrients!$EB$77,Nutrients!$EB$78)))))*P$8))/2000</f>
        <v>0.18263442610220482</v>
      </c>
      <c r="Q256" s="23">
        <f>(SUMPRODUCT(Q$9:Q$229,Nutrients!$EB$8:$EB$228)+(IF($A$7=Nutrients!$B$8,Nutrients!$EB$8,Nutrients!$EB$9)*Q$7)+(((IF($A$8=Nutrients!$B$79,Nutrients!$EB$79,(IF($A$8=Nutrients!$B$77,Nutrients!$EB$77,Nutrients!$EB$78)))))*Q$8))/2000</f>
        <v>0.14660379459327735</v>
      </c>
      <c r="R256" s="23">
        <f>(SUMPRODUCT(R$9:R$229,Nutrients!$EB$8:$EB$228)+(IF($A$7=Nutrients!$B$8,Nutrients!$EB$8,Nutrients!$EB$9)*R$7)+(((IF($A$8=Nutrients!$B$79,Nutrients!$EB$79,(IF($A$8=Nutrients!$B$77,Nutrients!$EB$77,Nutrients!$EB$78)))))*R$8))/2000</f>
        <v>0.11011959705182213</v>
      </c>
      <c r="S256" s="23">
        <f>(SUMPRODUCT(S$9:S$229,Nutrients!$EB$8:$EB$228)+(IF($A$7=Nutrients!$B$8,Nutrients!$EB$8,Nutrients!$EB$9)*S$7)+(((IF($A$8=Nutrients!$B$79,Nutrients!$EB$79,(IF($A$8=Nutrients!$B$77,Nutrients!$EB$77,Nutrients!$EB$78)))))*S$8))/2000</f>
        <v>8.1170095539151887E-2</v>
      </c>
      <c r="T256" s="23">
        <f>(SUMPRODUCT(T$9:T$229,Nutrients!$EB$8:$EB$228)+(IF($A$7=Nutrients!$B$8,Nutrients!$EB$8,Nutrients!$EB$9)*T$7)+(((IF($A$8=Nutrients!$B$79,Nutrients!$EB$79,(IF($A$8=Nutrients!$B$77,Nutrients!$EB$77,Nutrients!$EB$78)))))*T$8))/2000</f>
        <v>6.2702382655822342E-2</v>
      </c>
      <c r="U256" s="23">
        <f>(SUMPRODUCT(U$9:U$229,Nutrients!$EB$8:$EB$228)+(IF($A$7=Nutrients!$B$8,Nutrients!$EB$8,Nutrients!$EB$9)*U$7)+(((IF($A$8=Nutrients!$B$79,Nutrients!$EB$79,(IF($A$8=Nutrients!$B$77,Nutrients!$EB$77,Nutrients!$EB$78)))))*U$8))/2000</f>
        <v>9.0636415067427589E-2</v>
      </c>
      <c r="W256" s="23">
        <f>(SUMPRODUCT(W$9:W$229,Nutrients!$EB$8:$EB$228)+(IF($A$7=Nutrients!$B$8,Nutrients!$EB$8,Nutrients!$EB$9)*W$7)+(((IF($A$8=Nutrients!$B$79,Nutrients!$EB$79,(IF($A$8=Nutrients!$B$77,Nutrients!$EB$77,Nutrients!$EB$78)))))*W$8))/2000</f>
        <v>0.16531775750435837</v>
      </c>
      <c r="X256" s="23">
        <f>(SUMPRODUCT(X$9:X$229,Nutrients!$EB$8:$EB$228)+(IF($A$7=Nutrients!$B$8,Nutrients!$EB$8,Nutrients!$EB$9)*X$7)+(((IF($A$8=Nutrients!$B$79,Nutrients!$EB$79,(IF($A$8=Nutrients!$B$77,Nutrients!$EB$77,Nutrients!$EB$78)))))*X$8))/2000</f>
        <v>0.1293331136348605</v>
      </c>
      <c r="Y256" s="23">
        <f>(SUMPRODUCT(Y$9:Y$229,Nutrients!$EB$8:$EB$228)+(IF($A$7=Nutrients!$B$8,Nutrients!$EB$8,Nutrients!$EB$9)*Y$7)+(((IF($A$8=Nutrients!$B$79,Nutrients!$EB$79,(IF($A$8=Nutrients!$B$77,Nutrients!$EB$77,Nutrients!$EB$78)))))*Y$8))/2000</f>
        <v>9.2826765314281842E-2</v>
      </c>
      <c r="Z256" s="23">
        <f>(SUMPRODUCT(Z$9:Z$229,Nutrients!$EB$8:$EB$228)+(IF($A$7=Nutrients!$B$8,Nutrients!$EB$8,Nutrients!$EB$9)*Z$7)+(((IF($A$8=Nutrients!$B$79,Nutrients!$EB$79,(IF($A$8=Nutrients!$B$77,Nutrients!$EB$77,Nutrients!$EB$78)))))*Z$8))/2000</f>
        <v>6.3942586903042012E-2</v>
      </c>
      <c r="AA256" s="23">
        <f>(SUMPRODUCT(AA$9:AA$229,Nutrients!$EB$8:$EB$228)+(IF($A$7=Nutrients!$B$8,Nutrients!$EB$8,Nutrients!$EB$9)*AA$7)+(((IF($A$8=Nutrients!$B$79,Nutrients!$EB$79,(IF($A$8=Nutrients!$B$77,Nutrients!$EB$77,Nutrients!$EB$78)))))*AA$8))/2000</f>
        <v>4.5499356590444018E-2</v>
      </c>
      <c r="AB256" s="23">
        <f>(SUMPRODUCT(AB$9:AB$229,Nutrients!$EB$8:$EB$228)+(IF($A$7=Nutrients!$B$8,Nutrients!$EB$8,Nutrients!$EB$9)*AB$7)+(((IF($A$8=Nutrients!$B$79,Nutrients!$EB$79,(IF($A$8=Nutrients!$B$77,Nutrients!$EB$77,Nutrients!$EB$78)))))*AB$8))/2000</f>
        <v>9.0636415067427589E-2</v>
      </c>
      <c r="AD256" s="23">
        <f>(SUMPRODUCT(AD$9:AD$229,Nutrients!$EB$8:$EB$228)+(IF($A$7=Nutrients!$B$8,Nutrients!$EB$8,Nutrients!$EB$9)*AD$7)+(((IF($A$8=Nutrients!$B$79,Nutrients!$EB$79,(IF($A$8=Nutrients!$B$77,Nutrients!$EB$77,Nutrients!$EB$78)))))*AD$8))/2000</f>
        <v>0.14799528018099922</v>
      </c>
      <c r="AE256" s="23">
        <f>(SUMPRODUCT(AE$9:AE$229,Nutrients!$EB$8:$EB$228)+(IF($A$7=Nutrients!$B$8,Nutrients!$EB$8,Nutrients!$EB$9)*AE$7)+(((IF($A$8=Nutrients!$B$79,Nutrients!$EB$79,(IF($A$8=Nutrients!$B$77,Nutrients!$EB$77,Nutrients!$EB$78)))))*AE$8))/2000</f>
        <v>0.11199271847338445</v>
      </c>
      <c r="AF256" s="23">
        <f>(SUMPRODUCT(AF$9:AF$229,Nutrients!$EB$8:$EB$228)+(IF($A$7=Nutrients!$B$8,Nutrients!$EB$8,Nutrients!$EB$9)*AF$7)+(((IF($A$8=Nutrients!$B$79,Nutrients!$EB$79,(IF($A$8=Nutrients!$B$77,Nutrients!$EB$77,Nutrients!$EB$78)))))*AF$8))/2000</f>
        <v>7.5550682695304947E-2</v>
      </c>
      <c r="AG256" s="23">
        <f>(SUMPRODUCT(AG$9:AG$229,Nutrients!$EB$8:$EB$228)+(IF($A$7=Nutrients!$B$8,Nutrients!$EB$8,Nutrients!$EB$9)*AG$7)+(((IF($A$8=Nutrients!$B$79,Nutrients!$EB$79,(IF($A$8=Nutrients!$B$77,Nutrients!$EB$77,Nutrients!$EB$78)))))*AG$8))/2000</f>
        <v>4.6711309976245959E-2</v>
      </c>
      <c r="AH256" s="23">
        <f>(SUMPRODUCT(AH$9:AH$229,Nutrients!$EB$8:$EB$228)+(IF($A$7=Nutrients!$B$8,Nutrients!$EB$8,Nutrients!$EB$9)*AH$7)+(((IF($A$8=Nutrients!$B$79,Nutrients!$EB$79,(IF($A$8=Nutrients!$B$77,Nutrients!$EB$77,Nutrients!$EB$78)))))*AH$8))/2000</f>
        <v>3.6954592012092856E-2</v>
      </c>
      <c r="AI256" s="23">
        <f>(SUMPRODUCT(AI$9:AI$229,Nutrients!$EB$8:$EB$228)+(IF($A$7=Nutrients!$B$8,Nutrients!$EB$8,Nutrients!$EB$9)*AI$7)+(((IF($A$8=Nutrients!$B$79,Nutrients!$EB$79,(IF($A$8=Nutrients!$B$77,Nutrients!$EB$77,Nutrients!$EB$78)))))*AI$8))/2000</f>
        <v>9.0636415067427589E-2</v>
      </c>
      <c r="AK256" s="23">
        <f>(SUMPRODUCT(AK$9:AK$229,Nutrients!$EB$8:$EB$228)+(IF($A$7=Nutrients!$B$8,Nutrients!$EB$8,Nutrients!$EB$9)*AK$7)+(((IF($A$8=Nutrients!$B$79,Nutrients!$EB$79,(IF($A$8=Nutrients!$B$77,Nutrients!$EB$77,Nutrients!$EB$78)))))*AK$8))/2000</f>
        <v>0.13095006608525694</v>
      </c>
      <c r="AL256" s="23">
        <f>(SUMPRODUCT(AL$9:AL$229,Nutrients!$EB$8:$EB$228)+(IF($A$7=Nutrients!$B$8,Nutrients!$EB$8,Nutrients!$EB$9)*AL$7)+(((IF($A$8=Nutrients!$B$79,Nutrients!$EB$79,(IF($A$8=Nutrients!$B$77,Nutrients!$EB$77,Nutrients!$EB$78)))))*AL$8))/2000</f>
        <v>9.4672632092210621E-2</v>
      </c>
      <c r="AM256" s="23">
        <f>(SUMPRODUCT(AM$9:AM$229,Nutrients!$EB$8:$EB$228)+(IF($A$7=Nutrients!$B$8,Nutrients!$EB$8,Nutrients!$EB$9)*AM$7)+(((IF($A$8=Nutrients!$B$79,Nutrients!$EB$79,(IF($A$8=Nutrients!$B$77,Nutrients!$EB$77,Nutrients!$EB$78)))))*AM$8))/2000</f>
        <v>5.8279841992765827E-2</v>
      </c>
      <c r="AN256" s="23">
        <f>(SUMPRODUCT(AN$9:AN$229,Nutrients!$EB$8:$EB$228)+(IF($A$7=Nutrients!$B$8,Nutrients!$EB$8,Nutrients!$EB$9)*AN$7)+(((IF($A$8=Nutrients!$B$79,Nutrients!$EB$79,(IF($A$8=Nutrients!$B$77,Nutrients!$EB$77,Nutrients!$EB$78)))))*AN$8))/2000</f>
        <v>3.6092601071185858E-2</v>
      </c>
      <c r="AO256" s="23">
        <f>(SUMPRODUCT(AO$9:AO$229,Nutrients!$EB$8:$EB$228)+(IF($A$7=Nutrients!$B$8,Nutrients!$EB$8,Nutrients!$EB$9)*AO$7)+(((IF($A$8=Nutrients!$B$79,Nutrients!$EB$79,(IF($A$8=Nutrients!$B$77,Nutrients!$EB$77,Nutrients!$EB$78)))))*AO$8))/2000</f>
        <v>3.2807409169449152E-2</v>
      </c>
      <c r="AP256" s="23">
        <f>(SUMPRODUCT(AP$9:AP$229,Nutrients!$EB$8:$EB$228)+(IF($A$7=Nutrients!$B$8,Nutrients!$EB$8,Nutrients!$EB$9)*AP$7)+(((IF($A$8=Nutrients!$B$79,Nutrients!$EB$79,(IF($A$8=Nutrients!$B$77,Nutrients!$EB$77,Nutrients!$EB$78)))))*AP$8))/2000</f>
        <v>9.0636415067427589E-2</v>
      </c>
      <c r="AR256" s="23">
        <f>(SUMPRODUCT(AR$9:AR$229,Nutrients!$EB$8:$EB$228)+(IF($A$7=Nutrients!$B$8,Nutrients!$EB$8,Nutrients!$EB$9)*AR$7)+(((IF($A$8=Nutrients!$B$79,Nutrients!$EB$79,(IF($A$8=Nutrients!$B$77,Nutrients!$EB$77,Nutrients!$EB$78)))))*AR$8))/2000</f>
        <v>0.11352324114706437</v>
      </c>
      <c r="AS256" s="23">
        <f>(SUMPRODUCT(AS$9:AS$229,Nutrients!$EB$8:$EB$228)+(IF($A$7=Nutrients!$B$8,Nutrients!$EB$8,Nutrients!$EB$9)*AS$7)+(((IF($A$8=Nutrients!$B$79,Nutrients!$EB$79,(IF($A$8=Nutrients!$B$77,Nutrients!$EB$77,Nutrients!$EB$78)))))*AS$8))/2000</f>
        <v>7.7352709299284089E-2</v>
      </c>
      <c r="AT256" s="23">
        <f>(SUMPRODUCT(AT$9:AT$229,Nutrients!$EB$8:$EB$228)+(IF($A$7=Nutrients!$B$8,Nutrients!$EB$8,Nutrients!$EB$9)*AT$7)+(((IF($A$8=Nutrients!$B$79,Nutrients!$EB$79,(IF($A$8=Nutrients!$B$77,Nutrients!$EB$77,Nutrients!$EB$78)))))*AT$8))/2000</f>
        <v>4.102215641472054E-2</v>
      </c>
      <c r="AU256" s="23">
        <f>(SUMPRODUCT(AU$9:AU$229,Nutrients!$EB$8:$EB$228)+(IF($A$7=Nutrients!$B$8,Nutrients!$EB$8,Nutrients!$EB$9)*AU$7)+(((IF($A$8=Nutrients!$B$79,Nutrients!$EB$79,(IF($A$8=Nutrients!$B$77,Nutrients!$EB$77,Nutrients!$EB$78)))))*AU$8))/2000</f>
        <v>3.1922180558355391E-2</v>
      </c>
      <c r="AV256" s="23">
        <f>(SUMPRODUCT(AV$9:AV$229,Nutrients!$EB$8:$EB$228)+(IF($A$7=Nutrients!$B$8,Nutrients!$EB$8,Nutrients!$EB$9)*AV$7)+(((IF($A$8=Nutrients!$B$79,Nutrients!$EB$79,(IF($A$8=Nutrients!$B$77,Nutrients!$EB$77,Nutrients!$EB$78)))))*AV$8))/2000</f>
        <v>2.8660688758533368E-2</v>
      </c>
      <c r="AW256" s="23">
        <f>(SUMPRODUCT(AW$9:AW$229,Nutrients!$EB$8:$EB$228)+(IF($A$7=Nutrients!$B$8,Nutrients!$EB$8,Nutrients!$EB$9)*AW$7)+(((IF($A$8=Nutrients!$B$79,Nutrients!$EB$79,(IF($A$8=Nutrients!$B$77,Nutrients!$EB$77,Nutrients!$EB$78)))))*AW$8))/2000</f>
        <v>9.0636415067427589E-2</v>
      </c>
    </row>
    <row r="257" spans="1:59" x14ac:dyDescent="0.25">
      <c r="A257" s="48" t="s">
        <v>146</v>
      </c>
      <c r="B257" s="23">
        <f>IF((SUMPRODUCT(B$9:B$229,Nutrients!$EE$8:$EE$228))=0,B256,IF((SUMPRODUCT(B$9:B$229,Nutrients!$EE$8:$EE$228))&gt;(1500*907),B256+0.14,B256+0.00000000006666*((SUMPRODUCT(B$9:B$229,Nutrients!$EE$8:$EE$228)/907))^3-0.00000023623322*((SUMPRODUCT(B$9:B$229,Nutrients!$EE$8:$EE$228)/907))^2+0.00029262722672*((SUMPRODUCT(B$9:B$229,Nutrients!$EE$8:$EE$228)/907))+0.007028328))</f>
        <v>0.32997934872513002</v>
      </c>
      <c r="C257" s="23">
        <f>IF((SUMPRODUCT(C$9:C$229,Nutrients!$EE$8:$EE$228))=0,C256,IF((SUMPRODUCT(C$9:C$229,Nutrients!$EE$8:$EE$228))&gt;(1500*907),C256+0.14,C256+0.00000000006666*((SUMPRODUCT(C$9:C$229,Nutrients!$EE$8:$EE$228)/907))^3-0.00000023623322*((SUMPRODUCT(C$9:C$229,Nutrients!$EE$8:$EE$228)/907))^2+0.00029262722672*((SUMPRODUCT(C$9:C$229,Nutrients!$EE$8:$EE$228)/907))+0.007028328))</f>
        <v>0.2938280501077728</v>
      </c>
      <c r="D257" s="23">
        <f>IF((SUMPRODUCT(D$9:D$229,Nutrients!$EE$8:$EE$228))=0,D256,IF((SUMPRODUCT(D$9:D$229,Nutrients!$EE$8:$EE$228))&gt;(1500*907),D256+0.14,D256+0.00000000006666*((SUMPRODUCT(D$9:D$229,Nutrients!$EE$8:$EE$228)/907))^3-0.00000023623322*((SUMPRODUCT(D$9:D$229,Nutrients!$EE$8:$EE$228)/907))^2+0.00029262722672*((SUMPRODUCT(D$9:D$229,Nutrients!$EE$8:$EE$228)/907))+0.007028328))</f>
        <v>0.25723323108966256</v>
      </c>
      <c r="E257" s="23">
        <f>IF((SUMPRODUCT(E$9:E$229,Nutrients!$EE$8:$EE$228))=0,E256,IF((SUMPRODUCT(E$9:E$229,Nutrients!$EE$8:$EE$228))&gt;(1500*907),E256+0.14,E256+0.00000000006666*((SUMPRODUCT(E$9:E$229,Nutrients!$EE$8:$EE$228)/907))^3-0.00000023623322*((SUMPRODUCT(E$9:E$229,Nutrients!$EE$8:$EE$228)/907))^2+0.00029262722672*((SUMPRODUCT(E$9:E$229,Nutrients!$EE$8:$EE$228)/907))+0.007028328))</f>
        <v>0.23099385529082681</v>
      </c>
      <c r="F257" s="23">
        <f>IF((SUMPRODUCT(F$9:F$229,Nutrients!$EE$8:$EE$228))=0,F256,IF((SUMPRODUCT(F$9:F$229,Nutrients!$EE$8:$EE$228))&gt;(1500*907),F256+0.14,F256+0.00000000006666*((SUMPRODUCT(F$9:F$229,Nutrients!$EE$8:$EE$228)/907))^3-0.00000023623322*((SUMPRODUCT(F$9:F$229,Nutrients!$EE$8:$EE$228)/907))^2+0.00029262722672*((SUMPRODUCT(F$9:F$229,Nutrients!$EE$8:$EE$228)/907))+0.007028328))</f>
        <v>0.21168611916998004</v>
      </c>
      <c r="G257" s="23">
        <f>IF((SUMPRODUCT(G$9:G$229,Nutrients!$EE$8:$EE$228))=0,G256,IF((SUMPRODUCT(G$9:G$229,Nutrients!$EE$8:$EE$228))&gt;(1500*907),G256+0.14,G256+0.00000000006666*((SUMPRODUCT(G$9:G$229,Nutrients!$EE$8:$EE$228)/907))^3-0.00000023623322*((SUMPRODUCT(G$9:G$229,Nutrients!$EE$8:$EE$228)/907))^2+0.00029262722672*((SUMPRODUCT(G$9:G$229,Nutrients!$EE$8:$EE$228)/907))+0.007028328))</f>
        <v>0.20325085553826028</v>
      </c>
      <c r="H257" s="227"/>
      <c r="I257" s="23">
        <f>IF((SUMPRODUCT(I$9:I$229,Nutrients!$EE$8:$EE$228))=0,I256,IF((SUMPRODUCT(I$9:I$229,Nutrients!$EE$8:$EE$228))&gt;(1500*907),I256+0.14,I256+0.00000000006666*((SUMPRODUCT(I$9:I$229,Nutrients!$EE$8:$EE$228)/907))^3-0.00000023623322*((SUMPRODUCT(I$9:I$229,Nutrients!$EE$8:$EE$228)/907))^2+0.00029262722672*((SUMPRODUCT(I$9:I$229,Nutrients!$EE$8:$EE$228)/907))+0.007028328))</f>
        <v>0.31256592467418676</v>
      </c>
      <c r="J257" s="23">
        <f>IF((SUMPRODUCT(J$9:J$229,Nutrients!$EE$8:$EE$228))=0,J256,IF((SUMPRODUCT(J$9:J$229,Nutrients!$EE$8:$EE$228))&gt;(1500*907),J256+0.14,J256+0.00000000006666*((SUMPRODUCT(J$9:J$229,Nutrients!$EE$8:$EE$228)/907))^3-0.00000023623322*((SUMPRODUCT(J$9:J$229,Nutrients!$EE$8:$EE$228)/907))^2+0.00029262722672*((SUMPRODUCT(J$9:J$229,Nutrients!$EE$8:$EE$228)/907))+0.007028328))</f>
        <v>0.27648970486170377</v>
      </c>
      <c r="K257" s="23">
        <f>IF((SUMPRODUCT(K$9:K$229,Nutrients!$EE$8:$EE$228))=0,K256,IF((SUMPRODUCT(K$9:K$229,Nutrients!$EE$8:$EE$228))&gt;(1500*907),K256+0.14,K256+0.00000000006666*((SUMPRODUCT(K$9:K$229,Nutrients!$EE$8:$EE$228)/907))^3-0.00000023623322*((SUMPRODUCT(K$9:K$229,Nutrients!$EE$8:$EE$228)/907))^2+0.00029262722672*((SUMPRODUCT(K$9:K$229,Nutrients!$EE$8:$EE$228)/907))+0.007028328))</f>
        <v>0.23995664593952251</v>
      </c>
      <c r="L257" s="23">
        <f>IF((SUMPRODUCT(L$9:L$229,Nutrients!$EE$8:$EE$228))=0,L256,IF((SUMPRODUCT(L$9:L$229,Nutrients!$EE$8:$EE$228))&gt;(1500*907),L256+0.14,L256+0.00000000006666*((SUMPRODUCT(L$9:L$229,Nutrients!$EE$8:$EE$228)/907))^3-0.00000023623322*((SUMPRODUCT(L$9:L$229,Nutrients!$EE$8:$EE$228)/907))^2+0.00029262722672*((SUMPRODUCT(L$9:L$229,Nutrients!$EE$8:$EE$228)/907))+0.007028328))</f>
        <v>0.21102986184901731</v>
      </c>
      <c r="M257" s="23">
        <f>IF((SUMPRODUCT(M$9:M$229,Nutrients!$EE$8:$EE$228))=0,M256,IF((SUMPRODUCT(M$9:M$229,Nutrients!$EE$8:$EE$228))&gt;(1500*907),M256+0.14,M256+0.00000000006666*((SUMPRODUCT(M$9:M$229,Nutrients!$EE$8:$EE$228)/907))^3-0.00000023623322*((SUMPRODUCT(M$9:M$229,Nutrients!$EE$8:$EE$228)/907))^2+0.00029262722672*((SUMPRODUCT(M$9:M$229,Nutrients!$EE$8:$EE$228)/907))+0.007028328))</f>
        <v>0.19252446536472642</v>
      </c>
      <c r="N257" s="23">
        <f>IF((SUMPRODUCT(N$9:N$229,Nutrients!$EE$8:$EE$228))=0,N256,IF((SUMPRODUCT(N$9:N$229,Nutrients!$EE$8:$EE$228))&gt;(1500*907),N256+0.14,N256+0.00000000006666*((SUMPRODUCT(N$9:N$229,Nutrients!$EE$8:$EE$228)/907))^3-0.00000023623322*((SUMPRODUCT(N$9:N$229,Nutrients!$EE$8:$EE$228)/907))^2+0.00029262722672*((SUMPRODUCT(N$9:N$229,Nutrients!$EE$8:$EE$228)/907))+0.007028328))</f>
        <v>0.20325085553826028</v>
      </c>
      <c r="O257" s="198"/>
      <c r="P257" s="23">
        <f>IF((SUMPRODUCT(P$9:P$229,Nutrients!$EE$8:$EE$228))=0,P256,IF((SUMPRODUCT(P$9:P$229,Nutrients!$EE$8:$EE$228))&gt;(1500*907),P256+0.14,P256+0.00000000006666*((SUMPRODUCT(P$9:P$229,Nutrients!$EE$8:$EE$228)/907))^3-0.00000023623322*((SUMPRODUCT(P$9:P$229,Nutrients!$EE$8:$EE$228)/907))^2+0.00029262722672*((SUMPRODUCT(P$9:P$229,Nutrients!$EE$8:$EE$228)/907))+0.007028328))</f>
        <v>0.29524886657303751</v>
      </c>
      <c r="Q257" s="23">
        <f>IF((SUMPRODUCT(Q$9:Q$229,Nutrients!$EE$8:$EE$228))=0,Q256,IF((SUMPRODUCT(Q$9:Q$229,Nutrients!$EE$8:$EE$228))&gt;(1500*907),Q256+0.14,Q256+0.00000000006666*((SUMPRODUCT(Q$9:Q$229,Nutrients!$EE$8:$EE$228)/907))^3-0.00000023623322*((SUMPRODUCT(Q$9:Q$229,Nutrients!$EE$8:$EE$228)/907))^2+0.00029262722672*((SUMPRODUCT(Q$9:Q$229,Nutrients!$EE$8:$EE$228)/907))+0.007028328))</f>
        <v>0.25921823506411001</v>
      </c>
      <c r="R257" s="23">
        <f>IF((SUMPRODUCT(R$9:R$229,Nutrients!$EE$8:$EE$228))=0,R256,IF((SUMPRODUCT(R$9:R$229,Nutrients!$EE$8:$EE$228))&gt;(1500*907),R256+0.14,R256+0.00000000006666*((SUMPRODUCT(R$9:R$229,Nutrients!$EE$8:$EE$228)/907))^3-0.00000023623322*((SUMPRODUCT(R$9:R$229,Nutrients!$EE$8:$EE$228)/907))^2+0.00029262722672*((SUMPRODUCT(R$9:R$229,Nutrients!$EE$8:$EE$228)/907))+0.007028328))</f>
        <v>0.22273403752265483</v>
      </c>
      <c r="S257" s="23">
        <f>IF((SUMPRODUCT(S$9:S$229,Nutrients!$EE$8:$EE$228))=0,S256,IF((SUMPRODUCT(S$9:S$229,Nutrients!$EE$8:$EE$228))&gt;(1500*907),S256+0.14,S256+0.00000000006666*((SUMPRODUCT(S$9:S$229,Nutrients!$EE$8:$EE$228)/907))^3-0.00000023623322*((SUMPRODUCT(S$9:S$229,Nutrients!$EE$8:$EE$228)/907))^2+0.00029262722672*((SUMPRODUCT(S$9:S$229,Nutrients!$EE$8:$EE$228)/907))+0.007028328))</f>
        <v>0.19378453600998458</v>
      </c>
      <c r="T257" s="23">
        <f>IF((SUMPRODUCT(T$9:T$229,Nutrients!$EE$8:$EE$228))=0,T256,IF((SUMPRODUCT(T$9:T$229,Nutrients!$EE$8:$EE$228))&gt;(1500*907),T256+0.14,T256+0.00000000006666*((SUMPRODUCT(T$9:T$229,Nutrients!$EE$8:$EE$228)/907))^3-0.00000023623322*((SUMPRODUCT(T$9:T$229,Nutrients!$EE$8:$EE$228)/907))^2+0.00029262722672*((SUMPRODUCT(T$9:T$229,Nutrients!$EE$8:$EE$228)/907))+0.007028328))</f>
        <v>0.17531682312665503</v>
      </c>
      <c r="U257" s="23">
        <f>IF((SUMPRODUCT(U$9:U$229,Nutrients!$EE$8:$EE$228))=0,U256,IF((SUMPRODUCT(U$9:U$229,Nutrients!$EE$8:$EE$228))&gt;(1500*907),U256+0.14,U256+0.00000000006666*((SUMPRODUCT(U$9:U$229,Nutrients!$EE$8:$EE$228)/907))^3-0.00000023623322*((SUMPRODUCT(U$9:U$229,Nutrients!$EE$8:$EE$228)/907))^2+0.00029262722672*((SUMPRODUCT(U$9:U$229,Nutrients!$EE$8:$EE$228)/907))+0.007028328))</f>
        <v>0.20325085553826028</v>
      </c>
      <c r="W257" s="23">
        <f>IF((SUMPRODUCT(W$9:W$229,Nutrients!$EE$8:$EE$228))=0,W256,IF((SUMPRODUCT(W$9:W$229,Nutrients!$EE$8:$EE$228))&gt;(1500*907),W256+0.14,W256+0.00000000006666*((SUMPRODUCT(W$9:W$229,Nutrients!$EE$8:$EE$228)/907))^3-0.00000023623322*((SUMPRODUCT(W$9:W$229,Nutrients!$EE$8:$EE$228)/907))^2+0.00029262722672*((SUMPRODUCT(W$9:W$229,Nutrients!$EE$8:$EE$228)/907))+0.007028328))</f>
        <v>0.27793219797519109</v>
      </c>
      <c r="X257" s="23">
        <f>IF((SUMPRODUCT(X$9:X$229,Nutrients!$EE$8:$EE$228))=0,X256,IF((SUMPRODUCT(X$9:X$229,Nutrients!$EE$8:$EE$228))&gt;(1500*907),X256+0.14,X256+0.00000000006666*((SUMPRODUCT(X$9:X$229,Nutrients!$EE$8:$EE$228)/907))^3-0.00000023623322*((SUMPRODUCT(X$9:X$229,Nutrients!$EE$8:$EE$228)/907))^2+0.00029262722672*((SUMPRODUCT(X$9:X$229,Nutrients!$EE$8:$EE$228)/907))+0.007028328))</f>
        <v>0.24194755410569316</v>
      </c>
      <c r="Y257" s="23">
        <f>IF((SUMPRODUCT(Y$9:Y$229,Nutrients!$EE$8:$EE$228))=0,Y256,IF((SUMPRODUCT(Y$9:Y$229,Nutrients!$EE$8:$EE$228))&gt;(1500*907),Y256+0.14,Y256+0.00000000006666*((SUMPRODUCT(Y$9:Y$229,Nutrients!$EE$8:$EE$228)/907))^3-0.00000023623322*((SUMPRODUCT(Y$9:Y$229,Nutrients!$EE$8:$EE$228)/907))^2+0.00029262722672*((SUMPRODUCT(Y$9:Y$229,Nutrients!$EE$8:$EE$228)/907))+0.007028328))</f>
        <v>0.20544120578511452</v>
      </c>
      <c r="Z257" s="23">
        <f>IF((SUMPRODUCT(Z$9:Z$229,Nutrients!$EE$8:$EE$228))=0,Z256,IF((SUMPRODUCT(Z$9:Z$229,Nutrients!$EE$8:$EE$228))&gt;(1500*907),Z256+0.14,Z256+0.00000000006666*((SUMPRODUCT(Z$9:Z$229,Nutrients!$EE$8:$EE$228)/907))^3-0.00000023623322*((SUMPRODUCT(Z$9:Z$229,Nutrients!$EE$8:$EE$228)/907))^2+0.00029262722672*((SUMPRODUCT(Z$9:Z$229,Nutrients!$EE$8:$EE$228)/907))+0.007028328))</f>
        <v>0.17655702737387471</v>
      </c>
      <c r="AA257" s="23">
        <f>IF((SUMPRODUCT(AA$9:AA$229,Nutrients!$EE$8:$EE$228))=0,AA256,IF((SUMPRODUCT(AA$9:AA$229,Nutrients!$EE$8:$EE$228))&gt;(1500*907),AA256+0.14,AA256+0.00000000006666*((SUMPRODUCT(AA$9:AA$229,Nutrients!$EE$8:$EE$228)/907))^3-0.00000023623322*((SUMPRODUCT(AA$9:AA$229,Nutrients!$EE$8:$EE$228)/907))^2+0.00029262722672*((SUMPRODUCT(AA$9:AA$229,Nutrients!$EE$8:$EE$228)/907))+0.007028328))</f>
        <v>0.15811379706127671</v>
      </c>
      <c r="AB257" s="23">
        <f>IF((SUMPRODUCT(AB$9:AB$229,Nutrients!$EE$8:$EE$228))=0,AB256,IF((SUMPRODUCT(AB$9:AB$229,Nutrients!$EE$8:$EE$228))&gt;(1500*907),AB256+0.14,AB256+0.00000000006666*((SUMPRODUCT(AB$9:AB$229,Nutrients!$EE$8:$EE$228)/907))^3-0.00000023623322*((SUMPRODUCT(AB$9:AB$229,Nutrients!$EE$8:$EE$228)/907))^2+0.00029262722672*((SUMPRODUCT(AB$9:AB$229,Nutrients!$EE$8:$EE$228)/907))+0.007028328))</f>
        <v>0.20325085553826028</v>
      </c>
      <c r="AD257" s="23">
        <f>IF((SUMPRODUCT(AD$9:AD$229,Nutrients!$EE$8:$EE$228))=0,AD256,IF((SUMPRODUCT(AD$9:AD$229,Nutrients!$EE$8:$EE$228))&gt;(1500*907),AD256+0.14,AD256+0.00000000006666*((SUMPRODUCT(AD$9:AD$229,Nutrients!$EE$8:$EE$228)/907))^3-0.00000023623322*((SUMPRODUCT(AD$9:AD$229,Nutrients!$EE$8:$EE$228)/907))^2+0.00029262722672*((SUMPRODUCT(AD$9:AD$229,Nutrients!$EE$8:$EE$228)/907))+0.007028328))</f>
        <v>0.26060972065183186</v>
      </c>
      <c r="AE257" s="23">
        <f>IF((SUMPRODUCT(AE$9:AE$229,Nutrients!$EE$8:$EE$228))=0,AE256,IF((SUMPRODUCT(AE$9:AE$229,Nutrients!$EE$8:$EE$228))&gt;(1500*907),AE256+0.14,AE256+0.00000000006666*((SUMPRODUCT(AE$9:AE$229,Nutrients!$EE$8:$EE$228)/907))^3-0.00000023623322*((SUMPRODUCT(AE$9:AE$229,Nutrients!$EE$8:$EE$228)/907))^2+0.00029262722672*((SUMPRODUCT(AE$9:AE$229,Nutrients!$EE$8:$EE$228)/907))+0.007028328))</f>
        <v>0.22460715894421715</v>
      </c>
      <c r="AF257" s="23">
        <f>IF((SUMPRODUCT(AF$9:AF$229,Nutrients!$EE$8:$EE$228))=0,AF256,IF((SUMPRODUCT(AF$9:AF$229,Nutrients!$EE$8:$EE$228))&gt;(1500*907),AF256+0.14,AF256+0.00000000006666*((SUMPRODUCT(AF$9:AF$229,Nutrients!$EE$8:$EE$228)/907))^3-0.00000023623322*((SUMPRODUCT(AF$9:AF$229,Nutrients!$EE$8:$EE$228)/907))^2+0.00029262722672*((SUMPRODUCT(AF$9:AF$229,Nutrients!$EE$8:$EE$228)/907))+0.007028328))</f>
        <v>0.18816512316613762</v>
      </c>
      <c r="AG257" s="23">
        <f>IF((SUMPRODUCT(AG$9:AG$229,Nutrients!$EE$8:$EE$228))=0,AG256,IF((SUMPRODUCT(AG$9:AG$229,Nutrients!$EE$8:$EE$228))&gt;(1500*907),AG256+0.14,AG256+0.00000000006666*((SUMPRODUCT(AG$9:AG$229,Nutrients!$EE$8:$EE$228)/907))^3-0.00000023623322*((SUMPRODUCT(AG$9:AG$229,Nutrients!$EE$8:$EE$228)/907))^2+0.00029262722672*((SUMPRODUCT(AG$9:AG$229,Nutrients!$EE$8:$EE$228)/907))+0.007028328))</f>
        <v>0.15932575044707864</v>
      </c>
      <c r="AH257" s="23">
        <f>IF((SUMPRODUCT(AH$9:AH$229,Nutrients!$EE$8:$EE$228))=0,AH256,IF((SUMPRODUCT(AH$9:AH$229,Nutrients!$EE$8:$EE$228))&gt;(1500*907),AH256+0.14,AH256+0.00000000006666*((SUMPRODUCT(AH$9:AH$229,Nutrients!$EE$8:$EE$228)/907))^3-0.00000023623322*((SUMPRODUCT(AH$9:AH$229,Nutrients!$EE$8:$EE$228)/907))^2+0.00029262722672*((SUMPRODUCT(AH$9:AH$229,Nutrients!$EE$8:$EE$228)/907))+0.007028328))</f>
        <v>0.14956903248292555</v>
      </c>
      <c r="AI257" s="23">
        <f>IF((SUMPRODUCT(AI$9:AI$229,Nutrients!$EE$8:$EE$228))=0,AI256,IF((SUMPRODUCT(AI$9:AI$229,Nutrients!$EE$8:$EE$228))&gt;(1500*907),AI256+0.14,AI256+0.00000000006666*((SUMPRODUCT(AI$9:AI$229,Nutrients!$EE$8:$EE$228)/907))^3-0.00000023623322*((SUMPRODUCT(AI$9:AI$229,Nutrients!$EE$8:$EE$228)/907))^2+0.00029262722672*((SUMPRODUCT(AI$9:AI$229,Nutrients!$EE$8:$EE$228)/907))+0.007028328))</f>
        <v>0.20325085553826028</v>
      </c>
      <c r="AK257" s="23">
        <f>IF((SUMPRODUCT(AK$9:AK$229,Nutrients!$EE$8:$EE$228))=0,AK256,IF((SUMPRODUCT(AK$9:AK$229,Nutrients!$EE$8:$EE$228))&gt;(1500*907),AK256+0.14,AK256+0.00000000006666*((SUMPRODUCT(AK$9:AK$229,Nutrients!$EE$8:$EE$228)/907))^3-0.00000023623322*((SUMPRODUCT(AK$9:AK$229,Nutrients!$EE$8:$EE$228)/907))^2+0.00029262722672*((SUMPRODUCT(AK$9:AK$229,Nutrients!$EE$8:$EE$228)/907))+0.007028328))</f>
        <v>0.2435645065560896</v>
      </c>
      <c r="AL257" s="23">
        <f>IF((SUMPRODUCT(AL$9:AL$229,Nutrients!$EE$8:$EE$228))=0,AL256,IF((SUMPRODUCT(AL$9:AL$229,Nutrients!$EE$8:$EE$228))&gt;(1500*907),AL256+0.14,AL256+0.00000000006666*((SUMPRODUCT(AL$9:AL$229,Nutrients!$EE$8:$EE$228)/907))^3-0.00000023623322*((SUMPRODUCT(AL$9:AL$229,Nutrients!$EE$8:$EE$228)/907))^2+0.00029262722672*((SUMPRODUCT(AL$9:AL$229,Nutrients!$EE$8:$EE$228)/907))+0.007028328))</f>
        <v>0.20728707256304332</v>
      </c>
      <c r="AM257" s="23">
        <f>IF((SUMPRODUCT(AM$9:AM$229,Nutrients!$EE$8:$EE$228))=0,AM256,IF((SUMPRODUCT(AM$9:AM$229,Nutrients!$EE$8:$EE$228))&gt;(1500*907),AM256+0.14,AM256+0.00000000006666*((SUMPRODUCT(AM$9:AM$229,Nutrients!$EE$8:$EE$228)/907))^3-0.00000023623322*((SUMPRODUCT(AM$9:AM$229,Nutrients!$EE$8:$EE$228)/907))^2+0.00029262722672*((SUMPRODUCT(AM$9:AM$229,Nutrients!$EE$8:$EE$228)/907))+0.007028328))</f>
        <v>0.17089428246359853</v>
      </c>
      <c r="AN257" s="23">
        <f>IF((SUMPRODUCT(AN$9:AN$229,Nutrients!$EE$8:$EE$228))=0,AN256,IF((SUMPRODUCT(AN$9:AN$229,Nutrients!$EE$8:$EE$228))&gt;(1500*907),AN256+0.14,AN256+0.00000000006666*((SUMPRODUCT(AN$9:AN$229,Nutrients!$EE$8:$EE$228)/907))^3-0.00000023623322*((SUMPRODUCT(AN$9:AN$229,Nutrients!$EE$8:$EE$228)/907))^2+0.00029262722672*((SUMPRODUCT(AN$9:AN$229,Nutrients!$EE$8:$EE$228)/907))+0.007028328))</f>
        <v>0.14870704154201855</v>
      </c>
      <c r="AO257" s="23">
        <f>IF((SUMPRODUCT(AO$9:AO$229,Nutrients!$EE$8:$EE$228))=0,AO256,IF((SUMPRODUCT(AO$9:AO$229,Nutrients!$EE$8:$EE$228))&gt;(1500*907),AO256+0.14,AO256+0.00000000006666*((SUMPRODUCT(AO$9:AO$229,Nutrients!$EE$8:$EE$228)/907))^3-0.00000023623322*((SUMPRODUCT(AO$9:AO$229,Nutrients!$EE$8:$EE$228)/907))^2+0.00029262722672*((SUMPRODUCT(AO$9:AO$229,Nutrients!$EE$8:$EE$228)/907))+0.007028328))</f>
        <v>0.14542184964028185</v>
      </c>
      <c r="AP257" s="23">
        <f>IF((SUMPRODUCT(AP$9:AP$229,Nutrients!$EE$8:$EE$228))=0,AP256,IF((SUMPRODUCT(AP$9:AP$229,Nutrients!$EE$8:$EE$228))&gt;(1500*907),AP256+0.14,AP256+0.00000000006666*((SUMPRODUCT(AP$9:AP$229,Nutrients!$EE$8:$EE$228)/907))^3-0.00000023623322*((SUMPRODUCT(AP$9:AP$229,Nutrients!$EE$8:$EE$228)/907))^2+0.00029262722672*((SUMPRODUCT(AP$9:AP$229,Nutrients!$EE$8:$EE$228)/907))+0.007028328))</f>
        <v>0.20325085553826028</v>
      </c>
      <c r="AR257" s="23">
        <f>IF((SUMPRODUCT(AR$9:AR$229,Nutrients!$EE$8:$EE$228))=0,AR256,IF((SUMPRODUCT(AR$9:AR$229,Nutrients!$EE$8:$EE$228))&gt;(1500*907),AR256+0.14,AR256+0.00000000006666*((SUMPRODUCT(AR$9:AR$229,Nutrients!$EE$8:$EE$228)/907))^3-0.00000023623322*((SUMPRODUCT(AR$9:AR$229,Nutrients!$EE$8:$EE$228)/907))^2+0.00029262722672*((SUMPRODUCT(AR$9:AR$229,Nutrients!$EE$8:$EE$228)/907))+0.007028328))</f>
        <v>0.22613768161789707</v>
      </c>
      <c r="AS257" s="23">
        <f>IF((SUMPRODUCT(AS$9:AS$229,Nutrients!$EE$8:$EE$228))=0,AS256,IF((SUMPRODUCT(AS$9:AS$229,Nutrients!$EE$8:$EE$228))&gt;(1500*907),AS256+0.14,AS256+0.00000000006666*((SUMPRODUCT(AS$9:AS$229,Nutrients!$EE$8:$EE$228)/907))^3-0.00000023623322*((SUMPRODUCT(AS$9:AS$229,Nutrients!$EE$8:$EE$228)/907))^2+0.00029262722672*((SUMPRODUCT(AS$9:AS$229,Nutrients!$EE$8:$EE$228)/907))+0.007028328))</f>
        <v>0.18996714977011678</v>
      </c>
      <c r="AT257" s="23">
        <f>IF((SUMPRODUCT(AT$9:AT$229,Nutrients!$EE$8:$EE$228))=0,AT256,IF((SUMPRODUCT(AT$9:AT$229,Nutrients!$EE$8:$EE$228))&gt;(1500*907),AT256+0.14,AT256+0.00000000006666*((SUMPRODUCT(AT$9:AT$229,Nutrients!$EE$8:$EE$228)/907))^3-0.00000023623322*((SUMPRODUCT(AT$9:AT$229,Nutrients!$EE$8:$EE$228)/907))^2+0.00029262722672*((SUMPRODUCT(AT$9:AT$229,Nutrients!$EE$8:$EE$228)/907))+0.007028328))</f>
        <v>0.15363659688555323</v>
      </c>
      <c r="AU257" s="23">
        <f>IF((SUMPRODUCT(AU$9:AU$229,Nutrients!$EE$8:$EE$228))=0,AU256,IF((SUMPRODUCT(AU$9:AU$229,Nutrients!$EE$8:$EE$228))&gt;(1500*907),AU256+0.14,AU256+0.00000000006666*((SUMPRODUCT(AU$9:AU$229,Nutrients!$EE$8:$EE$228)/907))^3-0.00000023623322*((SUMPRODUCT(AU$9:AU$229,Nutrients!$EE$8:$EE$228)/907))^2+0.00029262722672*((SUMPRODUCT(AU$9:AU$229,Nutrients!$EE$8:$EE$228)/907))+0.007028328))</f>
        <v>0.14453662102918807</v>
      </c>
      <c r="AV257" s="23">
        <f>IF((SUMPRODUCT(AV$9:AV$229,Nutrients!$EE$8:$EE$228))=0,AV256,IF((SUMPRODUCT(AV$9:AV$229,Nutrients!$EE$8:$EE$228))&gt;(1500*907),AV256+0.14,AV256+0.00000000006666*((SUMPRODUCT(AV$9:AV$229,Nutrients!$EE$8:$EE$228)/907))^3-0.00000023623322*((SUMPRODUCT(AV$9:AV$229,Nutrients!$EE$8:$EE$228)/907))^2+0.00029262722672*((SUMPRODUCT(AV$9:AV$229,Nutrients!$EE$8:$EE$228)/907))+0.007028328))</f>
        <v>0.14127512922936605</v>
      </c>
      <c r="AW257" s="23">
        <f>IF((SUMPRODUCT(AW$9:AW$229,Nutrients!$EE$8:$EE$228))=0,AW256,IF((SUMPRODUCT(AW$9:AW$229,Nutrients!$EE$8:$EE$228))&gt;(1500*907),AW256+0.14,AW256+0.00000000006666*((SUMPRODUCT(AW$9:AW$229,Nutrients!$EE$8:$EE$228)/907))^3-0.00000023623322*((SUMPRODUCT(AW$9:AW$229,Nutrients!$EE$8:$EE$228)/907))^2+0.00029262722672*((SUMPRODUCT(AW$9:AW$229,Nutrients!$EE$8:$EE$228)/907))+0.007028328))</f>
        <v>0.20325085553826028</v>
      </c>
    </row>
    <row r="258" spans="1:59" x14ac:dyDescent="0.25">
      <c r="A258" t="s">
        <v>28</v>
      </c>
      <c r="B258" s="23">
        <f t="shared" ref="B258:G258" si="48">IF(B$5="","",(B257)/(B246*2.2046)*10000)</f>
        <v>1.0033088419067715</v>
      </c>
      <c r="C258" s="23">
        <f t="shared" si="48"/>
        <v>0.89010895745377694</v>
      </c>
      <c r="D258" s="23">
        <f t="shared" si="48"/>
        <v>0.77668715413339373</v>
      </c>
      <c r="E258" s="23">
        <f t="shared" si="48"/>
        <v>0.69541943453482424</v>
      </c>
      <c r="F258" s="23">
        <f t="shared" si="48"/>
        <v>0.63585195401614236</v>
      </c>
      <c r="G258" s="23">
        <f t="shared" si="48"/>
        <v>0.60998469661164556</v>
      </c>
      <c r="H258" s="227"/>
      <c r="I258" s="23">
        <f t="shared" ref="I258:N258" si="49">IF(I$5="","",(I257)/(I246*2.2046)*10000)</f>
        <v>0.94817795366630575</v>
      </c>
      <c r="J258" s="23">
        <f t="shared" si="49"/>
        <v>0.83569789088214974</v>
      </c>
      <c r="K258" s="23">
        <f t="shared" si="49"/>
        <v>0.72290914957302121</v>
      </c>
      <c r="L258" s="23">
        <f t="shared" si="49"/>
        <v>0.63377745380668538</v>
      </c>
      <c r="M258" s="23">
        <f t="shared" si="49"/>
        <v>0.57693609433714177</v>
      </c>
      <c r="N258" s="23">
        <f t="shared" si="49"/>
        <v>0.60998469661164556</v>
      </c>
      <c r="O258" s="198"/>
      <c r="P258" s="23">
        <f t="shared" ref="P258:U258" si="50">IF(P$5="","",(P257)/(P246*2.2046)*10000)</f>
        <v>0.8936296551475581</v>
      </c>
      <c r="Q258" s="23">
        <f t="shared" si="50"/>
        <v>0.78174138498824974</v>
      </c>
      <c r="R258" s="23">
        <f t="shared" si="50"/>
        <v>0.66954066706953008</v>
      </c>
      <c r="S258" s="23">
        <f t="shared" si="50"/>
        <v>0.58069992450238961</v>
      </c>
      <c r="T258" s="23">
        <f t="shared" si="50"/>
        <v>0.52419130907420475</v>
      </c>
      <c r="U258" s="23">
        <f t="shared" si="50"/>
        <v>0.60998469661164556</v>
      </c>
      <c r="W258" s="23">
        <f t="shared" ref="W258:AB258" si="51">IF(W$5="","",(W257)/(W246*2.2046)*10000)</f>
        <v>0.83931345157352166</v>
      </c>
      <c r="X258" s="23">
        <f t="shared" si="51"/>
        <v>0.72801966889261061</v>
      </c>
      <c r="Y258" s="23">
        <f t="shared" si="51"/>
        <v>0.61617178725534494</v>
      </c>
      <c r="Z258" s="23">
        <f t="shared" si="51"/>
        <v>0.52789236909418391</v>
      </c>
      <c r="AA258" s="23">
        <f t="shared" si="51"/>
        <v>0.47168071709457926</v>
      </c>
      <c r="AB258" s="23">
        <f t="shared" si="51"/>
        <v>0.60998469661164556</v>
      </c>
      <c r="AD258" s="23">
        <f t="shared" ref="AD258:AI258" si="52">IF(AD$5="","",(AD257)/(AD246*2.2046)*10000)</f>
        <v>0.78523193127857249</v>
      </c>
      <c r="AE258" s="23">
        <f t="shared" si="52"/>
        <v>0.67432532779094589</v>
      </c>
      <c r="AF258" s="23">
        <f t="shared" si="52"/>
        <v>0.56310654866349152</v>
      </c>
      <c r="AG258" s="23">
        <f t="shared" si="52"/>
        <v>0.47529395287466303</v>
      </c>
      <c r="AH258" s="23">
        <f t="shared" si="52"/>
        <v>0.44544004858701058</v>
      </c>
      <c r="AI258" s="23">
        <f t="shared" si="52"/>
        <v>0.60998469661164556</v>
      </c>
      <c r="AK258" s="23">
        <f t="shared" ref="AK258:AP258" si="53">IF(AK$5="","",(AK257)/(AK246*2.2046)*10000)</f>
        <v>0.73227701971379644</v>
      </c>
      <c r="AL258" s="23">
        <f t="shared" si="53"/>
        <v>0.62092861203666116</v>
      </c>
      <c r="AM258" s="23">
        <f t="shared" si="53"/>
        <v>0.51025026311403932</v>
      </c>
      <c r="AN258" s="23">
        <f t="shared" si="53"/>
        <v>0.44280658729353678</v>
      </c>
      <c r="AO258" s="23">
        <f t="shared" si="53"/>
        <v>0.43248194183511252</v>
      </c>
      <c r="AP258" s="23">
        <f t="shared" si="53"/>
        <v>0.60998469661164556</v>
      </c>
      <c r="AR258" s="23">
        <f t="shared" ref="AR258:AW258" si="54">IF(AR$5="","",(AR257)/(AR246*2.2046)*10000)</f>
        <v>0.67833839562208609</v>
      </c>
      <c r="AS258" s="23">
        <f t="shared" si="54"/>
        <v>0.5677774117081692</v>
      </c>
      <c r="AT258" s="23">
        <f t="shared" si="54"/>
        <v>0.45768216214136442</v>
      </c>
      <c r="AU258" s="23">
        <f t="shared" si="54"/>
        <v>0.42978504462169614</v>
      </c>
      <c r="AV258" s="23">
        <f t="shared" si="54"/>
        <v>0.41956300812847991</v>
      </c>
      <c r="AW258" s="23">
        <f t="shared" si="54"/>
        <v>0.60998469661164556</v>
      </c>
    </row>
    <row r="259" spans="1:59" x14ac:dyDescent="0.25">
      <c r="A259" s="34" t="s">
        <v>346</v>
      </c>
      <c r="B259" s="227">
        <f>((SUMPRODUCT(B$9:B$229,Nutrients!$DR$8:$DR$228)+(IF($A$7=Nutrients!$B$8,Nutrients!$DR$8,Nutrients!$DR$9)*B$7)+(((IF($A$8=Nutrients!$B$79,Nutrients!$DR$79,(IF($A$8=Nutrients!$B$77,Nutrients!$DR$77,Nutrients!$DR$78)))))*B$8))/2000)</f>
        <v>0.28998961246592625</v>
      </c>
      <c r="C259" s="227">
        <f>((SUMPRODUCT(C$9:C$229,Nutrients!$DR$8:$DR$228)+(IF($A$7=Nutrients!$B$8,Nutrients!$DR$8,Nutrients!$DR$9)*C$7)+(((IF($A$8=Nutrients!$B$79,Nutrients!$DR$79,(IF($A$8=Nutrients!$B$77,Nutrients!$DR$77,Nutrients!$DR$78)))))*C$8))/2000)</f>
        <v>0.25045553392749997</v>
      </c>
      <c r="D259" s="227">
        <f>((SUMPRODUCT(D$9:D$229,Nutrients!$DR$8:$DR$228)+(IF($A$7=Nutrients!$B$8,Nutrients!$DR$8,Nutrients!$DR$9)*D$7)+(((IF($A$8=Nutrients!$B$79,Nutrients!$DR$79,(IF($A$8=Nutrients!$B$77,Nutrients!$DR$77,Nutrients!$DR$78)))))*D$8))/2000)</f>
        <v>0.21159356316179678</v>
      </c>
      <c r="E259" s="227">
        <f>((SUMPRODUCT(E$9:E$229,Nutrients!$DR$8:$DR$228)+(IF($A$7=Nutrients!$B$8,Nutrients!$DR$8,Nutrients!$DR$9)*E$7)+(((IF($A$8=Nutrients!$B$79,Nutrients!$DR$79,(IF($A$8=Nutrients!$B$77,Nutrients!$DR$77,Nutrients!$DR$78)))))*E$8))/2000)</f>
        <v>0.18289955187368459</v>
      </c>
      <c r="F259" s="227">
        <f>((SUMPRODUCT(F$9:F$229,Nutrients!$DR$8:$DR$228)+(IF($A$7=Nutrients!$B$8,Nutrients!$DR$8,Nutrients!$DR$9)*F$7)+(((IF($A$8=Nutrients!$B$79,Nutrients!$DR$79,(IF($A$8=Nutrients!$B$77,Nutrients!$DR$77,Nutrients!$DR$78)))))*F$8))/2000)</f>
        <v>0.16219699119534683</v>
      </c>
      <c r="G259" s="227">
        <f>((SUMPRODUCT(G$9:G$229,Nutrients!$DR$8:$DR$228)+(IF($A$7=Nutrients!$B$8,Nutrients!$DR$8,Nutrients!$DR$9)*G$7)+(((IF($A$8=Nutrients!$B$79,Nutrients!$DR$79,(IF($A$8=Nutrients!$B$77,Nutrients!$DR$77,Nutrients!$DR$78)))))*G$8))/2000)</f>
        <v>0.15287313523350393</v>
      </c>
      <c r="H259" s="227"/>
      <c r="I259" s="227">
        <f>((SUMPRODUCT(I$9:I$229,Nutrients!$DR$8:$DR$228)+(IF($A$7=Nutrients!$B$8,Nutrients!$DR$8,Nutrients!$DR$9)*I$7)+(((IF($A$8=Nutrients!$B$79,Nutrients!$DR$79,(IF($A$8=Nutrients!$B$77,Nutrients!$DR$77,Nutrients!$DR$78)))))*I$8))/2000)</f>
        <v>0.28996134729698325</v>
      </c>
      <c r="J259" s="227">
        <f>((SUMPRODUCT(J$9:J$229,Nutrients!$DR$8:$DR$228)+(IF($A$7=Nutrients!$B$8,Nutrients!$DR$8,Nutrients!$DR$9)*J$7)+(((IF($A$8=Nutrients!$B$79,Nutrients!$DR$79,(IF($A$8=Nutrients!$B$77,Nutrients!$DR$77,Nutrients!$DR$78)))))*J$8))/2000)</f>
        <v>0.2505762930480056</v>
      </c>
      <c r="K259" s="227">
        <f>((SUMPRODUCT(K$9:K$229,Nutrients!$DR$8:$DR$228)+(IF($A$7=Nutrients!$B$8,Nutrients!$DR$8,Nutrients!$DR$9)*K$7)+(((IF($A$8=Nutrients!$B$79,Nutrients!$DR$79,(IF($A$8=Nutrients!$B$77,Nutrients!$DR$77,Nutrients!$DR$78)))))*K$8))/2000)</f>
        <v>0.21183692421033332</v>
      </c>
      <c r="L259" s="227">
        <f>((SUMPRODUCT(L$9:L$229,Nutrients!$DR$8:$DR$228)+(IF($A$7=Nutrients!$B$8,Nutrients!$DR$8,Nutrients!$DR$9)*L$7)+(((IF($A$8=Nutrients!$B$79,Nutrients!$DR$79,(IF($A$8=Nutrients!$B$77,Nutrients!$DR$77,Nutrients!$DR$78)))))*L$8))/2000)</f>
        <v>0.18082505581613378</v>
      </c>
      <c r="M259" s="227">
        <f>((SUMPRODUCT(M$9:M$229,Nutrients!$DR$8:$DR$228)+(IF($A$7=Nutrients!$B$8,Nutrients!$DR$8,Nutrients!$DR$9)*M$7)+(((IF($A$8=Nutrients!$B$79,Nutrients!$DR$79,(IF($A$8=Nutrients!$B$77,Nutrients!$DR$77,Nutrients!$DR$78)))))*M$8))/2000)</f>
        <v>0.16082465595917891</v>
      </c>
      <c r="N259" s="227">
        <f>((SUMPRODUCT(N$9:N$229,Nutrients!$DR$8:$DR$228)+(IF($A$7=Nutrients!$B$8,Nutrients!$DR$8,Nutrients!$DR$9)*N$7)+(((IF($A$8=Nutrients!$B$79,Nutrients!$DR$79,(IF($A$8=Nutrients!$B$77,Nutrients!$DR$77,Nutrients!$DR$78)))))*N$8))/2000)</f>
        <v>0.15287313523350393</v>
      </c>
      <c r="O259" s="198"/>
      <c r="P259" s="227">
        <f>((SUMPRODUCT(P$9:P$229,Nutrients!$DR$8:$DR$228)+(IF($A$7=Nutrients!$B$8,Nutrients!$DR$8,Nutrients!$DR$9)*P$7)+(((IF($A$8=Nutrients!$B$79,Nutrients!$DR$79,(IF($A$8=Nutrients!$B$77,Nutrients!$DR$77,Nutrients!$DR$78)))))*P$8))/2000)</f>
        <v>0.29012418344337004</v>
      </c>
      <c r="Q259" s="227">
        <f>((SUMPRODUCT(Q$9:Q$229,Nutrients!$DR$8:$DR$228)+(IF($A$7=Nutrients!$B$8,Nutrients!$DR$8,Nutrients!$DR$9)*Q$7)+(((IF($A$8=Nutrients!$B$79,Nutrients!$DR$79,(IF($A$8=Nutrients!$B$77,Nutrients!$DR$77,Nutrients!$DR$78)))))*Q$8))/2000)</f>
        <v>0.25082971441109625</v>
      </c>
      <c r="R259" s="227">
        <f>((SUMPRODUCT(R$9:R$229,Nutrients!$DR$8:$DR$228)+(IF($A$7=Nutrients!$B$8,Nutrients!$DR$8,Nutrients!$DR$9)*R$7)+(((IF($A$8=Nutrients!$B$79,Nutrients!$DR$79,(IF($A$8=Nutrients!$B$77,Nutrients!$DR$77,Nutrients!$DR$78)))))*R$8))/2000)</f>
        <v>0.21218755388888752</v>
      </c>
      <c r="S259" s="227">
        <f>((SUMPRODUCT(S$9:S$229,Nutrients!$DR$8:$DR$228)+(IF($A$7=Nutrients!$B$8,Nutrients!$DR$8,Nutrients!$DR$9)*S$7)+(((IF($A$8=Nutrients!$B$79,Nutrients!$DR$79,(IF($A$8=Nutrients!$B$77,Nutrients!$DR$77,Nutrients!$DR$78)))))*S$8))/2000)</f>
        <v>0.18113051182286444</v>
      </c>
      <c r="T259" s="227">
        <f>((SUMPRODUCT(T$9:T$229,Nutrients!$DR$8:$DR$228)+(IF($A$7=Nutrients!$B$8,Nutrients!$DR$8,Nutrients!$DR$9)*T$7)+(((IF($A$8=Nutrients!$B$79,Nutrients!$DR$79,(IF($A$8=Nutrients!$B$77,Nutrients!$DR$77,Nutrients!$DR$78)))))*T$8))/2000)</f>
        <v>0.16120369003742432</v>
      </c>
      <c r="U259" s="227">
        <f>((SUMPRODUCT(U$9:U$229,Nutrients!$DR$8:$DR$228)+(IF($A$7=Nutrients!$B$8,Nutrients!$DR$8,Nutrients!$DR$9)*U$7)+(((IF($A$8=Nutrients!$B$79,Nutrients!$DR$79,(IF($A$8=Nutrients!$B$77,Nutrients!$DR$77,Nutrients!$DR$78)))))*U$8))/2000)</f>
        <v>0.15287313523350393</v>
      </c>
      <c r="W259" s="227">
        <f>((SUMPRODUCT(W$9:W$229,Nutrients!$DR$8:$DR$228)+(IF($A$7=Nutrients!$B$8,Nutrients!$DR$8,Nutrients!$DR$9)*W$7)+(((IF($A$8=Nutrients!$B$79,Nutrients!$DR$79,(IF($A$8=Nutrients!$B$77,Nutrients!$DR$77,Nutrients!$DR$78)))))*W$8))/2000)</f>
        <v>0.29028805671684177</v>
      </c>
      <c r="X259" s="227">
        <f>((SUMPRODUCT(X$9:X$229,Nutrients!$DR$8:$DR$228)+(IF($A$7=Nutrients!$B$8,Nutrients!$DR$8,Nutrients!$DR$9)*X$7)+(((IF($A$8=Nutrients!$B$79,Nutrients!$DR$79,(IF($A$8=Nutrients!$B$77,Nutrients!$DR$77,Nutrients!$DR$78)))))*X$8))/2000)</f>
        <v>0.25108505561358324</v>
      </c>
      <c r="Y259" s="227">
        <f>((SUMPRODUCT(Y$9:Y$229,Nutrients!$DR$8:$DR$228)+(IF($A$7=Nutrients!$B$8,Nutrients!$DR$8,Nutrients!$DR$9)*Y$7)+(((IF($A$8=Nutrients!$B$79,Nutrients!$DR$79,(IF($A$8=Nutrients!$B$77,Nutrients!$DR$77,Nutrients!$DR$78)))))*Y$8))/2000)</f>
        <v>0.21239875544994724</v>
      </c>
      <c r="Z259" s="227">
        <f>((SUMPRODUCT(Z$9:Z$229,Nutrients!$DR$8:$DR$228)+(IF($A$7=Nutrients!$B$8,Nutrients!$DR$8,Nutrients!$DR$9)*Z$7)+(((IF($A$8=Nutrients!$B$79,Nutrients!$DR$79,(IF($A$8=Nutrients!$B$77,Nutrients!$DR$77,Nutrients!$DR$78)))))*Z$8))/2000)</f>
        <v>0.18147125879298556</v>
      </c>
      <c r="AA259" s="227">
        <f>((SUMPRODUCT(AA$9:AA$229,Nutrients!$DR$8:$DR$228)+(IF($A$7=Nutrients!$B$8,Nutrients!$DR$8,Nutrients!$DR$9)*AA$7)+(((IF($A$8=Nutrients!$B$79,Nutrients!$DR$79,(IF($A$8=Nutrients!$B$77,Nutrients!$DR$77,Nutrients!$DR$78)))))*AA$8))/2000)</f>
        <v>0.16159183446294448</v>
      </c>
      <c r="AB259" s="227">
        <f>((SUMPRODUCT(AB$9:AB$229,Nutrients!$DR$8:$DR$228)+(IF($A$7=Nutrients!$B$8,Nutrients!$DR$8,Nutrients!$DR$9)*AB$7)+(((IF($A$8=Nutrients!$B$79,Nutrients!$DR$79,(IF($A$8=Nutrients!$B$77,Nutrients!$DR$77,Nutrients!$DR$78)))))*AB$8))/2000)</f>
        <v>0.15287313523350393</v>
      </c>
      <c r="AD259" s="227">
        <f>((SUMPRODUCT(AD$9:AD$229,Nutrients!$DR$8:$DR$228)+(IF($A$7=Nutrients!$B$8,Nutrients!$DR$8,Nutrients!$DR$9)*AD$7)+(((IF($A$8=Nutrients!$B$79,Nutrients!$DR$79,(IF($A$8=Nutrients!$B$77,Nutrients!$DR$77,Nutrients!$DR$78)))))*AD$8))/2000)</f>
        <v>0.29044021906142953</v>
      </c>
      <c r="AE259" s="227">
        <f>((SUMPRODUCT(AE$9:AE$229,Nutrients!$DR$8:$DR$228)+(IF($A$7=Nutrients!$B$8,Nutrients!$DR$8,Nutrients!$DR$9)*AE$7)+(((IF($A$8=Nutrients!$B$79,Nutrients!$DR$79,(IF($A$8=Nutrients!$B$77,Nutrients!$DR$77,Nutrients!$DR$78)))))*AE$8))/2000)</f>
        <v>0.25120156811149008</v>
      </c>
      <c r="AF259" s="227">
        <f>((SUMPRODUCT(AF$9:AF$229,Nutrients!$DR$8:$DR$228)+(IF($A$7=Nutrients!$B$8,Nutrients!$DR$8,Nutrients!$DR$9)*AF$7)+(((IF($A$8=Nutrients!$B$79,Nutrients!$DR$79,(IF($A$8=Nutrients!$B$77,Nutrients!$DR$77,Nutrients!$DR$78)))))*AF$8))/2000)</f>
        <v>0.21264328214865663</v>
      </c>
      <c r="AG259" s="227">
        <f>((SUMPRODUCT(AG$9:AG$229,Nutrients!$DR$8:$DR$228)+(IF($A$7=Nutrients!$B$8,Nutrients!$DR$8,Nutrients!$DR$9)*AG$7)+(((IF($A$8=Nutrients!$B$79,Nutrients!$DR$79,(IF($A$8=Nutrients!$B$77,Nutrients!$DR$77,Nutrients!$DR$78)))))*AG$8))/2000)</f>
        <v>0.18180297112449109</v>
      </c>
      <c r="AH259" s="227">
        <f>((SUMPRODUCT(AH$9:AH$229,Nutrients!$DR$8:$DR$228)+(IF($A$7=Nutrients!$B$8,Nutrients!$DR$8,Nutrients!$DR$9)*AH$7)+(((IF($A$8=Nutrients!$B$79,Nutrients!$DR$79,(IF($A$8=Nutrients!$B$77,Nutrients!$DR$77,Nutrients!$DR$78)))))*AH$8))/2000)</f>
        <v>0.16956912942276786</v>
      </c>
      <c r="AI259" s="227">
        <f>((SUMPRODUCT(AI$9:AI$229,Nutrients!$DR$8:$DR$228)+(IF($A$7=Nutrients!$B$8,Nutrients!$DR$8,Nutrients!$DR$9)*AI$7)+(((IF($A$8=Nutrients!$B$79,Nutrients!$DR$79,(IF($A$8=Nutrients!$B$77,Nutrients!$DR$77,Nutrients!$DR$78)))))*AI$8))/2000)</f>
        <v>0.15287313523350393</v>
      </c>
      <c r="AK259" s="227">
        <f>((SUMPRODUCT(AK$9:AK$229,Nutrients!$DR$8:$DR$228)+(IF($A$7=Nutrients!$B$8,Nutrients!$DR$8,Nutrients!$DR$9)*AK$7)+(((IF($A$8=Nutrients!$B$79,Nutrients!$DR$79,(IF($A$8=Nutrients!$B$77,Nutrients!$DR$77,Nutrients!$DR$78)))))*AK$8))/2000)</f>
        <v>0.29114381200372952</v>
      </c>
      <c r="AL259" s="227">
        <f>((SUMPRODUCT(AL$9:AL$229,Nutrients!$DR$8:$DR$228)+(IF($A$7=Nutrients!$B$8,Nutrients!$DR$8,Nutrients!$DR$9)*AL$7)+(((IF($A$8=Nutrients!$B$79,Nutrients!$DR$79,(IF($A$8=Nutrients!$B$77,Nutrients!$DR$77,Nutrients!$DR$78)))))*AL$8))/2000)</f>
        <v>0.25135864352434845</v>
      </c>
      <c r="AM259" s="227">
        <f>((SUMPRODUCT(AM$9:AM$229,Nutrients!$DR$8:$DR$228)+(IF($A$7=Nutrients!$B$8,Nutrients!$DR$8,Nutrients!$DR$9)*AM$7)+(((IF($A$8=Nutrients!$B$79,Nutrients!$DR$79,(IF($A$8=Nutrients!$B$77,Nutrients!$DR$77,Nutrients!$DR$78)))))*AM$8))/2000)</f>
        <v>0.21289654545188069</v>
      </c>
      <c r="AN259" s="227">
        <f>((SUMPRODUCT(AN$9:AN$229,Nutrients!$DR$8:$DR$228)+(IF($A$7=Nutrients!$B$8,Nutrients!$DR$8,Nutrients!$DR$9)*AN$7)+(((IF($A$8=Nutrients!$B$79,Nutrients!$DR$79,(IF($A$8=Nutrients!$B$77,Nutrients!$DR$77,Nutrients!$DR$78)))))*AN$8))/2000)</f>
        <v>0.18793113529540084</v>
      </c>
      <c r="AO259" s="227">
        <f>((SUMPRODUCT(AO$9:AO$229,Nutrients!$DR$8:$DR$228)+(IF($A$7=Nutrients!$B$8,Nutrients!$DR$8,Nutrients!$DR$9)*AO$7)+(((IF($A$8=Nutrients!$B$79,Nutrients!$DR$79,(IF($A$8=Nutrients!$B$77,Nutrients!$DR$77,Nutrients!$DR$78)))))*AO$8))/2000)</f>
        <v>0.18140637372335067</v>
      </c>
      <c r="AP259" s="227">
        <f>((SUMPRODUCT(AP$9:AP$229,Nutrients!$DR$8:$DR$228)+(IF($A$7=Nutrients!$B$8,Nutrients!$DR$8,Nutrients!$DR$9)*AP$7)+(((IF($A$8=Nutrients!$B$79,Nutrients!$DR$79,(IF($A$8=Nutrients!$B$77,Nutrients!$DR$77,Nutrients!$DR$78)))))*AP$8))/2000)</f>
        <v>0.15287313523350393</v>
      </c>
      <c r="AR259" s="227">
        <f>((SUMPRODUCT(AR$9:AR$229,Nutrients!$DR$8:$DR$228)+(IF($A$7=Nutrients!$B$8,Nutrients!$DR$8,Nutrients!$DR$9)*AR$7)+(((IF($A$8=Nutrients!$B$79,Nutrients!$DR$79,(IF($A$8=Nutrients!$B$77,Nutrients!$DR$77,Nutrients!$DR$78)))))*AR$8))/2000)</f>
        <v>0.29108855435811337</v>
      </c>
      <c r="AS259" s="227">
        <f>((SUMPRODUCT(AS$9:AS$229,Nutrients!$DR$8:$DR$228)+(IF($A$7=Nutrients!$B$8,Nutrients!$DR$8,Nutrients!$DR$9)*AS$7)+(((IF($A$8=Nutrients!$B$79,Nutrients!$DR$79,(IF($A$8=Nutrients!$B$77,Nutrients!$DR$77,Nutrients!$DR$78)))))*AS$8))/2000)</f>
        <v>0.25151588711151224</v>
      </c>
      <c r="AT259" s="227">
        <f>((SUMPRODUCT(AT$9:AT$229,Nutrients!$DR$8:$DR$228)+(IF($A$7=Nutrients!$B$8,Nutrients!$DR$8,Nutrients!$DR$9)*AT$7)+(((IF($A$8=Nutrients!$B$79,Nutrients!$DR$79,(IF($A$8=Nutrients!$B$77,Nutrients!$DR$77,Nutrients!$DR$78)))))*AT$8))/2000)</f>
        <v>0.21317576741537064</v>
      </c>
      <c r="AU259" s="227">
        <f>((SUMPRODUCT(AU$9:AU$229,Nutrients!$DR$8:$DR$228)+(IF($A$7=Nutrients!$B$8,Nutrients!$DR$8,Nutrients!$DR$9)*AU$7)+(((IF($A$8=Nutrients!$B$79,Nutrients!$DR$79,(IF($A$8=Nutrients!$B$77,Nutrients!$DR$77,Nutrients!$DR$78)))))*AU$8))/2000)</f>
        <v>0.19972207297230715</v>
      </c>
      <c r="AV259" s="227">
        <f>((SUMPRODUCT(AV$9:AV$229,Nutrients!$DR$8:$DR$228)+(IF($A$7=Nutrients!$B$8,Nutrients!$DR$8,Nutrients!$DR$9)*AV$7)+(((IF($A$8=Nutrients!$B$79,Nutrients!$DR$79,(IF($A$8=Nutrients!$B$77,Nutrients!$DR$77,Nutrients!$DR$78)))))*AV$8))/2000)</f>
        <v>0.1932446047801234</v>
      </c>
      <c r="AW259" s="227">
        <f>((SUMPRODUCT(AW$9:AW$229,Nutrients!$DR$8:$DR$228)+(IF($A$7=Nutrients!$B$8,Nutrients!$DR$8,Nutrients!$DR$9)*AW$7)+(((IF($A$8=Nutrients!$B$79,Nutrients!$DR$79,(IF($A$8=Nutrients!$B$77,Nutrients!$DR$77,Nutrients!$DR$78)))))*AW$8))/2000)</f>
        <v>0.15287313523350393</v>
      </c>
    </row>
    <row r="260" spans="1:59" x14ac:dyDescent="0.25">
      <c r="A260" s="15" t="s">
        <v>347</v>
      </c>
      <c r="B260" s="227">
        <f t="shared" ref="B260:G260" si="55">B259+0.11</f>
        <v>0.39998961246592624</v>
      </c>
      <c r="C260" s="227">
        <f t="shared" si="55"/>
        <v>0.36045553392749996</v>
      </c>
      <c r="D260" s="227">
        <f t="shared" si="55"/>
        <v>0.32159356316179677</v>
      </c>
      <c r="E260" s="227">
        <f t="shared" si="55"/>
        <v>0.2928995518736846</v>
      </c>
      <c r="F260" s="227">
        <f t="shared" si="55"/>
        <v>0.27219699119534685</v>
      </c>
      <c r="G260" s="227">
        <f t="shared" si="55"/>
        <v>0.26287313523350392</v>
      </c>
      <c r="H260" s="227"/>
      <c r="I260" s="227">
        <f t="shared" ref="I260:N260" si="56">I259+0.11</f>
        <v>0.39996134729698324</v>
      </c>
      <c r="J260" s="227">
        <f t="shared" si="56"/>
        <v>0.36057629304800559</v>
      </c>
      <c r="K260" s="227">
        <f t="shared" si="56"/>
        <v>0.32183692421033333</v>
      </c>
      <c r="L260" s="227">
        <f t="shared" si="56"/>
        <v>0.29082505581613377</v>
      </c>
      <c r="M260" s="227">
        <f t="shared" si="56"/>
        <v>0.27082465595917893</v>
      </c>
      <c r="N260" s="227">
        <f t="shared" si="56"/>
        <v>0.26287313523350392</v>
      </c>
      <c r="O260" s="198"/>
      <c r="P260" s="227">
        <f t="shared" ref="P260:U260" si="57">P259+0.11</f>
        <v>0.40012418344337003</v>
      </c>
      <c r="Q260" s="227">
        <f t="shared" si="57"/>
        <v>0.36082971441109624</v>
      </c>
      <c r="R260" s="227">
        <f t="shared" si="57"/>
        <v>0.32218755388888753</v>
      </c>
      <c r="S260" s="227">
        <f t="shared" si="57"/>
        <v>0.29113051182286442</v>
      </c>
      <c r="T260" s="227">
        <f t="shared" si="57"/>
        <v>0.27120369003742434</v>
      </c>
      <c r="U260" s="227">
        <f t="shared" si="57"/>
        <v>0.26287313523350392</v>
      </c>
      <c r="V260" s="332"/>
      <c r="W260" s="227">
        <f t="shared" ref="W260:AB260" si="58">W259+0.11</f>
        <v>0.40028805671684176</v>
      </c>
      <c r="X260" s="227">
        <f t="shared" si="58"/>
        <v>0.36108505561358323</v>
      </c>
      <c r="Y260" s="227">
        <f t="shared" si="58"/>
        <v>0.32239875544994723</v>
      </c>
      <c r="Z260" s="227">
        <f t="shared" si="58"/>
        <v>0.29147125879298558</v>
      </c>
      <c r="AA260" s="227">
        <f t="shared" si="58"/>
        <v>0.27159183446294449</v>
      </c>
      <c r="AB260" s="227">
        <f t="shared" si="58"/>
        <v>0.26287313523350392</v>
      </c>
      <c r="AC260" s="332"/>
      <c r="AD260" s="227">
        <f t="shared" ref="AD260:AI260" si="59">AD259+0.11</f>
        <v>0.40044021906142951</v>
      </c>
      <c r="AE260" s="227">
        <f t="shared" si="59"/>
        <v>0.36120156811149007</v>
      </c>
      <c r="AF260" s="227">
        <f t="shared" si="59"/>
        <v>0.32264328214865662</v>
      </c>
      <c r="AG260" s="227">
        <f t="shared" si="59"/>
        <v>0.29180297112449111</v>
      </c>
      <c r="AH260" s="227">
        <f t="shared" si="59"/>
        <v>0.27956912942276785</v>
      </c>
      <c r="AI260" s="227">
        <f t="shared" si="59"/>
        <v>0.26287313523350392</v>
      </c>
      <c r="AJ260" s="332"/>
      <c r="AK260" s="227">
        <f t="shared" ref="AK260:AP260" si="60">AK259+0.11</f>
        <v>0.40114381200372951</v>
      </c>
      <c r="AL260" s="227">
        <f t="shared" si="60"/>
        <v>0.36135864352434843</v>
      </c>
      <c r="AM260" s="227">
        <f t="shared" si="60"/>
        <v>0.32289654545188068</v>
      </c>
      <c r="AN260" s="227">
        <f t="shared" si="60"/>
        <v>0.29793113529540083</v>
      </c>
      <c r="AO260" s="227">
        <f t="shared" si="60"/>
        <v>0.29140637372335065</v>
      </c>
      <c r="AP260" s="227">
        <f t="shared" si="60"/>
        <v>0.26287313523350392</v>
      </c>
      <c r="AQ260" s="332"/>
      <c r="AR260" s="227">
        <f t="shared" ref="AR260:AW260" si="61">AR259+0.11</f>
        <v>0.40108855435811336</v>
      </c>
      <c r="AS260" s="227">
        <f t="shared" si="61"/>
        <v>0.36151588711151222</v>
      </c>
      <c r="AT260" s="227">
        <f t="shared" si="61"/>
        <v>0.32317576741537063</v>
      </c>
      <c r="AU260" s="227">
        <f t="shared" si="61"/>
        <v>0.30972207297230714</v>
      </c>
      <c r="AV260" s="227">
        <f t="shared" si="61"/>
        <v>0.30324460478012338</v>
      </c>
      <c r="AW260" s="227">
        <f t="shared" si="61"/>
        <v>0.26287313523350392</v>
      </c>
      <c r="AX260" s="332"/>
    </row>
    <row r="261" spans="1:59" x14ac:dyDescent="0.25">
      <c r="A261" s="34" t="s">
        <v>142</v>
      </c>
      <c r="B261" s="227">
        <f t="shared" ref="B261:G261" si="62">B254/B255</f>
        <v>1.3017138684764227</v>
      </c>
      <c r="C261" s="227">
        <f t="shared" si="62"/>
        <v>1.3021894221424188</v>
      </c>
      <c r="D261" s="227">
        <f t="shared" si="62"/>
        <v>1.3373095283032115</v>
      </c>
      <c r="E261" s="227">
        <f t="shared" si="62"/>
        <v>1.3415645597438779</v>
      </c>
      <c r="F261" s="227">
        <f t="shared" si="62"/>
        <v>1.3249751835185248</v>
      </c>
      <c r="G261" s="227">
        <f t="shared" si="62"/>
        <v>1.3266649538806439</v>
      </c>
      <c r="H261" s="227"/>
      <c r="I261" s="232">
        <f t="shared" ref="I261:N261" si="63">I254/I255</f>
        <v>1.302936008638806</v>
      </c>
      <c r="J261" s="232">
        <f t="shared" si="63"/>
        <v>1.30474348593801</v>
      </c>
      <c r="K261" s="232">
        <f t="shared" si="63"/>
        <v>1.3406070807682411</v>
      </c>
      <c r="L261" s="232">
        <f t="shared" si="63"/>
        <v>1.3403337564594258</v>
      </c>
      <c r="M261" s="232">
        <f t="shared" si="63"/>
        <v>1.3256181891155459</v>
      </c>
      <c r="N261" s="232">
        <f t="shared" si="63"/>
        <v>1.3266649538806439</v>
      </c>
      <c r="O261" s="238"/>
      <c r="P261" s="232">
        <f t="shared" ref="P261:U261" si="64">P254/P255</f>
        <v>1.3056209227923463</v>
      </c>
      <c r="Q261" s="232">
        <f t="shared" si="64"/>
        <v>1.3074312054496291</v>
      </c>
      <c r="R261" s="232">
        <f t="shared" si="64"/>
        <v>1.3438422173057825</v>
      </c>
      <c r="S261" s="232">
        <f t="shared" si="64"/>
        <v>1.3439837686296421</v>
      </c>
      <c r="T261" s="232">
        <f t="shared" si="64"/>
        <v>1.3293748035494308</v>
      </c>
      <c r="U261" s="232">
        <f t="shared" si="64"/>
        <v>1.3266649538806439</v>
      </c>
      <c r="V261" s="382"/>
      <c r="W261" s="232">
        <f t="shared" ref="W261:AB261" si="65">W254/W255</f>
        <v>1.3071178849480647</v>
      </c>
      <c r="X261" s="232">
        <f t="shared" si="65"/>
        <v>1.3088849300041427</v>
      </c>
      <c r="Y261" s="232">
        <f t="shared" si="65"/>
        <v>1.3456243245689312</v>
      </c>
      <c r="Z261" s="232">
        <f t="shared" si="65"/>
        <v>1.345578844416164</v>
      </c>
      <c r="AA261" s="232">
        <f t="shared" si="65"/>
        <v>1.3309786257065332</v>
      </c>
      <c r="AB261" s="232">
        <f t="shared" si="65"/>
        <v>1.3266649538806439</v>
      </c>
      <c r="AC261" s="382"/>
      <c r="AD261" s="232">
        <f t="shared" ref="AD261:AI261" si="66">AD254/AD255</f>
        <v>1.3093582289793524</v>
      </c>
      <c r="AE261" s="232">
        <f t="shared" si="66"/>
        <v>1.3115168277655285</v>
      </c>
      <c r="AF261" s="232">
        <f t="shared" si="66"/>
        <v>1.3484230134568156</v>
      </c>
      <c r="AG261" s="232">
        <f t="shared" si="66"/>
        <v>1.3487621819324485</v>
      </c>
      <c r="AH261" s="232">
        <f t="shared" si="66"/>
        <v>1.3400419241997976</v>
      </c>
      <c r="AI261" s="232">
        <f t="shared" si="66"/>
        <v>1.3266649538806439</v>
      </c>
      <c r="AJ261" s="382"/>
      <c r="AK261" s="232">
        <f t="shared" ref="AK261:AP261" si="67">AK254/AK255</f>
        <v>1.3106217807069127</v>
      </c>
      <c r="AL261" s="232">
        <f t="shared" si="67"/>
        <v>1.3132052407310535</v>
      </c>
      <c r="AM261" s="232">
        <f t="shared" si="67"/>
        <v>1.3501532391793567</v>
      </c>
      <c r="AN261" s="232">
        <f t="shared" si="67"/>
        <v>1.3553053250580451</v>
      </c>
      <c r="AO261" s="232">
        <f t="shared" si="67"/>
        <v>1.3505316496783066</v>
      </c>
      <c r="AP261" s="232">
        <f t="shared" si="67"/>
        <v>1.3266649538806439</v>
      </c>
      <c r="AQ261" s="382"/>
      <c r="AR261" s="232">
        <f t="shared" ref="AR261:AW261" si="68">AR254/AR255</f>
        <v>1.3127362027579867</v>
      </c>
      <c r="AS261" s="232">
        <f t="shared" si="68"/>
        <v>1.3156922893793774</v>
      </c>
      <c r="AT261" s="232">
        <f t="shared" si="68"/>
        <v>1.3529826995452621</v>
      </c>
      <c r="AU261" s="232">
        <f t="shared" si="68"/>
        <v>1.365353746749089</v>
      </c>
      <c r="AV261" s="232">
        <f t="shared" si="68"/>
        <v>1.3603489489512721</v>
      </c>
      <c r="AW261" s="232">
        <f t="shared" si="68"/>
        <v>1.3266649538806439</v>
      </c>
      <c r="AX261" s="332"/>
    </row>
    <row r="262" spans="1:59" x14ac:dyDescent="0.25">
      <c r="A262" s="34" t="s">
        <v>477</v>
      </c>
      <c r="B262" s="227">
        <f t="shared" ref="B262:G262" si="69">B254/B260</f>
        <v>1.7400120914159756</v>
      </c>
      <c r="C262" s="227">
        <f t="shared" si="69"/>
        <v>1.7384331182595809</v>
      </c>
      <c r="D262" s="227">
        <f t="shared" si="69"/>
        <v>1.7871189885452841</v>
      </c>
      <c r="E262" s="227">
        <f t="shared" si="69"/>
        <v>1.7907878953733971</v>
      </c>
      <c r="F262" s="227">
        <f t="shared" si="69"/>
        <v>1.7690318502967193</v>
      </c>
      <c r="G262" s="227">
        <f t="shared" si="69"/>
        <v>1.7699999245766229</v>
      </c>
      <c r="H262" s="227"/>
      <c r="I262" s="232">
        <f t="shared" ref="I262:N262" si="70">I254/I260</f>
        <v>1.738898900900214</v>
      </c>
      <c r="J262" s="232">
        <f t="shared" si="70"/>
        <v>1.7390273768118385</v>
      </c>
      <c r="K262" s="232">
        <f t="shared" si="70"/>
        <v>1.7885063635247884</v>
      </c>
      <c r="L262" s="232">
        <f t="shared" si="70"/>
        <v>1.7883472818070043</v>
      </c>
      <c r="M262" s="232">
        <f t="shared" si="70"/>
        <v>1.7682857584748624</v>
      </c>
      <c r="N262" s="232">
        <f t="shared" si="70"/>
        <v>1.7699999245766229</v>
      </c>
      <c r="O262" s="238"/>
      <c r="P262" s="232">
        <f t="shared" ref="P262:U262" si="71">P254/P260</f>
        <v>1.7399999683509504</v>
      </c>
      <c r="Q262" s="232">
        <f t="shared" si="71"/>
        <v>1.7399999656093674</v>
      </c>
      <c r="R262" s="232">
        <f t="shared" si="71"/>
        <v>1.7899999494404009</v>
      </c>
      <c r="S262" s="232">
        <f t="shared" si="71"/>
        <v>1.7899999417552674</v>
      </c>
      <c r="T262" s="232">
        <f t="shared" si="71"/>
        <v>1.7699999347444846</v>
      </c>
      <c r="U262" s="232">
        <f t="shared" si="71"/>
        <v>1.7699999245766229</v>
      </c>
      <c r="V262" s="382"/>
      <c r="W262" s="232">
        <f t="shared" ref="W262:AB262" si="72">W254/W260</f>
        <v>1.7395178678032466</v>
      </c>
      <c r="X262" s="232">
        <f t="shared" si="72"/>
        <v>1.7393358796014353</v>
      </c>
      <c r="Y262" s="232">
        <f t="shared" si="72"/>
        <v>1.7892949066471435</v>
      </c>
      <c r="Z262" s="232">
        <f t="shared" si="72"/>
        <v>1.7889776172961327</v>
      </c>
      <c r="AA262" s="232">
        <f t="shared" si="72"/>
        <v>1.7688597671374227</v>
      </c>
      <c r="AB262" s="232">
        <f t="shared" si="72"/>
        <v>1.7699999245766229</v>
      </c>
      <c r="AC262" s="382"/>
      <c r="AD262" s="232">
        <f t="shared" ref="AD262:AI262" si="73">AD254/AD260</f>
        <v>1.7399999747501347</v>
      </c>
      <c r="AE262" s="232">
        <f t="shared" si="73"/>
        <v>1.7399999699097199</v>
      </c>
      <c r="AF262" s="232">
        <f t="shared" si="73"/>
        <v>1.7899999589799493</v>
      </c>
      <c r="AG262" s="232">
        <f t="shared" si="73"/>
        <v>1.7899999455351414</v>
      </c>
      <c r="AH262" s="232">
        <f t="shared" si="73"/>
        <v>1.7699999064132208</v>
      </c>
      <c r="AI262" s="232">
        <f t="shared" si="73"/>
        <v>1.7699999245766229</v>
      </c>
      <c r="AJ262" s="382"/>
      <c r="AK262" s="232">
        <f t="shared" ref="AK262:AP262" si="74">AK254/AK260</f>
        <v>1.7399999781414144</v>
      </c>
      <c r="AL262" s="232">
        <f t="shared" si="74"/>
        <v>1.7394755601227663</v>
      </c>
      <c r="AM262" s="232">
        <f t="shared" si="74"/>
        <v>1.7892515826218252</v>
      </c>
      <c r="AN262" s="232">
        <f t="shared" si="74"/>
        <v>1.7900000966840111</v>
      </c>
      <c r="AO262" s="232">
        <f t="shared" si="74"/>
        <v>1.7700008373589164</v>
      </c>
      <c r="AP262" s="232">
        <f t="shared" si="74"/>
        <v>1.7699999245766229</v>
      </c>
      <c r="AQ262" s="382"/>
      <c r="AR262" s="232">
        <f t="shared" ref="AR262:AW262" si="75">AR254/AR260</f>
        <v>1.7399999740709606</v>
      </c>
      <c r="AS262" s="232">
        <f t="shared" si="75"/>
        <v>1.739999978527802</v>
      </c>
      <c r="AT262" s="232">
        <f t="shared" si="75"/>
        <v>1.7899999657732153</v>
      </c>
      <c r="AU262" s="232">
        <f t="shared" si="75"/>
        <v>1.7900030260128046</v>
      </c>
      <c r="AV262" s="232">
        <f t="shared" si="75"/>
        <v>1.770005722475092</v>
      </c>
      <c r="AW262" s="232">
        <f t="shared" si="75"/>
        <v>1.7699999245766229</v>
      </c>
      <c r="AX262" s="332"/>
    </row>
    <row r="263" spans="1:59" x14ac:dyDescent="0.25">
      <c r="A263" t="s">
        <v>20</v>
      </c>
      <c r="B263" s="24">
        <f>(SUMPRODUCT(B$9:B$229,Nutrients!$DX$8:$DX$228)+(IF($A$7=Nutrients!$B$8,Nutrients!$DX$8,Nutrients!$DX$9)*B$7)+(((IF($A$8=Nutrients!$B$79,Nutrients!$DX$79,(IF($A$8=Nutrients!$B$77,Nutrients!$DX$77,Nutrients!$DX$78)))))*B$8))</f>
        <v>219.06090724554412</v>
      </c>
      <c r="C263" s="24">
        <f>(SUMPRODUCT(C$9:C$229,Nutrients!$DX$8:$DX$228)+(IF($A$7=Nutrients!$B$8,Nutrients!$DX$8,Nutrients!$DX$9)*C$7)+(((IF($A$8=Nutrients!$B$79,Nutrients!$DX$79,(IF($A$8=Nutrients!$B$77,Nutrients!$DX$77,Nutrients!$DX$78)))))*C$8))</f>
        <v>210.20700601537649</v>
      </c>
      <c r="D263" s="24">
        <f>(SUMPRODUCT(D$9:D$229,Nutrients!$DX$8:$DX$228)+(IF($A$7=Nutrients!$B$8,Nutrients!$DX$8,Nutrients!$DX$9)*D$7)+(((IF($A$8=Nutrients!$B$79,Nutrients!$DX$79,(IF($A$8=Nutrients!$B$77,Nutrients!$DX$77,Nutrients!$DX$78)))))*D$8))</f>
        <v>201.64110105420281</v>
      </c>
      <c r="E263" s="24">
        <f>(SUMPRODUCT(E$9:E$229,Nutrients!$DX$8:$DX$228)+(IF($A$7=Nutrients!$B$8,Nutrients!$DX$8,Nutrients!$DX$9)*E$7)+(((IF($A$8=Nutrients!$B$79,Nutrients!$DX$79,(IF($A$8=Nutrients!$B$77,Nutrients!$DX$77,Nutrients!$DX$78)))))*E$8))</f>
        <v>194.82283976807454</v>
      </c>
      <c r="F263" s="24">
        <f>(SUMPRODUCT(F$9:F$229,Nutrients!$DX$8:$DX$228)+(IF($A$7=Nutrients!$B$8,Nutrients!$DX$8,Nutrients!$DX$9)*F$7)+(((IF($A$8=Nutrients!$B$79,Nutrients!$DX$79,(IF($A$8=Nutrients!$B$77,Nutrients!$DX$77,Nutrients!$DX$78)))))*F$8))</f>
        <v>189.69608954240206</v>
      </c>
      <c r="G263" s="24">
        <f>(SUMPRODUCT(G$9:G$229,Nutrients!$DX$8:$DX$228)+(IF($A$7=Nutrients!$B$8,Nutrients!$DX$8,Nutrients!$DX$9)*G$7)+(((IF($A$8=Nutrients!$B$79,Nutrients!$DX$79,(IF($A$8=Nutrients!$B$77,Nutrients!$DX$77,Nutrients!$DX$78)))))*G$8))</f>
        <v>187.52702006837634</v>
      </c>
      <c r="H263" s="229"/>
      <c r="I263" s="24">
        <f>(SUMPRODUCT(I$9:I$229,Nutrients!$DX$8:$DX$228)+(IF($A$7=Nutrients!$B$8,Nutrients!$DX$8,Nutrients!$DX$9)*I$7)+(((IF($A$8=Nutrients!$B$79,Nutrients!$DX$79,(IF($A$8=Nutrients!$B$77,Nutrients!$DX$77,Nutrients!$DX$78)))))*I$8))</f>
        <v>217.40530790410384</v>
      </c>
      <c r="J263" s="24">
        <f>(SUMPRODUCT(J$9:J$229,Nutrients!$DX$8:$DX$228)+(IF($A$7=Nutrients!$B$8,Nutrients!$DX$8,Nutrients!$DX$9)*J$7)+(((IF($A$8=Nutrients!$B$79,Nutrients!$DX$79,(IF($A$8=Nutrients!$B$77,Nutrients!$DX$77,Nutrients!$DX$78)))))*J$8))</f>
        <v>208.63316975744857</v>
      </c>
      <c r="K263" s="24">
        <f>(SUMPRODUCT(K$9:K$229,Nutrients!$DX$8:$DX$228)+(IF($A$7=Nutrients!$B$8,Nutrients!$DX$8,Nutrients!$DX$9)*K$7)+(((IF($A$8=Nutrients!$B$79,Nutrients!$DX$79,(IF($A$8=Nutrients!$B$77,Nutrients!$DX$77,Nutrients!$DX$78)))))*K$8))</f>
        <v>200.15114173826777</v>
      </c>
      <c r="L263" s="24">
        <f>(SUMPRODUCT(L$9:L$229,Nutrients!$DX$8:$DX$228)+(IF($A$7=Nutrients!$B$8,Nutrients!$DX$8,Nutrients!$DX$9)*L$7)+(((IF($A$8=Nutrients!$B$79,Nutrients!$DX$79,(IF($A$8=Nutrients!$B$77,Nutrients!$DX$77,Nutrients!$DX$78)))))*L$8))</f>
        <v>193.32236120947073</v>
      </c>
      <c r="M263" s="24">
        <f>(SUMPRODUCT(M$9:M$229,Nutrients!$DX$8:$DX$228)+(IF($A$7=Nutrients!$B$8,Nutrients!$DX$8,Nutrients!$DX$9)*M$7)+(((IF($A$8=Nutrients!$B$79,Nutrients!$DX$79,(IF($A$8=Nutrients!$B$77,Nutrients!$DX$77,Nutrients!$DX$78)))))*M$8))</f>
        <v>188.20863229303959</v>
      </c>
      <c r="N263" s="24">
        <f>(SUMPRODUCT(N$9:N$229,Nutrients!$DX$8:$DX$228)+(IF($A$7=Nutrients!$B$8,Nutrients!$DX$8,Nutrients!$DX$9)*N$7)+(((IF($A$8=Nutrients!$B$79,Nutrients!$DX$79,(IF($A$8=Nutrients!$B$77,Nutrients!$DX$77,Nutrients!$DX$78)))))*N$8))</f>
        <v>187.52702006837634</v>
      </c>
      <c r="O263" s="236"/>
      <c r="P263" s="24">
        <f>(SUMPRODUCT(P$9:P$229,Nutrients!$DX$8:$DX$228)+(IF($A$7=Nutrients!$B$8,Nutrients!$DX$8,Nutrients!$DX$9)*P$7)+(((IF($A$8=Nutrients!$B$79,Nutrients!$DX$79,(IF($A$8=Nutrients!$B$77,Nutrients!$DX$77,Nutrients!$DX$78)))))*P$8))</f>
        <v>215.90391279015165</v>
      </c>
      <c r="Q263" s="24">
        <f>(SUMPRODUCT(Q$9:Q$229,Nutrients!$DX$8:$DX$228)+(IF($A$7=Nutrients!$B$8,Nutrients!$DX$8,Nutrients!$DX$9)*Q$7)+(((IF($A$8=Nutrients!$B$79,Nutrients!$DX$79,(IF($A$8=Nutrients!$B$77,Nutrients!$DX$77,Nutrients!$DX$78)))))*Q$8))</f>
        <v>207.19770981149094</v>
      </c>
      <c r="R263" s="24">
        <f>(SUMPRODUCT(R$9:R$229,Nutrients!$DX$8:$DX$228)+(IF($A$7=Nutrients!$B$8,Nutrients!$DX$8,Nutrients!$DX$9)*R$7)+(((IF($A$8=Nutrients!$B$79,Nutrients!$DX$79,(IF($A$8=Nutrients!$B$77,Nutrients!$DX$77,Nutrients!$DX$78)))))*R$8))</f>
        <v>198.75328011012607</v>
      </c>
      <c r="S263" s="24">
        <f>(SUMPRODUCT(S$9:S$229,Nutrients!$DX$8:$DX$228)+(IF($A$7=Nutrients!$B$8,Nutrients!$DX$8,Nutrients!$DX$9)*S$7)+(((IF($A$8=Nutrients!$B$79,Nutrients!$DX$79,(IF($A$8=Nutrients!$B$77,Nutrients!$DX$77,Nutrients!$DX$78)))))*S$8))</f>
        <v>191.89958714243249</v>
      </c>
      <c r="T263" s="24">
        <f>(SUMPRODUCT(T$9:T$229,Nutrients!$DX$8:$DX$228)+(IF($A$7=Nutrients!$B$8,Nutrients!$DX$8,Nutrients!$DX$9)*T$7)+(((IF($A$8=Nutrients!$B$79,Nutrients!$DX$79,(IF($A$8=Nutrients!$B$77,Nutrients!$DX$77,Nutrients!$DX$78)))))*T$8))</f>
        <v>187.03081494975703</v>
      </c>
      <c r="U263" s="24">
        <f>(SUMPRODUCT(U$9:U$229,Nutrients!$DX$8:$DX$228)+(IF($A$7=Nutrients!$B$8,Nutrients!$DX$8,Nutrients!$DX$9)*U$7)+(((IF($A$8=Nutrients!$B$79,Nutrients!$DX$79,(IF($A$8=Nutrients!$B$77,Nutrients!$DX$77,Nutrients!$DX$78)))))*U$8))</f>
        <v>187.52702006837634</v>
      </c>
      <c r="W263" s="24">
        <f>(SUMPRODUCT(W$9:W$229,Nutrients!$DX$8:$DX$228)+(IF($A$7=Nutrients!$B$8,Nutrients!$DX$8,Nutrients!$DX$9)*W$7)+(((IF($A$8=Nutrients!$B$79,Nutrients!$DX$79,(IF($A$8=Nutrients!$B$77,Nutrients!$DX$77,Nutrients!$DX$78)))))*W$8))</f>
        <v>214.40349886816551</v>
      </c>
      <c r="X263" s="24">
        <f>(SUMPRODUCT(X$9:X$229,Nutrients!$DX$8:$DX$228)+(IF($A$7=Nutrients!$B$8,Nutrients!$DX$8,Nutrients!$DX$9)*X$7)+(((IF($A$8=Nutrients!$B$79,Nutrients!$DX$79,(IF($A$8=Nutrients!$B$77,Nutrients!$DX$77,Nutrients!$DX$78)))))*X$8))</f>
        <v>205.7477720219419</v>
      </c>
      <c r="Y263" s="24">
        <f>(SUMPRODUCT(Y$9:Y$229,Nutrients!$DX$8:$DX$228)+(IF($A$7=Nutrients!$B$8,Nutrients!$DX$8,Nutrients!$DX$9)*Y$7)+(((IF($A$8=Nutrients!$B$79,Nutrients!$DX$79,(IF($A$8=Nutrients!$B$77,Nutrients!$DX$77,Nutrients!$DX$78)))))*Y$8))</f>
        <v>197.2912899859914</v>
      </c>
      <c r="Z263" s="24">
        <f>(SUMPRODUCT(Z$9:Z$229,Nutrients!$DX$8:$DX$228)+(IF($A$7=Nutrients!$B$8,Nutrients!$DX$8,Nutrients!$DX$9)*Z$7)+(((IF($A$8=Nutrients!$B$79,Nutrients!$DX$79,(IF($A$8=Nutrients!$B$77,Nutrients!$DX$77,Nutrients!$DX$78)))))*Z$8))</f>
        <v>190.56581634823459</v>
      </c>
      <c r="AA263" s="24">
        <f>(SUMPRODUCT(AA$9:AA$229,Nutrients!$DX$8:$DX$228)+(IF($A$7=Nutrients!$B$8,Nutrients!$DX$8,Nutrients!$DX$9)*AA$7)+(((IF($A$8=Nutrients!$B$79,Nutrients!$DX$79,(IF($A$8=Nutrients!$B$77,Nutrients!$DX$77,Nutrients!$DX$78)))))*AA$8))</f>
        <v>185.9168515446643</v>
      </c>
      <c r="AB263" s="24">
        <f>(SUMPRODUCT(AB$9:AB$229,Nutrients!$DX$8:$DX$228)+(IF($A$7=Nutrients!$B$8,Nutrients!$DX$8,Nutrients!$DX$9)*AB$7)+(((IF($A$8=Nutrients!$B$79,Nutrients!$DX$79,(IF($A$8=Nutrients!$B$77,Nutrients!$DX$77,Nutrients!$DX$78)))))*AB$8))</f>
        <v>187.52702006837634</v>
      </c>
      <c r="AD263" s="24">
        <f>(SUMPRODUCT(AD$9:AD$229,Nutrients!$DX$8:$DX$228)+(IF($A$7=Nutrients!$B$8,Nutrients!$DX$8,Nutrients!$DX$9)*AD$7)+(((IF($A$8=Nutrients!$B$79,Nutrients!$DX$79,(IF($A$8=Nutrients!$B$77,Nutrients!$DX$77,Nutrients!$DX$78)))))*AD$8))</f>
        <v>212.89637683902419</v>
      </c>
      <c r="AE263" s="24">
        <f>(SUMPRODUCT(AE$9:AE$229,Nutrients!$DX$8:$DX$228)+(IF($A$7=Nutrients!$B$8,Nutrients!$DX$8,Nutrients!$DX$9)*AE$7)+(((IF($A$8=Nutrients!$B$79,Nutrients!$DX$79,(IF($A$8=Nutrients!$B$77,Nutrients!$DX$77,Nutrients!$DX$78)))))*AE$8))</f>
        <v>204.22095834209978</v>
      </c>
      <c r="AF263" s="24">
        <f>(SUMPRODUCT(AF$9:AF$229,Nutrients!$DX$8:$DX$228)+(IF($A$7=Nutrients!$B$8,Nutrients!$DX$8,Nutrients!$DX$9)*AF$7)+(((IF($A$8=Nutrients!$B$79,Nutrients!$DX$79,(IF($A$8=Nutrients!$B$77,Nutrients!$DX$77,Nutrients!$DX$78)))))*AF$8))</f>
        <v>195.7848017149559</v>
      </c>
      <c r="AG263" s="24">
        <f>(SUMPRODUCT(AG$9:AG$229,Nutrients!$DX$8:$DX$228)+(IF($A$7=Nutrients!$B$8,Nutrients!$DX$8,Nutrients!$DX$9)*AG$7)+(((IF($A$8=Nutrients!$B$79,Nutrients!$DX$79,(IF($A$8=Nutrients!$B$77,Nutrients!$DX$77,Nutrients!$DX$78)))))*AG$8))</f>
        <v>189.42033405159225</v>
      </c>
      <c r="AH263" s="24">
        <f>(SUMPRODUCT(AH$9:AH$229,Nutrients!$DX$8:$DX$228)+(IF($A$7=Nutrients!$B$8,Nutrients!$DX$8,Nutrients!$DX$9)*AH$7)+(((IF($A$8=Nutrients!$B$79,Nutrients!$DX$79,(IF($A$8=Nutrients!$B$77,Nutrients!$DX$77,Nutrients!$DX$78)))))*AH$8))</f>
        <v>184.92910240410902</v>
      </c>
      <c r="AI263" s="24">
        <f>(SUMPRODUCT(AI$9:AI$229,Nutrients!$DX$8:$DX$228)+(IF($A$7=Nutrients!$B$8,Nutrients!$DX$8,Nutrients!$DX$9)*AI$7)+(((IF($A$8=Nutrients!$B$79,Nutrients!$DX$79,(IF($A$8=Nutrients!$B$77,Nutrients!$DX$77,Nutrients!$DX$78)))))*AI$8))</f>
        <v>187.52702006837634</v>
      </c>
      <c r="AK263" s="24">
        <f>(SUMPRODUCT(AK$9:AK$229,Nutrients!$DX$8:$DX$228)+(IF($A$7=Nutrients!$B$8,Nutrients!$DX$8,Nutrients!$DX$9)*AK$7)+(((IF($A$8=Nutrients!$B$79,Nutrients!$DX$79,(IF($A$8=Nutrients!$B$77,Nutrients!$DX$77,Nutrients!$DX$78)))))*AK$8))</f>
        <v>211.69350145353982</v>
      </c>
      <c r="AL263" s="24">
        <f>(SUMPRODUCT(AL$9:AL$229,Nutrients!$DX$8:$DX$228)+(IF($A$7=Nutrients!$B$8,Nutrients!$DX$8,Nutrients!$DX$9)*AL$7)+(((IF($A$8=Nutrients!$B$79,Nutrients!$DX$79,(IF($A$8=Nutrients!$B$77,Nutrients!$DX$77,Nutrients!$DX$78)))))*AL$8))</f>
        <v>202.71679305374616</v>
      </c>
      <c r="AM263" s="24">
        <f>(SUMPRODUCT(AM$9:AM$229,Nutrients!$DX$8:$DX$228)+(IF($A$7=Nutrients!$B$8,Nutrients!$DX$8,Nutrients!$DX$9)*AM$7)+(((IF($A$8=Nutrients!$B$79,Nutrients!$DX$79,(IF($A$8=Nutrients!$B$77,Nutrients!$DX$77,Nutrients!$DX$78)))))*AM$8))</f>
        <v>194.59640481753874</v>
      </c>
      <c r="AN263" s="24">
        <f>(SUMPRODUCT(AN$9:AN$229,Nutrients!$DX$8:$DX$228)+(IF($A$7=Nutrients!$B$8,Nutrients!$DX$8,Nutrients!$DX$9)*AN$7)+(((IF($A$8=Nutrients!$B$79,Nutrients!$DX$79,(IF($A$8=Nutrients!$B$77,Nutrients!$DX$77,Nutrients!$DX$78)))))*AN$8))</f>
        <v>188.35209505839322</v>
      </c>
      <c r="AO263" s="24">
        <f>(SUMPRODUCT(AO$9:AO$229,Nutrients!$DX$8:$DX$228)+(IF($A$7=Nutrients!$B$8,Nutrients!$DX$8,Nutrients!$DX$9)*AO$7)+(((IF($A$8=Nutrients!$B$79,Nutrients!$DX$79,(IF($A$8=Nutrients!$B$77,Nutrients!$DX$77,Nutrients!$DX$78)))))*AO$8))</f>
        <v>184.05845523199278</v>
      </c>
      <c r="AP263" s="24">
        <f>(SUMPRODUCT(AP$9:AP$229,Nutrients!$DX$8:$DX$228)+(IF($A$7=Nutrients!$B$8,Nutrients!$DX$8,Nutrients!$DX$9)*AP$7)+(((IF($A$8=Nutrients!$B$79,Nutrients!$DX$79,(IF($A$8=Nutrients!$B$77,Nutrients!$DX$77,Nutrients!$DX$78)))))*AP$8))</f>
        <v>187.52702006837634</v>
      </c>
      <c r="AR263" s="24">
        <f>(SUMPRODUCT(AR$9:AR$229,Nutrients!$DX$8:$DX$228)+(IF($A$7=Nutrients!$B$8,Nutrients!$DX$8,Nutrients!$DX$9)*AR$7)+(((IF($A$8=Nutrients!$B$79,Nutrients!$DX$79,(IF($A$8=Nutrients!$B$77,Nutrients!$DX$77,Nutrients!$DX$78)))))*AR$8))</f>
        <v>210.07210897674861</v>
      </c>
      <c r="AS263" s="24">
        <f>(SUMPRODUCT(AS$9:AS$229,Nutrients!$DX$8:$DX$228)+(IF($A$7=Nutrients!$B$8,Nutrients!$DX$8,Nutrients!$DX$9)*AS$7)+(((IF($A$8=Nutrients!$B$79,Nutrients!$DX$79,(IF($A$8=Nutrients!$B$77,Nutrients!$DX$77,Nutrients!$DX$78)))))*AS$8))</f>
        <v>201.21247565089718</v>
      </c>
      <c r="AT263" s="24">
        <f>(SUMPRODUCT(AT$9:AT$229,Nutrients!$DX$8:$DX$228)+(IF($A$7=Nutrients!$B$8,Nutrients!$DX$8,Nutrients!$DX$9)*AT$7)+(((IF($A$8=Nutrients!$B$79,Nutrients!$DX$79,(IF($A$8=Nutrients!$B$77,Nutrients!$DX$77,Nutrients!$DX$78)))))*AT$8))</f>
        <v>193.42201141093267</v>
      </c>
      <c r="AU263" s="24">
        <f>(SUMPRODUCT(AU$9:AU$229,Nutrients!$DX$8:$DX$228)+(IF($A$7=Nutrients!$B$8,Nutrients!$DX$8,Nutrients!$DX$9)*AU$7)+(((IF($A$8=Nutrients!$B$79,Nutrients!$DX$79,(IF($A$8=Nutrients!$B$77,Nutrients!$DX$77,Nutrients!$DX$78)))))*AU$8))</f>
        <v>187.45575724063724</v>
      </c>
      <c r="AV263" s="24">
        <f>(SUMPRODUCT(AV$9:AV$229,Nutrients!$DX$8:$DX$228)+(IF($A$7=Nutrients!$B$8,Nutrients!$DX$8,Nutrients!$DX$9)*AV$7)+(((IF($A$8=Nutrients!$B$79,Nutrients!$DX$79,(IF($A$8=Nutrients!$B$77,Nutrients!$DX$77,Nutrients!$DX$78)))))*AV$8))</f>
        <v>183.15658702065019</v>
      </c>
      <c r="AW263" s="24">
        <f>(SUMPRODUCT(AW$9:AW$229,Nutrients!$DX$8:$DX$228)+(IF($A$7=Nutrients!$B$8,Nutrients!$DX$8,Nutrients!$DX$9)*AW$7)+(((IF($A$8=Nutrients!$B$79,Nutrients!$DX$79,(IF($A$8=Nutrients!$B$77,Nutrients!$DX$77,Nutrients!$DX$78)))))*AW$8))</f>
        <v>187.52702006837634</v>
      </c>
    </row>
    <row r="264" spans="1:59" x14ac:dyDescent="0.25">
      <c r="A264" t="s">
        <v>21</v>
      </c>
      <c r="B264" s="25">
        <f>IF(B$5="","",B263+Nutrients!$DV$5)</f>
        <v>231.06090724554412</v>
      </c>
      <c r="C264" s="25">
        <f>IF(C$5="","",C263+Nutrients!$DV$5)</f>
        <v>222.20700601537649</v>
      </c>
      <c r="D264" s="25">
        <f>IF(D$5="","",D263+Nutrients!$DV$5)</f>
        <v>213.64110105420281</v>
      </c>
      <c r="E264" s="25">
        <f>IF(E$5="","",E263+Nutrients!$DV$5)</f>
        <v>206.82283976807454</v>
      </c>
      <c r="F264" s="25">
        <f>IF(F$5="","",F263+Nutrients!$DV$5)</f>
        <v>201.69608954240206</v>
      </c>
      <c r="G264" s="25">
        <f>IF(G$5="","",G263+Nutrients!$DV$5)</f>
        <v>199.52702006837634</v>
      </c>
      <c r="H264" s="230"/>
      <c r="I264" s="25">
        <f>IF(I$5="","",I263+Nutrients!$DV$5)</f>
        <v>229.40530790410384</v>
      </c>
      <c r="J264" s="25">
        <f>IF(J$5="","",J263+Nutrients!$DV$5)</f>
        <v>220.63316975744857</v>
      </c>
      <c r="K264" s="25">
        <f>IF(K$5="","",K263+Nutrients!$DV$5)</f>
        <v>212.15114173826777</v>
      </c>
      <c r="L264" s="25">
        <f>IF(L$5="","",L263+Nutrients!$DV$5)</f>
        <v>205.32236120947073</v>
      </c>
      <c r="M264" s="25">
        <f>IF(M$5="","",M263+Nutrients!$DV$5)</f>
        <v>200.20863229303959</v>
      </c>
      <c r="N264" s="25">
        <f>IF(N$5="","",N263+Nutrients!$DV$5)</f>
        <v>199.52702006837634</v>
      </c>
      <c r="O264" s="199"/>
      <c r="P264" s="25">
        <f>IF(P$5="","",P263+Nutrients!$DV$5)</f>
        <v>227.90391279015165</v>
      </c>
      <c r="Q264" s="25">
        <f>IF(Q$5="","",Q263+Nutrients!$DV$5)</f>
        <v>219.19770981149094</v>
      </c>
      <c r="R264" s="25">
        <f>IF(R$5="","",R263+Nutrients!$DV$5)</f>
        <v>210.75328011012607</v>
      </c>
      <c r="S264" s="25">
        <f>IF(S$5="","",S263+Nutrients!$DV$5)</f>
        <v>203.89958714243249</v>
      </c>
      <c r="T264" s="25">
        <f>IF(T$5="","",T263+Nutrients!$DV$5)</f>
        <v>199.03081494975703</v>
      </c>
      <c r="U264" s="25">
        <f>IF(U$5="","",U263+Nutrients!$DV$5)</f>
        <v>199.52702006837634</v>
      </c>
      <c r="W264" s="25">
        <f>IF(W$5="","",W263+Nutrients!$DV$5)</f>
        <v>226.40349886816551</v>
      </c>
      <c r="X264" s="25">
        <f>IF(X$5="","",X263+Nutrients!$DV$5)</f>
        <v>217.7477720219419</v>
      </c>
      <c r="Y264" s="25">
        <f>IF(Y$5="","",Y263+Nutrients!$DV$5)</f>
        <v>209.2912899859914</v>
      </c>
      <c r="Z264" s="25">
        <f>IF(Z$5="","",Z263+Nutrients!$DV$5)</f>
        <v>202.56581634823459</v>
      </c>
      <c r="AA264" s="25">
        <f>IF(AA$5="","",AA263+Nutrients!$DV$5)</f>
        <v>197.9168515446643</v>
      </c>
      <c r="AB264" s="25">
        <f>IF(AB$5="","",AB263+Nutrients!$DV$5)</f>
        <v>199.52702006837634</v>
      </c>
      <c r="AD264" s="25">
        <f>IF(AD$5="","",AD263+Nutrients!$DV$5)</f>
        <v>224.89637683902419</v>
      </c>
      <c r="AE264" s="25">
        <f>IF(AE$5="","",AE263+Nutrients!$DV$5)</f>
        <v>216.22095834209978</v>
      </c>
      <c r="AF264" s="25">
        <f>IF(AF$5="","",AF263+Nutrients!$DV$5)</f>
        <v>207.7848017149559</v>
      </c>
      <c r="AG264" s="25">
        <f>IF(AG$5="","",AG263+Nutrients!$DV$5)</f>
        <v>201.42033405159225</v>
      </c>
      <c r="AH264" s="25">
        <f>IF(AH$5="","",AH263+Nutrients!$DV$5)</f>
        <v>196.92910240410902</v>
      </c>
      <c r="AI264" s="25">
        <f>IF(AI$5="","",AI263+Nutrients!$DV$5)</f>
        <v>199.52702006837634</v>
      </c>
      <c r="AK264" s="25">
        <f>IF(AK$5="","",AK263+Nutrients!$DV$5)</f>
        <v>223.69350145353982</v>
      </c>
      <c r="AL264" s="25">
        <f>IF(AL$5="","",AL263+Nutrients!$DV$5)</f>
        <v>214.71679305374616</v>
      </c>
      <c r="AM264" s="25">
        <f>IF(AM$5="","",AM263+Nutrients!$DV$5)</f>
        <v>206.59640481753874</v>
      </c>
      <c r="AN264" s="25">
        <f>IF(AN$5="","",AN263+Nutrients!$DV$5)</f>
        <v>200.35209505839322</v>
      </c>
      <c r="AO264" s="25">
        <f>IF(AO$5="","",AO263+Nutrients!$DV$5)</f>
        <v>196.05845523199278</v>
      </c>
      <c r="AP264" s="25">
        <f>IF(AP$5="","",AP263+Nutrients!$DV$5)</f>
        <v>199.52702006837634</v>
      </c>
      <c r="AR264" s="25">
        <f>IF(AR$5="","",AR263+Nutrients!$DV$5)</f>
        <v>222.07210897674861</v>
      </c>
      <c r="AS264" s="25">
        <f>IF(AS$5="","",AS263+Nutrients!$DV$5)</f>
        <v>213.21247565089718</v>
      </c>
      <c r="AT264" s="25">
        <f>IF(AT$5="","",AT263+Nutrients!$DV$5)</f>
        <v>205.42201141093267</v>
      </c>
      <c r="AU264" s="25">
        <f>IF(AU$5="","",AU263+Nutrients!$DV$5)</f>
        <v>199.45575724063724</v>
      </c>
      <c r="AV264" s="25">
        <f>IF(AV$5="","",AV263+Nutrients!$DV$5)</f>
        <v>195.15658702065019</v>
      </c>
      <c r="AW264" s="25">
        <f>IF(AW$5="","",AW263+Nutrients!$DV$5)</f>
        <v>199.52702006837634</v>
      </c>
    </row>
    <row r="265" spans="1:59" x14ac:dyDescent="0.25">
      <c r="A265" s="34" t="s">
        <v>541</v>
      </c>
      <c r="B265" s="371">
        <v>64.919933148666814</v>
      </c>
      <c r="C265" s="371">
        <v>74.047956546633458</v>
      </c>
      <c r="D265" s="371">
        <v>95.803407561009578</v>
      </c>
      <c r="E265" s="371">
        <v>107.72572383590483</v>
      </c>
      <c r="F265" s="371">
        <v>119.6480401107998</v>
      </c>
      <c r="G265" s="371">
        <v>148.85493879698549</v>
      </c>
      <c r="H265" s="91">
        <f>SUM(B265:G265)</f>
        <v>611</v>
      </c>
      <c r="I265" s="371">
        <f>($B$265*$B$250/I250)-($B$265*$B$250/I250)/(I6-I5)*I268</f>
        <v>65.032519195989309</v>
      </c>
      <c r="J265" s="371">
        <f>($C$265*$C$250/J250)-($C$265*$C$250/J250)/(J6-J5)*J268</f>
        <v>74.200606618390609</v>
      </c>
      <c r="K265" s="371">
        <f>($D$265*$D$250/K250)-($D$265*$D$250/K250)/(K6-K5)*K268</f>
        <v>95.95910692241938</v>
      </c>
      <c r="L265" s="371">
        <f>($E$265*$E$250/L250)-($E$265*$E$250/L250)/(L6-L5)*L268</f>
        <v>107.7240432979805</v>
      </c>
      <c r="M265" s="371">
        <f>($F$265*$F$250/M250)-($F$265*$F$250/M250)/(M6-M5)*M268</f>
        <v>119.31268409455409</v>
      </c>
      <c r="N265" s="371">
        <f>($G$265*$G$250/N250)-($G$265*$G$250/N250)/(N6-N5)*N268</f>
        <v>148.85493879698549</v>
      </c>
      <c r="O265" s="91">
        <f>SUM(I265:N265)</f>
        <v>611.08389892631931</v>
      </c>
      <c r="P265" s="371">
        <f>($B$265*$B$250/P250)-($B$265*$B$250/P250)/(P6-P5)*P268</f>
        <v>65.232497884481873</v>
      </c>
      <c r="Q265" s="371">
        <f>($C$265*$C$250/Q250)-($C$265*$C$250/Q250)/(Q6-Q5)*Q268</f>
        <v>74.439250247791989</v>
      </c>
      <c r="R265" s="371">
        <f>($D$265*$D$250/R250)-($D$265*$D$250/R250)/(R6-R5)*R268</f>
        <v>96.208377628864696</v>
      </c>
      <c r="S265" s="371">
        <f>($E$265*$E$250/S250)-($E$265*$E$250/S250)/(S6-S5)*S268</f>
        <v>107.78376362874182</v>
      </c>
      <c r="T265" s="371">
        <f>($F$265*$F$250/T250)-($F$265*$F$250/T250)/(T6-T5)*T268</f>
        <v>119.05468922829392</v>
      </c>
      <c r="U265" s="371">
        <f>($G$265*$G$250/U250)-($G$265*$G$250/U250)/(U6-U5)*U268</f>
        <v>148.85493879698549</v>
      </c>
      <c r="V265" s="91">
        <f>SUM(P265:U265)</f>
        <v>611.57351741515981</v>
      </c>
      <c r="W265" s="371">
        <f>($B$265*$B$250/W250)-($B$265*$B$250/W250)/(W6-W5)*W268</f>
        <v>65.493532077255878</v>
      </c>
      <c r="X265" s="371">
        <f>($C$265*$C$250/X250)-($C$265*$C$250/X250)/(X6-X5)*X268</f>
        <v>74.730137171165069</v>
      </c>
      <c r="Y265" s="371">
        <f>($D$265*$D$250/Y250)-($D$265*$D$250/Y250)/(Y6-Y5)*Y268</f>
        <v>96.466015113214013</v>
      </c>
      <c r="Z265" s="371">
        <f>($E$265*$E$250/Z250)-($E$265*$E$250/Z250)/(Z6-Z5)*Z268</f>
        <v>107.90695982102051</v>
      </c>
      <c r="AA265" s="371">
        <f>($F$265*$F$250/AA250)-($F$265*$F$250/AA250)/(AA6-AA5)*AA268</f>
        <v>118.84217022947654</v>
      </c>
      <c r="AB265" s="371">
        <f>($G$265*$G$250/AB250)-($G$265*$G$250/AB250)/(AB6-AB5)*AB268</f>
        <v>148.85493879698549</v>
      </c>
      <c r="AC265" s="91">
        <f>SUM(W265:AB265)</f>
        <v>612.29375320911754</v>
      </c>
      <c r="AD265" s="371">
        <f>($B$265*$B$250/AD250)-($B$265*$B$250/AD250)/(AD6-AD5)*AD268</f>
        <v>65.818852667650717</v>
      </c>
      <c r="AE265" s="371">
        <f>($C$265*$C$250/AE250)-($C$265*$C$250/AE250)/(AE6-AE5)*AE268</f>
        <v>75.056010732983822</v>
      </c>
      <c r="AF265" s="371">
        <f>($D$265*$D$250/AF250)-($D$265*$D$250/AF250)/(AF6-AF5)*AF268</f>
        <v>96.796749211020355</v>
      </c>
      <c r="AG265" s="371">
        <f>($E$265*$E$250/AG250)-($E$265*$E$250/AG250)/(AG6-AG5)*AG268</f>
        <v>108.07840340827386</v>
      </c>
      <c r="AH265" s="371">
        <f>($F$265*$F$250/AH250)-($F$265*$F$250/AH250)/(AH6-AH5)*AH268</f>
        <v>118.71109466847821</v>
      </c>
      <c r="AI265" s="371">
        <f>($G$265*$G$250/AI250)-($G$265*$G$250/AI250)/(AI6-AI5)*AI268</f>
        <v>148.85493879698549</v>
      </c>
      <c r="AJ265" s="91">
        <f>SUM(AD265:AI265)</f>
        <v>613.31604948539245</v>
      </c>
      <c r="AK265" s="371">
        <f>($B$265*$B$250/AK250)-($B$265*$B$250/AK250)/(AK6-AK5)*AK268</f>
        <v>66.203814514362591</v>
      </c>
      <c r="AL265" s="371">
        <f>($C$265*$C$250/AL250)-($C$265*$C$250/AL250)/(AL6-AL5)*AL268</f>
        <v>75.449325167069418</v>
      </c>
      <c r="AM265" s="371">
        <f>($D$265*$D$250/AM250)-($D$265*$D$250/AM250)/(AM6-AM5)*AM268</f>
        <v>97.190319105721485</v>
      </c>
      <c r="AN265" s="371">
        <f>($E$265*$E$250/AN250)-($E$265*$E$250/AN250)/(AN6-AN5)*AN268</f>
        <v>108.33386077147181</v>
      </c>
      <c r="AO265" s="371">
        <f>($F$265*$F$250/AO250)-($F$265*$F$250/AO250)/(AO6-AO5)*AO268</f>
        <v>118.65324959714131</v>
      </c>
      <c r="AP265" s="371">
        <f>($G$265*$G$250/AP250)-($G$265*$G$250/AP250)/(AP6-AP5)*AP268</f>
        <v>148.85493879698549</v>
      </c>
      <c r="AQ265" s="91">
        <f>SUM(AK265:AP265)</f>
        <v>614.68550795275212</v>
      </c>
      <c r="AR265" s="371">
        <f>($B$265*$B$250/AR250)-($B$265*$B$250/AR250)/(AR6-AR5)*AR268</f>
        <v>66.656720804704733</v>
      </c>
      <c r="AS265" s="371">
        <f>($C$265*$C$250/AS250)-($C$265*$C$250/AS250)/(AS6-AS5)*AS268</f>
        <v>75.906488992718167</v>
      </c>
      <c r="AT265" s="371">
        <f>($D$265*$D$250/AT250)-($D$265*$D$250/AT250)/(AT6-AT5)*AT268</f>
        <v>97.654226308510644</v>
      </c>
      <c r="AU265" s="371">
        <f>($E$265*$E$250/AU250)-($E$265*$E$250/AU250)/(AU6-AU5)*AU268</f>
        <v>108.68624755505653</v>
      </c>
      <c r="AV265" s="371">
        <f>($F$265*$F$250/AV250)-($F$265*$F$250/AV250)/(AV6-AV5)*AV268</f>
        <v>118.65480656193117</v>
      </c>
      <c r="AW265" s="371">
        <f>($G$265*$G$250/AW250)-($G$265*$G$250/AW250)/(AW6-AW5)*AW268</f>
        <v>148.85493879698549</v>
      </c>
      <c r="AX265" s="91">
        <f>SUM(AR265:AW265)</f>
        <v>616.41342901990674</v>
      </c>
      <c r="AY265" s="91"/>
      <c r="AZ265" s="117"/>
      <c r="BA265" s="117"/>
      <c r="BB265" s="117"/>
      <c r="BC265" s="117"/>
      <c r="BD265" s="117"/>
      <c r="BE265" s="117"/>
    </row>
    <row r="266" spans="1:59" x14ac:dyDescent="0.25">
      <c r="A266" s="34" t="s">
        <v>542</v>
      </c>
      <c r="B266" s="25">
        <f t="shared" ref="B266:G266" si="76">IF(B$265="","",B265*B264/2000)</f>
        <v>7.5002293258255142</v>
      </c>
      <c r="C266" s="25">
        <f t="shared" si="76"/>
        <v>8.2269873628920589</v>
      </c>
      <c r="D266" s="25">
        <f t="shared" si="76"/>
        <v>10.233772738039312</v>
      </c>
      <c r="E266" s="25">
        <f t="shared" si="76"/>
        <v>11.140070059906597</v>
      </c>
      <c r="F266" s="25">
        <f t="shared" si="76"/>
        <v>12.066270905880396</v>
      </c>
      <c r="G266" s="25">
        <f t="shared" si="76"/>
        <v>14.85029118031153</v>
      </c>
      <c r="H266" s="230"/>
      <c r="I266" s="25">
        <f t="shared" ref="I266:N266" si="77">IF(I$265="","",I265*I264/2000)</f>
        <v>7.4594025449677357</v>
      </c>
      <c r="J266" s="25">
        <f t="shared" si="77"/>
        <v>8.1855575180705173</v>
      </c>
      <c r="K266" s="25">
        <f t="shared" si="77"/>
        <v>10.178917046887893</v>
      </c>
      <c r="L266" s="25">
        <f t="shared" si="77"/>
        <v>11.059077464486309</v>
      </c>
      <c r="M266" s="25">
        <f t="shared" si="77"/>
        <v>11.943714648891087</v>
      </c>
      <c r="N266" s="25">
        <f t="shared" si="77"/>
        <v>14.85029118031153</v>
      </c>
      <c r="O266" s="199"/>
      <c r="P266" s="25">
        <f t="shared" ref="P266:U266" si="78">IF(P$265="","",P265*P264/2000)</f>
        <v>7.433370754474355</v>
      </c>
      <c r="Q266" s="25">
        <f t="shared" si="78"/>
        <v>8.1584565872002308</v>
      </c>
      <c r="R266" s="25">
        <f t="shared" si="78"/>
        <v>10.138115579678454</v>
      </c>
      <c r="S266" s="25">
        <f t="shared" si="78"/>
        <v>10.988532452278994</v>
      </c>
      <c r="T266" s="25">
        <f t="shared" si="78"/>
        <v>11.8477759103487</v>
      </c>
      <c r="U266" s="25">
        <f t="shared" si="78"/>
        <v>14.85029118031153</v>
      </c>
      <c r="W266" s="25">
        <f t="shared" ref="W266:AB266" si="79">IF(W$265="","",W265*W264/2000)</f>
        <v>7.4139824077625818</v>
      </c>
      <c r="X266" s="25">
        <f t="shared" si="79"/>
        <v>8.1361604359576489</v>
      </c>
      <c r="Y266" s="25">
        <f t="shared" si="79"/>
        <v>10.09474837142635</v>
      </c>
      <c r="Z266" s="25">
        <f t="shared" si="79"/>
        <v>10.929130702900585</v>
      </c>
      <c r="AA266" s="25">
        <f t="shared" si="79"/>
        <v>11.760434081276514</v>
      </c>
      <c r="AB266" s="25">
        <f t="shared" si="79"/>
        <v>14.85029118031153</v>
      </c>
      <c r="AD266" s="25">
        <f t="shared" ref="AD266:AI266" si="80">IF(AD$265="","",AD265*AD264/2000)</f>
        <v>7.4012107463280934</v>
      </c>
      <c r="AE266" s="25">
        <f t="shared" si="80"/>
        <v>8.1143412850103438</v>
      </c>
      <c r="AF266" s="25">
        <f t="shared" si="80"/>
        <v>10.05644667073209</v>
      </c>
      <c r="AG266" s="25">
        <f t="shared" si="80"/>
        <v>10.884594059128633</v>
      </c>
      <c r="AH266" s="25">
        <f t="shared" si="80"/>
        <v>11.688834659236312</v>
      </c>
      <c r="AI266" s="25">
        <f t="shared" si="80"/>
        <v>14.85029118031153</v>
      </c>
      <c r="AK266" s="25">
        <f t="shared" ref="AK266:AP266" si="81">IF(AK$265="","",AK265*AK264/2000)</f>
        <v>7.4046815391492249</v>
      </c>
      <c r="AL266" s="25">
        <f t="shared" si="81"/>
        <v>8.1001185689712223</v>
      </c>
      <c r="AM266" s="25">
        <f t="shared" si="81"/>
        <v>10.039585255155703</v>
      </c>
      <c r="AN266" s="25">
        <f t="shared" si="81"/>
        <v>10.852457985664326</v>
      </c>
      <c r="AO266" s="25">
        <f t="shared" si="81"/>
        <v>11.631486412135796</v>
      </c>
      <c r="AP266" s="25">
        <f t="shared" si="81"/>
        <v>14.85029118031153</v>
      </c>
      <c r="AR266" s="25">
        <f t="shared" ref="AR266:AW266" si="82">IF(AR$265="","",AR265*AR264/2000)</f>
        <v>7.4012992832875479</v>
      </c>
      <c r="AS266" s="25">
        <f t="shared" si="82"/>
        <v>8.0921052180525077</v>
      </c>
      <c r="AT266" s="25">
        <f t="shared" si="82"/>
        <v>10.030163795536337</v>
      </c>
      <c r="AU266" s="25">
        <f t="shared" si="82"/>
        <v>10.83904890386858</v>
      </c>
      <c r="AV266" s="25">
        <f t="shared" si="82"/>
        <v>11.578133541110969</v>
      </c>
      <c r="AW266" s="25">
        <f t="shared" si="82"/>
        <v>14.85029118031153</v>
      </c>
      <c r="AZ266" s="369"/>
    </row>
    <row r="267" spans="1:59" x14ac:dyDescent="0.25">
      <c r="A267" s="34" t="s">
        <v>517</v>
      </c>
      <c r="B267" s="370">
        <f t="shared" ref="B267:G267" si="83">B342*0.00220462</f>
        <v>1.669925476729073</v>
      </c>
      <c r="C267" s="370">
        <f t="shared" si="83"/>
        <v>1.9189525389204525</v>
      </c>
      <c r="D267" s="370">
        <f t="shared" si="83"/>
        <v>2.0860530832674886</v>
      </c>
      <c r="E267" s="370">
        <f t="shared" si="83"/>
        <v>2.166293944697927</v>
      </c>
      <c r="F267" s="370">
        <f t="shared" si="83"/>
        <v>2.1531120876854954</v>
      </c>
      <c r="G267" s="370">
        <f t="shared" si="83"/>
        <v>2.0276943879552971</v>
      </c>
      <c r="H267" s="230"/>
      <c r="I267" s="370">
        <f t="shared" ref="I267:N267" si="84">I342*0.00220462</f>
        <v>1.6591780812180643</v>
      </c>
      <c r="J267" s="370">
        <f t="shared" si="84"/>
        <v>1.9071892211614505</v>
      </c>
      <c r="K267" s="370">
        <f t="shared" si="84"/>
        <v>2.0723635687407453</v>
      </c>
      <c r="L267" s="370">
        <f t="shared" si="84"/>
        <v>2.1490544023084666</v>
      </c>
      <c r="M267" s="370">
        <f t="shared" si="84"/>
        <v>2.1299520650476746</v>
      </c>
      <c r="N267" s="370">
        <f t="shared" si="84"/>
        <v>2.0276943879552971</v>
      </c>
      <c r="O267" s="94"/>
      <c r="P267" s="370">
        <f t="shared" ref="P267:U267" si="85">P342*0.00220462</f>
        <v>1.6504251168768864</v>
      </c>
      <c r="Q267" s="370">
        <f t="shared" si="85"/>
        <v>1.8974557689243226</v>
      </c>
      <c r="R267" s="370">
        <f t="shared" si="85"/>
        <v>2.0605306952627145</v>
      </c>
      <c r="S267" s="370">
        <f t="shared" si="85"/>
        <v>2.1325794627644439</v>
      </c>
      <c r="T267" s="370">
        <f t="shared" si="85"/>
        <v>2.1079897100869229</v>
      </c>
      <c r="U267" s="370">
        <f t="shared" si="85"/>
        <v>2.0276943879552971</v>
      </c>
      <c r="W267" s="370">
        <f t="shared" ref="W267:AB267" si="86">W342*0.00220462</f>
        <v>1.6431484481411012</v>
      </c>
      <c r="X267" s="370">
        <f t="shared" si="86"/>
        <v>1.8889647015971551</v>
      </c>
      <c r="Y267" s="370">
        <f t="shared" si="86"/>
        <v>2.0489589584630297</v>
      </c>
      <c r="Z267" s="370">
        <f t="shared" si="86"/>
        <v>2.1173781721555001</v>
      </c>
      <c r="AA267" s="370">
        <f t="shared" si="86"/>
        <v>2.0869663426163418</v>
      </c>
      <c r="AB267" s="370">
        <f t="shared" si="86"/>
        <v>2.0276943879552971</v>
      </c>
      <c r="AD267" s="370">
        <f t="shared" ref="AD267:AI267" si="87">AD342*0.00220462</f>
        <v>1.6373504413758493</v>
      </c>
      <c r="AE267" s="370">
        <f t="shared" si="87"/>
        <v>1.8813164924669157</v>
      </c>
      <c r="AF267" s="370">
        <f t="shared" si="87"/>
        <v>2.0387607903001861</v>
      </c>
      <c r="AG267" s="370">
        <f t="shared" si="87"/>
        <v>2.1031417331560309</v>
      </c>
      <c r="AH267" s="370">
        <f t="shared" si="87"/>
        <v>2.0661717021000539</v>
      </c>
      <c r="AI267" s="370">
        <f t="shared" si="87"/>
        <v>2.0276943879552971</v>
      </c>
      <c r="AK267" s="370">
        <f t="shared" ref="AK267:AP267" si="88">AK342*0.00220462</f>
        <v>1.6324882419497464</v>
      </c>
      <c r="AL267" s="370">
        <f t="shared" si="88"/>
        <v>1.8751960330358797</v>
      </c>
      <c r="AM267" s="370">
        <f t="shared" si="88"/>
        <v>2.0299139403546049</v>
      </c>
      <c r="AN267" s="370">
        <f t="shared" si="88"/>
        <v>2.089526527130809</v>
      </c>
      <c r="AO267" s="370">
        <f t="shared" si="88"/>
        <v>2.0460852264712268</v>
      </c>
      <c r="AP267" s="370">
        <f t="shared" si="88"/>
        <v>2.0276943879552971</v>
      </c>
      <c r="AR267" s="370">
        <f t="shared" ref="AR267:AW267" si="89">AR342*0.00220462</f>
        <v>1.629681985394005</v>
      </c>
      <c r="AS267" s="370">
        <f t="shared" si="89"/>
        <v>1.8704612538811027</v>
      </c>
      <c r="AT267" s="370">
        <f t="shared" si="89"/>
        <v>2.0223326567851498</v>
      </c>
      <c r="AU267" s="370">
        <f t="shared" si="89"/>
        <v>2.0767390460120363</v>
      </c>
      <c r="AV267" s="370">
        <f t="shared" si="89"/>
        <v>2.0270241248866854</v>
      </c>
      <c r="AW267" s="370">
        <f t="shared" si="89"/>
        <v>2.0276943879552971</v>
      </c>
      <c r="AZ267" s="378"/>
      <c r="BA267" s="378"/>
    </row>
    <row r="268" spans="1:59" x14ac:dyDescent="0.25">
      <c r="A268" s="302" t="s">
        <v>545</v>
      </c>
      <c r="B268" s="303"/>
      <c r="C268" s="303"/>
      <c r="D268" s="303"/>
      <c r="E268" s="303"/>
      <c r="F268" s="303"/>
      <c r="G268" s="303"/>
      <c r="H268" s="303"/>
      <c r="I268" s="304">
        <f>($B$6-$B$5)-(($B$6-$B$5)/$B$267)*I267</f>
        <v>0.22525486803284878</v>
      </c>
      <c r="J268" s="304">
        <f>($C$6-$C$5)-(($C$6-$C$5)/$C$267)*J267</f>
        <v>0.21455252968199545</v>
      </c>
      <c r="K268" s="304">
        <f>($D$6-$D$5)-(($D$6-$D$5)/$D$267)*K267</f>
        <v>0.26249599564936688</v>
      </c>
      <c r="L268" s="304">
        <f>($E$6-$E$5)-(($E$6-$E$5)/$E$267)*L267</f>
        <v>0.31832323460358936</v>
      </c>
      <c r="M268" s="304">
        <f>($F$6-$F$5)-(($F$6-$F$5)/$F$267)*M267</f>
        <v>0.43026134626770585</v>
      </c>
      <c r="N268" s="304">
        <f>($G$6-$G$5)-(($G$6-$G$5)/$G$267)*N267</f>
        <v>0</v>
      </c>
      <c r="O268" s="305"/>
      <c r="P268" s="304">
        <f>($B$6-$B$5)-(($B$6-$B$5)/$B$267)*P267</f>
        <v>0.40870841503861044</v>
      </c>
      <c r="Q268" s="304">
        <f>($C$6-$C$5)-(($C$6-$C$5)/$C$267)*Q267</f>
        <v>0.39208210448384051</v>
      </c>
      <c r="R268" s="304">
        <f>($D$6-$D$5)-(($D$6-$D$5)/$D$267)*R267</f>
        <v>0.48939095959719481</v>
      </c>
      <c r="S268" s="304">
        <f>($E$6-$E$5)-(($E$6-$E$5)/$E$267)*S267</f>
        <v>0.62252829568213031</v>
      </c>
      <c r="T268" s="304">
        <f>($F$6-$F$5)-(($F$6-$F$5)/$F$267)*T267</f>
        <v>0.83827270965864642</v>
      </c>
      <c r="U268" s="304">
        <f>($G$6-$G$5)-(($G$6-$G$5)/$G$267)*U267</f>
        <v>0</v>
      </c>
      <c r="V268" s="305"/>
      <c r="W268" s="304">
        <f>($B$6-$B$5)-(($B$6-$B$5)/$B$267)*W267</f>
        <v>0.56122025422040167</v>
      </c>
      <c r="X268" s="304">
        <f>($C$6-$C$5)-(($C$6-$C$5)/$C$267)*X267</f>
        <v>0.54695167547284029</v>
      </c>
      <c r="Y268" s="304">
        <f>($D$6-$D$5)-(($D$6-$D$5)/$D$267)*Y267</f>
        <v>0.71127863623406284</v>
      </c>
      <c r="Z268" s="304">
        <f>($E$6-$E$5)-(($E$6-$E$5)/$E$267)*Z267</f>
        <v>0.90321579233787475</v>
      </c>
      <c r="AA268" s="304">
        <f>($F$6-$F$5)-(($F$6-$F$5)/$F$267)*AA267</f>
        <v>1.2288397886476474</v>
      </c>
      <c r="AB268" s="304">
        <f>($G$6-$G$5)-(($G$6-$G$5)/$G$267)*AB267</f>
        <v>0</v>
      </c>
      <c r="AC268" s="305"/>
      <c r="AD268" s="304">
        <f>($B$6-$B$5)-(($B$6-$B$5)/$B$267)*AD267</f>
        <v>0.68274078888599377</v>
      </c>
      <c r="AE268" s="304">
        <f>($C$6-$C$5)-(($C$6-$C$5)/$C$267)*AE267</f>
        <v>0.68644825713867874</v>
      </c>
      <c r="AF268" s="304">
        <f>($D$6-$D$5)-(($D$6-$D$5)/$D$267)*AF267</f>
        <v>0.90682817894981582</v>
      </c>
      <c r="AG268" s="304">
        <f>($E$6-$E$5)-(($E$6-$E$5)/$E$267)*AG267</f>
        <v>1.1660875791387966</v>
      </c>
      <c r="AH268" s="304">
        <f>($F$6-$F$5)-(($F$6-$F$5)/$F$267)*AH267</f>
        <v>1.6151576331336983</v>
      </c>
      <c r="AI268" s="304">
        <f>($G$6-$G$5)-(($G$6-$G$5)/$G$267)*AI267</f>
        <v>0</v>
      </c>
      <c r="AJ268" s="305"/>
      <c r="AK268" s="304">
        <f>($B$6-$B$5)-(($B$6-$B$5)/$B$267)*AK267</f>
        <v>0.78464771963534474</v>
      </c>
      <c r="AL268" s="304">
        <f>($C$6-$C$5)-(($C$6-$C$5)/$C$267)*AL267</f>
        <v>0.79808003319436693</v>
      </c>
      <c r="AM268" s="304">
        <f>($D$6-$D$5)-(($D$6-$D$5)/$D$267)*AM267</f>
        <v>1.0764662388159394</v>
      </c>
      <c r="AN268" s="304">
        <f>($E$6-$E$5)-(($E$6-$E$5)/$E$267)*AN267</f>
        <v>1.4174884762062661</v>
      </c>
      <c r="AO268" s="304">
        <f>($F$6-$F$5)-(($F$6-$F$5)/$F$267)*AO267</f>
        <v>1.9883193601744722</v>
      </c>
      <c r="AP268" s="304">
        <f>($G$6-$G$5)-(($G$6-$G$5)/$G$267)*AP267</f>
        <v>0</v>
      </c>
      <c r="AQ268" s="305"/>
      <c r="AR268" s="304">
        <f>($B$6-$B$5)-(($B$6-$B$5)/$B$267)*AR267</f>
        <v>0.84346410444991449</v>
      </c>
      <c r="AS268" s="304">
        <f>($C$6-$C$5)-(($C$6-$C$5)/$C$267)*AS267</f>
        <v>0.88443822447637643</v>
      </c>
      <c r="AT268" s="304">
        <f>($D$6-$D$5)-(($D$6-$D$5)/$D$267)*AT267</f>
        <v>1.2218371045962115</v>
      </c>
      <c r="AU268" s="304">
        <f>($E$6-$E$5)-(($E$6-$E$5)/$E$267)*AU267</f>
        <v>1.653605668890485</v>
      </c>
      <c r="AV268" s="304">
        <f>($F$6-$F$5)-(($F$6-$F$5)/$F$267)*AV267</f>
        <v>2.3424319341284132</v>
      </c>
      <c r="AW268" s="304">
        <f>($G$6-$G$5)-(($G$6-$G$5)/$G$267)*AW267</f>
        <v>0</v>
      </c>
      <c r="AX268" s="305"/>
    </row>
    <row r="269" spans="1:59" x14ac:dyDescent="0.25">
      <c r="A269" s="34" t="s">
        <v>543</v>
      </c>
      <c r="B269" s="371">
        <v>64.919933148666814</v>
      </c>
      <c r="C269" s="371">
        <v>74.047956546633458</v>
      </c>
      <c r="D269" s="371">
        <v>95.803407561009578</v>
      </c>
      <c r="E269" s="371">
        <v>107.72572383590483</v>
      </c>
      <c r="F269" s="371">
        <v>119.6480401107998</v>
      </c>
      <c r="G269" s="371">
        <v>148.85493879698549</v>
      </c>
      <c r="H269" s="91">
        <f>SUM(B269:G269)</f>
        <v>611</v>
      </c>
      <c r="I269" s="371">
        <f>($B$269*$B$250/I250)</f>
        <v>65.453770062781999</v>
      </c>
      <c r="J269" s="371">
        <f>($C$269*$C$250/J250)</f>
        <v>74.658267192327415</v>
      </c>
      <c r="K269" s="371">
        <f>($D$269*$D$250/K250)</f>
        <v>96.592988741228808</v>
      </c>
      <c r="L269" s="371">
        <f>($E$269*$E$250/L250)</f>
        <v>108.58819695030532</v>
      </c>
      <c r="M269" s="371">
        <f>($F$269*$F$250/M250)</f>
        <v>120.61002994094861</v>
      </c>
      <c r="N269" s="371">
        <f>($G$269*$G$250/N250)</f>
        <v>148.85493879698549</v>
      </c>
      <c r="O269" s="91">
        <f>SUM(I269:N269)</f>
        <v>614.7581916845777</v>
      </c>
      <c r="P269" s="371">
        <f>($B$269*$B$250/P250)</f>
        <v>66.003243051770369</v>
      </c>
      <c r="Q269" s="371">
        <f>($C$269*$C$250/Q250)</f>
        <v>75.282591877920368</v>
      </c>
      <c r="R269" s="371">
        <f>($D$269*$D$250/R250)</f>
        <v>97.400045168105422</v>
      </c>
      <c r="S269" s="371">
        <f>($E$269*$E$250/S250)</f>
        <v>109.48774409701167</v>
      </c>
      <c r="T269" s="371">
        <f>($F$269*$F$250/T250)</f>
        <v>121.60310330096901</v>
      </c>
      <c r="U269" s="371">
        <f>($G$269*$G$250/U250)</f>
        <v>148.85493879698549</v>
      </c>
      <c r="V269" s="91">
        <f>SUM(P269:U269)</f>
        <v>618.63166629276225</v>
      </c>
      <c r="W269" s="371">
        <f>($B$269*$B$250/W250)</f>
        <v>66.56082589525748</v>
      </c>
      <c r="X269" s="371">
        <f>($C$269*$C$250/X250)</f>
        <v>75.916498776938738</v>
      </c>
      <c r="Y269" s="371">
        <f>($D$269*$D$250/Y250)</f>
        <v>98.212425108015751</v>
      </c>
      <c r="Z269" s="371">
        <f>($E$269*$E$250/Z250)</f>
        <v>110.39983160545779</v>
      </c>
      <c r="AA269" s="371">
        <f>($F$269*$F$250/AA250)</f>
        <v>122.60883562073963</v>
      </c>
      <c r="AB269" s="371">
        <f>($G$269*$G$250/AB250)</f>
        <v>148.85493879698549</v>
      </c>
      <c r="AC269" s="91">
        <f>SUM(W269:AB269)</f>
        <v>622.55335580339488</v>
      </c>
      <c r="AD269" s="371">
        <f>($B$269*$B$250/AD250)</f>
        <v>67.128316664103252</v>
      </c>
      <c r="AE269" s="371">
        <f>($C$269*$C$250/AE250)</f>
        <v>76.557518596160861</v>
      </c>
      <c r="AF269" s="371">
        <f>($D$269*$D$250/AF250)</f>
        <v>99.042103469229374</v>
      </c>
      <c r="AG269" s="371">
        <f>($E$269*$E$250/AG250)</f>
        <v>111.32373399515129</v>
      </c>
      <c r="AH269" s="371">
        <f>($F$269*$F$250/AH250)</f>
        <v>123.70622083986915</v>
      </c>
      <c r="AI269" s="371">
        <f>($G$269*$G$250/AI250)</f>
        <v>148.85493879698549</v>
      </c>
      <c r="AJ269" s="91">
        <f>SUM(AD269:AI269)</f>
        <v>626.61283236149939</v>
      </c>
      <c r="AK269" s="371">
        <f>($B$269*$B$250/AK250)</f>
        <v>67.722041527318609</v>
      </c>
      <c r="AL269" s="371">
        <f>($C$269*$C$250/AL250)</f>
        <v>77.209887146989502</v>
      </c>
      <c r="AM269" s="371">
        <f>($D$269*$D$250/AM250)</f>
        <v>99.878207052868504</v>
      </c>
      <c r="AN269" s="371">
        <f>($E$269*$E$250/AN250)</f>
        <v>112.31395416512748</v>
      </c>
      <c r="AO269" s="371">
        <f>($F$269*$F$250/AO250)</f>
        <v>124.85977741570957</v>
      </c>
      <c r="AP269" s="371">
        <f>($G$269*$G$250/AP250)</f>
        <v>148.85493879698549</v>
      </c>
      <c r="AQ269" s="91">
        <f>SUM(AK269:AP269)</f>
        <v>630.83880610499909</v>
      </c>
      <c r="AR269" s="371">
        <f>($B$269*$B$250/AR250)</f>
        <v>68.302746955923212</v>
      </c>
      <c r="AS269" s="371">
        <f>($C$269*$C$250/AS250)</f>
        <v>77.874347555115378</v>
      </c>
      <c r="AT269" s="371">
        <f>($D$269*$D$250/AT250)</f>
        <v>100.73115281083642</v>
      </c>
      <c r="AU269" s="371">
        <f>($E$269*$E$250/AU250)</f>
        <v>113.37310790327106</v>
      </c>
      <c r="AV269" s="371">
        <f>($F$269*$F$250/AV250)</f>
        <v>126.03554892804243</v>
      </c>
      <c r="AW269" s="371">
        <f>($G$269*$G$250/AW250)</f>
        <v>148.85493879698549</v>
      </c>
      <c r="AX269" s="91">
        <f>SUM(AR269:AW269)</f>
        <v>635.17184295017398</v>
      </c>
      <c r="AY269" s="91"/>
      <c r="AZ269" s="117"/>
      <c r="BA269" s="117"/>
      <c r="BB269" s="117"/>
      <c r="BC269" s="117"/>
      <c r="BD269" s="117"/>
      <c r="BE269" s="117"/>
    </row>
    <row r="270" spans="1:59" x14ac:dyDescent="0.25">
      <c r="A270" s="34" t="s">
        <v>544</v>
      </c>
      <c r="B270" s="25">
        <f t="shared" ref="B270:G270" si="90">B269*B264/2000</f>
        <v>7.5002293258255142</v>
      </c>
      <c r="C270" s="25">
        <f t="shared" si="90"/>
        <v>8.2269873628920589</v>
      </c>
      <c r="D270" s="25">
        <f t="shared" si="90"/>
        <v>10.233772738039312</v>
      </c>
      <c r="E270" s="25">
        <f t="shared" si="90"/>
        <v>11.140070059906597</v>
      </c>
      <c r="F270" s="25">
        <f t="shared" si="90"/>
        <v>12.066270905880396</v>
      </c>
      <c r="G270" s="25">
        <f t="shared" si="90"/>
        <v>14.85029118031153</v>
      </c>
      <c r="H270" s="230"/>
      <c r="I270" s="25">
        <f t="shared" ref="I270:N270" si="91">I269*I264/2000</f>
        <v>7.5077211373684598</v>
      </c>
      <c r="J270" s="25">
        <f t="shared" si="91"/>
        <v>8.2360450696208645</v>
      </c>
      <c r="K270" s="25">
        <f t="shared" si="91"/>
        <v>10.246156422681668</v>
      </c>
      <c r="L270" s="25">
        <f t="shared" si="91"/>
        <v>11.147792498657868</v>
      </c>
      <c r="M270" s="25">
        <f t="shared" si="91"/>
        <v>12.073584567649938</v>
      </c>
      <c r="N270" s="25">
        <f t="shared" si="91"/>
        <v>14.85029118031153</v>
      </c>
      <c r="O270" s="199"/>
      <c r="P270" s="25">
        <f t="shared" ref="P270:U270" si="92">P269*P264/2000</f>
        <v>7.5211986741689287</v>
      </c>
      <c r="Q270" s="25">
        <f t="shared" si="92"/>
        <v>8.2508858641566469</v>
      </c>
      <c r="R270" s="25">
        <f t="shared" si="92"/>
        <v>10.263689501026327</v>
      </c>
      <c r="S270" s="25">
        <f t="shared" si="92"/>
        <v>11.16225290926849</v>
      </c>
      <c r="T270" s="25">
        <f t="shared" si="92"/>
        <v>12.101382375205676</v>
      </c>
      <c r="U270" s="25">
        <f t="shared" si="92"/>
        <v>14.85029118031153</v>
      </c>
      <c r="W270" s="25">
        <f t="shared" ref="W270:AB270" si="93">W269*W264/2000</f>
        <v>7.5348019351205435</v>
      </c>
      <c r="X270" s="25">
        <f t="shared" si="93"/>
        <v>8.2653242341924429</v>
      </c>
      <c r="Y270" s="25">
        <f t="shared" si="93"/>
        <v>10.277502571754594</v>
      </c>
      <c r="Z270" s="25">
        <f t="shared" si="93"/>
        <v>11.181616006933595</v>
      </c>
      <c r="AA270" s="25">
        <f t="shared" si="93"/>
        <v>12.133177358807036</v>
      </c>
      <c r="AB270" s="25">
        <f t="shared" si="93"/>
        <v>14.85029118031153</v>
      </c>
      <c r="AD270" s="25">
        <f t="shared" ref="AD270:AI270" si="94">AD269*AD264/2000</f>
        <v>7.5484576005297557</v>
      </c>
      <c r="AE270" s="25">
        <f t="shared" si="94"/>
        <v>8.276670019577514</v>
      </c>
      <c r="AF270" s="25">
        <f t="shared" si="94"/>
        <v>10.289721915392985</v>
      </c>
      <c r="AG270" s="25">
        <f t="shared" si="94"/>
        <v>11.211431844586984</v>
      </c>
      <c r="AH270" s="25">
        <f t="shared" si="94"/>
        <v>12.180677515899959</v>
      </c>
      <c r="AI270" s="25">
        <f t="shared" si="94"/>
        <v>14.85029118031153</v>
      </c>
      <c r="AK270" s="25">
        <f t="shared" ref="AK270:AP270" si="95">AK269*AK264/2000</f>
        <v>7.5744902974139654</v>
      </c>
      <c r="AL270" s="25">
        <f t="shared" si="95"/>
        <v>8.2891296801216203</v>
      </c>
      <c r="AM270" s="25">
        <f t="shared" si="95"/>
        <v>10.317239248372188</v>
      </c>
      <c r="AN270" s="25">
        <f t="shared" si="95"/>
        <v>11.251168010637821</v>
      </c>
      <c r="AO270" s="25">
        <f t="shared" si="95"/>
        <v>12.239907540367239</v>
      </c>
      <c r="AP270" s="25">
        <f t="shared" si="95"/>
        <v>14.85029118031153</v>
      </c>
      <c r="AR270" s="25">
        <f t="shared" ref="AR270:AW270" si="96">AR269*AR264/2000</f>
        <v>7.5840675327035312</v>
      </c>
      <c r="AS270" s="25">
        <f t="shared" si="96"/>
        <v>8.3018912159622698</v>
      </c>
      <c r="AT270" s="25">
        <f t="shared" si="96"/>
        <v>10.346198011072021</v>
      </c>
      <c r="AU270" s="25">
        <f t="shared" si="96"/>
        <v>11.306459543785703</v>
      </c>
      <c r="AV270" s="25">
        <f t="shared" si="96"/>
        <v>12.298333786035464</v>
      </c>
      <c r="AW270" s="25">
        <f t="shared" si="96"/>
        <v>14.85029118031153</v>
      </c>
      <c r="AZ270" s="369"/>
    </row>
    <row r="271" spans="1:59" x14ac:dyDescent="0.25">
      <c r="A271" s="34"/>
      <c r="B271" s="2"/>
      <c r="C271" s="2"/>
      <c r="D271" s="2"/>
      <c r="E271" s="2"/>
      <c r="F271" s="2"/>
      <c r="G271" s="2"/>
      <c r="H271" s="379"/>
      <c r="I271" s="332"/>
      <c r="J271" s="332"/>
      <c r="K271" s="332"/>
      <c r="L271" s="332"/>
      <c r="M271" s="332"/>
      <c r="N271" s="332"/>
      <c r="P271" s="2">
        <f t="shared" ref="P271:U271" si="97">B266-P266</f>
        <v>6.6858571351159135E-2</v>
      </c>
      <c r="Q271" s="2">
        <f t="shared" si="97"/>
        <v>6.8530775691828083E-2</v>
      </c>
      <c r="R271" s="2">
        <f t="shared" si="97"/>
        <v>9.5657158360857863E-2</v>
      </c>
      <c r="S271" s="2">
        <f t="shared" si="97"/>
        <v>0.15153760762760271</v>
      </c>
      <c r="T271" s="2">
        <f t="shared" si="97"/>
        <v>0.21849499553169593</v>
      </c>
      <c r="U271" s="2">
        <f t="shared" si="97"/>
        <v>0</v>
      </c>
      <c r="W271" s="2"/>
      <c r="X271" s="2"/>
      <c r="Y271" s="2"/>
      <c r="Z271" s="2"/>
      <c r="AA271" s="2"/>
      <c r="AB271" s="2"/>
      <c r="AD271" s="2"/>
      <c r="AE271" s="2"/>
      <c r="AF271" s="2"/>
      <c r="AG271" s="2"/>
      <c r="AH271" s="2"/>
      <c r="AI271" s="2"/>
      <c r="AK271" s="332"/>
      <c r="AL271" s="332"/>
      <c r="AM271" s="332"/>
      <c r="AN271" s="332"/>
      <c r="AO271" s="332"/>
      <c r="AP271" s="332"/>
      <c r="AR271" s="2"/>
      <c r="AS271" s="2"/>
      <c r="AT271" s="2"/>
      <c r="AU271" s="2"/>
      <c r="AV271" s="2"/>
      <c r="AW271" s="2"/>
      <c r="AY271" s="2"/>
      <c r="AZ271" s="8"/>
      <c r="BA271" s="6"/>
      <c r="BB271" s="415"/>
      <c r="BC271" s="415"/>
      <c r="BD271" s="379"/>
      <c r="BE271" s="379"/>
      <c r="BF271" s="379"/>
      <c r="BG271" s="379"/>
    </row>
    <row r="272" spans="1:59" x14ac:dyDescent="0.25">
      <c r="A272" s="17" t="s">
        <v>49</v>
      </c>
      <c r="B272" s="293"/>
      <c r="C272" s="293"/>
      <c r="D272" s="293"/>
      <c r="E272" s="293"/>
      <c r="F272" s="293"/>
      <c r="G272" s="293"/>
      <c r="H272" s="293"/>
      <c r="I272" s="467"/>
      <c r="J272" s="293"/>
      <c r="K272" s="377"/>
      <c r="L272" s="377"/>
      <c r="M272" s="293"/>
      <c r="N272" s="293"/>
      <c r="P272" s="467"/>
      <c r="Q272" s="293"/>
      <c r="R272" s="293"/>
      <c r="S272" s="293"/>
      <c r="T272" s="293"/>
      <c r="U272" s="293"/>
      <c r="W272" s="467"/>
      <c r="X272" s="421"/>
      <c r="Y272" s="293"/>
      <c r="Z272" s="293"/>
      <c r="AA272" s="293"/>
      <c r="AB272" s="293"/>
      <c r="AD272" s="467"/>
      <c r="AE272" s="293"/>
      <c r="AF272" s="293"/>
      <c r="AG272" s="293"/>
      <c r="AH272" s="293"/>
      <c r="AI272" s="293"/>
      <c r="AK272" s="467"/>
      <c r="AL272" s="293"/>
      <c r="AM272" s="293"/>
      <c r="AN272" s="293"/>
      <c r="AO272" s="293"/>
      <c r="AP272" s="293"/>
      <c r="AR272" s="467"/>
      <c r="AS272" s="293"/>
      <c r="AT272" s="293"/>
      <c r="AU272" s="293"/>
      <c r="AV272" s="293"/>
      <c r="AW272" s="293"/>
      <c r="AZ272" s="33"/>
      <c r="BA272" s="7"/>
      <c r="BB272" s="7"/>
      <c r="BC272" s="7"/>
    </row>
    <row r="273" spans="1:53" x14ac:dyDescent="0.25">
      <c r="A273" s="42" t="s">
        <v>402</v>
      </c>
      <c r="B273" s="14">
        <v>0.56000000000000005</v>
      </c>
      <c r="C273" s="14">
        <v>0.56000000000000005</v>
      </c>
      <c r="D273" s="14">
        <v>0.56000000000000005</v>
      </c>
      <c r="E273" s="14">
        <v>0.56000000000000005</v>
      </c>
      <c r="F273" s="14">
        <v>0.56000000000000005</v>
      </c>
      <c r="G273" s="14">
        <v>0.56000000000000005</v>
      </c>
      <c r="H273" s="403"/>
      <c r="I273" s="14">
        <v>0.56000000000000005</v>
      </c>
      <c r="J273" s="14">
        <v>0.56000000000000005</v>
      </c>
      <c r="K273" s="14">
        <v>0.56000000000000005</v>
      </c>
      <c r="L273" s="14">
        <v>0.56000000000000005</v>
      </c>
      <c r="M273" s="14">
        <v>0.56000000000000005</v>
      </c>
      <c r="N273" s="14">
        <v>0.56000000000000005</v>
      </c>
      <c r="P273" s="14">
        <v>0.56000000000000005</v>
      </c>
      <c r="Q273" s="14">
        <v>0.56000000000000005</v>
      </c>
      <c r="R273" s="14">
        <v>0.56000000000000005</v>
      </c>
      <c r="S273" s="14">
        <v>0.56000000000000005</v>
      </c>
      <c r="T273" s="14">
        <v>0.56000000000000005</v>
      </c>
      <c r="U273" s="14">
        <v>0.56000000000000005</v>
      </c>
      <c r="W273" s="14">
        <v>0.56000000000000005</v>
      </c>
      <c r="X273" s="14">
        <v>0.56000000000000005</v>
      </c>
      <c r="Y273" s="14">
        <v>0.56000000000000005</v>
      </c>
      <c r="Z273" s="14">
        <v>0.56000000000000005</v>
      </c>
      <c r="AA273" s="14">
        <v>0.56000000000000005</v>
      </c>
      <c r="AB273" s="14">
        <v>0.56000000000000005</v>
      </c>
      <c r="AD273" s="14">
        <v>0.56000000000000005</v>
      </c>
      <c r="AE273" s="14">
        <v>0.56000000000000005</v>
      </c>
      <c r="AF273" s="14">
        <v>0.56000000000000005</v>
      </c>
      <c r="AG273" s="14">
        <v>0.56000000000000005</v>
      </c>
      <c r="AH273" s="14">
        <v>0.56000000000000005</v>
      </c>
      <c r="AI273" s="14">
        <v>0.56000000000000005</v>
      </c>
      <c r="AK273" s="14">
        <v>0.56000000000000005</v>
      </c>
      <c r="AL273" s="14">
        <v>0.56000000000000005</v>
      </c>
      <c r="AM273" s="14">
        <v>0.56000000000000005</v>
      </c>
      <c r="AN273" s="14">
        <v>0.56000000000000005</v>
      </c>
      <c r="AO273" s="14">
        <v>0.56000000000000005</v>
      </c>
      <c r="AP273" s="14">
        <v>0.56000000000000005</v>
      </c>
      <c r="AR273" s="14">
        <v>0.56000000000000005</v>
      </c>
      <c r="AS273" s="14">
        <v>0.56000000000000005</v>
      </c>
      <c r="AT273" s="14">
        <v>0.56000000000000005</v>
      </c>
      <c r="AU273" s="14">
        <v>0.56000000000000005</v>
      </c>
      <c r="AV273" s="14">
        <v>0.56000000000000005</v>
      </c>
      <c r="AW273" s="14">
        <v>0.56000000000000005</v>
      </c>
      <c r="BA273" s="2"/>
    </row>
    <row r="274" spans="1:53" x14ac:dyDescent="0.25">
      <c r="A274" s="42" t="s">
        <v>401</v>
      </c>
      <c r="B274" s="14"/>
      <c r="C274" s="14"/>
      <c r="D274" s="14"/>
      <c r="E274" s="14"/>
      <c r="F274" s="14"/>
      <c r="G274" s="14"/>
      <c r="H274" s="231"/>
      <c r="I274" s="14"/>
      <c r="J274" s="14"/>
      <c r="K274" s="14"/>
      <c r="L274" s="14"/>
      <c r="M274" s="14"/>
      <c r="N274" s="14"/>
      <c r="O274" s="200"/>
      <c r="P274" s="14"/>
      <c r="Q274" s="14"/>
      <c r="R274" s="14"/>
      <c r="S274" s="14"/>
      <c r="T274" s="14"/>
      <c r="U274" s="14"/>
      <c r="W274" s="14"/>
      <c r="X274" s="14"/>
      <c r="Y274" s="14"/>
      <c r="Z274" s="14"/>
      <c r="AA274" s="14"/>
      <c r="AB274" s="14"/>
      <c r="AD274" s="14"/>
      <c r="AE274" s="14"/>
      <c r="AF274" s="14"/>
      <c r="AG274" s="14"/>
      <c r="AH274" s="14"/>
      <c r="AI274" s="14"/>
      <c r="AK274" s="14"/>
      <c r="AL274" s="14"/>
      <c r="AM274" s="14"/>
      <c r="AN274" s="14"/>
      <c r="AO274" s="14"/>
      <c r="AP274" s="14"/>
      <c r="AR274" s="14"/>
      <c r="AS274" s="14"/>
      <c r="AT274" s="14"/>
      <c r="AU274" s="14"/>
      <c r="AV274" s="14"/>
      <c r="AW274" s="14"/>
    </row>
    <row r="275" spans="1:53" x14ac:dyDescent="0.25">
      <c r="A275" s="43" t="s">
        <v>400</v>
      </c>
      <c r="B275" s="14">
        <f t="shared" ref="B275:G275" si="98" xml:space="preserve"> 0.000000416*((B5+B6)/2)^2 - 0.000036654*((B5+B6)/2) + 0.280606061</f>
        <v>0.28002731600000003</v>
      </c>
      <c r="C275" s="14">
        <f t="shared" si="98"/>
        <v>0.281219626</v>
      </c>
      <c r="D275" s="14">
        <f t="shared" si="98"/>
        <v>0.28362810100000002</v>
      </c>
      <c r="E275" s="14">
        <f t="shared" si="98"/>
        <v>0.28748674100000005</v>
      </c>
      <c r="F275" s="14">
        <f t="shared" si="98"/>
        <v>0.29267658100000005</v>
      </c>
      <c r="G275" s="14">
        <f t="shared" si="98"/>
        <v>0.29964938600000002</v>
      </c>
      <c r="H275" s="231"/>
      <c r="I275" s="14">
        <f t="shared" ref="I275:N275" si="99" xml:space="preserve"> 0.000000416*((I5+I6)/2)^2 - 0.000036654*((I5+I6)/2) + 0.280606061</f>
        <v>0.28002731600000003</v>
      </c>
      <c r="J275" s="14">
        <f t="shared" si="99"/>
        <v>0.281219626</v>
      </c>
      <c r="K275" s="14">
        <f t="shared" si="99"/>
        <v>0.28362810100000002</v>
      </c>
      <c r="L275" s="14">
        <f t="shared" si="99"/>
        <v>0.28748674100000005</v>
      </c>
      <c r="M275" s="14">
        <f t="shared" si="99"/>
        <v>0.29267658100000005</v>
      </c>
      <c r="N275" s="14">
        <f t="shared" si="99"/>
        <v>0.29964938600000002</v>
      </c>
      <c r="O275" s="200"/>
      <c r="P275" s="14">
        <f t="shared" ref="P275:U275" si="100" xml:space="preserve"> 0.000000416*((P5+P6)/2)^2 - 0.000036654*((P5+P6)/2) + 0.280606061</f>
        <v>0.28002731600000003</v>
      </c>
      <c r="Q275" s="14">
        <f t="shared" si="100"/>
        <v>0.281219626</v>
      </c>
      <c r="R275" s="14">
        <f t="shared" si="100"/>
        <v>0.28362810100000002</v>
      </c>
      <c r="S275" s="14">
        <f t="shared" si="100"/>
        <v>0.28748674100000005</v>
      </c>
      <c r="T275" s="14">
        <f t="shared" si="100"/>
        <v>0.29267658100000005</v>
      </c>
      <c r="U275" s="14">
        <f t="shared" si="100"/>
        <v>0.29964938600000002</v>
      </c>
      <c r="W275" s="14">
        <f t="shared" ref="W275:AB275" si="101" xml:space="preserve"> 0.000000416*((W5+W6)/2)^2 - 0.000036654*((W5+W6)/2) + 0.280606061</f>
        <v>0.28002731600000003</v>
      </c>
      <c r="X275" s="14">
        <f t="shared" si="101"/>
        <v>0.281219626</v>
      </c>
      <c r="Y275" s="14">
        <f t="shared" si="101"/>
        <v>0.28362810100000002</v>
      </c>
      <c r="Z275" s="14">
        <f t="shared" si="101"/>
        <v>0.28748674100000005</v>
      </c>
      <c r="AA275" s="14">
        <f t="shared" si="101"/>
        <v>0.29267658100000005</v>
      </c>
      <c r="AB275" s="14">
        <f t="shared" si="101"/>
        <v>0.29964938600000002</v>
      </c>
      <c r="AD275" s="14">
        <f t="shared" ref="AD275:AI275" si="102" xml:space="preserve"> 0.000000416*((AD5+AD6)/2)^2 - 0.000036654*((AD5+AD6)/2) + 0.280606061</f>
        <v>0.28002731600000003</v>
      </c>
      <c r="AE275" s="14">
        <f t="shared" si="102"/>
        <v>0.281219626</v>
      </c>
      <c r="AF275" s="14">
        <f t="shared" si="102"/>
        <v>0.28362810100000002</v>
      </c>
      <c r="AG275" s="14">
        <f t="shared" si="102"/>
        <v>0.28748674100000005</v>
      </c>
      <c r="AH275" s="14">
        <f t="shared" si="102"/>
        <v>0.29267658100000005</v>
      </c>
      <c r="AI275" s="14">
        <f t="shared" si="102"/>
        <v>0.29964938600000002</v>
      </c>
      <c r="AK275" s="14">
        <f t="shared" ref="AK275:AP275" si="103" xml:space="preserve"> 0.000000416*((AK5+AK6)/2)^2 - 0.000036654*((AK5+AK6)/2) + 0.280606061</f>
        <v>0.28002731600000003</v>
      </c>
      <c r="AL275" s="14">
        <f t="shared" si="103"/>
        <v>0.281219626</v>
      </c>
      <c r="AM275" s="14">
        <f t="shared" si="103"/>
        <v>0.28362810100000002</v>
      </c>
      <c r="AN275" s="14">
        <f t="shared" si="103"/>
        <v>0.28748674100000005</v>
      </c>
      <c r="AO275" s="14">
        <f t="shared" si="103"/>
        <v>0.29267658100000005</v>
      </c>
      <c r="AP275" s="14">
        <f t="shared" si="103"/>
        <v>0.29964938600000002</v>
      </c>
      <c r="AR275" s="14">
        <f t="shared" ref="AR275:AW275" si="104" xml:space="preserve"> 0.000000416*((AR5+AR6)/2)^2 - 0.000036654*((AR5+AR6)/2) + 0.280606061</f>
        <v>0.28002731600000003</v>
      </c>
      <c r="AS275" s="14">
        <f t="shared" si="104"/>
        <v>0.281219626</v>
      </c>
      <c r="AT275" s="14">
        <f t="shared" si="104"/>
        <v>0.28362810100000002</v>
      </c>
      <c r="AU275" s="14">
        <f t="shared" si="104"/>
        <v>0.28748674100000005</v>
      </c>
      <c r="AV275" s="14">
        <f t="shared" si="104"/>
        <v>0.29267658100000005</v>
      </c>
      <c r="AW275" s="14">
        <f t="shared" si="104"/>
        <v>0.29964938600000002</v>
      </c>
    </row>
    <row r="276" spans="1:53" x14ac:dyDescent="0.25">
      <c r="A276" s="43" t="s">
        <v>399</v>
      </c>
      <c r="B276" s="14">
        <v>0.55900000000000005</v>
      </c>
      <c r="C276" s="14">
        <v>0.55900000000000005</v>
      </c>
      <c r="D276" s="14">
        <v>0.55900000000000005</v>
      </c>
      <c r="E276" s="14">
        <v>0.56899999999999995</v>
      </c>
      <c r="F276" s="14">
        <v>0.56899999999999995</v>
      </c>
      <c r="G276" s="14">
        <v>0.57899999999999996</v>
      </c>
      <c r="H276" s="231"/>
      <c r="I276" s="14">
        <v>0.55900000000000005</v>
      </c>
      <c r="J276" s="14">
        <v>0.55900000000000005</v>
      </c>
      <c r="K276" s="14">
        <v>0.55900000000000005</v>
      </c>
      <c r="L276" s="14">
        <v>0.56899999999999995</v>
      </c>
      <c r="M276" s="14">
        <v>0.56899999999999995</v>
      </c>
      <c r="N276" s="14">
        <v>0.57899999999999996</v>
      </c>
      <c r="O276" s="200"/>
      <c r="P276" s="14">
        <v>0.55900000000000005</v>
      </c>
      <c r="Q276" s="14">
        <v>0.55900000000000005</v>
      </c>
      <c r="R276" s="14">
        <v>0.55900000000000005</v>
      </c>
      <c r="S276" s="14">
        <v>0.56899999999999995</v>
      </c>
      <c r="T276" s="14">
        <v>0.56899999999999995</v>
      </c>
      <c r="U276" s="14">
        <v>0.57899999999999996</v>
      </c>
      <c r="W276" s="14">
        <v>0.55900000000000005</v>
      </c>
      <c r="X276" s="14">
        <v>0.55900000000000005</v>
      </c>
      <c r="Y276" s="14">
        <v>0.55900000000000005</v>
      </c>
      <c r="Z276" s="14">
        <v>0.56899999999999995</v>
      </c>
      <c r="AA276" s="14">
        <v>0.56899999999999995</v>
      </c>
      <c r="AB276" s="14">
        <v>0.57899999999999996</v>
      </c>
      <c r="AD276" s="14">
        <v>0.55900000000000005</v>
      </c>
      <c r="AE276" s="14">
        <v>0.55900000000000005</v>
      </c>
      <c r="AF276" s="14">
        <v>0.55900000000000005</v>
      </c>
      <c r="AG276" s="14">
        <v>0.56899999999999995</v>
      </c>
      <c r="AH276" s="14">
        <v>0.56899999999999995</v>
      </c>
      <c r="AI276" s="14">
        <v>0.57899999999999996</v>
      </c>
      <c r="AK276" s="14">
        <v>0.55900000000000005</v>
      </c>
      <c r="AL276" s="14">
        <v>0.55900000000000005</v>
      </c>
      <c r="AM276" s="14">
        <v>0.55900000000000005</v>
      </c>
      <c r="AN276" s="14">
        <v>0.56899999999999995</v>
      </c>
      <c r="AO276" s="14">
        <v>0.56899999999999995</v>
      </c>
      <c r="AP276" s="14">
        <v>0.57899999999999996</v>
      </c>
      <c r="AR276" s="14">
        <v>0.55900000000000005</v>
      </c>
      <c r="AS276" s="14">
        <v>0.55900000000000005</v>
      </c>
      <c r="AT276" s="14">
        <v>0.55900000000000005</v>
      </c>
      <c r="AU276" s="14">
        <v>0.56899999999999995</v>
      </c>
      <c r="AV276" s="14">
        <v>0.56899999999999995</v>
      </c>
      <c r="AW276" s="14">
        <v>0.57899999999999996</v>
      </c>
    </row>
    <row r="277" spans="1:53" x14ac:dyDescent="0.25">
      <c r="A277" s="43" t="s">
        <v>398</v>
      </c>
      <c r="B277" s="14">
        <v>0.61899999999999999</v>
      </c>
      <c r="C277" s="14">
        <v>0.61899999999999999</v>
      </c>
      <c r="D277" s="14">
        <v>0.61899999999999999</v>
      </c>
      <c r="E277" s="14">
        <v>0.629</v>
      </c>
      <c r="F277" s="14">
        <v>0.629</v>
      </c>
      <c r="G277" s="14">
        <v>0.63900000000000001</v>
      </c>
      <c r="H277" s="231"/>
      <c r="I277" s="14">
        <v>0.61899999999999999</v>
      </c>
      <c r="J277" s="14">
        <v>0.61899999999999999</v>
      </c>
      <c r="K277" s="14">
        <v>0.61899999999999999</v>
      </c>
      <c r="L277" s="14">
        <v>0.629</v>
      </c>
      <c r="M277" s="14">
        <v>0.629</v>
      </c>
      <c r="N277" s="14">
        <v>0.63900000000000001</v>
      </c>
      <c r="O277" s="200"/>
      <c r="P277" s="14">
        <v>0.61899999999999999</v>
      </c>
      <c r="Q277" s="14">
        <v>0.61899999999999999</v>
      </c>
      <c r="R277" s="14">
        <v>0.61899999999999999</v>
      </c>
      <c r="S277" s="14">
        <v>0.629</v>
      </c>
      <c r="T277" s="14">
        <v>0.629</v>
      </c>
      <c r="U277" s="14">
        <v>0.63900000000000001</v>
      </c>
      <c r="W277" s="14">
        <v>0.61899999999999999</v>
      </c>
      <c r="X277" s="14">
        <v>0.61899999999999999</v>
      </c>
      <c r="Y277" s="14">
        <v>0.61899999999999999</v>
      </c>
      <c r="Z277" s="14">
        <v>0.629</v>
      </c>
      <c r="AA277" s="14">
        <v>0.629</v>
      </c>
      <c r="AB277" s="14">
        <v>0.63900000000000001</v>
      </c>
      <c r="AD277" s="14">
        <v>0.61899999999999999</v>
      </c>
      <c r="AE277" s="14">
        <v>0.61899999999999999</v>
      </c>
      <c r="AF277" s="14">
        <v>0.61899999999999999</v>
      </c>
      <c r="AG277" s="14">
        <v>0.629</v>
      </c>
      <c r="AH277" s="14">
        <v>0.629</v>
      </c>
      <c r="AI277" s="14">
        <v>0.63900000000000001</v>
      </c>
      <c r="AK277" s="14">
        <v>0.61899999999999999</v>
      </c>
      <c r="AL277" s="14">
        <v>0.61899999999999999</v>
      </c>
      <c r="AM277" s="14">
        <v>0.61899999999999999</v>
      </c>
      <c r="AN277" s="14">
        <v>0.629</v>
      </c>
      <c r="AO277" s="14">
        <v>0.629</v>
      </c>
      <c r="AP277" s="14">
        <v>0.63900000000000001</v>
      </c>
      <c r="AR277" s="14">
        <v>0.61899999999999999</v>
      </c>
      <c r="AS277" s="14">
        <v>0.61899999999999999</v>
      </c>
      <c r="AT277" s="14">
        <v>0.61899999999999999</v>
      </c>
      <c r="AU277" s="14">
        <v>0.629</v>
      </c>
      <c r="AV277" s="14">
        <v>0.629</v>
      </c>
      <c r="AW277" s="14">
        <v>0.63900000000000001</v>
      </c>
    </row>
    <row r="278" spans="1:53" x14ac:dyDescent="0.25">
      <c r="A278" s="43" t="s">
        <v>397</v>
      </c>
      <c r="B278" s="14">
        <v>0.189</v>
      </c>
      <c r="C278" s="14">
        <v>0.189</v>
      </c>
      <c r="D278" s="14">
        <v>0.189</v>
      </c>
      <c r="E278" s="14">
        <v>0.189</v>
      </c>
      <c r="F278" s="14">
        <v>0.189</v>
      </c>
      <c r="G278" s="14">
        <v>0.189</v>
      </c>
      <c r="H278" s="231"/>
      <c r="I278" s="14">
        <v>0.189</v>
      </c>
      <c r="J278" s="14">
        <v>0.189</v>
      </c>
      <c r="K278" s="14">
        <v>0.189</v>
      </c>
      <c r="L278" s="14">
        <v>0.189</v>
      </c>
      <c r="M278" s="14">
        <v>0.189</v>
      </c>
      <c r="N278" s="14">
        <v>0.189</v>
      </c>
      <c r="O278" s="200"/>
      <c r="P278" s="14">
        <v>0.189</v>
      </c>
      <c r="Q278" s="14">
        <v>0.189</v>
      </c>
      <c r="R278" s="14">
        <v>0.189</v>
      </c>
      <c r="S278" s="14">
        <v>0.189</v>
      </c>
      <c r="T278" s="14">
        <v>0.189</v>
      </c>
      <c r="U278" s="14">
        <v>0.189</v>
      </c>
      <c r="W278" s="14">
        <v>0.189</v>
      </c>
      <c r="X278" s="14">
        <v>0.189</v>
      </c>
      <c r="Y278" s="14">
        <v>0.189</v>
      </c>
      <c r="Z278" s="14">
        <v>0.189</v>
      </c>
      <c r="AA278" s="14">
        <v>0.189</v>
      </c>
      <c r="AB278" s="14">
        <v>0.189</v>
      </c>
      <c r="AD278" s="14">
        <v>0.189</v>
      </c>
      <c r="AE278" s="14">
        <v>0.189</v>
      </c>
      <c r="AF278" s="14">
        <v>0.189</v>
      </c>
      <c r="AG278" s="14">
        <v>0.189</v>
      </c>
      <c r="AH278" s="14">
        <v>0.189</v>
      </c>
      <c r="AI278" s="14">
        <v>0.189</v>
      </c>
      <c r="AK278" s="14">
        <v>0.189</v>
      </c>
      <c r="AL278" s="14">
        <v>0.189</v>
      </c>
      <c r="AM278" s="14">
        <v>0.189</v>
      </c>
      <c r="AN278" s="14">
        <v>0.189</v>
      </c>
      <c r="AO278" s="14">
        <v>0.189</v>
      </c>
      <c r="AP278" s="14">
        <v>0.189</v>
      </c>
      <c r="AR278" s="14">
        <v>0.189</v>
      </c>
      <c r="AS278" s="14">
        <v>0.189</v>
      </c>
      <c r="AT278" s="14">
        <v>0.189</v>
      </c>
      <c r="AU278" s="14">
        <v>0.189</v>
      </c>
      <c r="AV278" s="14">
        <v>0.189</v>
      </c>
      <c r="AW278" s="14">
        <v>0.189</v>
      </c>
    </row>
    <row r="279" spans="1:53" x14ac:dyDescent="0.25">
      <c r="A279" s="43" t="s">
        <v>396</v>
      </c>
      <c r="B279" s="14">
        <v>0.67900000000000005</v>
      </c>
      <c r="C279" s="14">
        <v>0.67900000000000005</v>
      </c>
      <c r="D279" s="14">
        <v>0.67900000000000005</v>
      </c>
      <c r="E279" s="14">
        <v>0.67900000000000005</v>
      </c>
      <c r="F279" s="14">
        <v>0.67900000000000005</v>
      </c>
      <c r="G279" s="14">
        <v>0.67900000000000005</v>
      </c>
      <c r="H279" s="231"/>
      <c r="I279" s="14">
        <v>0.67900000000000005</v>
      </c>
      <c r="J279" s="14">
        <v>0.67900000000000005</v>
      </c>
      <c r="K279" s="14">
        <v>0.67900000000000005</v>
      </c>
      <c r="L279" s="14">
        <v>0.67900000000000005</v>
      </c>
      <c r="M279" s="14">
        <v>0.67900000000000005</v>
      </c>
      <c r="N279" s="14">
        <v>0.67900000000000005</v>
      </c>
      <c r="O279" s="200"/>
      <c r="P279" s="14">
        <v>0.67900000000000005</v>
      </c>
      <c r="Q279" s="14">
        <v>0.67900000000000005</v>
      </c>
      <c r="R279" s="14">
        <v>0.67900000000000005</v>
      </c>
      <c r="S279" s="14">
        <v>0.67900000000000005</v>
      </c>
      <c r="T279" s="14">
        <v>0.67900000000000005</v>
      </c>
      <c r="U279" s="14">
        <v>0.67900000000000005</v>
      </c>
      <c r="W279" s="14">
        <v>0.67900000000000005</v>
      </c>
      <c r="X279" s="14">
        <v>0.67900000000000005</v>
      </c>
      <c r="Y279" s="14">
        <v>0.67900000000000005</v>
      </c>
      <c r="Z279" s="14">
        <v>0.67900000000000005</v>
      </c>
      <c r="AA279" s="14">
        <v>0.67900000000000005</v>
      </c>
      <c r="AB279" s="14">
        <v>0.67900000000000005</v>
      </c>
      <c r="AD279" s="14">
        <v>0.67900000000000005</v>
      </c>
      <c r="AE279" s="14">
        <v>0.67900000000000005</v>
      </c>
      <c r="AF279" s="14">
        <v>0.67900000000000005</v>
      </c>
      <c r="AG279" s="14">
        <v>0.67900000000000005</v>
      </c>
      <c r="AH279" s="14">
        <v>0.67900000000000005</v>
      </c>
      <c r="AI279" s="14">
        <v>0.67900000000000005</v>
      </c>
      <c r="AK279" s="14">
        <v>0.67900000000000005</v>
      </c>
      <c r="AL279" s="14">
        <v>0.67900000000000005</v>
      </c>
      <c r="AM279" s="14">
        <v>0.67900000000000005</v>
      </c>
      <c r="AN279" s="14">
        <v>0.67900000000000005</v>
      </c>
      <c r="AO279" s="14">
        <v>0.67900000000000005</v>
      </c>
      <c r="AP279" s="14">
        <v>0.67900000000000005</v>
      </c>
      <c r="AR279" s="14">
        <v>0.67900000000000005</v>
      </c>
      <c r="AS279" s="14">
        <v>0.67900000000000005</v>
      </c>
      <c r="AT279" s="14">
        <v>0.67900000000000005</v>
      </c>
      <c r="AU279" s="14">
        <v>0.67900000000000005</v>
      </c>
      <c r="AV279" s="14">
        <v>0.67900000000000005</v>
      </c>
      <c r="AW279" s="14">
        <v>0.67900000000000005</v>
      </c>
    </row>
    <row r="280" spans="1:53" x14ac:dyDescent="0.25">
      <c r="A280" s="43" t="s">
        <v>395</v>
      </c>
      <c r="B280" s="14">
        <v>0.31</v>
      </c>
      <c r="C280" s="14">
        <v>0.31</v>
      </c>
      <c r="D280" s="14">
        <v>0.31</v>
      </c>
      <c r="E280" s="14">
        <v>0.31</v>
      </c>
      <c r="F280" s="14">
        <v>0.31</v>
      </c>
      <c r="G280" s="14">
        <v>0.31</v>
      </c>
      <c r="H280" s="231"/>
      <c r="I280" s="14">
        <v>0.31</v>
      </c>
      <c r="J280" s="14">
        <v>0.31</v>
      </c>
      <c r="K280" s="14">
        <v>0.31</v>
      </c>
      <c r="L280" s="14">
        <v>0.31</v>
      </c>
      <c r="M280" s="14">
        <v>0.31</v>
      </c>
      <c r="N280" s="14">
        <v>0.31</v>
      </c>
      <c r="O280" s="200"/>
      <c r="P280" s="14">
        <v>0.31</v>
      </c>
      <c r="Q280" s="14">
        <v>0.31</v>
      </c>
      <c r="R280" s="14">
        <v>0.31</v>
      </c>
      <c r="S280" s="14">
        <v>0.31</v>
      </c>
      <c r="T280" s="14">
        <v>0.31</v>
      </c>
      <c r="U280" s="14">
        <v>0.31</v>
      </c>
      <c r="W280" s="14">
        <v>0.31</v>
      </c>
      <c r="X280" s="14">
        <v>0.31</v>
      </c>
      <c r="Y280" s="14">
        <v>0.31</v>
      </c>
      <c r="Z280" s="14">
        <v>0.31</v>
      </c>
      <c r="AA280" s="14">
        <v>0.31</v>
      </c>
      <c r="AB280" s="14">
        <v>0.31</v>
      </c>
      <c r="AD280" s="14">
        <v>0.31</v>
      </c>
      <c r="AE280" s="14">
        <v>0.31</v>
      </c>
      <c r="AF280" s="14">
        <v>0.31</v>
      </c>
      <c r="AG280" s="14">
        <v>0.31</v>
      </c>
      <c r="AH280" s="14">
        <v>0.31</v>
      </c>
      <c r="AI280" s="14">
        <v>0.31</v>
      </c>
      <c r="AK280" s="14">
        <v>0.31</v>
      </c>
      <c r="AL280" s="14">
        <v>0.31</v>
      </c>
      <c r="AM280" s="14">
        <v>0.31</v>
      </c>
      <c r="AN280" s="14">
        <v>0.31</v>
      </c>
      <c r="AO280" s="14">
        <v>0.31</v>
      </c>
      <c r="AP280" s="14">
        <v>0.31</v>
      </c>
      <c r="AR280" s="14">
        <v>0.31</v>
      </c>
      <c r="AS280" s="14">
        <v>0.31</v>
      </c>
      <c r="AT280" s="14">
        <v>0.31</v>
      </c>
      <c r="AU280" s="14">
        <v>0.31</v>
      </c>
      <c r="AV280" s="14">
        <v>0.31</v>
      </c>
      <c r="AW280" s="14">
        <v>0.31</v>
      </c>
    </row>
    <row r="281" spans="1:53" x14ac:dyDescent="0.25">
      <c r="A281" s="50" t="s">
        <v>149</v>
      </c>
      <c r="B281" s="28">
        <f t="shared" ref="B281:G281" si="105">IF(AVERAGE(B5:B6)&lt;51,0.000025*((B6+B5)/2)^2 - 0.01005*((B6+B5)/2) + 1.5955,(0.00000649518*((B5+B6)/2)^2 - 0.00338103746*((B5+B6)/2) + 1.049852))</f>
        <v>0.85122563532500006</v>
      </c>
      <c r="C281" s="28">
        <f t="shared" si="105"/>
        <v>0.77153564522499996</v>
      </c>
      <c r="D281" s="28">
        <f t="shared" si="105"/>
        <v>0.70381228360000003</v>
      </c>
      <c r="E281" s="28">
        <f t="shared" si="105"/>
        <v>0.65170908920000004</v>
      </c>
      <c r="F281" s="28">
        <f t="shared" si="105"/>
        <v>0.62039047080000009</v>
      </c>
      <c r="G281" s="28">
        <f t="shared" si="105"/>
        <v>0.60988816362500009</v>
      </c>
      <c r="H281" s="28"/>
      <c r="I281" s="28">
        <f t="shared" ref="I281:N281" si="106">IF(AVERAGE(I5:I6)&lt;51,0.000025*((I6+I5)/2)^2 - 0.01005*((I6+I5)/2) + 1.5955,(0.00000649518*((I5+I6)/2)^2 - 0.00338103746*((I5+I6)/2) + 1.049852))</f>
        <v>0.85122563532500006</v>
      </c>
      <c r="J281" s="28">
        <f t="shared" si="106"/>
        <v>0.77153564522499996</v>
      </c>
      <c r="K281" s="28">
        <f t="shared" si="106"/>
        <v>0.70381228360000003</v>
      </c>
      <c r="L281" s="28">
        <f t="shared" si="106"/>
        <v>0.65170908920000004</v>
      </c>
      <c r="M281" s="28">
        <f t="shared" si="106"/>
        <v>0.62039047080000009</v>
      </c>
      <c r="N281" s="28">
        <f t="shared" si="106"/>
        <v>0.60988816362500009</v>
      </c>
      <c r="O281" s="200"/>
      <c r="P281" s="28">
        <f t="shared" ref="P281:U281" si="107">IF(AVERAGE(P5:P6)&lt;51,0.000025*((P6+P5)/2)^2 - 0.01005*((P6+P5)/2) + 1.5955,(0.00000649518*((P5+P6)/2)^2 - 0.00338103746*((P5+P6)/2) + 1.049852))</f>
        <v>0.85122563532500006</v>
      </c>
      <c r="Q281" s="28">
        <f t="shared" si="107"/>
        <v>0.77153564522499996</v>
      </c>
      <c r="R281" s="28">
        <f t="shared" si="107"/>
        <v>0.70381228360000003</v>
      </c>
      <c r="S281" s="28">
        <f t="shared" si="107"/>
        <v>0.65170908920000004</v>
      </c>
      <c r="T281" s="28">
        <f t="shared" si="107"/>
        <v>0.62039047080000009</v>
      </c>
      <c r="U281" s="28">
        <f t="shared" si="107"/>
        <v>0.60988816362500009</v>
      </c>
      <c r="W281" s="28">
        <f t="shared" ref="W281:AB281" si="108">IF(AVERAGE(W5:W6)&lt;51,0.000025*((W6+W5)/2)^2 - 0.01005*((W6+W5)/2) + 1.5955,(0.00000649518*((W5+W6)/2)^2 - 0.00338103746*((W5+W6)/2) + 1.049852))</f>
        <v>0.85122563532500006</v>
      </c>
      <c r="X281" s="28">
        <f t="shared" si="108"/>
        <v>0.77153564522499996</v>
      </c>
      <c r="Y281" s="28">
        <f t="shared" si="108"/>
        <v>0.70381228360000003</v>
      </c>
      <c r="Z281" s="28">
        <f t="shared" si="108"/>
        <v>0.65170908920000004</v>
      </c>
      <c r="AA281" s="28">
        <f t="shared" si="108"/>
        <v>0.62039047080000009</v>
      </c>
      <c r="AB281" s="28">
        <f t="shared" si="108"/>
        <v>0.60988816362500009</v>
      </c>
      <c r="AD281" s="28">
        <f t="shared" ref="AD281:AI281" si="109">IF(AVERAGE(AD5:AD6)&lt;51,0.000025*((AD6+AD5)/2)^2 - 0.01005*((AD6+AD5)/2) + 1.5955,(0.00000649518*((AD5+AD6)/2)^2 - 0.00338103746*((AD5+AD6)/2) + 1.049852))</f>
        <v>0.85122563532500006</v>
      </c>
      <c r="AE281" s="28">
        <f t="shared" si="109"/>
        <v>0.77153564522499996</v>
      </c>
      <c r="AF281" s="28">
        <f t="shared" si="109"/>
        <v>0.70381228360000003</v>
      </c>
      <c r="AG281" s="28">
        <f t="shared" si="109"/>
        <v>0.65170908920000004</v>
      </c>
      <c r="AH281" s="28">
        <f t="shared" si="109"/>
        <v>0.62039047080000009</v>
      </c>
      <c r="AI281" s="28">
        <f t="shared" si="109"/>
        <v>0.60988816362500009</v>
      </c>
      <c r="AK281" s="28">
        <f t="shared" ref="AK281:AP281" si="110">IF(AVERAGE(AK5:AK6)&lt;51,0.000025*((AK6+AK5)/2)^2 - 0.01005*((AK6+AK5)/2) + 1.5955,(0.00000649518*((AK5+AK6)/2)^2 - 0.00338103746*((AK5+AK6)/2) + 1.049852))</f>
        <v>0.85122563532500006</v>
      </c>
      <c r="AL281" s="28">
        <f t="shared" si="110"/>
        <v>0.77153564522499996</v>
      </c>
      <c r="AM281" s="28">
        <f t="shared" si="110"/>
        <v>0.70381228360000003</v>
      </c>
      <c r="AN281" s="28">
        <f t="shared" si="110"/>
        <v>0.65170908920000004</v>
      </c>
      <c r="AO281" s="28">
        <f t="shared" si="110"/>
        <v>0.62039047080000009</v>
      </c>
      <c r="AP281" s="28">
        <f t="shared" si="110"/>
        <v>0.60988816362500009</v>
      </c>
      <c r="AR281" s="28">
        <f t="shared" ref="AR281:AW281" si="111">IF(AVERAGE(AR5:AR6)&lt;51,0.000025*((AR6+AR5)/2)^2 - 0.01005*((AR6+AR5)/2) + 1.5955,(0.00000649518*((AR5+AR6)/2)^2 - 0.00338103746*((AR5+AR6)/2) + 1.049852))</f>
        <v>0.85122563532500006</v>
      </c>
      <c r="AS281" s="28">
        <f t="shared" si="111"/>
        <v>0.77153564522499996</v>
      </c>
      <c r="AT281" s="28">
        <f t="shared" si="111"/>
        <v>0.70381228360000003</v>
      </c>
      <c r="AU281" s="28">
        <f t="shared" si="111"/>
        <v>0.65170908920000004</v>
      </c>
      <c r="AV281" s="28">
        <f t="shared" si="111"/>
        <v>0.62039047080000009</v>
      </c>
      <c r="AW281" s="28">
        <f t="shared" si="111"/>
        <v>0.60988816362500009</v>
      </c>
    </row>
    <row r="282" spans="1:53" x14ac:dyDescent="0.25">
      <c r="A282" s="50" t="s">
        <v>150</v>
      </c>
      <c r="B282" s="28">
        <f t="shared" ref="B282:G282" si="112">IF(AVERAGE(B5:B6)&lt;51,0.000025*((B6+B5)/2)^2 - 0.01005*((B6+B5)/2) + 1.5955,0.00000649518*((B6+B5)/2)^2 - 0.00338103746*((B6+B5)/2) + 1.3529)</f>
        <v>1.154273635325</v>
      </c>
      <c r="C282" s="28">
        <f t="shared" si="112"/>
        <v>1.0745836452249999</v>
      </c>
      <c r="D282" s="28">
        <f t="shared" si="112"/>
        <v>1.0068602836</v>
      </c>
      <c r="E282" s="28">
        <f t="shared" si="112"/>
        <v>0.95475708920000002</v>
      </c>
      <c r="F282" s="28">
        <f t="shared" si="112"/>
        <v>0.92343847080000008</v>
      </c>
      <c r="G282" s="28">
        <f t="shared" si="112"/>
        <v>0.91293616362500007</v>
      </c>
      <c r="H282" s="28"/>
      <c r="I282" s="28">
        <f t="shared" ref="I282:N282" si="113">IF(AVERAGE(I5:I6)&lt;51,0.000025*((I6+I5)/2)^2 - 0.01005*((I6+I5)/2) + 1.5955,0.00000649518*((I6+I5)/2)^2 - 0.00338103746*((I6+I5)/2) + 1.3529)</f>
        <v>1.154273635325</v>
      </c>
      <c r="J282" s="28">
        <f t="shared" si="113"/>
        <v>1.0745836452249999</v>
      </c>
      <c r="K282" s="28">
        <f t="shared" si="113"/>
        <v>1.0068602836</v>
      </c>
      <c r="L282" s="28">
        <f t="shared" si="113"/>
        <v>0.95475708920000002</v>
      </c>
      <c r="M282" s="28">
        <f t="shared" si="113"/>
        <v>0.92343847080000008</v>
      </c>
      <c r="N282" s="28">
        <f t="shared" si="113"/>
        <v>0.91293616362500007</v>
      </c>
      <c r="O282" s="28"/>
      <c r="P282" s="28">
        <f t="shared" ref="P282:U282" si="114">IF(AVERAGE(P5:P6)&lt;51,0.000025*((P6+P5)/2)^2 - 0.01005*((P6+P5)/2) + 1.5955,0.00000649518*((P6+P5)/2)^2 - 0.00338103746*((P6+P5)/2) + 1.3529)</f>
        <v>1.154273635325</v>
      </c>
      <c r="Q282" s="28">
        <f t="shared" si="114"/>
        <v>1.0745836452249999</v>
      </c>
      <c r="R282" s="28">
        <f t="shared" si="114"/>
        <v>1.0068602836</v>
      </c>
      <c r="S282" s="28">
        <f t="shared" si="114"/>
        <v>0.95475708920000002</v>
      </c>
      <c r="T282" s="28">
        <f t="shared" si="114"/>
        <v>0.92343847080000008</v>
      </c>
      <c r="U282" s="28">
        <f t="shared" si="114"/>
        <v>0.91293616362500007</v>
      </c>
      <c r="W282" s="28">
        <f t="shared" ref="W282:AB282" si="115">IF(AVERAGE(W5:W6)&lt;51,0.000025*((W6+W5)/2)^2 - 0.01005*((W6+W5)/2) + 1.5955,0.00000649518*((W6+W5)/2)^2 - 0.00338103746*((W6+W5)/2) + 1.3529)</f>
        <v>1.154273635325</v>
      </c>
      <c r="X282" s="28">
        <f t="shared" si="115"/>
        <v>1.0745836452249999</v>
      </c>
      <c r="Y282" s="28">
        <f t="shared" si="115"/>
        <v>1.0068602836</v>
      </c>
      <c r="Z282" s="28">
        <f t="shared" si="115"/>
        <v>0.95475708920000002</v>
      </c>
      <c r="AA282" s="28">
        <f t="shared" si="115"/>
        <v>0.92343847080000008</v>
      </c>
      <c r="AB282" s="28">
        <f t="shared" si="115"/>
        <v>0.91293616362500007</v>
      </c>
      <c r="AD282" s="28">
        <f t="shared" ref="AD282:AI282" si="116">IF(AVERAGE(AD5:AD6)&lt;51,0.000025*((AD6+AD5)/2)^2 - 0.01005*((AD6+AD5)/2) + 1.5955,0.00000649518*((AD6+AD5)/2)^2 - 0.00338103746*((AD6+AD5)/2) + 1.3529)</f>
        <v>1.154273635325</v>
      </c>
      <c r="AE282" s="28">
        <f t="shared" si="116"/>
        <v>1.0745836452249999</v>
      </c>
      <c r="AF282" s="28">
        <f t="shared" si="116"/>
        <v>1.0068602836</v>
      </c>
      <c r="AG282" s="28">
        <f t="shared" si="116"/>
        <v>0.95475708920000002</v>
      </c>
      <c r="AH282" s="28">
        <f t="shared" si="116"/>
        <v>0.92343847080000008</v>
      </c>
      <c r="AI282" s="28">
        <f t="shared" si="116"/>
        <v>0.91293616362500007</v>
      </c>
      <c r="AK282" s="28">
        <f t="shared" ref="AK282:AP282" si="117">IF(AVERAGE(AK5:AK6)&lt;51,0.000025*((AK6+AK5)/2)^2 - 0.01005*((AK6+AK5)/2) + 1.5955,0.00000649518*((AK6+AK5)/2)^2 - 0.00338103746*((AK6+AK5)/2) + 1.3529)</f>
        <v>1.154273635325</v>
      </c>
      <c r="AL282" s="28">
        <f t="shared" si="117"/>
        <v>1.0745836452249999</v>
      </c>
      <c r="AM282" s="28">
        <f t="shared" si="117"/>
        <v>1.0068602836</v>
      </c>
      <c r="AN282" s="28">
        <f t="shared" si="117"/>
        <v>0.95475708920000002</v>
      </c>
      <c r="AO282" s="28">
        <f t="shared" si="117"/>
        <v>0.92343847080000008</v>
      </c>
      <c r="AP282" s="28">
        <f t="shared" si="117"/>
        <v>0.91293616362500007</v>
      </c>
      <c r="AR282" s="28">
        <f t="shared" ref="AR282:AW282" si="118">IF(AVERAGE(AR5:AR6)&lt;51,0.000025*((AR6+AR5)/2)^2 - 0.01005*((AR6+AR5)/2) + 1.5955,0.00000649518*((AR6+AR5)/2)^2 - 0.00338103746*((AR6+AR5)/2) + 1.3529)</f>
        <v>1.154273635325</v>
      </c>
      <c r="AS282" s="28">
        <f t="shared" si="118"/>
        <v>1.0745836452249999</v>
      </c>
      <c r="AT282" s="28">
        <f t="shared" si="118"/>
        <v>1.0068602836</v>
      </c>
      <c r="AU282" s="28">
        <f t="shared" si="118"/>
        <v>0.95475708920000002</v>
      </c>
      <c r="AV282" s="28">
        <f t="shared" si="118"/>
        <v>0.92343847080000008</v>
      </c>
      <c r="AW282" s="28">
        <f t="shared" si="118"/>
        <v>0.91293616362500007</v>
      </c>
    </row>
    <row r="283" spans="1:53" x14ac:dyDescent="0.25">
      <c r="A283" s="15" t="s">
        <v>51</v>
      </c>
      <c r="B283" s="28">
        <f t="shared" ref="B283:G283" si="119">B281*(B246*2.2046)/10000</f>
        <v>0.27996053561020928</v>
      </c>
      <c r="C283" s="28">
        <f t="shared" si="119"/>
        <v>0.25468658901444263</v>
      </c>
      <c r="D283" s="28">
        <f t="shared" si="119"/>
        <v>0.23309759512248635</v>
      </c>
      <c r="E283" s="28">
        <f t="shared" si="119"/>
        <v>0.21647481730659451</v>
      </c>
      <c r="F283" s="28">
        <f t="shared" si="119"/>
        <v>0.20653872384003844</v>
      </c>
      <c r="G283" s="28">
        <f t="shared" si="119"/>
        <v>0.20321869012127139</v>
      </c>
      <c r="H283" s="28"/>
      <c r="I283" s="28">
        <f t="shared" ref="I283:N283" si="120">I281*(I246*2.2046)/10000</f>
        <v>0.28060568881921844</v>
      </c>
      <c r="J283" s="28">
        <f t="shared" si="120"/>
        <v>0.25526169823566913</v>
      </c>
      <c r="K283" s="28">
        <f t="shared" si="120"/>
        <v>0.23361778591880025</v>
      </c>
      <c r="L283" s="28">
        <f t="shared" si="120"/>
        <v>0.21700058629976807</v>
      </c>
      <c r="M283" s="28">
        <f t="shared" si="120"/>
        <v>0.20702525787603795</v>
      </c>
      <c r="N283" s="28">
        <f t="shared" si="120"/>
        <v>0.20321869012127139</v>
      </c>
      <c r="O283" s="28"/>
      <c r="P283" s="28">
        <f t="shared" ref="P283:U283" si="121">P281*(P246*2.2046)/10000</f>
        <v>0.28123888075997322</v>
      </c>
      <c r="Q283" s="28">
        <f t="shared" si="121"/>
        <v>0.25583410586261845</v>
      </c>
      <c r="R283" s="28">
        <f t="shared" si="121"/>
        <v>0.23413507094407504</v>
      </c>
      <c r="S283" s="28">
        <f t="shared" si="121"/>
        <v>0.21748090215842958</v>
      </c>
      <c r="T283" s="28">
        <f t="shared" si="121"/>
        <v>0.20749082359034124</v>
      </c>
      <c r="U283" s="28">
        <f t="shared" si="121"/>
        <v>0.20321869012127139</v>
      </c>
      <c r="W283" s="28">
        <f t="shared" ref="W283:AB283" si="122">W281*(W246*2.2046)/10000</f>
        <v>0.2818768260596401</v>
      </c>
      <c r="X283" s="28">
        <f t="shared" si="122"/>
        <v>0.25640950408866248</v>
      </c>
      <c r="Y283" s="28">
        <f t="shared" si="122"/>
        <v>0.23466190302744136</v>
      </c>
      <c r="Z283" s="28">
        <f t="shared" si="122"/>
        <v>0.21796833263403029</v>
      </c>
      <c r="AA283" s="28">
        <f t="shared" si="122"/>
        <v>0.20796333079512369</v>
      </c>
      <c r="AB283" s="28">
        <f t="shared" si="122"/>
        <v>0.20321869012127139</v>
      </c>
      <c r="AD283" s="28">
        <f t="shared" ref="AD283:AI283" si="123">AD281*(AD246*2.2046)/10000</f>
        <v>0.28251229502666036</v>
      </c>
      <c r="AE283" s="28">
        <f t="shared" si="123"/>
        <v>0.25698638647591293</v>
      </c>
      <c r="AF283" s="28">
        <f t="shared" si="123"/>
        <v>0.23518271159118695</v>
      </c>
      <c r="AG283" s="28">
        <f t="shared" si="123"/>
        <v>0.21846278304608177</v>
      </c>
      <c r="AH283" s="28">
        <f t="shared" si="123"/>
        <v>0.20831356042979868</v>
      </c>
      <c r="AI283" s="28">
        <f t="shared" si="123"/>
        <v>0.20321869012127139</v>
      </c>
      <c r="AK283" s="28">
        <f t="shared" ref="AK283:AP283" si="124">AK281*(AK246*2.2046)/10000</f>
        <v>0.28312830561972274</v>
      </c>
      <c r="AL283" s="28">
        <f t="shared" si="124"/>
        <v>0.25756481852584751</v>
      </c>
      <c r="AM283" s="28">
        <f t="shared" si="124"/>
        <v>0.23572255398917272</v>
      </c>
      <c r="AN283" s="28">
        <f t="shared" si="124"/>
        <v>0.21886244103394806</v>
      </c>
      <c r="AO283" s="28">
        <f t="shared" si="124"/>
        <v>0.20860600417239569</v>
      </c>
      <c r="AP283" s="28">
        <f t="shared" si="124"/>
        <v>0.20321869012127139</v>
      </c>
      <c r="AR283" s="28">
        <f t="shared" ref="AR283:AW283" si="125">AR281*(AR246*2.2046)/10000</f>
        <v>0.28377310343694417</v>
      </c>
      <c r="AS283" s="28">
        <f t="shared" si="125"/>
        <v>0.25814064534285253</v>
      </c>
      <c r="AT283" s="28">
        <f t="shared" si="125"/>
        <v>0.23625855024071338</v>
      </c>
      <c r="AU283" s="28">
        <f t="shared" si="125"/>
        <v>0.21916963101843256</v>
      </c>
      <c r="AV283" s="28">
        <f t="shared" si="125"/>
        <v>0.20889769173381964</v>
      </c>
      <c r="AW283" s="28">
        <f t="shared" si="125"/>
        <v>0.20321869012127139</v>
      </c>
    </row>
    <row r="284" spans="1:53" x14ac:dyDescent="0.25">
      <c r="A284" s="15" t="s">
        <v>375</v>
      </c>
      <c r="B284" s="28">
        <f t="shared" ref="B284:G284" si="126" xml:space="preserve"> -0.096629122*LN(AVERAGE(B5:B6)/2.2046) + 0.7201091526</f>
        <v>0.38948473530861316</v>
      </c>
      <c r="C284" s="28">
        <f t="shared" si="126"/>
        <v>0.34911934963648045</v>
      </c>
      <c r="D284" s="28">
        <f t="shared" si="126"/>
        <v>0.31899235830889017</v>
      </c>
      <c r="E284" s="28">
        <f t="shared" si="126"/>
        <v>0.29470806575817415</v>
      </c>
      <c r="F284" s="28">
        <f t="shared" si="126"/>
        <v>0.27531743264453717</v>
      </c>
      <c r="G284" s="28">
        <f t="shared" si="126"/>
        <v>0.25825045546730907</v>
      </c>
      <c r="H284" s="28"/>
      <c r="I284" s="28">
        <f t="shared" ref="I284:N284" si="127" xml:space="preserve"> -0.096629122*LN(AVERAGE(I5:I6)/2.2046) + 0.7201091526</f>
        <v>0.38948473530861316</v>
      </c>
      <c r="J284" s="28">
        <f t="shared" si="127"/>
        <v>0.34911934963648045</v>
      </c>
      <c r="K284" s="28">
        <f t="shared" si="127"/>
        <v>0.31899235830889017</v>
      </c>
      <c r="L284" s="28">
        <f t="shared" si="127"/>
        <v>0.29470806575817415</v>
      </c>
      <c r="M284" s="28">
        <f t="shared" si="127"/>
        <v>0.27531743264453717</v>
      </c>
      <c r="N284" s="28">
        <f t="shared" si="127"/>
        <v>0.25825045546730907</v>
      </c>
      <c r="O284" s="28"/>
      <c r="P284" s="28">
        <f t="shared" ref="P284:U284" si="128" xml:space="preserve"> -0.096629122*LN(AVERAGE(P5:P6)/2.2046) + 0.7201091526</f>
        <v>0.38948473530861316</v>
      </c>
      <c r="Q284" s="28">
        <f t="shared" si="128"/>
        <v>0.34911934963648045</v>
      </c>
      <c r="R284" s="28">
        <f t="shared" si="128"/>
        <v>0.31899235830889017</v>
      </c>
      <c r="S284" s="28">
        <f t="shared" si="128"/>
        <v>0.29470806575817415</v>
      </c>
      <c r="T284" s="28">
        <f t="shared" si="128"/>
        <v>0.27531743264453717</v>
      </c>
      <c r="U284" s="28">
        <f t="shared" si="128"/>
        <v>0.25825045546730907</v>
      </c>
      <c r="W284" s="28">
        <f t="shared" ref="W284:AB284" si="129" xml:space="preserve"> -0.096629122*LN(AVERAGE(W5:W6)/2.2046) + 0.7201091526</f>
        <v>0.38948473530861316</v>
      </c>
      <c r="X284" s="28">
        <f t="shared" si="129"/>
        <v>0.34911934963648045</v>
      </c>
      <c r="Y284" s="28">
        <f t="shared" si="129"/>
        <v>0.31899235830889017</v>
      </c>
      <c r="Z284" s="28">
        <f t="shared" si="129"/>
        <v>0.29470806575817415</v>
      </c>
      <c r="AA284" s="28">
        <f t="shared" si="129"/>
        <v>0.27531743264453717</v>
      </c>
      <c r="AB284" s="28">
        <f t="shared" si="129"/>
        <v>0.25825045546730907</v>
      </c>
      <c r="AD284" s="28">
        <f t="shared" ref="AD284:AI284" si="130" xml:space="preserve"> -0.096629122*LN(AVERAGE(AD5:AD6)/2.2046) + 0.7201091526</f>
        <v>0.38948473530861316</v>
      </c>
      <c r="AE284" s="28">
        <f t="shared" si="130"/>
        <v>0.34911934963648045</v>
      </c>
      <c r="AF284" s="28">
        <f t="shared" si="130"/>
        <v>0.31899235830889017</v>
      </c>
      <c r="AG284" s="28">
        <f t="shared" si="130"/>
        <v>0.29470806575817415</v>
      </c>
      <c r="AH284" s="28">
        <f t="shared" si="130"/>
        <v>0.27531743264453717</v>
      </c>
      <c r="AI284" s="28">
        <f t="shared" si="130"/>
        <v>0.25825045546730907</v>
      </c>
      <c r="AK284" s="28">
        <f t="shared" ref="AK284:AP284" si="131" xml:space="preserve"> -0.096629122*LN(AVERAGE(AK5:AK6)/2.2046) + 0.7201091526</f>
        <v>0.38948473530861316</v>
      </c>
      <c r="AL284" s="28">
        <f t="shared" si="131"/>
        <v>0.34911934963648045</v>
      </c>
      <c r="AM284" s="28">
        <f t="shared" si="131"/>
        <v>0.31899235830889017</v>
      </c>
      <c r="AN284" s="28">
        <f t="shared" si="131"/>
        <v>0.29470806575817415</v>
      </c>
      <c r="AO284" s="28">
        <f t="shared" si="131"/>
        <v>0.27531743264453717</v>
      </c>
      <c r="AP284" s="28">
        <f t="shared" si="131"/>
        <v>0.25825045546730907</v>
      </c>
      <c r="AR284" s="28">
        <f t="shared" ref="AR284:AW284" si="132" xml:space="preserve"> -0.096629122*LN(AVERAGE(AR5:AR6)/2.2046) + 0.7201091526</f>
        <v>0.38948473530861316</v>
      </c>
      <c r="AS284" s="28">
        <f t="shared" si="132"/>
        <v>0.34911934963648045</v>
      </c>
      <c r="AT284" s="28">
        <f t="shared" si="132"/>
        <v>0.31899235830889017</v>
      </c>
      <c r="AU284" s="28">
        <f t="shared" si="132"/>
        <v>0.29470806575817415</v>
      </c>
      <c r="AV284" s="28">
        <f t="shared" si="132"/>
        <v>0.27531743264453717</v>
      </c>
      <c r="AW284" s="28">
        <f t="shared" si="132"/>
        <v>0.25825045546730907</v>
      </c>
    </row>
    <row r="285" spans="1:53" x14ac:dyDescent="0.25">
      <c r="A285" s="50" t="s">
        <v>154</v>
      </c>
      <c r="B285" s="26">
        <v>1</v>
      </c>
      <c r="C285" s="26">
        <v>1</v>
      </c>
      <c r="D285" s="26">
        <v>1</v>
      </c>
      <c r="E285" s="26">
        <v>1</v>
      </c>
      <c r="F285" s="26">
        <v>1</v>
      </c>
      <c r="G285" s="26">
        <v>1</v>
      </c>
      <c r="H285" s="26"/>
      <c r="I285" s="26">
        <v>1</v>
      </c>
      <c r="J285" s="26">
        <v>1</v>
      </c>
      <c r="K285" s="26">
        <v>1</v>
      </c>
      <c r="L285" s="26">
        <v>1</v>
      </c>
      <c r="M285" s="26">
        <v>1</v>
      </c>
      <c r="N285" s="26">
        <v>1</v>
      </c>
      <c r="O285" s="28"/>
      <c r="P285" s="26">
        <v>1</v>
      </c>
      <c r="Q285" s="26">
        <v>1</v>
      </c>
      <c r="R285" s="26">
        <v>1</v>
      </c>
      <c r="S285" s="26">
        <v>1</v>
      </c>
      <c r="T285" s="26">
        <v>1</v>
      </c>
      <c r="U285" s="26">
        <v>1</v>
      </c>
      <c r="W285" s="26">
        <v>1</v>
      </c>
      <c r="X285" s="26">
        <v>1</v>
      </c>
      <c r="Y285" s="26">
        <v>1</v>
      </c>
      <c r="Z285" s="26">
        <v>1</v>
      </c>
      <c r="AA285" s="26">
        <v>1</v>
      </c>
      <c r="AB285" s="26">
        <v>1</v>
      </c>
      <c r="AD285" s="26">
        <v>1</v>
      </c>
      <c r="AE285" s="26">
        <v>1</v>
      </c>
      <c r="AF285" s="26">
        <v>1</v>
      </c>
      <c r="AG285" s="26">
        <v>1</v>
      </c>
      <c r="AH285" s="26">
        <v>1</v>
      </c>
      <c r="AI285" s="26">
        <v>1</v>
      </c>
      <c r="AK285" s="26">
        <v>1</v>
      </c>
      <c r="AL285" s="26">
        <v>1</v>
      </c>
      <c r="AM285" s="26">
        <v>1</v>
      </c>
      <c r="AN285" s="26">
        <v>1</v>
      </c>
      <c r="AO285" s="26">
        <v>1</v>
      </c>
      <c r="AP285" s="26">
        <v>1</v>
      </c>
      <c r="AR285" s="26">
        <v>1</v>
      </c>
      <c r="AS285" s="26">
        <v>1</v>
      </c>
      <c r="AT285" s="26">
        <v>1</v>
      </c>
      <c r="AU285" s="26">
        <v>1</v>
      </c>
      <c r="AV285" s="26">
        <v>1</v>
      </c>
      <c r="AW285" s="26">
        <v>1</v>
      </c>
    </row>
    <row r="286" spans="1:53" x14ac:dyDescent="0.25">
      <c r="A286" s="50" t="s">
        <v>153</v>
      </c>
      <c r="B286" s="26">
        <v>1.5</v>
      </c>
      <c r="C286" s="26">
        <v>1.5</v>
      </c>
      <c r="D286" s="26">
        <v>1.5</v>
      </c>
      <c r="E286" s="26">
        <v>1.5</v>
      </c>
      <c r="F286" s="26">
        <v>1.5</v>
      </c>
      <c r="G286" s="26">
        <v>1.5</v>
      </c>
      <c r="H286" s="26"/>
      <c r="I286" s="26">
        <v>1.5</v>
      </c>
      <c r="J286" s="26">
        <v>1.5</v>
      </c>
      <c r="K286" s="26">
        <v>1.5</v>
      </c>
      <c r="L286" s="26">
        <v>1.5</v>
      </c>
      <c r="M286" s="26">
        <v>1.5</v>
      </c>
      <c r="N286" s="26">
        <v>1.5</v>
      </c>
      <c r="O286" s="26"/>
      <c r="P286" s="26">
        <v>1.5</v>
      </c>
      <c r="Q286" s="26">
        <v>1.5</v>
      </c>
      <c r="R286" s="26">
        <v>1.5</v>
      </c>
      <c r="S286" s="26">
        <v>1.5</v>
      </c>
      <c r="T286" s="26">
        <v>1.5</v>
      </c>
      <c r="U286" s="26">
        <v>1.5</v>
      </c>
      <c r="W286" s="26">
        <v>1.5</v>
      </c>
      <c r="X286" s="26">
        <v>1.5</v>
      </c>
      <c r="Y286" s="26">
        <v>1.5</v>
      </c>
      <c r="Z286" s="26">
        <v>1.5</v>
      </c>
      <c r="AA286" s="26">
        <v>1.5</v>
      </c>
      <c r="AB286" s="26">
        <v>1.5</v>
      </c>
      <c r="AD286" s="26">
        <v>1.5</v>
      </c>
      <c r="AE286" s="26">
        <v>1.5</v>
      </c>
      <c r="AF286" s="26">
        <v>1.5</v>
      </c>
      <c r="AG286" s="26">
        <v>1.5</v>
      </c>
      <c r="AH286" s="26">
        <v>1.5</v>
      </c>
      <c r="AI286" s="26">
        <v>1.5</v>
      </c>
      <c r="AK286" s="26">
        <v>1.5</v>
      </c>
      <c r="AL286" s="26">
        <v>1.5</v>
      </c>
      <c r="AM286" s="26">
        <v>1.5</v>
      </c>
      <c r="AN286" s="26">
        <v>1.5</v>
      </c>
      <c r="AO286" s="26">
        <v>1.5</v>
      </c>
      <c r="AP286" s="26">
        <v>1.5</v>
      </c>
      <c r="AR286" s="26">
        <v>1.5</v>
      </c>
      <c r="AS286" s="26">
        <v>1.5</v>
      </c>
      <c r="AT286" s="26">
        <v>1.5</v>
      </c>
      <c r="AU286" s="26">
        <v>1.5</v>
      </c>
      <c r="AV286" s="26">
        <v>1.5</v>
      </c>
      <c r="AW286" s="26">
        <v>1.5</v>
      </c>
    </row>
    <row r="287" spans="1:53" x14ac:dyDescent="0.25">
      <c r="A287" s="50" t="s">
        <v>368</v>
      </c>
      <c r="B287" s="33">
        <f t="shared" ref="B287:G287" si="133">-0.12264*LN(AVERAGE(B5:B6)/2.2046) + 1.07262</f>
        <v>0.65299724345031629</v>
      </c>
      <c r="C287" s="33">
        <f t="shared" si="133"/>
        <v>0.60176619843647083</v>
      </c>
      <c r="D287" s="33">
        <f t="shared" si="133"/>
        <v>0.56352954534532851</v>
      </c>
      <c r="E287" s="33">
        <f t="shared" si="133"/>
        <v>0.53270834386095811</v>
      </c>
      <c r="F287" s="33">
        <f t="shared" si="133"/>
        <v>0.50809808976948001</v>
      </c>
      <c r="G287" s="33">
        <f t="shared" si="133"/>
        <v>0.48643697935376851</v>
      </c>
      <c r="H287" s="33"/>
      <c r="I287" s="33">
        <f t="shared" ref="I287:N287" si="134">-0.12264*LN(AVERAGE(I5:I6)/2.2046) + 1.07262</f>
        <v>0.65299724345031629</v>
      </c>
      <c r="J287" s="33">
        <f t="shared" si="134"/>
        <v>0.60176619843647083</v>
      </c>
      <c r="K287" s="33">
        <f t="shared" si="134"/>
        <v>0.56352954534532851</v>
      </c>
      <c r="L287" s="33">
        <f t="shared" si="134"/>
        <v>0.53270834386095811</v>
      </c>
      <c r="M287" s="33">
        <f t="shared" si="134"/>
        <v>0.50809808976948001</v>
      </c>
      <c r="N287" s="33">
        <f t="shared" si="134"/>
        <v>0.48643697935376851</v>
      </c>
      <c r="O287" s="26"/>
      <c r="P287" s="33">
        <f t="shared" ref="P287:U287" si="135">-0.12264*LN(AVERAGE(P5:P6)/2.2046) + 1.07262</f>
        <v>0.65299724345031629</v>
      </c>
      <c r="Q287" s="33">
        <f t="shared" si="135"/>
        <v>0.60176619843647083</v>
      </c>
      <c r="R287" s="33">
        <f t="shared" si="135"/>
        <v>0.56352954534532851</v>
      </c>
      <c r="S287" s="33">
        <f t="shared" si="135"/>
        <v>0.53270834386095811</v>
      </c>
      <c r="T287" s="33">
        <f t="shared" si="135"/>
        <v>0.50809808976948001</v>
      </c>
      <c r="U287" s="33">
        <f t="shared" si="135"/>
        <v>0.48643697935376851</v>
      </c>
      <c r="W287" s="33">
        <f t="shared" ref="W287:AB287" si="136">-0.12264*LN(AVERAGE(W5:W6)/2.2046) + 1.07262</f>
        <v>0.65299724345031629</v>
      </c>
      <c r="X287" s="33">
        <f t="shared" si="136"/>
        <v>0.60176619843647083</v>
      </c>
      <c r="Y287" s="33">
        <f t="shared" si="136"/>
        <v>0.56352954534532851</v>
      </c>
      <c r="Z287" s="33">
        <f t="shared" si="136"/>
        <v>0.53270834386095811</v>
      </c>
      <c r="AA287" s="33">
        <f t="shared" si="136"/>
        <v>0.50809808976948001</v>
      </c>
      <c r="AB287" s="33">
        <f t="shared" si="136"/>
        <v>0.48643697935376851</v>
      </c>
      <c r="AD287" s="33">
        <f t="shared" ref="AD287:AI287" si="137">-0.12264*LN(AVERAGE(AD5:AD6)/2.2046) + 1.07262</f>
        <v>0.65299724345031629</v>
      </c>
      <c r="AE287" s="33">
        <f t="shared" si="137"/>
        <v>0.60176619843647083</v>
      </c>
      <c r="AF287" s="33">
        <f t="shared" si="137"/>
        <v>0.56352954534532851</v>
      </c>
      <c r="AG287" s="33">
        <f t="shared" si="137"/>
        <v>0.53270834386095811</v>
      </c>
      <c r="AH287" s="33">
        <f t="shared" si="137"/>
        <v>0.50809808976948001</v>
      </c>
      <c r="AI287" s="33">
        <f t="shared" si="137"/>
        <v>0.48643697935376851</v>
      </c>
      <c r="AK287" s="33">
        <f t="shared" ref="AK287:AP287" si="138">-0.12264*LN(AVERAGE(AK5:AK6)/2.2046) + 1.07262</f>
        <v>0.65299724345031629</v>
      </c>
      <c r="AL287" s="33">
        <f t="shared" si="138"/>
        <v>0.60176619843647083</v>
      </c>
      <c r="AM287" s="33">
        <f t="shared" si="138"/>
        <v>0.56352954534532851</v>
      </c>
      <c r="AN287" s="33">
        <f t="shared" si="138"/>
        <v>0.53270834386095811</v>
      </c>
      <c r="AO287" s="33">
        <f t="shared" si="138"/>
        <v>0.50809808976948001</v>
      </c>
      <c r="AP287" s="33">
        <f t="shared" si="138"/>
        <v>0.48643697935376851</v>
      </c>
      <c r="AR287" s="33">
        <f t="shared" ref="AR287:AW287" si="139">-0.12264*LN(AVERAGE(AR5:AR6)/2.2046) + 1.07262</f>
        <v>0.65299724345031629</v>
      </c>
      <c r="AS287" s="33">
        <f t="shared" si="139"/>
        <v>0.60176619843647083</v>
      </c>
      <c r="AT287" s="33">
        <f t="shared" si="139"/>
        <v>0.56352954534532851</v>
      </c>
      <c r="AU287" s="33">
        <f t="shared" si="139"/>
        <v>0.53270834386095811</v>
      </c>
      <c r="AV287" s="33">
        <f t="shared" si="139"/>
        <v>0.50809808976948001</v>
      </c>
      <c r="AW287" s="33">
        <f t="shared" si="139"/>
        <v>0.48643697935376851</v>
      </c>
    </row>
    <row r="288" spans="1:53" x14ac:dyDescent="0.25">
      <c r="A288" s="50" t="s">
        <v>370</v>
      </c>
      <c r="B288" s="33">
        <v>0.4</v>
      </c>
      <c r="C288" s="33">
        <v>0.36</v>
      </c>
      <c r="D288" s="33">
        <v>0.32</v>
      </c>
      <c r="E288" s="33">
        <v>0.28999999999999998</v>
      </c>
      <c r="F288" s="33">
        <v>0.27</v>
      </c>
      <c r="G288" s="33">
        <v>0.26</v>
      </c>
      <c r="H288" s="33"/>
      <c r="I288" s="33">
        <v>0.4</v>
      </c>
      <c r="J288" s="33">
        <v>0.36</v>
      </c>
      <c r="K288" s="33">
        <v>0.32</v>
      </c>
      <c r="L288" s="33">
        <v>0.28999999999999998</v>
      </c>
      <c r="M288" s="33">
        <v>0.27</v>
      </c>
      <c r="N288" s="33">
        <v>0.26</v>
      </c>
      <c r="O288" s="33"/>
      <c r="P288" s="33">
        <v>0.4</v>
      </c>
      <c r="Q288" s="33">
        <v>0.36</v>
      </c>
      <c r="R288" s="33">
        <v>0.32</v>
      </c>
      <c r="S288" s="33">
        <v>0.28999999999999998</v>
      </c>
      <c r="T288" s="33">
        <v>0.27</v>
      </c>
      <c r="U288" s="33">
        <v>0.26</v>
      </c>
      <c r="W288" s="33">
        <v>0.4</v>
      </c>
      <c r="X288" s="33">
        <v>0.36</v>
      </c>
      <c r="Y288" s="33">
        <v>0.32</v>
      </c>
      <c r="Z288" s="33">
        <v>0.28999999999999998</v>
      </c>
      <c r="AA288" s="33">
        <v>0.27</v>
      </c>
      <c r="AB288" s="33">
        <v>0.26</v>
      </c>
      <c r="AD288" s="33">
        <v>0.4</v>
      </c>
      <c r="AE288" s="33">
        <v>0.36</v>
      </c>
      <c r="AF288" s="33">
        <v>0.32</v>
      </c>
      <c r="AG288" s="33">
        <v>0.28999999999999998</v>
      </c>
      <c r="AH288" s="33">
        <v>0.27</v>
      </c>
      <c r="AI288" s="33">
        <v>0.26</v>
      </c>
      <c r="AK288" s="33">
        <v>0.4</v>
      </c>
      <c r="AL288" s="33">
        <v>0.36</v>
      </c>
      <c r="AM288" s="33">
        <v>0.32</v>
      </c>
      <c r="AN288" s="33">
        <v>0.28999999999999998</v>
      </c>
      <c r="AO288" s="33">
        <v>0.27</v>
      </c>
      <c r="AP288" s="33">
        <v>0.26</v>
      </c>
      <c r="AR288" s="33">
        <v>0.4</v>
      </c>
      <c r="AS288" s="33">
        <v>0.36</v>
      </c>
      <c r="AT288" s="33">
        <v>0.32</v>
      </c>
      <c r="AU288" s="33">
        <v>0.28999999999999998</v>
      </c>
      <c r="AV288" s="33">
        <v>0.27</v>
      </c>
      <c r="AW288" s="33">
        <v>0.26</v>
      </c>
    </row>
    <row r="289" spans="1:49" x14ac:dyDescent="0.25">
      <c r="A289" s="50" t="s">
        <v>369</v>
      </c>
      <c r="B289" s="33">
        <v>1.74</v>
      </c>
      <c r="C289" s="33">
        <v>1.74</v>
      </c>
      <c r="D289" s="33">
        <v>1.79</v>
      </c>
      <c r="E289" s="33">
        <v>1.79</v>
      </c>
      <c r="F289" s="33">
        <v>1.77</v>
      </c>
      <c r="G289" s="33">
        <v>1.77</v>
      </c>
      <c r="H289" s="33"/>
      <c r="I289" s="33">
        <v>1.74</v>
      </c>
      <c r="J289" s="33">
        <v>1.74</v>
      </c>
      <c r="K289" s="33">
        <v>1.79</v>
      </c>
      <c r="L289" s="33">
        <v>1.79</v>
      </c>
      <c r="M289" s="33">
        <v>1.77</v>
      </c>
      <c r="N289" s="33">
        <v>1.77</v>
      </c>
      <c r="O289" s="33"/>
      <c r="P289" s="33">
        <v>1.74</v>
      </c>
      <c r="Q289" s="33">
        <v>1.74</v>
      </c>
      <c r="R289" s="33">
        <v>1.79</v>
      </c>
      <c r="S289" s="33">
        <v>1.79</v>
      </c>
      <c r="T289" s="33">
        <v>1.77</v>
      </c>
      <c r="U289" s="33">
        <v>1.77</v>
      </c>
      <c r="W289" s="33">
        <v>1.74</v>
      </c>
      <c r="X289" s="33">
        <v>1.74</v>
      </c>
      <c r="Y289" s="33">
        <v>1.79</v>
      </c>
      <c r="Z289" s="33">
        <v>1.79</v>
      </c>
      <c r="AA289" s="33">
        <v>1.77</v>
      </c>
      <c r="AB289" s="33">
        <v>1.77</v>
      </c>
      <c r="AD289" s="33">
        <v>1.74</v>
      </c>
      <c r="AE289" s="33">
        <v>1.74</v>
      </c>
      <c r="AF289" s="33">
        <v>1.79</v>
      </c>
      <c r="AG289" s="33">
        <v>1.79</v>
      </c>
      <c r="AH289" s="33">
        <v>1.77</v>
      </c>
      <c r="AI289" s="33">
        <v>1.77</v>
      </c>
      <c r="AK289" s="33">
        <v>1.74</v>
      </c>
      <c r="AL289" s="33">
        <v>1.74</v>
      </c>
      <c r="AM289" s="33">
        <v>1.79</v>
      </c>
      <c r="AN289" s="33">
        <v>1.79</v>
      </c>
      <c r="AO289" s="33">
        <v>1.77</v>
      </c>
      <c r="AP289" s="33">
        <v>1.77</v>
      </c>
      <c r="AR289" s="33">
        <v>1.74</v>
      </c>
      <c r="AS289" s="33">
        <v>1.74</v>
      </c>
      <c r="AT289" s="33">
        <v>1.79</v>
      </c>
      <c r="AU289" s="33">
        <v>1.79</v>
      </c>
      <c r="AV289" s="33">
        <v>1.77</v>
      </c>
      <c r="AW289" s="33">
        <v>1.77</v>
      </c>
    </row>
    <row r="290" spans="1:49" x14ac:dyDescent="0.25">
      <c r="A290" s="50" t="s">
        <v>152</v>
      </c>
      <c r="B290" s="26">
        <v>7.3</v>
      </c>
      <c r="C290" s="26">
        <v>8.3000000000000007</v>
      </c>
      <c r="D290" s="26">
        <v>9.3000000000000007</v>
      </c>
      <c r="E290" s="26">
        <v>10.3</v>
      </c>
      <c r="F290" s="26">
        <v>11.3</v>
      </c>
      <c r="G290" s="26">
        <v>11.3</v>
      </c>
      <c r="H290" s="26"/>
      <c r="I290" s="26">
        <v>7.3</v>
      </c>
      <c r="J290" s="26">
        <v>8.3000000000000007</v>
      </c>
      <c r="K290" s="26">
        <v>9.3000000000000007</v>
      </c>
      <c r="L290" s="26">
        <v>10.3</v>
      </c>
      <c r="M290" s="26">
        <v>11.3</v>
      </c>
      <c r="N290" s="26">
        <v>11.3</v>
      </c>
      <c r="O290" s="33"/>
      <c r="P290" s="26">
        <v>7.3</v>
      </c>
      <c r="Q290" s="26">
        <v>8.3000000000000007</v>
      </c>
      <c r="R290" s="26">
        <v>9.3000000000000007</v>
      </c>
      <c r="S290" s="26">
        <v>10.3</v>
      </c>
      <c r="T290" s="26">
        <v>11.3</v>
      </c>
      <c r="U290" s="26">
        <v>11.3</v>
      </c>
      <c r="W290" s="26">
        <v>7.3</v>
      </c>
      <c r="X290" s="26">
        <v>8.3000000000000007</v>
      </c>
      <c r="Y290" s="26">
        <v>9.3000000000000007</v>
      </c>
      <c r="Z290" s="26">
        <v>10.3</v>
      </c>
      <c r="AA290" s="26">
        <v>11.3</v>
      </c>
      <c r="AB290" s="26">
        <v>11.3</v>
      </c>
      <c r="AD290" s="26">
        <v>7.3</v>
      </c>
      <c r="AE290" s="26">
        <v>8.3000000000000007</v>
      </c>
      <c r="AF290" s="26">
        <v>9.3000000000000007</v>
      </c>
      <c r="AG290" s="26">
        <v>10.3</v>
      </c>
      <c r="AH290" s="26">
        <v>11.3</v>
      </c>
      <c r="AI290" s="26">
        <v>11.3</v>
      </c>
      <c r="AK290" s="26">
        <v>7.3</v>
      </c>
      <c r="AL290" s="26">
        <v>8.3000000000000007</v>
      </c>
      <c r="AM290" s="26">
        <v>9.3000000000000007</v>
      </c>
      <c r="AN290" s="26">
        <v>10.3</v>
      </c>
      <c r="AO290" s="26">
        <v>11.3</v>
      </c>
      <c r="AP290" s="26">
        <v>11.3</v>
      </c>
      <c r="AR290" s="26">
        <v>7.3</v>
      </c>
      <c r="AS290" s="26">
        <v>8.3000000000000007</v>
      </c>
      <c r="AT290" s="26">
        <v>9.3000000000000007</v>
      </c>
      <c r="AU290" s="26">
        <v>10.3</v>
      </c>
      <c r="AV290" s="26">
        <v>11.3</v>
      </c>
      <c r="AW290" s="26">
        <v>11.3</v>
      </c>
    </row>
    <row r="291" spans="1:49" x14ac:dyDescent="0.25">
      <c r="A291" s="15"/>
      <c r="B291" s="26"/>
      <c r="C291" s="26"/>
      <c r="D291" s="26"/>
      <c r="E291" s="26"/>
      <c r="F291" s="26"/>
      <c r="G291" s="26"/>
      <c r="H291" s="26"/>
      <c r="I291" s="26"/>
      <c r="J291" s="26"/>
      <c r="K291" s="26"/>
      <c r="L291" s="26"/>
      <c r="M291" s="26"/>
      <c r="N291" s="26"/>
      <c r="O291" s="26"/>
      <c r="P291" s="26"/>
      <c r="Q291" s="26"/>
      <c r="R291" s="26"/>
      <c r="S291" s="26"/>
      <c r="T291" s="26"/>
      <c r="U291" s="26"/>
      <c r="W291" s="26"/>
      <c r="X291" s="26"/>
      <c r="Y291" s="26"/>
      <c r="Z291" s="26"/>
      <c r="AA291" s="26"/>
      <c r="AB291" s="26"/>
      <c r="AD291" s="26"/>
      <c r="AE291" s="26"/>
      <c r="AF291" s="26"/>
      <c r="AG291" s="26"/>
      <c r="AH291" s="26"/>
      <c r="AI291" s="26"/>
      <c r="AK291" s="26"/>
      <c r="AL291" s="26"/>
      <c r="AM291" s="26"/>
      <c r="AN291" s="26"/>
      <c r="AO291" s="26"/>
      <c r="AP291" s="26"/>
      <c r="AR291" s="26"/>
      <c r="AS291" s="26"/>
      <c r="AT291" s="26"/>
      <c r="AU291" s="26"/>
      <c r="AV291" s="26"/>
      <c r="AW291" s="26"/>
    </row>
    <row r="292" spans="1:49" x14ac:dyDescent="0.25">
      <c r="A292" s="41" t="s">
        <v>349</v>
      </c>
      <c r="B292" s="33">
        <f t="shared" ref="B292:G292" si="140">IF(AVERAGE(B5:B6)&lt;15,-0.0525*((B5+B6)/2) + 5.0586,IF(AVERAGE(B5:B6)&lt;50,(-0.007855*((B5+B6)/2) + 4.1),(0.000025*((B5+B6)/2)^2 - 0.016*((B5+B6)/2)+ 4.53)*0.87))</f>
        <v>3.1005984375</v>
      </c>
      <c r="C292" s="33">
        <f t="shared" si="140"/>
        <v>2.7428109375000003</v>
      </c>
      <c r="D292" s="33">
        <f t="shared" si="140"/>
        <v>2.4186000000000001</v>
      </c>
      <c r="E292" s="33">
        <f t="shared" si="140"/>
        <v>2.1402000000000005</v>
      </c>
      <c r="F292" s="33">
        <f t="shared" si="140"/>
        <v>1.9314000000000002</v>
      </c>
      <c r="G292" s="33">
        <f t="shared" si="140"/>
        <v>1.7858109375</v>
      </c>
      <c r="H292" s="33"/>
      <c r="I292" s="33">
        <f t="shared" ref="I292:N292" si="141">IF(AVERAGE(I5:I6)&lt;15,-0.0525*((I5+I6)/2) + 5.0586,IF(AVERAGE(I5:I6)&lt;50,(-0.007855*((I5+I6)/2) + 4.1),(0.000025*((I5+I6)/2)^2 - 0.016*((I5+I6)/2)+ 4.53)*0.87))</f>
        <v>3.1005984375</v>
      </c>
      <c r="J292" s="33">
        <f t="shared" si="141"/>
        <v>2.7428109375000003</v>
      </c>
      <c r="K292" s="33">
        <f t="shared" si="141"/>
        <v>2.4186000000000001</v>
      </c>
      <c r="L292" s="33">
        <f t="shared" si="141"/>
        <v>2.1402000000000005</v>
      </c>
      <c r="M292" s="33">
        <f t="shared" si="141"/>
        <v>1.9314000000000002</v>
      </c>
      <c r="N292" s="33">
        <f t="shared" si="141"/>
        <v>1.7858109375</v>
      </c>
      <c r="O292" s="33"/>
      <c r="P292" s="33">
        <f t="shared" ref="P292:U292" si="142">IF(AVERAGE(P5:P6)&lt;15,-0.0525*((P5+P6)/2) + 5.0586,IF(AVERAGE(P5:P6)&lt;50,(-0.007855*((P5+P6)/2) + 4.1),(0.000025*((P5+P6)/2)^2 - 0.016*((P5+P6)/2)+ 4.53)*0.87))</f>
        <v>3.1005984375</v>
      </c>
      <c r="Q292" s="33">
        <f t="shared" si="142"/>
        <v>2.7428109375000003</v>
      </c>
      <c r="R292" s="33">
        <f t="shared" si="142"/>
        <v>2.4186000000000001</v>
      </c>
      <c r="S292" s="33">
        <f t="shared" si="142"/>
        <v>2.1402000000000005</v>
      </c>
      <c r="T292" s="33">
        <f t="shared" si="142"/>
        <v>1.9314000000000002</v>
      </c>
      <c r="U292" s="33">
        <f t="shared" si="142"/>
        <v>1.7858109375</v>
      </c>
      <c r="W292" s="33">
        <f t="shared" ref="W292:AB292" si="143">IF(AVERAGE(W5:W6)&lt;15,-0.0525*((W5+W6)/2) + 5.0586,IF(AVERAGE(W5:W6)&lt;50,(-0.007855*((W5+W6)/2) + 4.1),(0.000025*((W5+W6)/2)^2 - 0.016*((W5+W6)/2)+ 4.53)*0.87))</f>
        <v>3.1005984375</v>
      </c>
      <c r="X292" s="33">
        <f t="shared" si="143"/>
        <v>2.7428109375000003</v>
      </c>
      <c r="Y292" s="33">
        <f t="shared" si="143"/>
        <v>2.4186000000000001</v>
      </c>
      <c r="Z292" s="33">
        <f t="shared" si="143"/>
        <v>2.1402000000000005</v>
      </c>
      <c r="AA292" s="33">
        <f t="shared" si="143"/>
        <v>1.9314000000000002</v>
      </c>
      <c r="AB292" s="33">
        <f t="shared" si="143"/>
        <v>1.7858109375</v>
      </c>
      <c r="AD292" s="33">
        <f t="shared" ref="AD292:AI292" si="144">IF(AVERAGE(AD5:AD6)&lt;15,-0.0525*((AD5+AD6)/2) + 5.0586,IF(AVERAGE(AD5:AD6)&lt;50,(-0.007855*((AD5+AD6)/2) + 4.1),(0.000025*((AD5+AD6)/2)^2 - 0.016*((AD5+AD6)/2)+ 4.53)*0.87))</f>
        <v>3.1005984375</v>
      </c>
      <c r="AE292" s="33">
        <f t="shared" si="144"/>
        <v>2.7428109375000003</v>
      </c>
      <c r="AF292" s="33">
        <f t="shared" si="144"/>
        <v>2.4186000000000001</v>
      </c>
      <c r="AG292" s="33">
        <f t="shared" si="144"/>
        <v>2.1402000000000005</v>
      </c>
      <c r="AH292" s="33">
        <f t="shared" si="144"/>
        <v>1.9314000000000002</v>
      </c>
      <c r="AI292" s="33">
        <f t="shared" si="144"/>
        <v>1.7858109375</v>
      </c>
      <c r="AK292" s="33">
        <f t="shared" ref="AK292:AP292" si="145">IF(AVERAGE(AK5:AK6)&lt;15,-0.0525*((AK5+AK6)/2) + 5.0586,IF(AVERAGE(AK5:AK6)&lt;50,(-0.007855*((AK5+AK6)/2) + 4.1),(0.000025*((AK5+AK6)/2)^2 - 0.016*((AK5+AK6)/2)+ 4.53)*0.87))</f>
        <v>3.1005984375</v>
      </c>
      <c r="AL292" s="33">
        <f t="shared" si="145"/>
        <v>2.7428109375000003</v>
      </c>
      <c r="AM292" s="33">
        <f t="shared" si="145"/>
        <v>2.4186000000000001</v>
      </c>
      <c r="AN292" s="33">
        <f t="shared" si="145"/>
        <v>2.1402000000000005</v>
      </c>
      <c r="AO292" s="33">
        <f t="shared" si="145"/>
        <v>1.9314000000000002</v>
      </c>
      <c r="AP292" s="33">
        <f t="shared" si="145"/>
        <v>1.7858109375</v>
      </c>
      <c r="AR292" s="33">
        <f t="shared" ref="AR292:AW292" si="146">IF(AVERAGE(AR5:AR6)&lt;15,-0.0525*((AR5+AR6)/2) + 5.0586,IF(AVERAGE(AR5:AR6)&lt;50,(-0.007855*((AR5+AR6)/2) + 4.1),(0.000025*((AR5+AR6)/2)^2 - 0.016*((AR5+AR6)/2)+ 4.53)*0.87))</f>
        <v>3.1005984375</v>
      </c>
      <c r="AS292" s="33">
        <f t="shared" si="146"/>
        <v>2.7428109375000003</v>
      </c>
      <c r="AT292" s="33">
        <f t="shared" si="146"/>
        <v>2.4186000000000001</v>
      </c>
      <c r="AU292" s="33">
        <f t="shared" si="146"/>
        <v>2.1402000000000005</v>
      </c>
      <c r="AV292" s="33">
        <f t="shared" si="146"/>
        <v>1.9314000000000002</v>
      </c>
      <c r="AW292" s="33">
        <f t="shared" si="146"/>
        <v>1.7858109375</v>
      </c>
    </row>
    <row r="293" spans="1:49" x14ac:dyDescent="0.25">
      <c r="A293" s="40" t="s">
        <v>108</v>
      </c>
      <c r="B293" s="26">
        <f t="shared" ref="B293:G293" si="147">IF(B292="","",B246*2.2046*B292/10000)</f>
        <v>1.0197592309861019</v>
      </c>
      <c r="C293" s="26">
        <f t="shared" si="147"/>
        <v>0.90541139130346093</v>
      </c>
      <c r="D293" s="26">
        <f t="shared" si="147"/>
        <v>0.80102302375224621</v>
      </c>
      <c r="E293" s="26">
        <f t="shared" si="147"/>
        <v>0.71089909850466104</v>
      </c>
      <c r="F293" s="26">
        <f t="shared" si="147"/>
        <v>0.6429964836665738</v>
      </c>
      <c r="G293" s="26">
        <f t="shared" si="147"/>
        <v>0.59504378206974184</v>
      </c>
      <c r="H293" s="26"/>
      <c r="I293" s="26">
        <f t="shared" ref="I293:N293" si="148">IF(I292="","",I246*2.2046*I292/10000)</f>
        <v>1.0221092084172188</v>
      </c>
      <c r="J293" s="26">
        <f t="shared" si="148"/>
        <v>0.90745590586607328</v>
      </c>
      <c r="K293" s="26">
        <f t="shared" si="148"/>
        <v>0.80281062179405571</v>
      </c>
      <c r="L293" s="26">
        <f t="shared" si="148"/>
        <v>0.71262571367366423</v>
      </c>
      <c r="M293" s="26">
        <f t="shared" si="148"/>
        <v>0.64451116173040313</v>
      </c>
      <c r="N293" s="26">
        <f t="shared" si="148"/>
        <v>0.59504378206974184</v>
      </c>
      <c r="O293" s="26"/>
      <c r="P293" s="26">
        <f t="shared" ref="P293:U293" si="149">IF(P292="","",P246*2.2046*P292/10000)</f>
        <v>1.0244156168013978</v>
      </c>
      <c r="Q293" s="26">
        <f t="shared" si="149"/>
        <v>0.90949081625501227</v>
      </c>
      <c r="R293" s="26">
        <f t="shared" si="149"/>
        <v>0.80458823436388793</v>
      </c>
      <c r="S293" s="26">
        <f t="shared" si="149"/>
        <v>0.71420306163112368</v>
      </c>
      <c r="T293" s="26">
        <f t="shared" si="149"/>
        <v>0.64596056120207102</v>
      </c>
      <c r="U293" s="26">
        <f t="shared" si="149"/>
        <v>0.59504378206974184</v>
      </c>
      <c r="W293" s="26">
        <f t="shared" ref="W293:AB293" si="150">IF(W292="","",W246*2.2046*W292/10000)</f>
        <v>1.0267393393460114</v>
      </c>
      <c r="X293" s="26">
        <f t="shared" si="150"/>
        <v>0.91153635823039492</v>
      </c>
      <c r="Y293" s="26">
        <f t="shared" si="150"/>
        <v>0.80639865470823346</v>
      </c>
      <c r="Z293" s="26">
        <f t="shared" si="150"/>
        <v>0.71580377385252481</v>
      </c>
      <c r="AA293" s="26">
        <f t="shared" si="150"/>
        <v>0.64743157092622106</v>
      </c>
      <c r="AB293" s="26">
        <f t="shared" si="150"/>
        <v>0.59504378206974184</v>
      </c>
      <c r="AD293" s="26">
        <f t="shared" ref="AD293:AI293" si="151">IF(AD292="","",AD246*2.2046*AD292/10000)</f>
        <v>1.0290540418226002</v>
      </c>
      <c r="AE293" s="26">
        <f t="shared" si="151"/>
        <v>0.91358717640217257</v>
      </c>
      <c r="AF293" s="26">
        <f t="shared" si="151"/>
        <v>0.80818837566313362</v>
      </c>
      <c r="AG293" s="26">
        <f t="shared" si="151"/>
        <v>0.7174275394089813</v>
      </c>
      <c r="AH293" s="26">
        <f t="shared" si="151"/>
        <v>0.64852190604297266</v>
      </c>
      <c r="AI293" s="26">
        <f t="shared" si="151"/>
        <v>0.59504378206974184</v>
      </c>
      <c r="AK293" s="26">
        <f t="shared" ref="AK293:AP293" si="152">IF(AK292="","",AK246*2.2046*AK292/10000)</f>
        <v>1.031297866964924</v>
      </c>
      <c r="AL293" s="26">
        <f t="shared" si="152"/>
        <v>0.91564350362824465</v>
      </c>
      <c r="AM293" s="26">
        <f t="shared" si="152"/>
        <v>0.81004350501252487</v>
      </c>
      <c r="AN293" s="26">
        <f t="shared" si="152"/>
        <v>0.71874000848422681</v>
      </c>
      <c r="AO293" s="26">
        <f t="shared" si="152"/>
        <v>0.64943234208452483</v>
      </c>
      <c r="AP293" s="26">
        <f t="shared" si="152"/>
        <v>0.59504378206974184</v>
      </c>
      <c r="AR293" s="26">
        <f t="shared" ref="AR293:AW293" si="153">IF(AR292="","",AR246*2.2046*AR292/10000)</f>
        <v>1.0336465498776712</v>
      </c>
      <c r="AS293" s="26">
        <f t="shared" si="153"/>
        <v>0.91769056924544823</v>
      </c>
      <c r="AT293" s="26">
        <f t="shared" si="153"/>
        <v>0.811885417357881</v>
      </c>
      <c r="AU293" s="26">
        <f t="shared" si="153"/>
        <v>0.71974881443106553</v>
      </c>
      <c r="AV293" s="26">
        <f t="shared" si="153"/>
        <v>0.65034042398237824</v>
      </c>
      <c r="AW293" s="26">
        <f t="shared" si="153"/>
        <v>0.59504378206974184</v>
      </c>
    </row>
    <row r="294" spans="1:49" x14ac:dyDescent="0.25">
      <c r="A294" s="15"/>
      <c r="B294" s="26"/>
      <c r="C294" s="26"/>
      <c r="D294" s="26"/>
      <c r="E294" s="26"/>
      <c r="F294" s="26"/>
      <c r="G294" s="26"/>
      <c r="H294" s="26"/>
      <c r="I294" s="26"/>
      <c r="J294" s="26"/>
      <c r="K294" s="26"/>
      <c r="L294" s="26"/>
      <c r="M294" s="26"/>
      <c r="N294" s="26"/>
      <c r="O294" s="26"/>
      <c r="P294" s="26"/>
      <c r="Q294" s="26"/>
      <c r="R294" s="26"/>
      <c r="S294" s="26"/>
      <c r="T294" s="26"/>
      <c r="U294" s="26"/>
      <c r="W294" s="26"/>
      <c r="X294" s="26"/>
      <c r="Y294" s="26"/>
      <c r="Z294" s="26"/>
      <c r="AA294" s="26"/>
      <c r="AB294" s="26"/>
      <c r="AD294" s="26"/>
      <c r="AE294" s="26"/>
      <c r="AF294" s="26"/>
      <c r="AG294" s="26"/>
      <c r="AH294" s="26"/>
      <c r="AI294" s="26"/>
      <c r="AK294" s="26"/>
      <c r="AL294" s="26"/>
      <c r="AM294" s="26"/>
      <c r="AN294" s="26"/>
      <c r="AO294" s="26"/>
      <c r="AP294" s="26"/>
      <c r="AR294" s="26"/>
      <c r="AS294" s="26"/>
      <c r="AT294" s="26"/>
      <c r="AU294" s="26"/>
      <c r="AV294" s="26"/>
      <c r="AW294" s="26"/>
    </row>
    <row r="295" spans="1:49" x14ac:dyDescent="0.25">
      <c r="B295" s="26"/>
      <c r="C295" s="26"/>
      <c r="D295" s="26"/>
      <c r="E295" s="26"/>
      <c r="F295" s="26"/>
      <c r="G295" s="26"/>
      <c r="H295" s="26"/>
      <c r="I295" s="26"/>
      <c r="J295" s="26"/>
      <c r="K295" s="26"/>
      <c r="L295" s="26"/>
      <c r="M295" s="26"/>
      <c r="N295" s="26"/>
      <c r="O295" s="26"/>
      <c r="P295" s="26"/>
      <c r="Q295" s="26"/>
      <c r="R295" s="26"/>
      <c r="S295" s="26"/>
      <c r="T295" s="26"/>
      <c r="U295" s="26"/>
      <c r="W295" s="26"/>
      <c r="X295" s="26"/>
      <c r="Y295" s="26"/>
      <c r="Z295" s="26"/>
      <c r="AA295" s="26"/>
      <c r="AB295" s="26"/>
      <c r="AD295" s="26"/>
      <c r="AE295" s="26"/>
      <c r="AF295" s="26"/>
      <c r="AG295" s="26"/>
      <c r="AH295" s="26"/>
      <c r="AI295" s="26"/>
      <c r="AK295" s="26"/>
      <c r="AL295" s="26"/>
      <c r="AM295" s="26"/>
      <c r="AN295" s="26"/>
      <c r="AO295" s="26"/>
      <c r="AP295" s="26"/>
      <c r="AR295" s="26"/>
      <c r="AS295" s="26"/>
      <c r="AT295" s="26"/>
      <c r="AU295" s="26"/>
      <c r="AV295" s="26"/>
      <c r="AW295" s="26"/>
    </row>
    <row r="296" spans="1:49" x14ac:dyDescent="0.25">
      <c r="A296" s="17" t="s">
        <v>50</v>
      </c>
      <c r="B296" s="294"/>
      <c r="C296" s="294"/>
      <c r="D296" s="294"/>
      <c r="E296" s="294"/>
      <c r="F296" s="294"/>
      <c r="G296" s="294"/>
      <c r="H296" s="295"/>
      <c r="I296" s="294"/>
      <c r="J296" s="294"/>
      <c r="K296" s="294"/>
      <c r="L296" s="294"/>
      <c r="M296" s="294"/>
      <c r="N296" s="294"/>
      <c r="O296" s="201"/>
      <c r="P296" s="294"/>
      <c r="Q296" s="294"/>
      <c r="R296" s="294"/>
      <c r="S296" s="294"/>
      <c r="T296" s="294"/>
      <c r="U296" s="294"/>
      <c r="W296" s="294"/>
      <c r="X296" s="294"/>
      <c r="Y296" s="294"/>
      <c r="Z296" s="294"/>
      <c r="AA296" s="294"/>
      <c r="AB296" s="294"/>
      <c r="AD296" s="294"/>
      <c r="AE296" s="294"/>
      <c r="AF296" s="294"/>
      <c r="AG296" s="294"/>
      <c r="AH296" s="294"/>
      <c r="AI296" s="294"/>
      <c r="AK296" s="294"/>
      <c r="AL296" s="294"/>
      <c r="AM296" s="294"/>
      <c r="AN296" s="294"/>
      <c r="AO296" s="294"/>
      <c r="AP296" s="294"/>
      <c r="AR296" s="294"/>
      <c r="AS296" s="294"/>
      <c r="AT296" s="294"/>
      <c r="AU296" s="294"/>
      <c r="AV296" s="294"/>
      <c r="AW296" s="294"/>
    </row>
    <row r="297" spans="1:49" x14ac:dyDescent="0.25">
      <c r="A297" s="3" t="s">
        <v>48</v>
      </c>
      <c r="B297" s="20">
        <f>SUMPRODUCT(B$9:B$229,Nutrients!$DA$8:$DA$228)/2000</f>
        <v>0.24855419080599378</v>
      </c>
      <c r="C297" s="20">
        <f>SUMPRODUCT(C$9:C$229,Nutrients!$DA$8:$DA$228)/2000</f>
        <v>0.24598837503388346</v>
      </c>
      <c r="D297" s="20">
        <f>SUMPRODUCT(D$9:D$229,Nutrients!$DA$8:$DA$228)/2000</f>
        <v>0.24037497861787219</v>
      </c>
      <c r="E297" s="20">
        <f>SUMPRODUCT(E$9:E$229,Nutrients!$DA$8:$DA$228)/2000</f>
        <v>0.23743614434297908</v>
      </c>
      <c r="F297" s="20">
        <f>SUMPRODUCT(F$9:F$229,Nutrients!$DA$8:$DA$228)/2000</f>
        <v>0.23330638337529597</v>
      </c>
      <c r="G297" s="20">
        <f>SUMPRODUCT(G$9:G$229,Nutrients!$DA$8:$DA$228)/2000</f>
        <v>0.2281455840399364</v>
      </c>
      <c r="H297" s="192"/>
      <c r="I297" s="20">
        <f>SUMPRODUCT(I$9:I$229,Nutrients!$DA$8:$DA$228)/2000</f>
        <v>0.29595419080599378</v>
      </c>
      <c r="J297" s="20">
        <f>SUMPRODUCT(J$9:J$229,Nutrients!$DA$8:$DA$228)/2000</f>
        <v>0.29338837503388343</v>
      </c>
      <c r="K297" s="20">
        <f>SUMPRODUCT(K$9:K$229,Nutrients!$DA$8:$DA$228)/2000</f>
        <v>0.28777497861787221</v>
      </c>
      <c r="L297" s="20">
        <f>SUMPRODUCT(L$9:L$229,Nutrients!$DA$8:$DA$228)/2000</f>
        <v>0.2848361443429791</v>
      </c>
      <c r="M297" s="20">
        <f>SUMPRODUCT(M$9:M$229,Nutrients!$DA$8:$DA$228)/2000</f>
        <v>0.28070638337529596</v>
      </c>
      <c r="N297" s="20">
        <f>SUMPRODUCT(N$9:N$229,Nutrients!$DA$8:$DA$228)/2000</f>
        <v>0.2281455840399364</v>
      </c>
      <c r="O297" s="237"/>
      <c r="P297" s="20">
        <f>SUMPRODUCT(P$9:P$229,Nutrients!$DA$8:$DA$228)/2000</f>
        <v>0.34335419080599378</v>
      </c>
      <c r="Q297" s="20">
        <f>SUMPRODUCT(Q$9:Q$229,Nutrients!$DA$8:$DA$228)/2000</f>
        <v>0.34078837503388343</v>
      </c>
      <c r="R297" s="20">
        <f>SUMPRODUCT(R$9:R$229,Nutrients!$DA$8:$DA$228)/2000</f>
        <v>0.33517497861787215</v>
      </c>
      <c r="S297" s="20">
        <f>SUMPRODUCT(S$9:S$229,Nutrients!$DA$8:$DA$228)/2000</f>
        <v>0.33223614434297905</v>
      </c>
      <c r="T297" s="20">
        <f>SUMPRODUCT(T$9:T$229,Nutrients!$DA$8:$DA$228)/2000</f>
        <v>0.32810638337529602</v>
      </c>
      <c r="U297" s="20">
        <f>SUMPRODUCT(U$9:U$229,Nutrients!$DA$8:$DA$228)/2000</f>
        <v>0.2281455840399364</v>
      </c>
      <c r="W297" s="20">
        <f>SUMPRODUCT(W$9:W$229,Nutrients!$DA$8:$DA$228)/2000</f>
        <v>0.39075419080599372</v>
      </c>
      <c r="X297" s="20">
        <f>SUMPRODUCT(X$9:X$229,Nutrients!$DA$8:$DA$228)/2000</f>
        <v>0.38818837503388348</v>
      </c>
      <c r="Y297" s="20">
        <f>SUMPRODUCT(Y$9:Y$229,Nutrients!$DA$8:$DA$228)/2000</f>
        <v>0.38257497861787215</v>
      </c>
      <c r="Z297" s="20">
        <f>SUMPRODUCT(Z$9:Z$229,Nutrients!$DA$8:$DA$228)/2000</f>
        <v>0.37963614434297904</v>
      </c>
      <c r="AA297" s="20">
        <f>SUMPRODUCT(AA$9:AA$229,Nutrients!$DA$8:$DA$228)/2000</f>
        <v>0.37550638337529596</v>
      </c>
      <c r="AB297" s="20">
        <f>SUMPRODUCT(AB$9:AB$229,Nutrients!$DA$8:$DA$228)/2000</f>
        <v>0.2281455840399364</v>
      </c>
      <c r="AD297" s="20">
        <f>SUMPRODUCT(AD$9:AD$229,Nutrients!$DA$8:$DA$228)/2000</f>
        <v>0.43815419080599377</v>
      </c>
      <c r="AE297" s="20">
        <f>SUMPRODUCT(AE$9:AE$229,Nutrients!$DA$8:$DA$228)/2000</f>
        <v>0.43558837503388342</v>
      </c>
      <c r="AF297" s="20">
        <f>SUMPRODUCT(AF$9:AF$229,Nutrients!$DA$8:$DA$228)/2000</f>
        <v>0.42997497861787221</v>
      </c>
      <c r="AG297" s="20">
        <f>SUMPRODUCT(AG$9:AG$229,Nutrients!$DA$8:$DA$228)/2000</f>
        <v>0.4270361443429791</v>
      </c>
      <c r="AH297" s="20">
        <f>SUMPRODUCT(AH$9:AH$229,Nutrients!$DA$8:$DA$228)/2000</f>
        <v>0.42290638337529601</v>
      </c>
      <c r="AI297" s="20">
        <f>SUMPRODUCT(AI$9:AI$229,Nutrients!$DA$8:$DA$228)/2000</f>
        <v>0.2281455840399364</v>
      </c>
      <c r="AK297" s="20">
        <f>SUMPRODUCT(AK$9:AK$229,Nutrients!$DA$8:$DA$228)/2000</f>
        <v>0.48555419080599382</v>
      </c>
      <c r="AL297" s="20">
        <f>SUMPRODUCT(AL$9:AL$229,Nutrients!$DA$8:$DA$228)/2000</f>
        <v>0.48298837503388348</v>
      </c>
      <c r="AM297" s="20">
        <f>SUMPRODUCT(AM$9:AM$229,Nutrients!$DA$8:$DA$228)/2000</f>
        <v>0.4773749786178722</v>
      </c>
      <c r="AN297" s="20">
        <f>SUMPRODUCT(AN$9:AN$229,Nutrients!$DA$8:$DA$228)/2000</f>
        <v>0.47443614434297909</v>
      </c>
      <c r="AO297" s="20">
        <f>SUMPRODUCT(AO$9:AO$229,Nutrients!$DA$8:$DA$228)/2000</f>
        <v>0.47030638337529601</v>
      </c>
      <c r="AP297" s="20">
        <f>SUMPRODUCT(AP$9:AP$229,Nutrients!$DA$8:$DA$228)/2000</f>
        <v>0.2281455840399364</v>
      </c>
      <c r="AR297" s="20">
        <f>SUMPRODUCT(AR$9:AR$229,Nutrients!$DA$8:$DA$228)/2000</f>
        <v>0.53295419080599382</v>
      </c>
      <c r="AS297" s="20">
        <f>SUMPRODUCT(AS$9:AS$229,Nutrients!$DA$8:$DA$228)/2000</f>
        <v>0.53038837503388359</v>
      </c>
      <c r="AT297" s="20">
        <f>SUMPRODUCT(AT$9:AT$229,Nutrients!$DA$8:$DA$228)/2000</f>
        <v>0.52477497861787226</v>
      </c>
      <c r="AU297" s="20">
        <f>SUMPRODUCT(AU$9:AU$229,Nutrients!$DA$8:$DA$228)/2000</f>
        <v>0.5218361443429792</v>
      </c>
      <c r="AV297" s="20">
        <f>SUMPRODUCT(AV$9:AV$229,Nutrients!$DA$8:$DA$228)/2000</f>
        <v>0.51770638337529606</v>
      </c>
      <c r="AW297" s="20">
        <f>SUMPRODUCT(AW$9:AW$229,Nutrients!$DA$8:$DA$228)/2000</f>
        <v>0.2281455840399364</v>
      </c>
    </row>
    <row r="298" spans="1:49" x14ac:dyDescent="0.25">
      <c r="A298" s="34" t="s">
        <v>391</v>
      </c>
      <c r="B298" s="23">
        <f t="shared" ref="B298:G298" si="154">IF(B$5="","",B245/(B246*2.2046)*10000)</f>
        <v>4.0434845516419928</v>
      </c>
      <c r="C298" s="23">
        <f t="shared" si="154"/>
        <v>3.5693197159555714</v>
      </c>
      <c r="D298" s="23">
        <f t="shared" si="154"/>
        <v>3.1528272192975133</v>
      </c>
      <c r="E298" s="23">
        <f t="shared" si="154"/>
        <v>2.8088586731646132</v>
      </c>
      <c r="F298" s="23">
        <f t="shared" si="154"/>
        <v>2.5736429013234892</v>
      </c>
      <c r="G298" s="23">
        <f t="shared" si="154"/>
        <v>2.4458370650662657</v>
      </c>
      <c r="H298" s="227"/>
      <c r="I298" s="23">
        <f t="shared" ref="I298:N298" si="155">IF(I$5="","",I245/(I246*2.2046)*10000)</f>
        <v>4.0271406360078883</v>
      </c>
      <c r="J298" s="23">
        <f t="shared" si="155"/>
        <v>3.5591326910626186</v>
      </c>
      <c r="K298" s="23">
        <f t="shared" si="155"/>
        <v>3.1476655759679191</v>
      </c>
      <c r="L298" s="23">
        <f t="shared" si="155"/>
        <v>2.8065813543979083</v>
      </c>
      <c r="M298" s="23">
        <f t="shared" si="155"/>
        <v>2.5719151300986591</v>
      </c>
      <c r="N298" s="23">
        <f t="shared" si="155"/>
        <v>2.4458370650662657</v>
      </c>
      <c r="O298" s="198"/>
      <c r="P298" s="23">
        <f t="shared" ref="P298:U298" si="156">IF(P$5="","",P245/(P246*2.2046)*10000)</f>
        <v>4.0173276330441174</v>
      </c>
      <c r="Q298" s="23">
        <f t="shared" si="156"/>
        <v>3.5533707848128109</v>
      </c>
      <c r="R298" s="23">
        <f t="shared" si="156"/>
        <v>3.146039731372555</v>
      </c>
      <c r="S298" s="23">
        <f t="shared" si="156"/>
        <v>2.8042398766879515</v>
      </c>
      <c r="T298" s="23">
        <f t="shared" si="156"/>
        <v>2.5725341953128291</v>
      </c>
      <c r="U298" s="23">
        <f t="shared" si="156"/>
        <v>2.4458370650662657</v>
      </c>
      <c r="W298" s="23">
        <f t="shared" ref="W298:AB298" si="157">IF(W$5="","",W245/(W246*2.2046)*10000)</f>
        <v>4.0074901404035028</v>
      </c>
      <c r="X298" s="23">
        <f t="shared" si="157"/>
        <v>3.5476091242178702</v>
      </c>
      <c r="Y298" s="23">
        <f t="shared" si="157"/>
        <v>3.1397711964568376</v>
      </c>
      <c r="Z298" s="23">
        <f t="shared" si="157"/>
        <v>2.8029693822445583</v>
      </c>
      <c r="AA298" s="23">
        <f t="shared" si="157"/>
        <v>2.5733656697428344</v>
      </c>
      <c r="AB298" s="23">
        <f t="shared" si="157"/>
        <v>2.4458370650662657</v>
      </c>
      <c r="AD298" s="23">
        <f t="shared" ref="AD298:AI298" si="158">IF(AD$5="","",AD245/(AD246*2.2046)*10000)</f>
        <v>3.9973739997934223</v>
      </c>
      <c r="AE298" s="23">
        <f t="shared" si="158"/>
        <v>3.5373999072847315</v>
      </c>
      <c r="AF298" s="23">
        <f t="shared" si="158"/>
        <v>3.1346802614833331</v>
      </c>
      <c r="AG298" s="23">
        <f t="shared" si="158"/>
        <v>2.8015258268850221</v>
      </c>
      <c r="AH298" s="23">
        <f t="shared" si="158"/>
        <v>2.5739180471005292</v>
      </c>
      <c r="AI298" s="23">
        <f t="shared" si="158"/>
        <v>2.4458370650662657</v>
      </c>
      <c r="AK298" s="23">
        <f t="shared" ref="AK298:AP298" si="159">IF(AK$5="","",AK245/(AK246*2.2046)*10000)</f>
        <v>4.0053826603255205</v>
      </c>
      <c r="AL298" s="23">
        <f t="shared" si="159"/>
        <v>3.5284976325215869</v>
      </c>
      <c r="AM298" s="23">
        <f t="shared" si="159"/>
        <v>3.1298595857027851</v>
      </c>
      <c r="AN298" s="23">
        <f t="shared" si="159"/>
        <v>2.7999113454395377</v>
      </c>
      <c r="AO298" s="23">
        <f t="shared" si="159"/>
        <v>2.5745594546283517</v>
      </c>
      <c r="AP298" s="23">
        <f t="shared" si="159"/>
        <v>2.4458370650662657</v>
      </c>
      <c r="AR298" s="23">
        <f t="shared" ref="AR298:AW298" si="160">IF(AR$5="","",AR245/(AR246*2.2046)*10000)</f>
        <v>3.9884878297030588</v>
      </c>
      <c r="AS298" s="23">
        <f t="shared" si="160"/>
        <v>3.5196966993008902</v>
      </c>
      <c r="AT298" s="23">
        <f t="shared" si="160"/>
        <v>3.1259689793167209</v>
      </c>
      <c r="AU298" s="23">
        <f t="shared" si="160"/>
        <v>2.7987690738800883</v>
      </c>
      <c r="AV298" s="23">
        <f t="shared" si="160"/>
        <v>2.5752311596139394</v>
      </c>
      <c r="AW298" s="23">
        <f t="shared" si="160"/>
        <v>2.4458370650662657</v>
      </c>
    </row>
    <row r="299" spans="1:49" x14ac:dyDescent="0.25">
      <c r="A299" s="34" t="s">
        <v>392</v>
      </c>
      <c r="B299" s="23">
        <f t="shared" ref="B299:G299" si="161">IF(B$5="","",B236/(B246*2.2046)*10000)</f>
        <v>3.6063972315389758</v>
      </c>
      <c r="C299" s="23">
        <f t="shared" si="161"/>
        <v>3.1769527308876992</v>
      </c>
      <c r="D299" s="23">
        <f t="shared" si="161"/>
        <v>2.7987491648675547</v>
      </c>
      <c r="E299" s="23">
        <f t="shared" si="161"/>
        <v>2.4869234391841561</v>
      </c>
      <c r="F299" s="23">
        <f t="shared" si="161"/>
        <v>2.2730285254980038</v>
      </c>
      <c r="G299" s="23">
        <f t="shared" si="161"/>
        <v>2.1560010424593594</v>
      </c>
      <c r="H299" s="227"/>
      <c r="I299" s="23">
        <f t="shared" ref="I299:N299" si="162">IF(I$5="","",I236/(I246*2.2046)*10000)</f>
        <v>3.568521744015936</v>
      </c>
      <c r="J299" s="23">
        <f t="shared" si="162"/>
        <v>3.1447283706055846</v>
      </c>
      <c r="K299" s="23">
        <f t="shared" si="162"/>
        <v>2.7711468540925082</v>
      </c>
      <c r="L299" s="23">
        <f t="shared" si="162"/>
        <v>2.461986773506573</v>
      </c>
      <c r="M299" s="23">
        <f t="shared" si="162"/>
        <v>2.2486463465723441</v>
      </c>
      <c r="N299" s="23">
        <f t="shared" si="162"/>
        <v>2.1560010424593594</v>
      </c>
      <c r="O299" s="198"/>
      <c r="P299" s="23">
        <f t="shared" ref="P299:U299" si="163">IF(P$5="","",P236/(P246*2.2046)*10000)</f>
        <v>3.5366555161131203</v>
      </c>
      <c r="Q299" s="23">
        <f t="shared" si="163"/>
        <v>3.1166087857679101</v>
      </c>
      <c r="R299" s="23">
        <f t="shared" si="163"/>
        <v>2.7468417387226545</v>
      </c>
      <c r="S299" s="23">
        <f t="shared" si="163"/>
        <v>2.4371084229149242</v>
      </c>
      <c r="T299" s="23">
        <f t="shared" si="163"/>
        <v>2.2265107357734371</v>
      </c>
      <c r="U299" s="23">
        <f t="shared" si="163"/>
        <v>2.1560010424593594</v>
      </c>
      <c r="W299" s="23">
        <f t="shared" ref="W299:AB299" si="164">IF(W$5="","",W236/(W246*2.2046)*10000)</f>
        <v>3.5048704216877544</v>
      </c>
      <c r="X299" s="23">
        <f t="shared" si="164"/>
        <v>3.0885903927607021</v>
      </c>
      <c r="Y299" s="23">
        <f t="shared" si="164"/>
        <v>2.7184440522435178</v>
      </c>
      <c r="Z299" s="23">
        <f t="shared" si="164"/>
        <v>2.4133034328473397</v>
      </c>
      <c r="AA299" s="23">
        <f t="shared" si="164"/>
        <v>2.2046733160336278</v>
      </c>
      <c r="AB299" s="23">
        <f t="shared" si="164"/>
        <v>2.1560010424593594</v>
      </c>
      <c r="AD299" s="23">
        <f t="shared" ref="AD299:AI299" si="165">IF(AD$5="","",AD236/(AD246*2.2046)*10000)</f>
        <v>3.4729368542905035</v>
      </c>
      <c r="AE299" s="23">
        <f t="shared" si="165"/>
        <v>3.0566563930072048</v>
      </c>
      <c r="AF299" s="23">
        <f t="shared" si="165"/>
        <v>2.6912088386894202</v>
      </c>
      <c r="AG299" s="23">
        <f t="shared" si="165"/>
        <v>2.3894594708947174</v>
      </c>
      <c r="AH299" s="23">
        <f t="shared" si="165"/>
        <v>2.1826721884408915</v>
      </c>
      <c r="AI299" s="23">
        <f t="shared" si="165"/>
        <v>2.1560010424593594</v>
      </c>
      <c r="AK299" s="23">
        <f t="shared" ref="AK299:AP299" si="166">IF(AK$5="","",AK236/(AK246*2.2046)*10000)</f>
        <v>3.4574765616637064</v>
      </c>
      <c r="AL299" s="23">
        <f t="shared" si="166"/>
        <v>3.0260050544100583</v>
      </c>
      <c r="AM299" s="23">
        <f t="shared" si="166"/>
        <v>2.6643441184453724</v>
      </c>
      <c r="AN299" s="23">
        <f t="shared" si="166"/>
        <v>2.3655427478636613</v>
      </c>
      <c r="AO299" s="23">
        <f t="shared" si="166"/>
        <v>2.1608155685985819</v>
      </c>
      <c r="AP299" s="23">
        <f t="shared" si="166"/>
        <v>2.1560010424593594</v>
      </c>
      <c r="AR299" s="23">
        <f t="shared" ref="AR299:AW299" si="167">IF(AR$5="","",AR236/(AR246*2.2046)*10000)</f>
        <v>3.4196236800367767</v>
      </c>
      <c r="AS299" s="23">
        <f t="shared" si="167"/>
        <v>2.9955459451900488</v>
      </c>
      <c r="AT299" s="23">
        <f t="shared" si="167"/>
        <v>2.6384214173911289</v>
      </c>
      <c r="AU299" s="23">
        <f t="shared" si="167"/>
        <v>2.3421079623562377</v>
      </c>
      <c r="AV299" s="23">
        <f t="shared" si="167"/>
        <v>2.1390479597077561</v>
      </c>
      <c r="AW299" s="23">
        <f t="shared" si="167"/>
        <v>2.1560010424593594</v>
      </c>
    </row>
    <row r="300" spans="1:49" x14ac:dyDescent="0.25">
      <c r="A300" s="34" t="s">
        <v>151</v>
      </c>
      <c r="B300" s="23">
        <f t="shared" ref="B300:G300" si="168">B245/B253*100</f>
        <v>6.4370478420696102</v>
      </c>
      <c r="C300" s="23">
        <f t="shared" si="168"/>
        <v>6.3776088080946991</v>
      </c>
      <c r="D300" s="23">
        <f t="shared" si="168"/>
        <v>6.2955955211424843</v>
      </c>
      <c r="E300" s="23">
        <f t="shared" si="168"/>
        <v>6.2166350165421349</v>
      </c>
      <c r="F300" s="23">
        <f t="shared" si="168"/>
        <v>6.1431562205295167</v>
      </c>
      <c r="G300" s="23">
        <f t="shared" si="168"/>
        <v>6.0778386851000716</v>
      </c>
      <c r="H300" s="227"/>
      <c r="I300" s="23">
        <f t="shared" ref="I300:N300" si="169">I245/I253*100</f>
        <v>6.3613201895694003</v>
      </c>
      <c r="J300" s="23">
        <f t="shared" si="169"/>
        <v>6.2944363705319484</v>
      </c>
      <c r="K300" s="23">
        <f t="shared" si="169"/>
        <v>6.2048511931365748</v>
      </c>
      <c r="L300" s="23">
        <f t="shared" si="169"/>
        <v>6.1180516282727391</v>
      </c>
      <c r="M300" s="23">
        <f t="shared" si="169"/>
        <v>6.0386705334628612</v>
      </c>
      <c r="N300" s="23">
        <f t="shared" si="169"/>
        <v>6.0778386851000716</v>
      </c>
      <c r="O300" s="198"/>
      <c r="P300" s="23">
        <f t="shared" ref="P300:U300" si="170">P245/P253*100</f>
        <v>6.2877555911951264</v>
      </c>
      <c r="Q300" s="23">
        <f t="shared" si="170"/>
        <v>6.2136953289551</v>
      </c>
      <c r="R300" s="23">
        <f t="shared" si="170"/>
        <v>6.1174174812790856</v>
      </c>
      <c r="S300" s="23">
        <f t="shared" si="170"/>
        <v>6.0229434291242114</v>
      </c>
      <c r="T300" s="23">
        <f t="shared" si="170"/>
        <v>5.9369179672319001</v>
      </c>
      <c r="U300" s="23">
        <f t="shared" si="170"/>
        <v>6.0778386851000716</v>
      </c>
      <c r="W300" s="23">
        <f t="shared" ref="W300:AB300" si="171">W245/W253*100</f>
        <v>6.215824500458675</v>
      </c>
      <c r="X300" s="23">
        <f t="shared" si="171"/>
        <v>6.1351912826698207</v>
      </c>
      <c r="Y300" s="23">
        <f t="shared" si="171"/>
        <v>6.0315172554482519</v>
      </c>
      <c r="Z300" s="23">
        <f t="shared" si="171"/>
        <v>5.9307064950822896</v>
      </c>
      <c r="AA300" s="23">
        <f t="shared" si="171"/>
        <v>5.8385605737600788</v>
      </c>
      <c r="AB300" s="23">
        <f t="shared" si="171"/>
        <v>6.0778386851000716</v>
      </c>
      <c r="AD300" s="23">
        <f t="shared" ref="AD300:AI300" si="172">AD245/AD253*100</f>
        <v>6.1454500580958484</v>
      </c>
      <c r="AE300" s="23">
        <f t="shared" si="172"/>
        <v>6.0578623711016304</v>
      </c>
      <c r="AF300" s="23">
        <f t="shared" si="172"/>
        <v>5.9486216150848366</v>
      </c>
      <c r="AG300" s="23">
        <f t="shared" si="172"/>
        <v>5.8399701548793512</v>
      </c>
      <c r="AH300" s="23">
        <f t="shared" si="172"/>
        <v>5.7443954969125954</v>
      </c>
      <c r="AI300" s="23">
        <f t="shared" si="172"/>
        <v>6.0778386851000716</v>
      </c>
      <c r="AK300" s="23">
        <f t="shared" ref="AK300:AP300" si="173">AK245/AK253*100</f>
        <v>6.0797117772838067</v>
      </c>
      <c r="AL300" s="23">
        <f t="shared" si="173"/>
        <v>5.9826280100744187</v>
      </c>
      <c r="AM300" s="23">
        <f t="shared" si="173"/>
        <v>5.8660368980773914</v>
      </c>
      <c r="AN300" s="23">
        <f t="shared" si="173"/>
        <v>5.7526680838157604</v>
      </c>
      <c r="AO300" s="23">
        <f t="shared" si="173"/>
        <v>5.6536665985135492</v>
      </c>
      <c r="AP300" s="23">
        <f t="shared" si="173"/>
        <v>6.0778386851000716</v>
      </c>
      <c r="AR300" s="23">
        <f t="shared" ref="AR300:AW300" si="174">AR245/AR253*100</f>
        <v>6.0113331085290902</v>
      </c>
      <c r="AS300" s="23">
        <f t="shared" si="174"/>
        <v>5.9092195025030776</v>
      </c>
      <c r="AT300" s="23">
        <f t="shared" si="174"/>
        <v>5.7861009714981027</v>
      </c>
      <c r="AU300" s="23">
        <f t="shared" si="174"/>
        <v>5.668397853973639</v>
      </c>
      <c r="AV300" s="23">
        <f t="shared" si="174"/>
        <v>5.5661767727775286</v>
      </c>
      <c r="AW300" s="23">
        <f t="shared" si="174"/>
        <v>6.0778386851000716</v>
      </c>
    </row>
    <row r="301" spans="1:49" x14ac:dyDescent="0.25">
      <c r="A301" t="s">
        <v>56</v>
      </c>
      <c r="B301" s="22">
        <f>(SUMPRODUCT(B$9:B$229,Nutrients!$K$8:$K$228)+(IF($A$7=Nutrients!$B$8,Nutrients!$K$8,Nutrients!$K$9)*B$7)+(((IF($A$8=Nutrients!$B$79,Nutrients!$K$79,(IF($A$8=Nutrients!$B$77,Nutrients!$K$77,Nutrients!$K$78)))))*B$8))/2000</f>
        <v>2.7726851771066428</v>
      </c>
      <c r="C301" s="22">
        <f>(SUMPRODUCT(C$9:C$229,Nutrients!$K$8:$K$228)+(IF($A$7=Nutrients!$B$8,Nutrients!$K$8,Nutrients!$K$9)*C$7)+(((IF($A$8=Nutrients!$B$79,Nutrients!$K$79,(IF($A$8=Nutrients!$B$77,Nutrients!$K$77,Nutrients!$K$78)))))*C$8))/2000</f>
        <v>2.8895248185748268</v>
      </c>
      <c r="D301" s="22">
        <f>(SUMPRODUCT(D$9:D$229,Nutrients!$K$8:$K$228)+(IF($A$7=Nutrients!$B$8,Nutrients!$K$8,Nutrients!$K$9)*D$7)+(((IF($A$8=Nutrients!$B$79,Nutrients!$K$79,(IF($A$8=Nutrients!$B$77,Nutrients!$K$77,Nutrients!$K$78)))))*D$8))/2000</f>
        <v>2.9911114387020761</v>
      </c>
      <c r="E301" s="22">
        <f>(SUMPRODUCT(E$9:E$229,Nutrients!$K$8:$K$228)+(IF($A$7=Nutrients!$B$8,Nutrients!$K$8,Nutrients!$K$9)*E$7)+(((IF($A$8=Nutrients!$B$79,Nutrients!$K$79,(IF($A$8=Nutrients!$B$77,Nutrients!$K$77,Nutrients!$K$78)))))*E$8))/2000</f>
        <v>3.0762951752970258</v>
      </c>
      <c r="F301" s="22">
        <f>(SUMPRODUCT(F$9:F$229,Nutrients!$K$8:$K$228)+(IF($A$7=Nutrients!$B$8,Nutrients!$K$8,Nutrients!$K$9)*F$7)+(((IF($A$8=Nutrients!$B$79,Nutrients!$K$79,(IF($A$8=Nutrients!$B$77,Nutrients!$K$77,Nutrients!$K$78)))))*F$8))/2000</f>
        <v>3.1350305214620882</v>
      </c>
      <c r="G301" s="22">
        <f>(SUMPRODUCT(G$9:G$229,Nutrients!$K$8:$K$228)+(IF($A$7=Nutrients!$B$8,Nutrients!$K$8,Nutrients!$K$9)*G$7)+(((IF($A$8=Nutrients!$B$79,Nutrients!$K$79,(IF($A$8=Nutrients!$B$77,Nutrients!$K$77,Nutrients!$K$78)))))*G$8))/2000</f>
        <v>3.1635989425624271</v>
      </c>
      <c r="H301" s="228"/>
      <c r="I301" s="22">
        <f>(SUMPRODUCT(I$9:I$229,Nutrients!$K$8:$K$228)+(IF($A$7=Nutrients!$B$8,Nutrients!$K$8,Nutrients!$K$9)*I$7)+(((IF($A$8=Nutrients!$B$79,Nutrients!$K$79,(IF($A$8=Nutrients!$B$77,Nutrients!$K$77,Nutrients!$K$78)))))*I$8))/2000</f>
        <v>3.2374664983793715</v>
      </c>
      <c r="J301" s="22">
        <f>(SUMPRODUCT(J$9:J$229,Nutrients!$K$8:$K$228)+(IF($A$7=Nutrients!$B$8,Nutrients!$K$8,Nutrients!$K$9)*J$7)+(((IF($A$8=Nutrients!$B$79,Nutrients!$K$79,(IF($A$8=Nutrients!$B$77,Nutrients!$K$77,Nutrients!$K$78)))))*J$8))/2000</f>
        <v>3.3530694762761306</v>
      </c>
      <c r="K301" s="22">
        <f>(SUMPRODUCT(K$9:K$229,Nutrients!$K$8:$K$228)+(IF($A$7=Nutrients!$B$8,Nutrients!$K$8,Nutrients!$K$9)*K$7)+(((IF($A$8=Nutrients!$B$79,Nutrients!$K$79,(IF($A$8=Nutrients!$B$77,Nutrients!$K$77,Nutrients!$K$78)))))*K$8))/2000</f>
        <v>3.4536423514779937</v>
      </c>
      <c r="L301" s="22">
        <f>(SUMPRODUCT(L$9:L$229,Nutrients!$K$8:$K$228)+(IF($A$7=Nutrients!$B$8,Nutrients!$K$8,Nutrients!$K$9)*L$7)+(((IF($A$8=Nutrients!$B$79,Nutrients!$K$79,(IF($A$8=Nutrients!$B$77,Nutrients!$K$77,Nutrients!$K$78)))))*L$8))/2000</f>
        <v>3.5389416573870505</v>
      </c>
      <c r="M301" s="22">
        <f>(SUMPRODUCT(M$9:M$229,Nutrients!$K$8:$K$228)+(IF($A$7=Nutrients!$B$8,Nutrients!$K$8,Nutrients!$K$9)*M$7)+(((IF($A$8=Nutrients!$B$79,Nutrients!$K$79,(IF($A$8=Nutrients!$B$77,Nutrients!$K$77,Nutrients!$K$78)))))*M$8))/2000</f>
        <v>3.5974806488766933</v>
      </c>
      <c r="N301" s="22">
        <f>(SUMPRODUCT(N$9:N$229,Nutrients!$K$8:$K$228)+(IF($A$7=Nutrients!$B$8,Nutrients!$K$8,Nutrients!$K$9)*N$7)+(((IF($A$8=Nutrients!$B$79,Nutrients!$K$79,(IF($A$8=Nutrients!$B$77,Nutrients!$K$77,Nutrients!$K$78)))))*N$8))/2000</f>
        <v>3.1635989425624271</v>
      </c>
      <c r="O301" s="235"/>
      <c r="P301" s="22">
        <f>(SUMPRODUCT(P$9:P$229,Nutrients!$K$8:$K$228)+(IF($A$7=Nutrients!$B$8,Nutrients!$K$8,Nutrients!$K$9)*P$7)+(((IF($A$8=Nutrients!$B$79,Nutrients!$K$79,(IF($A$8=Nutrients!$B$77,Nutrients!$K$77,Nutrients!$K$78)))))*P$8))/2000</f>
        <v>3.7006160810761815</v>
      </c>
      <c r="Q301" s="22">
        <f>(SUMPRODUCT(Q$9:Q$229,Nutrients!$K$8:$K$228)+(IF($A$7=Nutrients!$B$8,Nutrients!$K$8,Nutrients!$K$9)*Q$7)+(((IF($A$8=Nutrients!$B$79,Nutrients!$K$79,(IF($A$8=Nutrients!$B$77,Nutrients!$K$77,Nutrients!$K$78)))))*Q$8))/2000</f>
        <v>3.8154925943751441</v>
      </c>
      <c r="R301" s="22">
        <f>(SUMPRODUCT(R$9:R$229,Nutrients!$K$8:$K$228)+(IF($A$7=Nutrients!$B$8,Nutrients!$K$8,Nutrients!$K$9)*R$7)+(((IF($A$8=Nutrients!$B$79,Nutrients!$K$79,(IF($A$8=Nutrients!$B$77,Nutrients!$K$77,Nutrients!$K$78)))))*R$8))/2000</f>
        <v>3.915317010458208</v>
      </c>
      <c r="S301" s="22">
        <f>(SUMPRODUCT(S$9:S$229,Nutrients!$K$8:$K$228)+(IF($A$7=Nutrients!$B$8,Nutrients!$K$8,Nutrients!$K$9)*S$7)+(((IF($A$8=Nutrients!$B$79,Nutrients!$K$79,(IF($A$8=Nutrients!$B$77,Nutrients!$K$77,Nutrients!$K$78)))))*S$8))/2000</f>
        <v>4.0009698565147911</v>
      </c>
      <c r="T301" s="22">
        <f>(SUMPRODUCT(T$9:T$229,Nutrients!$K$8:$K$228)+(IF($A$7=Nutrients!$B$8,Nutrients!$K$8,Nutrients!$K$9)*T$7)+(((IF($A$8=Nutrients!$B$79,Nutrients!$K$79,(IF($A$8=Nutrients!$B$77,Nutrients!$K$77,Nutrients!$K$78)))))*T$8))/2000</f>
        <v>4.058579879001841</v>
      </c>
      <c r="U301" s="22">
        <f>(SUMPRODUCT(U$9:U$229,Nutrients!$K$8:$K$228)+(IF($A$7=Nutrients!$B$8,Nutrients!$K$8,Nutrients!$K$9)*U$7)+(((IF($A$8=Nutrients!$B$79,Nutrients!$K$79,(IF($A$8=Nutrients!$B$77,Nutrients!$K$77,Nutrients!$K$78)))))*U$8))/2000</f>
        <v>3.1635989425624271</v>
      </c>
      <c r="W301" s="22">
        <f>(SUMPRODUCT(W$9:W$229,Nutrients!$K$8:$K$228)+(IF($A$7=Nutrients!$B$8,Nutrients!$K$8,Nutrients!$K$9)*W$7)+(((IF($A$8=Nutrients!$B$79,Nutrients!$K$79,(IF($A$8=Nutrients!$B$77,Nutrients!$K$77,Nutrients!$K$78)))))*W$8))/2000</f>
        <v>4.1638259379065925</v>
      </c>
      <c r="X301" s="22">
        <f>(SUMPRODUCT(X$9:X$229,Nutrients!$K$8:$K$228)+(IF($A$7=Nutrients!$B$8,Nutrients!$K$8,Nutrients!$K$9)*X$7)+(((IF($A$8=Nutrients!$B$79,Nutrients!$K$79,(IF($A$8=Nutrients!$B$77,Nutrients!$K$77,Nutrients!$K$78)))))*X$8))/2000</f>
        <v>4.2779921614239775</v>
      </c>
      <c r="Y301" s="22">
        <f>(SUMPRODUCT(Y$9:Y$229,Nutrients!$K$8:$K$228)+(IF($A$7=Nutrients!$B$8,Nutrients!$K$8,Nutrients!$K$9)*Y$7)+(((IF($A$8=Nutrients!$B$79,Nutrients!$K$79,(IF($A$8=Nutrients!$B$77,Nutrients!$K$77,Nutrients!$K$78)))))*Y$8))/2000</f>
        <v>4.3781378716224406</v>
      </c>
      <c r="Z301" s="22">
        <f>(SUMPRODUCT(Z$9:Z$229,Nutrients!$K$8:$K$228)+(IF($A$7=Nutrients!$B$8,Nutrients!$K$8,Nutrients!$K$9)*Z$7)+(((IF($A$8=Nutrients!$B$79,Nutrients!$K$79,(IF($A$8=Nutrients!$B$77,Nutrients!$K$77,Nutrients!$K$78)))))*Z$8))/2000</f>
        <v>4.4626857616151412</v>
      </c>
      <c r="AA301" s="22">
        <f>(SUMPRODUCT(AA$9:AA$229,Nutrients!$K$8:$K$228)+(IF($A$7=Nutrients!$B$8,Nutrients!$K$8,Nutrients!$K$9)*AA$7)+(((IF($A$8=Nutrients!$B$79,Nutrients!$K$79,(IF($A$8=Nutrients!$B$77,Nutrients!$K$77,Nutrients!$K$78)))))*AA$8))/2000</f>
        <v>4.5195898577894011</v>
      </c>
      <c r="AB301" s="22">
        <f>(SUMPRODUCT(AB$9:AB$229,Nutrients!$K$8:$K$228)+(IF($A$7=Nutrients!$B$8,Nutrients!$K$8,Nutrients!$K$9)*AB$7)+(((IF($A$8=Nutrients!$B$79,Nutrients!$K$79,(IF($A$8=Nutrients!$B$77,Nutrients!$K$77,Nutrients!$K$78)))))*AB$8))/2000</f>
        <v>3.1635989425624271</v>
      </c>
      <c r="AD301" s="22">
        <f>(SUMPRODUCT(AD$9:AD$229,Nutrients!$K$8:$K$228)+(IF($A$7=Nutrients!$B$8,Nutrients!$K$8,Nutrients!$K$9)*AD$7)+(((IF($A$8=Nutrients!$B$79,Nutrients!$K$79,(IF($A$8=Nutrients!$B$77,Nutrients!$K$77,Nutrients!$K$78)))))*AD$8))/2000</f>
        <v>4.627085709763203</v>
      </c>
      <c r="AE301" s="22">
        <f>(SUMPRODUCT(AE$9:AE$229,Nutrients!$K$8:$K$228)+(IF($A$7=Nutrients!$B$8,Nutrients!$K$8,Nutrients!$K$9)*AE$7)+(((IF($A$8=Nutrients!$B$79,Nutrients!$K$79,(IF($A$8=Nutrients!$B$77,Nutrients!$K$77,Nutrients!$K$78)))))*AE$8))/2000</f>
        <v>4.7415256861098412</v>
      </c>
      <c r="AF301" s="22">
        <f>(SUMPRODUCT(AF$9:AF$229,Nutrients!$K$8:$K$228)+(IF($A$7=Nutrients!$B$8,Nutrients!$K$8,Nutrients!$K$9)*AF$7)+(((IF($A$8=Nutrients!$B$79,Nutrients!$K$79,(IF($A$8=Nutrients!$B$77,Nutrients!$K$77,Nutrients!$K$78)))))*AF$8))/2000</f>
        <v>4.8407029897753064</v>
      </c>
      <c r="AG301" s="22">
        <f>(SUMPRODUCT(AG$9:AG$229,Nutrients!$K$8:$K$228)+(IF($A$7=Nutrients!$B$8,Nutrients!$K$8,Nutrients!$K$9)*AG$7)+(((IF($A$8=Nutrients!$B$79,Nutrients!$K$79,(IF($A$8=Nutrients!$B$77,Nutrients!$K$77,Nutrients!$K$78)))))*AG$8))/2000</f>
        <v>4.9240709382079215</v>
      </c>
      <c r="AH301" s="22">
        <f>(SUMPRODUCT(AH$9:AH$229,Nutrients!$K$8:$K$228)+(IF($A$7=Nutrients!$B$8,Nutrients!$K$8,Nutrients!$K$9)*AH$7)+(((IF($A$8=Nutrients!$B$79,Nutrients!$K$79,(IF($A$8=Nutrients!$B$77,Nutrients!$K$77,Nutrients!$K$78)))))*AH$8))/2000</f>
        <v>4.9789179964524166</v>
      </c>
      <c r="AI301" s="22">
        <f>(SUMPRODUCT(AI$9:AI$229,Nutrients!$K$8:$K$228)+(IF($A$7=Nutrients!$B$8,Nutrients!$K$8,Nutrients!$K$9)*AI$7)+(((IF($A$8=Nutrients!$B$79,Nutrients!$K$79,(IF($A$8=Nutrients!$B$77,Nutrients!$K$77,Nutrients!$K$78)))))*AI$8))/2000</f>
        <v>3.1635989425624271</v>
      </c>
      <c r="AK301" s="22">
        <f>(SUMPRODUCT(AK$9:AK$229,Nutrients!$K$8:$K$228)+(IF($A$7=Nutrients!$B$8,Nutrients!$K$8,Nutrients!$K$9)*AK$7)+(((IF($A$8=Nutrients!$B$79,Nutrients!$K$79,(IF($A$8=Nutrients!$B$77,Nutrients!$K$77,Nutrients!$K$78)))))*AK$8))/2000</f>
        <v>5.0860537389361369</v>
      </c>
      <c r="AL301" s="22">
        <f>(SUMPRODUCT(AL$9:AL$229,Nutrients!$K$8:$K$228)+(IF($A$7=Nutrients!$B$8,Nutrients!$K$8,Nutrients!$K$9)*AL$7)+(((IF($A$8=Nutrients!$B$79,Nutrients!$K$79,(IF($A$8=Nutrients!$B$77,Nutrients!$K$77,Nutrients!$K$78)))))*AL$8))/2000</f>
        <v>5.2047883313982641</v>
      </c>
      <c r="AM301" s="22">
        <f>(SUMPRODUCT(AM$9:AM$229,Nutrients!$K$8:$K$228)+(IF($A$7=Nutrients!$B$8,Nutrients!$K$8,Nutrients!$K$9)*AM$7)+(((IF($A$8=Nutrients!$B$79,Nutrients!$K$79,(IF($A$8=Nutrients!$B$77,Nutrients!$K$77,Nutrients!$K$78)))))*AM$8))/2000</f>
        <v>5.302760381398449</v>
      </c>
      <c r="AN301" s="22">
        <f>(SUMPRODUCT(AN$9:AN$229,Nutrients!$K$8:$K$228)+(IF($A$7=Nutrients!$B$8,Nutrients!$K$8,Nutrients!$K$9)*AN$7)+(((IF($A$8=Nutrients!$B$79,Nutrients!$K$79,(IF($A$8=Nutrients!$B$77,Nutrients!$K$77,Nutrients!$K$78)))))*AN$8))/2000</f>
        <v>5.3842497904616557</v>
      </c>
      <c r="AO301" s="22">
        <f>(SUMPRODUCT(AO$9:AO$229,Nutrients!$K$8:$K$228)+(IF($A$7=Nutrients!$B$8,Nutrients!$K$8,Nutrients!$K$9)*AO$7)+(((IF($A$8=Nutrients!$B$79,Nutrients!$K$79,(IF($A$8=Nutrients!$B$77,Nutrients!$K$77,Nutrients!$K$78)))))*AO$8))/2000</f>
        <v>5.4373595954376208</v>
      </c>
      <c r="AP301" s="22">
        <f>(SUMPRODUCT(AP$9:AP$229,Nutrients!$K$8:$K$228)+(IF($A$7=Nutrients!$B$8,Nutrients!$K$8,Nutrients!$K$9)*AP$7)+(((IF($A$8=Nutrients!$B$79,Nutrients!$K$79,(IF($A$8=Nutrients!$B$77,Nutrients!$K$77,Nutrients!$K$78)))))*AP$8))/2000</f>
        <v>3.1635989425624271</v>
      </c>
      <c r="AR301" s="22">
        <f>(SUMPRODUCT(AR$9:AR$229,Nutrients!$K$8:$K$228)+(IF($A$7=Nutrients!$B$8,Nutrients!$K$8,Nutrients!$K$9)*AR$7)+(((IF($A$8=Nutrients!$B$79,Nutrients!$K$79,(IF($A$8=Nutrients!$B$77,Nutrients!$K$77,Nutrients!$K$78)))))*AR$8))/2000</f>
        <v>5.5509565191772641</v>
      </c>
      <c r="AS301" s="22">
        <f>(SUMPRODUCT(AS$9:AS$229,Nutrients!$K$8:$K$228)+(IF($A$7=Nutrients!$B$8,Nutrients!$K$8,Nutrients!$K$9)*AS$7)+(((IF($A$8=Nutrients!$B$79,Nutrients!$K$79,(IF($A$8=Nutrients!$B$77,Nutrients!$K$77,Nutrients!$K$78)))))*AS$8))/2000</f>
        <v>5.6680087399097658</v>
      </c>
      <c r="AT301" s="22">
        <f>(SUMPRODUCT(AT$9:AT$229,Nutrients!$K$8:$K$228)+(IF($A$7=Nutrients!$B$8,Nutrients!$K$8,Nutrients!$K$9)*AT$7)+(((IF($A$8=Nutrients!$B$79,Nutrients!$K$79,(IF($A$8=Nutrients!$B$77,Nutrients!$K$77,Nutrients!$K$78)))))*AT$8))/2000</f>
        <v>5.7645624352572282</v>
      </c>
      <c r="AU301" s="22">
        <f>(SUMPRODUCT(AU$9:AU$229,Nutrients!$K$8:$K$228)+(IF($A$7=Nutrients!$B$8,Nutrients!$K$8,Nutrients!$K$9)*AU$7)+(((IF($A$8=Nutrients!$B$79,Nutrients!$K$79,(IF($A$8=Nutrients!$B$77,Nutrients!$K$77,Nutrients!$K$78)))))*AU$8))/2000</f>
        <v>5.8430281595229596</v>
      </c>
      <c r="AV301" s="22">
        <f>(SUMPRODUCT(AV$9:AV$229,Nutrients!$K$8:$K$228)+(IF($A$7=Nutrients!$B$8,Nutrients!$K$8,Nutrients!$K$9)*AV$7)+(((IF($A$8=Nutrients!$B$79,Nutrients!$K$79,(IF($A$8=Nutrients!$B$77,Nutrients!$K$77,Nutrients!$K$78)))))*AV$8))/2000</f>
        <v>5.8958109757210444</v>
      </c>
      <c r="AW301" s="22">
        <f>(SUMPRODUCT(AW$9:AW$229,Nutrients!$K$8:$K$228)+(IF($A$7=Nutrients!$B$8,Nutrients!$K$8,Nutrients!$K$9)*AW$7)+(((IF($A$8=Nutrients!$B$79,Nutrients!$K$79,(IF($A$8=Nutrients!$B$77,Nutrients!$K$77,Nutrients!$K$78)))))*AW$8))/2000</f>
        <v>3.1635989425624271</v>
      </c>
    </row>
    <row r="302" spans="1:49" x14ac:dyDescent="0.25">
      <c r="A302" t="s">
        <v>53</v>
      </c>
      <c r="B302" s="22">
        <f>(SUMPRODUCT(B$9:B$229,Nutrients!$J$8:$J$228)+(IF($A$7=Nutrients!$B$8,Nutrients!$J$8,Nutrients!$J$9)*B$7)+(((IF($A$8=Nutrients!$B$79,Nutrients!$J$79,(IF($A$8=Nutrients!$B$77,Nutrients!$J$77,Nutrients!$J$78)))))*B$8))/2000</f>
        <v>2.513641643841301</v>
      </c>
      <c r="C302" s="22">
        <f>(SUMPRODUCT(C$9:C$229,Nutrients!$J$8:$J$228)+(IF($A$7=Nutrients!$B$8,Nutrients!$J$8,Nutrients!$J$9)*C$7)+(((IF($A$8=Nutrients!$B$79,Nutrients!$J$79,(IF($A$8=Nutrients!$B$77,Nutrients!$J$77,Nutrients!$J$78)))))*C$8))/2000</f>
        <v>2.4130399696967721</v>
      </c>
      <c r="D302" s="22">
        <f>(SUMPRODUCT(D$9:D$229,Nutrients!$J$8:$J$228)+(IF($A$7=Nutrients!$B$8,Nutrients!$J$8,Nutrients!$J$9)*D$7)+(((IF($A$8=Nutrients!$B$79,Nutrients!$J$79,(IF($A$8=Nutrients!$B$77,Nutrients!$J$77,Nutrients!$J$78)))))*D$8))/2000</f>
        <v>2.3268016052434768</v>
      </c>
      <c r="E302" s="22">
        <f>(SUMPRODUCT(E$9:E$229,Nutrients!$J$8:$J$228)+(IF($A$7=Nutrients!$B$8,Nutrients!$J$8,Nutrients!$J$9)*E$7)+(((IF($A$8=Nutrients!$B$79,Nutrients!$J$79,(IF($A$8=Nutrients!$B$77,Nutrients!$J$77,Nutrients!$J$78)))))*E$8))/2000</f>
        <v>2.2539022615675171</v>
      </c>
      <c r="F302" s="22">
        <f>(SUMPRODUCT(F$9:F$229,Nutrients!$J$8:$J$228)+(IF($A$7=Nutrients!$B$8,Nutrients!$J$8,Nutrients!$J$9)*F$7)+(((IF($A$8=Nutrients!$B$79,Nutrients!$J$79,(IF($A$8=Nutrients!$B$77,Nutrients!$J$77,Nutrients!$J$78)))))*F$8))/2000</f>
        <v>2.2063713720102678</v>
      </c>
      <c r="G302" s="22">
        <f>(SUMPRODUCT(G$9:G$229,Nutrients!$J$8:$J$228)+(IF($A$7=Nutrients!$B$8,Nutrients!$J$8,Nutrients!$J$9)*G$7)+(((IF($A$8=Nutrients!$B$79,Nutrients!$J$79,(IF($A$8=Nutrients!$B$77,Nutrients!$J$77,Nutrients!$J$78)))))*G$8))/2000</f>
        <v>2.1815237128108387</v>
      </c>
      <c r="H302" s="228"/>
      <c r="I302" s="22">
        <f>(SUMPRODUCT(I$9:I$229,Nutrients!$J$8:$J$228)+(IF($A$7=Nutrients!$B$8,Nutrients!$J$8,Nutrients!$J$9)*I$7)+(((IF($A$8=Nutrients!$B$79,Nutrients!$J$79,(IF($A$8=Nutrients!$B$77,Nutrients!$J$77,Nutrients!$J$78)))))*I$8))/2000</f>
        <v>2.7590160087512601</v>
      </c>
      <c r="J302" s="22">
        <f>(SUMPRODUCT(J$9:J$229,Nutrients!$J$8:$J$228)+(IF($A$7=Nutrients!$B$8,Nutrients!$J$8,Nutrients!$J$9)*J$7)+(((IF($A$8=Nutrients!$B$79,Nutrients!$J$79,(IF($A$8=Nutrients!$B$77,Nutrients!$J$77,Nutrients!$J$78)))))*J$8))/2000</f>
        <v>2.6595170624470321</v>
      </c>
      <c r="K302" s="22">
        <f>(SUMPRODUCT(K$9:K$229,Nutrients!$J$8:$J$228)+(IF($A$7=Nutrients!$B$8,Nutrients!$J$8,Nutrients!$J$9)*K$7)+(((IF($A$8=Nutrients!$B$79,Nutrients!$J$79,(IF($A$8=Nutrients!$B$77,Nutrients!$J$77,Nutrients!$J$78)))))*K$8))/2000</f>
        <v>2.5741870597453347</v>
      </c>
      <c r="L302" s="22">
        <f>(SUMPRODUCT(L$9:L$229,Nutrients!$J$8:$J$228)+(IF($A$7=Nutrients!$B$8,Nutrients!$J$8,Nutrients!$J$9)*L$7)+(((IF($A$8=Nutrients!$B$79,Nutrients!$J$79,(IF($A$8=Nutrients!$B$77,Nutrients!$J$77,Nutrients!$J$78)))))*L$8))/2000</f>
        <v>2.502289969056624</v>
      </c>
      <c r="M302" s="22">
        <f>(SUMPRODUCT(M$9:M$229,Nutrients!$J$8:$J$228)+(IF($A$7=Nutrients!$B$8,Nutrients!$J$8,Nutrients!$J$9)*M$7)+(((IF($A$8=Nutrients!$B$79,Nutrients!$J$79,(IF($A$8=Nutrients!$B$77,Nutrients!$J$77,Nutrients!$J$78)))))*M$8))/2000</f>
        <v>2.4545923069129203</v>
      </c>
      <c r="N302" s="22">
        <f>(SUMPRODUCT(N$9:N$229,Nutrients!$J$8:$J$228)+(IF($A$7=Nutrients!$B$8,Nutrients!$J$8,Nutrients!$J$9)*N$7)+(((IF($A$8=Nutrients!$B$79,Nutrients!$J$79,(IF($A$8=Nutrients!$B$77,Nutrients!$J$77,Nutrients!$J$78)))))*N$8))/2000</f>
        <v>2.1815237128108387</v>
      </c>
      <c r="O302" s="235"/>
      <c r="P302" s="22">
        <f>(SUMPRODUCT(P$9:P$229,Nutrients!$J$8:$J$228)+(IF($A$7=Nutrients!$B$8,Nutrients!$J$8,Nutrients!$J$9)*P$7)+(((IF($A$8=Nutrients!$B$79,Nutrients!$J$79,(IF($A$8=Nutrients!$B$77,Nutrients!$J$77,Nutrients!$J$78)))))*P$8))/2000</f>
        <v>3.0057900127486676</v>
      </c>
      <c r="Q302" s="22">
        <f>(SUMPRODUCT(Q$9:Q$229,Nutrients!$J$8:$J$228)+(IF($A$7=Nutrients!$B$8,Nutrients!$J$8,Nutrients!$J$9)*Q$7)+(((IF($A$8=Nutrients!$B$79,Nutrients!$J$79,(IF($A$8=Nutrients!$B$77,Nutrients!$J$77,Nutrients!$J$78)))))*Q$8))/2000</f>
        <v>2.9069693101952425</v>
      </c>
      <c r="R302" s="22">
        <f>(SUMPRODUCT(R$9:R$229,Nutrients!$J$8:$J$228)+(IF($A$7=Nutrients!$B$8,Nutrients!$J$8,Nutrients!$J$9)*R$7)+(((IF($A$8=Nutrients!$B$79,Nutrients!$J$79,(IF($A$8=Nutrients!$B$77,Nutrients!$J$77,Nutrients!$J$78)))))*R$8))/2000</f>
        <v>2.8223769333491715</v>
      </c>
      <c r="S302" s="22">
        <f>(SUMPRODUCT(S$9:S$229,Nutrients!$J$8:$J$228)+(IF($A$7=Nutrients!$B$8,Nutrients!$J$8,Nutrients!$J$9)*S$7)+(((IF($A$8=Nutrients!$B$79,Nutrients!$J$79,(IF($A$8=Nutrients!$B$77,Nutrients!$J$77,Nutrients!$J$78)))))*S$8))/2000</f>
        <v>2.7501388616518496</v>
      </c>
      <c r="T302" s="22">
        <f>(SUMPRODUCT(T$9:T$229,Nutrients!$J$8:$J$228)+(IF($A$7=Nutrients!$B$8,Nutrients!$J$8,Nutrients!$J$9)*T$7)+(((IF($A$8=Nutrients!$B$79,Nutrients!$J$79,(IF($A$8=Nutrients!$B$77,Nutrients!$J$77,Nutrients!$J$78)))))*T$8))/2000</f>
        <v>2.7028854655054002</v>
      </c>
      <c r="U302" s="22">
        <f>(SUMPRODUCT(U$9:U$229,Nutrients!$J$8:$J$228)+(IF($A$7=Nutrients!$B$8,Nutrients!$J$8,Nutrients!$J$9)*U$7)+(((IF($A$8=Nutrients!$B$79,Nutrients!$J$79,(IF($A$8=Nutrients!$B$77,Nutrients!$J$77,Nutrients!$J$78)))))*U$8))/2000</f>
        <v>2.1815237128108387</v>
      </c>
      <c r="W302" s="22">
        <f>(SUMPRODUCT(W$9:W$229,Nutrients!$J$8:$J$228)+(IF($A$7=Nutrients!$B$8,Nutrients!$J$8,Nutrients!$J$9)*W$7)+(((IF($A$8=Nutrients!$B$79,Nutrients!$J$79,(IF($A$8=Nutrients!$B$77,Nutrients!$J$77,Nutrients!$J$78)))))*W$8))/2000</f>
        <v>3.2525933655312782</v>
      </c>
      <c r="X302" s="22">
        <f>(SUMPRODUCT(X$9:X$229,Nutrients!$J$8:$J$228)+(IF($A$7=Nutrients!$B$8,Nutrients!$J$8,Nutrients!$J$9)*X$7)+(((IF($A$8=Nutrients!$B$79,Nutrients!$J$79,(IF($A$8=Nutrients!$B$77,Nutrients!$J$77,Nutrients!$J$78)))))*X$8))/2000</f>
        <v>3.1544648331221445</v>
      </c>
      <c r="Y302" s="22">
        <f>(SUMPRODUCT(Y$9:Y$229,Nutrients!$J$8:$J$228)+(IF($A$7=Nutrients!$B$8,Nutrients!$J$8,Nutrients!$J$9)*Y$7)+(((IF($A$8=Nutrients!$B$79,Nutrients!$J$79,(IF($A$8=Nutrients!$B$77,Nutrients!$J$77,Nutrients!$J$78)))))*Y$8))/2000</f>
        <v>3.06953168008405</v>
      </c>
      <c r="Z302" s="22">
        <f>(SUMPRODUCT(Z$9:Z$229,Nutrients!$J$8:$J$228)+(IF($A$7=Nutrients!$B$8,Nutrients!$J$8,Nutrients!$J$9)*Z$7)+(((IF($A$8=Nutrients!$B$79,Nutrients!$J$79,(IF($A$8=Nutrients!$B$77,Nutrients!$J$77,Nutrients!$J$78)))))*Z$8))/2000</f>
        <v>2.9982427794218283</v>
      </c>
      <c r="AA302" s="22">
        <f>(SUMPRODUCT(AA$9:AA$229,Nutrients!$J$8:$J$228)+(IF($A$7=Nutrients!$B$8,Nutrients!$J$8,Nutrients!$J$9)*AA$7)+(((IF($A$8=Nutrients!$B$79,Nutrients!$J$79,(IF($A$8=Nutrients!$B$77,Nutrients!$J$77,Nutrients!$J$78)))))*AA$8))/2000</f>
        <v>2.9512417422991537</v>
      </c>
      <c r="AB302" s="22">
        <f>(SUMPRODUCT(AB$9:AB$229,Nutrients!$J$8:$J$228)+(IF($A$7=Nutrients!$B$8,Nutrients!$J$8,Nutrients!$J$9)*AB$7)+(((IF($A$8=Nutrients!$B$79,Nutrients!$J$79,(IF($A$8=Nutrients!$B$77,Nutrients!$J$77,Nutrients!$J$78)))))*AB$8))/2000</f>
        <v>2.1815237128108387</v>
      </c>
      <c r="AD302" s="22">
        <f>(SUMPRODUCT(AD$9:AD$229,Nutrients!$J$8:$J$228)+(IF($A$7=Nutrients!$B$8,Nutrients!$J$8,Nutrients!$J$9)*AD$7)+(((IF($A$8=Nutrients!$B$79,Nutrients!$J$79,(IF($A$8=Nutrients!$B$77,Nutrients!$J$77,Nutrients!$J$78)))))*AD$8))/2000</f>
        <v>3.4992951881988779</v>
      </c>
      <c r="AE302" s="22">
        <f>(SUMPRODUCT(AE$9:AE$229,Nutrients!$J$8:$J$228)+(IF($A$7=Nutrients!$B$8,Nutrients!$J$8,Nutrients!$J$9)*AE$7)+(((IF($A$8=Nutrients!$B$79,Nutrients!$J$79,(IF($A$8=Nutrients!$B$77,Nutrients!$J$77,Nutrients!$J$78)))))*AE$8))/2000</f>
        <v>3.4008959102660015</v>
      </c>
      <c r="AF302" s="22">
        <f>(SUMPRODUCT(AF$9:AF$229,Nutrients!$J$8:$J$228)+(IF($A$7=Nutrients!$B$8,Nutrients!$J$8,Nutrients!$J$9)*AF$7)+(((IF($A$8=Nutrients!$B$79,Nutrients!$J$79,(IF($A$8=Nutrients!$B$77,Nutrients!$J$77,Nutrients!$J$78)))))*AF$8))/2000</f>
        <v>3.3169395670437973</v>
      </c>
      <c r="AG302" s="22">
        <f>(SUMPRODUCT(AG$9:AG$229,Nutrients!$J$8:$J$228)+(IF($A$7=Nutrients!$B$8,Nutrients!$J$8,Nutrients!$J$9)*AG$7)+(((IF($A$8=Nutrients!$B$79,Nutrients!$J$79,(IF($A$8=Nutrients!$B$77,Nutrients!$J$77,Nutrients!$J$78)))))*AG$8))/2000</f>
        <v>3.2461521834429927</v>
      </c>
      <c r="AH302" s="22">
        <f>(SUMPRODUCT(AH$9:AH$229,Nutrients!$J$8:$J$228)+(IF($A$7=Nutrients!$B$8,Nutrients!$J$8,Nutrients!$J$9)*AH$7)+(((IF($A$8=Nutrients!$B$79,Nutrients!$J$79,(IF($A$8=Nutrients!$B$77,Nutrients!$J$77,Nutrients!$J$78)))))*AH$8))/2000</f>
        <v>3.1981328178357948</v>
      </c>
      <c r="AI302" s="22">
        <f>(SUMPRODUCT(AI$9:AI$229,Nutrients!$J$8:$J$228)+(IF($A$7=Nutrients!$B$8,Nutrients!$J$8,Nutrients!$J$9)*AI$7)+(((IF($A$8=Nutrients!$B$79,Nutrients!$J$79,(IF($A$8=Nutrients!$B$77,Nutrients!$J$77,Nutrients!$J$78)))))*AI$8))/2000</f>
        <v>2.1815237128108387</v>
      </c>
      <c r="AK302" s="22">
        <f>(SUMPRODUCT(AK$9:AK$229,Nutrients!$J$8:$J$228)+(IF($A$7=Nutrients!$B$8,Nutrients!$J$8,Nutrients!$J$9)*AK$7)+(((IF($A$8=Nutrients!$B$79,Nutrients!$J$79,(IF($A$8=Nutrients!$B$77,Nutrients!$J$77,Nutrients!$J$78)))))*AK$8))/2000</f>
        <v>3.7501668492604385</v>
      </c>
      <c r="AL302" s="22">
        <f>(SUMPRODUCT(AL$9:AL$229,Nutrients!$J$8:$J$228)+(IF($A$7=Nutrients!$B$8,Nutrients!$J$8,Nutrients!$J$9)*AL$7)+(((IF($A$8=Nutrients!$B$79,Nutrients!$J$79,(IF($A$8=Nutrients!$B$77,Nutrients!$J$77,Nutrients!$J$78)))))*AL$8))/2000</f>
        <v>3.647647821234937</v>
      </c>
      <c r="AM302" s="22">
        <f>(SUMPRODUCT(AM$9:AM$229,Nutrients!$J$8:$J$228)+(IF($A$7=Nutrients!$B$8,Nutrients!$J$8,Nutrients!$J$9)*AM$7)+(((IF($A$8=Nutrients!$B$79,Nutrients!$J$79,(IF($A$8=Nutrients!$B$77,Nutrients!$J$77,Nutrients!$J$78)))))*AM$8))/2000</f>
        <v>3.5642751507171644</v>
      </c>
      <c r="AN302" s="22">
        <f>(SUMPRODUCT(AN$9:AN$229,Nutrients!$J$8:$J$228)+(IF($A$7=Nutrients!$B$8,Nutrients!$J$8,Nutrients!$J$9)*AN$7)+(((IF($A$8=Nutrients!$B$79,Nutrients!$J$79,(IF($A$8=Nutrients!$B$77,Nutrients!$J$77,Nutrients!$J$78)))))*AN$8))/2000</f>
        <v>3.4929717664983673</v>
      </c>
      <c r="AO302" s="22">
        <f>(SUMPRODUCT(AO$9:AO$229,Nutrients!$J$8:$J$228)+(IF($A$7=Nutrients!$B$8,Nutrients!$J$8,Nutrients!$J$9)*AO$7)+(((IF($A$8=Nutrients!$B$79,Nutrients!$J$79,(IF($A$8=Nutrients!$B$77,Nutrients!$J$77,Nutrients!$J$78)))))*AO$8))/2000</f>
        <v>3.4443650311682386</v>
      </c>
      <c r="AP302" s="22">
        <f>(SUMPRODUCT(AP$9:AP$229,Nutrients!$J$8:$J$228)+(IF($A$7=Nutrients!$B$8,Nutrients!$J$8,Nutrients!$J$9)*AP$7)+(((IF($A$8=Nutrients!$B$79,Nutrients!$J$79,(IF($A$8=Nutrients!$B$77,Nutrients!$J$77,Nutrients!$J$78)))))*AP$8))/2000</f>
        <v>2.1815237128108387</v>
      </c>
      <c r="AR302" s="22">
        <f>(SUMPRODUCT(AR$9:AR$229,Nutrients!$J$8:$J$228)+(IF($A$7=Nutrients!$B$8,Nutrients!$J$8,Nutrients!$J$9)*AR$7)+(((IF($A$8=Nutrients!$B$79,Nutrients!$J$79,(IF($A$8=Nutrients!$B$77,Nutrients!$J$77,Nutrients!$J$78)))))*AR$8))/2000</f>
        <v>3.9953092147969484</v>
      </c>
      <c r="AS302" s="22">
        <f>(SUMPRODUCT(AS$9:AS$229,Nutrients!$J$8:$J$228)+(IF($A$7=Nutrients!$B$8,Nutrients!$J$8,Nutrients!$J$9)*AS$7)+(((IF($A$8=Nutrients!$B$79,Nutrients!$J$79,(IF($A$8=Nutrients!$B$77,Nutrients!$J$77,Nutrients!$J$78)))))*AS$8))/2000</f>
        <v>3.8943881252907429</v>
      </c>
      <c r="AT302" s="22">
        <f>(SUMPRODUCT(AT$9:AT$229,Nutrients!$J$8:$J$228)+(IF($A$7=Nutrients!$B$8,Nutrients!$J$8,Nutrients!$J$9)*AT$7)+(((IF($A$8=Nutrients!$B$79,Nutrients!$J$79,(IF($A$8=Nutrients!$B$77,Nutrients!$J$77,Nutrients!$J$78)))))*AT$8))/2000</f>
        <v>3.8117902572229023</v>
      </c>
      <c r="AU302" s="22">
        <f>(SUMPRODUCT(AU$9:AU$229,Nutrients!$J$8:$J$228)+(IF($A$7=Nutrients!$B$8,Nutrients!$J$8,Nutrients!$J$9)*AU$7)+(((IF($A$8=Nutrients!$B$79,Nutrients!$J$79,(IF($A$8=Nutrients!$B$77,Nutrients!$J$77,Nutrients!$J$78)))))*AU$8))/2000</f>
        <v>3.7388463800043783</v>
      </c>
      <c r="AV302" s="22">
        <f>(SUMPRODUCT(AV$9:AV$229,Nutrients!$J$8:$J$228)+(IF($A$7=Nutrients!$B$8,Nutrients!$J$8,Nutrients!$J$9)*AV$7)+(((IF($A$8=Nutrients!$B$79,Nutrients!$J$79,(IF($A$8=Nutrients!$B$77,Nutrients!$J$77,Nutrients!$J$78)))))*AV$8))/2000</f>
        <v>3.6906102006408488</v>
      </c>
      <c r="AW302" s="22">
        <f>(SUMPRODUCT(AW$9:AW$229,Nutrients!$J$8:$J$228)+(IF($A$7=Nutrients!$B$8,Nutrients!$J$8,Nutrients!$J$9)*AW$7)+(((IF($A$8=Nutrients!$B$79,Nutrients!$J$79,(IF($A$8=Nutrients!$B$77,Nutrients!$J$77,Nutrients!$J$78)))))*AW$8))/2000</f>
        <v>2.1815237128108387</v>
      </c>
    </row>
    <row r="303" spans="1:49" x14ac:dyDescent="0.25">
      <c r="A303" t="s">
        <v>54</v>
      </c>
      <c r="B303" s="22">
        <f>(SUMPRODUCT(B$9:B$229,Nutrients!$ED$8:$ED$228)+(IF($A$7=Nutrients!$B$8,Nutrients!$ED$8,Nutrients!$ED$9)*B$7)+(((IF($A$8=Nutrients!$B$79,Nutrients!$ED$79,(IF($A$8=Nutrients!$B$77,Nutrients!$ED$77,Nutrients!$ED$78)))))*B$8))/2000</f>
        <v>0</v>
      </c>
      <c r="C303" s="22">
        <f>(SUMPRODUCT(C$9:C$229,Nutrients!$ED$8:$ED$228)+(IF($A$7=Nutrients!$B$8,Nutrients!$ED$8,Nutrients!$ED$9)*C$7)+(((IF($A$8=Nutrients!$B$79,Nutrients!$ED$79,(IF($A$8=Nutrients!$B$77,Nutrients!$ED$77,Nutrients!$ED$78)))))*C$8))/2000</f>
        <v>0</v>
      </c>
      <c r="D303" s="22">
        <f>(SUMPRODUCT(D$9:D$229,Nutrients!$ED$8:$ED$228)+(IF($A$7=Nutrients!$B$8,Nutrients!$ED$8,Nutrients!$ED$9)*D$7)+(((IF($A$8=Nutrients!$B$79,Nutrients!$ED$79,(IF($A$8=Nutrients!$B$77,Nutrients!$ED$77,Nutrients!$ED$78)))))*D$8))/2000</f>
        <v>0</v>
      </c>
      <c r="E303" s="22">
        <f>(SUMPRODUCT(E$9:E$229,Nutrients!$ED$8:$ED$228)+(IF($A$7=Nutrients!$B$8,Nutrients!$ED$8,Nutrients!$ED$9)*E$7)+(((IF($A$8=Nutrients!$B$79,Nutrients!$ED$79,(IF($A$8=Nutrients!$B$77,Nutrients!$ED$77,Nutrients!$ED$78)))))*E$8))/2000</f>
        <v>0</v>
      </c>
      <c r="F303" s="22">
        <f>(SUMPRODUCT(F$9:F$229,Nutrients!$ED$8:$ED$228)+(IF($A$7=Nutrients!$B$8,Nutrients!$ED$8,Nutrients!$ED$9)*F$7)+(((IF($A$8=Nutrients!$B$79,Nutrients!$ED$79,(IF($A$8=Nutrients!$B$77,Nutrients!$ED$77,Nutrients!$ED$78)))))*F$8))/2000</f>
        <v>0</v>
      </c>
      <c r="G303" s="22">
        <f>(SUMPRODUCT(G$9:G$229,Nutrients!$ED$8:$ED$228)+(IF($A$7=Nutrients!$B$8,Nutrients!$ED$8,Nutrients!$ED$9)*G$7)+(((IF($A$8=Nutrients!$B$79,Nutrients!$ED$79,(IF($A$8=Nutrients!$B$77,Nutrients!$ED$77,Nutrients!$ED$78)))))*G$8))/2000</f>
        <v>0</v>
      </c>
      <c r="H303" s="228"/>
      <c r="I303" s="22">
        <f>(SUMPRODUCT(I$9:I$229,Nutrients!$ED$8:$ED$228)+(IF($A$7=Nutrients!$B$8,Nutrients!$ED$8,Nutrients!$ED$9)*I$7)+(((IF($A$8=Nutrients!$B$79,Nutrients!$ED$79,(IF($A$8=Nutrients!$B$77,Nutrients!$ED$77,Nutrients!$ED$78)))))*I$8))/2000</f>
        <v>0</v>
      </c>
      <c r="J303" s="22">
        <f>(SUMPRODUCT(J$9:J$229,Nutrients!$ED$8:$ED$228)+(IF($A$7=Nutrients!$B$8,Nutrients!$ED$8,Nutrients!$ED$9)*J$7)+(((IF($A$8=Nutrients!$B$79,Nutrients!$ED$79,(IF($A$8=Nutrients!$B$77,Nutrients!$ED$77,Nutrients!$ED$78)))))*J$8))/2000</f>
        <v>0</v>
      </c>
      <c r="K303" s="22">
        <f>(SUMPRODUCT(K$9:K$229,Nutrients!$ED$8:$ED$228)+(IF($A$7=Nutrients!$B$8,Nutrients!$ED$8,Nutrients!$ED$9)*K$7)+(((IF($A$8=Nutrients!$B$79,Nutrients!$ED$79,(IF($A$8=Nutrients!$B$77,Nutrients!$ED$77,Nutrients!$ED$78)))))*K$8))/2000</f>
        <v>0</v>
      </c>
      <c r="L303" s="22">
        <f>(SUMPRODUCT(L$9:L$229,Nutrients!$ED$8:$ED$228)+(IF($A$7=Nutrients!$B$8,Nutrients!$ED$8,Nutrients!$ED$9)*L$7)+(((IF($A$8=Nutrients!$B$79,Nutrients!$ED$79,(IF($A$8=Nutrients!$B$77,Nutrients!$ED$77,Nutrients!$ED$78)))))*L$8))/2000</f>
        <v>0</v>
      </c>
      <c r="M303" s="22">
        <f>(SUMPRODUCT(M$9:M$229,Nutrients!$ED$8:$ED$228)+(IF($A$7=Nutrients!$B$8,Nutrients!$ED$8,Nutrients!$ED$9)*M$7)+(((IF($A$8=Nutrients!$B$79,Nutrients!$ED$79,(IF($A$8=Nutrients!$B$77,Nutrients!$ED$77,Nutrients!$ED$78)))))*M$8))/2000</f>
        <v>0</v>
      </c>
      <c r="N303" s="22">
        <f>(SUMPRODUCT(N$9:N$229,Nutrients!$ED$8:$ED$228)+(IF($A$7=Nutrients!$B$8,Nutrients!$ED$8,Nutrients!$ED$9)*N$7)+(((IF($A$8=Nutrients!$B$79,Nutrients!$ED$79,(IF($A$8=Nutrients!$B$77,Nutrients!$ED$77,Nutrients!$ED$78)))))*N$8))/2000</f>
        <v>0</v>
      </c>
      <c r="O303" s="235"/>
      <c r="P303" s="22">
        <f>(SUMPRODUCT(P$9:P$229,Nutrients!$ED$8:$ED$228)+(IF($A$7=Nutrients!$B$8,Nutrients!$ED$8,Nutrients!$ED$9)*P$7)+(((IF($A$8=Nutrients!$B$79,Nutrients!$ED$79,(IF($A$8=Nutrients!$B$77,Nutrients!$ED$77,Nutrients!$ED$78)))))*P$8))/2000</f>
        <v>0</v>
      </c>
      <c r="Q303" s="22">
        <f>(SUMPRODUCT(Q$9:Q$229,Nutrients!$ED$8:$ED$228)+(IF($A$7=Nutrients!$B$8,Nutrients!$ED$8,Nutrients!$ED$9)*Q$7)+(((IF($A$8=Nutrients!$B$79,Nutrients!$ED$79,(IF($A$8=Nutrients!$B$77,Nutrients!$ED$77,Nutrients!$ED$78)))))*Q$8))/2000</f>
        <v>0</v>
      </c>
      <c r="R303" s="22">
        <f>(SUMPRODUCT(R$9:R$229,Nutrients!$ED$8:$ED$228)+(IF($A$7=Nutrients!$B$8,Nutrients!$ED$8,Nutrients!$ED$9)*R$7)+(((IF($A$8=Nutrients!$B$79,Nutrients!$ED$79,(IF($A$8=Nutrients!$B$77,Nutrients!$ED$77,Nutrients!$ED$78)))))*R$8))/2000</f>
        <v>0</v>
      </c>
      <c r="S303" s="22">
        <f>(SUMPRODUCT(S$9:S$229,Nutrients!$ED$8:$ED$228)+(IF($A$7=Nutrients!$B$8,Nutrients!$ED$8,Nutrients!$ED$9)*S$7)+(((IF($A$8=Nutrients!$B$79,Nutrients!$ED$79,(IF($A$8=Nutrients!$B$77,Nutrients!$ED$77,Nutrients!$ED$78)))))*S$8))/2000</f>
        <v>0</v>
      </c>
      <c r="T303" s="22">
        <f>(SUMPRODUCT(T$9:T$229,Nutrients!$ED$8:$ED$228)+(IF($A$7=Nutrients!$B$8,Nutrients!$ED$8,Nutrients!$ED$9)*T$7)+(((IF($A$8=Nutrients!$B$79,Nutrients!$ED$79,(IF($A$8=Nutrients!$B$77,Nutrients!$ED$77,Nutrients!$ED$78)))))*T$8))/2000</f>
        <v>0</v>
      </c>
      <c r="U303" s="22">
        <f>(SUMPRODUCT(U$9:U$229,Nutrients!$ED$8:$ED$228)+(IF($A$7=Nutrients!$B$8,Nutrients!$ED$8,Nutrients!$ED$9)*U$7)+(((IF($A$8=Nutrients!$B$79,Nutrients!$ED$79,(IF($A$8=Nutrients!$B$77,Nutrients!$ED$77,Nutrients!$ED$78)))))*U$8))/2000</f>
        <v>0</v>
      </c>
      <c r="W303" s="22">
        <f>(SUMPRODUCT(W$9:W$229,Nutrients!$ED$8:$ED$228)+(IF($A$7=Nutrients!$B$8,Nutrients!$ED$8,Nutrients!$ED$9)*W$7)+(((IF($A$8=Nutrients!$B$79,Nutrients!$ED$79,(IF($A$8=Nutrients!$B$77,Nutrients!$ED$77,Nutrients!$ED$78)))))*W$8))/2000</f>
        <v>0</v>
      </c>
      <c r="X303" s="22">
        <f>(SUMPRODUCT(X$9:X$229,Nutrients!$ED$8:$ED$228)+(IF($A$7=Nutrients!$B$8,Nutrients!$ED$8,Nutrients!$ED$9)*X$7)+(((IF($A$8=Nutrients!$B$79,Nutrients!$ED$79,(IF($A$8=Nutrients!$B$77,Nutrients!$ED$77,Nutrients!$ED$78)))))*X$8))/2000</f>
        <v>0</v>
      </c>
      <c r="Y303" s="22">
        <f>(SUMPRODUCT(Y$9:Y$229,Nutrients!$ED$8:$ED$228)+(IF($A$7=Nutrients!$B$8,Nutrients!$ED$8,Nutrients!$ED$9)*Y$7)+(((IF($A$8=Nutrients!$B$79,Nutrients!$ED$79,(IF($A$8=Nutrients!$B$77,Nutrients!$ED$77,Nutrients!$ED$78)))))*Y$8))/2000</f>
        <v>0</v>
      </c>
      <c r="Z303" s="22">
        <f>(SUMPRODUCT(Z$9:Z$229,Nutrients!$ED$8:$ED$228)+(IF($A$7=Nutrients!$B$8,Nutrients!$ED$8,Nutrients!$ED$9)*Z$7)+(((IF($A$8=Nutrients!$B$79,Nutrients!$ED$79,(IF($A$8=Nutrients!$B$77,Nutrients!$ED$77,Nutrients!$ED$78)))))*Z$8))/2000</f>
        <v>0</v>
      </c>
      <c r="AA303" s="22">
        <f>(SUMPRODUCT(AA$9:AA$229,Nutrients!$ED$8:$ED$228)+(IF($A$7=Nutrients!$B$8,Nutrients!$ED$8,Nutrients!$ED$9)*AA$7)+(((IF($A$8=Nutrients!$B$79,Nutrients!$ED$79,(IF($A$8=Nutrients!$B$77,Nutrients!$ED$77,Nutrients!$ED$78)))))*AA$8))/2000</f>
        <v>0</v>
      </c>
      <c r="AB303" s="22">
        <f>(SUMPRODUCT(AB$9:AB$229,Nutrients!$ED$8:$ED$228)+(IF($A$7=Nutrients!$B$8,Nutrients!$ED$8,Nutrients!$ED$9)*AB$7)+(((IF($A$8=Nutrients!$B$79,Nutrients!$ED$79,(IF($A$8=Nutrients!$B$77,Nutrients!$ED$77,Nutrients!$ED$78)))))*AB$8))/2000</f>
        <v>0</v>
      </c>
      <c r="AD303" s="22">
        <f>(SUMPRODUCT(AD$9:AD$229,Nutrients!$ED$8:$ED$228)+(IF($A$7=Nutrients!$B$8,Nutrients!$ED$8,Nutrients!$ED$9)*AD$7)+(((IF($A$8=Nutrients!$B$79,Nutrients!$ED$79,(IF($A$8=Nutrients!$B$77,Nutrients!$ED$77,Nutrients!$ED$78)))))*AD$8))/2000</f>
        <v>0</v>
      </c>
      <c r="AE303" s="22">
        <f>(SUMPRODUCT(AE$9:AE$229,Nutrients!$ED$8:$ED$228)+(IF($A$7=Nutrients!$B$8,Nutrients!$ED$8,Nutrients!$ED$9)*AE$7)+(((IF($A$8=Nutrients!$B$79,Nutrients!$ED$79,(IF($A$8=Nutrients!$B$77,Nutrients!$ED$77,Nutrients!$ED$78)))))*AE$8))/2000</f>
        <v>0</v>
      </c>
      <c r="AF303" s="22">
        <f>(SUMPRODUCT(AF$9:AF$229,Nutrients!$ED$8:$ED$228)+(IF($A$7=Nutrients!$B$8,Nutrients!$ED$8,Nutrients!$ED$9)*AF$7)+(((IF($A$8=Nutrients!$B$79,Nutrients!$ED$79,(IF($A$8=Nutrients!$B$77,Nutrients!$ED$77,Nutrients!$ED$78)))))*AF$8))/2000</f>
        <v>0</v>
      </c>
      <c r="AG303" s="22">
        <f>(SUMPRODUCT(AG$9:AG$229,Nutrients!$ED$8:$ED$228)+(IF($A$7=Nutrients!$B$8,Nutrients!$ED$8,Nutrients!$ED$9)*AG$7)+(((IF($A$8=Nutrients!$B$79,Nutrients!$ED$79,(IF($A$8=Nutrients!$B$77,Nutrients!$ED$77,Nutrients!$ED$78)))))*AG$8))/2000</f>
        <v>0</v>
      </c>
      <c r="AH303" s="22">
        <f>(SUMPRODUCT(AH$9:AH$229,Nutrients!$ED$8:$ED$228)+(IF($A$7=Nutrients!$B$8,Nutrients!$ED$8,Nutrients!$ED$9)*AH$7)+(((IF($A$8=Nutrients!$B$79,Nutrients!$ED$79,(IF($A$8=Nutrients!$B$77,Nutrients!$ED$77,Nutrients!$ED$78)))))*AH$8))/2000</f>
        <v>0</v>
      </c>
      <c r="AI303" s="22">
        <f>(SUMPRODUCT(AI$9:AI$229,Nutrients!$ED$8:$ED$228)+(IF($A$7=Nutrients!$B$8,Nutrients!$ED$8,Nutrients!$ED$9)*AI$7)+(((IF($A$8=Nutrients!$B$79,Nutrients!$ED$79,(IF($A$8=Nutrients!$B$77,Nutrients!$ED$77,Nutrients!$ED$78)))))*AI$8))/2000</f>
        <v>0</v>
      </c>
      <c r="AK303" s="22">
        <f>(SUMPRODUCT(AK$9:AK$229,Nutrients!$ED$8:$ED$228)+(IF($A$7=Nutrients!$B$8,Nutrients!$ED$8,Nutrients!$ED$9)*AK$7)+(((IF($A$8=Nutrients!$B$79,Nutrients!$ED$79,(IF($A$8=Nutrients!$B$77,Nutrients!$ED$77,Nutrients!$ED$78)))))*AK$8))/2000</f>
        <v>0</v>
      </c>
      <c r="AL303" s="22">
        <f>(SUMPRODUCT(AL$9:AL$229,Nutrients!$ED$8:$ED$228)+(IF($A$7=Nutrients!$B$8,Nutrients!$ED$8,Nutrients!$ED$9)*AL$7)+(((IF($A$8=Nutrients!$B$79,Nutrients!$ED$79,(IF($A$8=Nutrients!$B$77,Nutrients!$ED$77,Nutrients!$ED$78)))))*AL$8))/2000</f>
        <v>0</v>
      </c>
      <c r="AM303" s="22">
        <f>(SUMPRODUCT(AM$9:AM$229,Nutrients!$ED$8:$ED$228)+(IF($A$7=Nutrients!$B$8,Nutrients!$ED$8,Nutrients!$ED$9)*AM$7)+(((IF($A$8=Nutrients!$B$79,Nutrients!$ED$79,(IF($A$8=Nutrients!$B$77,Nutrients!$ED$77,Nutrients!$ED$78)))))*AM$8))/2000</f>
        <v>0</v>
      </c>
      <c r="AN303" s="22">
        <f>(SUMPRODUCT(AN$9:AN$229,Nutrients!$ED$8:$ED$228)+(IF($A$7=Nutrients!$B$8,Nutrients!$ED$8,Nutrients!$ED$9)*AN$7)+(((IF($A$8=Nutrients!$B$79,Nutrients!$ED$79,(IF($A$8=Nutrients!$B$77,Nutrients!$ED$77,Nutrients!$ED$78)))))*AN$8))/2000</f>
        <v>0</v>
      </c>
      <c r="AO303" s="22">
        <f>(SUMPRODUCT(AO$9:AO$229,Nutrients!$ED$8:$ED$228)+(IF($A$7=Nutrients!$B$8,Nutrients!$ED$8,Nutrients!$ED$9)*AO$7)+(((IF($A$8=Nutrients!$B$79,Nutrients!$ED$79,(IF($A$8=Nutrients!$B$77,Nutrients!$ED$77,Nutrients!$ED$78)))))*AO$8))/2000</f>
        <v>0</v>
      </c>
      <c r="AP303" s="22">
        <f>(SUMPRODUCT(AP$9:AP$229,Nutrients!$ED$8:$ED$228)+(IF($A$7=Nutrients!$B$8,Nutrients!$ED$8,Nutrients!$ED$9)*AP$7)+(((IF($A$8=Nutrients!$B$79,Nutrients!$ED$79,(IF($A$8=Nutrients!$B$77,Nutrients!$ED$77,Nutrients!$ED$78)))))*AP$8))/2000</f>
        <v>0</v>
      </c>
      <c r="AR303" s="22">
        <f>(SUMPRODUCT(AR$9:AR$229,Nutrients!$ED$8:$ED$228)+(IF($A$7=Nutrients!$B$8,Nutrients!$ED$8,Nutrients!$ED$9)*AR$7)+(((IF($A$8=Nutrients!$B$79,Nutrients!$ED$79,(IF($A$8=Nutrients!$B$77,Nutrients!$ED$77,Nutrients!$ED$78)))))*AR$8))/2000</f>
        <v>0</v>
      </c>
      <c r="AS303" s="22">
        <f>(SUMPRODUCT(AS$9:AS$229,Nutrients!$ED$8:$ED$228)+(IF($A$7=Nutrients!$B$8,Nutrients!$ED$8,Nutrients!$ED$9)*AS$7)+(((IF($A$8=Nutrients!$B$79,Nutrients!$ED$79,(IF($A$8=Nutrients!$B$77,Nutrients!$ED$77,Nutrients!$ED$78)))))*AS$8))/2000</f>
        <v>0</v>
      </c>
      <c r="AT303" s="22">
        <f>(SUMPRODUCT(AT$9:AT$229,Nutrients!$ED$8:$ED$228)+(IF($A$7=Nutrients!$B$8,Nutrients!$ED$8,Nutrients!$ED$9)*AT$7)+(((IF($A$8=Nutrients!$B$79,Nutrients!$ED$79,(IF($A$8=Nutrients!$B$77,Nutrients!$ED$77,Nutrients!$ED$78)))))*AT$8))/2000</f>
        <v>0</v>
      </c>
      <c r="AU303" s="22">
        <f>(SUMPRODUCT(AU$9:AU$229,Nutrients!$ED$8:$ED$228)+(IF($A$7=Nutrients!$B$8,Nutrients!$ED$8,Nutrients!$ED$9)*AU$7)+(((IF($A$8=Nutrients!$B$79,Nutrients!$ED$79,(IF($A$8=Nutrients!$B$77,Nutrients!$ED$77,Nutrients!$ED$78)))))*AU$8))/2000</f>
        <v>0</v>
      </c>
      <c r="AV303" s="22">
        <f>(SUMPRODUCT(AV$9:AV$229,Nutrients!$ED$8:$ED$228)+(IF($A$7=Nutrients!$B$8,Nutrients!$ED$8,Nutrients!$ED$9)*AV$7)+(((IF($A$8=Nutrients!$B$79,Nutrients!$ED$79,(IF($A$8=Nutrients!$B$77,Nutrients!$ED$77,Nutrients!$ED$78)))))*AV$8))/2000</f>
        <v>0</v>
      </c>
      <c r="AW303" s="22">
        <f>(SUMPRODUCT(AW$9:AW$229,Nutrients!$ED$8:$ED$228)+(IF($A$7=Nutrients!$B$8,Nutrients!$ED$8,Nutrients!$ED$9)*AW$7)+(((IF($A$8=Nutrients!$B$79,Nutrients!$ED$79,(IF($A$8=Nutrients!$B$77,Nutrients!$ED$77,Nutrients!$ED$78)))))*AW$8))/2000</f>
        <v>0</v>
      </c>
    </row>
    <row r="304" spans="1:49" x14ac:dyDescent="0.25">
      <c r="A304" t="s">
        <v>57</v>
      </c>
      <c r="B304" s="22">
        <f>(SUMPRODUCT(B$9:B$229,Nutrients!$EH$8:$EH$228)+(IF($A$7=Nutrients!$B$8,Nutrients!$EH$8,Nutrients!$EH$9)*B$7)+(((IF($A$8=Nutrients!$B$79,Nutrients!$EH$79,(IF($A$8=Nutrients!$B$77,Nutrients!$EH$77,Nutrients!$EH$78)))))*B$8))/2000</f>
        <v>34.658564713833037</v>
      </c>
      <c r="C304" s="22">
        <f>(SUMPRODUCT(C$9:C$229,Nutrients!$EH$8:$EH$228)+(IF($A$7=Nutrients!$B$8,Nutrients!$EH$8,Nutrients!$EH$9)*C$7)+(((IF($A$8=Nutrients!$B$79,Nutrients!$EH$79,(IF($A$8=Nutrients!$B$77,Nutrients!$EH$77,Nutrients!$EH$78)))))*C$8))/2000</f>
        <v>36.119060232185333</v>
      </c>
      <c r="D304" s="22">
        <f>(SUMPRODUCT(D$9:D$229,Nutrients!$EH$8:$EH$228)+(IF($A$7=Nutrients!$B$8,Nutrients!$EH$8,Nutrients!$EH$9)*D$7)+(((IF($A$8=Nutrients!$B$79,Nutrients!$EH$79,(IF($A$8=Nutrients!$B$77,Nutrients!$EH$77,Nutrients!$EH$78)))))*D$8))/2000</f>
        <v>37.38889298377596</v>
      </c>
      <c r="E304" s="22">
        <f>(SUMPRODUCT(E$9:E$229,Nutrients!$EH$8:$EH$228)+(IF($A$7=Nutrients!$B$8,Nutrients!$EH$8,Nutrients!$EH$9)*E$7)+(((IF($A$8=Nutrients!$B$79,Nutrients!$EH$79,(IF($A$8=Nutrients!$B$77,Nutrients!$EH$77,Nutrients!$EH$78)))))*E$8))/2000</f>
        <v>38.453689691212816</v>
      </c>
      <c r="F304" s="22">
        <f>(SUMPRODUCT(F$9:F$229,Nutrients!$EH$8:$EH$228)+(IF($A$7=Nutrients!$B$8,Nutrients!$EH$8,Nutrients!$EH$9)*F$7)+(((IF($A$8=Nutrients!$B$79,Nutrients!$EH$79,(IF($A$8=Nutrients!$B$77,Nutrients!$EH$77,Nutrients!$EH$78)))))*F$8))/2000</f>
        <v>39.1878815182761</v>
      </c>
      <c r="G304" s="22">
        <f>(SUMPRODUCT(G$9:G$229,Nutrients!$EH$8:$EH$228)+(IF($A$7=Nutrients!$B$8,Nutrients!$EH$8,Nutrients!$EH$9)*G$7)+(((IF($A$8=Nutrients!$B$79,Nutrients!$EH$79,(IF($A$8=Nutrients!$B$77,Nutrients!$EH$77,Nutrients!$EH$78)))))*G$8))/2000</f>
        <v>39.544986782030342</v>
      </c>
      <c r="H304" s="228"/>
      <c r="I304" s="22">
        <f>(SUMPRODUCT(I$9:I$229,Nutrients!$EH$8:$EH$228)+(IF($A$7=Nutrients!$B$8,Nutrients!$EH$8,Nutrients!$EH$9)*I$7)+(((IF($A$8=Nutrients!$B$79,Nutrients!$EH$79,(IF($A$8=Nutrients!$B$77,Nutrients!$EH$77,Nutrients!$EH$78)))))*I$8))/2000</f>
        <v>33.705831229742145</v>
      </c>
      <c r="J304" s="22">
        <f>(SUMPRODUCT(J$9:J$229,Nutrients!$EH$8:$EH$228)+(IF($A$7=Nutrients!$B$8,Nutrients!$EH$8,Nutrients!$EH$9)*J$7)+(((IF($A$8=Nutrients!$B$79,Nutrients!$EH$79,(IF($A$8=Nutrients!$B$77,Nutrients!$EH$77,Nutrients!$EH$78)))))*J$8))/2000</f>
        <v>35.150868453451629</v>
      </c>
      <c r="K304" s="22">
        <f>(SUMPRODUCT(K$9:K$229,Nutrients!$EH$8:$EH$228)+(IF($A$7=Nutrients!$B$8,Nutrients!$EH$8,Nutrients!$EH$9)*K$7)+(((IF($A$8=Nutrients!$B$79,Nutrients!$EH$79,(IF($A$8=Nutrients!$B$77,Nutrients!$EH$77,Nutrients!$EH$78)))))*K$8))/2000</f>
        <v>36.408029393474912</v>
      </c>
      <c r="L304" s="22">
        <f>(SUMPRODUCT(L$9:L$229,Nutrients!$EH$8:$EH$228)+(IF($A$7=Nutrients!$B$8,Nutrients!$EH$8,Nutrients!$EH$9)*L$7)+(((IF($A$8=Nutrients!$B$79,Nutrients!$EH$79,(IF($A$8=Nutrients!$B$77,Nutrients!$EH$77,Nutrients!$EH$78)))))*L$8))/2000</f>
        <v>37.474270717338129</v>
      </c>
      <c r="M304" s="22">
        <f>(SUMPRODUCT(M$9:M$229,Nutrients!$EH$8:$EH$228)+(IF($A$7=Nutrients!$B$8,Nutrients!$EH$8,Nutrients!$EH$9)*M$7)+(((IF($A$8=Nutrients!$B$79,Nutrients!$EH$79,(IF($A$8=Nutrients!$B$77,Nutrients!$EH$77,Nutrients!$EH$78)))))*M$8))/2000</f>
        <v>38.20600811095867</v>
      </c>
      <c r="N304" s="22">
        <f>(SUMPRODUCT(N$9:N$229,Nutrients!$EH$8:$EH$228)+(IF($A$7=Nutrients!$B$8,Nutrients!$EH$8,Nutrients!$EH$9)*N$7)+(((IF($A$8=Nutrients!$B$79,Nutrients!$EH$79,(IF($A$8=Nutrients!$B$77,Nutrients!$EH$77,Nutrients!$EH$78)))))*N$8))/2000</f>
        <v>39.544986782030342</v>
      </c>
      <c r="O304" s="235"/>
      <c r="P304" s="22">
        <f>(SUMPRODUCT(P$9:P$229,Nutrients!$EH$8:$EH$228)+(IF($A$7=Nutrients!$B$8,Nutrients!$EH$8,Nutrients!$EH$9)*P$7)+(((IF($A$8=Nutrients!$B$79,Nutrients!$EH$79,(IF($A$8=Nutrients!$B$77,Nutrients!$EH$77,Nutrients!$EH$78)))))*P$8))/2000</f>
        <v>32.732701013452271</v>
      </c>
      <c r="Q304" s="22">
        <f>(SUMPRODUCT(Q$9:Q$229,Nutrients!$EH$8:$EH$228)+(IF($A$7=Nutrients!$B$8,Nutrients!$EH$8,Nutrients!$EH$9)*Q$7)+(((IF($A$8=Nutrients!$B$79,Nutrients!$EH$79,(IF($A$8=Nutrients!$B$77,Nutrients!$EH$77,Nutrients!$EH$78)))))*Q$8))/2000</f>
        <v>34.168657429689304</v>
      </c>
      <c r="R304" s="22">
        <f>(SUMPRODUCT(R$9:R$229,Nutrients!$EH$8:$EH$228)+(IF($A$7=Nutrients!$B$8,Nutrients!$EH$8,Nutrients!$EH$9)*R$7)+(((IF($A$8=Nutrients!$B$79,Nutrients!$EH$79,(IF($A$8=Nutrients!$B$77,Nutrients!$EH$77,Nutrients!$EH$78)))))*R$8))/2000</f>
        <v>35.416462630727601</v>
      </c>
      <c r="S304" s="22">
        <f>(SUMPRODUCT(S$9:S$229,Nutrients!$EH$8:$EH$228)+(IF($A$7=Nutrients!$B$8,Nutrients!$EH$8,Nutrients!$EH$9)*S$7)+(((IF($A$8=Nutrients!$B$79,Nutrients!$EH$79,(IF($A$8=Nutrients!$B$77,Nutrients!$EH$77,Nutrients!$EH$78)))))*S$8))/2000</f>
        <v>36.487123206434887</v>
      </c>
      <c r="T304" s="22">
        <f>(SUMPRODUCT(T$9:T$229,Nutrients!$EH$8:$EH$228)+(IF($A$7=Nutrients!$B$8,Nutrients!$EH$8,Nutrients!$EH$9)*T$7)+(((IF($A$8=Nutrients!$B$79,Nutrients!$EH$79,(IF($A$8=Nutrients!$B$77,Nutrients!$EH$77,Nutrients!$EH$78)))))*T$8))/2000</f>
        <v>37.20724848752301</v>
      </c>
      <c r="U304" s="22">
        <f>(SUMPRODUCT(U$9:U$229,Nutrients!$EH$8:$EH$228)+(IF($A$7=Nutrients!$B$8,Nutrients!$EH$8,Nutrients!$EH$9)*U$7)+(((IF($A$8=Nutrients!$B$79,Nutrients!$EH$79,(IF($A$8=Nutrients!$B$77,Nutrients!$EH$77,Nutrients!$EH$78)))))*U$8))/2000</f>
        <v>39.544986782030342</v>
      </c>
      <c r="W304" s="22">
        <f>(SUMPRODUCT(W$9:W$229,Nutrients!$EH$8:$EH$228)+(IF($A$7=Nutrients!$B$8,Nutrients!$EH$8,Nutrients!$EH$9)*W$7)+(((IF($A$8=Nutrients!$B$79,Nutrients!$EH$79,(IF($A$8=Nutrients!$B$77,Nutrients!$EH$77,Nutrients!$EH$78)))))*W$8))/2000</f>
        <v>31.760324223832395</v>
      </c>
      <c r="X304" s="22">
        <f>(SUMPRODUCT(X$9:X$229,Nutrients!$EH$8:$EH$228)+(IF($A$7=Nutrients!$B$8,Nutrients!$EH$8,Nutrients!$EH$9)*X$7)+(((IF($A$8=Nutrients!$B$79,Nutrients!$EH$79,(IF($A$8=Nutrients!$B$77,Nutrients!$EH$77,Nutrients!$EH$78)))))*X$8))/2000</f>
        <v>33.18740201779972</v>
      </c>
      <c r="Y304" s="22">
        <f>(SUMPRODUCT(Y$9:Y$229,Nutrients!$EH$8:$EH$228)+(IF($A$7=Nutrients!$B$8,Nutrients!$EH$8,Nutrients!$EH$9)*Y$7)+(((IF($A$8=Nutrients!$B$79,Nutrients!$EH$79,(IF($A$8=Nutrients!$B$77,Nutrients!$EH$77,Nutrients!$EH$78)))))*Y$8))/2000</f>
        <v>34.439223395280514</v>
      </c>
      <c r="Z304" s="22">
        <f>(SUMPRODUCT(Z$9:Z$229,Nutrients!$EH$8:$EH$228)+(IF($A$7=Nutrients!$B$8,Nutrients!$EH$8,Nutrients!$EH$9)*Z$7)+(((IF($A$8=Nutrients!$B$79,Nutrients!$EH$79,(IF($A$8=Nutrients!$B$77,Nutrients!$EH$77,Nutrients!$EH$78)))))*Z$8))/2000</f>
        <v>35.496072020189267</v>
      </c>
      <c r="AA304" s="22">
        <f>(SUMPRODUCT(AA$9:AA$229,Nutrients!$EH$8:$EH$228)+(IF($A$7=Nutrients!$B$8,Nutrients!$EH$8,Nutrients!$EH$9)*AA$7)+(((IF($A$8=Nutrients!$B$79,Nutrients!$EH$79,(IF($A$8=Nutrients!$B$77,Nutrients!$EH$77,Nutrients!$EH$78)))))*AA$8))/2000</f>
        <v>36.207373222367529</v>
      </c>
      <c r="AB304" s="22">
        <f>(SUMPRODUCT(AB$9:AB$229,Nutrients!$EH$8:$EH$228)+(IF($A$7=Nutrients!$B$8,Nutrients!$EH$8,Nutrients!$EH$9)*AB$7)+(((IF($A$8=Nutrients!$B$79,Nutrients!$EH$79,(IF($A$8=Nutrients!$B$77,Nutrients!$EH$77,Nutrients!$EH$78)))))*AB$8))/2000</f>
        <v>39.544986782030342</v>
      </c>
      <c r="AD304" s="22">
        <f>(SUMPRODUCT(AD$9:AD$229,Nutrients!$EH$8:$EH$228)+(IF($A$7=Nutrients!$B$8,Nutrients!$EH$8,Nutrients!$EH$9)*AD$7)+(((IF($A$8=Nutrients!$B$79,Nutrients!$EH$79,(IF($A$8=Nutrients!$B$77,Nutrients!$EH$77,Nutrients!$EH$78)))))*AD$8))/2000</f>
        <v>30.788571372040046</v>
      </c>
      <c r="AE304" s="22">
        <f>(SUMPRODUCT(AE$9:AE$229,Nutrients!$EH$8:$EH$228)+(IF($A$7=Nutrients!$B$8,Nutrients!$EH$8,Nutrients!$EH$9)*AE$7)+(((IF($A$8=Nutrients!$B$79,Nutrients!$EH$79,(IF($A$8=Nutrients!$B$77,Nutrients!$EH$77,Nutrients!$EH$78)))))*AE$8))/2000</f>
        <v>32.219071076373034</v>
      </c>
      <c r="AF304" s="22">
        <f>(SUMPRODUCT(AF$9:AF$229,Nutrients!$EH$8:$EH$228)+(IF($A$7=Nutrients!$B$8,Nutrients!$EH$8,Nutrients!$EH$9)*AF$7)+(((IF($A$8=Nutrients!$B$79,Nutrients!$EH$79,(IF($A$8=Nutrients!$B$77,Nutrients!$EH$77,Nutrients!$EH$78)))))*AF$8))/2000</f>
        <v>33.458787372191345</v>
      </c>
      <c r="AG304" s="22">
        <f>(SUMPRODUCT(AG$9:AG$229,Nutrients!$EH$8:$EH$228)+(IF($A$7=Nutrients!$B$8,Nutrients!$EH$8,Nutrients!$EH$9)*AG$7)+(((IF($A$8=Nutrients!$B$79,Nutrients!$EH$79,(IF($A$8=Nutrients!$B$77,Nutrients!$EH$77,Nutrients!$EH$78)))))*AG$8))/2000</f>
        <v>34.50088672759901</v>
      </c>
      <c r="AH304" s="22">
        <f>(SUMPRODUCT(AH$9:AH$229,Nutrients!$EH$8:$EH$228)+(IF($A$7=Nutrients!$B$8,Nutrients!$EH$8,Nutrients!$EH$9)*AH$7)+(((IF($A$8=Nutrients!$B$79,Nutrients!$EH$79,(IF($A$8=Nutrients!$B$77,Nutrients!$EH$77,Nutrients!$EH$78)))))*AH$8))/2000</f>
        <v>35.1864749556552</v>
      </c>
      <c r="AI304" s="22">
        <f>(SUMPRODUCT(AI$9:AI$229,Nutrients!$EH$8:$EH$228)+(IF($A$7=Nutrients!$B$8,Nutrients!$EH$8,Nutrients!$EH$9)*AI$7)+(((IF($A$8=Nutrients!$B$79,Nutrients!$EH$79,(IF($A$8=Nutrients!$B$77,Nutrients!$EH$77,Nutrients!$EH$78)))))*AI$8))/2000</f>
        <v>39.544986782030342</v>
      </c>
      <c r="AK304" s="22">
        <f>(SUMPRODUCT(AK$9:AK$229,Nutrients!$EH$8:$EH$228)+(IF($A$7=Nutrients!$B$8,Nutrients!$EH$8,Nutrients!$EH$9)*AK$7)+(((IF($A$8=Nutrients!$B$79,Nutrients!$EH$79,(IF($A$8=Nutrients!$B$77,Nutrients!$EH$77,Nutrients!$EH$78)))))*AK$8))/2000</f>
        <v>29.763171736701704</v>
      </c>
      <c r="AL304" s="22">
        <f>(SUMPRODUCT(AL$9:AL$229,Nutrients!$EH$8:$EH$228)+(IF($A$7=Nutrients!$B$8,Nutrients!$EH$8,Nutrients!$EH$9)*AL$7)+(((IF($A$8=Nutrients!$B$79,Nutrients!$EH$79,(IF($A$8=Nutrients!$B$77,Nutrients!$EH$77,Nutrients!$EH$78)))))*AL$8))/2000</f>
        <v>31.247354142478294</v>
      </c>
      <c r="AM304" s="22">
        <f>(SUMPRODUCT(AM$9:AM$229,Nutrients!$EH$8:$EH$228)+(IF($A$7=Nutrients!$B$8,Nutrients!$EH$8,Nutrients!$EH$9)*AM$7)+(((IF($A$8=Nutrients!$B$79,Nutrients!$EH$79,(IF($A$8=Nutrients!$B$77,Nutrients!$EH$77,Nutrients!$EH$78)))))*AM$8))/2000</f>
        <v>32.472004767480598</v>
      </c>
      <c r="AN304" s="22">
        <f>(SUMPRODUCT(AN$9:AN$229,Nutrients!$EH$8:$EH$228)+(IF($A$7=Nutrients!$B$8,Nutrients!$EH$8,Nutrients!$EH$9)*AN$7)+(((IF($A$8=Nutrients!$B$79,Nutrients!$EH$79,(IF($A$8=Nutrients!$B$77,Nutrients!$EH$77,Nutrients!$EH$78)))))*AN$8))/2000</f>
        <v>33.490622380770702</v>
      </c>
      <c r="AO304" s="22">
        <f>(SUMPRODUCT(AO$9:AO$229,Nutrients!$EH$8:$EH$228)+(IF($A$7=Nutrients!$B$8,Nutrients!$EH$8,Nutrients!$EH$9)*AO$7)+(((IF($A$8=Nutrients!$B$79,Nutrients!$EH$79,(IF($A$8=Nutrients!$B$77,Nutrients!$EH$77,Nutrients!$EH$78)))))*AO$8))/2000</f>
        <v>34.154494942970253</v>
      </c>
      <c r="AP304" s="22">
        <f>(SUMPRODUCT(AP$9:AP$229,Nutrients!$EH$8:$EH$228)+(IF($A$7=Nutrients!$B$8,Nutrients!$EH$8,Nutrients!$EH$9)*AP$7)+(((IF($A$8=Nutrients!$B$79,Nutrients!$EH$79,(IF($A$8=Nutrients!$B$77,Nutrients!$EH$77,Nutrients!$EH$78)))))*AP$8))/2000</f>
        <v>39.544986782030342</v>
      </c>
      <c r="AR304" s="22">
        <f>(SUMPRODUCT(AR$9:AR$229,Nutrients!$EH$8:$EH$228)+(IF($A$7=Nutrients!$B$8,Nutrients!$EH$8,Nutrients!$EH$9)*AR$7)+(((IF($A$8=Nutrients!$B$79,Nutrients!$EH$79,(IF($A$8=Nutrients!$B$77,Nutrients!$EH$77,Nutrients!$EH$78)))))*AR$8))/2000</f>
        <v>28.811956489715804</v>
      </c>
      <c r="AS304" s="22">
        <f>(SUMPRODUCT(AS$9:AS$229,Nutrients!$EH$8:$EH$228)+(IF($A$7=Nutrients!$B$8,Nutrients!$EH$8,Nutrients!$EH$9)*AS$7)+(((IF($A$8=Nutrients!$B$79,Nutrients!$EH$79,(IF($A$8=Nutrients!$B$77,Nutrients!$EH$77,Nutrients!$EH$78)))))*AS$8))/2000</f>
        <v>30.27510924887207</v>
      </c>
      <c r="AT304" s="22">
        <f>(SUMPRODUCT(AT$9:AT$229,Nutrients!$EH$8:$EH$228)+(IF($A$7=Nutrients!$B$8,Nutrients!$EH$8,Nutrients!$EH$9)*AT$7)+(((IF($A$8=Nutrients!$B$79,Nutrients!$EH$79,(IF($A$8=Nutrients!$B$77,Nutrients!$EH$77,Nutrients!$EH$78)))))*AT$8))/2000</f>
        <v>31.482030440715349</v>
      </c>
      <c r="AU304" s="22">
        <f>(SUMPRODUCT(AU$9:AU$229,Nutrients!$EH$8:$EH$228)+(IF($A$7=Nutrients!$B$8,Nutrients!$EH$8,Nutrients!$EH$9)*AU$7)+(((IF($A$8=Nutrients!$B$79,Nutrients!$EH$79,(IF($A$8=Nutrients!$B$77,Nutrients!$EH$77,Nutrients!$EH$78)))))*AU$8))/2000</f>
        <v>32.462851994037003</v>
      </c>
      <c r="AV304" s="22">
        <f>(SUMPRODUCT(AV$9:AV$229,Nutrients!$EH$8:$EH$228)+(IF($A$7=Nutrients!$B$8,Nutrients!$EH$8,Nutrients!$EH$9)*AV$7)+(((IF($A$8=Nutrients!$B$79,Nutrients!$EH$79,(IF($A$8=Nutrients!$B$77,Nutrients!$EH$77,Nutrients!$EH$78)))))*AV$8))/2000</f>
        <v>33.122637196513061</v>
      </c>
      <c r="AW304" s="22">
        <f>(SUMPRODUCT(AW$9:AW$229,Nutrients!$EH$8:$EH$228)+(IF($A$7=Nutrients!$B$8,Nutrients!$EH$8,Nutrients!$EH$9)*AW$7)+(((IF($A$8=Nutrients!$B$79,Nutrients!$EH$79,(IF($A$8=Nutrients!$B$77,Nutrients!$EH$77,Nutrients!$EH$78)))))*AW$8))/2000</f>
        <v>39.544986782030342</v>
      </c>
    </row>
    <row r="305" spans="1:49" x14ac:dyDescent="0.25">
      <c r="A305" t="s">
        <v>58</v>
      </c>
      <c r="B305" s="23">
        <f t="shared" ref="B305:G305" si="175">(0.4472*B304)+51.796</f>
        <v>67.295310140026132</v>
      </c>
      <c r="C305" s="23">
        <f t="shared" si="175"/>
        <v>67.94844373583328</v>
      </c>
      <c r="D305" s="23">
        <f t="shared" si="175"/>
        <v>68.516312942344612</v>
      </c>
      <c r="E305" s="23">
        <f t="shared" si="175"/>
        <v>68.992490029910371</v>
      </c>
      <c r="F305" s="23">
        <f t="shared" si="175"/>
        <v>69.320820614973073</v>
      </c>
      <c r="G305" s="23">
        <f t="shared" si="175"/>
        <v>69.480518088923972</v>
      </c>
      <c r="H305" s="227"/>
      <c r="I305" s="23">
        <f t="shared" ref="I305:N305" si="176">(0.4472*I304)+51.796</f>
        <v>66.869247725940681</v>
      </c>
      <c r="J305" s="23">
        <f t="shared" si="176"/>
        <v>67.515468372383566</v>
      </c>
      <c r="K305" s="23">
        <f t="shared" si="176"/>
        <v>68.077670744761974</v>
      </c>
      <c r="L305" s="23">
        <f t="shared" si="176"/>
        <v>68.554493864793614</v>
      </c>
      <c r="M305" s="23">
        <f t="shared" si="176"/>
        <v>68.881726827220717</v>
      </c>
      <c r="N305" s="23">
        <f t="shared" si="176"/>
        <v>69.480518088923972</v>
      </c>
      <c r="O305" s="198"/>
      <c r="P305" s="23">
        <f t="shared" ref="P305:U305" si="177">(0.4472*P304)+51.796</f>
        <v>66.43406389321585</v>
      </c>
      <c r="Q305" s="23">
        <f t="shared" si="177"/>
        <v>67.07622360255705</v>
      </c>
      <c r="R305" s="23">
        <f t="shared" si="177"/>
        <v>67.634242088461377</v>
      </c>
      <c r="S305" s="23">
        <f t="shared" si="177"/>
        <v>68.113041497917678</v>
      </c>
      <c r="T305" s="23">
        <f t="shared" si="177"/>
        <v>68.435081523620283</v>
      </c>
      <c r="U305" s="23">
        <f t="shared" si="177"/>
        <v>69.480518088923972</v>
      </c>
      <c r="W305" s="23">
        <f t="shared" ref="W305:AB305" si="178">(0.4472*W304)+51.796</f>
        <v>65.999216992897843</v>
      </c>
      <c r="X305" s="23">
        <f t="shared" si="178"/>
        <v>66.637406182360039</v>
      </c>
      <c r="Y305" s="23">
        <f t="shared" si="178"/>
        <v>67.197220702369449</v>
      </c>
      <c r="Z305" s="23">
        <f t="shared" si="178"/>
        <v>67.669843407428644</v>
      </c>
      <c r="AA305" s="23">
        <f t="shared" si="178"/>
        <v>67.987937305042763</v>
      </c>
      <c r="AB305" s="23">
        <f t="shared" si="178"/>
        <v>69.480518088923972</v>
      </c>
      <c r="AD305" s="23">
        <f t="shared" ref="AD305:AI305" si="179">(0.4472*AD304)+51.796</f>
        <v>65.564649117576309</v>
      </c>
      <c r="AE305" s="23">
        <f t="shared" si="179"/>
        <v>66.204368585354018</v>
      </c>
      <c r="AF305" s="23">
        <f t="shared" si="179"/>
        <v>66.758769712843971</v>
      </c>
      <c r="AG305" s="23">
        <f t="shared" si="179"/>
        <v>67.224796544582276</v>
      </c>
      <c r="AH305" s="23">
        <f t="shared" si="179"/>
        <v>67.531391600169002</v>
      </c>
      <c r="AI305" s="23">
        <f t="shared" si="179"/>
        <v>69.480518088923972</v>
      </c>
      <c r="AK305" s="23">
        <f t="shared" ref="AK305:AP305" si="180">(0.4472*AK304)+51.796</f>
        <v>65.106090400653002</v>
      </c>
      <c r="AL305" s="23">
        <f t="shared" si="180"/>
        <v>65.769816772516293</v>
      </c>
      <c r="AM305" s="23">
        <f t="shared" si="180"/>
        <v>66.317480532017328</v>
      </c>
      <c r="AN305" s="23">
        <f t="shared" si="180"/>
        <v>66.773006328680651</v>
      </c>
      <c r="AO305" s="23">
        <f t="shared" si="180"/>
        <v>67.069890138496291</v>
      </c>
      <c r="AP305" s="23">
        <f t="shared" si="180"/>
        <v>69.480518088923972</v>
      </c>
      <c r="AR305" s="23">
        <f t="shared" ref="AR305:AW305" si="181">(0.4472*AR304)+51.796</f>
        <v>64.680706942200914</v>
      </c>
      <c r="AS305" s="23">
        <f t="shared" si="181"/>
        <v>65.33502885609559</v>
      </c>
      <c r="AT305" s="23">
        <f t="shared" si="181"/>
        <v>65.874764013087898</v>
      </c>
      <c r="AU305" s="23">
        <f t="shared" si="181"/>
        <v>66.313387411733345</v>
      </c>
      <c r="AV305" s="23">
        <f t="shared" si="181"/>
        <v>66.608443354280638</v>
      </c>
      <c r="AW305" s="23">
        <f t="shared" si="181"/>
        <v>69.480518088923972</v>
      </c>
    </row>
    <row r="306" spans="1:49" x14ac:dyDescent="0.25">
      <c r="A306" t="s">
        <v>65</v>
      </c>
      <c r="B306" s="23">
        <f>(SUMPRODUCT(B$9:B$229,Nutrients!$BW$8:$BW$228)+(IF($A$7=Nutrients!$B$8,Nutrients!$BW$8,Nutrients!$BW$9)*B$7)+(((IF($A$8=Nutrients!$B$79,Nutrients!$BW$79,(IF($A$8=Nutrients!$B$77,Nutrients!$BW$77,Nutrients!$BW$78)))))*B$8))/2000</f>
        <v>0.17839028042000546</v>
      </c>
      <c r="C306" s="23">
        <f>(SUMPRODUCT(C$9:C$229,Nutrients!$BW$8:$BW$228)+(IF($A$7=Nutrients!$B$8,Nutrients!$BW$8,Nutrients!$BW$9)*C$7)+(((IF($A$8=Nutrients!$B$79,Nutrients!$BW$79,(IF($A$8=Nutrients!$B$77,Nutrients!$BW$77,Nutrients!$BW$78)))))*C$8))/2000</f>
        <v>0.1747961379454851</v>
      </c>
      <c r="D306" s="23">
        <f>(SUMPRODUCT(D$9:D$229,Nutrients!$BW$8:$BW$228)+(IF($A$7=Nutrients!$B$8,Nutrients!$BW$8,Nutrients!$BW$9)*D$7)+(((IF($A$8=Nutrients!$B$79,Nutrients!$BW$79,(IF($A$8=Nutrients!$B$77,Nutrients!$BW$77,Nutrients!$BW$78)))))*D$8))/2000</f>
        <v>0.17169952789434653</v>
      </c>
      <c r="E306" s="23">
        <f>(SUMPRODUCT(E$9:E$229,Nutrients!$BW$8:$BW$228)+(IF($A$7=Nutrients!$B$8,Nutrients!$BW$8,Nutrients!$BW$9)*E$7)+(((IF($A$8=Nutrients!$B$79,Nutrients!$BW$79,(IF($A$8=Nutrients!$B$77,Nutrients!$BW$77,Nutrients!$BW$78)))))*E$8))/2000</f>
        <v>0.16911270535843034</v>
      </c>
      <c r="F306" s="23">
        <f>(SUMPRODUCT(F$9:F$229,Nutrients!$BW$8:$BW$228)+(IF($A$7=Nutrients!$B$8,Nutrients!$BW$8,Nutrients!$BW$9)*F$7)+(((IF($A$8=Nutrients!$B$79,Nutrients!$BW$79,(IF($A$8=Nutrients!$B$77,Nutrients!$BW$77,Nutrients!$BW$78)))))*F$8))/2000</f>
        <v>0.16737197925804595</v>
      </c>
      <c r="G306" s="23">
        <f>(SUMPRODUCT(G$9:G$229,Nutrients!$BW$8:$BW$228)+(IF($A$7=Nutrients!$B$8,Nutrients!$BW$8,Nutrients!$BW$9)*G$7)+(((IF($A$8=Nutrients!$B$79,Nutrients!$BW$79,(IF($A$8=Nutrients!$B$77,Nutrients!$BW$77,Nutrients!$BW$78)))))*G$8))/2000</f>
        <v>0.1664919947730959</v>
      </c>
      <c r="H306" s="227"/>
      <c r="I306" s="23">
        <f>(SUMPRODUCT(I$9:I$229,Nutrients!$BW$8:$BW$228)+(IF($A$7=Nutrients!$B$8,Nutrients!$BW$8,Nutrients!$BW$9)*I$7)+(((IF($A$8=Nutrients!$B$79,Nutrients!$BW$79,(IF($A$8=Nutrients!$B$77,Nutrients!$BW$77,Nutrients!$BW$78)))))*I$8))/2000</f>
        <v>0.18562286981309919</v>
      </c>
      <c r="J306" s="23">
        <f>(SUMPRODUCT(J$9:J$229,Nutrients!$BW$8:$BW$228)+(IF($A$7=Nutrients!$B$8,Nutrients!$BW$8,Nutrients!$BW$9)*J$7)+(((IF($A$8=Nutrients!$B$79,Nutrients!$BW$79,(IF($A$8=Nutrients!$B$77,Nutrients!$BW$77,Nutrients!$BW$78)))))*J$8))/2000</f>
        <v>0.18206569740360845</v>
      </c>
      <c r="K306" s="23">
        <f>(SUMPRODUCT(K$9:K$229,Nutrients!$BW$8:$BW$228)+(IF($A$7=Nutrients!$B$8,Nutrients!$BW$8,Nutrients!$BW$9)*K$7)+(((IF($A$8=Nutrients!$B$79,Nutrients!$BW$79,(IF($A$8=Nutrients!$B$77,Nutrients!$BW$77,Nutrients!$BW$78)))))*K$8))/2000</f>
        <v>0.17899888148280288</v>
      </c>
      <c r="L306" s="23">
        <f>(SUMPRODUCT(L$9:L$229,Nutrients!$BW$8:$BW$228)+(IF($A$7=Nutrients!$B$8,Nutrients!$BW$8,Nutrients!$BW$9)*L$7)+(((IF($A$8=Nutrients!$B$79,Nutrients!$BW$79,(IF($A$8=Nutrients!$B$77,Nutrients!$BW$77,Nutrients!$BW$78)))))*L$8))/2000</f>
        <v>0.17640287222484963</v>
      </c>
      <c r="M306" s="23">
        <f>(SUMPRODUCT(M$9:M$229,Nutrients!$BW$8:$BW$228)+(IF($A$7=Nutrients!$B$8,Nutrients!$BW$8,Nutrients!$BW$9)*M$7)+(((IF($A$8=Nutrients!$B$79,Nutrients!$BW$79,(IF($A$8=Nutrients!$B$77,Nutrients!$BW$77,Nutrients!$BW$78)))))*M$8))/2000</f>
        <v>0.17466956877762876</v>
      </c>
      <c r="N306" s="23">
        <f>(SUMPRODUCT(N$9:N$229,Nutrients!$BW$8:$BW$228)+(IF($A$7=Nutrients!$B$8,Nutrients!$BW$8,Nutrients!$BW$9)*N$7)+(((IF($A$8=Nutrients!$B$79,Nutrients!$BW$79,(IF($A$8=Nutrients!$B$77,Nutrients!$BW$77,Nutrients!$BW$78)))))*N$8))/2000</f>
        <v>0.1664919947730959</v>
      </c>
      <c r="O306" s="198"/>
      <c r="P306" s="23">
        <f>(SUMPRODUCT(P$9:P$229,Nutrients!$BW$8:$BW$228)+(IF($A$7=Nutrients!$B$8,Nutrients!$BW$8,Nutrients!$BW$9)*P$7)+(((IF($A$8=Nutrients!$B$79,Nutrients!$BW$79,(IF($A$8=Nutrients!$B$77,Nutrients!$BW$77,Nutrients!$BW$78)))))*P$8))/2000</f>
        <v>0.19290296032595378</v>
      </c>
      <c r="Q306" s="23">
        <f>(SUMPRODUCT(Q$9:Q$229,Nutrients!$BW$8:$BW$228)+(IF($A$7=Nutrients!$B$8,Nutrients!$BW$8,Nutrients!$BW$9)*Q$7)+(((IF($A$8=Nutrients!$B$79,Nutrients!$BW$79,(IF($A$8=Nutrients!$B$77,Nutrients!$BW$77,Nutrients!$BW$78)))))*Q$8))/2000</f>
        <v>0.18936723619453219</v>
      </c>
      <c r="R306" s="23">
        <f>(SUMPRODUCT(R$9:R$229,Nutrients!$BW$8:$BW$228)+(IF($A$7=Nutrients!$B$8,Nutrients!$BW$8,Nutrients!$BW$9)*R$7)+(((IF($A$8=Nutrients!$B$79,Nutrients!$BW$79,(IF($A$8=Nutrients!$B$77,Nutrients!$BW$77,Nutrients!$BW$78)))))*R$8))/2000</f>
        <v>0.18632393708775447</v>
      </c>
      <c r="S306" s="23">
        <f>(SUMPRODUCT(S$9:S$229,Nutrients!$BW$8:$BW$228)+(IF($A$7=Nutrients!$B$8,Nutrients!$BW$8,Nutrients!$BW$9)*S$7)+(((IF($A$8=Nutrients!$B$79,Nutrients!$BW$79,(IF($A$8=Nutrients!$B$77,Nutrients!$BW$77,Nutrients!$BW$78)))))*S$8))/2000</f>
        <v>0.18371713584127405</v>
      </c>
      <c r="T306" s="23">
        <f>(SUMPRODUCT(T$9:T$229,Nutrients!$BW$8:$BW$228)+(IF($A$7=Nutrients!$B$8,Nutrients!$BW$8,Nutrients!$BW$9)*T$7)+(((IF($A$8=Nutrients!$B$79,Nutrients!$BW$79,(IF($A$8=Nutrients!$B$77,Nutrients!$BW$77,Nutrients!$BW$78)))))*T$8))/2000</f>
        <v>0.18200143055036358</v>
      </c>
      <c r="U306" s="23">
        <f>(SUMPRODUCT(U$9:U$229,Nutrients!$BW$8:$BW$228)+(IF($A$7=Nutrients!$B$8,Nutrients!$BW$8,Nutrients!$BW$9)*U$7)+(((IF($A$8=Nutrients!$B$79,Nutrients!$BW$79,(IF($A$8=Nutrients!$B$77,Nutrients!$BW$77,Nutrients!$BW$78)))))*U$8))/2000</f>
        <v>0.1664919947730959</v>
      </c>
      <c r="W306" s="23">
        <f>(SUMPRODUCT(W$9:W$229,Nutrients!$BW$8:$BW$228)+(IF($A$7=Nutrients!$B$8,Nutrients!$BW$8,Nutrients!$BW$9)*W$7)+(((IF($A$8=Nutrients!$B$79,Nutrients!$BW$79,(IF($A$8=Nutrients!$B$77,Nutrients!$BW$77,Nutrients!$BW$78)))))*W$8))/2000</f>
        <v>0.20018196879032896</v>
      </c>
      <c r="X306" s="23">
        <f>(SUMPRODUCT(X$9:X$229,Nutrients!$BW$8:$BW$228)+(IF($A$7=Nutrients!$B$8,Nutrients!$BW$8,Nutrients!$BW$9)*X$7)+(((IF($A$8=Nutrients!$B$79,Nutrients!$BW$79,(IF($A$8=Nutrients!$B$77,Nutrients!$BW$77,Nutrients!$BW$78)))))*X$8))/2000</f>
        <v>0.19666798822364953</v>
      </c>
      <c r="Y306" s="23">
        <f>(SUMPRODUCT(Y$9:Y$229,Nutrients!$BW$8:$BW$228)+(IF($A$7=Nutrients!$B$8,Nutrients!$BW$8,Nutrients!$BW$9)*Y$7)+(((IF($A$8=Nutrients!$B$79,Nutrients!$BW$79,(IF($A$8=Nutrients!$B$77,Nutrients!$BW$77,Nutrients!$BW$78)))))*Y$8))/2000</f>
        <v>0.19361420156022802</v>
      </c>
      <c r="Z306" s="23">
        <f>(SUMPRODUCT(Z$9:Z$229,Nutrients!$BW$8:$BW$228)+(IF($A$7=Nutrients!$B$8,Nutrients!$BW$8,Nutrients!$BW$9)*Z$7)+(((IF($A$8=Nutrients!$B$79,Nutrients!$BW$79,(IF($A$8=Nutrients!$B$77,Nutrients!$BW$77,Nutrients!$BW$78)))))*Z$8))/2000</f>
        <v>0.19103821967195403</v>
      </c>
      <c r="AA306" s="23">
        <f>(SUMPRODUCT(AA$9:AA$229,Nutrients!$BW$8:$BW$228)+(IF($A$7=Nutrients!$B$8,Nutrients!$BW$8,Nutrients!$BW$9)*AA$7)+(((IF($A$8=Nutrients!$B$79,Nutrients!$BW$79,(IF($A$8=Nutrients!$B$77,Nutrients!$BW$77,Nutrients!$BW$78)))))*AA$8))/2000</f>
        <v>0.18933386385278517</v>
      </c>
      <c r="AB306" s="23">
        <f>(SUMPRODUCT(AB$9:AB$229,Nutrients!$BW$8:$BW$228)+(IF($A$7=Nutrients!$B$8,Nutrients!$BW$8,Nutrients!$BW$9)*AB$7)+(((IF($A$8=Nutrients!$B$79,Nutrients!$BW$79,(IF($A$8=Nutrients!$B$77,Nutrients!$BW$77,Nutrients!$BW$78)))))*AB$8))/2000</f>
        <v>0.1664919947730959</v>
      </c>
      <c r="AD306" s="23">
        <f>(SUMPRODUCT(AD$9:AD$229,Nutrients!$BW$8:$BW$228)+(IF($A$7=Nutrients!$B$8,Nutrients!$BW$8,Nutrients!$BW$9)*AD$7)+(((IF($A$8=Nutrients!$B$79,Nutrients!$BW$79,(IF($A$8=Nutrients!$B$77,Nutrients!$BW$77,Nutrients!$BW$78)))))*AD$8))/2000</f>
        <v>0.20745899107422577</v>
      </c>
      <c r="AE306" s="23">
        <f>(SUMPRODUCT(AE$9:AE$229,Nutrients!$BW$8:$BW$228)+(IF($A$7=Nutrients!$B$8,Nutrients!$BW$8,Nutrients!$BW$9)*AE$7)+(((IF($A$8=Nutrients!$B$79,Nutrients!$BW$79,(IF($A$8=Nutrients!$B$77,Nutrients!$BW$77,Nutrients!$BW$78)))))*AE$8))/2000</f>
        <v>0.20393659587343096</v>
      </c>
      <c r="AF306" s="23">
        <f>(SUMPRODUCT(AF$9:AF$229,Nutrients!$BW$8:$BW$228)+(IF($A$7=Nutrients!$B$8,Nutrients!$BW$8,Nutrients!$BW$9)*AF$7)+(((IF($A$8=Nutrients!$B$79,Nutrients!$BW$79,(IF($A$8=Nutrients!$B$77,Nutrients!$BW$77,Nutrients!$BW$78)))))*AF$8))/2000</f>
        <v>0.20091337096117329</v>
      </c>
      <c r="AG306" s="23">
        <f>(SUMPRODUCT(AG$9:AG$229,Nutrients!$BW$8:$BW$228)+(IF($A$7=Nutrients!$B$8,Nutrients!$BW$8,Nutrients!$BW$9)*AG$7)+(((IF($A$8=Nutrients!$B$79,Nutrients!$BW$79,(IF($A$8=Nutrients!$B$77,Nutrients!$BW$77,Nutrients!$BW$78)))))*AG$8))/2000</f>
        <v>0.19835846349485534</v>
      </c>
      <c r="AH306" s="23">
        <f>(SUMPRODUCT(AH$9:AH$229,Nutrients!$BW$8:$BW$228)+(IF($A$7=Nutrients!$B$8,Nutrients!$BW$8,Nutrients!$BW$9)*AH$7)+(((IF($A$8=Nutrients!$B$79,Nutrients!$BW$79,(IF($A$8=Nutrients!$B$77,Nutrients!$BW$77,Nutrients!$BW$78)))))*AH$8))/2000</f>
        <v>0.19673978885299195</v>
      </c>
      <c r="AI306" s="23">
        <f>(SUMPRODUCT(AI$9:AI$229,Nutrients!$BW$8:$BW$228)+(IF($A$7=Nutrients!$B$8,Nutrients!$BW$8,Nutrients!$BW$9)*AI$7)+(((IF($A$8=Nutrients!$B$79,Nutrients!$BW$79,(IF($A$8=Nutrients!$B$77,Nutrients!$BW$77,Nutrients!$BW$78)))))*AI$8))/2000</f>
        <v>0.1664919947730959</v>
      </c>
      <c r="AK306" s="23">
        <f>(SUMPRODUCT(AK$9:AK$229,Nutrients!$BW$8:$BW$228)+(IF($A$7=Nutrients!$B$8,Nutrients!$BW$8,Nutrients!$BW$9)*AK$7)+(((IF($A$8=Nutrients!$B$79,Nutrients!$BW$79,(IF($A$8=Nutrients!$B$77,Nutrients!$BW$77,Nutrients!$BW$78)))))*AK$8))/2000</f>
        <v>0.21486728563327551</v>
      </c>
      <c r="AL306" s="23">
        <f>(SUMPRODUCT(AL$9:AL$229,Nutrients!$BW$8:$BW$228)+(IF($A$7=Nutrients!$B$8,Nutrients!$BW$8,Nutrients!$BW$9)*AL$7)+(((IF($A$8=Nutrients!$B$79,Nutrients!$BW$79,(IF($A$8=Nutrients!$B$77,Nutrients!$BW$77,Nutrients!$BW$78)))))*AL$8))/2000</f>
        <v>0.21121398836460173</v>
      </c>
      <c r="AM306" s="23">
        <f>(SUMPRODUCT(AM$9:AM$229,Nutrients!$BW$8:$BW$228)+(IF($A$7=Nutrients!$B$8,Nutrients!$BW$8,Nutrients!$BW$9)*AM$7)+(((IF($A$8=Nutrients!$B$79,Nutrients!$BW$79,(IF($A$8=Nutrients!$B$77,Nutrients!$BW$77,Nutrients!$BW$78)))))*AM$8))/2000</f>
        <v>0.20821374060536282</v>
      </c>
      <c r="AN306" s="23">
        <f>(SUMPRODUCT(AN$9:AN$229,Nutrients!$BW$8:$BW$228)+(IF($A$7=Nutrients!$B$8,Nutrients!$BW$8,Nutrients!$BW$9)*AN$7)+(((IF($A$8=Nutrients!$B$79,Nutrients!$BW$79,(IF($A$8=Nutrients!$B$77,Nutrients!$BW$77,Nutrients!$BW$78)))))*AN$8))/2000</f>
        <v>0.20573356687597472</v>
      </c>
      <c r="AO306" s="23">
        <f>(SUMPRODUCT(AO$9:AO$229,Nutrients!$BW$8:$BW$228)+(IF($A$7=Nutrients!$B$8,Nutrients!$BW$8,Nutrients!$BW$9)*AO$7)+(((IF($A$8=Nutrients!$B$79,Nutrients!$BW$79,(IF($A$8=Nutrients!$B$77,Nutrients!$BW$77,Nutrients!$BW$78)))))*AO$8))/2000</f>
        <v>0.20418396325292856</v>
      </c>
      <c r="AP306" s="23">
        <f>(SUMPRODUCT(AP$9:AP$229,Nutrients!$BW$8:$BW$228)+(IF($A$7=Nutrients!$B$8,Nutrients!$BW$8,Nutrients!$BW$9)*AP$7)+(((IF($A$8=Nutrients!$B$79,Nutrients!$BW$79,(IF($A$8=Nutrients!$B$77,Nutrients!$BW$77,Nutrients!$BW$78)))))*AP$8))/2000</f>
        <v>0.1664919947730959</v>
      </c>
      <c r="AR306" s="23">
        <f>(SUMPRODUCT(AR$9:AR$229,Nutrients!$BW$8:$BW$228)+(IF($A$7=Nutrients!$B$8,Nutrients!$BW$8,Nutrients!$BW$9)*AR$7)+(((IF($A$8=Nutrients!$B$79,Nutrients!$BW$79,(IF($A$8=Nutrients!$B$77,Nutrients!$BW$77,Nutrients!$BW$78)))))*AR$8))/2000</f>
        <v>0.22209437244780594</v>
      </c>
      <c r="AS306" s="23">
        <f>(SUMPRODUCT(AS$9:AS$229,Nutrients!$BW$8:$BW$228)+(IF($A$7=Nutrients!$B$8,Nutrients!$BW$8,Nutrients!$BW$9)*AS$7)+(((IF($A$8=Nutrients!$B$79,Nutrients!$BW$79,(IF($A$8=Nutrients!$B$77,Nutrients!$BW$77,Nutrients!$BW$78)))))*AS$8))/2000</f>
        <v>0.21849221670755783</v>
      </c>
      <c r="AT306" s="23">
        <f>(SUMPRODUCT(AT$9:AT$229,Nutrients!$BW$8:$BW$228)+(IF($A$7=Nutrients!$B$8,Nutrients!$BW$8,Nutrients!$BW$9)*AT$7)+(((IF($A$8=Nutrients!$B$79,Nutrients!$BW$79,(IF($A$8=Nutrients!$B$77,Nutrients!$BW$77,Nutrients!$BW$78)))))*AT$8))/2000</f>
        <v>0.21552132635925586</v>
      </c>
      <c r="AU306" s="23">
        <f>(SUMPRODUCT(AU$9:AU$229,Nutrients!$BW$8:$BW$228)+(IF($A$7=Nutrients!$B$8,Nutrients!$BW$8,Nutrients!$BW$9)*AU$7)+(((IF($A$8=Nutrients!$B$79,Nutrients!$BW$79,(IF($A$8=Nutrients!$B$77,Nutrients!$BW$77,Nutrients!$BW$78)))))*AU$8))/2000</f>
        <v>0.21316717711694511</v>
      </c>
      <c r="AV306" s="23">
        <f>(SUMPRODUCT(AV$9:AV$229,Nutrients!$BW$8:$BW$228)+(IF($A$7=Nutrients!$B$8,Nutrients!$BW$8,Nutrients!$BW$9)*AV$7)+(((IF($A$8=Nutrients!$B$79,Nutrients!$BW$79,(IF($A$8=Nutrients!$B$77,Nutrients!$BW$77,Nutrients!$BW$78)))))*AV$8))/2000</f>
        <v>0.21162837239487978</v>
      </c>
      <c r="AW306" s="23">
        <f>(SUMPRODUCT(AW$9:AW$229,Nutrients!$BW$8:$BW$228)+(IF($A$7=Nutrients!$B$8,Nutrients!$BW$8,Nutrients!$BW$9)*AW$7)+(((IF($A$8=Nutrients!$B$79,Nutrients!$BW$79,(IF($A$8=Nutrients!$B$77,Nutrients!$BW$77,Nutrients!$BW$78)))))*AW$8))/2000</f>
        <v>0.1664919947730959</v>
      </c>
    </row>
    <row r="307" spans="1:49" x14ac:dyDescent="0.25">
      <c r="A307" t="s">
        <v>66</v>
      </c>
      <c r="B307" s="23">
        <f>(SUMPRODUCT(B$9:B$229,Nutrients!$BT$8:$BT$228)+(IF($A$7=Nutrients!$B$8,Nutrients!$BT$8,Nutrients!$BT$9)*B$7)+(((IF($A$8=Nutrients!$B$79,Nutrients!$BT$79,(IF($A$8=Nutrients!$B$77,Nutrients!$BT$77,Nutrients!$BT$78)))))*B$8))/2000</f>
        <v>0.31519434822612252</v>
      </c>
      <c r="C307" s="23">
        <f>(SUMPRODUCT(C$9:C$229,Nutrients!$BT$8:$BT$228)+(IF($A$7=Nutrients!$B$8,Nutrients!$BT$8,Nutrients!$BT$9)*C$7)+(((IF($A$8=Nutrients!$B$79,Nutrients!$BT$79,(IF($A$8=Nutrients!$B$77,Nutrients!$BT$77,Nutrients!$BT$78)))))*C$8))/2000</f>
        <v>0.3147366231672945</v>
      </c>
      <c r="D307" s="23">
        <f>(SUMPRODUCT(D$9:D$229,Nutrients!$BT$8:$BT$228)+(IF($A$7=Nutrients!$B$8,Nutrients!$BT$8,Nutrients!$BT$9)*D$7)+(((IF($A$8=Nutrients!$B$79,Nutrients!$BT$79,(IF($A$8=Nutrients!$B$77,Nutrients!$BT$77,Nutrients!$BT$78)))))*D$8))/2000</f>
        <v>0.31354180150272754</v>
      </c>
      <c r="E307" s="23">
        <f>(SUMPRODUCT(E$9:E$229,Nutrients!$BT$8:$BT$228)+(IF($A$7=Nutrients!$B$8,Nutrients!$BT$8,Nutrients!$BT$9)*E$7)+(((IF($A$8=Nutrients!$B$79,Nutrients!$BT$79,(IF($A$8=Nutrients!$B$77,Nutrients!$BT$77,Nutrients!$BT$78)))))*E$8))/2000</f>
        <v>0.31295871729246166</v>
      </c>
      <c r="F307" s="23">
        <f>(SUMPRODUCT(F$9:F$229,Nutrients!$BT$8:$BT$228)+(IF($A$7=Nutrients!$B$8,Nutrients!$BT$8,Nutrients!$BT$9)*F$7)+(((IF($A$8=Nutrients!$B$79,Nutrients!$BT$79,(IF($A$8=Nutrients!$B$77,Nutrients!$BT$77,Nutrients!$BT$78)))))*F$8))/2000</f>
        <v>0.31206915279820541</v>
      </c>
      <c r="G307" s="23">
        <f>(SUMPRODUCT(G$9:G$229,Nutrients!$BT$8:$BT$228)+(IF($A$7=Nutrients!$B$8,Nutrients!$BT$8,Nutrients!$BT$9)*G$7)+(((IF($A$8=Nutrients!$B$79,Nutrients!$BT$79,(IF($A$8=Nutrients!$B$77,Nutrients!$BT$77,Nutrients!$BT$78)))))*G$8))/2000</f>
        <v>0.31085636054251664</v>
      </c>
      <c r="H307" s="227"/>
      <c r="I307" s="23">
        <f>(SUMPRODUCT(I$9:I$229,Nutrients!$BT$8:$BT$228)+(IF($A$7=Nutrients!$B$8,Nutrients!$BT$8,Nutrients!$BT$9)*I$7)+(((IF($A$8=Nutrients!$B$79,Nutrients!$BT$79,(IF($A$8=Nutrients!$B$77,Nutrients!$BT$77,Nutrients!$BT$78)))))*I$8))/2000</f>
        <v>0.32797913621121561</v>
      </c>
      <c r="J307" s="23">
        <f>(SUMPRODUCT(J$9:J$229,Nutrients!$BT$8:$BT$228)+(IF($A$7=Nutrients!$B$8,Nutrients!$BT$8,Nutrients!$BT$9)*J$7)+(((IF($A$8=Nutrients!$B$79,Nutrients!$BT$79,(IF($A$8=Nutrients!$B$77,Nutrients!$BT$77,Nutrients!$BT$78)))))*J$8))/2000</f>
        <v>0.32752024217632575</v>
      </c>
      <c r="K307" s="23">
        <f>(SUMPRODUCT(K$9:K$229,Nutrients!$BT$8:$BT$228)+(IF($A$7=Nutrients!$B$8,Nutrients!$BT$8,Nutrients!$BT$9)*K$7)+(((IF($A$8=Nutrients!$B$79,Nutrients!$BT$79,(IF($A$8=Nutrients!$B$77,Nutrients!$BT$77,Nutrients!$BT$78)))))*K$8))/2000</f>
        <v>0.32632434792923404</v>
      </c>
      <c r="L307" s="23">
        <f>(SUMPRODUCT(L$9:L$229,Nutrients!$BT$8:$BT$228)+(IF($A$7=Nutrients!$B$8,Nutrients!$BT$8,Nutrients!$BT$9)*L$7)+(((IF($A$8=Nutrients!$B$79,Nutrients!$BT$79,(IF($A$8=Nutrients!$B$77,Nutrients!$BT$77,Nutrients!$BT$78)))))*L$8))/2000</f>
        <v>0.32574971304931477</v>
      </c>
      <c r="M307" s="23">
        <f>(SUMPRODUCT(M$9:M$229,Nutrients!$BT$8:$BT$228)+(IF($A$7=Nutrients!$B$8,Nutrients!$BT$8,Nutrients!$BT$9)*M$7)+(((IF($A$8=Nutrients!$B$79,Nutrients!$BT$79,(IF($A$8=Nutrients!$B$77,Nutrients!$BT$77,Nutrients!$BT$78)))))*M$8))/2000</f>
        <v>0.32485741816680286</v>
      </c>
      <c r="N307" s="23">
        <f>(SUMPRODUCT(N$9:N$229,Nutrients!$BT$8:$BT$228)+(IF($A$7=Nutrients!$B$8,Nutrients!$BT$8,Nutrients!$BT$9)*N$7)+(((IF($A$8=Nutrients!$B$79,Nutrients!$BT$79,(IF($A$8=Nutrients!$B$77,Nutrients!$BT$77,Nutrients!$BT$78)))))*N$8))/2000</f>
        <v>0.31085636054251664</v>
      </c>
      <c r="O307" s="198"/>
      <c r="P307" s="23">
        <f>(SUMPRODUCT(P$9:P$229,Nutrients!$BT$8:$BT$228)+(IF($A$7=Nutrients!$B$8,Nutrients!$BT$8,Nutrients!$BT$9)*P$7)+(((IF($A$8=Nutrients!$B$79,Nutrients!$BT$79,(IF($A$8=Nutrients!$B$77,Nutrients!$BT$77,Nutrients!$BT$78)))))*P$8))/2000</f>
        <v>0.34076189078428104</v>
      </c>
      <c r="Q307" s="23">
        <f>(SUMPRODUCT(Q$9:Q$229,Nutrients!$BT$8:$BT$228)+(IF($A$7=Nutrients!$B$8,Nutrients!$BT$8,Nutrients!$BT$9)*Q$7)+(((IF($A$8=Nutrients!$B$79,Nutrients!$BT$79,(IF($A$8=Nutrients!$B$77,Nutrients!$BT$77,Nutrients!$BT$78)))))*Q$8))/2000</f>
        <v>0.34030233678692939</v>
      </c>
      <c r="R307" s="23">
        <f>(SUMPRODUCT(R$9:R$229,Nutrients!$BT$8:$BT$228)+(IF($A$7=Nutrients!$B$8,Nutrients!$BT$8,Nutrients!$BT$9)*R$7)+(((IF($A$8=Nutrients!$B$79,Nutrients!$BT$79,(IF($A$8=Nutrients!$B$77,Nutrients!$BT$77,Nutrients!$BT$78)))))*R$8))/2000</f>
        <v>0.33910623738857054</v>
      </c>
      <c r="S307" s="23">
        <f>(SUMPRODUCT(S$9:S$229,Nutrients!$BT$8:$BT$228)+(IF($A$7=Nutrients!$B$8,Nutrients!$BT$8,Nutrients!$BT$9)*S$7)+(((IF($A$8=Nutrients!$B$79,Nutrients!$BT$79,(IF($A$8=Nutrients!$B$77,Nutrients!$BT$77,Nutrients!$BT$78)))))*S$8))/2000</f>
        <v>0.33853180148947781</v>
      </c>
      <c r="T307" s="23">
        <f>(SUMPRODUCT(T$9:T$229,Nutrients!$BT$8:$BT$228)+(IF($A$7=Nutrients!$B$8,Nutrients!$BT$8,Nutrients!$BT$9)*T$7)+(((IF($A$8=Nutrients!$B$79,Nutrients!$BT$79,(IF($A$8=Nutrients!$B$77,Nutrients!$BT$77,Nutrients!$BT$78)))))*T$8))/2000</f>
        <v>0.33763489867106866</v>
      </c>
      <c r="U307" s="23">
        <f>(SUMPRODUCT(U$9:U$229,Nutrients!$BT$8:$BT$228)+(IF($A$7=Nutrients!$B$8,Nutrients!$BT$8,Nutrients!$BT$9)*U$7)+(((IF($A$8=Nutrients!$B$79,Nutrients!$BT$79,(IF($A$8=Nutrients!$B$77,Nutrients!$BT$77,Nutrients!$BT$78)))))*U$8))/2000</f>
        <v>0.31085636054251664</v>
      </c>
      <c r="W307" s="23">
        <f>(SUMPRODUCT(W$9:W$229,Nutrients!$BT$8:$BT$228)+(IF($A$7=Nutrients!$B$8,Nutrients!$BT$8,Nutrients!$BT$9)*W$7)+(((IF($A$8=Nutrients!$B$79,Nutrients!$BT$79,(IF($A$8=Nutrients!$B$77,Nutrients!$BT$77,Nutrients!$BT$78)))))*W$8))/2000</f>
        <v>0.35354513897654144</v>
      </c>
      <c r="X307" s="23">
        <f>(SUMPRODUCT(X$9:X$229,Nutrients!$BT$8:$BT$228)+(IF($A$7=Nutrients!$B$8,Nutrients!$BT$8,Nutrients!$BT$9)*X$7)+(((IF($A$8=Nutrients!$B$79,Nutrients!$BT$79,(IF($A$8=Nutrients!$B$77,Nutrients!$BT$77,Nutrients!$BT$78)))))*X$8))/2000</f>
        <v>0.35308522258644415</v>
      </c>
      <c r="Y307" s="23">
        <f>(SUMPRODUCT(Y$9:Y$229,Nutrients!$BT$8:$BT$228)+(IF($A$7=Nutrients!$B$8,Nutrients!$BT$8,Nutrients!$BT$9)*Y$7)+(((IF($A$8=Nutrients!$B$79,Nutrients!$BT$79,(IF($A$8=Nutrients!$B$77,Nutrients!$BT$77,Nutrients!$BT$78)))))*Y$8))/2000</f>
        <v>0.35188903860895032</v>
      </c>
      <c r="Z307" s="23">
        <f>(SUMPRODUCT(Z$9:Z$229,Nutrients!$BT$8:$BT$228)+(IF($A$7=Nutrients!$B$8,Nutrients!$BT$8,Nutrients!$BT$9)*Z$7)+(((IF($A$8=Nutrients!$B$79,Nutrients!$BT$79,(IF($A$8=Nutrients!$B$77,Nutrients!$BT$77,Nutrients!$BT$78)))))*Z$8))/2000</f>
        <v>0.351312893348667</v>
      </c>
      <c r="AA307" s="23">
        <f>(SUMPRODUCT(AA$9:AA$229,Nutrients!$BT$8:$BT$228)+(IF($A$7=Nutrients!$B$8,Nutrients!$BT$8,Nutrients!$BT$9)*AA$7)+(((IF($A$8=Nutrients!$B$79,Nutrients!$BT$79,(IF($A$8=Nutrients!$B$77,Nutrients!$BT$77,Nutrients!$BT$78)))))*AA$8))/2000</f>
        <v>0.35041171978269497</v>
      </c>
      <c r="AB307" s="23">
        <f>(SUMPRODUCT(AB$9:AB$229,Nutrients!$BT$8:$BT$228)+(IF($A$7=Nutrients!$B$8,Nutrients!$BT$8,Nutrients!$BT$9)*AB$7)+(((IF($A$8=Nutrients!$B$79,Nutrients!$BT$79,(IF($A$8=Nutrients!$B$77,Nutrients!$BT$77,Nutrients!$BT$78)))))*AB$8))/2000</f>
        <v>0.31085636054251664</v>
      </c>
      <c r="AD307" s="23">
        <f>(SUMPRODUCT(AD$9:AD$229,Nutrients!$BT$8:$BT$228)+(IF($A$7=Nutrients!$B$8,Nutrients!$BT$8,Nutrients!$BT$9)*AD$7)+(((IF($A$8=Nutrients!$B$79,Nutrients!$BT$79,(IF($A$8=Nutrients!$B$77,Nutrients!$BT$77,Nutrients!$BT$78)))))*AD$8))/2000</f>
        <v>0.36632813471969583</v>
      </c>
      <c r="AE307" s="23">
        <f>(SUMPRODUCT(AE$9:AE$229,Nutrients!$BT$8:$BT$228)+(IF($A$7=Nutrients!$B$8,Nutrients!$BT$8,Nutrients!$BT$9)*AE$7)+(((IF($A$8=Nutrients!$B$79,Nutrients!$BT$79,(IF($A$8=Nutrients!$B$77,Nutrients!$BT$77,Nutrients!$BT$78)))))*AE$8))/2000</f>
        <v>0.36586833710551553</v>
      </c>
      <c r="AF307" s="23">
        <f>(SUMPRODUCT(AF$9:AF$229,Nutrients!$BT$8:$BT$228)+(IF($A$7=Nutrients!$B$8,Nutrients!$BT$8,Nutrients!$BT$9)*AF$7)+(((IF($A$8=Nutrients!$B$79,Nutrients!$BT$79,(IF($A$8=Nutrients!$B$77,Nutrients!$BT$77,Nutrients!$BT$78)))))*AF$8))/2000</f>
        <v>0.36467199047628951</v>
      </c>
      <c r="AG307" s="23">
        <f>(SUMPRODUCT(AG$9:AG$229,Nutrients!$BT$8:$BT$228)+(IF($A$7=Nutrients!$B$8,Nutrients!$BT$8,Nutrients!$BT$9)*AG$7)+(((IF($A$8=Nutrients!$B$79,Nutrients!$BT$79,(IF($A$8=Nutrients!$B$77,Nutrients!$BT$77,Nutrients!$BT$78)))))*AG$8))/2000</f>
        <v>0.36408947895781546</v>
      </c>
      <c r="AH307" s="23">
        <f>(SUMPRODUCT(AH$9:AH$229,Nutrients!$BT$8:$BT$228)+(IF($A$7=Nutrients!$B$8,Nutrients!$BT$8,Nutrients!$BT$9)*AH$7)+(((IF($A$8=Nutrients!$B$79,Nutrients!$BT$79,(IF($A$8=Nutrients!$B$77,Nutrients!$BT$77,Nutrients!$BT$78)))))*AH$8))/2000</f>
        <v>0.36316336176056729</v>
      </c>
      <c r="AI307" s="23">
        <f>(SUMPRODUCT(AI$9:AI$229,Nutrients!$BT$8:$BT$228)+(IF($A$7=Nutrients!$B$8,Nutrients!$BT$8,Nutrients!$BT$9)*AI$7)+(((IF($A$8=Nutrients!$B$79,Nutrients!$BT$79,(IF($A$8=Nutrients!$B$77,Nutrients!$BT$77,Nutrients!$BT$78)))))*AI$8))/2000</f>
        <v>0.31085636054251664</v>
      </c>
      <c r="AK307" s="23">
        <f>(SUMPRODUCT(AK$9:AK$229,Nutrients!$BT$8:$BT$228)+(IF($A$7=Nutrients!$B$8,Nutrients!$BT$8,Nutrients!$BT$9)*AK$7)+(((IF($A$8=Nutrients!$B$79,Nutrients!$BT$79,(IF($A$8=Nutrients!$B$77,Nutrients!$BT$77,Nutrients!$BT$78)))))*AK$8))/2000</f>
        <v>0.37910887552855033</v>
      </c>
      <c r="AL307" s="23">
        <f>(SUMPRODUCT(AL$9:AL$229,Nutrients!$BT$8:$BT$228)+(IF($A$7=Nutrients!$B$8,Nutrients!$BT$8,Nutrients!$BT$9)*AL$7)+(((IF($A$8=Nutrients!$B$79,Nutrients!$BT$79,(IF($A$8=Nutrients!$B$77,Nutrients!$BT$77,Nutrients!$BT$78)))))*AL$8))/2000</f>
        <v>0.37865161223066268</v>
      </c>
      <c r="AM307" s="23">
        <f>(SUMPRODUCT(AM$9:AM$229,Nutrients!$BT$8:$BT$228)+(IF($A$7=Nutrients!$B$8,Nutrients!$BT$8,Nutrients!$BT$9)*AM$7)+(((IF($A$8=Nutrients!$B$79,Nutrients!$BT$79,(IF($A$8=Nutrients!$B$77,Nutrients!$BT$77,Nutrients!$BT$78)))))*AM$8))/2000</f>
        <v>0.37744934598221969</v>
      </c>
      <c r="AN307" s="23">
        <f>(SUMPRODUCT(AN$9:AN$229,Nutrients!$BT$8:$BT$228)+(IF($A$7=Nutrients!$B$8,Nutrients!$BT$8,Nutrients!$BT$9)*AN$7)+(((IF($A$8=Nutrients!$B$79,Nutrients!$BT$79,(IF($A$8=Nutrients!$B$77,Nutrients!$BT$77,Nutrients!$BT$78)))))*AN$8))/2000</f>
        <v>0.37684748099816834</v>
      </c>
      <c r="AO307" s="23">
        <f>(SUMPRODUCT(AO$9:AO$229,Nutrients!$BT$8:$BT$228)+(IF($A$7=Nutrients!$B$8,Nutrients!$BT$8,Nutrients!$BT$9)*AO$7)+(((IF($A$8=Nutrients!$B$79,Nutrients!$BT$79,(IF($A$8=Nutrients!$B$77,Nutrients!$BT$77,Nutrients!$BT$78)))))*AO$8))/2000</f>
        <v>0.37590235910748337</v>
      </c>
      <c r="AP307" s="23">
        <f>(SUMPRODUCT(AP$9:AP$229,Nutrients!$BT$8:$BT$228)+(IF($A$7=Nutrients!$B$8,Nutrients!$BT$8,Nutrients!$BT$9)*AP$7)+(((IF($A$8=Nutrients!$B$79,Nutrients!$BT$79,(IF($A$8=Nutrients!$B$77,Nutrients!$BT$77,Nutrients!$BT$78)))))*AP$8))/2000</f>
        <v>0.31085636054251664</v>
      </c>
      <c r="AR307" s="23">
        <f>(SUMPRODUCT(AR$9:AR$229,Nutrients!$BT$8:$BT$228)+(IF($A$7=Nutrients!$B$8,Nutrients!$BT$8,Nutrients!$BT$9)*AR$7)+(((IF($A$8=Nutrients!$B$79,Nutrients!$BT$79,(IF($A$8=Nutrients!$B$77,Nutrients!$BT$77,Nutrients!$BT$78)))))*AR$8))/2000</f>
        <v>0.39189292833775413</v>
      </c>
      <c r="AS307" s="23">
        <f>(SUMPRODUCT(AS$9:AS$229,Nutrients!$BT$8:$BT$228)+(IF($A$7=Nutrients!$B$8,Nutrients!$BT$8,Nutrients!$BT$9)*AS$7)+(((IF($A$8=Nutrients!$B$79,Nutrients!$BT$79,(IF($A$8=Nutrients!$B$77,Nutrients!$BT$77,Nutrients!$BT$78)))))*AS$8))/2000</f>
        <v>0.39143458853266211</v>
      </c>
      <c r="AT307" s="23">
        <f>(SUMPRODUCT(AT$9:AT$229,Nutrients!$BT$8:$BT$228)+(IF($A$7=Nutrients!$B$8,Nutrients!$BT$8,Nutrients!$BT$9)*AT$7)+(((IF($A$8=Nutrients!$B$79,Nutrients!$BT$79,(IF($A$8=Nutrients!$B$77,Nutrients!$BT$77,Nutrients!$BT$78)))))*AT$8))/2000</f>
        <v>0.39022620705261057</v>
      </c>
      <c r="AU307" s="23">
        <f>(SUMPRODUCT(AU$9:AU$229,Nutrients!$BT$8:$BT$228)+(IF($A$7=Nutrients!$B$8,Nutrients!$BT$8,Nutrients!$BT$9)*AU$7)+(((IF($A$8=Nutrients!$B$79,Nutrients!$BT$79,(IF($A$8=Nutrients!$B$77,Nutrients!$BT$77,Nutrients!$BT$78)))))*AU$8))/2000</f>
        <v>0.38958649556721603</v>
      </c>
      <c r="AV307" s="23">
        <f>(SUMPRODUCT(AV$9:AV$229,Nutrients!$BT$8:$BT$228)+(IF($A$7=Nutrients!$B$8,Nutrients!$BT$8,Nutrients!$BT$9)*AV$7)+(((IF($A$8=Nutrients!$B$79,Nutrients!$BT$79,(IF($A$8=Nutrients!$B$77,Nutrients!$BT$77,Nutrients!$BT$78)))))*AV$8))/2000</f>
        <v>0.38864156445292686</v>
      </c>
      <c r="AW307" s="23">
        <f>(SUMPRODUCT(AW$9:AW$229,Nutrients!$BT$8:$BT$228)+(IF($A$7=Nutrients!$B$8,Nutrients!$BT$8,Nutrients!$BT$9)*AW$7)+(((IF($A$8=Nutrients!$B$79,Nutrients!$BT$79,(IF($A$8=Nutrients!$B$77,Nutrients!$BT$77,Nutrients!$BT$78)))))*AW$8))/2000</f>
        <v>0.31085636054251664</v>
      </c>
    </row>
    <row r="308" spans="1:49" x14ac:dyDescent="0.25">
      <c r="A308" t="s">
        <v>67</v>
      </c>
      <c r="B308" s="23">
        <f>(SUMPRODUCT(B$9:B$229,Nutrients!$BU$8:$BU$228)+(IF($A$7=Nutrients!$B$8,Nutrients!$BU$8,Nutrients!$BU$9)*B$7)+(((IF($A$8=Nutrients!$B$79,Nutrients!$BU$79,(IF($A$8=Nutrients!$B$77,Nutrients!$BU$77,Nutrients!$BU$78)))))*B$8))/2000</f>
        <v>0.90672227094333946</v>
      </c>
      <c r="C308" s="23">
        <f>(SUMPRODUCT(C$9:C$229,Nutrients!$BU$8:$BU$228)+(IF($A$7=Nutrients!$B$8,Nutrients!$BU$8,Nutrients!$BU$9)*C$7)+(((IF($A$8=Nutrients!$B$79,Nutrients!$BU$79,(IF($A$8=Nutrients!$B$77,Nutrients!$BU$77,Nutrients!$BU$78)))))*C$8))/2000</f>
        <v>0.80119571619411978</v>
      </c>
      <c r="D308" s="23">
        <f>(SUMPRODUCT(D$9:D$229,Nutrients!$BU$8:$BU$228)+(IF($A$7=Nutrients!$B$8,Nutrients!$BU$8,Nutrients!$BU$9)*D$7)+(((IF($A$8=Nutrients!$B$79,Nutrients!$BU$79,(IF($A$8=Nutrients!$B$77,Nutrients!$BU$77,Nutrients!$BU$78)))))*D$8))/2000</f>
        <v>0.71030836475916248</v>
      </c>
      <c r="E308" s="23">
        <f>(SUMPRODUCT(E$9:E$229,Nutrients!$BU$8:$BU$228)+(IF($A$7=Nutrients!$B$8,Nutrients!$BU$8,Nutrients!$BU$9)*E$7)+(((IF($A$8=Nutrients!$B$79,Nutrients!$BU$79,(IF($A$8=Nutrients!$B$77,Nutrients!$BU$77,Nutrients!$BU$78)))))*E$8))/2000</f>
        <v>0.63370500360255355</v>
      </c>
      <c r="F308" s="23">
        <f>(SUMPRODUCT(F$9:F$229,Nutrients!$BU$8:$BU$228)+(IF($A$7=Nutrients!$B$8,Nutrients!$BU$8,Nutrients!$BU$9)*F$7)+(((IF($A$8=Nutrients!$B$79,Nutrients!$BU$79,(IF($A$8=Nutrients!$B$77,Nutrients!$BU$77,Nutrients!$BU$78)))))*F$8))/2000</f>
        <v>0.58276518762548057</v>
      </c>
      <c r="G308" s="23">
        <f>(SUMPRODUCT(G$9:G$229,Nutrients!$BU$8:$BU$228)+(IF($A$7=Nutrients!$B$8,Nutrients!$BU$8,Nutrients!$BU$9)*G$7)+(((IF($A$8=Nutrients!$B$79,Nutrients!$BU$79,(IF($A$8=Nutrients!$B$77,Nutrients!$BU$77,Nutrients!$BU$78)))))*G$8))/2000</f>
        <v>0.55679357869744972</v>
      </c>
      <c r="H308" s="227"/>
      <c r="I308" s="23">
        <f>(SUMPRODUCT(I$9:I$229,Nutrients!$BU$8:$BU$228)+(IF($A$7=Nutrients!$B$8,Nutrients!$BU$8,Nutrients!$BU$9)*I$7)+(((IF($A$8=Nutrients!$B$79,Nutrients!$BU$79,(IF($A$8=Nutrients!$B$77,Nutrients!$BU$77,Nutrients!$BU$78)))))*I$8))/2000</f>
        <v>0.89962350621035569</v>
      </c>
      <c r="J308" s="23">
        <f>(SUMPRODUCT(J$9:J$229,Nutrients!$BU$8:$BU$228)+(IF($A$7=Nutrients!$B$8,Nutrients!$BU$8,Nutrients!$BU$9)*J$7)+(((IF($A$8=Nutrients!$B$79,Nutrients!$BU$79,(IF($A$8=Nutrients!$B$77,Nutrients!$BU$77,Nutrients!$BU$78)))))*J$8))/2000</f>
        <v>0.79523881885406744</v>
      </c>
      <c r="K308" s="23">
        <f>(SUMPRODUCT(K$9:K$229,Nutrients!$BU$8:$BU$228)+(IF($A$7=Nutrients!$B$8,Nutrients!$BU$8,Nutrients!$BU$9)*K$7)+(((IF($A$8=Nutrients!$B$79,Nutrients!$BU$79,(IF($A$8=Nutrients!$B$77,Nutrients!$BU$77,Nutrients!$BU$78)))))*K$8))/2000</f>
        <v>0.70528994962883884</v>
      </c>
      <c r="L308" s="23">
        <f>(SUMPRODUCT(L$9:L$229,Nutrients!$BU$8:$BU$228)+(IF($A$7=Nutrients!$B$8,Nutrients!$BU$8,Nutrients!$BU$9)*L$7)+(((IF($A$8=Nutrients!$B$79,Nutrients!$BU$79,(IF($A$8=Nutrients!$B$77,Nutrients!$BU$77,Nutrients!$BU$78)))))*L$8))/2000</f>
        <v>0.62932055537058251</v>
      </c>
      <c r="M308" s="23">
        <f>(SUMPRODUCT(M$9:M$229,Nutrients!$BU$8:$BU$228)+(IF($A$7=Nutrients!$B$8,Nutrients!$BU$8,Nutrients!$BU$9)*M$7)+(((IF($A$8=Nutrients!$B$79,Nutrients!$BU$79,(IF($A$8=Nutrients!$B$77,Nutrients!$BU$77,Nutrients!$BU$78)))))*M$8))/2000</f>
        <v>0.57833280928955455</v>
      </c>
      <c r="N308" s="23">
        <f>(SUMPRODUCT(N$9:N$229,Nutrients!$BU$8:$BU$228)+(IF($A$7=Nutrients!$B$8,Nutrients!$BU$8,Nutrients!$BU$9)*N$7)+(((IF($A$8=Nutrients!$B$79,Nutrients!$BU$79,(IF($A$8=Nutrients!$B$77,Nutrients!$BU$77,Nutrients!$BU$78)))))*N$8))/2000</f>
        <v>0.55679357869744972</v>
      </c>
      <c r="O308" s="198"/>
      <c r="P308" s="23">
        <f>(SUMPRODUCT(P$9:P$229,Nutrients!$BU$8:$BU$228)+(IF($A$7=Nutrients!$B$8,Nutrients!$BU$8,Nutrients!$BU$9)*P$7)+(((IF($A$8=Nutrients!$B$79,Nutrients!$BU$79,(IF($A$8=Nutrients!$B$77,Nutrients!$BU$77,Nutrients!$BU$78)))))*P$8))/2000</f>
        <v>0.89399297973494662</v>
      </c>
      <c r="Q308" s="23">
        <f>(SUMPRODUCT(Q$9:Q$229,Nutrients!$BU$8:$BU$228)+(IF($A$7=Nutrients!$B$8,Nutrients!$BU$8,Nutrients!$BU$9)*Q$7)+(((IF($A$8=Nutrients!$B$79,Nutrients!$BU$79,(IF($A$8=Nutrients!$B$77,Nutrients!$BU$77,Nutrients!$BU$78)))))*Q$8))/2000</f>
        <v>0.79029922877195724</v>
      </c>
      <c r="R308" s="23">
        <f>(SUMPRODUCT(R$9:R$229,Nutrients!$BU$8:$BU$228)+(IF($A$7=Nutrients!$B$8,Nutrients!$BU$8,Nutrients!$BU$9)*R$7)+(((IF($A$8=Nutrients!$B$79,Nutrients!$BU$79,(IF($A$8=Nutrients!$B$77,Nutrients!$BU$77,Nutrients!$BU$78)))))*R$8))/2000</f>
        <v>0.70108968877850109</v>
      </c>
      <c r="S308" s="23">
        <f>(SUMPRODUCT(S$9:S$229,Nutrients!$BU$8:$BU$228)+(IF($A$7=Nutrients!$B$8,Nutrients!$BU$8,Nutrients!$BU$9)*S$7)+(((IF($A$8=Nutrients!$B$79,Nutrients!$BU$79,(IF($A$8=Nutrients!$B$77,Nutrients!$BU$77,Nutrients!$BU$78)))))*S$8))/2000</f>
        <v>0.6247763745769721</v>
      </c>
      <c r="T308" s="23">
        <f>(SUMPRODUCT(T$9:T$229,Nutrients!$BU$8:$BU$228)+(IF($A$7=Nutrients!$B$8,Nutrients!$BU$8,Nutrients!$BU$9)*T$7)+(((IF($A$8=Nutrients!$B$79,Nutrients!$BU$79,(IF($A$8=Nutrients!$B$77,Nutrients!$BU$77,Nutrients!$BU$78)))))*T$8))/2000</f>
        <v>0.57437860603194968</v>
      </c>
      <c r="U308" s="23">
        <f>(SUMPRODUCT(U$9:U$229,Nutrients!$BU$8:$BU$228)+(IF($A$7=Nutrients!$B$8,Nutrients!$BU$8,Nutrients!$BU$9)*U$7)+(((IF($A$8=Nutrients!$B$79,Nutrients!$BU$79,(IF($A$8=Nutrients!$B$77,Nutrients!$BU$77,Nutrients!$BU$78)))))*U$8))/2000</f>
        <v>0.55679357869744972</v>
      </c>
      <c r="W308" s="23">
        <f>(SUMPRODUCT(W$9:W$229,Nutrients!$BU$8:$BU$228)+(IF($A$7=Nutrients!$B$8,Nutrients!$BU$8,Nutrients!$BU$9)*W$7)+(((IF($A$8=Nutrients!$B$79,Nutrients!$BU$79,(IF($A$8=Nutrients!$B$77,Nutrients!$BU$77,Nutrients!$BU$78)))))*W$8))/2000</f>
        <v>0.88836325059495336</v>
      </c>
      <c r="X308" s="23">
        <f>(SUMPRODUCT(X$9:X$229,Nutrients!$BU$8:$BU$228)+(IF($A$7=Nutrients!$B$8,Nutrients!$BU$8,Nutrients!$BU$9)*X$7)+(((IF($A$8=Nutrients!$B$79,Nutrients!$BU$79,(IF($A$8=Nutrients!$B$77,Nutrients!$BU$77,Nutrients!$BU$78)))))*X$8))/2000</f>
        <v>0.78536529370371211</v>
      </c>
      <c r="Y308" s="23">
        <f>(SUMPRODUCT(Y$9:Y$229,Nutrients!$BU$8:$BU$228)+(IF($A$7=Nutrients!$B$8,Nutrients!$BU$8,Nutrients!$BU$9)*Y$7)+(((IF($A$8=Nutrients!$B$79,Nutrients!$BU$79,(IF($A$8=Nutrients!$B$77,Nutrients!$BU$77,Nutrients!$BU$78)))))*Y$8))/2000</f>
        <v>0.69582180088358803</v>
      </c>
      <c r="Z308" s="23">
        <f>(SUMPRODUCT(Z$9:Z$229,Nutrients!$BU$8:$BU$228)+(IF($A$7=Nutrients!$B$8,Nutrients!$BU$8,Nutrients!$BU$9)*Z$7)+(((IF($A$8=Nutrients!$B$79,Nutrients!$BU$79,(IF($A$8=Nutrients!$B$77,Nutrients!$BU$77,Nutrients!$BU$78)))))*Z$8))/2000</f>
        <v>0.62050230797917816</v>
      </c>
      <c r="AA308" s="23">
        <f>(SUMPRODUCT(AA$9:AA$229,Nutrients!$BU$8:$BU$228)+(IF($A$7=Nutrients!$B$8,Nutrients!$BU$8,Nutrients!$BU$9)*AA$7)+(((IF($A$8=Nutrients!$B$79,Nutrients!$BU$79,(IF($A$8=Nutrients!$B$77,Nutrients!$BU$77,Nutrients!$BU$78)))))*AA$8))/2000</f>
        <v>0.57049367170944065</v>
      </c>
      <c r="AB308" s="23">
        <f>(SUMPRODUCT(AB$9:AB$229,Nutrients!$BU$8:$BU$228)+(IF($A$7=Nutrients!$B$8,Nutrients!$BU$8,Nutrients!$BU$9)*AB$7)+(((IF($A$8=Nutrients!$B$79,Nutrients!$BU$79,(IF($A$8=Nutrients!$B$77,Nutrients!$BU$77,Nutrients!$BU$78)))))*AB$8))/2000</f>
        <v>0.55679357869744972</v>
      </c>
      <c r="AD308" s="23">
        <f>(SUMPRODUCT(AD$9:AD$229,Nutrients!$BU$8:$BU$228)+(IF($A$7=Nutrients!$B$8,Nutrients!$BU$8,Nutrients!$BU$9)*AD$7)+(((IF($A$8=Nutrients!$B$79,Nutrients!$BU$79,(IF($A$8=Nutrients!$B$77,Nutrients!$BU$77,Nutrients!$BU$78)))))*AD$8))/2000</f>
        <v>0.88264869497046583</v>
      </c>
      <c r="AE308" s="23">
        <f>(SUMPRODUCT(AE$9:AE$229,Nutrients!$BU$8:$BU$228)+(IF($A$7=Nutrients!$B$8,Nutrients!$BU$8,Nutrients!$BU$9)*AE$7)+(((IF($A$8=Nutrients!$B$79,Nutrients!$BU$79,(IF($A$8=Nutrients!$B$77,Nutrients!$BU$77,Nutrients!$BU$78)))))*AE$8))/2000</f>
        <v>0.77937987079280013</v>
      </c>
      <c r="AF308" s="23">
        <f>(SUMPRODUCT(AF$9:AF$229,Nutrients!$BU$8:$BU$228)+(IF($A$7=Nutrients!$B$8,Nutrients!$BU$8,Nutrients!$BU$9)*AF$7)+(((IF($A$8=Nutrients!$B$79,Nutrients!$BU$79,(IF($A$8=Nutrients!$B$77,Nutrients!$BU$77,Nutrients!$BU$78)))))*AF$8))/2000</f>
        <v>0.69080814278857994</v>
      </c>
      <c r="AG308" s="23">
        <f>(SUMPRODUCT(AG$9:AG$229,Nutrients!$BU$8:$BU$228)+(IF($A$7=Nutrients!$B$8,Nutrients!$BU$8,Nutrients!$BU$9)*AG$7)+(((IF($A$8=Nutrients!$B$79,Nutrients!$BU$79,(IF($A$8=Nutrients!$B$77,Nutrients!$BU$77,Nutrients!$BU$78)))))*AG$8))/2000</f>
        <v>0.61619463767012261</v>
      </c>
      <c r="AH308" s="23">
        <f>(SUMPRODUCT(AH$9:AH$229,Nutrients!$BU$8:$BU$228)+(IF($A$7=Nutrients!$B$8,Nutrients!$BU$8,Nutrients!$BU$9)*AH$7)+(((IF($A$8=Nutrients!$B$79,Nutrients!$BU$79,(IF($A$8=Nutrients!$B$77,Nutrients!$BU$77,Nutrients!$BU$78)))))*AH$8))/2000</f>
        <v>0.56618014703598296</v>
      </c>
      <c r="AI308" s="23">
        <f>(SUMPRODUCT(AI$9:AI$229,Nutrients!$BU$8:$BU$228)+(IF($A$7=Nutrients!$B$8,Nutrients!$BU$8,Nutrients!$BU$9)*AI$7)+(((IF($A$8=Nutrients!$B$79,Nutrients!$BU$79,(IF($A$8=Nutrients!$B$77,Nutrients!$BU$77,Nutrients!$BU$78)))))*AI$8))/2000</f>
        <v>0.55679357869744972</v>
      </c>
      <c r="AK308" s="23">
        <f>(SUMPRODUCT(AK$9:AK$229,Nutrients!$BU$8:$BU$228)+(IF($A$7=Nutrients!$B$8,Nutrients!$BU$8,Nutrients!$BU$9)*AK$7)+(((IF($A$8=Nutrients!$B$79,Nutrients!$BU$79,(IF($A$8=Nutrients!$B$77,Nutrients!$BU$77,Nutrients!$BU$78)))))*AK$8))/2000</f>
        <v>0.88112985711011127</v>
      </c>
      <c r="AL308" s="23">
        <f>(SUMPRODUCT(AL$9:AL$229,Nutrients!$BU$8:$BU$228)+(IF($A$7=Nutrients!$B$8,Nutrients!$BU$8,Nutrients!$BU$9)*AL$7)+(((IF($A$8=Nutrients!$B$79,Nutrients!$BU$79,(IF($A$8=Nutrients!$B$77,Nutrients!$BU$77,Nutrients!$BU$78)))))*AL$8))/2000</f>
        <v>0.77369843051026488</v>
      </c>
      <c r="AM308" s="23">
        <f>(SUMPRODUCT(AM$9:AM$229,Nutrients!$BU$8:$BU$228)+(IF($A$7=Nutrients!$B$8,Nutrients!$BU$8,Nutrients!$BU$9)*AM$7)+(((IF($A$8=Nutrients!$B$79,Nutrients!$BU$79,(IF($A$8=Nutrients!$B$77,Nutrients!$BU$77,Nutrients!$BU$78)))))*AM$8))/2000</f>
        <v>0.68589717140264539</v>
      </c>
      <c r="AN308" s="23">
        <f>(SUMPRODUCT(AN$9:AN$229,Nutrients!$BU$8:$BU$228)+(IF($A$7=Nutrients!$B$8,Nutrients!$BU$8,Nutrients!$BU$9)*AN$7)+(((IF($A$8=Nutrients!$B$79,Nutrients!$BU$79,(IF($A$8=Nutrients!$B$77,Nutrients!$BU$77,Nutrients!$BU$78)))))*AN$8))/2000</f>
        <v>0.61155486997582809</v>
      </c>
      <c r="AO308" s="23">
        <f>(SUMPRODUCT(AO$9:AO$229,Nutrients!$BU$8:$BU$228)+(IF($A$7=Nutrients!$B$8,Nutrients!$BU$8,Nutrients!$BU$9)*AO$7)+(((IF($A$8=Nutrients!$B$79,Nutrients!$BU$79,(IF($A$8=Nutrients!$B$77,Nutrients!$BU$77,Nutrients!$BU$78)))))*AO$8))/2000</f>
        <v>0.56171664327314108</v>
      </c>
      <c r="AP308" s="23">
        <f>(SUMPRODUCT(AP$9:AP$229,Nutrients!$BU$8:$BU$228)+(IF($A$7=Nutrients!$B$8,Nutrients!$BU$8,Nutrients!$BU$9)*AP$7)+(((IF($A$8=Nutrients!$B$79,Nutrients!$BU$79,(IF($A$8=Nutrients!$B$77,Nutrients!$BU$77,Nutrients!$BU$78)))))*AP$8))/2000</f>
        <v>0.55679357869744972</v>
      </c>
      <c r="AR308" s="23">
        <f>(SUMPRODUCT(AR$9:AR$229,Nutrients!$BU$8:$BU$228)+(IF($A$7=Nutrients!$B$8,Nutrients!$BU$8,Nutrients!$BU$9)*AR$7)+(((IF($A$8=Nutrients!$B$79,Nutrients!$BU$79,(IF($A$8=Nutrients!$B$77,Nutrients!$BU$77,Nutrients!$BU$78)))))*AR$8))/2000</f>
        <v>0.87383411080278384</v>
      </c>
      <c r="AS308" s="23">
        <f>(SUMPRODUCT(AS$9:AS$229,Nutrients!$BU$8:$BU$228)+(IF($A$7=Nutrients!$B$8,Nutrients!$BU$8,Nutrients!$BU$9)*AS$7)+(((IF($A$8=Nutrients!$B$79,Nutrients!$BU$79,(IF($A$8=Nutrients!$B$77,Nutrients!$BU$77,Nutrients!$BU$78)))))*AS$8))/2000</f>
        <v>0.76802251792159004</v>
      </c>
      <c r="AT308" s="23">
        <f>(SUMPRODUCT(AT$9:AT$229,Nutrients!$BU$8:$BU$228)+(IF($A$7=Nutrients!$B$8,Nutrients!$BU$8,Nutrients!$BU$9)*AT$7)+(((IF($A$8=Nutrients!$B$79,Nutrients!$BU$79,(IF($A$8=Nutrients!$B$77,Nutrients!$BU$77,Nutrients!$BU$78)))))*AT$8))/2000</f>
        <v>0.68118924653357427</v>
      </c>
      <c r="AU308" s="23">
        <f>(SUMPRODUCT(AU$9:AU$229,Nutrients!$BU$8:$BU$228)+(IF($A$7=Nutrients!$B$8,Nutrients!$BU$8,Nutrients!$BU$9)*AU$7)+(((IF($A$8=Nutrients!$B$79,Nutrients!$BU$79,(IF($A$8=Nutrients!$B$77,Nutrients!$BU$77,Nutrients!$BU$78)))))*AU$8))/2000</f>
        <v>0.60674148174956921</v>
      </c>
      <c r="AV308" s="23">
        <f>(SUMPRODUCT(AV$9:AV$229,Nutrients!$BU$8:$BU$228)+(IF($A$7=Nutrients!$B$8,Nutrients!$BU$8,Nutrients!$BU$9)*AV$7)+(((IF($A$8=Nutrients!$B$79,Nutrients!$BU$79,(IF($A$8=Nutrients!$B$77,Nutrients!$BU$77,Nutrients!$BU$78)))))*AV$8))/2000</f>
        <v>0.5572591745138431</v>
      </c>
      <c r="AW308" s="23">
        <f>(SUMPRODUCT(AW$9:AW$229,Nutrients!$BU$8:$BU$228)+(IF($A$7=Nutrients!$B$8,Nutrients!$BU$8,Nutrients!$BU$9)*AW$7)+(((IF($A$8=Nutrients!$B$79,Nutrients!$BU$79,(IF($A$8=Nutrients!$B$77,Nutrients!$BU$77,Nutrients!$BU$78)))))*AW$8))/2000</f>
        <v>0.55679357869744972</v>
      </c>
    </row>
    <row r="309" spans="1:49" x14ac:dyDescent="0.25">
      <c r="A309" t="s">
        <v>42</v>
      </c>
      <c r="B309" s="8">
        <f t="shared" ref="B309:G309" si="182">(B306 * 434.98) + (B308* 255.74) - (B307*282.06)</f>
        <v>220.57763988748351</v>
      </c>
      <c r="C309" s="8">
        <f t="shared" si="182"/>
        <v>192.15600461244421</v>
      </c>
      <c r="D309" s="8">
        <f t="shared" si="182"/>
        <v>167.90252131513171</v>
      </c>
      <c r="E309" s="8">
        <f t="shared" si="182"/>
        <v>147.35122639861532</v>
      </c>
      <c r="F309" s="8">
        <f t="shared" si="182"/>
        <v>133.81760738274346</v>
      </c>
      <c r="G309" s="8">
        <f t="shared" si="182"/>
        <v>127.13493264786482</v>
      </c>
      <c r="H309" s="8"/>
      <c r="I309" s="8">
        <f t="shared" ref="I309:N309" si="183">(I306 * 434.98) + (I308* 255.74) - (I307*282.06)</f>
        <v>218.30215622980279</v>
      </c>
      <c r="J309" s="8">
        <f t="shared" si="183"/>
        <v>190.18895308210637</v>
      </c>
      <c r="K309" s="8">
        <f t="shared" si="183"/>
        <v>166.18873960854913</v>
      </c>
      <c r="L309" s="8">
        <f t="shared" si="183"/>
        <v>145.79319612814817</v>
      </c>
      <c r="M309" s="8">
        <f t="shared" si="183"/>
        <v>132.25131830647524</v>
      </c>
      <c r="N309" s="8">
        <f t="shared" si="183"/>
        <v>127.13493264786482</v>
      </c>
      <c r="O309" s="8"/>
      <c r="P309" s="8">
        <f t="shared" ref="P309:U309" si="184">(P306 * 434.98) + (P308* 255.74) - (P307*282.06)</f>
        <v>216.42339540538433</v>
      </c>
      <c r="Q309" s="8">
        <f t="shared" si="184"/>
        <v>188.49640805191666</v>
      </c>
      <c r="R309" s="8">
        <f t="shared" si="184"/>
        <v>164.69555784482515</v>
      </c>
      <c r="S309" s="8">
        <f t="shared" si="184"/>
        <v>144.20730985443012</v>
      </c>
      <c r="T309" s="8">
        <f t="shared" si="184"/>
        <v>130.82526744824634</v>
      </c>
      <c r="U309" s="8">
        <f t="shared" si="184"/>
        <v>127.13493264786482</v>
      </c>
      <c r="W309" s="8">
        <f t="shared" ref="W309:AB309" si="185">(W306 * 434.98) + (W308* 255.74) - (W307*282.06)</f>
        <v>214.54422859184734</v>
      </c>
      <c r="X309" s="8">
        <f t="shared" si="185"/>
        <v>186.80474384657794</v>
      </c>
      <c r="Y309" s="8">
        <f t="shared" si="185"/>
        <v>162.91395052259625</v>
      </c>
      <c r="Z309" s="8">
        <f t="shared" si="185"/>
        <v>142.69375033757657</v>
      </c>
      <c r="AA309" s="8">
        <f t="shared" si="185"/>
        <v>129.41736601974986</v>
      </c>
      <c r="AB309" s="8">
        <f t="shared" si="185"/>
        <v>127.13493264786482</v>
      </c>
      <c r="AD309" s="8">
        <f t="shared" ref="AD309:AI309" si="186">(AD306 * 434.98) + (AD308* 255.74) - (AD307*282.06)</f>
        <v>212.64257551017624</v>
      </c>
      <c r="AE309" s="8">
        <f t="shared" si="186"/>
        <v>184.83012546559399</v>
      </c>
      <c r="AF309" s="8">
        <f t="shared" si="186"/>
        <v>161.20119090370036</v>
      </c>
      <c r="AG309" s="8">
        <f t="shared" si="186"/>
        <v>141.17250265390791</v>
      </c>
      <c r="AH309" s="8">
        <f t="shared" si="186"/>
        <v>127.93892634007112</v>
      </c>
      <c r="AI309" s="8">
        <f t="shared" si="186"/>
        <v>127.13493264786482</v>
      </c>
      <c r="AK309" s="8">
        <f t="shared" ref="AK309:AP309" si="187">(AK306 * 434.98) + (AK308* 255.74) - (AK307*282.06)</f>
        <v>211.87167213051913</v>
      </c>
      <c r="AL309" s="8">
        <f t="shared" si="187"/>
        <v>182.93702353174888</v>
      </c>
      <c r="AM309" s="8">
        <f t="shared" si="187"/>
        <v>159.51679297528835</v>
      </c>
      <c r="AN309" s="8">
        <f t="shared" si="187"/>
        <v>139.59542887698643</v>
      </c>
      <c r="AO309" s="8">
        <f t="shared" si="187"/>
        <v>126.44233527657522</v>
      </c>
      <c r="AP309" s="8">
        <f t="shared" si="187"/>
        <v>127.13493264786482</v>
      </c>
      <c r="AR309" s="8">
        <f t="shared" ref="AR309:AW309" si="188">(AR306 * 434.98) + (AR308* 255.74) - (AR307*282.06)</f>
        <v>209.54362625710365</v>
      </c>
      <c r="AS309" s="8">
        <f t="shared" si="188"/>
        <v>181.04578311519828</v>
      </c>
      <c r="AT309" s="8">
        <f t="shared" si="188"/>
        <v>157.88760048698606</v>
      </c>
      <c r="AU309" s="8">
        <f t="shared" si="188"/>
        <v>138.00475830527469</v>
      </c>
      <c r="AV309" s="8">
        <f t="shared" si="188"/>
        <v>124.9473310449025</v>
      </c>
      <c r="AW309" s="8">
        <f t="shared" si="188"/>
        <v>127.13493264786482</v>
      </c>
    </row>
    <row r="310" spans="1:49" x14ac:dyDescent="0.25">
      <c r="A310" t="s">
        <v>73</v>
      </c>
      <c r="B310" s="202">
        <f>(SUMPRODUCT(B$9:B$229,Nutrients!$EG$8:$EG$228)+(IF($A$7=Nutrients!$B$8,Nutrients!$EG$8,Nutrients!$EG$9)*B$7)+(((IF($A$8=Nutrients!$B$79,Nutrients!$EG$79,(IF($A$8=Nutrients!$B$77,Nutrients!$EG$77,Nutrients!$EG$78)))))*B$8))/2000</f>
        <v>0.27113524017910468</v>
      </c>
      <c r="C310" s="202">
        <f>(SUMPRODUCT(C$9:C$229,Nutrients!$EG$8:$EG$228)+(IF($A$7=Nutrients!$B$8,Nutrients!$EG$8,Nutrients!$EG$9)*C$7)+(((IF($A$8=Nutrients!$B$79,Nutrients!$EG$79,(IF($A$8=Nutrients!$B$77,Nutrients!$EG$77,Nutrients!$EG$78)))))*C$8))/2000</f>
        <v>0.25613988263521914</v>
      </c>
      <c r="D310" s="202">
        <f>(SUMPRODUCT(D$9:D$229,Nutrients!$EG$8:$EG$228)+(IF($A$7=Nutrients!$B$8,Nutrients!$EG$8,Nutrients!$EG$9)*D$7)+(((IF($A$8=Nutrients!$B$79,Nutrients!$EG$79,(IF($A$8=Nutrients!$B$77,Nutrients!$EG$77,Nutrients!$EG$78)))))*D$8))/2000</f>
        <v>0.24325948567864156</v>
      </c>
      <c r="E310" s="202">
        <f>(SUMPRODUCT(E$9:E$229,Nutrients!$EG$8:$EG$228)+(IF($A$7=Nutrients!$B$8,Nutrients!$EG$8,Nutrients!$EG$9)*E$7)+(((IF($A$8=Nutrients!$B$79,Nutrients!$EG$79,(IF($A$8=Nutrients!$B$77,Nutrients!$EG$77,Nutrients!$EG$78)))))*E$8))/2000</f>
        <v>0.23238392794271739</v>
      </c>
      <c r="F310" s="202">
        <f>(SUMPRODUCT(F$9:F$229,Nutrients!$EG$8:$EG$228)+(IF($A$7=Nutrients!$B$8,Nutrients!$EG$8,Nutrients!$EG$9)*F$7)+(((IF($A$8=Nutrients!$B$79,Nutrients!$EG$79,(IF($A$8=Nutrients!$B$77,Nutrients!$EG$77,Nutrients!$EG$78)))))*F$8))/2000</f>
        <v>0.2252348701473687</v>
      </c>
      <c r="G310" s="202">
        <f>(SUMPRODUCT(G$9:G$229,Nutrients!$EG$8:$EG$228)+(IF($A$7=Nutrients!$B$8,Nutrients!$EG$8,Nutrients!$EG$9)*G$7)+(((IF($A$8=Nutrients!$B$79,Nutrients!$EG$79,(IF($A$8=Nutrients!$B$77,Nutrients!$EG$77,Nutrients!$EG$78)))))*G$8))/2000</f>
        <v>0.2215364317520549</v>
      </c>
      <c r="H310" s="232"/>
      <c r="I310" s="202">
        <f>(SUMPRODUCT(I$9:I$229,Nutrients!$EG$8:$EG$228)+(IF($A$7=Nutrients!$B$8,Nutrients!$EG$8,Nutrients!$EG$9)*I$7)+(((IF($A$8=Nutrients!$B$79,Nutrients!$EG$79,(IF($A$8=Nutrients!$B$77,Nutrients!$EG$77,Nutrients!$EG$78)))))*I$8))/2000</f>
        <v>0.26518029998732356</v>
      </c>
      <c r="J310" s="202">
        <f>(SUMPRODUCT(J$9:J$229,Nutrients!$EG$8:$EG$228)+(IF($A$7=Nutrients!$B$8,Nutrients!$EG$8,Nutrients!$EG$9)*J$7)+(((IF($A$8=Nutrients!$B$79,Nutrients!$EG$79,(IF($A$8=Nutrients!$B$77,Nutrients!$EG$77,Nutrients!$EG$78)))))*J$8))/2000</f>
        <v>0.25034851010646142</v>
      </c>
      <c r="K310" s="202">
        <f>(SUMPRODUCT(K$9:K$229,Nutrients!$EG$8:$EG$228)+(IF($A$7=Nutrients!$B$8,Nutrients!$EG$8,Nutrients!$EG$9)*K$7)+(((IF($A$8=Nutrients!$B$79,Nutrients!$EG$79,(IF($A$8=Nutrients!$B$77,Nutrients!$EG$77,Nutrients!$EG$78)))))*K$8))/2000</f>
        <v>0.23760276053012855</v>
      </c>
      <c r="L310" s="202">
        <f>(SUMPRODUCT(L$9:L$229,Nutrients!$EG$8:$EG$228)+(IF($A$7=Nutrients!$B$8,Nutrients!$EG$8,Nutrients!$EG$9)*L$7)+(((IF($A$8=Nutrients!$B$79,Nutrients!$EG$79,(IF($A$8=Nutrients!$B$77,Nutrients!$EG$77,Nutrients!$EG$78)))))*L$8))/2000</f>
        <v>0.2268533191739657</v>
      </c>
      <c r="M310" s="202">
        <f>(SUMPRODUCT(M$9:M$229,Nutrients!$EG$8:$EG$228)+(IF($A$7=Nutrients!$B$8,Nutrients!$EG$8,Nutrients!$EG$9)*M$7)+(((IF($A$8=Nutrients!$B$79,Nutrients!$EG$79,(IF($A$8=Nutrients!$B$77,Nutrients!$EG$77,Nutrients!$EG$78)))))*M$8))/2000</f>
        <v>0.21968649784285443</v>
      </c>
      <c r="N310" s="202">
        <f>(SUMPRODUCT(N$9:N$229,Nutrients!$EG$8:$EG$228)+(IF($A$7=Nutrients!$B$8,Nutrients!$EG$8,Nutrients!$EG$9)*N$7)+(((IF($A$8=Nutrients!$B$79,Nutrients!$EG$79,(IF($A$8=Nutrients!$B$77,Nutrients!$EG$77,Nutrients!$EG$78)))))*N$8))/2000</f>
        <v>0.2215364317520549</v>
      </c>
      <c r="O310" s="238"/>
      <c r="P310" s="202">
        <f>(SUMPRODUCT(P$9:P$229,Nutrients!$EG$8:$EG$228)+(IF($A$7=Nutrients!$B$8,Nutrients!$EG$8,Nutrients!$EG$9)*P$7)+(((IF($A$8=Nutrients!$B$79,Nutrients!$EG$79,(IF($A$8=Nutrients!$B$77,Nutrients!$EG$77,Nutrients!$EG$78)))))*P$8))/2000</f>
        <v>0.25943409795621192</v>
      </c>
      <c r="Q310" s="202">
        <f>(SUMPRODUCT(Q$9:Q$229,Nutrients!$EG$8:$EG$228)+(IF($A$7=Nutrients!$B$8,Nutrients!$EG$8,Nutrients!$EG$9)*Q$7)+(((IF($A$8=Nutrients!$B$79,Nutrients!$EG$79,(IF($A$8=Nutrients!$B$77,Nutrients!$EG$77,Nutrients!$EG$78)))))*Q$8))/2000</f>
        <v>0.24470229065961019</v>
      </c>
      <c r="R310" s="202">
        <f>(SUMPRODUCT(R$9:R$229,Nutrients!$EG$8:$EG$228)+(IF($A$7=Nutrients!$B$8,Nutrients!$EG$8,Nutrients!$EG$9)*R$7)+(((IF($A$8=Nutrients!$B$79,Nutrients!$EG$79,(IF($A$8=Nutrients!$B$77,Nutrients!$EG$77,Nutrients!$EG$78)))))*R$8))/2000</f>
        <v>0.23206452053002743</v>
      </c>
      <c r="S310" s="202">
        <f>(SUMPRODUCT(S$9:S$229,Nutrients!$EG$8:$EG$228)+(IF($A$7=Nutrients!$B$8,Nutrients!$EG$8,Nutrients!$EG$9)*S$7)+(((IF($A$8=Nutrients!$B$79,Nutrients!$EG$79,(IF($A$8=Nutrients!$B$77,Nutrients!$EG$77,Nutrients!$EG$78)))))*S$8))/2000</f>
        <v>0.2212650263450481</v>
      </c>
      <c r="T310" s="202">
        <f>(SUMPRODUCT(T$9:T$229,Nutrients!$EG$8:$EG$228)+(IF($A$7=Nutrients!$B$8,Nutrients!$EG$8,Nutrients!$EG$9)*T$7)+(((IF($A$8=Nutrients!$B$79,Nutrients!$EG$79,(IF($A$8=Nutrients!$B$77,Nutrients!$EG$77,Nutrients!$EG$78)))))*T$8))/2000</f>
        <v>0.2141719383443349</v>
      </c>
      <c r="U310" s="202">
        <f>(SUMPRODUCT(U$9:U$229,Nutrients!$EG$8:$EG$228)+(IF($A$7=Nutrients!$B$8,Nutrients!$EG$8,Nutrients!$EG$9)*U$7)+(((IF($A$8=Nutrients!$B$79,Nutrients!$EG$79,(IF($A$8=Nutrients!$B$77,Nutrients!$EG$77,Nutrients!$EG$78)))))*U$8))/2000</f>
        <v>0.2215364317520549</v>
      </c>
      <c r="W310" s="202">
        <f>(SUMPRODUCT(W$9:W$229,Nutrients!$EG$8:$EG$228)+(IF($A$7=Nutrients!$B$8,Nutrients!$EG$8,Nutrients!$EG$9)*W$7)+(((IF($A$8=Nutrients!$B$79,Nutrients!$EG$79,(IF($A$8=Nutrients!$B$77,Nutrients!$EG$77,Nutrients!$EG$78)))))*W$8))/2000</f>
        <v>0.25369055412329622</v>
      </c>
      <c r="X310" s="202">
        <f>(SUMPRODUCT(X$9:X$229,Nutrients!$EG$8:$EG$228)+(IF($A$7=Nutrients!$B$8,Nutrients!$EG$8,Nutrients!$EG$9)*X$7)+(((IF($A$8=Nutrients!$B$79,Nutrients!$EG$79,(IF($A$8=Nutrients!$B$77,Nutrients!$EG$77,Nutrients!$EG$78)))))*X$8))/2000</f>
        <v>0.23906021679549116</v>
      </c>
      <c r="Y310" s="202">
        <f>(SUMPRODUCT(Y$9:Y$229,Nutrients!$EG$8:$EG$228)+(IF($A$7=Nutrients!$B$8,Nutrients!$EG$8,Nutrients!$EG$9)*Y$7)+(((IF($A$8=Nutrients!$B$79,Nutrients!$EG$79,(IF($A$8=Nutrients!$B$77,Nutrients!$EG$77,Nutrients!$EG$78)))))*Y$8))/2000</f>
        <v>0.22637300660373694</v>
      </c>
      <c r="Z310" s="202">
        <f>(SUMPRODUCT(Z$9:Z$229,Nutrients!$EG$8:$EG$228)+(IF($A$7=Nutrients!$B$8,Nutrients!$EG$8,Nutrients!$EG$9)*Z$7)+(((IF($A$8=Nutrients!$B$79,Nutrients!$EG$79,(IF($A$8=Nutrients!$B$77,Nutrients!$EG$77,Nutrients!$EG$78)))))*Z$8))/2000</f>
        <v>0.21571503970287803</v>
      </c>
      <c r="AA310" s="202">
        <f>(SUMPRODUCT(AA$9:AA$229,Nutrients!$EG$8:$EG$228)+(IF($A$7=Nutrients!$B$8,Nutrients!$EG$8,Nutrients!$EG$9)*AA$7)+(((IF($A$8=Nutrients!$B$79,Nutrients!$EG$79,(IF($A$8=Nutrients!$B$77,Nutrients!$EG$77,Nutrients!$EG$78)))))*AA$8))/2000</f>
        <v>0.20866707708896901</v>
      </c>
      <c r="AB310" s="202">
        <f>(SUMPRODUCT(AB$9:AB$229,Nutrients!$EG$8:$EG$228)+(IF($A$7=Nutrients!$B$8,Nutrients!$EG$8,Nutrients!$EG$9)*AB$7)+(((IF($A$8=Nutrients!$B$79,Nutrients!$EG$79,(IF($A$8=Nutrients!$B$77,Nutrients!$EG$77,Nutrients!$EG$78)))))*AB$8))/2000</f>
        <v>0.2215364317520549</v>
      </c>
      <c r="AD310" s="202">
        <f>(SUMPRODUCT(AD$9:AD$229,Nutrients!$EG$8:$EG$228)+(IF($A$7=Nutrients!$B$8,Nutrients!$EG$8,Nutrients!$EG$9)*AD$7)+(((IF($A$8=Nutrients!$B$79,Nutrients!$EG$79,(IF($A$8=Nutrients!$B$77,Nutrients!$EG$77,Nutrients!$EG$78)))))*AD$8))/2000</f>
        <v>0.24793311353457534</v>
      </c>
      <c r="AE310" s="202">
        <f>(SUMPRODUCT(AE$9:AE$229,Nutrients!$EG$8:$EG$228)+(IF($A$7=Nutrients!$B$8,Nutrients!$EG$8,Nutrients!$EG$9)*AE$7)+(((IF($A$8=Nutrients!$B$79,Nutrients!$EG$79,(IF($A$8=Nutrients!$B$77,Nutrients!$EG$77,Nutrients!$EG$78)))))*AE$8))/2000</f>
        <v>0.23326315998482239</v>
      </c>
      <c r="AF310" s="202">
        <f>(SUMPRODUCT(AF$9:AF$229,Nutrients!$EG$8:$EG$228)+(IF($A$7=Nutrients!$B$8,Nutrients!$EG$8,Nutrients!$EG$9)*AF$7)+(((IF($A$8=Nutrients!$B$79,Nutrients!$EG$79,(IF($A$8=Nutrients!$B$77,Nutrients!$EG$77,Nutrients!$EG$78)))))*AF$8))/2000</f>
        <v>0.22071852904295519</v>
      </c>
      <c r="AG310" s="202">
        <f>(SUMPRODUCT(AG$9:AG$229,Nutrients!$EG$8:$EG$228)+(IF($A$7=Nutrients!$B$8,Nutrients!$EG$8,Nutrients!$EG$9)*AG$7)+(((IF($A$8=Nutrients!$B$79,Nutrients!$EG$79,(IF($A$8=Nutrients!$B$77,Nutrients!$EG$77,Nutrients!$EG$78)))))*AG$8))/2000</f>
        <v>0.21014618488489362</v>
      </c>
      <c r="AH310" s="202">
        <f>(SUMPRODUCT(AH$9:AH$229,Nutrients!$EG$8:$EG$228)+(IF($A$7=Nutrients!$B$8,Nutrients!$EG$8,Nutrients!$EG$9)*AH$7)+(((IF($A$8=Nutrients!$B$79,Nutrients!$EG$79,(IF($A$8=Nutrients!$B$77,Nutrients!$EG$77,Nutrients!$EG$78)))))*AH$8))/2000</f>
        <v>0.20300536520580292</v>
      </c>
      <c r="AI310" s="202">
        <f>(SUMPRODUCT(AI$9:AI$229,Nutrients!$EG$8:$EG$228)+(IF($A$7=Nutrients!$B$8,Nutrients!$EG$8,Nutrients!$EG$9)*AI$7)+(((IF($A$8=Nutrients!$B$79,Nutrients!$EG$79,(IF($A$8=Nutrients!$B$77,Nutrients!$EG$77,Nutrients!$EG$78)))))*AI$8))/2000</f>
        <v>0.2215364317520549</v>
      </c>
      <c r="AK310" s="202">
        <f>(SUMPRODUCT(AK$9:AK$229,Nutrients!$EG$8:$EG$228)+(IF($A$7=Nutrients!$B$8,Nutrients!$EG$8,Nutrients!$EG$9)*AK$7)+(((IF($A$8=Nutrients!$B$79,Nutrients!$EG$79,(IF($A$8=Nutrients!$B$77,Nutrients!$EG$77,Nutrients!$EG$78)))))*AK$8))/2000</f>
        <v>0.24278719001269883</v>
      </c>
      <c r="AL310" s="202">
        <f>(SUMPRODUCT(AL$9:AL$229,Nutrients!$EG$8:$EG$228)+(IF($A$7=Nutrients!$B$8,Nutrients!$EG$8,Nutrients!$EG$9)*AL$7)+(((IF($A$8=Nutrients!$B$79,Nutrients!$EG$79,(IF($A$8=Nutrients!$B$77,Nutrients!$EG$77,Nutrients!$EG$78)))))*AL$8))/2000</f>
        <v>0.22751207494361927</v>
      </c>
      <c r="AM310" s="202">
        <f>(SUMPRODUCT(AM$9:AM$229,Nutrients!$EG$8:$EG$228)+(IF($A$7=Nutrients!$B$8,Nutrients!$EG$8,Nutrients!$EG$9)*AM$7)+(((IF($A$8=Nutrients!$B$79,Nutrients!$EG$79,(IF($A$8=Nutrients!$B$77,Nutrients!$EG$77,Nutrients!$EG$78)))))*AM$8))/2000</f>
        <v>0.2150640373825064</v>
      </c>
      <c r="AN310" s="202">
        <f>(SUMPRODUCT(AN$9:AN$229,Nutrients!$EG$8:$EG$228)+(IF($A$7=Nutrients!$B$8,Nutrients!$EG$8,Nutrients!$EG$9)*AN$7)+(((IF($A$8=Nutrients!$B$79,Nutrients!$EG$79,(IF($A$8=Nutrients!$B$77,Nutrients!$EG$77,Nutrients!$EG$78)))))*AN$8))/2000</f>
        <v>0.20445985222145546</v>
      </c>
      <c r="AO310" s="202">
        <f>(SUMPRODUCT(AO$9:AO$229,Nutrients!$EG$8:$EG$228)+(IF($A$7=Nutrients!$B$8,Nutrients!$EG$8,Nutrients!$EG$9)*AO$7)+(((IF($A$8=Nutrients!$B$79,Nutrients!$EG$79,(IF($A$8=Nutrients!$B$77,Nutrients!$EG$77,Nutrients!$EG$78)))))*AO$8))/2000</f>
        <v>0.19727549122792276</v>
      </c>
      <c r="AP310" s="202">
        <f>(SUMPRODUCT(AP$9:AP$229,Nutrients!$EG$8:$EG$228)+(IF($A$7=Nutrients!$B$8,Nutrients!$EG$8,Nutrients!$EG$9)*AP$7)+(((IF($A$8=Nutrients!$B$79,Nutrients!$EG$79,(IF($A$8=Nutrients!$B$77,Nutrients!$EG$77,Nutrients!$EG$78)))))*AP$8))/2000</f>
        <v>0.2215364317520549</v>
      </c>
      <c r="AR310" s="202">
        <f>(SUMPRODUCT(AR$9:AR$229,Nutrients!$EG$8:$EG$228)+(IF($A$7=Nutrients!$B$8,Nutrients!$EG$8,Nutrients!$EG$9)*AR$7)+(((IF($A$8=Nutrients!$B$79,Nutrients!$EG$79,(IF($A$8=Nutrients!$B$77,Nutrients!$EG$77,Nutrients!$EG$78)))))*AR$8))/2000</f>
        <v>0.23680036067727533</v>
      </c>
      <c r="AS310" s="202">
        <f>(SUMPRODUCT(AS$9:AS$229,Nutrients!$EG$8:$EG$228)+(IF($A$7=Nutrients!$B$8,Nutrients!$EG$8,Nutrients!$EG$9)*AS$7)+(((IF($A$8=Nutrients!$B$79,Nutrients!$EG$79,(IF($A$8=Nutrients!$B$77,Nutrients!$EG$77,Nutrients!$EG$78)))))*AS$8))/2000</f>
        <v>0.22176027332429543</v>
      </c>
      <c r="AT310" s="202">
        <f>(SUMPRODUCT(AT$9:AT$229,Nutrients!$EG$8:$EG$228)+(IF($A$7=Nutrients!$B$8,Nutrients!$EG$8,Nutrients!$EG$9)*AT$7)+(((IF($A$8=Nutrients!$B$79,Nutrients!$EG$79,(IF($A$8=Nutrients!$B$77,Nutrients!$EG$77,Nutrients!$EG$78)))))*AT$8))/2000</f>
        <v>0.20943715681409306</v>
      </c>
      <c r="AU310" s="202">
        <f>(SUMPRODUCT(AU$9:AU$229,Nutrients!$EG$8:$EG$228)+(IF($A$7=Nutrients!$B$8,Nutrients!$EG$8,Nutrients!$EG$9)*AU$7)+(((IF($A$8=Nutrients!$B$79,Nutrients!$EG$79,(IF($A$8=Nutrients!$B$77,Nutrients!$EG$77,Nutrients!$EG$78)))))*AU$8))/2000</f>
        <v>0.19867810441518011</v>
      </c>
      <c r="AV310" s="202">
        <f>(SUMPRODUCT(AV$9:AV$229,Nutrients!$EG$8:$EG$228)+(IF($A$7=Nutrients!$B$8,Nutrients!$EG$8,Nutrients!$EG$9)*AV$7)+(((IF($A$8=Nutrients!$B$79,Nutrients!$EG$79,(IF($A$8=Nutrients!$B$77,Nutrients!$EG$77,Nutrients!$EG$78)))))*AV$8))/2000</f>
        <v>0.19154709680957813</v>
      </c>
      <c r="AW310" s="202">
        <f>(SUMPRODUCT(AW$9:AW$229,Nutrients!$EG$8:$EG$228)+(IF($A$7=Nutrients!$B$8,Nutrients!$EG$8,Nutrients!$EG$9)*AW$7)+(((IF($A$8=Nutrients!$B$79,Nutrients!$EG$79,(IF($A$8=Nutrients!$B$77,Nutrients!$EG$77,Nutrients!$EG$78)))))*AW$8))/2000</f>
        <v>0.2215364317520549</v>
      </c>
    </row>
    <row r="311" spans="1:49" ht="12.6" customHeight="1" x14ac:dyDescent="0.25">
      <c r="A311" t="s">
        <v>74</v>
      </c>
      <c r="B311" s="23">
        <f t="shared" ref="B311:G311" si="189">B255-B256</f>
        <v>0.31730463701690137</v>
      </c>
      <c r="C311" s="23">
        <f t="shared" si="189"/>
        <v>0.29999736257979814</v>
      </c>
      <c r="D311" s="23">
        <f t="shared" si="189"/>
        <v>0.2851440661893474</v>
      </c>
      <c r="E311" s="23">
        <f t="shared" si="189"/>
        <v>0.27259764867356195</v>
      </c>
      <c r="F311" s="23">
        <f t="shared" si="189"/>
        <v>0.26435033325189533</v>
      </c>
      <c r="G311" s="23">
        <f t="shared" si="189"/>
        <v>0.26008169818001309</v>
      </c>
      <c r="H311" s="227"/>
      <c r="I311" s="23">
        <f t="shared" ref="I311:N311" si="190">I255-I256</f>
        <v>0.33383708454138628</v>
      </c>
      <c r="J311" s="23">
        <f t="shared" si="190"/>
        <v>0.31671885376179243</v>
      </c>
      <c r="K311" s="23">
        <f t="shared" si="190"/>
        <v>0.30202102498476391</v>
      </c>
      <c r="L311" s="23">
        <f t="shared" si="190"/>
        <v>0.28961942109569244</v>
      </c>
      <c r="M311" s="23">
        <f t="shared" si="190"/>
        <v>0.28135190264196031</v>
      </c>
      <c r="N311" s="23">
        <f t="shared" si="190"/>
        <v>0.26008169818001309</v>
      </c>
      <c r="O311" s="198"/>
      <c r="P311" s="23">
        <f t="shared" ref="P311:U311" si="191">P255-P256</f>
        <v>0.35061075584456458</v>
      </c>
      <c r="Q311" s="23">
        <f t="shared" si="191"/>
        <v>0.33360785099784052</v>
      </c>
      <c r="R311" s="23">
        <f t="shared" si="191"/>
        <v>0.319034732038739</v>
      </c>
      <c r="S311" s="23">
        <f t="shared" si="191"/>
        <v>0.30657536044761091</v>
      </c>
      <c r="T311" s="23">
        <f t="shared" si="191"/>
        <v>0.2983925563990048</v>
      </c>
      <c r="U311" s="23">
        <f t="shared" si="191"/>
        <v>0.26008169818001309</v>
      </c>
      <c r="W311" s="23">
        <f t="shared" ref="W311:AB311" si="192">W255-W256</f>
        <v>0.3673872379252251</v>
      </c>
      <c r="X311" s="23">
        <f t="shared" si="192"/>
        <v>0.35050142217463737</v>
      </c>
      <c r="Y311" s="23">
        <f t="shared" si="192"/>
        <v>0.33587123048091666</v>
      </c>
      <c r="Z311" s="23">
        <f t="shared" si="192"/>
        <v>0.32357506784429207</v>
      </c>
      <c r="AA311" s="23">
        <f t="shared" si="192"/>
        <v>0.31544398223254499</v>
      </c>
      <c r="AB311" s="23">
        <f t="shared" si="192"/>
        <v>0.26008169818001309</v>
      </c>
      <c r="AD311" s="23">
        <f t="shared" ref="AD311:AI311" si="193">AD255-AD256</f>
        <v>0.38414783820682069</v>
      </c>
      <c r="AE311" s="23">
        <f t="shared" si="193"/>
        <v>0.36721631974850044</v>
      </c>
      <c r="AF311" s="23">
        <f t="shared" si="193"/>
        <v>0.35275071534349939</v>
      </c>
      <c r="AG311" s="23">
        <f t="shared" si="193"/>
        <v>0.34055288634890857</v>
      </c>
      <c r="AH311" s="23">
        <f t="shared" si="193"/>
        <v>0.33231544646809535</v>
      </c>
      <c r="AI311" s="23">
        <f t="shared" si="193"/>
        <v>0.26008169818001309</v>
      </c>
      <c r="AK311" s="23">
        <f t="shared" ref="AK311:AP311" si="194">AK255-AK256</f>
        <v>0.40161412168642541</v>
      </c>
      <c r="AL311" s="23">
        <f t="shared" si="194"/>
        <v>0.38398409981345505</v>
      </c>
      <c r="AM311" s="23">
        <f t="shared" si="194"/>
        <v>0.36962947837746013</v>
      </c>
      <c r="AN311" s="23">
        <f t="shared" si="194"/>
        <v>0.35739567874583955</v>
      </c>
      <c r="AO311" s="23">
        <f t="shared" si="194"/>
        <v>0.34910850196444831</v>
      </c>
      <c r="AP311" s="23">
        <f t="shared" si="194"/>
        <v>0.26008169818001309</v>
      </c>
      <c r="AR311" s="23">
        <f t="shared" ref="AR311:AW311" si="195">AR255-AR256</f>
        <v>0.41810990244800006</v>
      </c>
      <c r="AS311" s="23">
        <f t="shared" si="195"/>
        <v>0.40075120670695219</v>
      </c>
      <c r="AT311" s="23">
        <f t="shared" si="195"/>
        <v>0.38654030451451005</v>
      </c>
      <c r="AU311" s="23">
        <f t="shared" si="195"/>
        <v>0.37412896125264017</v>
      </c>
      <c r="AV311" s="23">
        <f t="shared" si="195"/>
        <v>0.36590328409880318</v>
      </c>
      <c r="AW311" s="23">
        <f t="shared" si="195"/>
        <v>0.26008169818001309</v>
      </c>
    </row>
    <row r="312" spans="1:49" x14ac:dyDescent="0.25">
      <c r="A312" s="34" t="s">
        <v>109</v>
      </c>
      <c r="B312" s="45">
        <f t="shared" ref="B312:G312" si="196">B257-B256</f>
        <v>0.11261444047083269</v>
      </c>
      <c r="C312" s="45">
        <f t="shared" si="196"/>
        <v>0.11261444047083266</v>
      </c>
      <c r="D312" s="45">
        <f t="shared" si="196"/>
        <v>0.11261444047083266</v>
      </c>
      <c r="E312" s="45">
        <f t="shared" si="196"/>
        <v>0.11261444047083269</v>
      </c>
      <c r="F312" s="45">
        <f t="shared" si="196"/>
        <v>0.11261444047083269</v>
      </c>
      <c r="G312" s="45">
        <f t="shared" si="196"/>
        <v>0.11261444047083269</v>
      </c>
      <c r="H312" s="233"/>
      <c r="I312" s="45">
        <f t="shared" ref="I312:N312" si="197">I257-I256</f>
        <v>0.11261444047083266</v>
      </c>
      <c r="J312" s="45">
        <f t="shared" si="197"/>
        <v>0.11261444047083272</v>
      </c>
      <c r="K312" s="45">
        <f t="shared" si="197"/>
        <v>0.11261444047083266</v>
      </c>
      <c r="L312" s="45">
        <f t="shared" si="197"/>
        <v>0.1126144404708327</v>
      </c>
      <c r="M312" s="45">
        <f t="shared" si="197"/>
        <v>0.1126144404708327</v>
      </c>
      <c r="N312" s="45">
        <f t="shared" si="197"/>
        <v>0.11261444047083269</v>
      </c>
      <c r="O312" s="239"/>
      <c r="P312" s="45">
        <f t="shared" ref="P312:U312" si="198">P257-P256</f>
        <v>0.11261444047083269</v>
      </c>
      <c r="Q312" s="45">
        <f t="shared" si="198"/>
        <v>0.11261444047083266</v>
      </c>
      <c r="R312" s="45">
        <f t="shared" si="198"/>
        <v>0.1126144404708327</v>
      </c>
      <c r="S312" s="45">
        <f t="shared" si="198"/>
        <v>0.11261444047083269</v>
      </c>
      <c r="T312" s="45">
        <f t="shared" si="198"/>
        <v>0.11261444047083269</v>
      </c>
      <c r="U312" s="45">
        <f t="shared" si="198"/>
        <v>0.11261444047083269</v>
      </c>
      <c r="W312" s="45">
        <f t="shared" ref="W312:AB312" si="199">W257-W256</f>
        <v>0.11261444047083272</v>
      </c>
      <c r="X312" s="45">
        <f t="shared" si="199"/>
        <v>0.11261444047083266</v>
      </c>
      <c r="Y312" s="45">
        <f t="shared" si="199"/>
        <v>0.11261444047083267</v>
      </c>
      <c r="Z312" s="45">
        <f t="shared" si="199"/>
        <v>0.1126144404708327</v>
      </c>
      <c r="AA312" s="45">
        <f t="shared" si="199"/>
        <v>0.11261444047083269</v>
      </c>
      <c r="AB312" s="45">
        <f t="shared" si="199"/>
        <v>0.11261444047083269</v>
      </c>
      <c r="AD312" s="45">
        <f t="shared" ref="AD312:AI312" si="200">AD257-AD256</f>
        <v>0.11261444047083263</v>
      </c>
      <c r="AE312" s="45">
        <f t="shared" si="200"/>
        <v>0.1126144404708327</v>
      </c>
      <c r="AF312" s="45">
        <f t="shared" si="200"/>
        <v>0.11261444047083267</v>
      </c>
      <c r="AG312" s="45">
        <f t="shared" si="200"/>
        <v>0.11261444047083269</v>
      </c>
      <c r="AH312" s="45">
        <f t="shared" si="200"/>
        <v>0.11261444047083269</v>
      </c>
      <c r="AI312" s="45">
        <f t="shared" si="200"/>
        <v>0.11261444047083269</v>
      </c>
      <c r="AK312" s="45">
        <f t="shared" ref="AK312:AP312" si="201">AK257-AK256</f>
        <v>0.11261444047083266</v>
      </c>
      <c r="AL312" s="45">
        <f t="shared" si="201"/>
        <v>0.1126144404708327</v>
      </c>
      <c r="AM312" s="45">
        <f t="shared" si="201"/>
        <v>0.1126144404708327</v>
      </c>
      <c r="AN312" s="45">
        <f t="shared" si="201"/>
        <v>0.11261444047083269</v>
      </c>
      <c r="AO312" s="45">
        <f t="shared" si="201"/>
        <v>0.11261444047083269</v>
      </c>
      <c r="AP312" s="45">
        <f t="shared" si="201"/>
        <v>0.11261444047083269</v>
      </c>
      <c r="AR312" s="45">
        <f t="shared" ref="AR312:AW312" si="202">AR257-AR256</f>
        <v>0.1126144404708327</v>
      </c>
      <c r="AS312" s="45">
        <f t="shared" si="202"/>
        <v>0.11261444047083269</v>
      </c>
      <c r="AT312" s="45">
        <f t="shared" si="202"/>
        <v>0.11261444047083269</v>
      </c>
      <c r="AU312" s="45">
        <f t="shared" si="202"/>
        <v>0.11261444047083269</v>
      </c>
      <c r="AV312" s="45">
        <f t="shared" si="202"/>
        <v>0.11261444047083269</v>
      </c>
      <c r="AW312" s="45">
        <f t="shared" si="202"/>
        <v>0.11261444047083269</v>
      </c>
    </row>
    <row r="313" spans="1:49" x14ac:dyDescent="0.25">
      <c r="A313" s="44" t="s">
        <v>110</v>
      </c>
      <c r="B313" s="46">
        <f t="shared" ref="B313:G313" si="203">B312/B310</f>
        <v>0.41534416697896814</v>
      </c>
      <c r="C313" s="46">
        <f t="shared" si="203"/>
        <v>0.4396599206348985</v>
      </c>
      <c r="D313" s="46">
        <f t="shared" si="203"/>
        <v>0.46293956495329519</v>
      </c>
      <c r="E313" s="46">
        <f t="shared" si="203"/>
        <v>0.48460511648891713</v>
      </c>
      <c r="F313" s="46">
        <f t="shared" si="203"/>
        <v>0.49998670453269645</v>
      </c>
      <c r="G313" s="46">
        <f t="shared" si="203"/>
        <v>0.50833372904042951</v>
      </c>
      <c r="H313" s="46"/>
      <c r="I313" s="46">
        <f t="shared" ref="I313:N313" si="204">I312/I310</f>
        <v>0.42467121606022762</v>
      </c>
      <c r="J313" s="46">
        <f t="shared" si="204"/>
        <v>0.44983067973100022</v>
      </c>
      <c r="K313" s="46">
        <f t="shared" si="204"/>
        <v>0.47396099363312283</v>
      </c>
      <c r="L313" s="46">
        <f t="shared" si="204"/>
        <v>0.4964196286873489</v>
      </c>
      <c r="M313" s="46">
        <f t="shared" si="204"/>
        <v>0.51261430072679193</v>
      </c>
      <c r="N313" s="46">
        <f t="shared" si="204"/>
        <v>0.50833372904042951</v>
      </c>
      <c r="O313" s="46"/>
      <c r="P313" s="46">
        <f t="shared" ref="P313:U313" si="205">P312/P310</f>
        <v>0.43407725259707419</v>
      </c>
      <c r="Q313" s="46">
        <f t="shared" si="205"/>
        <v>0.46020999708369487</v>
      </c>
      <c r="R313" s="46">
        <f t="shared" si="205"/>
        <v>0.48527211403804926</v>
      </c>
      <c r="S313" s="46">
        <f t="shared" si="205"/>
        <v>0.50895725515707102</v>
      </c>
      <c r="T313" s="46">
        <f t="shared" si="205"/>
        <v>0.52581323837942229</v>
      </c>
      <c r="U313" s="46">
        <f t="shared" si="205"/>
        <v>0.50833372904042951</v>
      </c>
      <c r="W313" s="46">
        <f t="shared" ref="W313:AB313" si="206">W312/W310</f>
        <v>0.44390474395077767</v>
      </c>
      <c r="X313" s="46">
        <f t="shared" si="206"/>
        <v>0.47107143957445219</v>
      </c>
      <c r="Y313" s="46">
        <f t="shared" si="206"/>
        <v>0.4974729194102317</v>
      </c>
      <c r="Z313" s="46">
        <f t="shared" si="206"/>
        <v>0.52205187281306753</v>
      </c>
      <c r="AA313" s="46">
        <f t="shared" si="206"/>
        <v>0.53968475545769723</v>
      </c>
      <c r="AB313" s="46">
        <f t="shared" si="206"/>
        <v>0.50833372904042951</v>
      </c>
      <c r="AD313" s="46">
        <f t="shared" ref="AD313:AI313" si="207">AD312/AD310</f>
        <v>0.45421298859753989</v>
      </c>
      <c r="AE313" s="46">
        <f t="shared" si="207"/>
        <v>0.48277850852299237</v>
      </c>
      <c r="AF313" s="46">
        <f t="shared" si="207"/>
        <v>0.51021742922596314</v>
      </c>
      <c r="AG313" s="46">
        <f t="shared" si="207"/>
        <v>0.53588620003982756</v>
      </c>
      <c r="AH313" s="46">
        <f t="shared" si="207"/>
        <v>0.55473627683025195</v>
      </c>
      <c r="AI313" s="46">
        <f t="shared" si="207"/>
        <v>0.50833372904042951</v>
      </c>
      <c r="AK313" s="46">
        <f t="shared" ref="AK313:AP313" si="208">AK312/AK310</f>
        <v>0.46384012461671653</v>
      </c>
      <c r="AL313" s="46">
        <f t="shared" si="208"/>
        <v>0.49498225752958458</v>
      </c>
      <c r="AM313" s="46">
        <f t="shared" si="208"/>
        <v>0.52363213227760652</v>
      </c>
      <c r="AN313" s="46">
        <f t="shared" si="208"/>
        <v>0.55078999249621508</v>
      </c>
      <c r="AO313" s="46">
        <f t="shared" si="208"/>
        <v>0.57084861261718156</v>
      </c>
      <c r="AP313" s="46">
        <f t="shared" si="208"/>
        <v>0.50833372904042951</v>
      </c>
      <c r="AR313" s="46">
        <f t="shared" ref="AR313:AW313" si="209">AR312/AR310</f>
        <v>0.47556701412423064</v>
      </c>
      <c r="AS313" s="46">
        <f t="shared" si="209"/>
        <v>0.50782062441882359</v>
      </c>
      <c r="AT313" s="46">
        <f t="shared" si="209"/>
        <v>0.53770038795358044</v>
      </c>
      <c r="AU313" s="46">
        <f t="shared" si="209"/>
        <v>0.56681857722731688</v>
      </c>
      <c r="AV313" s="46">
        <f t="shared" si="209"/>
        <v>0.58792037230815142</v>
      </c>
      <c r="AW313" s="46">
        <f t="shared" si="209"/>
        <v>0.50833372904042951</v>
      </c>
    </row>
    <row r="314" spans="1:49" x14ac:dyDescent="0.25">
      <c r="A314" s="34" t="s">
        <v>359</v>
      </c>
      <c r="B314" s="21">
        <f>((SUMPRODUCT(B$9:B$229,Nutrients!$EE$8:$EE$228)+(IF($A$7=Nutrients!$B$8,Nutrients!$EE$8,Nutrients!$EE$9)*B$7)+(((IF($A$8=Nutrients!$B$79,Nutrients!$EE$79,(IF($A$8=Nutrients!$B$77,Nutrients!$EE$77,Nutrients!$EE$78)))))*B$8))/2000)*2.2046</f>
        <v>608.03970300000003</v>
      </c>
      <c r="C314" s="21">
        <f>((SUMPRODUCT(C$9:C$229,Nutrients!$EE$8:$EE$228)+(IF($A$7=Nutrients!$B$8,Nutrients!$EE$8,Nutrients!$EE$9)*C$7)+(((IF($A$8=Nutrients!$B$79,Nutrients!$EE$79,(IF($A$8=Nutrients!$B$77,Nutrients!$EE$77,Nutrients!$EE$78)))))*C$8))/2000)*2.2046</f>
        <v>608.03970300000003</v>
      </c>
      <c r="D314" s="21">
        <f>((SUMPRODUCT(D$9:D$229,Nutrients!$EE$8:$EE$228)+(IF($A$7=Nutrients!$B$8,Nutrients!$EE$8,Nutrients!$EE$9)*D$7)+(((IF($A$8=Nutrients!$B$79,Nutrients!$EE$79,(IF($A$8=Nutrients!$B$77,Nutrients!$EE$77,Nutrients!$EE$78)))))*D$8))/2000)*2.2046</f>
        <v>608.03970300000003</v>
      </c>
      <c r="E314" s="21">
        <f>((SUMPRODUCT(E$9:E$229,Nutrients!$EE$8:$EE$228)+(IF($A$7=Nutrients!$B$8,Nutrients!$EE$8,Nutrients!$EE$9)*E$7)+(((IF($A$8=Nutrients!$B$79,Nutrients!$EE$79,(IF($A$8=Nutrients!$B$77,Nutrients!$EE$77,Nutrients!$EE$78)))))*E$8))/2000)*2.2046</f>
        <v>608.03970300000003</v>
      </c>
      <c r="F314" s="21">
        <f>((SUMPRODUCT(F$9:F$229,Nutrients!$EE$8:$EE$228)+(IF($A$7=Nutrients!$B$8,Nutrients!$EE$8,Nutrients!$EE$9)*F$7)+(((IF($A$8=Nutrients!$B$79,Nutrients!$EE$79,(IF($A$8=Nutrients!$B$77,Nutrients!$EE$77,Nutrients!$EE$78)))))*F$8))/2000)*2.2046</f>
        <v>608.03970300000003</v>
      </c>
      <c r="G314" s="21">
        <f>((SUMPRODUCT(G$9:G$229,Nutrients!$EE$8:$EE$228)+(IF($A$7=Nutrients!$B$8,Nutrients!$EE$8,Nutrients!$EE$9)*G$7)+(((IF($A$8=Nutrients!$B$79,Nutrients!$EE$79,(IF($A$8=Nutrients!$B$77,Nutrients!$EE$77,Nutrients!$EE$78)))))*G$8))/2000)*2.2046</f>
        <v>608.03970300000003</v>
      </c>
      <c r="H314" s="226"/>
      <c r="I314" s="21">
        <f>((SUMPRODUCT(I$9:I$229,Nutrients!$EE$8:$EE$228)+(IF($A$7=Nutrients!$B$8,Nutrients!$EE$8,Nutrients!$EE$9)*I$7)+(((IF($A$8=Nutrients!$B$79,Nutrients!$EE$79,(IF($A$8=Nutrients!$B$77,Nutrients!$EE$77,Nutrients!$EE$78)))))*I$8))/2000)*2.2046</f>
        <v>608.03970300000003</v>
      </c>
      <c r="J314" s="21">
        <f>((SUMPRODUCT(J$9:J$229,Nutrients!$EE$8:$EE$228)+(IF($A$7=Nutrients!$B$8,Nutrients!$EE$8,Nutrients!$EE$9)*J$7)+(((IF($A$8=Nutrients!$B$79,Nutrients!$EE$79,(IF($A$8=Nutrients!$B$77,Nutrients!$EE$77,Nutrients!$EE$78)))))*J$8))/2000)*2.2046</f>
        <v>608.03970300000003</v>
      </c>
      <c r="K314" s="21">
        <f>((SUMPRODUCT(K$9:K$229,Nutrients!$EE$8:$EE$228)+(IF($A$7=Nutrients!$B$8,Nutrients!$EE$8,Nutrients!$EE$9)*K$7)+(((IF($A$8=Nutrients!$B$79,Nutrients!$EE$79,(IF($A$8=Nutrients!$B$77,Nutrients!$EE$77,Nutrients!$EE$78)))))*K$8))/2000)*2.2046</f>
        <v>608.03970300000003</v>
      </c>
      <c r="L314" s="21">
        <f>((SUMPRODUCT(L$9:L$229,Nutrients!$EE$8:$EE$228)+(IF($A$7=Nutrients!$B$8,Nutrients!$EE$8,Nutrients!$EE$9)*L$7)+(((IF($A$8=Nutrients!$B$79,Nutrients!$EE$79,(IF($A$8=Nutrients!$B$77,Nutrients!$EE$77,Nutrients!$EE$78)))))*L$8))/2000)*2.2046</f>
        <v>608.03970300000003</v>
      </c>
      <c r="M314" s="21">
        <f>((SUMPRODUCT(M$9:M$229,Nutrients!$EE$8:$EE$228)+(IF($A$7=Nutrients!$B$8,Nutrients!$EE$8,Nutrients!$EE$9)*M$7)+(((IF($A$8=Nutrients!$B$79,Nutrients!$EE$79,(IF($A$8=Nutrients!$B$77,Nutrients!$EE$77,Nutrients!$EE$78)))))*M$8))/2000)*2.2046</f>
        <v>608.03970300000003</v>
      </c>
      <c r="N314" s="21">
        <f>((SUMPRODUCT(N$9:N$229,Nutrients!$EE$8:$EE$228)+(IF($A$7=Nutrients!$B$8,Nutrients!$EE$8,Nutrients!$EE$9)*N$7)+(((IF($A$8=Nutrients!$B$79,Nutrients!$EE$79,(IF($A$8=Nutrients!$B$77,Nutrients!$EE$77,Nutrients!$EE$78)))))*N$8))/2000)*2.2046</f>
        <v>608.03970300000003</v>
      </c>
      <c r="O314" s="234"/>
      <c r="P314" s="21">
        <f>((SUMPRODUCT(P$9:P$229,Nutrients!$EE$8:$EE$228)+(IF($A$7=Nutrients!$B$8,Nutrients!$EE$8,Nutrients!$EE$9)*P$7)+(((IF($A$8=Nutrients!$B$79,Nutrients!$EE$79,(IF($A$8=Nutrients!$B$77,Nutrients!$EE$77,Nutrients!$EE$78)))))*P$8))/2000)*2.2046</f>
        <v>608.03970300000003</v>
      </c>
      <c r="Q314" s="21">
        <f>((SUMPRODUCT(Q$9:Q$229,Nutrients!$EE$8:$EE$228)+(IF($A$7=Nutrients!$B$8,Nutrients!$EE$8,Nutrients!$EE$9)*Q$7)+(((IF($A$8=Nutrients!$B$79,Nutrients!$EE$79,(IF($A$8=Nutrients!$B$77,Nutrients!$EE$77,Nutrients!$EE$78)))))*Q$8))/2000)*2.2046</f>
        <v>608.03970300000003</v>
      </c>
      <c r="R314" s="21">
        <f>((SUMPRODUCT(R$9:R$229,Nutrients!$EE$8:$EE$228)+(IF($A$7=Nutrients!$B$8,Nutrients!$EE$8,Nutrients!$EE$9)*R$7)+(((IF($A$8=Nutrients!$B$79,Nutrients!$EE$79,(IF($A$8=Nutrients!$B$77,Nutrients!$EE$77,Nutrients!$EE$78)))))*R$8))/2000)*2.2046</f>
        <v>608.03970300000003</v>
      </c>
      <c r="S314" s="21">
        <f>((SUMPRODUCT(S$9:S$229,Nutrients!$EE$8:$EE$228)+(IF($A$7=Nutrients!$B$8,Nutrients!$EE$8,Nutrients!$EE$9)*S$7)+(((IF($A$8=Nutrients!$B$79,Nutrients!$EE$79,(IF($A$8=Nutrients!$B$77,Nutrients!$EE$77,Nutrients!$EE$78)))))*S$8))/2000)*2.2046</f>
        <v>608.03970300000003</v>
      </c>
      <c r="T314" s="21">
        <f>((SUMPRODUCT(T$9:T$229,Nutrients!$EE$8:$EE$228)+(IF($A$7=Nutrients!$B$8,Nutrients!$EE$8,Nutrients!$EE$9)*T$7)+(((IF($A$8=Nutrients!$B$79,Nutrients!$EE$79,(IF($A$8=Nutrients!$B$77,Nutrients!$EE$77,Nutrients!$EE$78)))))*T$8))/2000)*2.2046</f>
        <v>608.03970300000003</v>
      </c>
      <c r="U314" s="21">
        <f>((SUMPRODUCT(U$9:U$229,Nutrients!$EE$8:$EE$228)+(IF($A$7=Nutrients!$B$8,Nutrients!$EE$8,Nutrients!$EE$9)*U$7)+(((IF($A$8=Nutrients!$B$79,Nutrients!$EE$79,(IF($A$8=Nutrients!$B$77,Nutrients!$EE$77,Nutrients!$EE$78)))))*U$8))/2000)*2.2046</f>
        <v>608.03970300000003</v>
      </c>
      <c r="W314" s="21">
        <f>((SUMPRODUCT(W$9:W$229,Nutrients!$EE$8:$EE$228)+(IF($A$7=Nutrients!$B$8,Nutrients!$EE$8,Nutrients!$EE$9)*W$7)+(((IF($A$8=Nutrients!$B$79,Nutrients!$EE$79,(IF($A$8=Nutrients!$B$77,Nutrients!$EE$77,Nutrients!$EE$78)))))*W$8))/2000)*2.2046</f>
        <v>608.03970300000003</v>
      </c>
      <c r="X314" s="21">
        <f>((SUMPRODUCT(X$9:X$229,Nutrients!$EE$8:$EE$228)+(IF($A$7=Nutrients!$B$8,Nutrients!$EE$8,Nutrients!$EE$9)*X$7)+(((IF($A$8=Nutrients!$B$79,Nutrients!$EE$79,(IF($A$8=Nutrients!$B$77,Nutrients!$EE$77,Nutrients!$EE$78)))))*X$8))/2000)*2.2046</f>
        <v>608.03970300000003</v>
      </c>
      <c r="Y314" s="21">
        <f>((SUMPRODUCT(Y$9:Y$229,Nutrients!$EE$8:$EE$228)+(IF($A$7=Nutrients!$B$8,Nutrients!$EE$8,Nutrients!$EE$9)*Y$7)+(((IF($A$8=Nutrients!$B$79,Nutrients!$EE$79,(IF($A$8=Nutrients!$B$77,Nutrients!$EE$77,Nutrients!$EE$78)))))*Y$8))/2000)*2.2046</f>
        <v>608.03970300000003</v>
      </c>
      <c r="Z314" s="21">
        <f>((SUMPRODUCT(Z$9:Z$229,Nutrients!$EE$8:$EE$228)+(IF($A$7=Nutrients!$B$8,Nutrients!$EE$8,Nutrients!$EE$9)*Z$7)+(((IF($A$8=Nutrients!$B$79,Nutrients!$EE$79,(IF($A$8=Nutrients!$B$77,Nutrients!$EE$77,Nutrients!$EE$78)))))*Z$8))/2000)*2.2046</f>
        <v>608.03970300000003</v>
      </c>
      <c r="AA314" s="21">
        <f>((SUMPRODUCT(AA$9:AA$229,Nutrients!$EE$8:$EE$228)+(IF($A$7=Nutrients!$B$8,Nutrients!$EE$8,Nutrients!$EE$9)*AA$7)+(((IF($A$8=Nutrients!$B$79,Nutrients!$EE$79,(IF($A$8=Nutrients!$B$77,Nutrients!$EE$77,Nutrients!$EE$78)))))*AA$8))/2000)*2.2046</f>
        <v>608.03970300000003</v>
      </c>
      <c r="AB314" s="21">
        <f>((SUMPRODUCT(AB$9:AB$229,Nutrients!$EE$8:$EE$228)+(IF($A$7=Nutrients!$B$8,Nutrients!$EE$8,Nutrients!$EE$9)*AB$7)+(((IF($A$8=Nutrients!$B$79,Nutrients!$EE$79,(IF($A$8=Nutrients!$B$77,Nutrients!$EE$77,Nutrients!$EE$78)))))*AB$8))/2000)*2.2046</f>
        <v>608.03970300000003</v>
      </c>
      <c r="AD314" s="21">
        <f>((SUMPRODUCT(AD$9:AD$229,Nutrients!$EE$8:$EE$228)+(IF($A$7=Nutrients!$B$8,Nutrients!$EE$8,Nutrients!$EE$9)*AD$7)+(((IF($A$8=Nutrients!$B$79,Nutrients!$EE$79,(IF($A$8=Nutrients!$B$77,Nutrients!$EE$77,Nutrients!$EE$78)))))*AD$8))/2000)*2.2046</f>
        <v>608.03970300000003</v>
      </c>
      <c r="AE314" s="21">
        <f>((SUMPRODUCT(AE$9:AE$229,Nutrients!$EE$8:$EE$228)+(IF($A$7=Nutrients!$B$8,Nutrients!$EE$8,Nutrients!$EE$9)*AE$7)+(((IF($A$8=Nutrients!$B$79,Nutrients!$EE$79,(IF($A$8=Nutrients!$B$77,Nutrients!$EE$77,Nutrients!$EE$78)))))*AE$8))/2000)*2.2046</f>
        <v>608.03970300000003</v>
      </c>
      <c r="AF314" s="21">
        <f>((SUMPRODUCT(AF$9:AF$229,Nutrients!$EE$8:$EE$228)+(IF($A$7=Nutrients!$B$8,Nutrients!$EE$8,Nutrients!$EE$9)*AF$7)+(((IF($A$8=Nutrients!$B$79,Nutrients!$EE$79,(IF($A$8=Nutrients!$B$77,Nutrients!$EE$77,Nutrients!$EE$78)))))*AF$8))/2000)*2.2046</f>
        <v>608.03970300000003</v>
      </c>
      <c r="AG314" s="21">
        <f>((SUMPRODUCT(AG$9:AG$229,Nutrients!$EE$8:$EE$228)+(IF($A$7=Nutrients!$B$8,Nutrients!$EE$8,Nutrients!$EE$9)*AG$7)+(((IF($A$8=Nutrients!$B$79,Nutrients!$EE$79,(IF($A$8=Nutrients!$B$77,Nutrients!$EE$77,Nutrients!$EE$78)))))*AG$8))/2000)*2.2046</f>
        <v>608.03970300000003</v>
      </c>
      <c r="AH314" s="21">
        <f>((SUMPRODUCT(AH$9:AH$229,Nutrients!$EE$8:$EE$228)+(IF($A$7=Nutrients!$B$8,Nutrients!$EE$8,Nutrients!$EE$9)*AH$7)+(((IF($A$8=Nutrients!$B$79,Nutrients!$EE$79,(IF($A$8=Nutrients!$B$77,Nutrients!$EE$77,Nutrients!$EE$78)))))*AH$8))/2000)*2.2046</f>
        <v>608.03970300000003</v>
      </c>
      <c r="AI314" s="21">
        <f>((SUMPRODUCT(AI$9:AI$229,Nutrients!$EE$8:$EE$228)+(IF($A$7=Nutrients!$B$8,Nutrients!$EE$8,Nutrients!$EE$9)*AI$7)+(((IF($A$8=Nutrients!$B$79,Nutrients!$EE$79,(IF($A$8=Nutrients!$B$77,Nutrients!$EE$77,Nutrients!$EE$78)))))*AI$8))/2000)*2.2046</f>
        <v>608.03970300000003</v>
      </c>
      <c r="AK314" s="21">
        <f>((SUMPRODUCT(AK$9:AK$229,Nutrients!$EE$8:$EE$228)+(IF($A$7=Nutrients!$B$8,Nutrients!$EE$8,Nutrients!$EE$9)*AK$7)+(((IF($A$8=Nutrients!$B$79,Nutrients!$EE$79,(IF($A$8=Nutrients!$B$77,Nutrients!$EE$77,Nutrients!$EE$78)))))*AK$8))/2000)*2.2046</f>
        <v>608.03970300000003</v>
      </c>
      <c r="AL314" s="21">
        <f>((SUMPRODUCT(AL$9:AL$229,Nutrients!$EE$8:$EE$228)+(IF($A$7=Nutrients!$B$8,Nutrients!$EE$8,Nutrients!$EE$9)*AL$7)+(((IF($A$8=Nutrients!$B$79,Nutrients!$EE$79,(IF($A$8=Nutrients!$B$77,Nutrients!$EE$77,Nutrients!$EE$78)))))*AL$8))/2000)*2.2046</f>
        <v>608.03970300000003</v>
      </c>
      <c r="AM314" s="21">
        <f>((SUMPRODUCT(AM$9:AM$229,Nutrients!$EE$8:$EE$228)+(IF($A$7=Nutrients!$B$8,Nutrients!$EE$8,Nutrients!$EE$9)*AM$7)+(((IF($A$8=Nutrients!$B$79,Nutrients!$EE$79,(IF($A$8=Nutrients!$B$77,Nutrients!$EE$77,Nutrients!$EE$78)))))*AM$8))/2000)*2.2046</f>
        <v>608.03970300000003</v>
      </c>
      <c r="AN314" s="21">
        <f>((SUMPRODUCT(AN$9:AN$229,Nutrients!$EE$8:$EE$228)+(IF($A$7=Nutrients!$B$8,Nutrients!$EE$8,Nutrients!$EE$9)*AN$7)+(((IF($A$8=Nutrients!$B$79,Nutrients!$EE$79,(IF($A$8=Nutrients!$B$77,Nutrients!$EE$77,Nutrients!$EE$78)))))*AN$8))/2000)*2.2046</f>
        <v>608.03970300000003</v>
      </c>
      <c r="AO314" s="21">
        <f>((SUMPRODUCT(AO$9:AO$229,Nutrients!$EE$8:$EE$228)+(IF($A$7=Nutrients!$B$8,Nutrients!$EE$8,Nutrients!$EE$9)*AO$7)+(((IF($A$8=Nutrients!$B$79,Nutrients!$EE$79,(IF($A$8=Nutrients!$B$77,Nutrients!$EE$77,Nutrients!$EE$78)))))*AO$8))/2000)*2.2046</f>
        <v>608.03970300000003</v>
      </c>
      <c r="AP314" s="21">
        <f>((SUMPRODUCT(AP$9:AP$229,Nutrients!$EE$8:$EE$228)+(IF($A$7=Nutrients!$B$8,Nutrients!$EE$8,Nutrients!$EE$9)*AP$7)+(((IF($A$8=Nutrients!$B$79,Nutrients!$EE$79,(IF($A$8=Nutrients!$B$77,Nutrients!$EE$77,Nutrients!$EE$78)))))*AP$8))/2000)*2.2046</f>
        <v>608.03970300000003</v>
      </c>
      <c r="AR314" s="21">
        <f>((SUMPRODUCT(AR$9:AR$229,Nutrients!$EE$8:$EE$228)+(IF($A$7=Nutrients!$B$8,Nutrients!$EE$8,Nutrients!$EE$9)*AR$7)+(((IF($A$8=Nutrients!$B$79,Nutrients!$EE$79,(IF($A$8=Nutrients!$B$77,Nutrients!$EE$77,Nutrients!$EE$78)))))*AR$8))/2000)*2.2046</f>
        <v>608.03970300000003</v>
      </c>
      <c r="AS314" s="21">
        <f>((SUMPRODUCT(AS$9:AS$229,Nutrients!$EE$8:$EE$228)+(IF($A$7=Nutrients!$B$8,Nutrients!$EE$8,Nutrients!$EE$9)*AS$7)+(((IF($A$8=Nutrients!$B$79,Nutrients!$EE$79,(IF($A$8=Nutrients!$B$77,Nutrients!$EE$77,Nutrients!$EE$78)))))*AS$8))/2000)*2.2046</f>
        <v>608.03970300000003</v>
      </c>
      <c r="AT314" s="21">
        <f>((SUMPRODUCT(AT$9:AT$229,Nutrients!$EE$8:$EE$228)+(IF($A$7=Nutrients!$B$8,Nutrients!$EE$8,Nutrients!$EE$9)*AT$7)+(((IF($A$8=Nutrients!$B$79,Nutrients!$EE$79,(IF($A$8=Nutrients!$B$77,Nutrients!$EE$77,Nutrients!$EE$78)))))*AT$8))/2000)*2.2046</f>
        <v>608.03970300000003</v>
      </c>
      <c r="AU314" s="21">
        <f>((SUMPRODUCT(AU$9:AU$229,Nutrients!$EE$8:$EE$228)+(IF($A$7=Nutrients!$B$8,Nutrients!$EE$8,Nutrients!$EE$9)*AU$7)+(((IF($A$8=Nutrients!$B$79,Nutrients!$EE$79,(IF($A$8=Nutrients!$B$77,Nutrients!$EE$77,Nutrients!$EE$78)))))*AU$8))/2000)*2.2046</f>
        <v>608.03970300000003</v>
      </c>
      <c r="AV314" s="21">
        <f>((SUMPRODUCT(AV$9:AV$229,Nutrients!$EE$8:$EE$228)+(IF($A$7=Nutrients!$B$8,Nutrients!$EE$8,Nutrients!$EE$9)*AV$7)+(((IF($A$8=Nutrients!$B$79,Nutrients!$EE$79,(IF($A$8=Nutrients!$B$77,Nutrients!$EE$77,Nutrients!$EE$78)))))*AV$8))/2000)*2.2046</f>
        <v>608.03970300000003</v>
      </c>
      <c r="AW314" s="21">
        <f>((SUMPRODUCT(AW$9:AW$229,Nutrients!$EE$8:$EE$228)+(IF($A$7=Nutrients!$B$8,Nutrients!$EE$8,Nutrients!$EE$9)*AW$7)+(((IF($A$8=Nutrients!$B$79,Nutrients!$EE$79,(IF($A$8=Nutrients!$B$77,Nutrients!$EE$77,Nutrients!$EE$78)))))*AW$8))/2000)*2.2046</f>
        <v>608.03970300000003</v>
      </c>
    </row>
    <row r="315" spans="1:49" x14ac:dyDescent="0.25">
      <c r="A315" s="34" t="s">
        <v>360</v>
      </c>
      <c r="B315" s="23">
        <f>((SUMPRODUCT(B$9:B$229,Nutrients!$FK$8:$FK$228)+(IF($A$7=Nutrients!$B$8,Nutrients!$FK$8,Nutrients!$FK$9)*B$7)+(((IF($A$8=Nutrients!$B$79,Nutrients!$FK$79,(IF($A$8=Nutrients!$B$77,Nutrients!$FK$77,Nutrients!$FK$78)))))*B$8))/2000)</f>
        <v>1.5203643016438457</v>
      </c>
      <c r="C315" s="23">
        <f>((SUMPRODUCT(C$9:C$229,Nutrients!$FK$8:$FK$228)+(IF($A$7=Nutrients!$B$8,Nutrients!$FK$8,Nutrients!$FK$9)*C$7)+(((IF($A$8=Nutrients!$B$79,Nutrients!$FK$79,(IF($A$8=Nutrients!$B$77,Nutrients!$FK$77,Nutrients!$FK$78)))))*C$8))/2000)</f>
        <v>1.5749887728173662</v>
      </c>
      <c r="D315" s="23">
        <f>((SUMPRODUCT(D$9:D$229,Nutrients!$FK$8:$FK$228)+(IF($A$7=Nutrients!$B$8,Nutrients!$FK$8,Nutrients!$FK$9)*D$7)+(((IF($A$8=Nutrients!$B$79,Nutrients!$FK$79,(IF($A$8=Nutrients!$B$77,Nutrients!$FK$77,Nutrients!$FK$78)))))*D$8))/2000)</f>
        <v>1.622538447302484</v>
      </c>
      <c r="E315" s="23">
        <f>((SUMPRODUCT(E$9:E$229,Nutrients!$FK$8:$FK$228)+(IF($A$7=Nutrients!$B$8,Nutrients!$FK$8,Nutrients!$FK$9)*E$7)+(((IF($A$8=Nutrients!$B$79,Nutrients!$FK$79,(IF($A$8=Nutrients!$B$77,Nutrients!$FK$77,Nutrients!$FK$78)))))*E$8))/2000)</f>
        <v>1.6623836434171375</v>
      </c>
      <c r="F315" s="23">
        <f>((SUMPRODUCT(F$9:F$229,Nutrients!$FK$8:$FK$228)+(IF($A$7=Nutrients!$B$8,Nutrients!$FK$8,Nutrients!$FK$9)*F$7)+(((IF($A$8=Nutrients!$B$79,Nutrients!$FK$79,(IF($A$8=Nutrients!$B$77,Nutrients!$FK$77,Nutrients!$FK$78)))))*F$8))/2000)</f>
        <v>1.689982464517773</v>
      </c>
      <c r="G315" s="23">
        <f>((SUMPRODUCT(G$9:G$229,Nutrients!$FK$8:$FK$228)+(IF($A$7=Nutrients!$B$8,Nutrients!$FK$8,Nutrients!$FK$9)*G$7)+(((IF($A$8=Nutrients!$B$79,Nutrients!$FK$79,(IF($A$8=Nutrients!$B$77,Nutrients!$FK$77,Nutrients!$FK$78)))))*G$8))/2000)</f>
        <v>1.7033272639768986</v>
      </c>
      <c r="H315" s="227"/>
      <c r="I315" s="23">
        <f>((SUMPRODUCT(I$9:I$229,Nutrients!$FK$8:$FK$228)+(IF($A$7=Nutrients!$B$8,Nutrients!$FK$8,Nutrients!$FK$9)*I$7)+(((IF($A$8=Nutrients!$B$79,Nutrients!$FK$79,(IF($A$8=Nutrients!$B$77,Nutrients!$FK$77,Nutrients!$FK$78)))))*I$8))/2000)</f>
        <v>1.4455998828026497</v>
      </c>
      <c r="J315" s="23">
        <f>((SUMPRODUCT(J$9:J$229,Nutrients!$FK$8:$FK$228)+(IF($A$7=Nutrients!$B$8,Nutrients!$FK$8,Nutrients!$FK$9)*J$7)+(((IF($A$8=Nutrients!$B$79,Nutrients!$FK$79,(IF($A$8=Nutrients!$B$77,Nutrients!$FK$77,Nutrients!$FK$78)))))*J$8))/2000)</f>
        <v>1.4996479275771843</v>
      </c>
      <c r="K315" s="23">
        <f>((SUMPRODUCT(K$9:K$229,Nutrients!$FK$8:$FK$228)+(IF($A$7=Nutrients!$B$8,Nutrients!$FK$8,Nutrients!$FK$9)*K$7)+(((IF($A$8=Nutrients!$B$79,Nutrients!$FK$79,(IF($A$8=Nutrients!$B$77,Nutrients!$FK$77,Nutrients!$FK$78)))))*K$8))/2000)</f>
        <v>1.5467252828183879</v>
      </c>
      <c r="L315" s="23">
        <f>((SUMPRODUCT(L$9:L$229,Nutrients!$FK$8:$FK$228)+(IF($A$7=Nutrients!$B$8,Nutrients!$FK$8,Nutrients!$FK$9)*L$7)+(((IF($A$8=Nutrients!$B$79,Nutrients!$FK$79,(IF($A$8=Nutrients!$B$77,Nutrients!$FK$77,Nutrients!$FK$78)))))*L$8))/2000)</f>
        <v>1.5866748853329937</v>
      </c>
      <c r="M315" s="23">
        <f>((SUMPRODUCT(M$9:M$229,Nutrients!$FK$8:$FK$228)+(IF($A$7=Nutrients!$B$8,Nutrients!$FK$8,Nutrients!$FK$9)*M$7)+(((IF($A$8=Nutrients!$B$79,Nutrients!$FK$79,(IF($A$8=Nutrients!$B$77,Nutrients!$FK$77,Nutrients!$FK$78)))))*M$8))/2000)</f>
        <v>1.6141665518130097</v>
      </c>
      <c r="N315" s="23">
        <f>((SUMPRODUCT(N$9:N$229,Nutrients!$FK$8:$FK$228)+(IF($A$7=Nutrients!$B$8,Nutrients!$FK$8,Nutrients!$FK$9)*N$7)+(((IF($A$8=Nutrients!$B$79,Nutrients!$FK$79,(IF($A$8=Nutrients!$B$77,Nutrients!$FK$77,Nutrients!$FK$78)))))*N$8))/2000)</f>
        <v>1.7033272639768986</v>
      </c>
      <c r="O315" s="198"/>
      <c r="P315" s="23">
        <f>((SUMPRODUCT(P$9:P$229,Nutrients!$FK$8:$FK$228)+(IF($A$7=Nutrients!$B$8,Nutrients!$FK$8,Nutrients!$FK$9)*P$7)+(((IF($A$8=Nutrients!$B$79,Nutrients!$FK$79,(IF($A$8=Nutrients!$B$77,Nutrients!$FK$77,Nutrients!$FK$78)))))*P$8))/2000)</f>
        <v>1.3700723555740364</v>
      </c>
      <c r="Q315" s="23">
        <f>((SUMPRODUCT(Q$9:Q$229,Nutrients!$FK$8:$FK$228)+(IF($A$7=Nutrients!$B$8,Nutrients!$FK$8,Nutrients!$FK$9)*Q$7)+(((IF($A$8=Nutrients!$B$79,Nutrients!$FK$79,(IF($A$8=Nutrients!$B$77,Nutrients!$FK$77,Nutrients!$FK$78)))))*Q$8))/2000)</f>
        <v>1.4237831775572127</v>
      </c>
      <c r="R315" s="23">
        <f>((SUMPRODUCT(R$9:R$229,Nutrients!$FK$8:$FK$228)+(IF($A$7=Nutrients!$B$8,Nutrients!$FK$8,Nutrients!$FK$9)*R$7)+(((IF($A$8=Nutrients!$B$79,Nutrients!$FK$79,(IF($A$8=Nutrients!$B$77,Nutrients!$FK$77,Nutrients!$FK$78)))))*R$8))/2000)</f>
        <v>1.4705148764390779</v>
      </c>
      <c r="S315" s="23">
        <f>((SUMPRODUCT(S$9:S$229,Nutrients!$FK$8:$FK$228)+(IF($A$7=Nutrients!$B$8,Nutrients!$FK$8,Nutrients!$FK$9)*S$7)+(((IF($A$8=Nutrients!$B$79,Nutrients!$FK$79,(IF($A$8=Nutrients!$B$77,Nutrients!$FK$77,Nutrients!$FK$78)))))*S$8))/2000)</f>
        <v>1.5106280925362794</v>
      </c>
      <c r="T315" s="23">
        <f>((SUMPRODUCT(T$9:T$229,Nutrients!$FK$8:$FK$228)+(IF($A$7=Nutrients!$B$8,Nutrients!$FK$8,Nutrients!$FK$9)*T$7)+(((IF($A$8=Nutrients!$B$79,Nutrients!$FK$79,(IF($A$8=Nutrients!$B$77,Nutrients!$FK$77,Nutrients!$FK$78)))))*T$8))/2000)</f>
        <v>1.5376691915748419</v>
      </c>
      <c r="U315" s="23">
        <f>((SUMPRODUCT(U$9:U$229,Nutrients!$FK$8:$FK$228)+(IF($A$7=Nutrients!$B$8,Nutrients!$FK$8,Nutrients!$FK$9)*U$7)+(((IF($A$8=Nutrients!$B$79,Nutrients!$FK$79,(IF($A$8=Nutrients!$B$77,Nutrients!$FK$77,Nutrients!$FK$78)))))*U$8))/2000)</f>
        <v>1.7033272639768986</v>
      </c>
      <c r="W315" s="23">
        <f>((SUMPRODUCT(W$9:W$229,Nutrients!$FK$8:$FK$228)+(IF($A$7=Nutrients!$B$8,Nutrients!$FK$8,Nutrients!$FK$9)*W$7)+(((IF($A$8=Nutrients!$B$79,Nutrients!$FK$79,(IF($A$8=Nutrients!$B$77,Nutrients!$FK$77,Nutrients!$FK$78)))))*W$8))/2000)</f>
        <v>1.2945767223255014</v>
      </c>
      <c r="X315" s="23">
        <f>((SUMPRODUCT(X$9:X$229,Nutrients!$FK$8:$FK$228)+(IF($A$7=Nutrients!$B$8,Nutrients!$FK$8,Nutrients!$FK$9)*X$7)+(((IF($A$8=Nutrients!$B$79,Nutrients!$FK$79,(IF($A$8=Nutrients!$B$77,Nutrients!$FK$77,Nutrients!$FK$78)))))*X$8))/2000)</f>
        <v>1.3479591570486611</v>
      </c>
      <c r="Y315" s="23">
        <f>((SUMPRODUCT(Y$9:Y$229,Nutrients!$FK$8:$FK$228)+(IF($A$7=Nutrients!$B$8,Nutrients!$FK$8,Nutrients!$FK$9)*Y$7)+(((IF($A$8=Nutrients!$B$79,Nutrients!$FK$79,(IF($A$8=Nutrients!$B$77,Nutrients!$FK$77,Nutrients!$FK$78)))))*Y$8))/2000)</f>
        <v>1.3948381338420965</v>
      </c>
      <c r="Z315" s="23">
        <f>((SUMPRODUCT(Z$9:Z$229,Nutrients!$FK$8:$FK$228)+(IF($A$7=Nutrients!$B$8,Nutrients!$FK$8,Nutrients!$FK$9)*Z$7)+(((IF($A$8=Nutrients!$B$79,Nutrients!$FK$79,(IF($A$8=Nutrients!$B$77,Nutrients!$FK$77,Nutrients!$FK$78)))))*Z$8))/2000)</f>
        <v>1.4344346630442963</v>
      </c>
      <c r="AA315" s="23">
        <f>((SUMPRODUCT(AA$9:AA$229,Nutrients!$FK$8:$FK$228)+(IF($A$7=Nutrients!$B$8,Nutrients!$FK$8,Nutrients!$FK$9)*AA$7)+(((IF($A$8=Nutrients!$B$79,Nutrients!$FK$79,(IF($A$8=Nutrients!$B$77,Nutrients!$FK$77,Nutrients!$FK$78)))))*AA$8))/2000)</f>
        <v>1.4611294771105829</v>
      </c>
      <c r="AB315" s="23">
        <f>((SUMPRODUCT(AB$9:AB$229,Nutrients!$FK$8:$FK$228)+(IF($A$7=Nutrients!$B$8,Nutrients!$FK$8,Nutrients!$FK$9)*AB$7)+(((IF($A$8=Nutrients!$B$79,Nutrients!$FK$79,(IF($A$8=Nutrients!$B$77,Nutrients!$FK$77,Nutrients!$FK$78)))))*AB$8))/2000)</f>
        <v>1.7033272639768986</v>
      </c>
      <c r="AD315" s="23">
        <f>((SUMPRODUCT(AD$9:AD$229,Nutrients!$FK$8:$FK$228)+(IF($A$7=Nutrients!$B$8,Nutrients!$FK$8,Nutrients!$FK$9)*AD$7)+(((IF($A$8=Nutrients!$B$79,Nutrients!$FK$79,(IF($A$8=Nutrients!$B$77,Nutrients!$FK$77,Nutrients!$FK$78)))))*AD$8))/2000)</f>
        <v>1.2191017480012487</v>
      </c>
      <c r="AE315" s="23">
        <f>((SUMPRODUCT(AE$9:AE$229,Nutrients!$FK$8:$FK$228)+(IF($A$7=Nutrients!$B$8,Nutrients!$FK$8,Nutrients!$FK$9)*AE$7)+(((IF($A$8=Nutrients!$B$79,Nutrients!$FK$79,(IF($A$8=Nutrients!$B$77,Nutrients!$FK$77,Nutrients!$FK$78)))))*AE$8))/2000)</f>
        <v>1.2726105646757182</v>
      </c>
      <c r="AF315" s="23">
        <f>((SUMPRODUCT(AF$9:AF$229,Nutrients!$FK$8:$FK$228)+(IF($A$7=Nutrients!$B$8,Nutrients!$FK$8,Nutrients!$FK$9)*AF$7)+(((IF($A$8=Nutrients!$B$79,Nutrients!$FK$79,(IF($A$8=Nutrients!$B$77,Nutrients!$FK$77,Nutrients!$FK$78)))))*AF$8))/2000)</f>
        <v>1.3190433332362954</v>
      </c>
      <c r="AG315" s="23">
        <f>((SUMPRODUCT(AG$9:AG$229,Nutrients!$FK$8:$FK$228)+(IF($A$7=Nutrients!$B$8,Nutrients!$FK$8,Nutrients!$FK$9)*AG$7)+(((IF($A$8=Nutrients!$B$79,Nutrients!$FK$79,(IF($A$8=Nutrients!$B$77,Nutrients!$FK$77,Nutrients!$FK$78)))))*AG$8))/2000)</f>
        <v>1.3580646984178044</v>
      </c>
      <c r="AH315" s="23">
        <f>((SUMPRODUCT(AH$9:AH$229,Nutrients!$FK$8:$FK$228)+(IF($A$7=Nutrients!$B$8,Nutrients!$FK$8,Nutrients!$FK$9)*AH$7)+(((IF($A$8=Nutrients!$B$79,Nutrients!$FK$79,(IF($A$8=Nutrients!$B$77,Nutrients!$FK$77,Nutrients!$FK$78)))))*AH$8))/2000)</f>
        <v>1.3836702693917331</v>
      </c>
      <c r="AI315" s="23">
        <f>((SUMPRODUCT(AI$9:AI$229,Nutrients!$FK$8:$FK$228)+(IF($A$7=Nutrients!$B$8,Nutrients!$FK$8,Nutrients!$FK$9)*AI$7)+(((IF($A$8=Nutrients!$B$79,Nutrients!$FK$79,(IF($A$8=Nutrients!$B$77,Nutrients!$FK$77,Nutrients!$FK$78)))))*AI$8))/2000)</f>
        <v>1.7033272639768986</v>
      </c>
      <c r="AK315" s="23">
        <f>((SUMPRODUCT(AK$9:AK$229,Nutrients!$FK$8:$FK$228)+(IF($A$7=Nutrients!$B$8,Nutrients!$FK$8,Nutrients!$FK$9)*AK$7)+(((IF($A$8=Nutrients!$B$79,Nutrients!$FK$79,(IF($A$8=Nutrients!$B$77,Nutrients!$FK$77,Nutrients!$FK$78)))))*AK$8))/2000)</f>
        <v>1.1416420104849061</v>
      </c>
      <c r="AL315" s="23">
        <f>((SUMPRODUCT(AL$9:AL$229,Nutrients!$FK$8:$FK$228)+(IF($A$7=Nutrients!$B$8,Nutrients!$FK$8,Nutrients!$FK$9)*AL$7)+(((IF($A$8=Nutrients!$B$79,Nutrients!$FK$79,(IF($A$8=Nutrients!$B$77,Nutrients!$FK$77,Nutrients!$FK$78)))))*AL$8))/2000)</f>
        <v>1.1971393370395638</v>
      </c>
      <c r="AM315" s="23">
        <f>((SUMPRODUCT(AM$9:AM$229,Nutrients!$FK$8:$FK$228)+(IF($A$7=Nutrients!$B$8,Nutrients!$FK$8,Nutrients!$FK$9)*AM$7)+(((IF($A$8=Nutrients!$B$79,Nutrients!$FK$79,(IF($A$8=Nutrients!$B$77,Nutrients!$FK$77,Nutrients!$FK$78)))))*AM$8))/2000)</f>
        <v>1.2429878676520056</v>
      </c>
      <c r="AN315" s="23">
        <f>((SUMPRODUCT(AN$9:AN$229,Nutrients!$FK$8:$FK$228)+(IF($A$7=Nutrients!$B$8,Nutrients!$FK$8,Nutrients!$FK$9)*AN$7)+(((IF($A$8=Nutrients!$B$79,Nutrients!$FK$79,(IF($A$8=Nutrients!$B$77,Nutrients!$FK$77,Nutrients!$FK$78)))))*AN$8))/2000)</f>
        <v>1.2810334359603466</v>
      </c>
      <c r="AO315" s="23">
        <f>((SUMPRODUCT(AO$9:AO$229,Nutrients!$FK$8:$FK$228)+(IF($A$7=Nutrients!$B$8,Nutrients!$FK$8,Nutrients!$FK$9)*AO$7)+(((IF($A$8=Nutrients!$B$79,Nutrients!$FK$79,(IF($A$8=Nutrients!$B$77,Nutrients!$FK$77,Nutrients!$FK$78)))))*AO$8))/2000)</f>
        <v>1.305731562681467</v>
      </c>
      <c r="AP315" s="23">
        <f>((SUMPRODUCT(AP$9:AP$229,Nutrients!$FK$8:$FK$228)+(IF($A$7=Nutrients!$B$8,Nutrients!$FK$8,Nutrients!$FK$9)*AP$7)+(((IF($A$8=Nutrients!$B$79,Nutrients!$FK$79,(IF($A$8=Nutrients!$B$77,Nutrients!$FK$77,Nutrients!$FK$78)))))*AP$8))/2000)</f>
        <v>1.7033272639768986</v>
      </c>
      <c r="AR315" s="23">
        <f>((SUMPRODUCT(AR$9:AR$229,Nutrients!$FK$8:$FK$228)+(IF($A$7=Nutrients!$B$8,Nutrients!$FK$8,Nutrients!$FK$9)*AR$7)+(((IF($A$8=Nutrients!$B$79,Nutrients!$FK$79,(IF($A$8=Nutrients!$B$77,Nutrients!$FK$77,Nutrients!$FK$78)))))*AR$8))/2000)</f>
        <v>1.0669285496844374</v>
      </c>
      <c r="AS315" s="23">
        <f>((SUMPRODUCT(AS$9:AS$229,Nutrients!$FK$8:$FK$228)+(IF($A$7=Nutrients!$B$8,Nutrients!$FK$8,Nutrients!$FK$9)*AS$7)+(((IF($A$8=Nutrients!$B$79,Nutrients!$FK$79,(IF($A$8=Nutrients!$B$77,Nutrients!$FK$77,Nutrients!$FK$78)))))*AS$8))/2000)</f>
        <v>1.1216461695040123</v>
      </c>
      <c r="AT315" s="23">
        <f>((SUMPRODUCT(AT$9:AT$229,Nutrients!$FK$8:$FK$228)+(IF($A$7=Nutrients!$B$8,Nutrients!$FK$8,Nutrients!$FK$9)*AT$7)+(((IF($A$8=Nutrients!$B$79,Nutrients!$FK$79,(IF($A$8=Nutrients!$B$77,Nutrients!$FK$77,Nutrients!$FK$78)))))*AT$8))/2000)</f>
        <v>1.1668111834635457</v>
      </c>
      <c r="AU315" s="23">
        <f>((SUMPRODUCT(AU$9:AU$229,Nutrients!$FK$8:$FK$228)+(IF($A$7=Nutrients!$B$8,Nutrients!$FK$8,Nutrients!$FK$9)*AU$7)+(((IF($A$8=Nutrients!$B$79,Nutrients!$FK$79,(IF($A$8=Nutrients!$B$77,Nutrients!$FK$77,Nutrients!$FK$78)))))*AU$8))/2000)</f>
        <v>1.2032490824695359</v>
      </c>
      <c r="AV315" s="23">
        <f>((SUMPRODUCT(AV$9:AV$229,Nutrients!$FK$8:$FK$228)+(IF($A$7=Nutrients!$B$8,Nutrients!$FK$8,Nutrients!$FK$9)*AV$7)+(((IF($A$8=Nutrients!$B$79,Nutrients!$FK$79,(IF($A$8=Nutrients!$B$77,Nutrients!$FK$77,Nutrients!$FK$78)))))*AV$8))/2000)</f>
        <v>1.2277984063601033</v>
      </c>
      <c r="AW315" s="23">
        <f>((SUMPRODUCT(AW$9:AW$229,Nutrients!$FK$8:$FK$228)+(IF($A$7=Nutrients!$B$8,Nutrients!$FK$8,Nutrients!$FK$9)*AW$7)+(((IF($A$8=Nutrients!$B$79,Nutrients!$FK$79,(IF($A$8=Nutrients!$B$77,Nutrients!$FK$77,Nutrients!$FK$78)))))*AW$8))/2000)</f>
        <v>1.7033272639768986</v>
      </c>
    </row>
    <row r="316" spans="1:49" x14ac:dyDescent="0.25">
      <c r="A316" s="34" t="s">
        <v>403</v>
      </c>
      <c r="B316" s="22">
        <f>(SUMPRODUCT(B$9:B$229,Nutrients!$U$8:$U$228)+(IF($A$7=Nutrients!$B$8,Nutrients!$U$8,Nutrients!$U$9)*B$7)+(((IF($A$8=Nutrients!$B$79,Nutrients!$U$79,(IF($A$8=Nutrients!$B$77,Nutrients!$U$77,Nutrients!$U$78)))))*B$8))/2000</f>
        <v>8.5675537105360302</v>
      </c>
      <c r="C316" s="22">
        <f>(SUMPRODUCT(C$9:C$229,Nutrients!$U$8:$U$228)+(IF($A$7=Nutrients!$B$8,Nutrients!$U$8,Nutrients!$U$9)*C$7)+(((IF($A$8=Nutrients!$B$79,Nutrients!$U$79,(IF($A$8=Nutrients!$B$77,Nutrients!$U$77,Nutrients!$U$78)))))*C$8))/2000</f>
        <v>8.6397459364158564</v>
      </c>
      <c r="D316" s="22">
        <f>(SUMPRODUCT(D$9:D$229,Nutrients!$U$8:$U$228)+(IF($A$7=Nutrients!$B$8,Nutrients!$U$8,Nutrients!$U$9)*D$7)+(((IF($A$8=Nutrients!$B$79,Nutrients!$U$79,(IF($A$8=Nutrients!$B$77,Nutrients!$U$77,Nutrients!$U$78)))))*D$8))/2000</f>
        <v>8.7042340935531328</v>
      </c>
      <c r="E316" s="22">
        <f>(SUMPRODUCT(E$9:E$229,Nutrients!$U$8:$U$228)+(IF($A$7=Nutrients!$B$8,Nutrients!$U$8,Nutrients!$U$9)*E$7)+(((IF($A$8=Nutrients!$B$79,Nutrients!$U$79,(IF($A$8=Nutrients!$B$77,Nutrients!$U$77,Nutrients!$U$78)))))*E$8))/2000</f>
        <v>8.7574905031042753</v>
      </c>
      <c r="F316" s="22">
        <f>(SUMPRODUCT(F$9:F$229,Nutrients!$U$8:$U$228)+(IF($A$7=Nutrients!$B$8,Nutrients!$U$8,Nutrients!$U$9)*F$7)+(((IF($A$8=Nutrients!$B$79,Nutrients!$U$79,(IF($A$8=Nutrients!$B$77,Nutrients!$U$77,Nutrients!$U$78)))))*F$8))/2000</f>
        <v>8.7980354970428483</v>
      </c>
      <c r="G316" s="22">
        <f>(SUMPRODUCT(G$9:G$229,Nutrients!$U$8:$U$228)+(IF($A$7=Nutrients!$B$8,Nutrients!$U$8,Nutrients!$U$9)*G$7)+(((IF($A$8=Nutrients!$B$79,Nutrients!$U$79,(IF($A$8=Nutrients!$B$77,Nutrients!$U$77,Nutrients!$U$78)))))*G$8))/2000</f>
        <v>8.8153381410832843</v>
      </c>
      <c r="H316" s="228"/>
      <c r="I316" s="22">
        <f>(SUMPRODUCT(I$9:I$229,Nutrients!$U$8:$U$228)+(IF($A$7=Nutrients!$B$8,Nutrients!$U$8,Nutrients!$U$9)*I$7)+(((IF($A$8=Nutrients!$B$79,Nutrients!$U$79,(IF($A$8=Nutrients!$B$77,Nutrients!$U$77,Nutrients!$U$78)))))*I$8))/2000</f>
        <v>9.7722934215788015</v>
      </c>
      <c r="J316" s="22">
        <f>(SUMPRODUCT(J$9:J$229,Nutrients!$U$8:$U$228)+(IF($A$7=Nutrients!$B$8,Nutrients!$U$8,Nutrients!$U$9)*J$7)+(((IF($A$8=Nutrients!$B$79,Nutrients!$U$79,(IF($A$8=Nutrients!$B$77,Nutrients!$U$77,Nutrients!$U$78)))))*J$8))/2000</f>
        <v>9.8437745945440067</v>
      </c>
      <c r="K316" s="22">
        <f>(SUMPRODUCT(K$9:K$229,Nutrients!$U$8:$U$228)+(IF($A$7=Nutrients!$B$8,Nutrients!$U$8,Nutrients!$U$9)*K$7)+(((IF($A$8=Nutrients!$B$79,Nutrients!$U$79,(IF($A$8=Nutrients!$B$77,Nutrients!$U$77,Nutrients!$U$78)))))*K$8))/2000</f>
        <v>9.9076860389027352</v>
      </c>
      <c r="L316" s="22">
        <f>(SUMPRODUCT(L$9:L$229,Nutrients!$U$8:$U$228)+(IF($A$7=Nutrients!$B$8,Nutrients!$U$8,Nutrients!$U$9)*L$7)+(((IF($A$8=Nutrients!$B$79,Nutrients!$U$79,(IF($A$8=Nutrients!$B$77,Nutrients!$U$77,Nutrients!$U$78)))))*L$8))/2000</f>
        <v>9.9625547470046598</v>
      </c>
      <c r="M316" s="22">
        <f>(SUMPRODUCT(M$9:M$229,Nutrients!$U$8:$U$228)+(IF($A$7=Nutrients!$B$8,Nutrients!$U$8,Nutrients!$U$9)*M$7)+(((IF($A$8=Nutrients!$B$79,Nutrients!$U$79,(IF($A$8=Nutrients!$B$77,Nutrients!$U$77,Nutrients!$U$78)))))*M$8))/2000</f>
        <v>10.002508724199311</v>
      </c>
      <c r="N316" s="22">
        <f>(SUMPRODUCT(N$9:N$229,Nutrients!$U$8:$U$228)+(IF($A$7=Nutrients!$B$8,Nutrients!$U$8,Nutrients!$U$9)*N$7)+(((IF($A$8=Nutrients!$B$79,Nutrients!$U$79,(IF($A$8=Nutrients!$B$77,Nutrients!$U$77,Nutrients!$U$78)))))*N$8))/2000</f>
        <v>8.8153381410832843</v>
      </c>
      <c r="O316" s="235"/>
      <c r="P316" s="22">
        <f>(SUMPRODUCT(P$9:P$229,Nutrients!$U$8:$U$228)+(IF($A$7=Nutrients!$B$8,Nutrients!$U$8,Nutrients!$U$9)*P$7)+(((IF($A$8=Nutrients!$B$79,Nutrients!$U$79,(IF($A$8=Nutrients!$B$77,Nutrients!$U$77,Nutrients!$U$78)))))*P$8))/2000</f>
        <v>10.97601747411734</v>
      </c>
      <c r="Q316" s="22">
        <f>(SUMPRODUCT(Q$9:Q$229,Nutrients!$U$8:$U$228)+(IF($A$7=Nutrients!$B$8,Nutrients!$U$8,Nutrients!$U$9)*Q$7)+(((IF($A$8=Nutrients!$B$79,Nutrients!$U$79,(IF($A$8=Nutrients!$B$77,Nutrients!$U$77,Nutrients!$U$78)))))*Q$8))/2000</f>
        <v>11.047123544792175</v>
      </c>
      <c r="R316" s="22">
        <f>(SUMPRODUCT(R$9:R$229,Nutrients!$U$8:$U$228)+(IF($A$7=Nutrients!$B$8,Nutrients!$U$8,Nutrients!$U$9)*R$7)+(((IF($A$8=Nutrients!$B$79,Nutrients!$U$79,(IF($A$8=Nutrients!$B$77,Nutrients!$U$77,Nutrients!$U$78)))))*R$8))/2000</f>
        <v>11.110702861257101</v>
      </c>
      <c r="S316" s="22">
        <f>(SUMPRODUCT(S$9:S$229,Nutrients!$U$8:$U$228)+(IF($A$7=Nutrients!$B$8,Nutrients!$U$8,Nutrients!$U$9)*S$7)+(((IF($A$8=Nutrients!$B$79,Nutrients!$U$79,(IF($A$8=Nutrients!$B$77,Nutrients!$U$77,Nutrients!$U$78)))))*S$8))/2000</f>
        <v>11.165738860525623</v>
      </c>
      <c r="T316" s="22">
        <f>(SUMPRODUCT(T$9:T$229,Nutrients!$U$8:$U$228)+(IF($A$7=Nutrients!$B$8,Nutrients!$U$8,Nutrients!$U$9)*T$7)+(((IF($A$8=Nutrients!$B$79,Nutrients!$U$79,(IF($A$8=Nutrients!$B$77,Nutrients!$U$77,Nutrients!$U$78)))))*T$8))/2000</f>
        <v>11.204621522181363</v>
      </c>
      <c r="U316" s="22">
        <f>(SUMPRODUCT(U$9:U$229,Nutrients!$U$8:$U$228)+(IF($A$7=Nutrients!$B$8,Nutrients!$U$8,Nutrients!$U$9)*U$7)+(((IF($A$8=Nutrients!$B$79,Nutrients!$U$79,(IF($A$8=Nutrients!$B$77,Nutrients!$U$77,Nutrients!$U$78)))))*U$8))/2000</f>
        <v>8.8153381410832843</v>
      </c>
      <c r="W316" s="22">
        <f>(SUMPRODUCT(W$9:W$229,Nutrients!$U$8:$U$228)+(IF($A$7=Nutrients!$B$8,Nutrients!$U$8,Nutrients!$U$9)*W$7)+(((IF($A$8=Nutrients!$B$79,Nutrients!$U$79,(IF($A$8=Nutrients!$B$77,Nutrients!$U$77,Nutrients!$U$78)))))*W$8))/2000</f>
        <v>12.179892397151711</v>
      </c>
      <c r="X316" s="22">
        <f>(SUMPRODUCT(X$9:X$229,Nutrients!$U$8:$U$228)+(IF($A$7=Nutrients!$B$8,Nutrients!$U$8,Nutrients!$U$9)*X$7)+(((IF($A$8=Nutrients!$B$79,Nutrients!$U$79,(IF($A$8=Nutrients!$B$77,Nutrients!$U$77,Nutrients!$U$78)))))*X$8))/2000</f>
        <v>12.250672314355418</v>
      </c>
      <c r="Y316" s="22">
        <f>(SUMPRODUCT(Y$9:Y$229,Nutrients!$U$8:$U$228)+(IF($A$7=Nutrients!$B$8,Nutrients!$U$8,Nutrients!$U$9)*Y$7)+(((IF($A$8=Nutrients!$B$79,Nutrients!$U$79,(IF($A$8=Nutrients!$B$77,Nutrients!$U$77,Nutrients!$U$78)))))*Y$8))/2000</f>
        <v>12.314360453677414</v>
      </c>
      <c r="Z316" s="22">
        <f>(SUMPRODUCT(Z$9:Z$229,Nutrients!$U$8:$U$228)+(IF($A$7=Nutrients!$B$8,Nutrients!$U$8,Nutrients!$U$9)*Z$7)+(((IF($A$8=Nutrients!$B$79,Nutrients!$U$79,(IF($A$8=Nutrients!$B$77,Nutrients!$U$77,Nutrients!$U$78)))))*Z$8))/2000</f>
        <v>12.368710621126661</v>
      </c>
      <c r="AA316" s="22">
        <f>(SUMPRODUCT(AA$9:AA$229,Nutrients!$U$8:$U$228)+(IF($A$7=Nutrients!$B$8,Nutrients!$U$8,Nutrients!$U$9)*AA$7)+(((IF($A$8=Nutrients!$B$79,Nutrients!$U$79,(IF($A$8=Nutrients!$B$77,Nutrients!$U$77,Nutrients!$U$78)))))*AA$8))/2000</f>
        <v>12.406659972645041</v>
      </c>
      <c r="AB316" s="22">
        <f>(SUMPRODUCT(AB$9:AB$229,Nutrients!$U$8:$U$228)+(IF($A$7=Nutrients!$B$8,Nutrients!$U$8,Nutrients!$U$9)*AB$7)+(((IF($A$8=Nutrients!$B$79,Nutrients!$U$79,(IF($A$8=Nutrients!$B$77,Nutrients!$U$77,Nutrients!$U$78)))))*AB$8))/2000</f>
        <v>8.8153381410832843</v>
      </c>
      <c r="AD316" s="22">
        <f>(SUMPRODUCT(AD$9:AD$229,Nutrients!$U$8:$U$228)+(IF($A$7=Nutrients!$B$8,Nutrients!$U$8,Nutrients!$U$9)*AD$7)+(((IF($A$8=Nutrients!$B$79,Nutrients!$U$79,(IF($A$8=Nutrients!$B$77,Nutrients!$U$77,Nutrients!$U$78)))))*AD$8))/2000</f>
        <v>13.383716272105108</v>
      </c>
      <c r="AE316" s="22">
        <f>(SUMPRODUCT(AE$9:AE$229,Nutrients!$U$8:$U$228)+(IF($A$7=Nutrients!$B$8,Nutrients!$U$8,Nutrients!$U$9)*AE$7)+(((IF($A$8=Nutrients!$B$79,Nutrients!$U$79,(IF($A$8=Nutrients!$B$77,Nutrients!$U$77,Nutrients!$U$78)))))*AE$8))/2000</f>
        <v>13.454616331160009</v>
      </c>
      <c r="AF316" s="22">
        <f>(SUMPRODUCT(AF$9:AF$229,Nutrients!$U$8:$U$228)+(IF($A$7=Nutrients!$B$8,Nutrients!$U$8,Nutrients!$U$9)*AF$7)+(((IF($A$8=Nutrients!$B$79,Nutrients!$U$79,(IF($A$8=Nutrients!$B$77,Nutrients!$U$77,Nutrients!$U$78)))))*AF$8))/2000</f>
        <v>13.517906097258157</v>
      </c>
      <c r="AG316" s="22">
        <f>(SUMPRODUCT(AG$9:AG$229,Nutrients!$U$8:$U$228)+(IF($A$7=Nutrients!$B$8,Nutrients!$U$8,Nutrients!$U$9)*AG$7)+(((IF($A$8=Nutrients!$B$79,Nutrients!$U$79,(IF($A$8=Nutrients!$B$77,Nutrients!$U$77,Nutrients!$U$78)))))*AG$8))/2000</f>
        <v>13.57080772749149</v>
      </c>
      <c r="AH316" s="22">
        <f>(SUMPRODUCT(AH$9:AH$229,Nutrients!$U$8:$U$228)+(IF($A$7=Nutrients!$B$8,Nutrients!$U$8,Nutrients!$U$9)*AH$7)+(((IF($A$8=Nutrients!$B$79,Nutrients!$U$79,(IF($A$8=Nutrients!$B$77,Nutrients!$U$77,Nutrients!$U$78)))))*AH$8))/2000</f>
        <v>13.603584792016889</v>
      </c>
      <c r="AI316" s="22">
        <f>(SUMPRODUCT(AI$9:AI$229,Nutrients!$U$8:$U$228)+(IF($A$7=Nutrients!$B$8,Nutrients!$U$8,Nutrients!$U$9)*AI$7)+(((IF($A$8=Nutrients!$B$79,Nutrients!$U$79,(IF($A$8=Nutrients!$B$77,Nutrients!$U$77,Nutrients!$U$78)))))*AI$8))/2000</f>
        <v>8.8153381410832843</v>
      </c>
      <c r="AK316" s="22">
        <f>(SUMPRODUCT(AK$9:AK$229,Nutrients!$U$8:$U$228)+(IF($A$7=Nutrients!$B$8,Nutrients!$U$8,Nutrients!$U$9)*AK$7)+(((IF($A$8=Nutrients!$B$79,Nutrients!$U$79,(IF($A$8=Nutrients!$B$77,Nutrients!$U$77,Nutrients!$U$78)))))*AK$8))/2000</f>
        <v>14.585552077151283</v>
      </c>
      <c r="AL316" s="22">
        <f>(SUMPRODUCT(AL$9:AL$229,Nutrients!$U$8:$U$228)+(IF($A$7=Nutrients!$B$8,Nutrients!$U$8,Nutrients!$U$9)*AL$7)+(((IF($A$8=Nutrients!$B$79,Nutrients!$U$79,(IF($A$8=Nutrients!$B$77,Nutrients!$U$77,Nutrients!$U$78)))))*AL$8))/2000</f>
        <v>14.658515493792445</v>
      </c>
      <c r="AM316" s="22">
        <f>(SUMPRODUCT(AM$9:AM$229,Nutrients!$U$8:$U$228)+(IF($A$7=Nutrients!$B$8,Nutrients!$U$8,Nutrients!$U$9)*AM$7)+(((IF($A$8=Nutrients!$B$79,Nutrients!$U$79,(IF($A$8=Nutrients!$B$77,Nutrients!$U$77,Nutrients!$U$78)))))*AM$8))/2000</f>
        <v>14.720425502595312</v>
      </c>
      <c r="AN316" s="22">
        <f>(SUMPRODUCT(AN$9:AN$229,Nutrients!$U$8:$U$228)+(IF($A$7=Nutrients!$B$8,Nutrients!$U$8,Nutrients!$U$9)*AN$7)+(((IF($A$8=Nutrients!$B$79,Nutrients!$U$79,(IF($A$8=Nutrients!$B$77,Nutrients!$U$77,Nutrients!$U$78)))))*AN$8))/2000</f>
        <v>14.769182625368545</v>
      </c>
      <c r="AO316" s="22">
        <f>(SUMPRODUCT(AO$9:AO$229,Nutrients!$U$8:$U$228)+(IF($A$7=Nutrients!$B$8,Nutrients!$U$8,Nutrients!$U$9)*AO$7)+(((IF($A$8=Nutrients!$B$79,Nutrients!$U$79,(IF($A$8=Nutrients!$B$77,Nutrients!$U$77,Nutrients!$U$78)))))*AO$8))/2000</f>
        <v>14.79797280183068</v>
      </c>
      <c r="AP316" s="22">
        <f>(SUMPRODUCT(AP$9:AP$229,Nutrients!$U$8:$U$228)+(IF($A$7=Nutrients!$B$8,Nutrients!$U$8,Nutrients!$U$9)*AP$7)+(((IF($A$8=Nutrients!$B$79,Nutrients!$U$79,(IF($A$8=Nutrients!$B$77,Nutrients!$U$77,Nutrients!$U$78)))))*AP$8))/2000</f>
        <v>8.8153381410832843</v>
      </c>
      <c r="AR316" s="22">
        <f>(SUMPRODUCT(AR$9:AR$229,Nutrients!$U$8:$U$228)+(IF($A$7=Nutrients!$B$8,Nutrients!$U$8,Nutrients!$U$9)*AR$7)+(((IF($A$8=Nutrients!$B$79,Nutrients!$U$79,(IF($A$8=Nutrients!$B$77,Nutrients!$U$77,Nutrients!$U$78)))))*AR$8))/2000</f>
        <v>15.79018862812935</v>
      </c>
      <c r="AS316" s="22">
        <f>(SUMPRODUCT(AS$9:AS$229,Nutrients!$U$8:$U$228)+(IF($A$7=Nutrients!$B$8,Nutrients!$U$8,Nutrients!$U$9)*AS$7)+(((IF($A$8=Nutrients!$B$79,Nutrients!$U$79,(IF($A$8=Nutrients!$B$77,Nutrients!$U$77,Nutrients!$U$78)))))*AS$8))/2000</f>
        <v>15.862321464659933</v>
      </c>
      <c r="AT316" s="22">
        <f>(SUMPRODUCT(AT$9:AT$229,Nutrients!$U$8:$U$228)+(IF($A$7=Nutrients!$B$8,Nutrients!$U$8,Nutrients!$U$9)*AT$7)+(((IF($A$8=Nutrients!$B$79,Nutrients!$U$79,(IF($A$8=Nutrients!$B$77,Nutrients!$U$77,Nutrients!$U$78)))))*AT$8))/2000</f>
        <v>15.922730738306432</v>
      </c>
      <c r="AU316" s="22">
        <f>(SUMPRODUCT(AU$9:AU$229,Nutrients!$U$8:$U$228)+(IF($A$7=Nutrients!$B$8,Nutrients!$U$8,Nutrients!$U$9)*AU$7)+(((IF($A$8=Nutrients!$B$79,Nutrients!$U$79,(IF($A$8=Nutrients!$B$77,Nutrients!$U$77,Nutrients!$U$78)))))*AU$8))/2000</f>
        <v>15.963684127381153</v>
      </c>
      <c r="AV316" s="22">
        <f>(SUMPRODUCT(AV$9:AV$229,Nutrients!$U$8:$U$228)+(IF($A$7=Nutrients!$B$8,Nutrients!$U$8,Nutrients!$U$9)*AV$7)+(((IF($A$8=Nutrients!$B$79,Nutrients!$U$79,(IF($A$8=Nutrients!$B$77,Nutrients!$U$77,Nutrients!$U$78)))))*AV$8))/2000</f>
        <v>15.992396754011763</v>
      </c>
      <c r="AW316" s="22">
        <f>(SUMPRODUCT(AW$9:AW$229,Nutrients!$U$8:$U$228)+(IF($A$7=Nutrients!$B$8,Nutrients!$U$8,Nutrients!$U$9)*AW$7)+(((IF($A$8=Nutrients!$B$79,Nutrients!$U$79,(IF($A$8=Nutrients!$B$77,Nutrients!$U$77,Nutrients!$U$78)))))*AW$8))/2000</f>
        <v>8.8153381410832843</v>
      </c>
    </row>
    <row r="317" spans="1:49" x14ac:dyDescent="0.25">
      <c r="A317" s="34" t="s">
        <v>416</v>
      </c>
      <c r="B317" s="23">
        <f t="shared" ref="B317:G317" si="210">B236/B253*100</f>
        <v>5.7412242387563301</v>
      </c>
      <c r="C317" s="23">
        <f t="shared" si="210"/>
        <v>5.6765331580798346</v>
      </c>
      <c r="D317" s="23">
        <f t="shared" si="210"/>
        <v>5.5885690783484616</v>
      </c>
      <c r="E317" s="23">
        <f t="shared" si="210"/>
        <v>5.5041200481878318</v>
      </c>
      <c r="F317" s="23">
        <f t="shared" si="210"/>
        <v>5.4256048182416317</v>
      </c>
      <c r="G317" s="23">
        <f t="shared" si="210"/>
        <v>5.3576040399978782</v>
      </c>
      <c r="H317" s="227"/>
      <c r="I317" s="23">
        <f t="shared" ref="I317:N317" si="211">I236/I253*100</f>
        <v>5.636880225675216</v>
      </c>
      <c r="J317" s="23">
        <f t="shared" si="211"/>
        <v>5.5615494980249407</v>
      </c>
      <c r="K317" s="23">
        <f t="shared" si="211"/>
        <v>5.4626368173452402</v>
      </c>
      <c r="L317" s="23">
        <f t="shared" si="211"/>
        <v>5.3668717512267472</v>
      </c>
      <c r="M317" s="23">
        <f t="shared" si="211"/>
        <v>5.2796588325620393</v>
      </c>
      <c r="N317" s="23">
        <f t="shared" si="211"/>
        <v>5.3576040399978782</v>
      </c>
      <c r="O317" s="198"/>
      <c r="P317" s="23">
        <f t="shared" ref="P317:U317" si="212">P236/P253*100</f>
        <v>5.5354274101664114</v>
      </c>
      <c r="Q317" s="23">
        <f t="shared" si="212"/>
        <v>5.4499399660389392</v>
      </c>
      <c r="R317" s="23">
        <f t="shared" si="212"/>
        <v>5.3411841888716189</v>
      </c>
      <c r="S317" s="23">
        <f t="shared" si="212"/>
        <v>5.2344188825940812</v>
      </c>
      <c r="T317" s="23">
        <f t="shared" si="212"/>
        <v>5.1383618594973068</v>
      </c>
      <c r="U317" s="23">
        <f t="shared" si="212"/>
        <v>5.3576040399978782</v>
      </c>
      <c r="W317" s="23">
        <f t="shared" ref="W317:AB317" si="213">W236/W253*100</f>
        <v>5.4362353180652185</v>
      </c>
      <c r="X317" s="23">
        <f t="shared" si="213"/>
        <v>5.3413699733847828</v>
      </c>
      <c r="Y317" s="23">
        <f t="shared" si="213"/>
        <v>5.2221455587529295</v>
      </c>
      <c r="Z317" s="23">
        <f t="shared" si="213"/>
        <v>5.1062257170753984</v>
      </c>
      <c r="AA317" s="23">
        <f t="shared" si="213"/>
        <v>5.0020558105530295</v>
      </c>
      <c r="AB317" s="23">
        <f t="shared" si="213"/>
        <v>5.3576040399978782</v>
      </c>
      <c r="AD317" s="23">
        <f t="shared" ref="AD317:AI317" si="214">AD236/AD253*100</f>
        <v>5.3391951801522062</v>
      </c>
      <c r="AE317" s="23">
        <f t="shared" si="214"/>
        <v>5.234580265141374</v>
      </c>
      <c r="AF317" s="23">
        <f t="shared" si="214"/>
        <v>5.1070545424495011</v>
      </c>
      <c r="AG317" s="23">
        <f t="shared" si="214"/>
        <v>4.9809899528338928</v>
      </c>
      <c r="AH317" s="23">
        <f t="shared" si="214"/>
        <v>4.8712243595479627</v>
      </c>
      <c r="AI317" s="23">
        <f t="shared" si="214"/>
        <v>5.3576040399978782</v>
      </c>
      <c r="AK317" s="23">
        <f t="shared" ref="AK317:AP317" si="215">AK236/AK253*100</f>
        <v>5.2480531210771275</v>
      </c>
      <c r="AL317" s="23">
        <f t="shared" si="215"/>
        <v>5.1306432602600367</v>
      </c>
      <c r="AM317" s="23">
        <f t="shared" si="215"/>
        <v>4.9935597684222097</v>
      </c>
      <c r="AN317" s="23">
        <f t="shared" si="215"/>
        <v>4.8602189811123706</v>
      </c>
      <c r="AO317" s="23">
        <f t="shared" si="215"/>
        <v>4.7450956254950318</v>
      </c>
      <c r="AP317" s="23">
        <f t="shared" si="215"/>
        <v>5.3576040399978782</v>
      </c>
      <c r="AR317" s="23">
        <f t="shared" ref="AR317:AW317" si="216">AR236/AR253*100</f>
        <v>5.1539575709437697</v>
      </c>
      <c r="AS317" s="23">
        <f t="shared" si="216"/>
        <v>5.029222695091037</v>
      </c>
      <c r="AT317" s="23">
        <f t="shared" si="216"/>
        <v>4.8836609791710464</v>
      </c>
      <c r="AU317" s="23">
        <f t="shared" si="216"/>
        <v>4.7435138080861448</v>
      </c>
      <c r="AV317" s="23">
        <f t="shared" si="216"/>
        <v>4.6233981849487193</v>
      </c>
      <c r="AW317" s="23">
        <f t="shared" si="216"/>
        <v>5.3576040399978782</v>
      </c>
    </row>
    <row r="318" spans="1:49" x14ac:dyDescent="0.25">
      <c r="A318" s="34" t="s">
        <v>120</v>
      </c>
    </row>
    <row r="319" spans="1:49" x14ac:dyDescent="0.25">
      <c r="A319" s="34" t="s">
        <v>112</v>
      </c>
      <c r="B319" s="21">
        <f>(SUMPRODUCT(B$9:B$229,Nutrients!$EK$8:$EK$228)+(IF($A$7=Nutrients!$B$8,Nutrients!$EK$8,Nutrients!$EK$9)*B$7)+(((IF($A$8=Nutrients!$B$79,Nutrients!$EK$79,(IF($A$8=Nutrients!$B$77,Nutrients!$EK$77,Nutrients!$EK$78)))))*B$8))/2000*1000000</f>
        <v>110.11950000000002</v>
      </c>
      <c r="C319" s="21">
        <f>(SUMPRODUCT(C$9:C$229,Nutrients!$EK$8:$EK$228)+(IF($A$7=Nutrients!$B$8,Nutrients!$EK$8,Nutrients!$EK$9)*C$7)+(((IF($A$8=Nutrients!$B$79,Nutrients!$EK$79,(IF($A$8=Nutrients!$B$77,Nutrients!$EK$77,Nutrients!$EK$78)))))*C$8))/2000*1000000</f>
        <v>110.11950000000002</v>
      </c>
      <c r="D319" s="21">
        <f>(SUMPRODUCT(D$9:D$229,Nutrients!$EK$8:$EK$228)+(IF($A$7=Nutrients!$B$8,Nutrients!$EK$8,Nutrients!$EK$9)*D$7)+(((IF($A$8=Nutrients!$B$79,Nutrients!$EK$79,(IF($A$8=Nutrients!$B$77,Nutrients!$EK$77,Nutrients!$EK$78)))))*D$8))/2000*1000000</f>
        <v>91.766249999999999</v>
      </c>
      <c r="E319" s="21">
        <f>(SUMPRODUCT(E$9:E$229,Nutrients!$EK$8:$EK$228)+(IF($A$7=Nutrients!$B$8,Nutrients!$EK$8,Nutrients!$EK$9)*E$7)+(((IF($A$8=Nutrients!$B$79,Nutrients!$EK$79,(IF($A$8=Nutrients!$B$77,Nutrients!$EK$77,Nutrients!$EK$78)))))*E$8))/2000*1000000</f>
        <v>73.413000000000011</v>
      </c>
      <c r="F319" s="21">
        <f>(SUMPRODUCT(F$9:F$229,Nutrients!$EK$8:$EK$228)+(IF($A$7=Nutrients!$B$8,Nutrients!$EK$8,Nutrients!$EK$9)*F$7)+(((IF($A$8=Nutrients!$B$79,Nutrients!$EK$79,(IF($A$8=Nutrients!$B$77,Nutrients!$EK$77,Nutrients!$EK$78)))))*F$8))/2000*1000000</f>
        <v>55.059750000000008</v>
      </c>
      <c r="G319" s="21">
        <f>(SUMPRODUCT(G$9:G$229,Nutrients!$EK$8:$EK$228)+(IF($A$7=Nutrients!$B$8,Nutrients!$EK$8,Nutrients!$EK$9)*G$7)+(((IF($A$8=Nutrients!$B$79,Nutrients!$EK$79,(IF($A$8=Nutrients!$B$77,Nutrients!$EK$77,Nutrients!$EK$78)))))*G$8))/2000*1000000</f>
        <v>55.059750000000008</v>
      </c>
      <c r="H319" s="226"/>
      <c r="I319" s="21">
        <f>(SUMPRODUCT(I$9:I$229,Nutrients!$EK$8:$EK$228)+(IF($A$7=Nutrients!$B$8,Nutrients!$EK$8,Nutrients!$EK$9)*I$7)+(((IF($A$8=Nutrients!$B$79,Nutrients!$EK$79,(IF($A$8=Nutrients!$B$77,Nutrients!$EK$77,Nutrients!$EK$78)))))*I$8))/2000*1000000</f>
        <v>110.11950000000002</v>
      </c>
      <c r="J319" s="21">
        <f>(SUMPRODUCT(J$9:J$229,Nutrients!$EK$8:$EK$228)+(IF($A$7=Nutrients!$B$8,Nutrients!$EK$8,Nutrients!$EK$9)*J$7)+(((IF($A$8=Nutrients!$B$79,Nutrients!$EK$79,(IF($A$8=Nutrients!$B$77,Nutrients!$EK$77,Nutrients!$EK$78)))))*J$8))/2000*1000000</f>
        <v>110.11950000000002</v>
      </c>
      <c r="K319" s="21">
        <f>(SUMPRODUCT(K$9:K$229,Nutrients!$EK$8:$EK$228)+(IF($A$7=Nutrients!$B$8,Nutrients!$EK$8,Nutrients!$EK$9)*K$7)+(((IF($A$8=Nutrients!$B$79,Nutrients!$EK$79,(IF($A$8=Nutrients!$B$77,Nutrients!$EK$77,Nutrients!$EK$78)))))*K$8))/2000*1000000</f>
        <v>91.766249999999999</v>
      </c>
      <c r="L319" s="21">
        <f>(SUMPRODUCT(L$9:L$229,Nutrients!$EK$8:$EK$228)+(IF($A$7=Nutrients!$B$8,Nutrients!$EK$8,Nutrients!$EK$9)*L$7)+(((IF($A$8=Nutrients!$B$79,Nutrients!$EK$79,(IF($A$8=Nutrients!$B$77,Nutrients!$EK$77,Nutrients!$EK$78)))))*L$8))/2000*1000000</f>
        <v>73.413000000000011</v>
      </c>
      <c r="M319" s="21">
        <f>(SUMPRODUCT(M$9:M$229,Nutrients!$EK$8:$EK$228)+(IF($A$7=Nutrients!$B$8,Nutrients!$EK$8,Nutrients!$EK$9)*M$7)+(((IF($A$8=Nutrients!$B$79,Nutrients!$EK$79,(IF($A$8=Nutrients!$B$77,Nutrients!$EK$77,Nutrients!$EK$78)))))*M$8))/2000*1000000</f>
        <v>55.059750000000008</v>
      </c>
      <c r="N319" s="21">
        <f>(SUMPRODUCT(N$9:N$229,Nutrients!$EK$8:$EK$228)+(IF($A$7=Nutrients!$B$8,Nutrients!$EK$8,Nutrients!$EK$9)*N$7)+(((IF($A$8=Nutrients!$B$79,Nutrients!$EK$79,(IF($A$8=Nutrients!$B$77,Nutrients!$EK$77,Nutrients!$EK$78)))))*N$8))/2000*1000000</f>
        <v>55.059750000000008</v>
      </c>
      <c r="O319" s="234"/>
      <c r="P319" s="21">
        <f>(SUMPRODUCT(P$9:P$229,Nutrients!$EK$8:$EK$228)+(IF($A$7=Nutrients!$B$8,Nutrients!$EK$8,Nutrients!$EK$9)*P$7)+(((IF($A$8=Nutrients!$B$79,Nutrients!$EK$79,(IF($A$8=Nutrients!$B$77,Nutrients!$EK$77,Nutrients!$EK$78)))))*P$8))/2000*1000000</f>
        <v>110.11950000000002</v>
      </c>
      <c r="Q319" s="21">
        <f>(SUMPRODUCT(Q$9:Q$229,Nutrients!$EK$8:$EK$228)+(IF($A$7=Nutrients!$B$8,Nutrients!$EK$8,Nutrients!$EK$9)*Q$7)+(((IF($A$8=Nutrients!$B$79,Nutrients!$EK$79,(IF($A$8=Nutrients!$B$77,Nutrients!$EK$77,Nutrients!$EK$78)))))*Q$8))/2000*1000000</f>
        <v>110.11950000000002</v>
      </c>
      <c r="R319" s="21">
        <f>(SUMPRODUCT(R$9:R$229,Nutrients!$EK$8:$EK$228)+(IF($A$7=Nutrients!$B$8,Nutrients!$EK$8,Nutrients!$EK$9)*R$7)+(((IF($A$8=Nutrients!$B$79,Nutrients!$EK$79,(IF($A$8=Nutrients!$B$77,Nutrients!$EK$77,Nutrients!$EK$78)))))*R$8))/2000*1000000</f>
        <v>91.766249999999999</v>
      </c>
      <c r="S319" s="21">
        <f>(SUMPRODUCT(S$9:S$229,Nutrients!$EK$8:$EK$228)+(IF($A$7=Nutrients!$B$8,Nutrients!$EK$8,Nutrients!$EK$9)*S$7)+(((IF($A$8=Nutrients!$B$79,Nutrients!$EK$79,(IF($A$8=Nutrients!$B$77,Nutrients!$EK$77,Nutrients!$EK$78)))))*S$8))/2000*1000000</f>
        <v>73.413000000000011</v>
      </c>
      <c r="T319" s="21">
        <f>(SUMPRODUCT(T$9:T$229,Nutrients!$EK$8:$EK$228)+(IF($A$7=Nutrients!$B$8,Nutrients!$EK$8,Nutrients!$EK$9)*T$7)+(((IF($A$8=Nutrients!$B$79,Nutrients!$EK$79,(IF($A$8=Nutrients!$B$77,Nutrients!$EK$77,Nutrients!$EK$78)))))*T$8))/2000*1000000</f>
        <v>55.059750000000008</v>
      </c>
      <c r="U319" s="21">
        <f>(SUMPRODUCT(U$9:U$229,Nutrients!$EK$8:$EK$228)+(IF($A$7=Nutrients!$B$8,Nutrients!$EK$8,Nutrients!$EK$9)*U$7)+(((IF($A$8=Nutrients!$B$79,Nutrients!$EK$79,(IF($A$8=Nutrients!$B$77,Nutrients!$EK$77,Nutrients!$EK$78)))))*U$8))/2000*1000000</f>
        <v>55.059750000000008</v>
      </c>
      <c r="W319" s="21">
        <f>(SUMPRODUCT(W$9:W$229,Nutrients!$EK$8:$EK$228)+(IF($A$7=Nutrients!$B$8,Nutrients!$EK$8,Nutrients!$EK$9)*W$7)+(((IF($A$8=Nutrients!$B$79,Nutrients!$EK$79,(IF($A$8=Nutrients!$B$77,Nutrients!$EK$77,Nutrients!$EK$78)))))*W$8))/2000*1000000</f>
        <v>110.11950000000002</v>
      </c>
      <c r="X319" s="21">
        <f>(SUMPRODUCT(X$9:X$229,Nutrients!$EK$8:$EK$228)+(IF($A$7=Nutrients!$B$8,Nutrients!$EK$8,Nutrients!$EK$9)*X$7)+(((IF($A$8=Nutrients!$B$79,Nutrients!$EK$79,(IF($A$8=Nutrients!$B$77,Nutrients!$EK$77,Nutrients!$EK$78)))))*X$8))/2000*1000000</f>
        <v>110.11950000000002</v>
      </c>
      <c r="Y319" s="21">
        <f>(SUMPRODUCT(Y$9:Y$229,Nutrients!$EK$8:$EK$228)+(IF($A$7=Nutrients!$B$8,Nutrients!$EK$8,Nutrients!$EK$9)*Y$7)+(((IF($A$8=Nutrients!$B$79,Nutrients!$EK$79,(IF($A$8=Nutrients!$B$77,Nutrients!$EK$77,Nutrients!$EK$78)))))*Y$8))/2000*1000000</f>
        <v>91.766249999999999</v>
      </c>
      <c r="Z319" s="21">
        <f>(SUMPRODUCT(Z$9:Z$229,Nutrients!$EK$8:$EK$228)+(IF($A$7=Nutrients!$B$8,Nutrients!$EK$8,Nutrients!$EK$9)*Z$7)+(((IF($A$8=Nutrients!$B$79,Nutrients!$EK$79,(IF($A$8=Nutrients!$B$77,Nutrients!$EK$77,Nutrients!$EK$78)))))*Z$8))/2000*1000000</f>
        <v>73.413000000000011</v>
      </c>
      <c r="AA319" s="21">
        <f>(SUMPRODUCT(AA$9:AA$229,Nutrients!$EK$8:$EK$228)+(IF($A$7=Nutrients!$B$8,Nutrients!$EK$8,Nutrients!$EK$9)*AA$7)+(((IF($A$8=Nutrients!$B$79,Nutrients!$EK$79,(IF($A$8=Nutrients!$B$77,Nutrients!$EK$77,Nutrients!$EK$78)))))*AA$8))/2000*1000000</f>
        <v>55.059750000000008</v>
      </c>
      <c r="AB319" s="21">
        <f>(SUMPRODUCT(AB$9:AB$229,Nutrients!$EK$8:$EK$228)+(IF($A$7=Nutrients!$B$8,Nutrients!$EK$8,Nutrients!$EK$9)*AB$7)+(((IF($A$8=Nutrients!$B$79,Nutrients!$EK$79,(IF($A$8=Nutrients!$B$77,Nutrients!$EK$77,Nutrients!$EK$78)))))*AB$8))/2000*1000000</f>
        <v>55.059750000000008</v>
      </c>
      <c r="AD319" s="21">
        <f>(SUMPRODUCT(AD$9:AD$229,Nutrients!$EK$8:$EK$228)+(IF($A$7=Nutrients!$B$8,Nutrients!$EK$8,Nutrients!$EK$9)*AD$7)+(((IF($A$8=Nutrients!$B$79,Nutrients!$EK$79,(IF($A$8=Nutrients!$B$77,Nutrients!$EK$77,Nutrients!$EK$78)))))*AD$8))/2000*1000000</f>
        <v>110.11950000000002</v>
      </c>
      <c r="AE319" s="21">
        <f>(SUMPRODUCT(AE$9:AE$229,Nutrients!$EK$8:$EK$228)+(IF($A$7=Nutrients!$B$8,Nutrients!$EK$8,Nutrients!$EK$9)*AE$7)+(((IF($A$8=Nutrients!$B$79,Nutrients!$EK$79,(IF($A$8=Nutrients!$B$77,Nutrients!$EK$77,Nutrients!$EK$78)))))*AE$8))/2000*1000000</f>
        <v>110.11950000000002</v>
      </c>
      <c r="AF319" s="21">
        <f>(SUMPRODUCT(AF$9:AF$229,Nutrients!$EK$8:$EK$228)+(IF($A$7=Nutrients!$B$8,Nutrients!$EK$8,Nutrients!$EK$9)*AF$7)+(((IF($A$8=Nutrients!$B$79,Nutrients!$EK$79,(IF($A$8=Nutrients!$B$77,Nutrients!$EK$77,Nutrients!$EK$78)))))*AF$8))/2000*1000000</f>
        <v>91.766249999999999</v>
      </c>
      <c r="AG319" s="21">
        <f>(SUMPRODUCT(AG$9:AG$229,Nutrients!$EK$8:$EK$228)+(IF($A$7=Nutrients!$B$8,Nutrients!$EK$8,Nutrients!$EK$9)*AG$7)+(((IF($A$8=Nutrients!$B$79,Nutrients!$EK$79,(IF($A$8=Nutrients!$B$77,Nutrients!$EK$77,Nutrients!$EK$78)))))*AG$8))/2000*1000000</f>
        <v>73.413000000000011</v>
      </c>
      <c r="AH319" s="21">
        <f>(SUMPRODUCT(AH$9:AH$229,Nutrients!$EK$8:$EK$228)+(IF($A$7=Nutrients!$B$8,Nutrients!$EK$8,Nutrients!$EK$9)*AH$7)+(((IF($A$8=Nutrients!$B$79,Nutrients!$EK$79,(IF($A$8=Nutrients!$B$77,Nutrients!$EK$77,Nutrients!$EK$78)))))*AH$8))/2000*1000000</f>
        <v>55.059750000000008</v>
      </c>
      <c r="AI319" s="21">
        <f>(SUMPRODUCT(AI$9:AI$229,Nutrients!$EK$8:$EK$228)+(IF($A$7=Nutrients!$B$8,Nutrients!$EK$8,Nutrients!$EK$9)*AI$7)+(((IF($A$8=Nutrients!$B$79,Nutrients!$EK$79,(IF($A$8=Nutrients!$B$77,Nutrients!$EK$77,Nutrients!$EK$78)))))*AI$8))/2000*1000000</f>
        <v>55.059750000000008</v>
      </c>
      <c r="AK319" s="21">
        <f>(SUMPRODUCT(AK$9:AK$229,Nutrients!$EK$8:$EK$228)+(IF($A$7=Nutrients!$B$8,Nutrients!$EK$8,Nutrients!$EK$9)*AK$7)+(((IF($A$8=Nutrients!$B$79,Nutrients!$EK$79,(IF($A$8=Nutrients!$B$77,Nutrients!$EK$77,Nutrients!$EK$78)))))*AK$8))/2000*1000000</f>
        <v>110.11950000000002</v>
      </c>
      <c r="AL319" s="21">
        <f>(SUMPRODUCT(AL$9:AL$229,Nutrients!$EK$8:$EK$228)+(IF($A$7=Nutrients!$B$8,Nutrients!$EK$8,Nutrients!$EK$9)*AL$7)+(((IF($A$8=Nutrients!$B$79,Nutrients!$EK$79,(IF($A$8=Nutrients!$B$77,Nutrients!$EK$77,Nutrients!$EK$78)))))*AL$8))/2000*1000000</f>
        <v>110.11950000000002</v>
      </c>
      <c r="AM319" s="21">
        <f>(SUMPRODUCT(AM$9:AM$229,Nutrients!$EK$8:$EK$228)+(IF($A$7=Nutrients!$B$8,Nutrients!$EK$8,Nutrients!$EK$9)*AM$7)+(((IF($A$8=Nutrients!$B$79,Nutrients!$EK$79,(IF($A$8=Nutrients!$B$77,Nutrients!$EK$77,Nutrients!$EK$78)))))*AM$8))/2000*1000000</f>
        <v>91.766249999999999</v>
      </c>
      <c r="AN319" s="21">
        <f>(SUMPRODUCT(AN$9:AN$229,Nutrients!$EK$8:$EK$228)+(IF($A$7=Nutrients!$B$8,Nutrients!$EK$8,Nutrients!$EK$9)*AN$7)+(((IF($A$8=Nutrients!$B$79,Nutrients!$EK$79,(IF($A$8=Nutrients!$B$77,Nutrients!$EK$77,Nutrients!$EK$78)))))*AN$8))/2000*1000000</f>
        <v>73.413000000000011</v>
      </c>
      <c r="AO319" s="21">
        <f>(SUMPRODUCT(AO$9:AO$229,Nutrients!$EK$8:$EK$228)+(IF($A$7=Nutrients!$B$8,Nutrients!$EK$8,Nutrients!$EK$9)*AO$7)+(((IF($A$8=Nutrients!$B$79,Nutrients!$EK$79,(IF($A$8=Nutrients!$B$77,Nutrients!$EK$77,Nutrients!$EK$78)))))*AO$8))/2000*1000000</f>
        <v>55.059750000000008</v>
      </c>
      <c r="AP319" s="21">
        <f>(SUMPRODUCT(AP$9:AP$229,Nutrients!$EK$8:$EK$228)+(IF($A$7=Nutrients!$B$8,Nutrients!$EK$8,Nutrients!$EK$9)*AP$7)+(((IF($A$8=Nutrients!$B$79,Nutrients!$EK$79,(IF($A$8=Nutrients!$B$77,Nutrients!$EK$77,Nutrients!$EK$78)))))*AP$8))/2000*1000000</f>
        <v>55.059750000000008</v>
      </c>
      <c r="AR319" s="21">
        <f>(SUMPRODUCT(AR$9:AR$229,Nutrients!$EK$8:$EK$228)+(IF($A$7=Nutrients!$B$8,Nutrients!$EK$8,Nutrients!$EK$9)*AR$7)+(((IF($A$8=Nutrients!$B$79,Nutrients!$EK$79,(IF($A$8=Nutrients!$B$77,Nutrients!$EK$77,Nutrients!$EK$78)))))*AR$8))/2000*1000000</f>
        <v>110.11950000000002</v>
      </c>
      <c r="AS319" s="21">
        <f>(SUMPRODUCT(AS$9:AS$229,Nutrients!$EK$8:$EK$228)+(IF($A$7=Nutrients!$B$8,Nutrients!$EK$8,Nutrients!$EK$9)*AS$7)+(((IF($A$8=Nutrients!$B$79,Nutrients!$EK$79,(IF($A$8=Nutrients!$B$77,Nutrients!$EK$77,Nutrients!$EK$78)))))*AS$8))/2000*1000000</f>
        <v>110.11950000000002</v>
      </c>
      <c r="AT319" s="21">
        <f>(SUMPRODUCT(AT$9:AT$229,Nutrients!$EK$8:$EK$228)+(IF($A$7=Nutrients!$B$8,Nutrients!$EK$8,Nutrients!$EK$9)*AT$7)+(((IF($A$8=Nutrients!$B$79,Nutrients!$EK$79,(IF($A$8=Nutrients!$B$77,Nutrients!$EK$77,Nutrients!$EK$78)))))*AT$8))/2000*1000000</f>
        <v>91.766249999999999</v>
      </c>
      <c r="AU319" s="21">
        <f>(SUMPRODUCT(AU$9:AU$229,Nutrients!$EK$8:$EK$228)+(IF($A$7=Nutrients!$B$8,Nutrients!$EK$8,Nutrients!$EK$9)*AU$7)+(((IF($A$8=Nutrients!$B$79,Nutrients!$EK$79,(IF($A$8=Nutrients!$B$77,Nutrients!$EK$77,Nutrients!$EK$78)))))*AU$8))/2000*1000000</f>
        <v>73.413000000000011</v>
      </c>
      <c r="AV319" s="21">
        <f>(SUMPRODUCT(AV$9:AV$229,Nutrients!$EK$8:$EK$228)+(IF($A$7=Nutrients!$B$8,Nutrients!$EK$8,Nutrients!$EK$9)*AV$7)+(((IF($A$8=Nutrients!$B$79,Nutrients!$EK$79,(IF($A$8=Nutrients!$B$77,Nutrients!$EK$77,Nutrients!$EK$78)))))*AV$8))/2000*1000000</f>
        <v>55.059750000000008</v>
      </c>
      <c r="AW319" s="21">
        <f>(SUMPRODUCT(AW$9:AW$229,Nutrients!$EK$8:$EK$228)+(IF($A$7=Nutrients!$B$8,Nutrients!$EK$8,Nutrients!$EK$9)*AW$7)+(((IF($A$8=Nutrients!$B$79,Nutrients!$EK$79,(IF($A$8=Nutrients!$B$77,Nutrients!$EK$77,Nutrients!$EK$78)))))*AW$8))/2000*1000000</f>
        <v>55.059750000000008</v>
      </c>
    </row>
    <row r="320" spans="1:49" x14ac:dyDescent="0.25">
      <c r="A320" s="34" t="s">
        <v>113</v>
      </c>
      <c r="B320" s="21">
        <f>(SUMPRODUCT(B$9:B$229,Nutrients!$EL$8:$EL$228)+(IF($A$7=Nutrients!$B$8,Nutrients!$EL$8,Nutrients!$EL$9)*B$7)+(((IF($A$8=Nutrients!$B$79,Nutrients!$EL$79,(IF($A$8=Nutrients!$B$77,Nutrients!$EL$77,Nutrients!$EL$78)))))*B$8))/2000*1000000</f>
        <v>110.11950000000002</v>
      </c>
      <c r="C320" s="21">
        <f>(SUMPRODUCT(C$9:C$229,Nutrients!$EL$8:$EL$228)+(IF($A$7=Nutrients!$B$8,Nutrients!$EL$8,Nutrients!$EL$9)*C$7)+(((IF($A$8=Nutrients!$B$79,Nutrients!$EL$79,(IF($A$8=Nutrients!$B$77,Nutrients!$EL$77,Nutrients!$EL$78)))))*C$8))/2000*1000000</f>
        <v>110.11950000000002</v>
      </c>
      <c r="D320" s="21">
        <f>(SUMPRODUCT(D$9:D$229,Nutrients!$EL$8:$EL$228)+(IF($A$7=Nutrients!$B$8,Nutrients!$EL$8,Nutrients!$EL$9)*D$7)+(((IF($A$8=Nutrients!$B$79,Nutrients!$EL$79,(IF($A$8=Nutrients!$B$77,Nutrients!$EL$77,Nutrients!$EL$78)))))*D$8))/2000*1000000</f>
        <v>91.766249999999999</v>
      </c>
      <c r="E320" s="21">
        <f>(SUMPRODUCT(E$9:E$229,Nutrients!$EL$8:$EL$228)+(IF($A$7=Nutrients!$B$8,Nutrients!$EL$8,Nutrients!$EL$9)*E$7)+(((IF($A$8=Nutrients!$B$79,Nutrients!$EL$79,(IF($A$8=Nutrients!$B$77,Nutrients!$EL$77,Nutrients!$EL$78)))))*E$8))/2000*1000000</f>
        <v>73.413000000000011</v>
      </c>
      <c r="F320" s="21">
        <f>(SUMPRODUCT(F$9:F$229,Nutrients!$EL$8:$EL$228)+(IF($A$7=Nutrients!$B$8,Nutrients!$EL$8,Nutrients!$EL$9)*F$7)+(((IF($A$8=Nutrients!$B$79,Nutrients!$EL$79,(IF($A$8=Nutrients!$B$77,Nutrients!$EL$77,Nutrients!$EL$78)))))*F$8))/2000*1000000</f>
        <v>55.059750000000008</v>
      </c>
      <c r="G320" s="21">
        <f>(SUMPRODUCT(G$9:G$229,Nutrients!$EL$8:$EL$228)+(IF($A$7=Nutrients!$B$8,Nutrients!$EL$8,Nutrients!$EL$9)*G$7)+(((IF($A$8=Nutrients!$B$79,Nutrients!$EL$79,(IF($A$8=Nutrients!$B$77,Nutrients!$EL$77,Nutrients!$EL$78)))))*G$8))/2000*1000000</f>
        <v>55.059750000000008</v>
      </c>
      <c r="H320" s="226"/>
      <c r="I320" s="21">
        <f>(SUMPRODUCT(I$9:I$229,Nutrients!$EL$8:$EL$228)+(IF($A$7=Nutrients!$B$8,Nutrients!$EL$8,Nutrients!$EL$9)*I$7)+(((IF($A$8=Nutrients!$B$79,Nutrients!$EL$79,(IF($A$8=Nutrients!$B$77,Nutrients!$EL$77,Nutrients!$EL$78)))))*I$8))/2000*1000000</f>
        <v>110.11950000000002</v>
      </c>
      <c r="J320" s="21">
        <f>(SUMPRODUCT(J$9:J$229,Nutrients!$EL$8:$EL$228)+(IF($A$7=Nutrients!$B$8,Nutrients!$EL$8,Nutrients!$EL$9)*J$7)+(((IF($A$8=Nutrients!$B$79,Nutrients!$EL$79,(IF($A$8=Nutrients!$B$77,Nutrients!$EL$77,Nutrients!$EL$78)))))*J$8))/2000*1000000</f>
        <v>110.11950000000002</v>
      </c>
      <c r="K320" s="21">
        <f>(SUMPRODUCT(K$9:K$229,Nutrients!$EL$8:$EL$228)+(IF($A$7=Nutrients!$B$8,Nutrients!$EL$8,Nutrients!$EL$9)*K$7)+(((IF($A$8=Nutrients!$B$79,Nutrients!$EL$79,(IF($A$8=Nutrients!$B$77,Nutrients!$EL$77,Nutrients!$EL$78)))))*K$8))/2000*1000000</f>
        <v>91.766249999999999</v>
      </c>
      <c r="L320" s="21">
        <f>(SUMPRODUCT(L$9:L$229,Nutrients!$EL$8:$EL$228)+(IF($A$7=Nutrients!$B$8,Nutrients!$EL$8,Nutrients!$EL$9)*L$7)+(((IF($A$8=Nutrients!$B$79,Nutrients!$EL$79,(IF($A$8=Nutrients!$B$77,Nutrients!$EL$77,Nutrients!$EL$78)))))*L$8))/2000*1000000</f>
        <v>73.413000000000011</v>
      </c>
      <c r="M320" s="21">
        <f>(SUMPRODUCT(M$9:M$229,Nutrients!$EL$8:$EL$228)+(IF($A$7=Nutrients!$B$8,Nutrients!$EL$8,Nutrients!$EL$9)*M$7)+(((IF($A$8=Nutrients!$B$79,Nutrients!$EL$79,(IF($A$8=Nutrients!$B$77,Nutrients!$EL$77,Nutrients!$EL$78)))))*M$8))/2000*1000000</f>
        <v>55.059750000000008</v>
      </c>
      <c r="N320" s="21">
        <f>(SUMPRODUCT(N$9:N$229,Nutrients!$EL$8:$EL$228)+(IF($A$7=Nutrients!$B$8,Nutrients!$EL$8,Nutrients!$EL$9)*N$7)+(((IF($A$8=Nutrients!$B$79,Nutrients!$EL$79,(IF($A$8=Nutrients!$B$77,Nutrients!$EL$77,Nutrients!$EL$78)))))*N$8))/2000*1000000</f>
        <v>55.059750000000008</v>
      </c>
      <c r="O320" s="234"/>
      <c r="P320" s="21">
        <f>(SUMPRODUCT(P$9:P$229,Nutrients!$EL$8:$EL$228)+(IF($A$7=Nutrients!$B$8,Nutrients!$EL$8,Nutrients!$EL$9)*P$7)+(((IF($A$8=Nutrients!$B$79,Nutrients!$EL$79,(IF($A$8=Nutrients!$B$77,Nutrients!$EL$77,Nutrients!$EL$78)))))*P$8))/2000*1000000</f>
        <v>110.11950000000002</v>
      </c>
      <c r="Q320" s="21">
        <f>(SUMPRODUCT(Q$9:Q$229,Nutrients!$EL$8:$EL$228)+(IF($A$7=Nutrients!$B$8,Nutrients!$EL$8,Nutrients!$EL$9)*Q$7)+(((IF($A$8=Nutrients!$B$79,Nutrients!$EL$79,(IF($A$8=Nutrients!$B$77,Nutrients!$EL$77,Nutrients!$EL$78)))))*Q$8))/2000*1000000</f>
        <v>110.11950000000002</v>
      </c>
      <c r="R320" s="21">
        <f>(SUMPRODUCT(R$9:R$229,Nutrients!$EL$8:$EL$228)+(IF($A$7=Nutrients!$B$8,Nutrients!$EL$8,Nutrients!$EL$9)*R$7)+(((IF($A$8=Nutrients!$B$79,Nutrients!$EL$79,(IF($A$8=Nutrients!$B$77,Nutrients!$EL$77,Nutrients!$EL$78)))))*R$8))/2000*1000000</f>
        <v>91.766249999999999</v>
      </c>
      <c r="S320" s="21">
        <f>(SUMPRODUCT(S$9:S$229,Nutrients!$EL$8:$EL$228)+(IF($A$7=Nutrients!$B$8,Nutrients!$EL$8,Nutrients!$EL$9)*S$7)+(((IF($A$8=Nutrients!$B$79,Nutrients!$EL$79,(IF($A$8=Nutrients!$B$77,Nutrients!$EL$77,Nutrients!$EL$78)))))*S$8))/2000*1000000</f>
        <v>73.413000000000011</v>
      </c>
      <c r="T320" s="21">
        <f>(SUMPRODUCT(T$9:T$229,Nutrients!$EL$8:$EL$228)+(IF($A$7=Nutrients!$B$8,Nutrients!$EL$8,Nutrients!$EL$9)*T$7)+(((IF($A$8=Nutrients!$B$79,Nutrients!$EL$79,(IF($A$8=Nutrients!$B$77,Nutrients!$EL$77,Nutrients!$EL$78)))))*T$8))/2000*1000000</f>
        <v>55.059750000000008</v>
      </c>
      <c r="U320" s="21">
        <f>(SUMPRODUCT(U$9:U$229,Nutrients!$EL$8:$EL$228)+(IF($A$7=Nutrients!$B$8,Nutrients!$EL$8,Nutrients!$EL$9)*U$7)+(((IF($A$8=Nutrients!$B$79,Nutrients!$EL$79,(IF($A$8=Nutrients!$B$77,Nutrients!$EL$77,Nutrients!$EL$78)))))*U$8))/2000*1000000</f>
        <v>55.059750000000008</v>
      </c>
      <c r="W320" s="21">
        <f>(SUMPRODUCT(W$9:W$229,Nutrients!$EL$8:$EL$228)+(IF($A$7=Nutrients!$B$8,Nutrients!$EL$8,Nutrients!$EL$9)*W$7)+(((IF($A$8=Nutrients!$B$79,Nutrients!$EL$79,(IF($A$8=Nutrients!$B$77,Nutrients!$EL$77,Nutrients!$EL$78)))))*W$8))/2000*1000000</f>
        <v>110.11950000000002</v>
      </c>
      <c r="X320" s="21">
        <f>(SUMPRODUCT(X$9:X$229,Nutrients!$EL$8:$EL$228)+(IF($A$7=Nutrients!$B$8,Nutrients!$EL$8,Nutrients!$EL$9)*X$7)+(((IF($A$8=Nutrients!$B$79,Nutrients!$EL$79,(IF($A$8=Nutrients!$B$77,Nutrients!$EL$77,Nutrients!$EL$78)))))*X$8))/2000*1000000</f>
        <v>110.11950000000002</v>
      </c>
      <c r="Y320" s="21">
        <f>(SUMPRODUCT(Y$9:Y$229,Nutrients!$EL$8:$EL$228)+(IF($A$7=Nutrients!$B$8,Nutrients!$EL$8,Nutrients!$EL$9)*Y$7)+(((IF($A$8=Nutrients!$B$79,Nutrients!$EL$79,(IF($A$8=Nutrients!$B$77,Nutrients!$EL$77,Nutrients!$EL$78)))))*Y$8))/2000*1000000</f>
        <v>91.766249999999999</v>
      </c>
      <c r="Z320" s="21">
        <f>(SUMPRODUCT(Z$9:Z$229,Nutrients!$EL$8:$EL$228)+(IF($A$7=Nutrients!$B$8,Nutrients!$EL$8,Nutrients!$EL$9)*Z$7)+(((IF($A$8=Nutrients!$B$79,Nutrients!$EL$79,(IF($A$8=Nutrients!$B$77,Nutrients!$EL$77,Nutrients!$EL$78)))))*Z$8))/2000*1000000</f>
        <v>73.413000000000011</v>
      </c>
      <c r="AA320" s="21">
        <f>(SUMPRODUCT(AA$9:AA$229,Nutrients!$EL$8:$EL$228)+(IF($A$7=Nutrients!$B$8,Nutrients!$EL$8,Nutrients!$EL$9)*AA$7)+(((IF($A$8=Nutrients!$B$79,Nutrients!$EL$79,(IF($A$8=Nutrients!$B$77,Nutrients!$EL$77,Nutrients!$EL$78)))))*AA$8))/2000*1000000</f>
        <v>55.059750000000008</v>
      </c>
      <c r="AB320" s="21">
        <f>(SUMPRODUCT(AB$9:AB$229,Nutrients!$EL$8:$EL$228)+(IF($A$7=Nutrients!$B$8,Nutrients!$EL$8,Nutrients!$EL$9)*AB$7)+(((IF($A$8=Nutrients!$B$79,Nutrients!$EL$79,(IF($A$8=Nutrients!$B$77,Nutrients!$EL$77,Nutrients!$EL$78)))))*AB$8))/2000*1000000</f>
        <v>55.059750000000008</v>
      </c>
      <c r="AD320" s="21">
        <f>(SUMPRODUCT(AD$9:AD$229,Nutrients!$EL$8:$EL$228)+(IF($A$7=Nutrients!$B$8,Nutrients!$EL$8,Nutrients!$EL$9)*AD$7)+(((IF($A$8=Nutrients!$B$79,Nutrients!$EL$79,(IF($A$8=Nutrients!$B$77,Nutrients!$EL$77,Nutrients!$EL$78)))))*AD$8))/2000*1000000</f>
        <v>110.11950000000002</v>
      </c>
      <c r="AE320" s="21">
        <f>(SUMPRODUCT(AE$9:AE$229,Nutrients!$EL$8:$EL$228)+(IF($A$7=Nutrients!$B$8,Nutrients!$EL$8,Nutrients!$EL$9)*AE$7)+(((IF($A$8=Nutrients!$B$79,Nutrients!$EL$79,(IF($A$8=Nutrients!$B$77,Nutrients!$EL$77,Nutrients!$EL$78)))))*AE$8))/2000*1000000</f>
        <v>110.11950000000002</v>
      </c>
      <c r="AF320" s="21">
        <f>(SUMPRODUCT(AF$9:AF$229,Nutrients!$EL$8:$EL$228)+(IF($A$7=Nutrients!$B$8,Nutrients!$EL$8,Nutrients!$EL$9)*AF$7)+(((IF($A$8=Nutrients!$B$79,Nutrients!$EL$79,(IF($A$8=Nutrients!$B$77,Nutrients!$EL$77,Nutrients!$EL$78)))))*AF$8))/2000*1000000</f>
        <v>91.766249999999999</v>
      </c>
      <c r="AG320" s="21">
        <f>(SUMPRODUCT(AG$9:AG$229,Nutrients!$EL$8:$EL$228)+(IF($A$7=Nutrients!$B$8,Nutrients!$EL$8,Nutrients!$EL$9)*AG$7)+(((IF($A$8=Nutrients!$B$79,Nutrients!$EL$79,(IF($A$8=Nutrients!$B$77,Nutrients!$EL$77,Nutrients!$EL$78)))))*AG$8))/2000*1000000</f>
        <v>73.413000000000011</v>
      </c>
      <c r="AH320" s="21">
        <f>(SUMPRODUCT(AH$9:AH$229,Nutrients!$EL$8:$EL$228)+(IF($A$7=Nutrients!$B$8,Nutrients!$EL$8,Nutrients!$EL$9)*AH$7)+(((IF($A$8=Nutrients!$B$79,Nutrients!$EL$79,(IF($A$8=Nutrients!$B$77,Nutrients!$EL$77,Nutrients!$EL$78)))))*AH$8))/2000*1000000</f>
        <v>55.059750000000008</v>
      </c>
      <c r="AI320" s="21">
        <f>(SUMPRODUCT(AI$9:AI$229,Nutrients!$EL$8:$EL$228)+(IF($A$7=Nutrients!$B$8,Nutrients!$EL$8,Nutrients!$EL$9)*AI$7)+(((IF($A$8=Nutrients!$B$79,Nutrients!$EL$79,(IF($A$8=Nutrients!$B$77,Nutrients!$EL$77,Nutrients!$EL$78)))))*AI$8))/2000*1000000</f>
        <v>55.059750000000008</v>
      </c>
      <c r="AK320" s="21">
        <f>(SUMPRODUCT(AK$9:AK$229,Nutrients!$EL$8:$EL$228)+(IF($A$7=Nutrients!$B$8,Nutrients!$EL$8,Nutrients!$EL$9)*AK$7)+(((IF($A$8=Nutrients!$B$79,Nutrients!$EL$79,(IF($A$8=Nutrients!$B$77,Nutrients!$EL$77,Nutrients!$EL$78)))))*AK$8))/2000*1000000</f>
        <v>110.11950000000002</v>
      </c>
      <c r="AL320" s="21">
        <f>(SUMPRODUCT(AL$9:AL$229,Nutrients!$EL$8:$EL$228)+(IF($A$7=Nutrients!$B$8,Nutrients!$EL$8,Nutrients!$EL$9)*AL$7)+(((IF($A$8=Nutrients!$B$79,Nutrients!$EL$79,(IF($A$8=Nutrients!$B$77,Nutrients!$EL$77,Nutrients!$EL$78)))))*AL$8))/2000*1000000</f>
        <v>110.11950000000002</v>
      </c>
      <c r="AM320" s="21">
        <f>(SUMPRODUCT(AM$9:AM$229,Nutrients!$EL$8:$EL$228)+(IF($A$7=Nutrients!$B$8,Nutrients!$EL$8,Nutrients!$EL$9)*AM$7)+(((IF($A$8=Nutrients!$B$79,Nutrients!$EL$79,(IF($A$8=Nutrients!$B$77,Nutrients!$EL$77,Nutrients!$EL$78)))))*AM$8))/2000*1000000</f>
        <v>91.766249999999999</v>
      </c>
      <c r="AN320" s="21">
        <f>(SUMPRODUCT(AN$9:AN$229,Nutrients!$EL$8:$EL$228)+(IF($A$7=Nutrients!$B$8,Nutrients!$EL$8,Nutrients!$EL$9)*AN$7)+(((IF($A$8=Nutrients!$B$79,Nutrients!$EL$79,(IF($A$8=Nutrients!$B$77,Nutrients!$EL$77,Nutrients!$EL$78)))))*AN$8))/2000*1000000</f>
        <v>73.413000000000011</v>
      </c>
      <c r="AO320" s="21">
        <f>(SUMPRODUCT(AO$9:AO$229,Nutrients!$EL$8:$EL$228)+(IF($A$7=Nutrients!$B$8,Nutrients!$EL$8,Nutrients!$EL$9)*AO$7)+(((IF($A$8=Nutrients!$B$79,Nutrients!$EL$79,(IF($A$8=Nutrients!$B$77,Nutrients!$EL$77,Nutrients!$EL$78)))))*AO$8))/2000*1000000</f>
        <v>55.059750000000008</v>
      </c>
      <c r="AP320" s="21">
        <f>(SUMPRODUCT(AP$9:AP$229,Nutrients!$EL$8:$EL$228)+(IF($A$7=Nutrients!$B$8,Nutrients!$EL$8,Nutrients!$EL$9)*AP$7)+(((IF($A$8=Nutrients!$B$79,Nutrients!$EL$79,(IF($A$8=Nutrients!$B$77,Nutrients!$EL$77,Nutrients!$EL$78)))))*AP$8))/2000*1000000</f>
        <v>55.059750000000008</v>
      </c>
      <c r="AR320" s="21">
        <f>(SUMPRODUCT(AR$9:AR$229,Nutrients!$EL$8:$EL$228)+(IF($A$7=Nutrients!$B$8,Nutrients!$EL$8,Nutrients!$EL$9)*AR$7)+(((IF($A$8=Nutrients!$B$79,Nutrients!$EL$79,(IF($A$8=Nutrients!$B$77,Nutrients!$EL$77,Nutrients!$EL$78)))))*AR$8))/2000*1000000</f>
        <v>110.11950000000002</v>
      </c>
      <c r="AS320" s="21">
        <f>(SUMPRODUCT(AS$9:AS$229,Nutrients!$EL$8:$EL$228)+(IF($A$7=Nutrients!$B$8,Nutrients!$EL$8,Nutrients!$EL$9)*AS$7)+(((IF($A$8=Nutrients!$B$79,Nutrients!$EL$79,(IF($A$8=Nutrients!$B$77,Nutrients!$EL$77,Nutrients!$EL$78)))))*AS$8))/2000*1000000</f>
        <v>110.11950000000002</v>
      </c>
      <c r="AT320" s="21">
        <f>(SUMPRODUCT(AT$9:AT$229,Nutrients!$EL$8:$EL$228)+(IF($A$7=Nutrients!$B$8,Nutrients!$EL$8,Nutrients!$EL$9)*AT$7)+(((IF($A$8=Nutrients!$B$79,Nutrients!$EL$79,(IF($A$8=Nutrients!$B$77,Nutrients!$EL$77,Nutrients!$EL$78)))))*AT$8))/2000*1000000</f>
        <v>91.766249999999999</v>
      </c>
      <c r="AU320" s="21">
        <f>(SUMPRODUCT(AU$9:AU$229,Nutrients!$EL$8:$EL$228)+(IF($A$7=Nutrients!$B$8,Nutrients!$EL$8,Nutrients!$EL$9)*AU$7)+(((IF($A$8=Nutrients!$B$79,Nutrients!$EL$79,(IF($A$8=Nutrients!$B$77,Nutrients!$EL$77,Nutrients!$EL$78)))))*AU$8))/2000*1000000</f>
        <v>73.413000000000011</v>
      </c>
      <c r="AV320" s="21">
        <f>(SUMPRODUCT(AV$9:AV$229,Nutrients!$EL$8:$EL$228)+(IF($A$7=Nutrients!$B$8,Nutrients!$EL$8,Nutrients!$EL$9)*AV$7)+(((IF($A$8=Nutrients!$B$79,Nutrients!$EL$79,(IF($A$8=Nutrients!$B$77,Nutrients!$EL$77,Nutrients!$EL$78)))))*AV$8))/2000*1000000</f>
        <v>55.059750000000008</v>
      </c>
      <c r="AW320" s="21">
        <f>(SUMPRODUCT(AW$9:AW$229,Nutrients!$EL$8:$EL$228)+(IF($A$7=Nutrients!$B$8,Nutrients!$EL$8,Nutrients!$EL$9)*AW$7)+(((IF($A$8=Nutrients!$B$79,Nutrients!$EL$79,(IF($A$8=Nutrients!$B$77,Nutrients!$EL$77,Nutrients!$EL$78)))))*AW$8))/2000*1000000</f>
        <v>55.059750000000008</v>
      </c>
    </row>
    <row r="321" spans="1:49" x14ac:dyDescent="0.25">
      <c r="A321" s="34" t="s">
        <v>114</v>
      </c>
      <c r="B321" s="21">
        <f>(SUMPRODUCT(B$9:B$229,Nutrients!$EM$8:$EM$228)+(IF($A$7=Nutrients!$B$8,Nutrients!$EM$8,Nutrients!$EM$9)*B$7)+(((IF($A$8=Nutrients!$B$79,Nutrients!$EM$79,(IF($A$8=Nutrients!$B$77,Nutrients!$EM$77,Nutrients!$EM$78)))))*B$8))/2000*1000000</f>
        <v>33.068999999999996</v>
      </c>
      <c r="C321" s="21">
        <f>(SUMPRODUCT(C$9:C$229,Nutrients!$EM$8:$EM$228)+(IF($A$7=Nutrients!$B$8,Nutrients!$EM$8,Nutrients!$EM$9)*C$7)+(((IF($A$8=Nutrients!$B$79,Nutrients!$EM$79,(IF($A$8=Nutrients!$B$77,Nutrients!$EM$77,Nutrients!$EM$78)))))*C$8))/2000*1000000</f>
        <v>33.068999999999996</v>
      </c>
      <c r="D321" s="21">
        <f>(SUMPRODUCT(D$9:D$229,Nutrients!$EM$8:$EM$228)+(IF($A$7=Nutrients!$B$8,Nutrients!$EM$8,Nutrients!$EM$9)*D$7)+(((IF($A$8=Nutrients!$B$79,Nutrients!$EM$79,(IF($A$8=Nutrients!$B$77,Nutrients!$EM$77,Nutrients!$EM$78)))))*D$8))/2000*1000000</f>
        <v>27.557499999999997</v>
      </c>
      <c r="E321" s="21">
        <f>(SUMPRODUCT(E$9:E$229,Nutrients!$EM$8:$EM$228)+(IF($A$7=Nutrients!$B$8,Nutrients!$EM$8,Nutrients!$EM$9)*E$7)+(((IF($A$8=Nutrients!$B$79,Nutrients!$EM$79,(IF($A$8=Nutrients!$B$77,Nutrients!$EM$77,Nutrients!$EM$78)))))*E$8))/2000*1000000</f>
        <v>22.045999999999999</v>
      </c>
      <c r="F321" s="21">
        <f>(SUMPRODUCT(F$9:F$229,Nutrients!$EM$8:$EM$228)+(IF($A$7=Nutrients!$B$8,Nutrients!$EM$8,Nutrients!$EM$9)*F$7)+(((IF($A$8=Nutrients!$B$79,Nutrients!$EM$79,(IF($A$8=Nutrients!$B$77,Nutrients!$EM$77,Nutrients!$EM$78)))))*F$8))/2000*1000000</f>
        <v>16.534499999999998</v>
      </c>
      <c r="G321" s="21">
        <f>(SUMPRODUCT(G$9:G$229,Nutrients!$EM$8:$EM$228)+(IF($A$7=Nutrients!$B$8,Nutrients!$EM$8,Nutrients!$EM$9)*G$7)+(((IF($A$8=Nutrients!$B$79,Nutrients!$EM$79,(IF($A$8=Nutrients!$B$77,Nutrients!$EM$77,Nutrients!$EM$78)))))*G$8))/2000*1000000</f>
        <v>16.534499999999998</v>
      </c>
      <c r="H321" s="226"/>
      <c r="I321" s="21">
        <f>(SUMPRODUCT(I$9:I$229,Nutrients!$EM$8:$EM$228)+(IF($A$7=Nutrients!$B$8,Nutrients!$EM$8,Nutrients!$EM$9)*I$7)+(((IF($A$8=Nutrients!$B$79,Nutrients!$EM$79,(IF($A$8=Nutrients!$B$77,Nutrients!$EM$77,Nutrients!$EM$78)))))*I$8))/2000*1000000</f>
        <v>33.068999999999996</v>
      </c>
      <c r="J321" s="21">
        <f>(SUMPRODUCT(J$9:J$229,Nutrients!$EM$8:$EM$228)+(IF($A$7=Nutrients!$B$8,Nutrients!$EM$8,Nutrients!$EM$9)*J$7)+(((IF($A$8=Nutrients!$B$79,Nutrients!$EM$79,(IF($A$8=Nutrients!$B$77,Nutrients!$EM$77,Nutrients!$EM$78)))))*J$8))/2000*1000000</f>
        <v>33.068999999999996</v>
      </c>
      <c r="K321" s="21">
        <f>(SUMPRODUCT(K$9:K$229,Nutrients!$EM$8:$EM$228)+(IF($A$7=Nutrients!$B$8,Nutrients!$EM$8,Nutrients!$EM$9)*K$7)+(((IF($A$8=Nutrients!$B$79,Nutrients!$EM$79,(IF($A$8=Nutrients!$B$77,Nutrients!$EM$77,Nutrients!$EM$78)))))*K$8))/2000*1000000</f>
        <v>27.557499999999997</v>
      </c>
      <c r="L321" s="21">
        <f>(SUMPRODUCT(L$9:L$229,Nutrients!$EM$8:$EM$228)+(IF($A$7=Nutrients!$B$8,Nutrients!$EM$8,Nutrients!$EM$9)*L$7)+(((IF($A$8=Nutrients!$B$79,Nutrients!$EM$79,(IF($A$8=Nutrients!$B$77,Nutrients!$EM$77,Nutrients!$EM$78)))))*L$8))/2000*1000000</f>
        <v>22.045999999999999</v>
      </c>
      <c r="M321" s="21">
        <f>(SUMPRODUCT(M$9:M$229,Nutrients!$EM$8:$EM$228)+(IF($A$7=Nutrients!$B$8,Nutrients!$EM$8,Nutrients!$EM$9)*M$7)+(((IF($A$8=Nutrients!$B$79,Nutrients!$EM$79,(IF($A$8=Nutrients!$B$77,Nutrients!$EM$77,Nutrients!$EM$78)))))*M$8))/2000*1000000</f>
        <v>16.534499999999998</v>
      </c>
      <c r="N321" s="21">
        <f>(SUMPRODUCT(N$9:N$229,Nutrients!$EM$8:$EM$228)+(IF($A$7=Nutrients!$B$8,Nutrients!$EM$8,Nutrients!$EM$9)*N$7)+(((IF($A$8=Nutrients!$B$79,Nutrients!$EM$79,(IF($A$8=Nutrients!$B$77,Nutrients!$EM$77,Nutrients!$EM$78)))))*N$8))/2000*1000000</f>
        <v>16.534499999999998</v>
      </c>
      <c r="O321" s="234"/>
      <c r="P321" s="21">
        <f>(SUMPRODUCT(P$9:P$229,Nutrients!$EM$8:$EM$228)+(IF($A$7=Nutrients!$B$8,Nutrients!$EM$8,Nutrients!$EM$9)*P$7)+(((IF($A$8=Nutrients!$B$79,Nutrients!$EM$79,(IF($A$8=Nutrients!$B$77,Nutrients!$EM$77,Nutrients!$EM$78)))))*P$8))/2000*1000000</f>
        <v>33.068999999999996</v>
      </c>
      <c r="Q321" s="21">
        <f>(SUMPRODUCT(Q$9:Q$229,Nutrients!$EM$8:$EM$228)+(IF($A$7=Nutrients!$B$8,Nutrients!$EM$8,Nutrients!$EM$9)*Q$7)+(((IF($A$8=Nutrients!$B$79,Nutrients!$EM$79,(IF($A$8=Nutrients!$B$77,Nutrients!$EM$77,Nutrients!$EM$78)))))*Q$8))/2000*1000000</f>
        <v>33.068999999999996</v>
      </c>
      <c r="R321" s="21">
        <f>(SUMPRODUCT(R$9:R$229,Nutrients!$EM$8:$EM$228)+(IF($A$7=Nutrients!$B$8,Nutrients!$EM$8,Nutrients!$EM$9)*R$7)+(((IF($A$8=Nutrients!$B$79,Nutrients!$EM$79,(IF($A$8=Nutrients!$B$77,Nutrients!$EM$77,Nutrients!$EM$78)))))*R$8))/2000*1000000</f>
        <v>27.557499999999997</v>
      </c>
      <c r="S321" s="21">
        <f>(SUMPRODUCT(S$9:S$229,Nutrients!$EM$8:$EM$228)+(IF($A$7=Nutrients!$B$8,Nutrients!$EM$8,Nutrients!$EM$9)*S$7)+(((IF($A$8=Nutrients!$B$79,Nutrients!$EM$79,(IF($A$8=Nutrients!$B$77,Nutrients!$EM$77,Nutrients!$EM$78)))))*S$8))/2000*1000000</f>
        <v>22.045999999999999</v>
      </c>
      <c r="T321" s="21">
        <f>(SUMPRODUCT(T$9:T$229,Nutrients!$EM$8:$EM$228)+(IF($A$7=Nutrients!$B$8,Nutrients!$EM$8,Nutrients!$EM$9)*T$7)+(((IF($A$8=Nutrients!$B$79,Nutrients!$EM$79,(IF($A$8=Nutrients!$B$77,Nutrients!$EM$77,Nutrients!$EM$78)))))*T$8))/2000*1000000</f>
        <v>16.534499999999998</v>
      </c>
      <c r="U321" s="21">
        <f>(SUMPRODUCT(U$9:U$229,Nutrients!$EM$8:$EM$228)+(IF($A$7=Nutrients!$B$8,Nutrients!$EM$8,Nutrients!$EM$9)*U$7)+(((IF($A$8=Nutrients!$B$79,Nutrients!$EM$79,(IF($A$8=Nutrients!$B$77,Nutrients!$EM$77,Nutrients!$EM$78)))))*U$8))/2000*1000000</f>
        <v>16.534499999999998</v>
      </c>
      <c r="W321" s="21">
        <f>(SUMPRODUCT(W$9:W$229,Nutrients!$EM$8:$EM$228)+(IF($A$7=Nutrients!$B$8,Nutrients!$EM$8,Nutrients!$EM$9)*W$7)+(((IF($A$8=Nutrients!$B$79,Nutrients!$EM$79,(IF($A$8=Nutrients!$B$77,Nutrients!$EM$77,Nutrients!$EM$78)))))*W$8))/2000*1000000</f>
        <v>33.068999999999996</v>
      </c>
      <c r="X321" s="21">
        <f>(SUMPRODUCT(X$9:X$229,Nutrients!$EM$8:$EM$228)+(IF($A$7=Nutrients!$B$8,Nutrients!$EM$8,Nutrients!$EM$9)*X$7)+(((IF($A$8=Nutrients!$B$79,Nutrients!$EM$79,(IF($A$8=Nutrients!$B$77,Nutrients!$EM$77,Nutrients!$EM$78)))))*X$8))/2000*1000000</f>
        <v>33.068999999999996</v>
      </c>
      <c r="Y321" s="21">
        <f>(SUMPRODUCT(Y$9:Y$229,Nutrients!$EM$8:$EM$228)+(IF($A$7=Nutrients!$B$8,Nutrients!$EM$8,Nutrients!$EM$9)*Y$7)+(((IF($A$8=Nutrients!$B$79,Nutrients!$EM$79,(IF($A$8=Nutrients!$B$77,Nutrients!$EM$77,Nutrients!$EM$78)))))*Y$8))/2000*1000000</f>
        <v>27.557499999999997</v>
      </c>
      <c r="Z321" s="21">
        <f>(SUMPRODUCT(Z$9:Z$229,Nutrients!$EM$8:$EM$228)+(IF($A$7=Nutrients!$B$8,Nutrients!$EM$8,Nutrients!$EM$9)*Z$7)+(((IF($A$8=Nutrients!$B$79,Nutrients!$EM$79,(IF($A$8=Nutrients!$B$77,Nutrients!$EM$77,Nutrients!$EM$78)))))*Z$8))/2000*1000000</f>
        <v>22.045999999999999</v>
      </c>
      <c r="AA321" s="21">
        <f>(SUMPRODUCT(AA$9:AA$229,Nutrients!$EM$8:$EM$228)+(IF($A$7=Nutrients!$B$8,Nutrients!$EM$8,Nutrients!$EM$9)*AA$7)+(((IF($A$8=Nutrients!$B$79,Nutrients!$EM$79,(IF($A$8=Nutrients!$B$77,Nutrients!$EM$77,Nutrients!$EM$78)))))*AA$8))/2000*1000000</f>
        <v>16.534499999999998</v>
      </c>
      <c r="AB321" s="21">
        <f>(SUMPRODUCT(AB$9:AB$229,Nutrients!$EM$8:$EM$228)+(IF($A$7=Nutrients!$B$8,Nutrients!$EM$8,Nutrients!$EM$9)*AB$7)+(((IF($A$8=Nutrients!$B$79,Nutrients!$EM$79,(IF($A$8=Nutrients!$B$77,Nutrients!$EM$77,Nutrients!$EM$78)))))*AB$8))/2000*1000000</f>
        <v>16.534499999999998</v>
      </c>
      <c r="AD321" s="21">
        <f>(SUMPRODUCT(AD$9:AD$229,Nutrients!$EM$8:$EM$228)+(IF($A$7=Nutrients!$B$8,Nutrients!$EM$8,Nutrients!$EM$9)*AD$7)+(((IF($A$8=Nutrients!$B$79,Nutrients!$EM$79,(IF($A$8=Nutrients!$B$77,Nutrients!$EM$77,Nutrients!$EM$78)))))*AD$8))/2000*1000000</f>
        <v>33.068999999999996</v>
      </c>
      <c r="AE321" s="21">
        <f>(SUMPRODUCT(AE$9:AE$229,Nutrients!$EM$8:$EM$228)+(IF($A$7=Nutrients!$B$8,Nutrients!$EM$8,Nutrients!$EM$9)*AE$7)+(((IF($A$8=Nutrients!$B$79,Nutrients!$EM$79,(IF($A$8=Nutrients!$B$77,Nutrients!$EM$77,Nutrients!$EM$78)))))*AE$8))/2000*1000000</f>
        <v>33.068999999999996</v>
      </c>
      <c r="AF321" s="21">
        <f>(SUMPRODUCT(AF$9:AF$229,Nutrients!$EM$8:$EM$228)+(IF($A$7=Nutrients!$B$8,Nutrients!$EM$8,Nutrients!$EM$9)*AF$7)+(((IF($A$8=Nutrients!$B$79,Nutrients!$EM$79,(IF($A$8=Nutrients!$B$77,Nutrients!$EM$77,Nutrients!$EM$78)))))*AF$8))/2000*1000000</f>
        <v>27.557499999999997</v>
      </c>
      <c r="AG321" s="21">
        <f>(SUMPRODUCT(AG$9:AG$229,Nutrients!$EM$8:$EM$228)+(IF($A$7=Nutrients!$B$8,Nutrients!$EM$8,Nutrients!$EM$9)*AG$7)+(((IF($A$8=Nutrients!$B$79,Nutrients!$EM$79,(IF($A$8=Nutrients!$B$77,Nutrients!$EM$77,Nutrients!$EM$78)))))*AG$8))/2000*1000000</f>
        <v>22.045999999999999</v>
      </c>
      <c r="AH321" s="21">
        <f>(SUMPRODUCT(AH$9:AH$229,Nutrients!$EM$8:$EM$228)+(IF($A$7=Nutrients!$B$8,Nutrients!$EM$8,Nutrients!$EM$9)*AH$7)+(((IF($A$8=Nutrients!$B$79,Nutrients!$EM$79,(IF($A$8=Nutrients!$B$77,Nutrients!$EM$77,Nutrients!$EM$78)))))*AH$8))/2000*1000000</f>
        <v>16.534499999999998</v>
      </c>
      <c r="AI321" s="21">
        <f>(SUMPRODUCT(AI$9:AI$229,Nutrients!$EM$8:$EM$228)+(IF($A$7=Nutrients!$B$8,Nutrients!$EM$8,Nutrients!$EM$9)*AI$7)+(((IF($A$8=Nutrients!$B$79,Nutrients!$EM$79,(IF($A$8=Nutrients!$B$77,Nutrients!$EM$77,Nutrients!$EM$78)))))*AI$8))/2000*1000000</f>
        <v>16.534499999999998</v>
      </c>
      <c r="AK321" s="21">
        <f>(SUMPRODUCT(AK$9:AK$229,Nutrients!$EM$8:$EM$228)+(IF($A$7=Nutrients!$B$8,Nutrients!$EM$8,Nutrients!$EM$9)*AK$7)+(((IF($A$8=Nutrients!$B$79,Nutrients!$EM$79,(IF($A$8=Nutrients!$B$77,Nutrients!$EM$77,Nutrients!$EM$78)))))*AK$8))/2000*1000000</f>
        <v>33.068999999999996</v>
      </c>
      <c r="AL321" s="21">
        <f>(SUMPRODUCT(AL$9:AL$229,Nutrients!$EM$8:$EM$228)+(IF($A$7=Nutrients!$B$8,Nutrients!$EM$8,Nutrients!$EM$9)*AL$7)+(((IF($A$8=Nutrients!$B$79,Nutrients!$EM$79,(IF($A$8=Nutrients!$B$77,Nutrients!$EM$77,Nutrients!$EM$78)))))*AL$8))/2000*1000000</f>
        <v>33.068999999999996</v>
      </c>
      <c r="AM321" s="21">
        <f>(SUMPRODUCT(AM$9:AM$229,Nutrients!$EM$8:$EM$228)+(IF($A$7=Nutrients!$B$8,Nutrients!$EM$8,Nutrients!$EM$9)*AM$7)+(((IF($A$8=Nutrients!$B$79,Nutrients!$EM$79,(IF($A$8=Nutrients!$B$77,Nutrients!$EM$77,Nutrients!$EM$78)))))*AM$8))/2000*1000000</f>
        <v>27.557499999999997</v>
      </c>
      <c r="AN321" s="21">
        <f>(SUMPRODUCT(AN$9:AN$229,Nutrients!$EM$8:$EM$228)+(IF($A$7=Nutrients!$B$8,Nutrients!$EM$8,Nutrients!$EM$9)*AN$7)+(((IF($A$8=Nutrients!$B$79,Nutrients!$EM$79,(IF($A$8=Nutrients!$B$77,Nutrients!$EM$77,Nutrients!$EM$78)))))*AN$8))/2000*1000000</f>
        <v>22.045999999999999</v>
      </c>
      <c r="AO321" s="21">
        <f>(SUMPRODUCT(AO$9:AO$229,Nutrients!$EM$8:$EM$228)+(IF($A$7=Nutrients!$B$8,Nutrients!$EM$8,Nutrients!$EM$9)*AO$7)+(((IF($A$8=Nutrients!$B$79,Nutrients!$EM$79,(IF($A$8=Nutrients!$B$77,Nutrients!$EM$77,Nutrients!$EM$78)))))*AO$8))/2000*1000000</f>
        <v>16.534499999999998</v>
      </c>
      <c r="AP321" s="21">
        <f>(SUMPRODUCT(AP$9:AP$229,Nutrients!$EM$8:$EM$228)+(IF($A$7=Nutrients!$B$8,Nutrients!$EM$8,Nutrients!$EM$9)*AP$7)+(((IF($A$8=Nutrients!$B$79,Nutrients!$EM$79,(IF($A$8=Nutrients!$B$77,Nutrients!$EM$77,Nutrients!$EM$78)))))*AP$8))/2000*1000000</f>
        <v>16.534499999999998</v>
      </c>
      <c r="AR321" s="21">
        <f>(SUMPRODUCT(AR$9:AR$229,Nutrients!$EM$8:$EM$228)+(IF($A$7=Nutrients!$B$8,Nutrients!$EM$8,Nutrients!$EM$9)*AR$7)+(((IF($A$8=Nutrients!$B$79,Nutrients!$EM$79,(IF($A$8=Nutrients!$B$77,Nutrients!$EM$77,Nutrients!$EM$78)))))*AR$8))/2000*1000000</f>
        <v>33.068999999999996</v>
      </c>
      <c r="AS321" s="21">
        <f>(SUMPRODUCT(AS$9:AS$229,Nutrients!$EM$8:$EM$228)+(IF($A$7=Nutrients!$B$8,Nutrients!$EM$8,Nutrients!$EM$9)*AS$7)+(((IF($A$8=Nutrients!$B$79,Nutrients!$EM$79,(IF($A$8=Nutrients!$B$77,Nutrients!$EM$77,Nutrients!$EM$78)))))*AS$8))/2000*1000000</f>
        <v>33.068999999999996</v>
      </c>
      <c r="AT321" s="21">
        <f>(SUMPRODUCT(AT$9:AT$229,Nutrients!$EM$8:$EM$228)+(IF($A$7=Nutrients!$B$8,Nutrients!$EM$8,Nutrients!$EM$9)*AT$7)+(((IF($A$8=Nutrients!$B$79,Nutrients!$EM$79,(IF($A$8=Nutrients!$B$77,Nutrients!$EM$77,Nutrients!$EM$78)))))*AT$8))/2000*1000000</f>
        <v>27.557499999999997</v>
      </c>
      <c r="AU321" s="21">
        <f>(SUMPRODUCT(AU$9:AU$229,Nutrients!$EM$8:$EM$228)+(IF($A$7=Nutrients!$B$8,Nutrients!$EM$8,Nutrients!$EM$9)*AU$7)+(((IF($A$8=Nutrients!$B$79,Nutrients!$EM$79,(IF($A$8=Nutrients!$B$77,Nutrients!$EM$77,Nutrients!$EM$78)))))*AU$8))/2000*1000000</f>
        <v>22.045999999999999</v>
      </c>
      <c r="AV321" s="21">
        <f>(SUMPRODUCT(AV$9:AV$229,Nutrients!$EM$8:$EM$228)+(IF($A$7=Nutrients!$B$8,Nutrients!$EM$8,Nutrients!$EM$9)*AV$7)+(((IF($A$8=Nutrients!$B$79,Nutrients!$EM$79,(IF($A$8=Nutrients!$B$77,Nutrients!$EM$77,Nutrients!$EM$78)))))*AV$8))/2000*1000000</f>
        <v>16.534499999999998</v>
      </c>
      <c r="AW321" s="21">
        <f>(SUMPRODUCT(AW$9:AW$229,Nutrients!$EM$8:$EM$228)+(IF($A$7=Nutrients!$B$8,Nutrients!$EM$8,Nutrients!$EM$9)*AW$7)+(((IF($A$8=Nutrients!$B$79,Nutrients!$EM$79,(IF($A$8=Nutrients!$B$77,Nutrients!$EM$77,Nutrients!$EM$78)))))*AW$8))/2000*1000000</f>
        <v>16.534499999999998</v>
      </c>
    </row>
    <row r="322" spans="1:49" x14ac:dyDescent="0.25">
      <c r="A322" s="34" t="s">
        <v>115</v>
      </c>
      <c r="B322" s="21">
        <f>(SUMPRODUCT(B$9:B$229,Nutrients!$EN$8:$EN$228)+(IF($A$7=Nutrients!$B$8,Nutrients!$EN$8,Nutrients!$EN$9)*B$7)+(((IF($A$8=Nutrients!$B$79,Nutrients!$EN$79,(IF($A$8=Nutrients!$B$77,Nutrients!$EN$77,Nutrients!$EN$78)))))*B$8))/2000*1000000</f>
        <v>16.5</v>
      </c>
      <c r="C322" s="21">
        <f>(SUMPRODUCT(C$9:C$229,Nutrients!$EN$8:$EN$228)+(IF($A$7=Nutrients!$B$8,Nutrients!$EN$8,Nutrients!$EN$9)*C$7)+(((IF($A$8=Nutrients!$B$79,Nutrients!$EN$79,(IF($A$8=Nutrients!$B$77,Nutrients!$EN$77,Nutrients!$EN$78)))))*C$8))/2000*1000000</f>
        <v>16.5</v>
      </c>
      <c r="D322" s="21">
        <f>(SUMPRODUCT(D$9:D$229,Nutrients!$EN$8:$EN$228)+(IF($A$7=Nutrients!$B$8,Nutrients!$EN$8,Nutrients!$EN$9)*D$7)+(((IF($A$8=Nutrients!$B$79,Nutrients!$EN$79,(IF($A$8=Nutrients!$B$77,Nutrients!$EN$77,Nutrients!$EN$78)))))*D$8))/2000*1000000</f>
        <v>13.749999999999998</v>
      </c>
      <c r="E322" s="21">
        <f>(SUMPRODUCT(E$9:E$229,Nutrients!$EN$8:$EN$228)+(IF($A$7=Nutrients!$B$8,Nutrients!$EN$8,Nutrients!$EN$9)*E$7)+(((IF($A$8=Nutrients!$B$79,Nutrients!$EN$79,(IF($A$8=Nutrients!$B$77,Nutrients!$EN$77,Nutrients!$EN$78)))))*E$8))/2000*1000000</f>
        <v>11</v>
      </c>
      <c r="F322" s="21">
        <f>(SUMPRODUCT(F$9:F$229,Nutrients!$EN$8:$EN$228)+(IF($A$7=Nutrients!$B$8,Nutrients!$EN$8,Nutrients!$EN$9)*F$7)+(((IF($A$8=Nutrients!$B$79,Nutrients!$EN$79,(IF($A$8=Nutrients!$B$77,Nutrients!$EN$77,Nutrients!$EN$78)))))*F$8))/2000*1000000</f>
        <v>8.25</v>
      </c>
      <c r="G322" s="21">
        <f>(SUMPRODUCT(G$9:G$229,Nutrients!$EN$8:$EN$228)+(IF($A$7=Nutrients!$B$8,Nutrients!$EN$8,Nutrients!$EN$9)*G$7)+(((IF($A$8=Nutrients!$B$79,Nutrients!$EN$79,(IF($A$8=Nutrients!$B$77,Nutrients!$EN$77,Nutrients!$EN$78)))))*G$8))/2000*1000000</f>
        <v>8.25</v>
      </c>
      <c r="H322" s="226"/>
      <c r="I322" s="21">
        <f>(SUMPRODUCT(I$9:I$229,Nutrients!$EN$8:$EN$228)+(IF($A$7=Nutrients!$B$8,Nutrients!$EN$8,Nutrients!$EN$9)*I$7)+(((IF($A$8=Nutrients!$B$79,Nutrients!$EN$79,(IF($A$8=Nutrients!$B$77,Nutrients!$EN$77,Nutrients!$EN$78)))))*I$8))/2000*1000000</f>
        <v>16.5</v>
      </c>
      <c r="J322" s="21">
        <f>(SUMPRODUCT(J$9:J$229,Nutrients!$EN$8:$EN$228)+(IF($A$7=Nutrients!$B$8,Nutrients!$EN$8,Nutrients!$EN$9)*J$7)+(((IF($A$8=Nutrients!$B$79,Nutrients!$EN$79,(IF($A$8=Nutrients!$B$77,Nutrients!$EN$77,Nutrients!$EN$78)))))*J$8))/2000*1000000</f>
        <v>16.5</v>
      </c>
      <c r="K322" s="21">
        <f>(SUMPRODUCT(K$9:K$229,Nutrients!$EN$8:$EN$228)+(IF($A$7=Nutrients!$B$8,Nutrients!$EN$8,Nutrients!$EN$9)*K$7)+(((IF($A$8=Nutrients!$B$79,Nutrients!$EN$79,(IF($A$8=Nutrients!$B$77,Nutrients!$EN$77,Nutrients!$EN$78)))))*K$8))/2000*1000000</f>
        <v>13.749999999999998</v>
      </c>
      <c r="L322" s="21">
        <f>(SUMPRODUCT(L$9:L$229,Nutrients!$EN$8:$EN$228)+(IF($A$7=Nutrients!$B$8,Nutrients!$EN$8,Nutrients!$EN$9)*L$7)+(((IF($A$8=Nutrients!$B$79,Nutrients!$EN$79,(IF($A$8=Nutrients!$B$77,Nutrients!$EN$77,Nutrients!$EN$78)))))*L$8))/2000*1000000</f>
        <v>11</v>
      </c>
      <c r="M322" s="21">
        <f>(SUMPRODUCT(M$9:M$229,Nutrients!$EN$8:$EN$228)+(IF($A$7=Nutrients!$B$8,Nutrients!$EN$8,Nutrients!$EN$9)*M$7)+(((IF($A$8=Nutrients!$B$79,Nutrients!$EN$79,(IF($A$8=Nutrients!$B$77,Nutrients!$EN$77,Nutrients!$EN$78)))))*M$8))/2000*1000000</f>
        <v>8.25</v>
      </c>
      <c r="N322" s="21">
        <f>(SUMPRODUCT(N$9:N$229,Nutrients!$EN$8:$EN$228)+(IF($A$7=Nutrients!$B$8,Nutrients!$EN$8,Nutrients!$EN$9)*N$7)+(((IF($A$8=Nutrients!$B$79,Nutrients!$EN$79,(IF($A$8=Nutrients!$B$77,Nutrients!$EN$77,Nutrients!$EN$78)))))*N$8))/2000*1000000</f>
        <v>8.25</v>
      </c>
      <c r="O322" s="234"/>
      <c r="P322" s="21">
        <f>(SUMPRODUCT(P$9:P$229,Nutrients!$EN$8:$EN$228)+(IF($A$7=Nutrients!$B$8,Nutrients!$EN$8,Nutrients!$EN$9)*P$7)+(((IF($A$8=Nutrients!$B$79,Nutrients!$EN$79,(IF($A$8=Nutrients!$B$77,Nutrients!$EN$77,Nutrients!$EN$78)))))*P$8))/2000*1000000</f>
        <v>16.5</v>
      </c>
      <c r="Q322" s="21">
        <f>(SUMPRODUCT(Q$9:Q$229,Nutrients!$EN$8:$EN$228)+(IF($A$7=Nutrients!$B$8,Nutrients!$EN$8,Nutrients!$EN$9)*Q$7)+(((IF($A$8=Nutrients!$B$79,Nutrients!$EN$79,(IF($A$8=Nutrients!$B$77,Nutrients!$EN$77,Nutrients!$EN$78)))))*Q$8))/2000*1000000</f>
        <v>16.5</v>
      </c>
      <c r="R322" s="21">
        <f>(SUMPRODUCT(R$9:R$229,Nutrients!$EN$8:$EN$228)+(IF($A$7=Nutrients!$B$8,Nutrients!$EN$8,Nutrients!$EN$9)*R$7)+(((IF($A$8=Nutrients!$B$79,Nutrients!$EN$79,(IF($A$8=Nutrients!$B$77,Nutrients!$EN$77,Nutrients!$EN$78)))))*R$8))/2000*1000000</f>
        <v>13.749999999999998</v>
      </c>
      <c r="S322" s="21">
        <f>(SUMPRODUCT(S$9:S$229,Nutrients!$EN$8:$EN$228)+(IF($A$7=Nutrients!$B$8,Nutrients!$EN$8,Nutrients!$EN$9)*S$7)+(((IF($A$8=Nutrients!$B$79,Nutrients!$EN$79,(IF($A$8=Nutrients!$B$77,Nutrients!$EN$77,Nutrients!$EN$78)))))*S$8))/2000*1000000</f>
        <v>11</v>
      </c>
      <c r="T322" s="21">
        <f>(SUMPRODUCT(T$9:T$229,Nutrients!$EN$8:$EN$228)+(IF($A$7=Nutrients!$B$8,Nutrients!$EN$8,Nutrients!$EN$9)*T$7)+(((IF($A$8=Nutrients!$B$79,Nutrients!$EN$79,(IF($A$8=Nutrients!$B$77,Nutrients!$EN$77,Nutrients!$EN$78)))))*T$8))/2000*1000000</f>
        <v>8.25</v>
      </c>
      <c r="U322" s="21">
        <f>(SUMPRODUCT(U$9:U$229,Nutrients!$EN$8:$EN$228)+(IF($A$7=Nutrients!$B$8,Nutrients!$EN$8,Nutrients!$EN$9)*U$7)+(((IF($A$8=Nutrients!$B$79,Nutrients!$EN$79,(IF($A$8=Nutrients!$B$77,Nutrients!$EN$77,Nutrients!$EN$78)))))*U$8))/2000*1000000</f>
        <v>8.25</v>
      </c>
      <c r="W322" s="21">
        <f>(SUMPRODUCT(W$9:W$229,Nutrients!$EN$8:$EN$228)+(IF($A$7=Nutrients!$B$8,Nutrients!$EN$8,Nutrients!$EN$9)*W$7)+(((IF($A$8=Nutrients!$B$79,Nutrients!$EN$79,(IF($A$8=Nutrients!$B$77,Nutrients!$EN$77,Nutrients!$EN$78)))))*W$8))/2000*1000000</f>
        <v>16.5</v>
      </c>
      <c r="X322" s="21">
        <f>(SUMPRODUCT(X$9:X$229,Nutrients!$EN$8:$EN$228)+(IF($A$7=Nutrients!$B$8,Nutrients!$EN$8,Nutrients!$EN$9)*X$7)+(((IF($A$8=Nutrients!$B$79,Nutrients!$EN$79,(IF($A$8=Nutrients!$B$77,Nutrients!$EN$77,Nutrients!$EN$78)))))*X$8))/2000*1000000</f>
        <v>16.5</v>
      </c>
      <c r="Y322" s="21">
        <f>(SUMPRODUCT(Y$9:Y$229,Nutrients!$EN$8:$EN$228)+(IF($A$7=Nutrients!$B$8,Nutrients!$EN$8,Nutrients!$EN$9)*Y$7)+(((IF($A$8=Nutrients!$B$79,Nutrients!$EN$79,(IF($A$8=Nutrients!$B$77,Nutrients!$EN$77,Nutrients!$EN$78)))))*Y$8))/2000*1000000</f>
        <v>13.749999999999998</v>
      </c>
      <c r="Z322" s="21">
        <f>(SUMPRODUCT(Z$9:Z$229,Nutrients!$EN$8:$EN$228)+(IF($A$7=Nutrients!$B$8,Nutrients!$EN$8,Nutrients!$EN$9)*Z$7)+(((IF($A$8=Nutrients!$B$79,Nutrients!$EN$79,(IF($A$8=Nutrients!$B$77,Nutrients!$EN$77,Nutrients!$EN$78)))))*Z$8))/2000*1000000</f>
        <v>11</v>
      </c>
      <c r="AA322" s="21">
        <f>(SUMPRODUCT(AA$9:AA$229,Nutrients!$EN$8:$EN$228)+(IF($A$7=Nutrients!$B$8,Nutrients!$EN$8,Nutrients!$EN$9)*AA$7)+(((IF($A$8=Nutrients!$B$79,Nutrients!$EN$79,(IF($A$8=Nutrients!$B$77,Nutrients!$EN$77,Nutrients!$EN$78)))))*AA$8))/2000*1000000</f>
        <v>8.25</v>
      </c>
      <c r="AB322" s="21">
        <f>(SUMPRODUCT(AB$9:AB$229,Nutrients!$EN$8:$EN$228)+(IF($A$7=Nutrients!$B$8,Nutrients!$EN$8,Nutrients!$EN$9)*AB$7)+(((IF($A$8=Nutrients!$B$79,Nutrients!$EN$79,(IF($A$8=Nutrients!$B$77,Nutrients!$EN$77,Nutrients!$EN$78)))))*AB$8))/2000*1000000</f>
        <v>8.25</v>
      </c>
      <c r="AD322" s="21">
        <f>(SUMPRODUCT(AD$9:AD$229,Nutrients!$EN$8:$EN$228)+(IF($A$7=Nutrients!$B$8,Nutrients!$EN$8,Nutrients!$EN$9)*AD$7)+(((IF($A$8=Nutrients!$B$79,Nutrients!$EN$79,(IF($A$8=Nutrients!$B$77,Nutrients!$EN$77,Nutrients!$EN$78)))))*AD$8))/2000*1000000</f>
        <v>16.5</v>
      </c>
      <c r="AE322" s="21">
        <f>(SUMPRODUCT(AE$9:AE$229,Nutrients!$EN$8:$EN$228)+(IF($A$7=Nutrients!$B$8,Nutrients!$EN$8,Nutrients!$EN$9)*AE$7)+(((IF($A$8=Nutrients!$B$79,Nutrients!$EN$79,(IF($A$8=Nutrients!$B$77,Nutrients!$EN$77,Nutrients!$EN$78)))))*AE$8))/2000*1000000</f>
        <v>16.5</v>
      </c>
      <c r="AF322" s="21">
        <f>(SUMPRODUCT(AF$9:AF$229,Nutrients!$EN$8:$EN$228)+(IF($A$7=Nutrients!$B$8,Nutrients!$EN$8,Nutrients!$EN$9)*AF$7)+(((IF($A$8=Nutrients!$B$79,Nutrients!$EN$79,(IF($A$8=Nutrients!$B$77,Nutrients!$EN$77,Nutrients!$EN$78)))))*AF$8))/2000*1000000</f>
        <v>13.749999999999998</v>
      </c>
      <c r="AG322" s="21">
        <f>(SUMPRODUCT(AG$9:AG$229,Nutrients!$EN$8:$EN$228)+(IF($A$7=Nutrients!$B$8,Nutrients!$EN$8,Nutrients!$EN$9)*AG$7)+(((IF($A$8=Nutrients!$B$79,Nutrients!$EN$79,(IF($A$8=Nutrients!$B$77,Nutrients!$EN$77,Nutrients!$EN$78)))))*AG$8))/2000*1000000</f>
        <v>11</v>
      </c>
      <c r="AH322" s="21">
        <f>(SUMPRODUCT(AH$9:AH$229,Nutrients!$EN$8:$EN$228)+(IF($A$7=Nutrients!$B$8,Nutrients!$EN$8,Nutrients!$EN$9)*AH$7)+(((IF($A$8=Nutrients!$B$79,Nutrients!$EN$79,(IF($A$8=Nutrients!$B$77,Nutrients!$EN$77,Nutrients!$EN$78)))))*AH$8))/2000*1000000</f>
        <v>8.25</v>
      </c>
      <c r="AI322" s="21">
        <f>(SUMPRODUCT(AI$9:AI$229,Nutrients!$EN$8:$EN$228)+(IF($A$7=Nutrients!$B$8,Nutrients!$EN$8,Nutrients!$EN$9)*AI$7)+(((IF($A$8=Nutrients!$B$79,Nutrients!$EN$79,(IF($A$8=Nutrients!$B$77,Nutrients!$EN$77,Nutrients!$EN$78)))))*AI$8))/2000*1000000</f>
        <v>8.25</v>
      </c>
      <c r="AK322" s="21">
        <f>(SUMPRODUCT(AK$9:AK$229,Nutrients!$EN$8:$EN$228)+(IF($A$7=Nutrients!$B$8,Nutrients!$EN$8,Nutrients!$EN$9)*AK$7)+(((IF($A$8=Nutrients!$B$79,Nutrients!$EN$79,(IF($A$8=Nutrients!$B$77,Nutrients!$EN$77,Nutrients!$EN$78)))))*AK$8))/2000*1000000</f>
        <v>16.5</v>
      </c>
      <c r="AL322" s="21">
        <f>(SUMPRODUCT(AL$9:AL$229,Nutrients!$EN$8:$EN$228)+(IF($A$7=Nutrients!$B$8,Nutrients!$EN$8,Nutrients!$EN$9)*AL$7)+(((IF($A$8=Nutrients!$B$79,Nutrients!$EN$79,(IF($A$8=Nutrients!$B$77,Nutrients!$EN$77,Nutrients!$EN$78)))))*AL$8))/2000*1000000</f>
        <v>16.5</v>
      </c>
      <c r="AM322" s="21">
        <f>(SUMPRODUCT(AM$9:AM$229,Nutrients!$EN$8:$EN$228)+(IF($A$7=Nutrients!$B$8,Nutrients!$EN$8,Nutrients!$EN$9)*AM$7)+(((IF($A$8=Nutrients!$B$79,Nutrients!$EN$79,(IF($A$8=Nutrients!$B$77,Nutrients!$EN$77,Nutrients!$EN$78)))))*AM$8))/2000*1000000</f>
        <v>13.749999999999998</v>
      </c>
      <c r="AN322" s="21">
        <f>(SUMPRODUCT(AN$9:AN$229,Nutrients!$EN$8:$EN$228)+(IF($A$7=Nutrients!$B$8,Nutrients!$EN$8,Nutrients!$EN$9)*AN$7)+(((IF($A$8=Nutrients!$B$79,Nutrients!$EN$79,(IF($A$8=Nutrients!$B$77,Nutrients!$EN$77,Nutrients!$EN$78)))))*AN$8))/2000*1000000</f>
        <v>11</v>
      </c>
      <c r="AO322" s="21">
        <f>(SUMPRODUCT(AO$9:AO$229,Nutrients!$EN$8:$EN$228)+(IF($A$7=Nutrients!$B$8,Nutrients!$EN$8,Nutrients!$EN$9)*AO$7)+(((IF($A$8=Nutrients!$B$79,Nutrients!$EN$79,(IF($A$8=Nutrients!$B$77,Nutrients!$EN$77,Nutrients!$EN$78)))))*AO$8))/2000*1000000</f>
        <v>8.25</v>
      </c>
      <c r="AP322" s="21">
        <f>(SUMPRODUCT(AP$9:AP$229,Nutrients!$EN$8:$EN$228)+(IF($A$7=Nutrients!$B$8,Nutrients!$EN$8,Nutrients!$EN$9)*AP$7)+(((IF($A$8=Nutrients!$B$79,Nutrients!$EN$79,(IF($A$8=Nutrients!$B$77,Nutrients!$EN$77,Nutrients!$EN$78)))))*AP$8))/2000*1000000</f>
        <v>8.25</v>
      </c>
      <c r="AR322" s="21">
        <f>(SUMPRODUCT(AR$9:AR$229,Nutrients!$EN$8:$EN$228)+(IF($A$7=Nutrients!$B$8,Nutrients!$EN$8,Nutrients!$EN$9)*AR$7)+(((IF($A$8=Nutrients!$B$79,Nutrients!$EN$79,(IF($A$8=Nutrients!$B$77,Nutrients!$EN$77,Nutrients!$EN$78)))))*AR$8))/2000*1000000</f>
        <v>16.5</v>
      </c>
      <c r="AS322" s="21">
        <f>(SUMPRODUCT(AS$9:AS$229,Nutrients!$EN$8:$EN$228)+(IF($A$7=Nutrients!$B$8,Nutrients!$EN$8,Nutrients!$EN$9)*AS$7)+(((IF($A$8=Nutrients!$B$79,Nutrients!$EN$79,(IF($A$8=Nutrients!$B$77,Nutrients!$EN$77,Nutrients!$EN$78)))))*AS$8))/2000*1000000</f>
        <v>16.5</v>
      </c>
      <c r="AT322" s="21">
        <f>(SUMPRODUCT(AT$9:AT$229,Nutrients!$EN$8:$EN$228)+(IF($A$7=Nutrients!$B$8,Nutrients!$EN$8,Nutrients!$EN$9)*AT$7)+(((IF($A$8=Nutrients!$B$79,Nutrients!$EN$79,(IF($A$8=Nutrients!$B$77,Nutrients!$EN$77,Nutrients!$EN$78)))))*AT$8))/2000*1000000</f>
        <v>13.749999999999998</v>
      </c>
      <c r="AU322" s="21">
        <f>(SUMPRODUCT(AU$9:AU$229,Nutrients!$EN$8:$EN$228)+(IF($A$7=Nutrients!$B$8,Nutrients!$EN$8,Nutrients!$EN$9)*AU$7)+(((IF($A$8=Nutrients!$B$79,Nutrients!$EN$79,(IF($A$8=Nutrients!$B$77,Nutrients!$EN$77,Nutrients!$EN$78)))))*AU$8))/2000*1000000</f>
        <v>11</v>
      </c>
      <c r="AV322" s="21">
        <f>(SUMPRODUCT(AV$9:AV$229,Nutrients!$EN$8:$EN$228)+(IF($A$7=Nutrients!$B$8,Nutrients!$EN$8,Nutrients!$EN$9)*AV$7)+(((IF($A$8=Nutrients!$B$79,Nutrients!$EN$79,(IF($A$8=Nutrients!$B$77,Nutrients!$EN$77,Nutrients!$EN$78)))))*AV$8))/2000*1000000</f>
        <v>8.25</v>
      </c>
      <c r="AW322" s="21">
        <f>(SUMPRODUCT(AW$9:AW$229,Nutrients!$EN$8:$EN$228)+(IF($A$7=Nutrients!$B$8,Nutrients!$EN$8,Nutrients!$EN$9)*AW$7)+(((IF($A$8=Nutrients!$B$79,Nutrients!$EN$79,(IF($A$8=Nutrients!$B$77,Nutrients!$EN$77,Nutrients!$EN$78)))))*AW$8))/2000*1000000</f>
        <v>8.25</v>
      </c>
    </row>
    <row r="323" spans="1:49" x14ac:dyDescent="0.25">
      <c r="A323" s="34" t="s">
        <v>116</v>
      </c>
      <c r="B323" s="23">
        <f>(SUMPRODUCT(B$9:B$229,Nutrients!$EO$8:$EO$228)+(IF($A$7=Nutrients!$B$8,Nutrients!$EO$8,Nutrients!$EO$9)*B$7)+(((IF($A$8=Nutrients!$B$79,Nutrients!$EO$79,(IF($A$8=Nutrients!$B$77,Nutrients!$EO$77,Nutrients!$EO$78)))))*B$8))/2000*1000000</f>
        <v>0.29699999999999999</v>
      </c>
      <c r="C323" s="23">
        <f>(SUMPRODUCT(C$9:C$229,Nutrients!$EO$8:$EO$228)+(IF($A$7=Nutrients!$B$8,Nutrients!$EO$8,Nutrients!$EO$9)*C$7)+(((IF($A$8=Nutrients!$B$79,Nutrients!$EO$79,(IF($A$8=Nutrients!$B$77,Nutrients!$EO$77,Nutrients!$EO$78)))))*C$8))/2000*1000000</f>
        <v>0.29699999999999999</v>
      </c>
      <c r="D323" s="23">
        <f>(SUMPRODUCT(D$9:D$229,Nutrients!$EO$8:$EO$228)+(IF($A$7=Nutrients!$B$8,Nutrients!$EO$8,Nutrients!$EO$9)*D$7)+(((IF($A$8=Nutrients!$B$79,Nutrients!$EO$79,(IF($A$8=Nutrients!$B$77,Nutrients!$EO$77,Nutrients!$EO$78)))))*D$8))/2000*1000000</f>
        <v>0.24750000000000003</v>
      </c>
      <c r="E323" s="23">
        <f>(SUMPRODUCT(E$9:E$229,Nutrients!$EO$8:$EO$228)+(IF($A$7=Nutrients!$B$8,Nutrients!$EO$8,Nutrients!$EO$9)*E$7)+(((IF($A$8=Nutrients!$B$79,Nutrients!$EO$79,(IF($A$8=Nutrients!$B$77,Nutrients!$EO$77,Nutrients!$EO$78)))))*E$8))/2000*1000000</f>
        <v>0.19800000000000001</v>
      </c>
      <c r="F323" s="23">
        <f>(SUMPRODUCT(F$9:F$229,Nutrients!$EO$8:$EO$228)+(IF($A$7=Nutrients!$B$8,Nutrients!$EO$8,Nutrients!$EO$9)*F$7)+(((IF($A$8=Nutrients!$B$79,Nutrients!$EO$79,(IF($A$8=Nutrients!$B$77,Nutrients!$EO$77,Nutrients!$EO$78)))))*F$8))/2000*1000000</f>
        <v>0.14849999999999999</v>
      </c>
      <c r="G323" s="23">
        <f>(SUMPRODUCT(G$9:G$229,Nutrients!$EO$8:$EO$228)+(IF($A$7=Nutrients!$B$8,Nutrients!$EO$8,Nutrients!$EO$9)*G$7)+(((IF($A$8=Nutrients!$B$79,Nutrients!$EO$79,(IF($A$8=Nutrients!$B$77,Nutrients!$EO$77,Nutrients!$EO$78)))))*G$8))/2000*1000000</f>
        <v>0.14849999999999999</v>
      </c>
      <c r="H323" s="227"/>
      <c r="I323" s="23">
        <f>(SUMPRODUCT(I$9:I$229,Nutrients!$EO$8:$EO$228)+(IF($A$7=Nutrients!$B$8,Nutrients!$EO$8,Nutrients!$EO$9)*I$7)+(((IF($A$8=Nutrients!$B$79,Nutrients!$EO$79,(IF($A$8=Nutrients!$B$77,Nutrients!$EO$77,Nutrients!$EO$78)))))*I$8))/2000*1000000</f>
        <v>0.29699999999999999</v>
      </c>
      <c r="J323" s="23">
        <f>(SUMPRODUCT(J$9:J$229,Nutrients!$EO$8:$EO$228)+(IF($A$7=Nutrients!$B$8,Nutrients!$EO$8,Nutrients!$EO$9)*J$7)+(((IF($A$8=Nutrients!$B$79,Nutrients!$EO$79,(IF($A$8=Nutrients!$B$77,Nutrients!$EO$77,Nutrients!$EO$78)))))*J$8))/2000*1000000</f>
        <v>0.29699999999999999</v>
      </c>
      <c r="K323" s="23">
        <f>(SUMPRODUCT(K$9:K$229,Nutrients!$EO$8:$EO$228)+(IF($A$7=Nutrients!$B$8,Nutrients!$EO$8,Nutrients!$EO$9)*K$7)+(((IF($A$8=Nutrients!$B$79,Nutrients!$EO$79,(IF($A$8=Nutrients!$B$77,Nutrients!$EO$77,Nutrients!$EO$78)))))*K$8))/2000*1000000</f>
        <v>0.24750000000000003</v>
      </c>
      <c r="L323" s="23">
        <f>(SUMPRODUCT(L$9:L$229,Nutrients!$EO$8:$EO$228)+(IF($A$7=Nutrients!$B$8,Nutrients!$EO$8,Nutrients!$EO$9)*L$7)+(((IF($A$8=Nutrients!$B$79,Nutrients!$EO$79,(IF($A$8=Nutrients!$B$77,Nutrients!$EO$77,Nutrients!$EO$78)))))*L$8))/2000*1000000</f>
        <v>0.19800000000000001</v>
      </c>
      <c r="M323" s="23">
        <f>(SUMPRODUCT(M$9:M$229,Nutrients!$EO$8:$EO$228)+(IF($A$7=Nutrients!$B$8,Nutrients!$EO$8,Nutrients!$EO$9)*M$7)+(((IF($A$8=Nutrients!$B$79,Nutrients!$EO$79,(IF($A$8=Nutrients!$B$77,Nutrients!$EO$77,Nutrients!$EO$78)))))*M$8))/2000*1000000</f>
        <v>0.14849999999999999</v>
      </c>
      <c r="N323" s="23">
        <f>(SUMPRODUCT(N$9:N$229,Nutrients!$EO$8:$EO$228)+(IF($A$7=Nutrients!$B$8,Nutrients!$EO$8,Nutrients!$EO$9)*N$7)+(((IF($A$8=Nutrients!$B$79,Nutrients!$EO$79,(IF($A$8=Nutrients!$B$77,Nutrients!$EO$77,Nutrients!$EO$78)))))*N$8))/2000*1000000</f>
        <v>0.14849999999999999</v>
      </c>
      <c r="O323" s="198"/>
      <c r="P323" s="23">
        <f>(SUMPRODUCT(P$9:P$229,Nutrients!$EO$8:$EO$228)+(IF($A$7=Nutrients!$B$8,Nutrients!$EO$8,Nutrients!$EO$9)*P$7)+(((IF($A$8=Nutrients!$B$79,Nutrients!$EO$79,(IF($A$8=Nutrients!$B$77,Nutrients!$EO$77,Nutrients!$EO$78)))))*P$8))/2000*1000000</f>
        <v>0.29699999999999999</v>
      </c>
      <c r="Q323" s="23">
        <f>(SUMPRODUCT(Q$9:Q$229,Nutrients!$EO$8:$EO$228)+(IF($A$7=Nutrients!$B$8,Nutrients!$EO$8,Nutrients!$EO$9)*Q$7)+(((IF($A$8=Nutrients!$B$79,Nutrients!$EO$79,(IF($A$8=Nutrients!$B$77,Nutrients!$EO$77,Nutrients!$EO$78)))))*Q$8))/2000*1000000</f>
        <v>0.29699999999999999</v>
      </c>
      <c r="R323" s="23">
        <f>(SUMPRODUCT(R$9:R$229,Nutrients!$EO$8:$EO$228)+(IF($A$7=Nutrients!$B$8,Nutrients!$EO$8,Nutrients!$EO$9)*R$7)+(((IF($A$8=Nutrients!$B$79,Nutrients!$EO$79,(IF($A$8=Nutrients!$B$77,Nutrients!$EO$77,Nutrients!$EO$78)))))*R$8))/2000*1000000</f>
        <v>0.24750000000000003</v>
      </c>
      <c r="S323" s="23">
        <f>(SUMPRODUCT(S$9:S$229,Nutrients!$EO$8:$EO$228)+(IF($A$7=Nutrients!$B$8,Nutrients!$EO$8,Nutrients!$EO$9)*S$7)+(((IF($A$8=Nutrients!$B$79,Nutrients!$EO$79,(IF($A$8=Nutrients!$B$77,Nutrients!$EO$77,Nutrients!$EO$78)))))*S$8))/2000*1000000</f>
        <v>0.19800000000000001</v>
      </c>
      <c r="T323" s="23">
        <f>(SUMPRODUCT(T$9:T$229,Nutrients!$EO$8:$EO$228)+(IF($A$7=Nutrients!$B$8,Nutrients!$EO$8,Nutrients!$EO$9)*T$7)+(((IF($A$8=Nutrients!$B$79,Nutrients!$EO$79,(IF($A$8=Nutrients!$B$77,Nutrients!$EO$77,Nutrients!$EO$78)))))*T$8))/2000*1000000</f>
        <v>0.14849999999999999</v>
      </c>
      <c r="U323" s="23">
        <f>(SUMPRODUCT(U$9:U$229,Nutrients!$EO$8:$EO$228)+(IF($A$7=Nutrients!$B$8,Nutrients!$EO$8,Nutrients!$EO$9)*U$7)+(((IF($A$8=Nutrients!$B$79,Nutrients!$EO$79,(IF($A$8=Nutrients!$B$77,Nutrients!$EO$77,Nutrients!$EO$78)))))*U$8))/2000*1000000</f>
        <v>0.14849999999999999</v>
      </c>
      <c r="W323" s="23">
        <f>(SUMPRODUCT(W$9:W$229,Nutrients!$EO$8:$EO$228)+(IF($A$7=Nutrients!$B$8,Nutrients!$EO$8,Nutrients!$EO$9)*W$7)+(((IF($A$8=Nutrients!$B$79,Nutrients!$EO$79,(IF($A$8=Nutrients!$B$77,Nutrients!$EO$77,Nutrients!$EO$78)))))*W$8))/2000*1000000</f>
        <v>0.29699999999999999</v>
      </c>
      <c r="X323" s="23">
        <f>(SUMPRODUCT(X$9:X$229,Nutrients!$EO$8:$EO$228)+(IF($A$7=Nutrients!$B$8,Nutrients!$EO$8,Nutrients!$EO$9)*X$7)+(((IF($A$8=Nutrients!$B$79,Nutrients!$EO$79,(IF($A$8=Nutrients!$B$77,Nutrients!$EO$77,Nutrients!$EO$78)))))*X$8))/2000*1000000</f>
        <v>0.29699999999999999</v>
      </c>
      <c r="Y323" s="23">
        <f>(SUMPRODUCT(Y$9:Y$229,Nutrients!$EO$8:$EO$228)+(IF($A$7=Nutrients!$B$8,Nutrients!$EO$8,Nutrients!$EO$9)*Y$7)+(((IF($A$8=Nutrients!$B$79,Nutrients!$EO$79,(IF($A$8=Nutrients!$B$77,Nutrients!$EO$77,Nutrients!$EO$78)))))*Y$8))/2000*1000000</f>
        <v>0.24750000000000003</v>
      </c>
      <c r="Z323" s="23">
        <f>(SUMPRODUCT(Z$9:Z$229,Nutrients!$EO$8:$EO$228)+(IF($A$7=Nutrients!$B$8,Nutrients!$EO$8,Nutrients!$EO$9)*Z$7)+(((IF($A$8=Nutrients!$B$79,Nutrients!$EO$79,(IF($A$8=Nutrients!$B$77,Nutrients!$EO$77,Nutrients!$EO$78)))))*Z$8))/2000*1000000</f>
        <v>0.19800000000000001</v>
      </c>
      <c r="AA323" s="23">
        <f>(SUMPRODUCT(AA$9:AA$229,Nutrients!$EO$8:$EO$228)+(IF($A$7=Nutrients!$B$8,Nutrients!$EO$8,Nutrients!$EO$9)*AA$7)+(((IF($A$8=Nutrients!$B$79,Nutrients!$EO$79,(IF($A$8=Nutrients!$B$77,Nutrients!$EO$77,Nutrients!$EO$78)))))*AA$8))/2000*1000000</f>
        <v>0.14849999999999999</v>
      </c>
      <c r="AB323" s="23">
        <f>(SUMPRODUCT(AB$9:AB$229,Nutrients!$EO$8:$EO$228)+(IF($A$7=Nutrients!$B$8,Nutrients!$EO$8,Nutrients!$EO$9)*AB$7)+(((IF($A$8=Nutrients!$B$79,Nutrients!$EO$79,(IF($A$8=Nutrients!$B$77,Nutrients!$EO$77,Nutrients!$EO$78)))))*AB$8))/2000*1000000</f>
        <v>0.14849999999999999</v>
      </c>
      <c r="AD323" s="23">
        <f>(SUMPRODUCT(AD$9:AD$229,Nutrients!$EO$8:$EO$228)+(IF($A$7=Nutrients!$B$8,Nutrients!$EO$8,Nutrients!$EO$9)*AD$7)+(((IF($A$8=Nutrients!$B$79,Nutrients!$EO$79,(IF($A$8=Nutrients!$B$77,Nutrients!$EO$77,Nutrients!$EO$78)))))*AD$8))/2000*1000000</f>
        <v>0.29699999999999999</v>
      </c>
      <c r="AE323" s="23">
        <f>(SUMPRODUCT(AE$9:AE$229,Nutrients!$EO$8:$EO$228)+(IF($A$7=Nutrients!$B$8,Nutrients!$EO$8,Nutrients!$EO$9)*AE$7)+(((IF($A$8=Nutrients!$B$79,Nutrients!$EO$79,(IF($A$8=Nutrients!$B$77,Nutrients!$EO$77,Nutrients!$EO$78)))))*AE$8))/2000*1000000</f>
        <v>0.29699999999999999</v>
      </c>
      <c r="AF323" s="23">
        <f>(SUMPRODUCT(AF$9:AF$229,Nutrients!$EO$8:$EO$228)+(IF($A$7=Nutrients!$B$8,Nutrients!$EO$8,Nutrients!$EO$9)*AF$7)+(((IF($A$8=Nutrients!$B$79,Nutrients!$EO$79,(IF($A$8=Nutrients!$B$77,Nutrients!$EO$77,Nutrients!$EO$78)))))*AF$8))/2000*1000000</f>
        <v>0.24750000000000003</v>
      </c>
      <c r="AG323" s="23">
        <f>(SUMPRODUCT(AG$9:AG$229,Nutrients!$EO$8:$EO$228)+(IF($A$7=Nutrients!$B$8,Nutrients!$EO$8,Nutrients!$EO$9)*AG$7)+(((IF($A$8=Nutrients!$B$79,Nutrients!$EO$79,(IF($A$8=Nutrients!$B$77,Nutrients!$EO$77,Nutrients!$EO$78)))))*AG$8))/2000*1000000</f>
        <v>0.19800000000000001</v>
      </c>
      <c r="AH323" s="23">
        <f>(SUMPRODUCT(AH$9:AH$229,Nutrients!$EO$8:$EO$228)+(IF($A$7=Nutrients!$B$8,Nutrients!$EO$8,Nutrients!$EO$9)*AH$7)+(((IF($A$8=Nutrients!$B$79,Nutrients!$EO$79,(IF($A$8=Nutrients!$B$77,Nutrients!$EO$77,Nutrients!$EO$78)))))*AH$8))/2000*1000000</f>
        <v>0.14849999999999999</v>
      </c>
      <c r="AI323" s="23">
        <f>(SUMPRODUCT(AI$9:AI$229,Nutrients!$EO$8:$EO$228)+(IF($A$7=Nutrients!$B$8,Nutrients!$EO$8,Nutrients!$EO$9)*AI$7)+(((IF($A$8=Nutrients!$B$79,Nutrients!$EO$79,(IF($A$8=Nutrients!$B$77,Nutrients!$EO$77,Nutrients!$EO$78)))))*AI$8))/2000*1000000</f>
        <v>0.14849999999999999</v>
      </c>
      <c r="AK323" s="23">
        <f>(SUMPRODUCT(AK$9:AK$229,Nutrients!$EO$8:$EO$228)+(IF($A$7=Nutrients!$B$8,Nutrients!$EO$8,Nutrients!$EO$9)*AK$7)+(((IF($A$8=Nutrients!$B$79,Nutrients!$EO$79,(IF($A$8=Nutrients!$B$77,Nutrients!$EO$77,Nutrients!$EO$78)))))*AK$8))/2000*1000000</f>
        <v>0.29699999999999999</v>
      </c>
      <c r="AL323" s="23">
        <f>(SUMPRODUCT(AL$9:AL$229,Nutrients!$EO$8:$EO$228)+(IF($A$7=Nutrients!$B$8,Nutrients!$EO$8,Nutrients!$EO$9)*AL$7)+(((IF($A$8=Nutrients!$B$79,Nutrients!$EO$79,(IF($A$8=Nutrients!$B$77,Nutrients!$EO$77,Nutrients!$EO$78)))))*AL$8))/2000*1000000</f>
        <v>0.29699999999999999</v>
      </c>
      <c r="AM323" s="23">
        <f>(SUMPRODUCT(AM$9:AM$229,Nutrients!$EO$8:$EO$228)+(IF($A$7=Nutrients!$B$8,Nutrients!$EO$8,Nutrients!$EO$9)*AM$7)+(((IF($A$8=Nutrients!$B$79,Nutrients!$EO$79,(IF($A$8=Nutrients!$B$77,Nutrients!$EO$77,Nutrients!$EO$78)))))*AM$8))/2000*1000000</f>
        <v>0.24750000000000003</v>
      </c>
      <c r="AN323" s="23">
        <f>(SUMPRODUCT(AN$9:AN$229,Nutrients!$EO$8:$EO$228)+(IF($A$7=Nutrients!$B$8,Nutrients!$EO$8,Nutrients!$EO$9)*AN$7)+(((IF($A$8=Nutrients!$B$79,Nutrients!$EO$79,(IF($A$8=Nutrients!$B$77,Nutrients!$EO$77,Nutrients!$EO$78)))))*AN$8))/2000*1000000</f>
        <v>0.19800000000000001</v>
      </c>
      <c r="AO323" s="23">
        <f>(SUMPRODUCT(AO$9:AO$229,Nutrients!$EO$8:$EO$228)+(IF($A$7=Nutrients!$B$8,Nutrients!$EO$8,Nutrients!$EO$9)*AO$7)+(((IF($A$8=Nutrients!$B$79,Nutrients!$EO$79,(IF($A$8=Nutrients!$B$77,Nutrients!$EO$77,Nutrients!$EO$78)))))*AO$8))/2000*1000000</f>
        <v>0.14849999999999999</v>
      </c>
      <c r="AP323" s="23">
        <f>(SUMPRODUCT(AP$9:AP$229,Nutrients!$EO$8:$EO$228)+(IF($A$7=Nutrients!$B$8,Nutrients!$EO$8,Nutrients!$EO$9)*AP$7)+(((IF($A$8=Nutrients!$B$79,Nutrients!$EO$79,(IF($A$8=Nutrients!$B$77,Nutrients!$EO$77,Nutrients!$EO$78)))))*AP$8))/2000*1000000</f>
        <v>0.14849999999999999</v>
      </c>
      <c r="AR323" s="23">
        <f>(SUMPRODUCT(AR$9:AR$229,Nutrients!$EO$8:$EO$228)+(IF($A$7=Nutrients!$B$8,Nutrients!$EO$8,Nutrients!$EO$9)*AR$7)+(((IF($A$8=Nutrients!$B$79,Nutrients!$EO$79,(IF($A$8=Nutrients!$B$77,Nutrients!$EO$77,Nutrients!$EO$78)))))*AR$8))/2000*1000000</f>
        <v>0.29699999999999999</v>
      </c>
      <c r="AS323" s="23">
        <f>(SUMPRODUCT(AS$9:AS$229,Nutrients!$EO$8:$EO$228)+(IF($A$7=Nutrients!$B$8,Nutrients!$EO$8,Nutrients!$EO$9)*AS$7)+(((IF($A$8=Nutrients!$B$79,Nutrients!$EO$79,(IF($A$8=Nutrients!$B$77,Nutrients!$EO$77,Nutrients!$EO$78)))))*AS$8))/2000*1000000</f>
        <v>0.29699999999999999</v>
      </c>
      <c r="AT323" s="23">
        <f>(SUMPRODUCT(AT$9:AT$229,Nutrients!$EO$8:$EO$228)+(IF($A$7=Nutrients!$B$8,Nutrients!$EO$8,Nutrients!$EO$9)*AT$7)+(((IF($A$8=Nutrients!$B$79,Nutrients!$EO$79,(IF($A$8=Nutrients!$B$77,Nutrients!$EO$77,Nutrients!$EO$78)))))*AT$8))/2000*1000000</f>
        <v>0.24750000000000003</v>
      </c>
      <c r="AU323" s="23">
        <f>(SUMPRODUCT(AU$9:AU$229,Nutrients!$EO$8:$EO$228)+(IF($A$7=Nutrients!$B$8,Nutrients!$EO$8,Nutrients!$EO$9)*AU$7)+(((IF($A$8=Nutrients!$B$79,Nutrients!$EO$79,(IF($A$8=Nutrients!$B$77,Nutrients!$EO$77,Nutrients!$EO$78)))))*AU$8))/2000*1000000</f>
        <v>0.19800000000000001</v>
      </c>
      <c r="AV323" s="23">
        <f>(SUMPRODUCT(AV$9:AV$229,Nutrients!$EO$8:$EO$228)+(IF($A$7=Nutrients!$B$8,Nutrients!$EO$8,Nutrients!$EO$9)*AV$7)+(((IF($A$8=Nutrients!$B$79,Nutrients!$EO$79,(IF($A$8=Nutrients!$B$77,Nutrients!$EO$77,Nutrients!$EO$78)))))*AV$8))/2000*1000000</f>
        <v>0.14849999999999999</v>
      </c>
      <c r="AW323" s="23">
        <f>(SUMPRODUCT(AW$9:AW$229,Nutrients!$EO$8:$EO$228)+(IF($A$7=Nutrients!$B$8,Nutrients!$EO$8,Nutrients!$EO$9)*AW$7)+(((IF($A$8=Nutrients!$B$79,Nutrients!$EO$79,(IF($A$8=Nutrients!$B$77,Nutrients!$EO$77,Nutrients!$EO$78)))))*AW$8))/2000*1000000</f>
        <v>0.14849999999999999</v>
      </c>
    </row>
    <row r="324" spans="1:49" x14ac:dyDescent="0.25">
      <c r="A324" s="34" t="s">
        <v>117</v>
      </c>
      <c r="B324" s="23">
        <f>(SUMPRODUCT(B$9:B$229,Nutrients!$EP$8:$EP$228)+(IF($A$7=Nutrients!$B$8,Nutrients!$EP$8,Nutrients!$EP$9)*B$7)+(((IF($A$8=Nutrients!$B$79,Nutrients!$EP$79,(IF($A$8=Nutrients!$B$77,Nutrients!$EP$77,Nutrients!$EP$78)))))*B$8))/2000*1000000</f>
        <v>0.29699999999999999</v>
      </c>
      <c r="C324" s="23">
        <f>(SUMPRODUCT(C$9:C$229,Nutrients!$EP$8:$EP$228)+(IF($A$7=Nutrients!$B$8,Nutrients!$EP$8,Nutrients!$EP$9)*C$7)+(((IF($A$8=Nutrients!$B$79,Nutrients!$EP$79,(IF($A$8=Nutrients!$B$77,Nutrients!$EP$77,Nutrients!$EP$78)))))*C$8))/2000*1000000</f>
        <v>0.29699999999999999</v>
      </c>
      <c r="D324" s="23">
        <f>(SUMPRODUCT(D$9:D$229,Nutrients!$EP$8:$EP$228)+(IF($A$7=Nutrients!$B$8,Nutrients!$EP$8,Nutrients!$EP$9)*D$7)+(((IF($A$8=Nutrients!$B$79,Nutrients!$EP$79,(IF($A$8=Nutrients!$B$77,Nutrients!$EP$77,Nutrients!$EP$78)))))*D$8))/2000*1000000</f>
        <v>0.24750000000000003</v>
      </c>
      <c r="E324" s="23">
        <f>(SUMPRODUCT(E$9:E$229,Nutrients!$EP$8:$EP$228)+(IF($A$7=Nutrients!$B$8,Nutrients!$EP$8,Nutrients!$EP$9)*E$7)+(((IF($A$8=Nutrients!$B$79,Nutrients!$EP$79,(IF($A$8=Nutrients!$B$77,Nutrients!$EP$77,Nutrients!$EP$78)))))*E$8))/2000*1000000</f>
        <v>0.19800000000000001</v>
      </c>
      <c r="F324" s="23">
        <f>(SUMPRODUCT(F$9:F$229,Nutrients!$EP$8:$EP$228)+(IF($A$7=Nutrients!$B$8,Nutrients!$EP$8,Nutrients!$EP$9)*F$7)+(((IF($A$8=Nutrients!$B$79,Nutrients!$EP$79,(IF($A$8=Nutrients!$B$77,Nutrients!$EP$77,Nutrients!$EP$78)))))*F$8))/2000*1000000</f>
        <v>0.14849999999999999</v>
      </c>
      <c r="G324" s="23">
        <f>(SUMPRODUCT(G$9:G$229,Nutrients!$EP$8:$EP$228)+(IF($A$7=Nutrients!$B$8,Nutrients!$EP$8,Nutrients!$EP$9)*G$7)+(((IF($A$8=Nutrients!$B$79,Nutrients!$EP$79,(IF($A$8=Nutrients!$B$77,Nutrients!$EP$77,Nutrients!$EP$78)))))*G$8))/2000*1000000</f>
        <v>0.14849999999999999</v>
      </c>
      <c r="H324" s="227"/>
      <c r="I324" s="23">
        <f>(SUMPRODUCT(I$9:I$229,Nutrients!$EP$8:$EP$228)+(IF($A$7=Nutrients!$B$8,Nutrients!$EP$8,Nutrients!$EP$9)*I$7)+(((IF($A$8=Nutrients!$B$79,Nutrients!$EP$79,(IF($A$8=Nutrients!$B$77,Nutrients!$EP$77,Nutrients!$EP$78)))))*I$8))/2000*1000000</f>
        <v>0.29699999999999999</v>
      </c>
      <c r="J324" s="23">
        <f>(SUMPRODUCT(J$9:J$229,Nutrients!$EP$8:$EP$228)+(IF($A$7=Nutrients!$B$8,Nutrients!$EP$8,Nutrients!$EP$9)*J$7)+(((IF($A$8=Nutrients!$B$79,Nutrients!$EP$79,(IF($A$8=Nutrients!$B$77,Nutrients!$EP$77,Nutrients!$EP$78)))))*J$8))/2000*1000000</f>
        <v>0.29699999999999999</v>
      </c>
      <c r="K324" s="23">
        <f>(SUMPRODUCT(K$9:K$229,Nutrients!$EP$8:$EP$228)+(IF($A$7=Nutrients!$B$8,Nutrients!$EP$8,Nutrients!$EP$9)*K$7)+(((IF($A$8=Nutrients!$B$79,Nutrients!$EP$79,(IF($A$8=Nutrients!$B$77,Nutrients!$EP$77,Nutrients!$EP$78)))))*K$8))/2000*1000000</f>
        <v>0.24750000000000003</v>
      </c>
      <c r="L324" s="23">
        <f>(SUMPRODUCT(L$9:L$229,Nutrients!$EP$8:$EP$228)+(IF($A$7=Nutrients!$B$8,Nutrients!$EP$8,Nutrients!$EP$9)*L$7)+(((IF($A$8=Nutrients!$B$79,Nutrients!$EP$79,(IF($A$8=Nutrients!$B$77,Nutrients!$EP$77,Nutrients!$EP$78)))))*L$8))/2000*1000000</f>
        <v>0.19800000000000001</v>
      </c>
      <c r="M324" s="23">
        <f>(SUMPRODUCT(M$9:M$229,Nutrients!$EP$8:$EP$228)+(IF($A$7=Nutrients!$B$8,Nutrients!$EP$8,Nutrients!$EP$9)*M$7)+(((IF($A$8=Nutrients!$B$79,Nutrients!$EP$79,(IF($A$8=Nutrients!$B$77,Nutrients!$EP$77,Nutrients!$EP$78)))))*M$8))/2000*1000000</f>
        <v>0.14849999999999999</v>
      </c>
      <c r="N324" s="23">
        <f>(SUMPRODUCT(N$9:N$229,Nutrients!$EP$8:$EP$228)+(IF($A$7=Nutrients!$B$8,Nutrients!$EP$8,Nutrients!$EP$9)*N$7)+(((IF($A$8=Nutrients!$B$79,Nutrients!$EP$79,(IF($A$8=Nutrients!$B$77,Nutrients!$EP$77,Nutrients!$EP$78)))))*N$8))/2000*1000000</f>
        <v>0.14849999999999999</v>
      </c>
      <c r="O324" s="198"/>
      <c r="P324" s="23">
        <f>(SUMPRODUCT(P$9:P$229,Nutrients!$EP$8:$EP$228)+(IF($A$7=Nutrients!$B$8,Nutrients!$EP$8,Nutrients!$EP$9)*P$7)+(((IF($A$8=Nutrients!$B$79,Nutrients!$EP$79,(IF($A$8=Nutrients!$B$77,Nutrients!$EP$77,Nutrients!$EP$78)))))*P$8))/2000*1000000</f>
        <v>0.29699999999999999</v>
      </c>
      <c r="Q324" s="23">
        <f>(SUMPRODUCT(Q$9:Q$229,Nutrients!$EP$8:$EP$228)+(IF($A$7=Nutrients!$B$8,Nutrients!$EP$8,Nutrients!$EP$9)*Q$7)+(((IF($A$8=Nutrients!$B$79,Nutrients!$EP$79,(IF($A$8=Nutrients!$B$77,Nutrients!$EP$77,Nutrients!$EP$78)))))*Q$8))/2000*1000000</f>
        <v>0.29699999999999999</v>
      </c>
      <c r="R324" s="23">
        <f>(SUMPRODUCT(R$9:R$229,Nutrients!$EP$8:$EP$228)+(IF($A$7=Nutrients!$B$8,Nutrients!$EP$8,Nutrients!$EP$9)*R$7)+(((IF($A$8=Nutrients!$B$79,Nutrients!$EP$79,(IF($A$8=Nutrients!$B$77,Nutrients!$EP$77,Nutrients!$EP$78)))))*R$8))/2000*1000000</f>
        <v>0.24750000000000003</v>
      </c>
      <c r="S324" s="23">
        <f>(SUMPRODUCT(S$9:S$229,Nutrients!$EP$8:$EP$228)+(IF($A$7=Nutrients!$B$8,Nutrients!$EP$8,Nutrients!$EP$9)*S$7)+(((IF($A$8=Nutrients!$B$79,Nutrients!$EP$79,(IF($A$8=Nutrients!$B$77,Nutrients!$EP$77,Nutrients!$EP$78)))))*S$8))/2000*1000000</f>
        <v>0.19800000000000001</v>
      </c>
      <c r="T324" s="23">
        <f>(SUMPRODUCT(T$9:T$229,Nutrients!$EP$8:$EP$228)+(IF($A$7=Nutrients!$B$8,Nutrients!$EP$8,Nutrients!$EP$9)*T$7)+(((IF($A$8=Nutrients!$B$79,Nutrients!$EP$79,(IF($A$8=Nutrients!$B$77,Nutrients!$EP$77,Nutrients!$EP$78)))))*T$8))/2000*1000000</f>
        <v>0.14849999999999999</v>
      </c>
      <c r="U324" s="23">
        <f>(SUMPRODUCT(U$9:U$229,Nutrients!$EP$8:$EP$228)+(IF($A$7=Nutrients!$B$8,Nutrients!$EP$8,Nutrients!$EP$9)*U$7)+(((IF($A$8=Nutrients!$B$79,Nutrients!$EP$79,(IF($A$8=Nutrients!$B$77,Nutrients!$EP$77,Nutrients!$EP$78)))))*U$8))/2000*1000000</f>
        <v>0.14849999999999999</v>
      </c>
      <c r="W324" s="23">
        <f>(SUMPRODUCT(W$9:W$229,Nutrients!$EP$8:$EP$228)+(IF($A$7=Nutrients!$B$8,Nutrients!$EP$8,Nutrients!$EP$9)*W$7)+(((IF($A$8=Nutrients!$B$79,Nutrients!$EP$79,(IF($A$8=Nutrients!$B$77,Nutrients!$EP$77,Nutrients!$EP$78)))))*W$8))/2000*1000000</f>
        <v>0.29699999999999999</v>
      </c>
      <c r="X324" s="23">
        <f>(SUMPRODUCT(X$9:X$229,Nutrients!$EP$8:$EP$228)+(IF($A$7=Nutrients!$B$8,Nutrients!$EP$8,Nutrients!$EP$9)*X$7)+(((IF($A$8=Nutrients!$B$79,Nutrients!$EP$79,(IF($A$8=Nutrients!$B$77,Nutrients!$EP$77,Nutrients!$EP$78)))))*X$8))/2000*1000000</f>
        <v>0.29699999999999999</v>
      </c>
      <c r="Y324" s="23">
        <f>(SUMPRODUCT(Y$9:Y$229,Nutrients!$EP$8:$EP$228)+(IF($A$7=Nutrients!$B$8,Nutrients!$EP$8,Nutrients!$EP$9)*Y$7)+(((IF($A$8=Nutrients!$B$79,Nutrients!$EP$79,(IF($A$8=Nutrients!$B$77,Nutrients!$EP$77,Nutrients!$EP$78)))))*Y$8))/2000*1000000</f>
        <v>0.24750000000000003</v>
      </c>
      <c r="Z324" s="23">
        <f>(SUMPRODUCT(Z$9:Z$229,Nutrients!$EP$8:$EP$228)+(IF($A$7=Nutrients!$B$8,Nutrients!$EP$8,Nutrients!$EP$9)*Z$7)+(((IF($A$8=Nutrients!$B$79,Nutrients!$EP$79,(IF($A$8=Nutrients!$B$77,Nutrients!$EP$77,Nutrients!$EP$78)))))*Z$8))/2000*1000000</f>
        <v>0.19800000000000001</v>
      </c>
      <c r="AA324" s="23">
        <f>(SUMPRODUCT(AA$9:AA$229,Nutrients!$EP$8:$EP$228)+(IF($A$7=Nutrients!$B$8,Nutrients!$EP$8,Nutrients!$EP$9)*AA$7)+(((IF($A$8=Nutrients!$B$79,Nutrients!$EP$79,(IF($A$8=Nutrients!$B$77,Nutrients!$EP$77,Nutrients!$EP$78)))))*AA$8))/2000*1000000</f>
        <v>0.14849999999999999</v>
      </c>
      <c r="AB324" s="23">
        <f>(SUMPRODUCT(AB$9:AB$229,Nutrients!$EP$8:$EP$228)+(IF($A$7=Nutrients!$B$8,Nutrients!$EP$8,Nutrients!$EP$9)*AB$7)+(((IF($A$8=Nutrients!$B$79,Nutrients!$EP$79,(IF($A$8=Nutrients!$B$77,Nutrients!$EP$77,Nutrients!$EP$78)))))*AB$8))/2000*1000000</f>
        <v>0.14849999999999999</v>
      </c>
      <c r="AD324" s="23">
        <f>(SUMPRODUCT(AD$9:AD$229,Nutrients!$EP$8:$EP$228)+(IF($A$7=Nutrients!$B$8,Nutrients!$EP$8,Nutrients!$EP$9)*AD$7)+(((IF($A$8=Nutrients!$B$79,Nutrients!$EP$79,(IF($A$8=Nutrients!$B$77,Nutrients!$EP$77,Nutrients!$EP$78)))))*AD$8))/2000*1000000</f>
        <v>0.29699999999999999</v>
      </c>
      <c r="AE324" s="23">
        <f>(SUMPRODUCT(AE$9:AE$229,Nutrients!$EP$8:$EP$228)+(IF($A$7=Nutrients!$B$8,Nutrients!$EP$8,Nutrients!$EP$9)*AE$7)+(((IF($A$8=Nutrients!$B$79,Nutrients!$EP$79,(IF($A$8=Nutrients!$B$77,Nutrients!$EP$77,Nutrients!$EP$78)))))*AE$8))/2000*1000000</f>
        <v>0.29699999999999999</v>
      </c>
      <c r="AF324" s="23">
        <f>(SUMPRODUCT(AF$9:AF$229,Nutrients!$EP$8:$EP$228)+(IF($A$7=Nutrients!$B$8,Nutrients!$EP$8,Nutrients!$EP$9)*AF$7)+(((IF($A$8=Nutrients!$B$79,Nutrients!$EP$79,(IF($A$8=Nutrients!$B$77,Nutrients!$EP$77,Nutrients!$EP$78)))))*AF$8))/2000*1000000</f>
        <v>0.24750000000000003</v>
      </c>
      <c r="AG324" s="23">
        <f>(SUMPRODUCT(AG$9:AG$229,Nutrients!$EP$8:$EP$228)+(IF($A$7=Nutrients!$B$8,Nutrients!$EP$8,Nutrients!$EP$9)*AG$7)+(((IF($A$8=Nutrients!$B$79,Nutrients!$EP$79,(IF($A$8=Nutrients!$B$77,Nutrients!$EP$77,Nutrients!$EP$78)))))*AG$8))/2000*1000000</f>
        <v>0.19800000000000001</v>
      </c>
      <c r="AH324" s="23">
        <f>(SUMPRODUCT(AH$9:AH$229,Nutrients!$EP$8:$EP$228)+(IF($A$7=Nutrients!$B$8,Nutrients!$EP$8,Nutrients!$EP$9)*AH$7)+(((IF($A$8=Nutrients!$B$79,Nutrients!$EP$79,(IF($A$8=Nutrients!$B$77,Nutrients!$EP$77,Nutrients!$EP$78)))))*AH$8))/2000*1000000</f>
        <v>0.14849999999999999</v>
      </c>
      <c r="AI324" s="23">
        <f>(SUMPRODUCT(AI$9:AI$229,Nutrients!$EP$8:$EP$228)+(IF($A$7=Nutrients!$B$8,Nutrients!$EP$8,Nutrients!$EP$9)*AI$7)+(((IF($A$8=Nutrients!$B$79,Nutrients!$EP$79,(IF($A$8=Nutrients!$B$77,Nutrients!$EP$77,Nutrients!$EP$78)))))*AI$8))/2000*1000000</f>
        <v>0.14849999999999999</v>
      </c>
      <c r="AK324" s="23">
        <f>(SUMPRODUCT(AK$9:AK$229,Nutrients!$EP$8:$EP$228)+(IF($A$7=Nutrients!$B$8,Nutrients!$EP$8,Nutrients!$EP$9)*AK$7)+(((IF($A$8=Nutrients!$B$79,Nutrients!$EP$79,(IF($A$8=Nutrients!$B$77,Nutrients!$EP$77,Nutrients!$EP$78)))))*AK$8))/2000*1000000</f>
        <v>0.29699999999999999</v>
      </c>
      <c r="AL324" s="23">
        <f>(SUMPRODUCT(AL$9:AL$229,Nutrients!$EP$8:$EP$228)+(IF($A$7=Nutrients!$B$8,Nutrients!$EP$8,Nutrients!$EP$9)*AL$7)+(((IF($A$8=Nutrients!$B$79,Nutrients!$EP$79,(IF($A$8=Nutrients!$B$77,Nutrients!$EP$77,Nutrients!$EP$78)))))*AL$8))/2000*1000000</f>
        <v>0.29699999999999999</v>
      </c>
      <c r="AM324" s="23">
        <f>(SUMPRODUCT(AM$9:AM$229,Nutrients!$EP$8:$EP$228)+(IF($A$7=Nutrients!$B$8,Nutrients!$EP$8,Nutrients!$EP$9)*AM$7)+(((IF($A$8=Nutrients!$B$79,Nutrients!$EP$79,(IF($A$8=Nutrients!$B$77,Nutrients!$EP$77,Nutrients!$EP$78)))))*AM$8))/2000*1000000</f>
        <v>0.24750000000000003</v>
      </c>
      <c r="AN324" s="23">
        <f>(SUMPRODUCT(AN$9:AN$229,Nutrients!$EP$8:$EP$228)+(IF($A$7=Nutrients!$B$8,Nutrients!$EP$8,Nutrients!$EP$9)*AN$7)+(((IF($A$8=Nutrients!$B$79,Nutrients!$EP$79,(IF($A$8=Nutrients!$B$77,Nutrients!$EP$77,Nutrients!$EP$78)))))*AN$8))/2000*1000000</f>
        <v>0.19800000000000001</v>
      </c>
      <c r="AO324" s="23">
        <f>(SUMPRODUCT(AO$9:AO$229,Nutrients!$EP$8:$EP$228)+(IF($A$7=Nutrients!$B$8,Nutrients!$EP$8,Nutrients!$EP$9)*AO$7)+(((IF($A$8=Nutrients!$B$79,Nutrients!$EP$79,(IF($A$8=Nutrients!$B$77,Nutrients!$EP$77,Nutrients!$EP$78)))))*AO$8))/2000*1000000</f>
        <v>0.14849999999999999</v>
      </c>
      <c r="AP324" s="23">
        <f>(SUMPRODUCT(AP$9:AP$229,Nutrients!$EP$8:$EP$228)+(IF($A$7=Nutrients!$B$8,Nutrients!$EP$8,Nutrients!$EP$9)*AP$7)+(((IF($A$8=Nutrients!$B$79,Nutrients!$EP$79,(IF($A$8=Nutrients!$B$77,Nutrients!$EP$77,Nutrients!$EP$78)))))*AP$8))/2000*1000000</f>
        <v>0.14849999999999999</v>
      </c>
      <c r="AR324" s="23">
        <f>(SUMPRODUCT(AR$9:AR$229,Nutrients!$EP$8:$EP$228)+(IF($A$7=Nutrients!$B$8,Nutrients!$EP$8,Nutrients!$EP$9)*AR$7)+(((IF($A$8=Nutrients!$B$79,Nutrients!$EP$79,(IF($A$8=Nutrients!$B$77,Nutrients!$EP$77,Nutrients!$EP$78)))))*AR$8))/2000*1000000</f>
        <v>0.29699999999999999</v>
      </c>
      <c r="AS324" s="23">
        <f>(SUMPRODUCT(AS$9:AS$229,Nutrients!$EP$8:$EP$228)+(IF($A$7=Nutrients!$B$8,Nutrients!$EP$8,Nutrients!$EP$9)*AS$7)+(((IF($A$8=Nutrients!$B$79,Nutrients!$EP$79,(IF($A$8=Nutrients!$B$77,Nutrients!$EP$77,Nutrients!$EP$78)))))*AS$8))/2000*1000000</f>
        <v>0.29699999999999999</v>
      </c>
      <c r="AT324" s="23">
        <f>(SUMPRODUCT(AT$9:AT$229,Nutrients!$EP$8:$EP$228)+(IF($A$7=Nutrients!$B$8,Nutrients!$EP$8,Nutrients!$EP$9)*AT$7)+(((IF($A$8=Nutrients!$B$79,Nutrients!$EP$79,(IF($A$8=Nutrients!$B$77,Nutrients!$EP$77,Nutrients!$EP$78)))))*AT$8))/2000*1000000</f>
        <v>0.24750000000000003</v>
      </c>
      <c r="AU324" s="23">
        <f>(SUMPRODUCT(AU$9:AU$229,Nutrients!$EP$8:$EP$228)+(IF($A$7=Nutrients!$B$8,Nutrients!$EP$8,Nutrients!$EP$9)*AU$7)+(((IF($A$8=Nutrients!$B$79,Nutrients!$EP$79,(IF($A$8=Nutrients!$B$77,Nutrients!$EP$77,Nutrients!$EP$78)))))*AU$8))/2000*1000000</f>
        <v>0.19800000000000001</v>
      </c>
      <c r="AV324" s="23">
        <f>(SUMPRODUCT(AV$9:AV$229,Nutrients!$EP$8:$EP$228)+(IF($A$7=Nutrients!$B$8,Nutrients!$EP$8,Nutrients!$EP$9)*AV$7)+(((IF($A$8=Nutrients!$B$79,Nutrients!$EP$79,(IF($A$8=Nutrients!$B$77,Nutrients!$EP$77,Nutrients!$EP$78)))))*AV$8))/2000*1000000</f>
        <v>0.14849999999999999</v>
      </c>
      <c r="AW324" s="23">
        <f>(SUMPRODUCT(AW$9:AW$229,Nutrients!$EP$8:$EP$228)+(IF($A$7=Nutrients!$B$8,Nutrients!$EP$8,Nutrients!$EP$9)*AW$7)+(((IF($A$8=Nutrients!$B$79,Nutrients!$EP$79,(IF($A$8=Nutrients!$B$77,Nutrients!$EP$77,Nutrients!$EP$78)))))*AW$8))/2000*1000000</f>
        <v>0.14849999999999999</v>
      </c>
    </row>
    <row r="325" spans="1:49" x14ac:dyDescent="0.25">
      <c r="A325" s="34" t="s">
        <v>118</v>
      </c>
      <c r="B325" s="21">
        <f>(SUMPRODUCT(B$9:B$229,Nutrients!$EQ$8:$EQ$228)+(IF($A$7=Nutrients!$B$8,Nutrients!$EQ$8,Nutrients!$EQ$9)*B$7)+(((IF($A$8=Nutrients!$B$79,Nutrients!$EQ$79,(IF($A$8=Nutrients!$B$77,Nutrients!$EQ$77,Nutrients!$EQ$78)))))*B$8))/2000*1000000000</f>
        <v>0</v>
      </c>
      <c r="C325" s="21">
        <f>(SUMPRODUCT(C$9:C$229,Nutrients!$EQ$8:$EQ$228)+(IF($A$7=Nutrients!$B$8,Nutrients!$EQ$8,Nutrients!$EQ$9)*C$7)+(((IF($A$8=Nutrients!$B$79,Nutrients!$EQ$79,(IF($A$8=Nutrients!$B$77,Nutrients!$EQ$77,Nutrients!$EQ$78)))))*C$8))/2000*1000000000</f>
        <v>0</v>
      </c>
      <c r="D325" s="21">
        <f>(SUMPRODUCT(D$9:D$229,Nutrients!$EQ$8:$EQ$228)+(IF($A$7=Nutrients!$B$8,Nutrients!$EQ$8,Nutrients!$EQ$9)*D$7)+(((IF($A$8=Nutrients!$B$79,Nutrients!$EQ$79,(IF($A$8=Nutrients!$B$77,Nutrients!$EQ$77,Nutrients!$EQ$78)))))*D$8))/2000*1000000000</f>
        <v>0</v>
      </c>
      <c r="E325" s="21">
        <f>(SUMPRODUCT(E$9:E$229,Nutrients!$EQ$8:$EQ$228)+(IF($A$7=Nutrients!$B$8,Nutrients!$EQ$8,Nutrients!$EQ$9)*E$7)+(((IF($A$8=Nutrients!$B$79,Nutrients!$EQ$79,(IF($A$8=Nutrients!$B$77,Nutrients!$EQ$77,Nutrients!$EQ$78)))))*E$8))/2000*1000000000</f>
        <v>0</v>
      </c>
      <c r="F325" s="21">
        <f>(SUMPRODUCT(F$9:F$229,Nutrients!$EQ$8:$EQ$228)+(IF($A$7=Nutrients!$B$8,Nutrients!$EQ$8,Nutrients!$EQ$9)*F$7)+(((IF($A$8=Nutrients!$B$79,Nutrients!$EQ$79,(IF($A$8=Nutrients!$B$77,Nutrients!$EQ$77,Nutrients!$EQ$78)))))*F$8))/2000*1000000000</f>
        <v>0</v>
      </c>
      <c r="G325" s="21">
        <f>(SUMPRODUCT(G$9:G$229,Nutrients!$EQ$8:$EQ$228)+(IF($A$7=Nutrients!$B$8,Nutrients!$EQ$8,Nutrients!$EQ$9)*G$7)+(((IF($A$8=Nutrients!$B$79,Nutrients!$EQ$79,(IF($A$8=Nutrients!$B$77,Nutrients!$EQ$77,Nutrients!$EQ$78)))))*G$8))/2000*1000000000</f>
        <v>0</v>
      </c>
      <c r="H325" s="226"/>
      <c r="I325" s="21">
        <f>(SUMPRODUCT(I$9:I$229,Nutrients!$EQ$8:$EQ$228)+(IF($A$7=Nutrients!$B$8,Nutrients!$EQ$8,Nutrients!$EQ$9)*I$7)+(((IF($A$8=Nutrients!$B$79,Nutrients!$EQ$79,(IF($A$8=Nutrients!$B$77,Nutrients!$EQ$77,Nutrients!$EQ$78)))))*I$8))/2000*1000000000</f>
        <v>0</v>
      </c>
      <c r="J325" s="21">
        <f>(SUMPRODUCT(J$9:J$229,Nutrients!$EQ$8:$EQ$228)+(IF($A$7=Nutrients!$B$8,Nutrients!$EQ$8,Nutrients!$EQ$9)*J$7)+(((IF($A$8=Nutrients!$B$79,Nutrients!$EQ$79,(IF($A$8=Nutrients!$B$77,Nutrients!$EQ$77,Nutrients!$EQ$78)))))*J$8))/2000*1000000000</f>
        <v>0</v>
      </c>
      <c r="K325" s="21">
        <f>(SUMPRODUCT(K$9:K$229,Nutrients!$EQ$8:$EQ$228)+(IF($A$7=Nutrients!$B$8,Nutrients!$EQ$8,Nutrients!$EQ$9)*K$7)+(((IF($A$8=Nutrients!$B$79,Nutrients!$EQ$79,(IF($A$8=Nutrients!$B$77,Nutrients!$EQ$77,Nutrients!$EQ$78)))))*K$8))/2000*1000000000</f>
        <v>0</v>
      </c>
      <c r="L325" s="21">
        <f>(SUMPRODUCT(L$9:L$229,Nutrients!$EQ$8:$EQ$228)+(IF($A$7=Nutrients!$B$8,Nutrients!$EQ$8,Nutrients!$EQ$9)*L$7)+(((IF($A$8=Nutrients!$B$79,Nutrients!$EQ$79,(IF($A$8=Nutrients!$B$77,Nutrients!$EQ$77,Nutrients!$EQ$78)))))*L$8))/2000*1000000000</f>
        <v>0</v>
      </c>
      <c r="M325" s="21">
        <f>(SUMPRODUCT(M$9:M$229,Nutrients!$EQ$8:$EQ$228)+(IF($A$7=Nutrients!$B$8,Nutrients!$EQ$8,Nutrients!$EQ$9)*M$7)+(((IF($A$8=Nutrients!$B$79,Nutrients!$EQ$79,(IF($A$8=Nutrients!$B$77,Nutrients!$EQ$77,Nutrients!$EQ$78)))))*M$8))/2000*1000000000</f>
        <v>0</v>
      </c>
      <c r="N325" s="21">
        <f>(SUMPRODUCT(N$9:N$229,Nutrients!$EQ$8:$EQ$228)+(IF($A$7=Nutrients!$B$8,Nutrients!$EQ$8,Nutrients!$EQ$9)*N$7)+(((IF($A$8=Nutrients!$B$79,Nutrients!$EQ$79,(IF($A$8=Nutrients!$B$77,Nutrients!$EQ$77,Nutrients!$EQ$78)))))*N$8))/2000*1000000000</f>
        <v>0</v>
      </c>
      <c r="O325" s="234"/>
      <c r="P325" s="21">
        <f>(SUMPRODUCT(P$9:P$229,Nutrients!$EQ$8:$EQ$228)+(IF($A$7=Nutrients!$B$8,Nutrients!$EQ$8,Nutrients!$EQ$9)*P$7)+(((IF($A$8=Nutrients!$B$79,Nutrients!$EQ$79,(IF($A$8=Nutrients!$B$77,Nutrients!$EQ$77,Nutrients!$EQ$78)))))*P$8))/2000*1000000000</f>
        <v>0</v>
      </c>
      <c r="Q325" s="21">
        <f>(SUMPRODUCT(Q$9:Q$229,Nutrients!$EQ$8:$EQ$228)+(IF($A$7=Nutrients!$B$8,Nutrients!$EQ$8,Nutrients!$EQ$9)*Q$7)+(((IF($A$8=Nutrients!$B$79,Nutrients!$EQ$79,(IF($A$8=Nutrients!$B$77,Nutrients!$EQ$77,Nutrients!$EQ$78)))))*Q$8))/2000*1000000000</f>
        <v>0</v>
      </c>
      <c r="R325" s="21">
        <f>(SUMPRODUCT(R$9:R$229,Nutrients!$EQ$8:$EQ$228)+(IF($A$7=Nutrients!$B$8,Nutrients!$EQ$8,Nutrients!$EQ$9)*R$7)+(((IF($A$8=Nutrients!$B$79,Nutrients!$EQ$79,(IF($A$8=Nutrients!$B$77,Nutrients!$EQ$77,Nutrients!$EQ$78)))))*R$8))/2000*1000000000</f>
        <v>0</v>
      </c>
      <c r="S325" s="21">
        <f>(SUMPRODUCT(S$9:S$229,Nutrients!$EQ$8:$EQ$228)+(IF($A$7=Nutrients!$B$8,Nutrients!$EQ$8,Nutrients!$EQ$9)*S$7)+(((IF($A$8=Nutrients!$B$79,Nutrients!$EQ$79,(IF($A$8=Nutrients!$B$77,Nutrients!$EQ$77,Nutrients!$EQ$78)))))*S$8))/2000*1000000000</f>
        <v>0</v>
      </c>
      <c r="T325" s="21">
        <f>(SUMPRODUCT(T$9:T$229,Nutrients!$EQ$8:$EQ$228)+(IF($A$7=Nutrients!$B$8,Nutrients!$EQ$8,Nutrients!$EQ$9)*T$7)+(((IF($A$8=Nutrients!$B$79,Nutrients!$EQ$79,(IF($A$8=Nutrients!$B$77,Nutrients!$EQ$77,Nutrients!$EQ$78)))))*T$8))/2000*1000000000</f>
        <v>0</v>
      </c>
      <c r="U325" s="21">
        <f>(SUMPRODUCT(U$9:U$229,Nutrients!$EQ$8:$EQ$228)+(IF($A$7=Nutrients!$B$8,Nutrients!$EQ$8,Nutrients!$EQ$9)*U$7)+(((IF($A$8=Nutrients!$B$79,Nutrients!$EQ$79,(IF($A$8=Nutrients!$B$77,Nutrients!$EQ$77,Nutrients!$EQ$78)))))*U$8))/2000*1000000000</f>
        <v>0</v>
      </c>
      <c r="W325" s="21">
        <f>(SUMPRODUCT(W$9:W$229,Nutrients!$EQ$8:$EQ$228)+(IF($A$7=Nutrients!$B$8,Nutrients!$EQ$8,Nutrients!$EQ$9)*W$7)+(((IF($A$8=Nutrients!$B$79,Nutrients!$EQ$79,(IF($A$8=Nutrients!$B$77,Nutrients!$EQ$77,Nutrients!$EQ$78)))))*W$8))/2000*1000000000</f>
        <v>0</v>
      </c>
      <c r="X325" s="21">
        <f>(SUMPRODUCT(X$9:X$229,Nutrients!$EQ$8:$EQ$228)+(IF($A$7=Nutrients!$B$8,Nutrients!$EQ$8,Nutrients!$EQ$9)*X$7)+(((IF($A$8=Nutrients!$B$79,Nutrients!$EQ$79,(IF($A$8=Nutrients!$B$77,Nutrients!$EQ$77,Nutrients!$EQ$78)))))*X$8))/2000*1000000000</f>
        <v>0</v>
      </c>
      <c r="Y325" s="21">
        <f>(SUMPRODUCT(Y$9:Y$229,Nutrients!$EQ$8:$EQ$228)+(IF($A$7=Nutrients!$B$8,Nutrients!$EQ$8,Nutrients!$EQ$9)*Y$7)+(((IF($A$8=Nutrients!$B$79,Nutrients!$EQ$79,(IF($A$8=Nutrients!$B$77,Nutrients!$EQ$77,Nutrients!$EQ$78)))))*Y$8))/2000*1000000000</f>
        <v>0</v>
      </c>
      <c r="Z325" s="21">
        <f>(SUMPRODUCT(Z$9:Z$229,Nutrients!$EQ$8:$EQ$228)+(IF($A$7=Nutrients!$B$8,Nutrients!$EQ$8,Nutrients!$EQ$9)*Z$7)+(((IF($A$8=Nutrients!$B$79,Nutrients!$EQ$79,(IF($A$8=Nutrients!$B$77,Nutrients!$EQ$77,Nutrients!$EQ$78)))))*Z$8))/2000*1000000000</f>
        <v>0</v>
      </c>
      <c r="AA325" s="21">
        <f>(SUMPRODUCT(AA$9:AA$229,Nutrients!$EQ$8:$EQ$228)+(IF($A$7=Nutrients!$B$8,Nutrients!$EQ$8,Nutrients!$EQ$9)*AA$7)+(((IF($A$8=Nutrients!$B$79,Nutrients!$EQ$79,(IF($A$8=Nutrients!$B$77,Nutrients!$EQ$77,Nutrients!$EQ$78)))))*AA$8))/2000*1000000000</f>
        <v>0</v>
      </c>
      <c r="AB325" s="21">
        <f>(SUMPRODUCT(AB$9:AB$229,Nutrients!$EQ$8:$EQ$228)+(IF($A$7=Nutrients!$B$8,Nutrients!$EQ$8,Nutrients!$EQ$9)*AB$7)+(((IF($A$8=Nutrients!$B$79,Nutrients!$EQ$79,(IF($A$8=Nutrients!$B$77,Nutrients!$EQ$77,Nutrients!$EQ$78)))))*AB$8))/2000*1000000000</f>
        <v>0</v>
      </c>
      <c r="AD325" s="21">
        <f>(SUMPRODUCT(AD$9:AD$229,Nutrients!$EQ$8:$EQ$228)+(IF($A$7=Nutrients!$B$8,Nutrients!$EQ$8,Nutrients!$EQ$9)*AD$7)+(((IF($A$8=Nutrients!$B$79,Nutrients!$EQ$79,(IF($A$8=Nutrients!$B$77,Nutrients!$EQ$77,Nutrients!$EQ$78)))))*AD$8))/2000*1000000000</f>
        <v>0</v>
      </c>
      <c r="AE325" s="21">
        <f>(SUMPRODUCT(AE$9:AE$229,Nutrients!$EQ$8:$EQ$228)+(IF($A$7=Nutrients!$B$8,Nutrients!$EQ$8,Nutrients!$EQ$9)*AE$7)+(((IF($A$8=Nutrients!$B$79,Nutrients!$EQ$79,(IF($A$8=Nutrients!$B$77,Nutrients!$EQ$77,Nutrients!$EQ$78)))))*AE$8))/2000*1000000000</f>
        <v>0</v>
      </c>
      <c r="AF325" s="21">
        <f>(SUMPRODUCT(AF$9:AF$229,Nutrients!$EQ$8:$EQ$228)+(IF($A$7=Nutrients!$B$8,Nutrients!$EQ$8,Nutrients!$EQ$9)*AF$7)+(((IF($A$8=Nutrients!$B$79,Nutrients!$EQ$79,(IF($A$8=Nutrients!$B$77,Nutrients!$EQ$77,Nutrients!$EQ$78)))))*AF$8))/2000*1000000000</f>
        <v>0</v>
      </c>
      <c r="AG325" s="21">
        <f>(SUMPRODUCT(AG$9:AG$229,Nutrients!$EQ$8:$EQ$228)+(IF($A$7=Nutrients!$B$8,Nutrients!$EQ$8,Nutrients!$EQ$9)*AG$7)+(((IF($A$8=Nutrients!$B$79,Nutrients!$EQ$79,(IF($A$8=Nutrients!$B$77,Nutrients!$EQ$77,Nutrients!$EQ$78)))))*AG$8))/2000*1000000000</f>
        <v>0</v>
      </c>
      <c r="AH325" s="21">
        <f>(SUMPRODUCT(AH$9:AH$229,Nutrients!$EQ$8:$EQ$228)+(IF($A$7=Nutrients!$B$8,Nutrients!$EQ$8,Nutrients!$EQ$9)*AH$7)+(((IF($A$8=Nutrients!$B$79,Nutrients!$EQ$79,(IF($A$8=Nutrients!$B$77,Nutrients!$EQ$77,Nutrients!$EQ$78)))))*AH$8))/2000*1000000000</f>
        <v>0</v>
      </c>
      <c r="AI325" s="21">
        <f>(SUMPRODUCT(AI$9:AI$229,Nutrients!$EQ$8:$EQ$228)+(IF($A$7=Nutrients!$B$8,Nutrients!$EQ$8,Nutrients!$EQ$9)*AI$7)+(((IF($A$8=Nutrients!$B$79,Nutrients!$EQ$79,(IF($A$8=Nutrients!$B$77,Nutrients!$EQ$77,Nutrients!$EQ$78)))))*AI$8))/2000*1000000000</f>
        <v>0</v>
      </c>
      <c r="AK325" s="21">
        <f>(SUMPRODUCT(AK$9:AK$229,Nutrients!$EQ$8:$EQ$228)+(IF($A$7=Nutrients!$B$8,Nutrients!$EQ$8,Nutrients!$EQ$9)*AK$7)+(((IF($A$8=Nutrients!$B$79,Nutrients!$EQ$79,(IF($A$8=Nutrients!$B$77,Nutrients!$EQ$77,Nutrients!$EQ$78)))))*AK$8))/2000*1000000000</f>
        <v>0</v>
      </c>
      <c r="AL325" s="21">
        <f>(SUMPRODUCT(AL$9:AL$229,Nutrients!$EQ$8:$EQ$228)+(IF($A$7=Nutrients!$B$8,Nutrients!$EQ$8,Nutrients!$EQ$9)*AL$7)+(((IF($A$8=Nutrients!$B$79,Nutrients!$EQ$79,(IF($A$8=Nutrients!$B$77,Nutrients!$EQ$77,Nutrients!$EQ$78)))))*AL$8))/2000*1000000000</f>
        <v>0</v>
      </c>
      <c r="AM325" s="21">
        <f>(SUMPRODUCT(AM$9:AM$229,Nutrients!$EQ$8:$EQ$228)+(IF($A$7=Nutrients!$B$8,Nutrients!$EQ$8,Nutrients!$EQ$9)*AM$7)+(((IF($A$8=Nutrients!$B$79,Nutrients!$EQ$79,(IF($A$8=Nutrients!$B$77,Nutrients!$EQ$77,Nutrients!$EQ$78)))))*AM$8))/2000*1000000000</f>
        <v>0</v>
      </c>
      <c r="AN325" s="21">
        <f>(SUMPRODUCT(AN$9:AN$229,Nutrients!$EQ$8:$EQ$228)+(IF($A$7=Nutrients!$B$8,Nutrients!$EQ$8,Nutrients!$EQ$9)*AN$7)+(((IF($A$8=Nutrients!$B$79,Nutrients!$EQ$79,(IF($A$8=Nutrients!$B$77,Nutrients!$EQ$77,Nutrients!$EQ$78)))))*AN$8))/2000*1000000000</f>
        <v>0</v>
      </c>
      <c r="AO325" s="21">
        <f>(SUMPRODUCT(AO$9:AO$229,Nutrients!$EQ$8:$EQ$228)+(IF($A$7=Nutrients!$B$8,Nutrients!$EQ$8,Nutrients!$EQ$9)*AO$7)+(((IF($A$8=Nutrients!$B$79,Nutrients!$EQ$79,(IF($A$8=Nutrients!$B$77,Nutrients!$EQ$77,Nutrients!$EQ$78)))))*AO$8))/2000*1000000000</f>
        <v>0</v>
      </c>
      <c r="AP325" s="21">
        <f>(SUMPRODUCT(AP$9:AP$229,Nutrients!$EQ$8:$EQ$228)+(IF($A$7=Nutrients!$B$8,Nutrients!$EQ$8,Nutrients!$EQ$9)*AP$7)+(((IF($A$8=Nutrients!$B$79,Nutrients!$EQ$79,(IF($A$8=Nutrients!$B$77,Nutrients!$EQ$77,Nutrients!$EQ$78)))))*AP$8))/2000*1000000000</f>
        <v>0</v>
      </c>
      <c r="AR325" s="21">
        <f>(SUMPRODUCT(AR$9:AR$229,Nutrients!$EQ$8:$EQ$228)+(IF($A$7=Nutrients!$B$8,Nutrients!$EQ$8,Nutrients!$EQ$9)*AR$7)+(((IF($A$8=Nutrients!$B$79,Nutrients!$EQ$79,(IF($A$8=Nutrients!$B$77,Nutrients!$EQ$77,Nutrients!$EQ$78)))))*AR$8))/2000*1000000000</f>
        <v>0</v>
      </c>
      <c r="AS325" s="21">
        <f>(SUMPRODUCT(AS$9:AS$229,Nutrients!$EQ$8:$EQ$228)+(IF($A$7=Nutrients!$B$8,Nutrients!$EQ$8,Nutrients!$EQ$9)*AS$7)+(((IF($A$8=Nutrients!$B$79,Nutrients!$EQ$79,(IF($A$8=Nutrients!$B$77,Nutrients!$EQ$77,Nutrients!$EQ$78)))))*AS$8))/2000*1000000000</f>
        <v>0</v>
      </c>
      <c r="AT325" s="21">
        <f>(SUMPRODUCT(AT$9:AT$229,Nutrients!$EQ$8:$EQ$228)+(IF($A$7=Nutrients!$B$8,Nutrients!$EQ$8,Nutrients!$EQ$9)*AT$7)+(((IF($A$8=Nutrients!$B$79,Nutrients!$EQ$79,(IF($A$8=Nutrients!$B$77,Nutrients!$EQ$77,Nutrients!$EQ$78)))))*AT$8))/2000*1000000000</f>
        <v>0</v>
      </c>
      <c r="AU325" s="21">
        <f>(SUMPRODUCT(AU$9:AU$229,Nutrients!$EQ$8:$EQ$228)+(IF($A$7=Nutrients!$B$8,Nutrients!$EQ$8,Nutrients!$EQ$9)*AU$7)+(((IF($A$8=Nutrients!$B$79,Nutrients!$EQ$79,(IF($A$8=Nutrients!$B$77,Nutrients!$EQ$77,Nutrients!$EQ$78)))))*AU$8))/2000*1000000000</f>
        <v>0</v>
      </c>
      <c r="AV325" s="21">
        <f>(SUMPRODUCT(AV$9:AV$229,Nutrients!$EQ$8:$EQ$228)+(IF($A$7=Nutrients!$B$8,Nutrients!$EQ$8,Nutrients!$EQ$9)*AV$7)+(((IF($A$8=Nutrients!$B$79,Nutrients!$EQ$79,(IF($A$8=Nutrients!$B$77,Nutrients!$EQ$77,Nutrients!$EQ$78)))))*AV$8))/2000*1000000000</f>
        <v>0</v>
      </c>
      <c r="AW325" s="21">
        <f>(SUMPRODUCT(AW$9:AW$229,Nutrients!$EQ$8:$EQ$228)+(IF($A$7=Nutrients!$B$8,Nutrients!$EQ$8,Nutrients!$EQ$9)*AW$7)+(((IF($A$8=Nutrients!$B$79,Nutrients!$EQ$79,(IF($A$8=Nutrients!$B$77,Nutrients!$EQ$77,Nutrients!$EQ$78)))))*AW$8))/2000*1000000000</f>
        <v>0</v>
      </c>
    </row>
    <row r="327" spans="1:49" x14ac:dyDescent="0.25">
      <c r="A327" s="34" t="s">
        <v>119</v>
      </c>
    </row>
    <row r="328" spans="1:49" x14ac:dyDescent="0.25">
      <c r="A328" s="34" t="s">
        <v>121</v>
      </c>
      <c r="B328" s="21">
        <f>(SUMPRODUCT(B$9:B$229,Nutrients!$ES$8:$ES$228)+(IF($A$7=Nutrients!$B$8,Nutrients!$ES$8,Nutrients!$ES$9)*B$7)+(((IF($A$8=Nutrients!$B$79,Nutrients!$ES$79,(IF($A$8=Nutrients!$B$77,Nutrients!$ES$77,Nutrients!$ES$78)))))*B$8))</f>
        <v>2250000</v>
      </c>
      <c r="C328" s="21">
        <f>(SUMPRODUCT(C$9:C$229,Nutrients!$ES$8:$ES$228)+(IF($A$7=Nutrients!$B$8,Nutrients!$ES$8,Nutrients!$ES$9)*C$7)+(((IF($A$8=Nutrients!$B$79,Nutrients!$ES$79,(IF($A$8=Nutrients!$B$77,Nutrients!$ES$77,Nutrients!$ES$78)))))*C$8))</f>
        <v>2250000</v>
      </c>
      <c r="D328" s="21">
        <f>(SUMPRODUCT(D$9:D$229,Nutrients!$ES$8:$ES$228)+(IF($A$7=Nutrients!$B$8,Nutrients!$ES$8,Nutrients!$ES$9)*D$7)+(((IF($A$8=Nutrients!$B$79,Nutrients!$ES$79,(IF($A$8=Nutrients!$B$77,Nutrients!$ES$77,Nutrients!$ES$78)))))*D$8))</f>
        <v>1875000</v>
      </c>
      <c r="E328" s="21">
        <f>(SUMPRODUCT(E$9:E$229,Nutrients!$ES$8:$ES$228)+(IF($A$7=Nutrients!$B$8,Nutrients!$ES$8,Nutrients!$ES$9)*E$7)+(((IF($A$8=Nutrients!$B$79,Nutrients!$ES$79,(IF($A$8=Nutrients!$B$77,Nutrients!$ES$77,Nutrients!$ES$78)))))*E$8))</f>
        <v>1500000</v>
      </c>
      <c r="F328" s="21">
        <f>(SUMPRODUCT(F$9:F$229,Nutrients!$ES$8:$ES$228)+(IF($A$7=Nutrients!$B$8,Nutrients!$ES$8,Nutrients!$ES$9)*F$7)+(((IF($A$8=Nutrients!$B$79,Nutrients!$ES$79,(IF($A$8=Nutrients!$B$77,Nutrients!$ES$77,Nutrients!$ES$78)))))*F$8))</f>
        <v>1125000</v>
      </c>
      <c r="G328" s="21">
        <f>(SUMPRODUCT(G$9:G$229,Nutrients!$ES$8:$ES$228)+(IF($A$7=Nutrients!$B$8,Nutrients!$ES$8,Nutrients!$ES$9)*G$7)+(((IF($A$8=Nutrients!$B$79,Nutrients!$ES$79,(IF($A$8=Nutrients!$B$77,Nutrients!$ES$77,Nutrients!$ES$78)))))*G$8))</f>
        <v>1125000</v>
      </c>
      <c r="H328" s="226"/>
      <c r="I328" s="21">
        <f>(SUMPRODUCT(I$9:I$229,Nutrients!$ES$8:$ES$228)+(IF($A$7=Nutrients!$B$8,Nutrients!$ES$8,Nutrients!$ES$9)*I$7)+(((IF($A$8=Nutrients!$B$79,Nutrients!$ES$79,(IF($A$8=Nutrients!$B$77,Nutrients!$ES$77,Nutrients!$ES$78)))))*I$8))</f>
        <v>2250000</v>
      </c>
      <c r="J328" s="21">
        <f>(SUMPRODUCT(J$9:J$229,Nutrients!$ES$8:$ES$228)+(IF($A$7=Nutrients!$B$8,Nutrients!$ES$8,Nutrients!$ES$9)*J$7)+(((IF($A$8=Nutrients!$B$79,Nutrients!$ES$79,(IF($A$8=Nutrients!$B$77,Nutrients!$ES$77,Nutrients!$ES$78)))))*J$8))</f>
        <v>2250000</v>
      </c>
      <c r="K328" s="21">
        <f>(SUMPRODUCT(K$9:K$229,Nutrients!$ES$8:$ES$228)+(IF($A$7=Nutrients!$B$8,Nutrients!$ES$8,Nutrients!$ES$9)*K$7)+(((IF($A$8=Nutrients!$B$79,Nutrients!$ES$79,(IF($A$8=Nutrients!$B$77,Nutrients!$ES$77,Nutrients!$ES$78)))))*K$8))</f>
        <v>1875000</v>
      </c>
      <c r="L328" s="21">
        <f>(SUMPRODUCT(L$9:L$229,Nutrients!$ES$8:$ES$228)+(IF($A$7=Nutrients!$B$8,Nutrients!$ES$8,Nutrients!$ES$9)*L$7)+(((IF($A$8=Nutrients!$B$79,Nutrients!$ES$79,(IF($A$8=Nutrients!$B$77,Nutrients!$ES$77,Nutrients!$ES$78)))))*L$8))</f>
        <v>1500000</v>
      </c>
      <c r="M328" s="21">
        <f>(SUMPRODUCT(M$9:M$229,Nutrients!$ES$8:$ES$228)+(IF($A$7=Nutrients!$B$8,Nutrients!$ES$8,Nutrients!$ES$9)*M$7)+(((IF($A$8=Nutrients!$B$79,Nutrients!$ES$79,(IF($A$8=Nutrients!$B$77,Nutrients!$ES$77,Nutrients!$ES$78)))))*M$8))</f>
        <v>1125000</v>
      </c>
      <c r="N328" s="21">
        <f>(SUMPRODUCT(N$9:N$229,Nutrients!$ES$8:$ES$228)+(IF($A$7=Nutrients!$B$8,Nutrients!$ES$8,Nutrients!$ES$9)*N$7)+(((IF($A$8=Nutrients!$B$79,Nutrients!$ES$79,(IF($A$8=Nutrients!$B$77,Nutrients!$ES$77,Nutrients!$ES$78)))))*N$8))</f>
        <v>1125000</v>
      </c>
      <c r="O328" s="234"/>
      <c r="P328" s="21">
        <f>(SUMPRODUCT(P$9:P$229,Nutrients!$ES$8:$ES$228)+(IF($A$7=Nutrients!$B$8,Nutrients!$ES$8,Nutrients!$ES$9)*P$7)+(((IF($A$8=Nutrients!$B$79,Nutrients!$ES$79,(IF($A$8=Nutrients!$B$77,Nutrients!$ES$77,Nutrients!$ES$78)))))*P$8))</f>
        <v>2250000</v>
      </c>
      <c r="Q328" s="21">
        <f>(SUMPRODUCT(Q$9:Q$229,Nutrients!$ES$8:$ES$228)+(IF($A$7=Nutrients!$B$8,Nutrients!$ES$8,Nutrients!$ES$9)*Q$7)+(((IF($A$8=Nutrients!$B$79,Nutrients!$ES$79,(IF($A$8=Nutrients!$B$77,Nutrients!$ES$77,Nutrients!$ES$78)))))*Q$8))</f>
        <v>2250000</v>
      </c>
      <c r="R328" s="21">
        <f>(SUMPRODUCT(R$9:R$229,Nutrients!$ES$8:$ES$228)+(IF($A$7=Nutrients!$B$8,Nutrients!$ES$8,Nutrients!$ES$9)*R$7)+(((IF($A$8=Nutrients!$B$79,Nutrients!$ES$79,(IF($A$8=Nutrients!$B$77,Nutrients!$ES$77,Nutrients!$ES$78)))))*R$8))</f>
        <v>1875000</v>
      </c>
      <c r="S328" s="21">
        <f>(SUMPRODUCT(S$9:S$229,Nutrients!$ES$8:$ES$228)+(IF($A$7=Nutrients!$B$8,Nutrients!$ES$8,Nutrients!$ES$9)*S$7)+(((IF($A$8=Nutrients!$B$79,Nutrients!$ES$79,(IF($A$8=Nutrients!$B$77,Nutrients!$ES$77,Nutrients!$ES$78)))))*S$8))</f>
        <v>1500000</v>
      </c>
      <c r="T328" s="21">
        <f>(SUMPRODUCT(T$9:T$229,Nutrients!$ES$8:$ES$228)+(IF($A$7=Nutrients!$B$8,Nutrients!$ES$8,Nutrients!$ES$9)*T$7)+(((IF($A$8=Nutrients!$B$79,Nutrients!$ES$79,(IF($A$8=Nutrients!$B$77,Nutrients!$ES$77,Nutrients!$ES$78)))))*T$8))</f>
        <v>1125000</v>
      </c>
      <c r="U328" s="21">
        <f>(SUMPRODUCT(U$9:U$229,Nutrients!$ES$8:$ES$228)+(IF($A$7=Nutrients!$B$8,Nutrients!$ES$8,Nutrients!$ES$9)*U$7)+(((IF($A$8=Nutrients!$B$79,Nutrients!$ES$79,(IF($A$8=Nutrients!$B$77,Nutrients!$ES$77,Nutrients!$ES$78)))))*U$8))</f>
        <v>1125000</v>
      </c>
      <c r="W328" s="21">
        <f>(SUMPRODUCT(W$9:W$229,Nutrients!$ES$8:$ES$228)+(IF($A$7=Nutrients!$B$8,Nutrients!$ES$8,Nutrients!$ES$9)*W$7)+(((IF($A$8=Nutrients!$B$79,Nutrients!$ES$79,(IF($A$8=Nutrients!$B$77,Nutrients!$ES$77,Nutrients!$ES$78)))))*W$8))</f>
        <v>2250000</v>
      </c>
      <c r="X328" s="21">
        <f>(SUMPRODUCT(X$9:X$229,Nutrients!$ES$8:$ES$228)+(IF($A$7=Nutrients!$B$8,Nutrients!$ES$8,Nutrients!$ES$9)*X$7)+(((IF($A$8=Nutrients!$B$79,Nutrients!$ES$79,(IF($A$8=Nutrients!$B$77,Nutrients!$ES$77,Nutrients!$ES$78)))))*X$8))</f>
        <v>2250000</v>
      </c>
      <c r="Y328" s="21">
        <f>(SUMPRODUCT(Y$9:Y$229,Nutrients!$ES$8:$ES$228)+(IF($A$7=Nutrients!$B$8,Nutrients!$ES$8,Nutrients!$ES$9)*Y$7)+(((IF($A$8=Nutrients!$B$79,Nutrients!$ES$79,(IF($A$8=Nutrients!$B$77,Nutrients!$ES$77,Nutrients!$ES$78)))))*Y$8))</f>
        <v>1875000</v>
      </c>
      <c r="Z328" s="21">
        <f>(SUMPRODUCT(Z$9:Z$229,Nutrients!$ES$8:$ES$228)+(IF($A$7=Nutrients!$B$8,Nutrients!$ES$8,Nutrients!$ES$9)*Z$7)+(((IF($A$8=Nutrients!$B$79,Nutrients!$ES$79,(IF($A$8=Nutrients!$B$77,Nutrients!$ES$77,Nutrients!$ES$78)))))*Z$8))</f>
        <v>1500000</v>
      </c>
      <c r="AA328" s="21">
        <f>(SUMPRODUCT(AA$9:AA$229,Nutrients!$ES$8:$ES$228)+(IF($A$7=Nutrients!$B$8,Nutrients!$ES$8,Nutrients!$ES$9)*AA$7)+(((IF($A$8=Nutrients!$B$79,Nutrients!$ES$79,(IF($A$8=Nutrients!$B$77,Nutrients!$ES$77,Nutrients!$ES$78)))))*AA$8))</f>
        <v>1125000</v>
      </c>
      <c r="AB328" s="21">
        <f>(SUMPRODUCT(AB$9:AB$229,Nutrients!$ES$8:$ES$228)+(IF($A$7=Nutrients!$B$8,Nutrients!$ES$8,Nutrients!$ES$9)*AB$7)+(((IF($A$8=Nutrients!$B$79,Nutrients!$ES$79,(IF($A$8=Nutrients!$B$77,Nutrients!$ES$77,Nutrients!$ES$78)))))*AB$8))</f>
        <v>1125000</v>
      </c>
      <c r="AD328" s="21">
        <f>(SUMPRODUCT(AD$9:AD$229,Nutrients!$ES$8:$ES$228)+(IF($A$7=Nutrients!$B$8,Nutrients!$ES$8,Nutrients!$ES$9)*AD$7)+(((IF($A$8=Nutrients!$B$79,Nutrients!$ES$79,(IF($A$8=Nutrients!$B$77,Nutrients!$ES$77,Nutrients!$ES$78)))))*AD$8))</f>
        <v>2250000</v>
      </c>
      <c r="AE328" s="21">
        <f>(SUMPRODUCT(AE$9:AE$229,Nutrients!$ES$8:$ES$228)+(IF($A$7=Nutrients!$B$8,Nutrients!$ES$8,Nutrients!$ES$9)*AE$7)+(((IF($A$8=Nutrients!$B$79,Nutrients!$ES$79,(IF($A$8=Nutrients!$B$77,Nutrients!$ES$77,Nutrients!$ES$78)))))*AE$8))</f>
        <v>2250000</v>
      </c>
      <c r="AF328" s="21">
        <f>(SUMPRODUCT(AF$9:AF$229,Nutrients!$ES$8:$ES$228)+(IF($A$7=Nutrients!$B$8,Nutrients!$ES$8,Nutrients!$ES$9)*AF$7)+(((IF($A$8=Nutrients!$B$79,Nutrients!$ES$79,(IF($A$8=Nutrients!$B$77,Nutrients!$ES$77,Nutrients!$ES$78)))))*AF$8))</f>
        <v>1875000</v>
      </c>
      <c r="AG328" s="21">
        <f>(SUMPRODUCT(AG$9:AG$229,Nutrients!$ES$8:$ES$228)+(IF($A$7=Nutrients!$B$8,Nutrients!$ES$8,Nutrients!$ES$9)*AG$7)+(((IF($A$8=Nutrients!$B$79,Nutrients!$ES$79,(IF($A$8=Nutrients!$B$77,Nutrients!$ES$77,Nutrients!$ES$78)))))*AG$8))</f>
        <v>1500000</v>
      </c>
      <c r="AH328" s="21">
        <f>(SUMPRODUCT(AH$9:AH$229,Nutrients!$ES$8:$ES$228)+(IF($A$7=Nutrients!$B$8,Nutrients!$ES$8,Nutrients!$ES$9)*AH$7)+(((IF($A$8=Nutrients!$B$79,Nutrients!$ES$79,(IF($A$8=Nutrients!$B$77,Nutrients!$ES$77,Nutrients!$ES$78)))))*AH$8))</f>
        <v>1125000</v>
      </c>
      <c r="AI328" s="21">
        <f>(SUMPRODUCT(AI$9:AI$229,Nutrients!$ES$8:$ES$228)+(IF($A$7=Nutrients!$B$8,Nutrients!$ES$8,Nutrients!$ES$9)*AI$7)+(((IF($A$8=Nutrients!$B$79,Nutrients!$ES$79,(IF($A$8=Nutrients!$B$77,Nutrients!$ES$77,Nutrients!$ES$78)))))*AI$8))</f>
        <v>1125000</v>
      </c>
      <c r="AK328" s="21">
        <f>(SUMPRODUCT(AK$9:AK$229,Nutrients!$ES$8:$ES$228)+(IF($A$7=Nutrients!$B$8,Nutrients!$ES$8,Nutrients!$ES$9)*AK$7)+(((IF($A$8=Nutrients!$B$79,Nutrients!$ES$79,(IF($A$8=Nutrients!$B$77,Nutrients!$ES$77,Nutrients!$ES$78)))))*AK$8))</f>
        <v>2250000</v>
      </c>
      <c r="AL328" s="21">
        <f>(SUMPRODUCT(AL$9:AL$229,Nutrients!$ES$8:$ES$228)+(IF($A$7=Nutrients!$B$8,Nutrients!$ES$8,Nutrients!$ES$9)*AL$7)+(((IF($A$8=Nutrients!$B$79,Nutrients!$ES$79,(IF($A$8=Nutrients!$B$77,Nutrients!$ES$77,Nutrients!$ES$78)))))*AL$8))</f>
        <v>2250000</v>
      </c>
      <c r="AM328" s="21">
        <f>(SUMPRODUCT(AM$9:AM$229,Nutrients!$ES$8:$ES$228)+(IF($A$7=Nutrients!$B$8,Nutrients!$ES$8,Nutrients!$ES$9)*AM$7)+(((IF($A$8=Nutrients!$B$79,Nutrients!$ES$79,(IF($A$8=Nutrients!$B$77,Nutrients!$ES$77,Nutrients!$ES$78)))))*AM$8))</f>
        <v>1875000</v>
      </c>
      <c r="AN328" s="21">
        <f>(SUMPRODUCT(AN$9:AN$229,Nutrients!$ES$8:$ES$228)+(IF($A$7=Nutrients!$B$8,Nutrients!$ES$8,Nutrients!$ES$9)*AN$7)+(((IF($A$8=Nutrients!$B$79,Nutrients!$ES$79,(IF($A$8=Nutrients!$B$77,Nutrients!$ES$77,Nutrients!$ES$78)))))*AN$8))</f>
        <v>1500000</v>
      </c>
      <c r="AO328" s="21">
        <f>(SUMPRODUCT(AO$9:AO$229,Nutrients!$ES$8:$ES$228)+(IF($A$7=Nutrients!$B$8,Nutrients!$ES$8,Nutrients!$ES$9)*AO$7)+(((IF($A$8=Nutrients!$B$79,Nutrients!$ES$79,(IF($A$8=Nutrients!$B$77,Nutrients!$ES$77,Nutrients!$ES$78)))))*AO$8))</f>
        <v>1125000</v>
      </c>
      <c r="AP328" s="21">
        <f>(SUMPRODUCT(AP$9:AP$229,Nutrients!$ES$8:$ES$228)+(IF($A$7=Nutrients!$B$8,Nutrients!$ES$8,Nutrients!$ES$9)*AP$7)+(((IF($A$8=Nutrients!$B$79,Nutrients!$ES$79,(IF($A$8=Nutrients!$B$77,Nutrients!$ES$77,Nutrients!$ES$78)))))*AP$8))</f>
        <v>1125000</v>
      </c>
      <c r="AR328" s="21">
        <f>(SUMPRODUCT(AR$9:AR$229,Nutrients!$ES$8:$ES$228)+(IF($A$7=Nutrients!$B$8,Nutrients!$ES$8,Nutrients!$ES$9)*AR$7)+(((IF($A$8=Nutrients!$B$79,Nutrients!$ES$79,(IF($A$8=Nutrients!$B$77,Nutrients!$ES$77,Nutrients!$ES$78)))))*AR$8))</f>
        <v>2250000</v>
      </c>
      <c r="AS328" s="21">
        <f>(SUMPRODUCT(AS$9:AS$229,Nutrients!$ES$8:$ES$228)+(IF($A$7=Nutrients!$B$8,Nutrients!$ES$8,Nutrients!$ES$9)*AS$7)+(((IF($A$8=Nutrients!$B$79,Nutrients!$ES$79,(IF($A$8=Nutrients!$B$77,Nutrients!$ES$77,Nutrients!$ES$78)))))*AS$8))</f>
        <v>2250000</v>
      </c>
      <c r="AT328" s="21">
        <f>(SUMPRODUCT(AT$9:AT$229,Nutrients!$ES$8:$ES$228)+(IF($A$7=Nutrients!$B$8,Nutrients!$ES$8,Nutrients!$ES$9)*AT$7)+(((IF($A$8=Nutrients!$B$79,Nutrients!$ES$79,(IF($A$8=Nutrients!$B$77,Nutrients!$ES$77,Nutrients!$ES$78)))))*AT$8))</f>
        <v>1875000</v>
      </c>
      <c r="AU328" s="21">
        <f>(SUMPRODUCT(AU$9:AU$229,Nutrients!$ES$8:$ES$228)+(IF($A$7=Nutrients!$B$8,Nutrients!$ES$8,Nutrients!$ES$9)*AU$7)+(((IF($A$8=Nutrients!$B$79,Nutrients!$ES$79,(IF($A$8=Nutrients!$B$77,Nutrients!$ES$77,Nutrients!$ES$78)))))*AU$8))</f>
        <v>1500000</v>
      </c>
      <c r="AV328" s="21">
        <f>(SUMPRODUCT(AV$9:AV$229,Nutrients!$ES$8:$ES$228)+(IF($A$7=Nutrients!$B$8,Nutrients!$ES$8,Nutrients!$ES$9)*AV$7)+(((IF($A$8=Nutrients!$B$79,Nutrients!$ES$79,(IF($A$8=Nutrients!$B$77,Nutrients!$ES$77,Nutrients!$ES$78)))))*AV$8))</f>
        <v>1125000</v>
      </c>
      <c r="AW328" s="21">
        <f>(SUMPRODUCT(AW$9:AW$229,Nutrients!$ES$8:$ES$228)+(IF($A$7=Nutrients!$B$8,Nutrients!$ES$8,Nutrients!$ES$9)*AW$7)+(((IF($A$8=Nutrients!$B$79,Nutrients!$ES$79,(IF($A$8=Nutrients!$B$77,Nutrients!$ES$77,Nutrients!$ES$78)))))*AW$8))</f>
        <v>1125000</v>
      </c>
    </row>
    <row r="329" spans="1:49" x14ac:dyDescent="0.25">
      <c r="A329" s="34" t="s">
        <v>122</v>
      </c>
      <c r="B329" s="21">
        <f>(SUMPRODUCT(B$9:B$229,Nutrients!$ET$8:$ET$228)+(IF($A$7=Nutrients!$B$8,Nutrients!$ET$8,Nutrients!$ET$9)*B$7)+(((IF($A$8=Nutrients!$B$79,Nutrients!$ET$79,(IF($A$8=Nutrients!$B$77,Nutrients!$ET$77,Nutrients!$ET$78)))))*B$8))</f>
        <v>900000</v>
      </c>
      <c r="C329" s="21">
        <f>(SUMPRODUCT(C$9:C$229,Nutrients!$ET$8:$ET$228)+(IF($A$7=Nutrients!$B$8,Nutrients!$ET$8,Nutrients!$ET$9)*C$7)+(((IF($A$8=Nutrients!$B$79,Nutrients!$ET$79,(IF($A$8=Nutrients!$B$77,Nutrients!$ET$77,Nutrients!$ET$78)))))*C$8))</f>
        <v>900000</v>
      </c>
      <c r="D329" s="21">
        <f>(SUMPRODUCT(D$9:D$229,Nutrients!$ET$8:$ET$228)+(IF($A$7=Nutrients!$B$8,Nutrients!$ET$8,Nutrients!$ET$9)*D$7)+(((IF($A$8=Nutrients!$B$79,Nutrients!$ET$79,(IF($A$8=Nutrients!$B$77,Nutrients!$ET$77,Nutrients!$ET$78)))))*D$8))</f>
        <v>750000</v>
      </c>
      <c r="E329" s="21">
        <f>(SUMPRODUCT(E$9:E$229,Nutrients!$ET$8:$ET$228)+(IF($A$7=Nutrients!$B$8,Nutrients!$ET$8,Nutrients!$ET$9)*E$7)+(((IF($A$8=Nutrients!$B$79,Nutrients!$ET$79,(IF($A$8=Nutrients!$B$77,Nutrients!$ET$77,Nutrients!$ET$78)))))*E$8))</f>
        <v>600000</v>
      </c>
      <c r="F329" s="21">
        <f>(SUMPRODUCT(F$9:F$229,Nutrients!$ET$8:$ET$228)+(IF($A$7=Nutrients!$B$8,Nutrients!$ET$8,Nutrients!$ET$9)*F$7)+(((IF($A$8=Nutrients!$B$79,Nutrients!$ET$79,(IF($A$8=Nutrients!$B$77,Nutrients!$ET$77,Nutrients!$ET$78)))))*F$8))</f>
        <v>450000</v>
      </c>
      <c r="G329" s="21">
        <f>(SUMPRODUCT(G$9:G$229,Nutrients!$ET$8:$ET$228)+(IF($A$7=Nutrients!$B$8,Nutrients!$ET$8,Nutrients!$ET$9)*G$7)+(((IF($A$8=Nutrients!$B$79,Nutrients!$ET$79,(IF($A$8=Nutrients!$B$77,Nutrients!$ET$77,Nutrients!$ET$78)))))*G$8))</f>
        <v>450000</v>
      </c>
      <c r="H329" s="226"/>
      <c r="I329" s="21">
        <f>(SUMPRODUCT(I$9:I$229,Nutrients!$ET$8:$ET$228)+(IF($A$7=Nutrients!$B$8,Nutrients!$ET$8,Nutrients!$ET$9)*I$7)+(((IF($A$8=Nutrients!$B$79,Nutrients!$ET$79,(IF($A$8=Nutrients!$B$77,Nutrients!$ET$77,Nutrients!$ET$78)))))*I$8))</f>
        <v>900000</v>
      </c>
      <c r="J329" s="21">
        <f>(SUMPRODUCT(J$9:J$229,Nutrients!$ET$8:$ET$228)+(IF($A$7=Nutrients!$B$8,Nutrients!$ET$8,Nutrients!$ET$9)*J$7)+(((IF($A$8=Nutrients!$B$79,Nutrients!$ET$79,(IF($A$8=Nutrients!$B$77,Nutrients!$ET$77,Nutrients!$ET$78)))))*J$8))</f>
        <v>900000</v>
      </c>
      <c r="K329" s="21">
        <f>(SUMPRODUCT(K$9:K$229,Nutrients!$ET$8:$ET$228)+(IF($A$7=Nutrients!$B$8,Nutrients!$ET$8,Nutrients!$ET$9)*K$7)+(((IF($A$8=Nutrients!$B$79,Nutrients!$ET$79,(IF($A$8=Nutrients!$B$77,Nutrients!$ET$77,Nutrients!$ET$78)))))*K$8))</f>
        <v>750000</v>
      </c>
      <c r="L329" s="21">
        <f>(SUMPRODUCT(L$9:L$229,Nutrients!$ET$8:$ET$228)+(IF($A$7=Nutrients!$B$8,Nutrients!$ET$8,Nutrients!$ET$9)*L$7)+(((IF($A$8=Nutrients!$B$79,Nutrients!$ET$79,(IF($A$8=Nutrients!$B$77,Nutrients!$ET$77,Nutrients!$ET$78)))))*L$8))</f>
        <v>600000</v>
      </c>
      <c r="M329" s="21">
        <f>(SUMPRODUCT(M$9:M$229,Nutrients!$ET$8:$ET$228)+(IF($A$7=Nutrients!$B$8,Nutrients!$ET$8,Nutrients!$ET$9)*M$7)+(((IF($A$8=Nutrients!$B$79,Nutrients!$ET$79,(IF($A$8=Nutrients!$B$77,Nutrients!$ET$77,Nutrients!$ET$78)))))*M$8))</f>
        <v>450000</v>
      </c>
      <c r="N329" s="21">
        <f>(SUMPRODUCT(N$9:N$229,Nutrients!$ET$8:$ET$228)+(IF($A$7=Nutrients!$B$8,Nutrients!$ET$8,Nutrients!$ET$9)*N$7)+(((IF($A$8=Nutrients!$B$79,Nutrients!$ET$79,(IF($A$8=Nutrients!$B$77,Nutrients!$ET$77,Nutrients!$ET$78)))))*N$8))</f>
        <v>450000</v>
      </c>
      <c r="O329" s="234"/>
      <c r="P329" s="21">
        <f>(SUMPRODUCT(P$9:P$229,Nutrients!$ET$8:$ET$228)+(IF($A$7=Nutrients!$B$8,Nutrients!$ET$8,Nutrients!$ET$9)*P$7)+(((IF($A$8=Nutrients!$B$79,Nutrients!$ET$79,(IF($A$8=Nutrients!$B$77,Nutrients!$ET$77,Nutrients!$ET$78)))))*P$8))</f>
        <v>900000</v>
      </c>
      <c r="Q329" s="21">
        <f>(SUMPRODUCT(Q$9:Q$229,Nutrients!$ET$8:$ET$228)+(IF($A$7=Nutrients!$B$8,Nutrients!$ET$8,Nutrients!$ET$9)*Q$7)+(((IF($A$8=Nutrients!$B$79,Nutrients!$ET$79,(IF($A$8=Nutrients!$B$77,Nutrients!$ET$77,Nutrients!$ET$78)))))*Q$8))</f>
        <v>900000</v>
      </c>
      <c r="R329" s="21">
        <f>(SUMPRODUCT(R$9:R$229,Nutrients!$ET$8:$ET$228)+(IF($A$7=Nutrients!$B$8,Nutrients!$ET$8,Nutrients!$ET$9)*R$7)+(((IF($A$8=Nutrients!$B$79,Nutrients!$ET$79,(IF($A$8=Nutrients!$B$77,Nutrients!$ET$77,Nutrients!$ET$78)))))*R$8))</f>
        <v>750000</v>
      </c>
      <c r="S329" s="21">
        <f>(SUMPRODUCT(S$9:S$229,Nutrients!$ET$8:$ET$228)+(IF($A$7=Nutrients!$B$8,Nutrients!$ET$8,Nutrients!$ET$9)*S$7)+(((IF($A$8=Nutrients!$B$79,Nutrients!$ET$79,(IF($A$8=Nutrients!$B$77,Nutrients!$ET$77,Nutrients!$ET$78)))))*S$8))</f>
        <v>600000</v>
      </c>
      <c r="T329" s="21">
        <f>(SUMPRODUCT(T$9:T$229,Nutrients!$ET$8:$ET$228)+(IF($A$7=Nutrients!$B$8,Nutrients!$ET$8,Nutrients!$ET$9)*T$7)+(((IF($A$8=Nutrients!$B$79,Nutrients!$ET$79,(IF($A$8=Nutrients!$B$77,Nutrients!$ET$77,Nutrients!$ET$78)))))*T$8))</f>
        <v>450000</v>
      </c>
      <c r="U329" s="21">
        <f>(SUMPRODUCT(U$9:U$229,Nutrients!$ET$8:$ET$228)+(IF($A$7=Nutrients!$B$8,Nutrients!$ET$8,Nutrients!$ET$9)*U$7)+(((IF($A$8=Nutrients!$B$79,Nutrients!$ET$79,(IF($A$8=Nutrients!$B$77,Nutrients!$ET$77,Nutrients!$ET$78)))))*U$8))</f>
        <v>450000</v>
      </c>
      <c r="W329" s="21">
        <f>(SUMPRODUCT(W$9:W$229,Nutrients!$ET$8:$ET$228)+(IF($A$7=Nutrients!$B$8,Nutrients!$ET$8,Nutrients!$ET$9)*W$7)+(((IF($A$8=Nutrients!$B$79,Nutrients!$ET$79,(IF($A$8=Nutrients!$B$77,Nutrients!$ET$77,Nutrients!$ET$78)))))*W$8))</f>
        <v>900000</v>
      </c>
      <c r="X329" s="21">
        <f>(SUMPRODUCT(X$9:X$229,Nutrients!$ET$8:$ET$228)+(IF($A$7=Nutrients!$B$8,Nutrients!$ET$8,Nutrients!$ET$9)*X$7)+(((IF($A$8=Nutrients!$B$79,Nutrients!$ET$79,(IF($A$8=Nutrients!$B$77,Nutrients!$ET$77,Nutrients!$ET$78)))))*X$8))</f>
        <v>900000</v>
      </c>
      <c r="Y329" s="21">
        <f>(SUMPRODUCT(Y$9:Y$229,Nutrients!$ET$8:$ET$228)+(IF($A$7=Nutrients!$B$8,Nutrients!$ET$8,Nutrients!$ET$9)*Y$7)+(((IF($A$8=Nutrients!$B$79,Nutrients!$ET$79,(IF($A$8=Nutrients!$B$77,Nutrients!$ET$77,Nutrients!$ET$78)))))*Y$8))</f>
        <v>750000</v>
      </c>
      <c r="Z329" s="21">
        <f>(SUMPRODUCT(Z$9:Z$229,Nutrients!$ET$8:$ET$228)+(IF($A$7=Nutrients!$B$8,Nutrients!$ET$8,Nutrients!$ET$9)*Z$7)+(((IF($A$8=Nutrients!$B$79,Nutrients!$ET$79,(IF($A$8=Nutrients!$B$77,Nutrients!$ET$77,Nutrients!$ET$78)))))*Z$8))</f>
        <v>600000</v>
      </c>
      <c r="AA329" s="21">
        <f>(SUMPRODUCT(AA$9:AA$229,Nutrients!$ET$8:$ET$228)+(IF($A$7=Nutrients!$B$8,Nutrients!$ET$8,Nutrients!$ET$9)*AA$7)+(((IF($A$8=Nutrients!$B$79,Nutrients!$ET$79,(IF($A$8=Nutrients!$B$77,Nutrients!$ET$77,Nutrients!$ET$78)))))*AA$8))</f>
        <v>450000</v>
      </c>
      <c r="AB329" s="21">
        <f>(SUMPRODUCT(AB$9:AB$229,Nutrients!$ET$8:$ET$228)+(IF($A$7=Nutrients!$B$8,Nutrients!$ET$8,Nutrients!$ET$9)*AB$7)+(((IF($A$8=Nutrients!$B$79,Nutrients!$ET$79,(IF($A$8=Nutrients!$B$77,Nutrients!$ET$77,Nutrients!$ET$78)))))*AB$8))</f>
        <v>450000</v>
      </c>
      <c r="AD329" s="21">
        <f>(SUMPRODUCT(AD$9:AD$229,Nutrients!$ET$8:$ET$228)+(IF($A$7=Nutrients!$B$8,Nutrients!$ET$8,Nutrients!$ET$9)*AD$7)+(((IF($A$8=Nutrients!$B$79,Nutrients!$ET$79,(IF($A$8=Nutrients!$B$77,Nutrients!$ET$77,Nutrients!$ET$78)))))*AD$8))</f>
        <v>900000</v>
      </c>
      <c r="AE329" s="21">
        <f>(SUMPRODUCT(AE$9:AE$229,Nutrients!$ET$8:$ET$228)+(IF($A$7=Nutrients!$B$8,Nutrients!$ET$8,Nutrients!$ET$9)*AE$7)+(((IF($A$8=Nutrients!$B$79,Nutrients!$ET$79,(IF($A$8=Nutrients!$B$77,Nutrients!$ET$77,Nutrients!$ET$78)))))*AE$8))</f>
        <v>900000</v>
      </c>
      <c r="AF329" s="21">
        <f>(SUMPRODUCT(AF$9:AF$229,Nutrients!$ET$8:$ET$228)+(IF($A$7=Nutrients!$B$8,Nutrients!$ET$8,Nutrients!$ET$9)*AF$7)+(((IF($A$8=Nutrients!$B$79,Nutrients!$ET$79,(IF($A$8=Nutrients!$B$77,Nutrients!$ET$77,Nutrients!$ET$78)))))*AF$8))</f>
        <v>750000</v>
      </c>
      <c r="AG329" s="21">
        <f>(SUMPRODUCT(AG$9:AG$229,Nutrients!$ET$8:$ET$228)+(IF($A$7=Nutrients!$B$8,Nutrients!$ET$8,Nutrients!$ET$9)*AG$7)+(((IF($A$8=Nutrients!$B$79,Nutrients!$ET$79,(IF($A$8=Nutrients!$B$77,Nutrients!$ET$77,Nutrients!$ET$78)))))*AG$8))</f>
        <v>600000</v>
      </c>
      <c r="AH329" s="21">
        <f>(SUMPRODUCT(AH$9:AH$229,Nutrients!$ET$8:$ET$228)+(IF($A$7=Nutrients!$B$8,Nutrients!$ET$8,Nutrients!$ET$9)*AH$7)+(((IF($A$8=Nutrients!$B$79,Nutrients!$ET$79,(IF($A$8=Nutrients!$B$77,Nutrients!$ET$77,Nutrients!$ET$78)))))*AH$8))</f>
        <v>450000</v>
      </c>
      <c r="AI329" s="21">
        <f>(SUMPRODUCT(AI$9:AI$229,Nutrients!$ET$8:$ET$228)+(IF($A$7=Nutrients!$B$8,Nutrients!$ET$8,Nutrients!$ET$9)*AI$7)+(((IF($A$8=Nutrients!$B$79,Nutrients!$ET$79,(IF($A$8=Nutrients!$B$77,Nutrients!$ET$77,Nutrients!$ET$78)))))*AI$8))</f>
        <v>450000</v>
      </c>
      <c r="AK329" s="21">
        <f>(SUMPRODUCT(AK$9:AK$229,Nutrients!$ET$8:$ET$228)+(IF($A$7=Nutrients!$B$8,Nutrients!$ET$8,Nutrients!$ET$9)*AK$7)+(((IF($A$8=Nutrients!$B$79,Nutrients!$ET$79,(IF($A$8=Nutrients!$B$77,Nutrients!$ET$77,Nutrients!$ET$78)))))*AK$8))</f>
        <v>900000</v>
      </c>
      <c r="AL329" s="21">
        <f>(SUMPRODUCT(AL$9:AL$229,Nutrients!$ET$8:$ET$228)+(IF($A$7=Nutrients!$B$8,Nutrients!$ET$8,Nutrients!$ET$9)*AL$7)+(((IF($A$8=Nutrients!$B$79,Nutrients!$ET$79,(IF($A$8=Nutrients!$B$77,Nutrients!$ET$77,Nutrients!$ET$78)))))*AL$8))</f>
        <v>900000</v>
      </c>
      <c r="AM329" s="21">
        <f>(SUMPRODUCT(AM$9:AM$229,Nutrients!$ET$8:$ET$228)+(IF($A$7=Nutrients!$B$8,Nutrients!$ET$8,Nutrients!$ET$9)*AM$7)+(((IF($A$8=Nutrients!$B$79,Nutrients!$ET$79,(IF($A$8=Nutrients!$B$77,Nutrients!$ET$77,Nutrients!$ET$78)))))*AM$8))</f>
        <v>750000</v>
      </c>
      <c r="AN329" s="21">
        <f>(SUMPRODUCT(AN$9:AN$229,Nutrients!$ET$8:$ET$228)+(IF($A$7=Nutrients!$B$8,Nutrients!$ET$8,Nutrients!$ET$9)*AN$7)+(((IF($A$8=Nutrients!$B$79,Nutrients!$ET$79,(IF($A$8=Nutrients!$B$77,Nutrients!$ET$77,Nutrients!$ET$78)))))*AN$8))</f>
        <v>600000</v>
      </c>
      <c r="AO329" s="21">
        <f>(SUMPRODUCT(AO$9:AO$229,Nutrients!$ET$8:$ET$228)+(IF($A$7=Nutrients!$B$8,Nutrients!$ET$8,Nutrients!$ET$9)*AO$7)+(((IF($A$8=Nutrients!$B$79,Nutrients!$ET$79,(IF($A$8=Nutrients!$B$77,Nutrients!$ET$77,Nutrients!$ET$78)))))*AO$8))</f>
        <v>450000</v>
      </c>
      <c r="AP329" s="21">
        <f>(SUMPRODUCT(AP$9:AP$229,Nutrients!$ET$8:$ET$228)+(IF($A$7=Nutrients!$B$8,Nutrients!$ET$8,Nutrients!$ET$9)*AP$7)+(((IF($A$8=Nutrients!$B$79,Nutrients!$ET$79,(IF($A$8=Nutrients!$B$77,Nutrients!$ET$77,Nutrients!$ET$78)))))*AP$8))</f>
        <v>450000</v>
      </c>
      <c r="AR329" s="21">
        <f>(SUMPRODUCT(AR$9:AR$229,Nutrients!$ET$8:$ET$228)+(IF($A$7=Nutrients!$B$8,Nutrients!$ET$8,Nutrients!$ET$9)*AR$7)+(((IF($A$8=Nutrients!$B$79,Nutrients!$ET$79,(IF($A$8=Nutrients!$B$77,Nutrients!$ET$77,Nutrients!$ET$78)))))*AR$8))</f>
        <v>900000</v>
      </c>
      <c r="AS329" s="21">
        <f>(SUMPRODUCT(AS$9:AS$229,Nutrients!$ET$8:$ET$228)+(IF($A$7=Nutrients!$B$8,Nutrients!$ET$8,Nutrients!$ET$9)*AS$7)+(((IF($A$8=Nutrients!$B$79,Nutrients!$ET$79,(IF($A$8=Nutrients!$B$77,Nutrients!$ET$77,Nutrients!$ET$78)))))*AS$8))</f>
        <v>900000</v>
      </c>
      <c r="AT329" s="21">
        <f>(SUMPRODUCT(AT$9:AT$229,Nutrients!$ET$8:$ET$228)+(IF($A$7=Nutrients!$B$8,Nutrients!$ET$8,Nutrients!$ET$9)*AT$7)+(((IF($A$8=Nutrients!$B$79,Nutrients!$ET$79,(IF($A$8=Nutrients!$B$77,Nutrients!$ET$77,Nutrients!$ET$78)))))*AT$8))</f>
        <v>750000</v>
      </c>
      <c r="AU329" s="21">
        <f>(SUMPRODUCT(AU$9:AU$229,Nutrients!$ET$8:$ET$228)+(IF($A$7=Nutrients!$B$8,Nutrients!$ET$8,Nutrients!$ET$9)*AU$7)+(((IF($A$8=Nutrients!$B$79,Nutrients!$ET$79,(IF($A$8=Nutrients!$B$77,Nutrients!$ET$77,Nutrients!$ET$78)))))*AU$8))</f>
        <v>600000</v>
      </c>
      <c r="AV329" s="21">
        <f>(SUMPRODUCT(AV$9:AV$229,Nutrients!$ET$8:$ET$228)+(IF($A$7=Nutrients!$B$8,Nutrients!$ET$8,Nutrients!$ET$9)*AV$7)+(((IF($A$8=Nutrients!$B$79,Nutrients!$ET$79,(IF($A$8=Nutrients!$B$77,Nutrients!$ET$77,Nutrients!$ET$78)))))*AV$8))</f>
        <v>450000</v>
      </c>
      <c r="AW329" s="21">
        <f>(SUMPRODUCT(AW$9:AW$229,Nutrients!$ET$8:$ET$228)+(IF($A$7=Nutrients!$B$8,Nutrients!$ET$8,Nutrients!$ET$9)*AW$7)+(((IF($A$8=Nutrients!$B$79,Nutrients!$ET$79,(IF($A$8=Nutrients!$B$77,Nutrients!$ET$77,Nutrients!$ET$78)))))*AW$8))</f>
        <v>450000</v>
      </c>
    </row>
    <row r="330" spans="1:49" x14ac:dyDescent="0.25">
      <c r="A330" s="34" t="s">
        <v>123</v>
      </c>
      <c r="B330" s="21">
        <f>(SUMPRODUCT(B$9:B$229,Nutrients!$EU$8:$EU$228)+(IF($A$7=Nutrients!$B$8,Nutrients!$EU$8,Nutrients!$EU$9)*B$7)+(((IF($A$8=Nutrients!$B$79,Nutrients!$EU$79,(IF($A$8=Nutrients!$B$77,Nutrients!$EU$77,Nutrients!$EU$78)))))*B$8))</f>
        <v>24000</v>
      </c>
      <c r="C330" s="21">
        <f>(SUMPRODUCT(C$9:C$229,Nutrients!$EU$8:$EU$228)+(IF($A$7=Nutrients!$B$8,Nutrients!$EU$8,Nutrients!$EU$9)*C$7)+(((IF($A$8=Nutrients!$B$79,Nutrients!$EU$79,(IF($A$8=Nutrients!$B$77,Nutrients!$EU$77,Nutrients!$EU$78)))))*C$8))</f>
        <v>24000</v>
      </c>
      <c r="D330" s="21">
        <f>(SUMPRODUCT(D$9:D$229,Nutrients!$EU$8:$EU$228)+(IF($A$7=Nutrients!$B$8,Nutrients!$EU$8,Nutrients!$EU$9)*D$7)+(((IF($A$8=Nutrients!$B$79,Nutrients!$EU$79,(IF($A$8=Nutrients!$B$77,Nutrients!$EU$77,Nutrients!$EU$78)))))*D$8))</f>
        <v>20000</v>
      </c>
      <c r="E330" s="21">
        <f>(SUMPRODUCT(E$9:E$229,Nutrients!$EU$8:$EU$228)+(IF($A$7=Nutrients!$B$8,Nutrients!$EU$8,Nutrients!$EU$9)*E$7)+(((IF($A$8=Nutrients!$B$79,Nutrients!$EU$79,(IF($A$8=Nutrients!$B$77,Nutrients!$EU$77,Nutrients!$EU$78)))))*E$8))</f>
        <v>16000</v>
      </c>
      <c r="F330" s="21">
        <f>(SUMPRODUCT(F$9:F$229,Nutrients!$EU$8:$EU$228)+(IF($A$7=Nutrients!$B$8,Nutrients!$EU$8,Nutrients!$EU$9)*F$7)+(((IF($A$8=Nutrients!$B$79,Nutrients!$EU$79,(IF($A$8=Nutrients!$B$77,Nutrients!$EU$77,Nutrients!$EU$78)))))*F$8))</f>
        <v>12000</v>
      </c>
      <c r="G330" s="21">
        <f>(SUMPRODUCT(G$9:G$229,Nutrients!$EU$8:$EU$228)+(IF($A$7=Nutrients!$B$8,Nutrients!$EU$8,Nutrients!$EU$9)*G$7)+(((IF($A$8=Nutrients!$B$79,Nutrients!$EU$79,(IF($A$8=Nutrients!$B$77,Nutrients!$EU$77,Nutrients!$EU$78)))))*G$8))</f>
        <v>12000</v>
      </c>
      <c r="H330" s="226"/>
      <c r="I330" s="21">
        <f>(SUMPRODUCT(I$9:I$229,Nutrients!$EU$8:$EU$228)+(IF($A$7=Nutrients!$B$8,Nutrients!$EU$8,Nutrients!$EU$9)*I$7)+(((IF($A$8=Nutrients!$B$79,Nutrients!$EU$79,(IF($A$8=Nutrients!$B$77,Nutrients!$EU$77,Nutrients!$EU$78)))))*I$8))</f>
        <v>24000</v>
      </c>
      <c r="J330" s="21">
        <f>(SUMPRODUCT(J$9:J$229,Nutrients!$EU$8:$EU$228)+(IF($A$7=Nutrients!$B$8,Nutrients!$EU$8,Nutrients!$EU$9)*J$7)+(((IF($A$8=Nutrients!$B$79,Nutrients!$EU$79,(IF($A$8=Nutrients!$B$77,Nutrients!$EU$77,Nutrients!$EU$78)))))*J$8))</f>
        <v>24000</v>
      </c>
      <c r="K330" s="21">
        <f>(SUMPRODUCT(K$9:K$229,Nutrients!$EU$8:$EU$228)+(IF($A$7=Nutrients!$B$8,Nutrients!$EU$8,Nutrients!$EU$9)*K$7)+(((IF($A$8=Nutrients!$B$79,Nutrients!$EU$79,(IF($A$8=Nutrients!$B$77,Nutrients!$EU$77,Nutrients!$EU$78)))))*K$8))</f>
        <v>20000</v>
      </c>
      <c r="L330" s="21">
        <f>(SUMPRODUCT(L$9:L$229,Nutrients!$EU$8:$EU$228)+(IF($A$7=Nutrients!$B$8,Nutrients!$EU$8,Nutrients!$EU$9)*L$7)+(((IF($A$8=Nutrients!$B$79,Nutrients!$EU$79,(IF($A$8=Nutrients!$B$77,Nutrients!$EU$77,Nutrients!$EU$78)))))*L$8))</f>
        <v>16000</v>
      </c>
      <c r="M330" s="21">
        <f>(SUMPRODUCT(M$9:M$229,Nutrients!$EU$8:$EU$228)+(IF($A$7=Nutrients!$B$8,Nutrients!$EU$8,Nutrients!$EU$9)*M$7)+(((IF($A$8=Nutrients!$B$79,Nutrients!$EU$79,(IF($A$8=Nutrients!$B$77,Nutrients!$EU$77,Nutrients!$EU$78)))))*M$8))</f>
        <v>12000</v>
      </c>
      <c r="N330" s="21">
        <f>(SUMPRODUCT(N$9:N$229,Nutrients!$EU$8:$EU$228)+(IF($A$7=Nutrients!$B$8,Nutrients!$EU$8,Nutrients!$EU$9)*N$7)+(((IF($A$8=Nutrients!$B$79,Nutrients!$EU$79,(IF($A$8=Nutrients!$B$77,Nutrients!$EU$77,Nutrients!$EU$78)))))*N$8))</f>
        <v>12000</v>
      </c>
      <c r="O330" s="234"/>
      <c r="P330" s="21">
        <f>(SUMPRODUCT(P$9:P$229,Nutrients!$EU$8:$EU$228)+(IF($A$7=Nutrients!$B$8,Nutrients!$EU$8,Nutrients!$EU$9)*P$7)+(((IF($A$8=Nutrients!$B$79,Nutrients!$EU$79,(IF($A$8=Nutrients!$B$77,Nutrients!$EU$77,Nutrients!$EU$78)))))*P$8))</f>
        <v>24000</v>
      </c>
      <c r="Q330" s="21">
        <f>(SUMPRODUCT(Q$9:Q$229,Nutrients!$EU$8:$EU$228)+(IF($A$7=Nutrients!$B$8,Nutrients!$EU$8,Nutrients!$EU$9)*Q$7)+(((IF($A$8=Nutrients!$B$79,Nutrients!$EU$79,(IF($A$8=Nutrients!$B$77,Nutrients!$EU$77,Nutrients!$EU$78)))))*Q$8))</f>
        <v>24000</v>
      </c>
      <c r="R330" s="21">
        <f>(SUMPRODUCT(R$9:R$229,Nutrients!$EU$8:$EU$228)+(IF($A$7=Nutrients!$B$8,Nutrients!$EU$8,Nutrients!$EU$9)*R$7)+(((IF($A$8=Nutrients!$B$79,Nutrients!$EU$79,(IF($A$8=Nutrients!$B$77,Nutrients!$EU$77,Nutrients!$EU$78)))))*R$8))</f>
        <v>20000</v>
      </c>
      <c r="S330" s="21">
        <f>(SUMPRODUCT(S$9:S$229,Nutrients!$EU$8:$EU$228)+(IF($A$7=Nutrients!$B$8,Nutrients!$EU$8,Nutrients!$EU$9)*S$7)+(((IF($A$8=Nutrients!$B$79,Nutrients!$EU$79,(IF($A$8=Nutrients!$B$77,Nutrients!$EU$77,Nutrients!$EU$78)))))*S$8))</f>
        <v>16000</v>
      </c>
      <c r="T330" s="21">
        <f>(SUMPRODUCT(T$9:T$229,Nutrients!$EU$8:$EU$228)+(IF($A$7=Nutrients!$B$8,Nutrients!$EU$8,Nutrients!$EU$9)*T$7)+(((IF($A$8=Nutrients!$B$79,Nutrients!$EU$79,(IF($A$8=Nutrients!$B$77,Nutrients!$EU$77,Nutrients!$EU$78)))))*T$8))</f>
        <v>12000</v>
      </c>
      <c r="U330" s="21">
        <f>(SUMPRODUCT(U$9:U$229,Nutrients!$EU$8:$EU$228)+(IF($A$7=Nutrients!$B$8,Nutrients!$EU$8,Nutrients!$EU$9)*U$7)+(((IF($A$8=Nutrients!$B$79,Nutrients!$EU$79,(IF($A$8=Nutrients!$B$77,Nutrients!$EU$77,Nutrients!$EU$78)))))*U$8))</f>
        <v>12000</v>
      </c>
      <c r="W330" s="21">
        <f>(SUMPRODUCT(W$9:W$229,Nutrients!$EU$8:$EU$228)+(IF($A$7=Nutrients!$B$8,Nutrients!$EU$8,Nutrients!$EU$9)*W$7)+(((IF($A$8=Nutrients!$B$79,Nutrients!$EU$79,(IF($A$8=Nutrients!$B$77,Nutrients!$EU$77,Nutrients!$EU$78)))))*W$8))</f>
        <v>24000</v>
      </c>
      <c r="X330" s="21">
        <f>(SUMPRODUCT(X$9:X$229,Nutrients!$EU$8:$EU$228)+(IF($A$7=Nutrients!$B$8,Nutrients!$EU$8,Nutrients!$EU$9)*X$7)+(((IF($A$8=Nutrients!$B$79,Nutrients!$EU$79,(IF($A$8=Nutrients!$B$77,Nutrients!$EU$77,Nutrients!$EU$78)))))*X$8))</f>
        <v>24000</v>
      </c>
      <c r="Y330" s="21">
        <f>(SUMPRODUCT(Y$9:Y$229,Nutrients!$EU$8:$EU$228)+(IF($A$7=Nutrients!$B$8,Nutrients!$EU$8,Nutrients!$EU$9)*Y$7)+(((IF($A$8=Nutrients!$B$79,Nutrients!$EU$79,(IF($A$8=Nutrients!$B$77,Nutrients!$EU$77,Nutrients!$EU$78)))))*Y$8))</f>
        <v>20000</v>
      </c>
      <c r="Z330" s="21">
        <f>(SUMPRODUCT(Z$9:Z$229,Nutrients!$EU$8:$EU$228)+(IF($A$7=Nutrients!$B$8,Nutrients!$EU$8,Nutrients!$EU$9)*Z$7)+(((IF($A$8=Nutrients!$B$79,Nutrients!$EU$79,(IF($A$8=Nutrients!$B$77,Nutrients!$EU$77,Nutrients!$EU$78)))))*Z$8))</f>
        <v>16000</v>
      </c>
      <c r="AA330" s="21">
        <f>(SUMPRODUCT(AA$9:AA$229,Nutrients!$EU$8:$EU$228)+(IF($A$7=Nutrients!$B$8,Nutrients!$EU$8,Nutrients!$EU$9)*AA$7)+(((IF($A$8=Nutrients!$B$79,Nutrients!$EU$79,(IF($A$8=Nutrients!$B$77,Nutrients!$EU$77,Nutrients!$EU$78)))))*AA$8))</f>
        <v>12000</v>
      </c>
      <c r="AB330" s="21">
        <f>(SUMPRODUCT(AB$9:AB$229,Nutrients!$EU$8:$EU$228)+(IF($A$7=Nutrients!$B$8,Nutrients!$EU$8,Nutrients!$EU$9)*AB$7)+(((IF($A$8=Nutrients!$B$79,Nutrients!$EU$79,(IF($A$8=Nutrients!$B$77,Nutrients!$EU$77,Nutrients!$EU$78)))))*AB$8))</f>
        <v>12000</v>
      </c>
      <c r="AD330" s="21">
        <f>(SUMPRODUCT(AD$9:AD$229,Nutrients!$EU$8:$EU$228)+(IF($A$7=Nutrients!$B$8,Nutrients!$EU$8,Nutrients!$EU$9)*AD$7)+(((IF($A$8=Nutrients!$B$79,Nutrients!$EU$79,(IF($A$8=Nutrients!$B$77,Nutrients!$EU$77,Nutrients!$EU$78)))))*AD$8))</f>
        <v>24000</v>
      </c>
      <c r="AE330" s="21">
        <f>(SUMPRODUCT(AE$9:AE$229,Nutrients!$EU$8:$EU$228)+(IF($A$7=Nutrients!$B$8,Nutrients!$EU$8,Nutrients!$EU$9)*AE$7)+(((IF($A$8=Nutrients!$B$79,Nutrients!$EU$79,(IF($A$8=Nutrients!$B$77,Nutrients!$EU$77,Nutrients!$EU$78)))))*AE$8))</f>
        <v>24000</v>
      </c>
      <c r="AF330" s="21">
        <f>(SUMPRODUCT(AF$9:AF$229,Nutrients!$EU$8:$EU$228)+(IF($A$7=Nutrients!$B$8,Nutrients!$EU$8,Nutrients!$EU$9)*AF$7)+(((IF($A$8=Nutrients!$B$79,Nutrients!$EU$79,(IF($A$8=Nutrients!$B$77,Nutrients!$EU$77,Nutrients!$EU$78)))))*AF$8))</f>
        <v>20000</v>
      </c>
      <c r="AG330" s="21">
        <f>(SUMPRODUCT(AG$9:AG$229,Nutrients!$EU$8:$EU$228)+(IF($A$7=Nutrients!$B$8,Nutrients!$EU$8,Nutrients!$EU$9)*AG$7)+(((IF($A$8=Nutrients!$B$79,Nutrients!$EU$79,(IF($A$8=Nutrients!$B$77,Nutrients!$EU$77,Nutrients!$EU$78)))))*AG$8))</f>
        <v>16000</v>
      </c>
      <c r="AH330" s="21">
        <f>(SUMPRODUCT(AH$9:AH$229,Nutrients!$EU$8:$EU$228)+(IF($A$7=Nutrients!$B$8,Nutrients!$EU$8,Nutrients!$EU$9)*AH$7)+(((IF($A$8=Nutrients!$B$79,Nutrients!$EU$79,(IF($A$8=Nutrients!$B$77,Nutrients!$EU$77,Nutrients!$EU$78)))))*AH$8))</f>
        <v>12000</v>
      </c>
      <c r="AI330" s="21">
        <f>(SUMPRODUCT(AI$9:AI$229,Nutrients!$EU$8:$EU$228)+(IF($A$7=Nutrients!$B$8,Nutrients!$EU$8,Nutrients!$EU$9)*AI$7)+(((IF($A$8=Nutrients!$B$79,Nutrients!$EU$79,(IF($A$8=Nutrients!$B$77,Nutrients!$EU$77,Nutrients!$EU$78)))))*AI$8))</f>
        <v>12000</v>
      </c>
      <c r="AK330" s="21">
        <f>(SUMPRODUCT(AK$9:AK$229,Nutrients!$EU$8:$EU$228)+(IF($A$7=Nutrients!$B$8,Nutrients!$EU$8,Nutrients!$EU$9)*AK$7)+(((IF($A$8=Nutrients!$B$79,Nutrients!$EU$79,(IF($A$8=Nutrients!$B$77,Nutrients!$EU$77,Nutrients!$EU$78)))))*AK$8))</f>
        <v>24000</v>
      </c>
      <c r="AL330" s="21">
        <f>(SUMPRODUCT(AL$9:AL$229,Nutrients!$EU$8:$EU$228)+(IF($A$7=Nutrients!$B$8,Nutrients!$EU$8,Nutrients!$EU$9)*AL$7)+(((IF($A$8=Nutrients!$B$79,Nutrients!$EU$79,(IF($A$8=Nutrients!$B$77,Nutrients!$EU$77,Nutrients!$EU$78)))))*AL$8))</f>
        <v>24000</v>
      </c>
      <c r="AM330" s="21">
        <f>(SUMPRODUCT(AM$9:AM$229,Nutrients!$EU$8:$EU$228)+(IF($A$7=Nutrients!$B$8,Nutrients!$EU$8,Nutrients!$EU$9)*AM$7)+(((IF($A$8=Nutrients!$B$79,Nutrients!$EU$79,(IF($A$8=Nutrients!$B$77,Nutrients!$EU$77,Nutrients!$EU$78)))))*AM$8))</f>
        <v>20000</v>
      </c>
      <c r="AN330" s="21">
        <f>(SUMPRODUCT(AN$9:AN$229,Nutrients!$EU$8:$EU$228)+(IF($A$7=Nutrients!$B$8,Nutrients!$EU$8,Nutrients!$EU$9)*AN$7)+(((IF($A$8=Nutrients!$B$79,Nutrients!$EU$79,(IF($A$8=Nutrients!$B$77,Nutrients!$EU$77,Nutrients!$EU$78)))))*AN$8))</f>
        <v>16000</v>
      </c>
      <c r="AO330" s="21">
        <f>(SUMPRODUCT(AO$9:AO$229,Nutrients!$EU$8:$EU$228)+(IF($A$7=Nutrients!$B$8,Nutrients!$EU$8,Nutrients!$EU$9)*AO$7)+(((IF($A$8=Nutrients!$B$79,Nutrients!$EU$79,(IF($A$8=Nutrients!$B$77,Nutrients!$EU$77,Nutrients!$EU$78)))))*AO$8))</f>
        <v>12000</v>
      </c>
      <c r="AP330" s="21">
        <f>(SUMPRODUCT(AP$9:AP$229,Nutrients!$EU$8:$EU$228)+(IF($A$7=Nutrients!$B$8,Nutrients!$EU$8,Nutrients!$EU$9)*AP$7)+(((IF($A$8=Nutrients!$B$79,Nutrients!$EU$79,(IF($A$8=Nutrients!$B$77,Nutrients!$EU$77,Nutrients!$EU$78)))))*AP$8))</f>
        <v>12000</v>
      </c>
      <c r="AR330" s="21">
        <f>(SUMPRODUCT(AR$9:AR$229,Nutrients!$EU$8:$EU$228)+(IF($A$7=Nutrients!$B$8,Nutrients!$EU$8,Nutrients!$EU$9)*AR$7)+(((IF($A$8=Nutrients!$B$79,Nutrients!$EU$79,(IF($A$8=Nutrients!$B$77,Nutrients!$EU$77,Nutrients!$EU$78)))))*AR$8))</f>
        <v>24000</v>
      </c>
      <c r="AS330" s="21">
        <f>(SUMPRODUCT(AS$9:AS$229,Nutrients!$EU$8:$EU$228)+(IF($A$7=Nutrients!$B$8,Nutrients!$EU$8,Nutrients!$EU$9)*AS$7)+(((IF($A$8=Nutrients!$B$79,Nutrients!$EU$79,(IF($A$8=Nutrients!$B$77,Nutrients!$EU$77,Nutrients!$EU$78)))))*AS$8))</f>
        <v>24000</v>
      </c>
      <c r="AT330" s="21">
        <f>(SUMPRODUCT(AT$9:AT$229,Nutrients!$EU$8:$EU$228)+(IF($A$7=Nutrients!$B$8,Nutrients!$EU$8,Nutrients!$EU$9)*AT$7)+(((IF($A$8=Nutrients!$B$79,Nutrients!$EU$79,(IF($A$8=Nutrients!$B$77,Nutrients!$EU$77,Nutrients!$EU$78)))))*AT$8))</f>
        <v>20000</v>
      </c>
      <c r="AU330" s="21">
        <f>(SUMPRODUCT(AU$9:AU$229,Nutrients!$EU$8:$EU$228)+(IF($A$7=Nutrients!$B$8,Nutrients!$EU$8,Nutrients!$EU$9)*AU$7)+(((IF($A$8=Nutrients!$B$79,Nutrients!$EU$79,(IF($A$8=Nutrients!$B$77,Nutrients!$EU$77,Nutrients!$EU$78)))))*AU$8))</f>
        <v>16000</v>
      </c>
      <c r="AV330" s="21">
        <f>(SUMPRODUCT(AV$9:AV$229,Nutrients!$EU$8:$EU$228)+(IF($A$7=Nutrients!$B$8,Nutrients!$EU$8,Nutrients!$EU$9)*AV$7)+(((IF($A$8=Nutrients!$B$79,Nutrients!$EU$79,(IF($A$8=Nutrients!$B$77,Nutrients!$EU$77,Nutrients!$EU$78)))))*AV$8))</f>
        <v>12000</v>
      </c>
      <c r="AW330" s="21">
        <f>(SUMPRODUCT(AW$9:AW$229,Nutrients!$EU$8:$EU$228)+(IF($A$7=Nutrients!$B$8,Nutrients!$EU$8,Nutrients!$EU$9)*AW$7)+(((IF($A$8=Nutrients!$B$79,Nutrients!$EU$79,(IF($A$8=Nutrients!$B$77,Nutrients!$EU$77,Nutrients!$EU$78)))))*AW$8))</f>
        <v>12000</v>
      </c>
    </row>
    <row r="331" spans="1:49" x14ac:dyDescent="0.25">
      <c r="A331" s="34" t="s">
        <v>124</v>
      </c>
      <c r="B331" s="21">
        <f>(SUMPRODUCT(B$9:B$229,Nutrients!$EV$8:$EV$228)+(IF($A$7=Nutrients!$B$8,Nutrients!$EV$8,Nutrients!$EV$9)*B$7)+(((IF($A$8=Nutrients!$B$79,Nutrients!$EV$79,(IF($A$8=Nutrients!$B$77,Nutrients!$EV$77,Nutrients!$EV$78)))))*B$8))</f>
        <v>1800</v>
      </c>
      <c r="C331" s="21">
        <f>(SUMPRODUCT(C$9:C$229,Nutrients!$EV$8:$EV$228)+(IF($A$7=Nutrients!$B$8,Nutrients!$EV$8,Nutrients!$EV$9)*C$7)+(((IF($A$8=Nutrients!$B$79,Nutrients!$EV$79,(IF($A$8=Nutrients!$B$77,Nutrients!$EV$77,Nutrients!$EV$78)))))*C$8))</f>
        <v>1800</v>
      </c>
      <c r="D331" s="21">
        <f>(SUMPRODUCT(D$9:D$229,Nutrients!$EV$8:$EV$228)+(IF($A$7=Nutrients!$B$8,Nutrients!$EV$8,Nutrients!$EV$9)*D$7)+(((IF($A$8=Nutrients!$B$79,Nutrients!$EV$79,(IF($A$8=Nutrients!$B$77,Nutrients!$EV$77,Nutrients!$EV$78)))))*D$8))</f>
        <v>1500</v>
      </c>
      <c r="E331" s="21">
        <f>(SUMPRODUCT(E$9:E$229,Nutrients!$EV$8:$EV$228)+(IF($A$7=Nutrients!$B$8,Nutrients!$EV$8,Nutrients!$EV$9)*E$7)+(((IF($A$8=Nutrients!$B$79,Nutrients!$EV$79,(IF($A$8=Nutrients!$B$77,Nutrients!$EV$77,Nutrients!$EV$78)))))*E$8))</f>
        <v>1200</v>
      </c>
      <c r="F331" s="21">
        <f>(SUMPRODUCT(F$9:F$229,Nutrients!$EV$8:$EV$228)+(IF($A$7=Nutrients!$B$8,Nutrients!$EV$8,Nutrients!$EV$9)*F$7)+(((IF($A$8=Nutrients!$B$79,Nutrients!$EV$79,(IF($A$8=Nutrients!$B$77,Nutrients!$EV$77,Nutrients!$EV$78)))))*F$8))</f>
        <v>900</v>
      </c>
      <c r="G331" s="21">
        <f>(SUMPRODUCT(G$9:G$229,Nutrients!$EV$8:$EV$228)+(IF($A$7=Nutrients!$B$8,Nutrients!$EV$8,Nutrients!$EV$9)*G$7)+(((IF($A$8=Nutrients!$B$79,Nutrients!$EV$79,(IF($A$8=Nutrients!$B$77,Nutrients!$EV$77,Nutrients!$EV$78)))))*G$8))</f>
        <v>900</v>
      </c>
      <c r="H331" s="226"/>
      <c r="I331" s="21">
        <f>(SUMPRODUCT(I$9:I$229,Nutrients!$EV$8:$EV$228)+(IF($A$7=Nutrients!$B$8,Nutrients!$EV$8,Nutrients!$EV$9)*I$7)+(((IF($A$8=Nutrients!$B$79,Nutrients!$EV$79,(IF($A$8=Nutrients!$B$77,Nutrients!$EV$77,Nutrients!$EV$78)))))*I$8))</f>
        <v>1800</v>
      </c>
      <c r="J331" s="21">
        <f>(SUMPRODUCT(J$9:J$229,Nutrients!$EV$8:$EV$228)+(IF($A$7=Nutrients!$B$8,Nutrients!$EV$8,Nutrients!$EV$9)*J$7)+(((IF($A$8=Nutrients!$B$79,Nutrients!$EV$79,(IF($A$8=Nutrients!$B$77,Nutrients!$EV$77,Nutrients!$EV$78)))))*J$8))</f>
        <v>1800</v>
      </c>
      <c r="K331" s="21">
        <f>(SUMPRODUCT(K$9:K$229,Nutrients!$EV$8:$EV$228)+(IF($A$7=Nutrients!$B$8,Nutrients!$EV$8,Nutrients!$EV$9)*K$7)+(((IF($A$8=Nutrients!$B$79,Nutrients!$EV$79,(IF($A$8=Nutrients!$B$77,Nutrients!$EV$77,Nutrients!$EV$78)))))*K$8))</f>
        <v>1500</v>
      </c>
      <c r="L331" s="21">
        <f>(SUMPRODUCT(L$9:L$229,Nutrients!$EV$8:$EV$228)+(IF($A$7=Nutrients!$B$8,Nutrients!$EV$8,Nutrients!$EV$9)*L$7)+(((IF($A$8=Nutrients!$B$79,Nutrients!$EV$79,(IF($A$8=Nutrients!$B$77,Nutrients!$EV$77,Nutrients!$EV$78)))))*L$8))</f>
        <v>1200</v>
      </c>
      <c r="M331" s="21">
        <f>(SUMPRODUCT(M$9:M$229,Nutrients!$EV$8:$EV$228)+(IF($A$7=Nutrients!$B$8,Nutrients!$EV$8,Nutrients!$EV$9)*M$7)+(((IF($A$8=Nutrients!$B$79,Nutrients!$EV$79,(IF($A$8=Nutrients!$B$77,Nutrients!$EV$77,Nutrients!$EV$78)))))*M$8))</f>
        <v>900</v>
      </c>
      <c r="N331" s="21">
        <f>(SUMPRODUCT(N$9:N$229,Nutrients!$EV$8:$EV$228)+(IF($A$7=Nutrients!$B$8,Nutrients!$EV$8,Nutrients!$EV$9)*N$7)+(((IF($A$8=Nutrients!$B$79,Nutrients!$EV$79,(IF($A$8=Nutrients!$B$77,Nutrients!$EV$77,Nutrients!$EV$78)))))*N$8))</f>
        <v>900</v>
      </c>
      <c r="O331" s="234"/>
      <c r="P331" s="21">
        <f>(SUMPRODUCT(P$9:P$229,Nutrients!$EV$8:$EV$228)+(IF($A$7=Nutrients!$B$8,Nutrients!$EV$8,Nutrients!$EV$9)*P$7)+(((IF($A$8=Nutrients!$B$79,Nutrients!$EV$79,(IF($A$8=Nutrients!$B$77,Nutrients!$EV$77,Nutrients!$EV$78)))))*P$8))</f>
        <v>1800</v>
      </c>
      <c r="Q331" s="21">
        <f>(SUMPRODUCT(Q$9:Q$229,Nutrients!$EV$8:$EV$228)+(IF($A$7=Nutrients!$B$8,Nutrients!$EV$8,Nutrients!$EV$9)*Q$7)+(((IF($A$8=Nutrients!$B$79,Nutrients!$EV$79,(IF($A$8=Nutrients!$B$77,Nutrients!$EV$77,Nutrients!$EV$78)))))*Q$8))</f>
        <v>1800</v>
      </c>
      <c r="R331" s="21">
        <f>(SUMPRODUCT(R$9:R$229,Nutrients!$EV$8:$EV$228)+(IF($A$7=Nutrients!$B$8,Nutrients!$EV$8,Nutrients!$EV$9)*R$7)+(((IF($A$8=Nutrients!$B$79,Nutrients!$EV$79,(IF($A$8=Nutrients!$B$77,Nutrients!$EV$77,Nutrients!$EV$78)))))*R$8))</f>
        <v>1500</v>
      </c>
      <c r="S331" s="21">
        <f>(SUMPRODUCT(S$9:S$229,Nutrients!$EV$8:$EV$228)+(IF($A$7=Nutrients!$B$8,Nutrients!$EV$8,Nutrients!$EV$9)*S$7)+(((IF($A$8=Nutrients!$B$79,Nutrients!$EV$79,(IF($A$8=Nutrients!$B$77,Nutrients!$EV$77,Nutrients!$EV$78)))))*S$8))</f>
        <v>1200</v>
      </c>
      <c r="T331" s="21">
        <f>(SUMPRODUCT(T$9:T$229,Nutrients!$EV$8:$EV$228)+(IF($A$7=Nutrients!$B$8,Nutrients!$EV$8,Nutrients!$EV$9)*T$7)+(((IF($A$8=Nutrients!$B$79,Nutrients!$EV$79,(IF($A$8=Nutrients!$B$77,Nutrients!$EV$77,Nutrients!$EV$78)))))*T$8))</f>
        <v>900</v>
      </c>
      <c r="U331" s="21">
        <f>(SUMPRODUCT(U$9:U$229,Nutrients!$EV$8:$EV$228)+(IF($A$7=Nutrients!$B$8,Nutrients!$EV$8,Nutrients!$EV$9)*U$7)+(((IF($A$8=Nutrients!$B$79,Nutrients!$EV$79,(IF($A$8=Nutrients!$B$77,Nutrients!$EV$77,Nutrients!$EV$78)))))*U$8))</f>
        <v>900</v>
      </c>
      <c r="W331" s="21">
        <f>(SUMPRODUCT(W$9:W$229,Nutrients!$EV$8:$EV$228)+(IF($A$7=Nutrients!$B$8,Nutrients!$EV$8,Nutrients!$EV$9)*W$7)+(((IF($A$8=Nutrients!$B$79,Nutrients!$EV$79,(IF($A$8=Nutrients!$B$77,Nutrients!$EV$77,Nutrients!$EV$78)))))*W$8))</f>
        <v>1800</v>
      </c>
      <c r="X331" s="21">
        <f>(SUMPRODUCT(X$9:X$229,Nutrients!$EV$8:$EV$228)+(IF($A$7=Nutrients!$B$8,Nutrients!$EV$8,Nutrients!$EV$9)*X$7)+(((IF($A$8=Nutrients!$B$79,Nutrients!$EV$79,(IF($A$8=Nutrients!$B$77,Nutrients!$EV$77,Nutrients!$EV$78)))))*X$8))</f>
        <v>1800</v>
      </c>
      <c r="Y331" s="21">
        <f>(SUMPRODUCT(Y$9:Y$229,Nutrients!$EV$8:$EV$228)+(IF($A$7=Nutrients!$B$8,Nutrients!$EV$8,Nutrients!$EV$9)*Y$7)+(((IF($A$8=Nutrients!$B$79,Nutrients!$EV$79,(IF($A$8=Nutrients!$B$77,Nutrients!$EV$77,Nutrients!$EV$78)))))*Y$8))</f>
        <v>1500</v>
      </c>
      <c r="Z331" s="21">
        <f>(SUMPRODUCT(Z$9:Z$229,Nutrients!$EV$8:$EV$228)+(IF($A$7=Nutrients!$B$8,Nutrients!$EV$8,Nutrients!$EV$9)*Z$7)+(((IF($A$8=Nutrients!$B$79,Nutrients!$EV$79,(IF($A$8=Nutrients!$B$77,Nutrients!$EV$77,Nutrients!$EV$78)))))*Z$8))</f>
        <v>1200</v>
      </c>
      <c r="AA331" s="21">
        <f>(SUMPRODUCT(AA$9:AA$229,Nutrients!$EV$8:$EV$228)+(IF($A$7=Nutrients!$B$8,Nutrients!$EV$8,Nutrients!$EV$9)*AA$7)+(((IF($A$8=Nutrients!$B$79,Nutrients!$EV$79,(IF($A$8=Nutrients!$B$77,Nutrients!$EV$77,Nutrients!$EV$78)))))*AA$8))</f>
        <v>900</v>
      </c>
      <c r="AB331" s="21">
        <f>(SUMPRODUCT(AB$9:AB$229,Nutrients!$EV$8:$EV$228)+(IF($A$7=Nutrients!$B$8,Nutrients!$EV$8,Nutrients!$EV$9)*AB$7)+(((IF($A$8=Nutrients!$B$79,Nutrients!$EV$79,(IF($A$8=Nutrients!$B$77,Nutrients!$EV$77,Nutrients!$EV$78)))))*AB$8))</f>
        <v>900</v>
      </c>
      <c r="AD331" s="21">
        <f>(SUMPRODUCT(AD$9:AD$229,Nutrients!$EV$8:$EV$228)+(IF($A$7=Nutrients!$B$8,Nutrients!$EV$8,Nutrients!$EV$9)*AD$7)+(((IF($A$8=Nutrients!$B$79,Nutrients!$EV$79,(IF($A$8=Nutrients!$B$77,Nutrients!$EV$77,Nutrients!$EV$78)))))*AD$8))</f>
        <v>1800</v>
      </c>
      <c r="AE331" s="21">
        <f>(SUMPRODUCT(AE$9:AE$229,Nutrients!$EV$8:$EV$228)+(IF($A$7=Nutrients!$B$8,Nutrients!$EV$8,Nutrients!$EV$9)*AE$7)+(((IF($A$8=Nutrients!$B$79,Nutrients!$EV$79,(IF($A$8=Nutrients!$B$77,Nutrients!$EV$77,Nutrients!$EV$78)))))*AE$8))</f>
        <v>1800</v>
      </c>
      <c r="AF331" s="21">
        <f>(SUMPRODUCT(AF$9:AF$229,Nutrients!$EV$8:$EV$228)+(IF($A$7=Nutrients!$B$8,Nutrients!$EV$8,Nutrients!$EV$9)*AF$7)+(((IF($A$8=Nutrients!$B$79,Nutrients!$EV$79,(IF($A$8=Nutrients!$B$77,Nutrients!$EV$77,Nutrients!$EV$78)))))*AF$8))</f>
        <v>1500</v>
      </c>
      <c r="AG331" s="21">
        <f>(SUMPRODUCT(AG$9:AG$229,Nutrients!$EV$8:$EV$228)+(IF($A$7=Nutrients!$B$8,Nutrients!$EV$8,Nutrients!$EV$9)*AG$7)+(((IF($A$8=Nutrients!$B$79,Nutrients!$EV$79,(IF($A$8=Nutrients!$B$77,Nutrients!$EV$77,Nutrients!$EV$78)))))*AG$8))</f>
        <v>1200</v>
      </c>
      <c r="AH331" s="21">
        <f>(SUMPRODUCT(AH$9:AH$229,Nutrients!$EV$8:$EV$228)+(IF($A$7=Nutrients!$B$8,Nutrients!$EV$8,Nutrients!$EV$9)*AH$7)+(((IF($A$8=Nutrients!$B$79,Nutrients!$EV$79,(IF($A$8=Nutrients!$B$77,Nutrients!$EV$77,Nutrients!$EV$78)))))*AH$8))</f>
        <v>900</v>
      </c>
      <c r="AI331" s="21">
        <f>(SUMPRODUCT(AI$9:AI$229,Nutrients!$EV$8:$EV$228)+(IF($A$7=Nutrients!$B$8,Nutrients!$EV$8,Nutrients!$EV$9)*AI$7)+(((IF($A$8=Nutrients!$B$79,Nutrients!$EV$79,(IF($A$8=Nutrients!$B$77,Nutrients!$EV$77,Nutrients!$EV$78)))))*AI$8))</f>
        <v>900</v>
      </c>
      <c r="AK331" s="21">
        <f>(SUMPRODUCT(AK$9:AK$229,Nutrients!$EV$8:$EV$228)+(IF($A$7=Nutrients!$B$8,Nutrients!$EV$8,Nutrients!$EV$9)*AK$7)+(((IF($A$8=Nutrients!$B$79,Nutrients!$EV$79,(IF($A$8=Nutrients!$B$77,Nutrients!$EV$77,Nutrients!$EV$78)))))*AK$8))</f>
        <v>1800</v>
      </c>
      <c r="AL331" s="21">
        <f>(SUMPRODUCT(AL$9:AL$229,Nutrients!$EV$8:$EV$228)+(IF($A$7=Nutrients!$B$8,Nutrients!$EV$8,Nutrients!$EV$9)*AL$7)+(((IF($A$8=Nutrients!$B$79,Nutrients!$EV$79,(IF($A$8=Nutrients!$B$77,Nutrients!$EV$77,Nutrients!$EV$78)))))*AL$8))</f>
        <v>1800</v>
      </c>
      <c r="AM331" s="21">
        <f>(SUMPRODUCT(AM$9:AM$229,Nutrients!$EV$8:$EV$228)+(IF($A$7=Nutrients!$B$8,Nutrients!$EV$8,Nutrients!$EV$9)*AM$7)+(((IF($A$8=Nutrients!$B$79,Nutrients!$EV$79,(IF($A$8=Nutrients!$B$77,Nutrients!$EV$77,Nutrients!$EV$78)))))*AM$8))</f>
        <v>1500</v>
      </c>
      <c r="AN331" s="21">
        <f>(SUMPRODUCT(AN$9:AN$229,Nutrients!$EV$8:$EV$228)+(IF($A$7=Nutrients!$B$8,Nutrients!$EV$8,Nutrients!$EV$9)*AN$7)+(((IF($A$8=Nutrients!$B$79,Nutrients!$EV$79,(IF($A$8=Nutrients!$B$77,Nutrients!$EV$77,Nutrients!$EV$78)))))*AN$8))</f>
        <v>1200</v>
      </c>
      <c r="AO331" s="21">
        <f>(SUMPRODUCT(AO$9:AO$229,Nutrients!$EV$8:$EV$228)+(IF($A$7=Nutrients!$B$8,Nutrients!$EV$8,Nutrients!$EV$9)*AO$7)+(((IF($A$8=Nutrients!$B$79,Nutrients!$EV$79,(IF($A$8=Nutrients!$B$77,Nutrients!$EV$77,Nutrients!$EV$78)))))*AO$8))</f>
        <v>900</v>
      </c>
      <c r="AP331" s="21">
        <f>(SUMPRODUCT(AP$9:AP$229,Nutrients!$EV$8:$EV$228)+(IF($A$7=Nutrients!$B$8,Nutrients!$EV$8,Nutrients!$EV$9)*AP$7)+(((IF($A$8=Nutrients!$B$79,Nutrients!$EV$79,(IF($A$8=Nutrients!$B$77,Nutrients!$EV$77,Nutrients!$EV$78)))))*AP$8))</f>
        <v>900</v>
      </c>
      <c r="AR331" s="21">
        <f>(SUMPRODUCT(AR$9:AR$229,Nutrients!$EV$8:$EV$228)+(IF($A$7=Nutrients!$B$8,Nutrients!$EV$8,Nutrients!$EV$9)*AR$7)+(((IF($A$8=Nutrients!$B$79,Nutrients!$EV$79,(IF($A$8=Nutrients!$B$77,Nutrients!$EV$77,Nutrients!$EV$78)))))*AR$8))</f>
        <v>1800</v>
      </c>
      <c r="AS331" s="21">
        <f>(SUMPRODUCT(AS$9:AS$229,Nutrients!$EV$8:$EV$228)+(IF($A$7=Nutrients!$B$8,Nutrients!$EV$8,Nutrients!$EV$9)*AS$7)+(((IF($A$8=Nutrients!$B$79,Nutrients!$EV$79,(IF($A$8=Nutrients!$B$77,Nutrients!$EV$77,Nutrients!$EV$78)))))*AS$8))</f>
        <v>1800</v>
      </c>
      <c r="AT331" s="21">
        <f>(SUMPRODUCT(AT$9:AT$229,Nutrients!$EV$8:$EV$228)+(IF($A$7=Nutrients!$B$8,Nutrients!$EV$8,Nutrients!$EV$9)*AT$7)+(((IF($A$8=Nutrients!$B$79,Nutrients!$EV$79,(IF($A$8=Nutrients!$B$77,Nutrients!$EV$77,Nutrients!$EV$78)))))*AT$8))</f>
        <v>1500</v>
      </c>
      <c r="AU331" s="21">
        <f>(SUMPRODUCT(AU$9:AU$229,Nutrients!$EV$8:$EV$228)+(IF($A$7=Nutrients!$B$8,Nutrients!$EV$8,Nutrients!$EV$9)*AU$7)+(((IF($A$8=Nutrients!$B$79,Nutrients!$EV$79,(IF($A$8=Nutrients!$B$77,Nutrients!$EV$77,Nutrients!$EV$78)))))*AU$8))</f>
        <v>1200</v>
      </c>
      <c r="AV331" s="21">
        <f>(SUMPRODUCT(AV$9:AV$229,Nutrients!$EV$8:$EV$228)+(IF($A$7=Nutrients!$B$8,Nutrients!$EV$8,Nutrients!$EV$9)*AV$7)+(((IF($A$8=Nutrients!$B$79,Nutrients!$EV$79,(IF($A$8=Nutrients!$B$77,Nutrients!$EV$77,Nutrients!$EV$78)))))*AV$8))</f>
        <v>900</v>
      </c>
      <c r="AW331" s="21">
        <f>(SUMPRODUCT(AW$9:AW$229,Nutrients!$EV$8:$EV$228)+(IF($A$7=Nutrients!$B$8,Nutrients!$EV$8,Nutrients!$EV$9)*AW$7)+(((IF($A$8=Nutrients!$B$79,Nutrients!$EV$79,(IF($A$8=Nutrients!$B$77,Nutrients!$EV$77,Nutrients!$EV$78)))))*AW$8))</f>
        <v>900</v>
      </c>
    </row>
    <row r="332" spans="1:49" x14ac:dyDescent="0.25">
      <c r="A332" s="34" t="s">
        <v>125</v>
      </c>
      <c r="B332" s="21">
        <f>(SUMPRODUCT(B$9:B$229,Nutrients!$EW$8:$EW$228)+(IF($A$7=Nutrients!$B$8,Nutrients!$EW$8,Nutrients!$EW$9)*B$7)+(((IF($A$8=Nutrients!$B$79,Nutrients!$EW$79,(IF($A$8=Nutrients!$B$77,Nutrients!$EW$77,Nutrients!$EW$78)))))*B$8))</f>
        <v>18</v>
      </c>
      <c r="C332" s="21">
        <f>(SUMPRODUCT(C$9:C$229,Nutrients!$EW$8:$EW$228)+(IF($A$7=Nutrients!$B$8,Nutrients!$EW$8,Nutrients!$EW$9)*C$7)+(((IF($A$8=Nutrients!$B$79,Nutrients!$EW$79,(IF($A$8=Nutrients!$B$77,Nutrients!$EW$77,Nutrients!$EW$78)))))*C$8))</f>
        <v>18</v>
      </c>
      <c r="D332" s="21">
        <f>(SUMPRODUCT(D$9:D$229,Nutrients!$EW$8:$EW$228)+(IF($A$7=Nutrients!$B$8,Nutrients!$EW$8,Nutrients!$EW$9)*D$7)+(((IF($A$8=Nutrients!$B$79,Nutrients!$EW$79,(IF($A$8=Nutrients!$B$77,Nutrients!$EW$77,Nutrients!$EW$78)))))*D$8))</f>
        <v>15</v>
      </c>
      <c r="E332" s="21">
        <f>(SUMPRODUCT(E$9:E$229,Nutrients!$EW$8:$EW$228)+(IF($A$7=Nutrients!$B$8,Nutrients!$EW$8,Nutrients!$EW$9)*E$7)+(((IF($A$8=Nutrients!$B$79,Nutrients!$EW$79,(IF($A$8=Nutrients!$B$77,Nutrients!$EW$77,Nutrients!$EW$78)))))*E$8))</f>
        <v>12</v>
      </c>
      <c r="F332" s="21">
        <f>(SUMPRODUCT(F$9:F$229,Nutrients!$EW$8:$EW$228)+(IF($A$7=Nutrients!$B$8,Nutrients!$EW$8,Nutrients!$EW$9)*F$7)+(((IF($A$8=Nutrients!$B$79,Nutrients!$EW$79,(IF($A$8=Nutrients!$B$77,Nutrients!$EW$77,Nutrients!$EW$78)))))*F$8))</f>
        <v>9</v>
      </c>
      <c r="G332" s="21">
        <f>(SUMPRODUCT(G$9:G$229,Nutrients!$EW$8:$EW$228)+(IF($A$7=Nutrients!$B$8,Nutrients!$EW$8,Nutrients!$EW$9)*G$7)+(((IF($A$8=Nutrients!$B$79,Nutrients!$EW$79,(IF($A$8=Nutrients!$B$77,Nutrients!$EW$77,Nutrients!$EW$78)))))*G$8))</f>
        <v>9</v>
      </c>
      <c r="H332" s="226"/>
      <c r="I332" s="21">
        <f>(SUMPRODUCT(I$9:I$229,Nutrients!$EW$8:$EW$228)+(IF($A$7=Nutrients!$B$8,Nutrients!$EW$8,Nutrients!$EW$9)*I$7)+(((IF($A$8=Nutrients!$B$79,Nutrients!$EW$79,(IF($A$8=Nutrients!$B$77,Nutrients!$EW$77,Nutrients!$EW$78)))))*I$8))</f>
        <v>18</v>
      </c>
      <c r="J332" s="21">
        <f>(SUMPRODUCT(J$9:J$229,Nutrients!$EW$8:$EW$228)+(IF($A$7=Nutrients!$B$8,Nutrients!$EW$8,Nutrients!$EW$9)*J$7)+(((IF($A$8=Nutrients!$B$79,Nutrients!$EW$79,(IF($A$8=Nutrients!$B$77,Nutrients!$EW$77,Nutrients!$EW$78)))))*J$8))</f>
        <v>18</v>
      </c>
      <c r="K332" s="21">
        <f>(SUMPRODUCT(K$9:K$229,Nutrients!$EW$8:$EW$228)+(IF($A$7=Nutrients!$B$8,Nutrients!$EW$8,Nutrients!$EW$9)*K$7)+(((IF($A$8=Nutrients!$B$79,Nutrients!$EW$79,(IF($A$8=Nutrients!$B$77,Nutrients!$EW$77,Nutrients!$EW$78)))))*K$8))</f>
        <v>15</v>
      </c>
      <c r="L332" s="21">
        <f>(SUMPRODUCT(L$9:L$229,Nutrients!$EW$8:$EW$228)+(IF($A$7=Nutrients!$B$8,Nutrients!$EW$8,Nutrients!$EW$9)*L$7)+(((IF($A$8=Nutrients!$B$79,Nutrients!$EW$79,(IF($A$8=Nutrients!$B$77,Nutrients!$EW$77,Nutrients!$EW$78)))))*L$8))</f>
        <v>12</v>
      </c>
      <c r="M332" s="21">
        <f>(SUMPRODUCT(M$9:M$229,Nutrients!$EW$8:$EW$228)+(IF($A$7=Nutrients!$B$8,Nutrients!$EW$8,Nutrients!$EW$9)*M$7)+(((IF($A$8=Nutrients!$B$79,Nutrients!$EW$79,(IF($A$8=Nutrients!$B$77,Nutrients!$EW$77,Nutrients!$EW$78)))))*M$8))</f>
        <v>9</v>
      </c>
      <c r="N332" s="21">
        <f>(SUMPRODUCT(N$9:N$229,Nutrients!$EW$8:$EW$228)+(IF($A$7=Nutrients!$B$8,Nutrients!$EW$8,Nutrients!$EW$9)*N$7)+(((IF($A$8=Nutrients!$B$79,Nutrients!$EW$79,(IF($A$8=Nutrients!$B$77,Nutrients!$EW$77,Nutrients!$EW$78)))))*N$8))</f>
        <v>9</v>
      </c>
      <c r="O332" s="234"/>
      <c r="P332" s="21">
        <f>(SUMPRODUCT(P$9:P$229,Nutrients!$EW$8:$EW$228)+(IF($A$7=Nutrients!$B$8,Nutrients!$EW$8,Nutrients!$EW$9)*P$7)+(((IF($A$8=Nutrients!$B$79,Nutrients!$EW$79,(IF($A$8=Nutrients!$B$77,Nutrients!$EW$77,Nutrients!$EW$78)))))*P$8))</f>
        <v>18</v>
      </c>
      <c r="Q332" s="21">
        <f>(SUMPRODUCT(Q$9:Q$229,Nutrients!$EW$8:$EW$228)+(IF($A$7=Nutrients!$B$8,Nutrients!$EW$8,Nutrients!$EW$9)*Q$7)+(((IF($A$8=Nutrients!$B$79,Nutrients!$EW$79,(IF($A$8=Nutrients!$B$77,Nutrients!$EW$77,Nutrients!$EW$78)))))*Q$8))</f>
        <v>18</v>
      </c>
      <c r="R332" s="21">
        <f>(SUMPRODUCT(R$9:R$229,Nutrients!$EW$8:$EW$228)+(IF($A$7=Nutrients!$B$8,Nutrients!$EW$8,Nutrients!$EW$9)*R$7)+(((IF($A$8=Nutrients!$B$79,Nutrients!$EW$79,(IF($A$8=Nutrients!$B$77,Nutrients!$EW$77,Nutrients!$EW$78)))))*R$8))</f>
        <v>15</v>
      </c>
      <c r="S332" s="21">
        <f>(SUMPRODUCT(S$9:S$229,Nutrients!$EW$8:$EW$228)+(IF($A$7=Nutrients!$B$8,Nutrients!$EW$8,Nutrients!$EW$9)*S$7)+(((IF($A$8=Nutrients!$B$79,Nutrients!$EW$79,(IF($A$8=Nutrients!$B$77,Nutrients!$EW$77,Nutrients!$EW$78)))))*S$8))</f>
        <v>12</v>
      </c>
      <c r="T332" s="21">
        <f>(SUMPRODUCT(T$9:T$229,Nutrients!$EW$8:$EW$228)+(IF($A$7=Nutrients!$B$8,Nutrients!$EW$8,Nutrients!$EW$9)*T$7)+(((IF($A$8=Nutrients!$B$79,Nutrients!$EW$79,(IF($A$8=Nutrients!$B$77,Nutrients!$EW$77,Nutrients!$EW$78)))))*T$8))</f>
        <v>9</v>
      </c>
      <c r="U332" s="21">
        <f>(SUMPRODUCT(U$9:U$229,Nutrients!$EW$8:$EW$228)+(IF($A$7=Nutrients!$B$8,Nutrients!$EW$8,Nutrients!$EW$9)*U$7)+(((IF($A$8=Nutrients!$B$79,Nutrients!$EW$79,(IF($A$8=Nutrients!$B$77,Nutrients!$EW$77,Nutrients!$EW$78)))))*U$8))</f>
        <v>9</v>
      </c>
      <c r="W332" s="21">
        <f>(SUMPRODUCT(W$9:W$229,Nutrients!$EW$8:$EW$228)+(IF($A$7=Nutrients!$B$8,Nutrients!$EW$8,Nutrients!$EW$9)*W$7)+(((IF($A$8=Nutrients!$B$79,Nutrients!$EW$79,(IF($A$8=Nutrients!$B$77,Nutrients!$EW$77,Nutrients!$EW$78)))))*W$8))</f>
        <v>18</v>
      </c>
      <c r="X332" s="21">
        <f>(SUMPRODUCT(X$9:X$229,Nutrients!$EW$8:$EW$228)+(IF($A$7=Nutrients!$B$8,Nutrients!$EW$8,Nutrients!$EW$9)*X$7)+(((IF($A$8=Nutrients!$B$79,Nutrients!$EW$79,(IF($A$8=Nutrients!$B$77,Nutrients!$EW$77,Nutrients!$EW$78)))))*X$8))</f>
        <v>18</v>
      </c>
      <c r="Y332" s="21">
        <f>(SUMPRODUCT(Y$9:Y$229,Nutrients!$EW$8:$EW$228)+(IF($A$7=Nutrients!$B$8,Nutrients!$EW$8,Nutrients!$EW$9)*Y$7)+(((IF($A$8=Nutrients!$B$79,Nutrients!$EW$79,(IF($A$8=Nutrients!$B$77,Nutrients!$EW$77,Nutrients!$EW$78)))))*Y$8))</f>
        <v>15</v>
      </c>
      <c r="Z332" s="21">
        <f>(SUMPRODUCT(Z$9:Z$229,Nutrients!$EW$8:$EW$228)+(IF($A$7=Nutrients!$B$8,Nutrients!$EW$8,Nutrients!$EW$9)*Z$7)+(((IF($A$8=Nutrients!$B$79,Nutrients!$EW$79,(IF($A$8=Nutrients!$B$77,Nutrients!$EW$77,Nutrients!$EW$78)))))*Z$8))</f>
        <v>12</v>
      </c>
      <c r="AA332" s="21">
        <f>(SUMPRODUCT(AA$9:AA$229,Nutrients!$EW$8:$EW$228)+(IF($A$7=Nutrients!$B$8,Nutrients!$EW$8,Nutrients!$EW$9)*AA$7)+(((IF($A$8=Nutrients!$B$79,Nutrients!$EW$79,(IF($A$8=Nutrients!$B$77,Nutrients!$EW$77,Nutrients!$EW$78)))))*AA$8))</f>
        <v>9</v>
      </c>
      <c r="AB332" s="21">
        <f>(SUMPRODUCT(AB$9:AB$229,Nutrients!$EW$8:$EW$228)+(IF($A$7=Nutrients!$B$8,Nutrients!$EW$8,Nutrients!$EW$9)*AB$7)+(((IF($A$8=Nutrients!$B$79,Nutrients!$EW$79,(IF($A$8=Nutrients!$B$77,Nutrients!$EW$77,Nutrients!$EW$78)))))*AB$8))</f>
        <v>9</v>
      </c>
      <c r="AD332" s="21">
        <f>(SUMPRODUCT(AD$9:AD$229,Nutrients!$EW$8:$EW$228)+(IF($A$7=Nutrients!$B$8,Nutrients!$EW$8,Nutrients!$EW$9)*AD$7)+(((IF($A$8=Nutrients!$B$79,Nutrients!$EW$79,(IF($A$8=Nutrients!$B$77,Nutrients!$EW$77,Nutrients!$EW$78)))))*AD$8))</f>
        <v>18</v>
      </c>
      <c r="AE332" s="21">
        <f>(SUMPRODUCT(AE$9:AE$229,Nutrients!$EW$8:$EW$228)+(IF($A$7=Nutrients!$B$8,Nutrients!$EW$8,Nutrients!$EW$9)*AE$7)+(((IF($A$8=Nutrients!$B$79,Nutrients!$EW$79,(IF($A$8=Nutrients!$B$77,Nutrients!$EW$77,Nutrients!$EW$78)))))*AE$8))</f>
        <v>18</v>
      </c>
      <c r="AF332" s="21">
        <f>(SUMPRODUCT(AF$9:AF$229,Nutrients!$EW$8:$EW$228)+(IF($A$7=Nutrients!$B$8,Nutrients!$EW$8,Nutrients!$EW$9)*AF$7)+(((IF($A$8=Nutrients!$B$79,Nutrients!$EW$79,(IF($A$8=Nutrients!$B$77,Nutrients!$EW$77,Nutrients!$EW$78)))))*AF$8))</f>
        <v>15</v>
      </c>
      <c r="AG332" s="21">
        <f>(SUMPRODUCT(AG$9:AG$229,Nutrients!$EW$8:$EW$228)+(IF($A$7=Nutrients!$B$8,Nutrients!$EW$8,Nutrients!$EW$9)*AG$7)+(((IF($A$8=Nutrients!$B$79,Nutrients!$EW$79,(IF($A$8=Nutrients!$B$77,Nutrients!$EW$77,Nutrients!$EW$78)))))*AG$8))</f>
        <v>12</v>
      </c>
      <c r="AH332" s="21">
        <f>(SUMPRODUCT(AH$9:AH$229,Nutrients!$EW$8:$EW$228)+(IF($A$7=Nutrients!$B$8,Nutrients!$EW$8,Nutrients!$EW$9)*AH$7)+(((IF($A$8=Nutrients!$B$79,Nutrients!$EW$79,(IF($A$8=Nutrients!$B$77,Nutrients!$EW$77,Nutrients!$EW$78)))))*AH$8))</f>
        <v>9</v>
      </c>
      <c r="AI332" s="21">
        <f>(SUMPRODUCT(AI$9:AI$229,Nutrients!$EW$8:$EW$228)+(IF($A$7=Nutrients!$B$8,Nutrients!$EW$8,Nutrients!$EW$9)*AI$7)+(((IF($A$8=Nutrients!$B$79,Nutrients!$EW$79,(IF($A$8=Nutrients!$B$77,Nutrients!$EW$77,Nutrients!$EW$78)))))*AI$8))</f>
        <v>9</v>
      </c>
      <c r="AK332" s="21">
        <f>(SUMPRODUCT(AK$9:AK$229,Nutrients!$EW$8:$EW$228)+(IF($A$7=Nutrients!$B$8,Nutrients!$EW$8,Nutrients!$EW$9)*AK$7)+(((IF($A$8=Nutrients!$B$79,Nutrients!$EW$79,(IF($A$8=Nutrients!$B$77,Nutrients!$EW$77,Nutrients!$EW$78)))))*AK$8))</f>
        <v>18</v>
      </c>
      <c r="AL332" s="21">
        <f>(SUMPRODUCT(AL$9:AL$229,Nutrients!$EW$8:$EW$228)+(IF($A$7=Nutrients!$B$8,Nutrients!$EW$8,Nutrients!$EW$9)*AL$7)+(((IF($A$8=Nutrients!$B$79,Nutrients!$EW$79,(IF($A$8=Nutrients!$B$77,Nutrients!$EW$77,Nutrients!$EW$78)))))*AL$8))</f>
        <v>18</v>
      </c>
      <c r="AM332" s="21">
        <f>(SUMPRODUCT(AM$9:AM$229,Nutrients!$EW$8:$EW$228)+(IF($A$7=Nutrients!$B$8,Nutrients!$EW$8,Nutrients!$EW$9)*AM$7)+(((IF($A$8=Nutrients!$B$79,Nutrients!$EW$79,(IF($A$8=Nutrients!$B$77,Nutrients!$EW$77,Nutrients!$EW$78)))))*AM$8))</f>
        <v>15</v>
      </c>
      <c r="AN332" s="21">
        <f>(SUMPRODUCT(AN$9:AN$229,Nutrients!$EW$8:$EW$228)+(IF($A$7=Nutrients!$B$8,Nutrients!$EW$8,Nutrients!$EW$9)*AN$7)+(((IF($A$8=Nutrients!$B$79,Nutrients!$EW$79,(IF($A$8=Nutrients!$B$77,Nutrients!$EW$77,Nutrients!$EW$78)))))*AN$8))</f>
        <v>12</v>
      </c>
      <c r="AO332" s="21">
        <f>(SUMPRODUCT(AO$9:AO$229,Nutrients!$EW$8:$EW$228)+(IF($A$7=Nutrients!$B$8,Nutrients!$EW$8,Nutrients!$EW$9)*AO$7)+(((IF($A$8=Nutrients!$B$79,Nutrients!$EW$79,(IF($A$8=Nutrients!$B$77,Nutrients!$EW$77,Nutrients!$EW$78)))))*AO$8))</f>
        <v>9</v>
      </c>
      <c r="AP332" s="21">
        <f>(SUMPRODUCT(AP$9:AP$229,Nutrients!$EW$8:$EW$228)+(IF($A$7=Nutrients!$B$8,Nutrients!$EW$8,Nutrients!$EW$9)*AP$7)+(((IF($A$8=Nutrients!$B$79,Nutrients!$EW$79,(IF($A$8=Nutrients!$B$77,Nutrients!$EW$77,Nutrients!$EW$78)))))*AP$8))</f>
        <v>9</v>
      </c>
      <c r="AR332" s="21">
        <f>(SUMPRODUCT(AR$9:AR$229,Nutrients!$EW$8:$EW$228)+(IF($A$7=Nutrients!$B$8,Nutrients!$EW$8,Nutrients!$EW$9)*AR$7)+(((IF($A$8=Nutrients!$B$79,Nutrients!$EW$79,(IF($A$8=Nutrients!$B$77,Nutrients!$EW$77,Nutrients!$EW$78)))))*AR$8))</f>
        <v>18</v>
      </c>
      <c r="AS332" s="21">
        <f>(SUMPRODUCT(AS$9:AS$229,Nutrients!$EW$8:$EW$228)+(IF($A$7=Nutrients!$B$8,Nutrients!$EW$8,Nutrients!$EW$9)*AS$7)+(((IF($A$8=Nutrients!$B$79,Nutrients!$EW$79,(IF($A$8=Nutrients!$B$77,Nutrients!$EW$77,Nutrients!$EW$78)))))*AS$8))</f>
        <v>18</v>
      </c>
      <c r="AT332" s="21">
        <f>(SUMPRODUCT(AT$9:AT$229,Nutrients!$EW$8:$EW$228)+(IF($A$7=Nutrients!$B$8,Nutrients!$EW$8,Nutrients!$EW$9)*AT$7)+(((IF($A$8=Nutrients!$B$79,Nutrients!$EW$79,(IF($A$8=Nutrients!$B$77,Nutrients!$EW$77,Nutrients!$EW$78)))))*AT$8))</f>
        <v>15</v>
      </c>
      <c r="AU332" s="21">
        <f>(SUMPRODUCT(AU$9:AU$229,Nutrients!$EW$8:$EW$228)+(IF($A$7=Nutrients!$B$8,Nutrients!$EW$8,Nutrients!$EW$9)*AU$7)+(((IF($A$8=Nutrients!$B$79,Nutrients!$EW$79,(IF($A$8=Nutrients!$B$77,Nutrients!$EW$77,Nutrients!$EW$78)))))*AU$8))</f>
        <v>12</v>
      </c>
      <c r="AV332" s="21">
        <f>(SUMPRODUCT(AV$9:AV$229,Nutrients!$EW$8:$EW$228)+(IF($A$7=Nutrients!$B$8,Nutrients!$EW$8,Nutrients!$EW$9)*AV$7)+(((IF($A$8=Nutrients!$B$79,Nutrients!$EW$79,(IF($A$8=Nutrients!$B$77,Nutrients!$EW$77,Nutrients!$EW$78)))))*AV$8))</f>
        <v>9</v>
      </c>
      <c r="AW332" s="21">
        <f>(SUMPRODUCT(AW$9:AW$229,Nutrients!$EW$8:$EW$228)+(IF($A$7=Nutrients!$B$8,Nutrients!$EW$8,Nutrients!$EW$9)*AW$7)+(((IF($A$8=Nutrients!$B$79,Nutrients!$EW$79,(IF($A$8=Nutrients!$B$77,Nutrients!$EW$77,Nutrients!$EW$78)))))*AW$8))</f>
        <v>9</v>
      </c>
    </row>
    <row r="333" spans="1:49" x14ac:dyDescent="0.25">
      <c r="A333" s="34" t="s">
        <v>126</v>
      </c>
      <c r="B333" s="21">
        <f>(SUMPRODUCT(B$9:B$229,Nutrients!$EX$8:$EX$228)+(IF($A$7=Nutrients!$B$8,Nutrients!$EX$8,Nutrients!$EX$9)*B$7)+(((IF($A$8=Nutrients!$B$79,Nutrients!$EX$79,(IF($A$8=Nutrients!$B$77,Nutrients!$EX$77,Nutrients!$EX$78)))))*B$8))</f>
        <v>27000</v>
      </c>
      <c r="C333" s="21">
        <f>(SUMPRODUCT(C$9:C$229,Nutrients!$EX$8:$EX$228)+(IF($A$7=Nutrients!$B$8,Nutrients!$EX$8,Nutrients!$EX$9)*C$7)+(((IF($A$8=Nutrients!$B$79,Nutrients!$EX$79,(IF($A$8=Nutrients!$B$77,Nutrients!$EX$77,Nutrients!$EX$78)))))*C$8))</f>
        <v>27000</v>
      </c>
      <c r="D333" s="21">
        <f>(SUMPRODUCT(D$9:D$229,Nutrients!$EX$8:$EX$228)+(IF($A$7=Nutrients!$B$8,Nutrients!$EX$8,Nutrients!$EX$9)*D$7)+(((IF($A$8=Nutrients!$B$79,Nutrients!$EX$79,(IF($A$8=Nutrients!$B$77,Nutrients!$EX$77,Nutrients!$EX$78)))))*D$8))</f>
        <v>22500</v>
      </c>
      <c r="E333" s="21">
        <f>(SUMPRODUCT(E$9:E$229,Nutrients!$EX$8:$EX$228)+(IF($A$7=Nutrients!$B$8,Nutrients!$EX$8,Nutrients!$EX$9)*E$7)+(((IF($A$8=Nutrients!$B$79,Nutrients!$EX$79,(IF($A$8=Nutrients!$B$77,Nutrients!$EX$77,Nutrients!$EX$78)))))*E$8))</f>
        <v>18000</v>
      </c>
      <c r="F333" s="21">
        <f>(SUMPRODUCT(F$9:F$229,Nutrients!$EX$8:$EX$228)+(IF($A$7=Nutrients!$B$8,Nutrients!$EX$8,Nutrients!$EX$9)*F$7)+(((IF($A$8=Nutrients!$B$79,Nutrients!$EX$79,(IF($A$8=Nutrients!$B$77,Nutrients!$EX$77,Nutrients!$EX$78)))))*F$8))</f>
        <v>13500</v>
      </c>
      <c r="G333" s="21">
        <f>(SUMPRODUCT(G$9:G$229,Nutrients!$EX$8:$EX$228)+(IF($A$7=Nutrients!$B$8,Nutrients!$EX$8,Nutrients!$EX$9)*G$7)+(((IF($A$8=Nutrients!$B$79,Nutrients!$EX$79,(IF($A$8=Nutrients!$B$77,Nutrients!$EX$77,Nutrients!$EX$78)))))*G$8))</f>
        <v>13500</v>
      </c>
      <c r="H333" s="226"/>
      <c r="I333" s="21">
        <f>(SUMPRODUCT(I$9:I$229,Nutrients!$EX$8:$EX$228)+(IF($A$7=Nutrients!$B$8,Nutrients!$EX$8,Nutrients!$EX$9)*I$7)+(((IF($A$8=Nutrients!$B$79,Nutrients!$EX$79,(IF($A$8=Nutrients!$B$77,Nutrients!$EX$77,Nutrients!$EX$78)))))*I$8))</f>
        <v>27000</v>
      </c>
      <c r="J333" s="21">
        <f>(SUMPRODUCT(J$9:J$229,Nutrients!$EX$8:$EX$228)+(IF($A$7=Nutrients!$B$8,Nutrients!$EX$8,Nutrients!$EX$9)*J$7)+(((IF($A$8=Nutrients!$B$79,Nutrients!$EX$79,(IF($A$8=Nutrients!$B$77,Nutrients!$EX$77,Nutrients!$EX$78)))))*J$8))</f>
        <v>27000</v>
      </c>
      <c r="K333" s="21">
        <f>(SUMPRODUCT(K$9:K$229,Nutrients!$EX$8:$EX$228)+(IF($A$7=Nutrients!$B$8,Nutrients!$EX$8,Nutrients!$EX$9)*K$7)+(((IF($A$8=Nutrients!$B$79,Nutrients!$EX$79,(IF($A$8=Nutrients!$B$77,Nutrients!$EX$77,Nutrients!$EX$78)))))*K$8))</f>
        <v>22500</v>
      </c>
      <c r="L333" s="21">
        <f>(SUMPRODUCT(L$9:L$229,Nutrients!$EX$8:$EX$228)+(IF($A$7=Nutrients!$B$8,Nutrients!$EX$8,Nutrients!$EX$9)*L$7)+(((IF($A$8=Nutrients!$B$79,Nutrients!$EX$79,(IF($A$8=Nutrients!$B$77,Nutrients!$EX$77,Nutrients!$EX$78)))))*L$8))</f>
        <v>18000</v>
      </c>
      <c r="M333" s="21">
        <f>(SUMPRODUCT(M$9:M$229,Nutrients!$EX$8:$EX$228)+(IF($A$7=Nutrients!$B$8,Nutrients!$EX$8,Nutrients!$EX$9)*M$7)+(((IF($A$8=Nutrients!$B$79,Nutrients!$EX$79,(IF($A$8=Nutrients!$B$77,Nutrients!$EX$77,Nutrients!$EX$78)))))*M$8))</f>
        <v>13500</v>
      </c>
      <c r="N333" s="21">
        <f>(SUMPRODUCT(N$9:N$229,Nutrients!$EX$8:$EX$228)+(IF($A$7=Nutrients!$B$8,Nutrients!$EX$8,Nutrients!$EX$9)*N$7)+(((IF($A$8=Nutrients!$B$79,Nutrients!$EX$79,(IF($A$8=Nutrients!$B$77,Nutrients!$EX$77,Nutrients!$EX$78)))))*N$8))</f>
        <v>13500</v>
      </c>
      <c r="O333" s="234"/>
      <c r="P333" s="21">
        <f>(SUMPRODUCT(P$9:P$229,Nutrients!$EX$8:$EX$228)+(IF($A$7=Nutrients!$B$8,Nutrients!$EX$8,Nutrients!$EX$9)*P$7)+(((IF($A$8=Nutrients!$B$79,Nutrients!$EX$79,(IF($A$8=Nutrients!$B$77,Nutrients!$EX$77,Nutrients!$EX$78)))))*P$8))</f>
        <v>27000</v>
      </c>
      <c r="Q333" s="21">
        <f>(SUMPRODUCT(Q$9:Q$229,Nutrients!$EX$8:$EX$228)+(IF($A$7=Nutrients!$B$8,Nutrients!$EX$8,Nutrients!$EX$9)*Q$7)+(((IF($A$8=Nutrients!$B$79,Nutrients!$EX$79,(IF($A$8=Nutrients!$B$77,Nutrients!$EX$77,Nutrients!$EX$78)))))*Q$8))</f>
        <v>27000</v>
      </c>
      <c r="R333" s="21">
        <f>(SUMPRODUCT(R$9:R$229,Nutrients!$EX$8:$EX$228)+(IF($A$7=Nutrients!$B$8,Nutrients!$EX$8,Nutrients!$EX$9)*R$7)+(((IF($A$8=Nutrients!$B$79,Nutrients!$EX$79,(IF($A$8=Nutrients!$B$77,Nutrients!$EX$77,Nutrients!$EX$78)))))*R$8))</f>
        <v>22500</v>
      </c>
      <c r="S333" s="21">
        <f>(SUMPRODUCT(S$9:S$229,Nutrients!$EX$8:$EX$228)+(IF($A$7=Nutrients!$B$8,Nutrients!$EX$8,Nutrients!$EX$9)*S$7)+(((IF($A$8=Nutrients!$B$79,Nutrients!$EX$79,(IF($A$8=Nutrients!$B$77,Nutrients!$EX$77,Nutrients!$EX$78)))))*S$8))</f>
        <v>18000</v>
      </c>
      <c r="T333" s="21">
        <f>(SUMPRODUCT(T$9:T$229,Nutrients!$EX$8:$EX$228)+(IF($A$7=Nutrients!$B$8,Nutrients!$EX$8,Nutrients!$EX$9)*T$7)+(((IF($A$8=Nutrients!$B$79,Nutrients!$EX$79,(IF($A$8=Nutrients!$B$77,Nutrients!$EX$77,Nutrients!$EX$78)))))*T$8))</f>
        <v>13500</v>
      </c>
      <c r="U333" s="21">
        <f>(SUMPRODUCT(U$9:U$229,Nutrients!$EX$8:$EX$228)+(IF($A$7=Nutrients!$B$8,Nutrients!$EX$8,Nutrients!$EX$9)*U$7)+(((IF($A$8=Nutrients!$B$79,Nutrients!$EX$79,(IF($A$8=Nutrients!$B$77,Nutrients!$EX$77,Nutrients!$EX$78)))))*U$8))</f>
        <v>13500</v>
      </c>
      <c r="W333" s="21">
        <f>(SUMPRODUCT(W$9:W$229,Nutrients!$EX$8:$EX$228)+(IF($A$7=Nutrients!$B$8,Nutrients!$EX$8,Nutrients!$EX$9)*W$7)+(((IF($A$8=Nutrients!$B$79,Nutrients!$EX$79,(IF($A$8=Nutrients!$B$77,Nutrients!$EX$77,Nutrients!$EX$78)))))*W$8))</f>
        <v>27000</v>
      </c>
      <c r="X333" s="21">
        <f>(SUMPRODUCT(X$9:X$229,Nutrients!$EX$8:$EX$228)+(IF($A$7=Nutrients!$B$8,Nutrients!$EX$8,Nutrients!$EX$9)*X$7)+(((IF($A$8=Nutrients!$B$79,Nutrients!$EX$79,(IF($A$8=Nutrients!$B$77,Nutrients!$EX$77,Nutrients!$EX$78)))))*X$8))</f>
        <v>27000</v>
      </c>
      <c r="Y333" s="21">
        <f>(SUMPRODUCT(Y$9:Y$229,Nutrients!$EX$8:$EX$228)+(IF($A$7=Nutrients!$B$8,Nutrients!$EX$8,Nutrients!$EX$9)*Y$7)+(((IF($A$8=Nutrients!$B$79,Nutrients!$EX$79,(IF($A$8=Nutrients!$B$77,Nutrients!$EX$77,Nutrients!$EX$78)))))*Y$8))</f>
        <v>22500</v>
      </c>
      <c r="Z333" s="21">
        <f>(SUMPRODUCT(Z$9:Z$229,Nutrients!$EX$8:$EX$228)+(IF($A$7=Nutrients!$B$8,Nutrients!$EX$8,Nutrients!$EX$9)*Z$7)+(((IF($A$8=Nutrients!$B$79,Nutrients!$EX$79,(IF($A$8=Nutrients!$B$77,Nutrients!$EX$77,Nutrients!$EX$78)))))*Z$8))</f>
        <v>18000</v>
      </c>
      <c r="AA333" s="21">
        <f>(SUMPRODUCT(AA$9:AA$229,Nutrients!$EX$8:$EX$228)+(IF($A$7=Nutrients!$B$8,Nutrients!$EX$8,Nutrients!$EX$9)*AA$7)+(((IF($A$8=Nutrients!$B$79,Nutrients!$EX$79,(IF($A$8=Nutrients!$B$77,Nutrients!$EX$77,Nutrients!$EX$78)))))*AA$8))</f>
        <v>13500</v>
      </c>
      <c r="AB333" s="21">
        <f>(SUMPRODUCT(AB$9:AB$229,Nutrients!$EX$8:$EX$228)+(IF($A$7=Nutrients!$B$8,Nutrients!$EX$8,Nutrients!$EX$9)*AB$7)+(((IF($A$8=Nutrients!$B$79,Nutrients!$EX$79,(IF($A$8=Nutrients!$B$77,Nutrients!$EX$77,Nutrients!$EX$78)))))*AB$8))</f>
        <v>13500</v>
      </c>
      <c r="AD333" s="21">
        <f>(SUMPRODUCT(AD$9:AD$229,Nutrients!$EX$8:$EX$228)+(IF($A$7=Nutrients!$B$8,Nutrients!$EX$8,Nutrients!$EX$9)*AD$7)+(((IF($A$8=Nutrients!$B$79,Nutrients!$EX$79,(IF($A$8=Nutrients!$B$77,Nutrients!$EX$77,Nutrients!$EX$78)))))*AD$8))</f>
        <v>27000</v>
      </c>
      <c r="AE333" s="21">
        <f>(SUMPRODUCT(AE$9:AE$229,Nutrients!$EX$8:$EX$228)+(IF($A$7=Nutrients!$B$8,Nutrients!$EX$8,Nutrients!$EX$9)*AE$7)+(((IF($A$8=Nutrients!$B$79,Nutrients!$EX$79,(IF($A$8=Nutrients!$B$77,Nutrients!$EX$77,Nutrients!$EX$78)))))*AE$8))</f>
        <v>27000</v>
      </c>
      <c r="AF333" s="21">
        <f>(SUMPRODUCT(AF$9:AF$229,Nutrients!$EX$8:$EX$228)+(IF($A$7=Nutrients!$B$8,Nutrients!$EX$8,Nutrients!$EX$9)*AF$7)+(((IF($A$8=Nutrients!$B$79,Nutrients!$EX$79,(IF($A$8=Nutrients!$B$77,Nutrients!$EX$77,Nutrients!$EX$78)))))*AF$8))</f>
        <v>22500</v>
      </c>
      <c r="AG333" s="21">
        <f>(SUMPRODUCT(AG$9:AG$229,Nutrients!$EX$8:$EX$228)+(IF($A$7=Nutrients!$B$8,Nutrients!$EX$8,Nutrients!$EX$9)*AG$7)+(((IF($A$8=Nutrients!$B$79,Nutrients!$EX$79,(IF($A$8=Nutrients!$B$77,Nutrients!$EX$77,Nutrients!$EX$78)))))*AG$8))</f>
        <v>18000</v>
      </c>
      <c r="AH333" s="21">
        <f>(SUMPRODUCT(AH$9:AH$229,Nutrients!$EX$8:$EX$228)+(IF($A$7=Nutrients!$B$8,Nutrients!$EX$8,Nutrients!$EX$9)*AH$7)+(((IF($A$8=Nutrients!$B$79,Nutrients!$EX$79,(IF($A$8=Nutrients!$B$77,Nutrients!$EX$77,Nutrients!$EX$78)))))*AH$8))</f>
        <v>13500</v>
      </c>
      <c r="AI333" s="21">
        <f>(SUMPRODUCT(AI$9:AI$229,Nutrients!$EX$8:$EX$228)+(IF($A$7=Nutrients!$B$8,Nutrients!$EX$8,Nutrients!$EX$9)*AI$7)+(((IF($A$8=Nutrients!$B$79,Nutrients!$EX$79,(IF($A$8=Nutrients!$B$77,Nutrients!$EX$77,Nutrients!$EX$78)))))*AI$8))</f>
        <v>13500</v>
      </c>
      <c r="AK333" s="21">
        <f>(SUMPRODUCT(AK$9:AK$229,Nutrients!$EX$8:$EX$228)+(IF($A$7=Nutrients!$B$8,Nutrients!$EX$8,Nutrients!$EX$9)*AK$7)+(((IF($A$8=Nutrients!$B$79,Nutrients!$EX$79,(IF($A$8=Nutrients!$B$77,Nutrients!$EX$77,Nutrients!$EX$78)))))*AK$8))</f>
        <v>27000</v>
      </c>
      <c r="AL333" s="21">
        <f>(SUMPRODUCT(AL$9:AL$229,Nutrients!$EX$8:$EX$228)+(IF($A$7=Nutrients!$B$8,Nutrients!$EX$8,Nutrients!$EX$9)*AL$7)+(((IF($A$8=Nutrients!$B$79,Nutrients!$EX$79,(IF($A$8=Nutrients!$B$77,Nutrients!$EX$77,Nutrients!$EX$78)))))*AL$8))</f>
        <v>27000</v>
      </c>
      <c r="AM333" s="21">
        <f>(SUMPRODUCT(AM$9:AM$229,Nutrients!$EX$8:$EX$228)+(IF($A$7=Nutrients!$B$8,Nutrients!$EX$8,Nutrients!$EX$9)*AM$7)+(((IF($A$8=Nutrients!$B$79,Nutrients!$EX$79,(IF($A$8=Nutrients!$B$77,Nutrients!$EX$77,Nutrients!$EX$78)))))*AM$8))</f>
        <v>22500</v>
      </c>
      <c r="AN333" s="21">
        <f>(SUMPRODUCT(AN$9:AN$229,Nutrients!$EX$8:$EX$228)+(IF($A$7=Nutrients!$B$8,Nutrients!$EX$8,Nutrients!$EX$9)*AN$7)+(((IF($A$8=Nutrients!$B$79,Nutrients!$EX$79,(IF($A$8=Nutrients!$B$77,Nutrients!$EX$77,Nutrients!$EX$78)))))*AN$8))</f>
        <v>18000</v>
      </c>
      <c r="AO333" s="21">
        <f>(SUMPRODUCT(AO$9:AO$229,Nutrients!$EX$8:$EX$228)+(IF($A$7=Nutrients!$B$8,Nutrients!$EX$8,Nutrients!$EX$9)*AO$7)+(((IF($A$8=Nutrients!$B$79,Nutrients!$EX$79,(IF($A$8=Nutrients!$B$77,Nutrients!$EX$77,Nutrients!$EX$78)))))*AO$8))</f>
        <v>13500</v>
      </c>
      <c r="AP333" s="21">
        <f>(SUMPRODUCT(AP$9:AP$229,Nutrients!$EX$8:$EX$228)+(IF($A$7=Nutrients!$B$8,Nutrients!$EX$8,Nutrients!$EX$9)*AP$7)+(((IF($A$8=Nutrients!$B$79,Nutrients!$EX$79,(IF($A$8=Nutrients!$B$77,Nutrients!$EX$77,Nutrients!$EX$78)))))*AP$8))</f>
        <v>13500</v>
      </c>
      <c r="AR333" s="21">
        <f>(SUMPRODUCT(AR$9:AR$229,Nutrients!$EX$8:$EX$228)+(IF($A$7=Nutrients!$B$8,Nutrients!$EX$8,Nutrients!$EX$9)*AR$7)+(((IF($A$8=Nutrients!$B$79,Nutrients!$EX$79,(IF($A$8=Nutrients!$B$77,Nutrients!$EX$77,Nutrients!$EX$78)))))*AR$8))</f>
        <v>27000</v>
      </c>
      <c r="AS333" s="21">
        <f>(SUMPRODUCT(AS$9:AS$229,Nutrients!$EX$8:$EX$228)+(IF($A$7=Nutrients!$B$8,Nutrients!$EX$8,Nutrients!$EX$9)*AS$7)+(((IF($A$8=Nutrients!$B$79,Nutrients!$EX$79,(IF($A$8=Nutrients!$B$77,Nutrients!$EX$77,Nutrients!$EX$78)))))*AS$8))</f>
        <v>27000</v>
      </c>
      <c r="AT333" s="21">
        <f>(SUMPRODUCT(AT$9:AT$229,Nutrients!$EX$8:$EX$228)+(IF($A$7=Nutrients!$B$8,Nutrients!$EX$8,Nutrients!$EX$9)*AT$7)+(((IF($A$8=Nutrients!$B$79,Nutrients!$EX$79,(IF($A$8=Nutrients!$B$77,Nutrients!$EX$77,Nutrients!$EX$78)))))*AT$8))</f>
        <v>22500</v>
      </c>
      <c r="AU333" s="21">
        <f>(SUMPRODUCT(AU$9:AU$229,Nutrients!$EX$8:$EX$228)+(IF($A$7=Nutrients!$B$8,Nutrients!$EX$8,Nutrients!$EX$9)*AU$7)+(((IF($A$8=Nutrients!$B$79,Nutrients!$EX$79,(IF($A$8=Nutrients!$B$77,Nutrients!$EX$77,Nutrients!$EX$78)))))*AU$8))</f>
        <v>18000</v>
      </c>
      <c r="AV333" s="21">
        <f>(SUMPRODUCT(AV$9:AV$229,Nutrients!$EX$8:$EX$228)+(IF($A$7=Nutrients!$B$8,Nutrients!$EX$8,Nutrients!$EX$9)*AV$7)+(((IF($A$8=Nutrients!$B$79,Nutrients!$EX$79,(IF($A$8=Nutrients!$B$77,Nutrients!$EX$77,Nutrients!$EX$78)))))*AV$8))</f>
        <v>13500</v>
      </c>
      <c r="AW333" s="21">
        <f>(SUMPRODUCT(AW$9:AW$229,Nutrients!$EX$8:$EX$228)+(IF($A$7=Nutrients!$B$8,Nutrients!$EX$8,Nutrients!$EX$9)*AW$7)+(((IF($A$8=Nutrients!$B$79,Nutrients!$EX$79,(IF($A$8=Nutrients!$B$77,Nutrients!$EX$77,Nutrients!$EX$78)))))*AW$8))</f>
        <v>13500</v>
      </c>
    </row>
    <row r="334" spans="1:49" x14ac:dyDescent="0.25">
      <c r="A334" s="34" t="s">
        <v>127</v>
      </c>
      <c r="B334" s="21">
        <f>(SUMPRODUCT(B$9:B$229,Nutrients!$EY$8:$EY$228)+(IF($A$7=Nutrients!$B$8,Nutrients!$EY$8,Nutrients!$EY$9)*B$7)+(((IF($A$8=Nutrients!$B$79,Nutrients!$EY$79,(IF($A$8=Nutrients!$B$77,Nutrients!$EY$77,Nutrients!$EY$78)))))*B$8))</f>
        <v>15000</v>
      </c>
      <c r="C334" s="21">
        <f>(SUMPRODUCT(C$9:C$229,Nutrients!$EY$8:$EY$228)+(IF($A$7=Nutrients!$B$8,Nutrients!$EY$8,Nutrients!$EY$9)*C$7)+(((IF($A$8=Nutrients!$B$79,Nutrients!$EY$79,(IF($A$8=Nutrients!$B$77,Nutrients!$EY$77,Nutrients!$EY$78)))))*C$8))</f>
        <v>15000</v>
      </c>
      <c r="D334" s="21">
        <f>(SUMPRODUCT(D$9:D$229,Nutrients!$EY$8:$EY$228)+(IF($A$7=Nutrients!$B$8,Nutrients!$EY$8,Nutrients!$EY$9)*D$7)+(((IF($A$8=Nutrients!$B$79,Nutrients!$EY$79,(IF($A$8=Nutrients!$B$77,Nutrients!$EY$77,Nutrients!$EY$78)))))*D$8))</f>
        <v>12500</v>
      </c>
      <c r="E334" s="21">
        <f>(SUMPRODUCT(E$9:E$229,Nutrients!$EY$8:$EY$228)+(IF($A$7=Nutrients!$B$8,Nutrients!$EY$8,Nutrients!$EY$9)*E$7)+(((IF($A$8=Nutrients!$B$79,Nutrients!$EY$79,(IF($A$8=Nutrients!$B$77,Nutrients!$EY$77,Nutrients!$EY$78)))))*E$8))</f>
        <v>10000</v>
      </c>
      <c r="F334" s="21">
        <f>(SUMPRODUCT(F$9:F$229,Nutrients!$EY$8:$EY$228)+(IF($A$7=Nutrients!$B$8,Nutrients!$EY$8,Nutrients!$EY$9)*F$7)+(((IF($A$8=Nutrients!$B$79,Nutrients!$EY$79,(IF($A$8=Nutrients!$B$77,Nutrients!$EY$77,Nutrients!$EY$78)))))*F$8))</f>
        <v>7500</v>
      </c>
      <c r="G334" s="21">
        <f>(SUMPRODUCT(G$9:G$229,Nutrients!$EY$8:$EY$228)+(IF($A$7=Nutrients!$B$8,Nutrients!$EY$8,Nutrients!$EY$9)*G$7)+(((IF($A$8=Nutrients!$B$79,Nutrients!$EY$79,(IF($A$8=Nutrients!$B$77,Nutrients!$EY$77,Nutrients!$EY$78)))))*G$8))</f>
        <v>7500</v>
      </c>
      <c r="H334" s="226"/>
      <c r="I334" s="21">
        <f>(SUMPRODUCT(I$9:I$229,Nutrients!$EY$8:$EY$228)+(IF($A$7=Nutrients!$B$8,Nutrients!$EY$8,Nutrients!$EY$9)*I$7)+(((IF($A$8=Nutrients!$B$79,Nutrients!$EY$79,(IF($A$8=Nutrients!$B$77,Nutrients!$EY$77,Nutrients!$EY$78)))))*I$8))</f>
        <v>15000</v>
      </c>
      <c r="J334" s="21">
        <f>(SUMPRODUCT(J$9:J$229,Nutrients!$EY$8:$EY$228)+(IF($A$7=Nutrients!$B$8,Nutrients!$EY$8,Nutrients!$EY$9)*J$7)+(((IF($A$8=Nutrients!$B$79,Nutrients!$EY$79,(IF($A$8=Nutrients!$B$77,Nutrients!$EY$77,Nutrients!$EY$78)))))*J$8))</f>
        <v>15000</v>
      </c>
      <c r="K334" s="21">
        <f>(SUMPRODUCT(K$9:K$229,Nutrients!$EY$8:$EY$228)+(IF($A$7=Nutrients!$B$8,Nutrients!$EY$8,Nutrients!$EY$9)*K$7)+(((IF($A$8=Nutrients!$B$79,Nutrients!$EY$79,(IF($A$8=Nutrients!$B$77,Nutrients!$EY$77,Nutrients!$EY$78)))))*K$8))</f>
        <v>12500</v>
      </c>
      <c r="L334" s="21">
        <f>(SUMPRODUCT(L$9:L$229,Nutrients!$EY$8:$EY$228)+(IF($A$7=Nutrients!$B$8,Nutrients!$EY$8,Nutrients!$EY$9)*L$7)+(((IF($A$8=Nutrients!$B$79,Nutrients!$EY$79,(IF($A$8=Nutrients!$B$77,Nutrients!$EY$77,Nutrients!$EY$78)))))*L$8))</f>
        <v>10000</v>
      </c>
      <c r="M334" s="21">
        <f>(SUMPRODUCT(M$9:M$229,Nutrients!$EY$8:$EY$228)+(IF($A$7=Nutrients!$B$8,Nutrients!$EY$8,Nutrients!$EY$9)*M$7)+(((IF($A$8=Nutrients!$B$79,Nutrients!$EY$79,(IF($A$8=Nutrients!$B$77,Nutrients!$EY$77,Nutrients!$EY$78)))))*M$8))</f>
        <v>7500</v>
      </c>
      <c r="N334" s="21">
        <f>(SUMPRODUCT(N$9:N$229,Nutrients!$EY$8:$EY$228)+(IF($A$7=Nutrients!$B$8,Nutrients!$EY$8,Nutrients!$EY$9)*N$7)+(((IF($A$8=Nutrients!$B$79,Nutrients!$EY$79,(IF($A$8=Nutrients!$B$77,Nutrients!$EY$77,Nutrients!$EY$78)))))*N$8))</f>
        <v>7500</v>
      </c>
      <c r="O334" s="234"/>
      <c r="P334" s="21">
        <f>(SUMPRODUCT(P$9:P$229,Nutrients!$EY$8:$EY$228)+(IF($A$7=Nutrients!$B$8,Nutrients!$EY$8,Nutrients!$EY$9)*P$7)+(((IF($A$8=Nutrients!$B$79,Nutrients!$EY$79,(IF($A$8=Nutrients!$B$77,Nutrients!$EY$77,Nutrients!$EY$78)))))*P$8))</f>
        <v>15000</v>
      </c>
      <c r="Q334" s="21">
        <f>(SUMPRODUCT(Q$9:Q$229,Nutrients!$EY$8:$EY$228)+(IF($A$7=Nutrients!$B$8,Nutrients!$EY$8,Nutrients!$EY$9)*Q$7)+(((IF($A$8=Nutrients!$B$79,Nutrients!$EY$79,(IF($A$8=Nutrients!$B$77,Nutrients!$EY$77,Nutrients!$EY$78)))))*Q$8))</f>
        <v>15000</v>
      </c>
      <c r="R334" s="21">
        <f>(SUMPRODUCT(R$9:R$229,Nutrients!$EY$8:$EY$228)+(IF($A$7=Nutrients!$B$8,Nutrients!$EY$8,Nutrients!$EY$9)*R$7)+(((IF($A$8=Nutrients!$B$79,Nutrients!$EY$79,(IF($A$8=Nutrients!$B$77,Nutrients!$EY$77,Nutrients!$EY$78)))))*R$8))</f>
        <v>12500</v>
      </c>
      <c r="S334" s="21">
        <f>(SUMPRODUCT(S$9:S$229,Nutrients!$EY$8:$EY$228)+(IF($A$7=Nutrients!$B$8,Nutrients!$EY$8,Nutrients!$EY$9)*S$7)+(((IF($A$8=Nutrients!$B$79,Nutrients!$EY$79,(IF($A$8=Nutrients!$B$77,Nutrients!$EY$77,Nutrients!$EY$78)))))*S$8))</f>
        <v>10000</v>
      </c>
      <c r="T334" s="21">
        <f>(SUMPRODUCT(T$9:T$229,Nutrients!$EY$8:$EY$228)+(IF($A$7=Nutrients!$B$8,Nutrients!$EY$8,Nutrients!$EY$9)*T$7)+(((IF($A$8=Nutrients!$B$79,Nutrients!$EY$79,(IF($A$8=Nutrients!$B$77,Nutrients!$EY$77,Nutrients!$EY$78)))))*T$8))</f>
        <v>7500</v>
      </c>
      <c r="U334" s="21">
        <f>(SUMPRODUCT(U$9:U$229,Nutrients!$EY$8:$EY$228)+(IF($A$7=Nutrients!$B$8,Nutrients!$EY$8,Nutrients!$EY$9)*U$7)+(((IF($A$8=Nutrients!$B$79,Nutrients!$EY$79,(IF($A$8=Nutrients!$B$77,Nutrients!$EY$77,Nutrients!$EY$78)))))*U$8))</f>
        <v>7500</v>
      </c>
      <c r="W334" s="21">
        <f>(SUMPRODUCT(W$9:W$229,Nutrients!$EY$8:$EY$228)+(IF($A$7=Nutrients!$B$8,Nutrients!$EY$8,Nutrients!$EY$9)*W$7)+(((IF($A$8=Nutrients!$B$79,Nutrients!$EY$79,(IF($A$8=Nutrients!$B$77,Nutrients!$EY$77,Nutrients!$EY$78)))))*W$8))</f>
        <v>15000</v>
      </c>
      <c r="X334" s="21">
        <f>(SUMPRODUCT(X$9:X$229,Nutrients!$EY$8:$EY$228)+(IF($A$7=Nutrients!$B$8,Nutrients!$EY$8,Nutrients!$EY$9)*X$7)+(((IF($A$8=Nutrients!$B$79,Nutrients!$EY$79,(IF($A$8=Nutrients!$B$77,Nutrients!$EY$77,Nutrients!$EY$78)))))*X$8))</f>
        <v>15000</v>
      </c>
      <c r="Y334" s="21">
        <f>(SUMPRODUCT(Y$9:Y$229,Nutrients!$EY$8:$EY$228)+(IF($A$7=Nutrients!$B$8,Nutrients!$EY$8,Nutrients!$EY$9)*Y$7)+(((IF($A$8=Nutrients!$B$79,Nutrients!$EY$79,(IF($A$8=Nutrients!$B$77,Nutrients!$EY$77,Nutrients!$EY$78)))))*Y$8))</f>
        <v>12500</v>
      </c>
      <c r="Z334" s="21">
        <f>(SUMPRODUCT(Z$9:Z$229,Nutrients!$EY$8:$EY$228)+(IF($A$7=Nutrients!$B$8,Nutrients!$EY$8,Nutrients!$EY$9)*Z$7)+(((IF($A$8=Nutrients!$B$79,Nutrients!$EY$79,(IF($A$8=Nutrients!$B$77,Nutrients!$EY$77,Nutrients!$EY$78)))))*Z$8))</f>
        <v>10000</v>
      </c>
      <c r="AA334" s="21">
        <f>(SUMPRODUCT(AA$9:AA$229,Nutrients!$EY$8:$EY$228)+(IF($A$7=Nutrients!$B$8,Nutrients!$EY$8,Nutrients!$EY$9)*AA$7)+(((IF($A$8=Nutrients!$B$79,Nutrients!$EY$79,(IF($A$8=Nutrients!$B$77,Nutrients!$EY$77,Nutrients!$EY$78)))))*AA$8))</f>
        <v>7500</v>
      </c>
      <c r="AB334" s="21">
        <f>(SUMPRODUCT(AB$9:AB$229,Nutrients!$EY$8:$EY$228)+(IF($A$7=Nutrients!$B$8,Nutrients!$EY$8,Nutrients!$EY$9)*AB$7)+(((IF($A$8=Nutrients!$B$79,Nutrients!$EY$79,(IF($A$8=Nutrients!$B$77,Nutrients!$EY$77,Nutrients!$EY$78)))))*AB$8))</f>
        <v>7500</v>
      </c>
      <c r="AD334" s="21">
        <f>(SUMPRODUCT(AD$9:AD$229,Nutrients!$EY$8:$EY$228)+(IF($A$7=Nutrients!$B$8,Nutrients!$EY$8,Nutrients!$EY$9)*AD$7)+(((IF($A$8=Nutrients!$B$79,Nutrients!$EY$79,(IF($A$8=Nutrients!$B$77,Nutrients!$EY$77,Nutrients!$EY$78)))))*AD$8))</f>
        <v>15000</v>
      </c>
      <c r="AE334" s="21">
        <f>(SUMPRODUCT(AE$9:AE$229,Nutrients!$EY$8:$EY$228)+(IF($A$7=Nutrients!$B$8,Nutrients!$EY$8,Nutrients!$EY$9)*AE$7)+(((IF($A$8=Nutrients!$B$79,Nutrients!$EY$79,(IF($A$8=Nutrients!$B$77,Nutrients!$EY$77,Nutrients!$EY$78)))))*AE$8))</f>
        <v>15000</v>
      </c>
      <c r="AF334" s="21">
        <f>(SUMPRODUCT(AF$9:AF$229,Nutrients!$EY$8:$EY$228)+(IF($A$7=Nutrients!$B$8,Nutrients!$EY$8,Nutrients!$EY$9)*AF$7)+(((IF($A$8=Nutrients!$B$79,Nutrients!$EY$79,(IF($A$8=Nutrients!$B$77,Nutrients!$EY$77,Nutrients!$EY$78)))))*AF$8))</f>
        <v>12500</v>
      </c>
      <c r="AG334" s="21">
        <f>(SUMPRODUCT(AG$9:AG$229,Nutrients!$EY$8:$EY$228)+(IF($A$7=Nutrients!$B$8,Nutrients!$EY$8,Nutrients!$EY$9)*AG$7)+(((IF($A$8=Nutrients!$B$79,Nutrients!$EY$79,(IF($A$8=Nutrients!$B$77,Nutrients!$EY$77,Nutrients!$EY$78)))))*AG$8))</f>
        <v>10000</v>
      </c>
      <c r="AH334" s="21">
        <f>(SUMPRODUCT(AH$9:AH$229,Nutrients!$EY$8:$EY$228)+(IF($A$7=Nutrients!$B$8,Nutrients!$EY$8,Nutrients!$EY$9)*AH$7)+(((IF($A$8=Nutrients!$B$79,Nutrients!$EY$79,(IF($A$8=Nutrients!$B$77,Nutrients!$EY$77,Nutrients!$EY$78)))))*AH$8))</f>
        <v>7500</v>
      </c>
      <c r="AI334" s="21">
        <f>(SUMPRODUCT(AI$9:AI$229,Nutrients!$EY$8:$EY$228)+(IF($A$7=Nutrients!$B$8,Nutrients!$EY$8,Nutrients!$EY$9)*AI$7)+(((IF($A$8=Nutrients!$B$79,Nutrients!$EY$79,(IF($A$8=Nutrients!$B$77,Nutrients!$EY$77,Nutrients!$EY$78)))))*AI$8))</f>
        <v>7500</v>
      </c>
      <c r="AK334" s="21">
        <f>(SUMPRODUCT(AK$9:AK$229,Nutrients!$EY$8:$EY$228)+(IF($A$7=Nutrients!$B$8,Nutrients!$EY$8,Nutrients!$EY$9)*AK$7)+(((IF($A$8=Nutrients!$B$79,Nutrients!$EY$79,(IF($A$8=Nutrients!$B$77,Nutrients!$EY$77,Nutrients!$EY$78)))))*AK$8))</f>
        <v>15000</v>
      </c>
      <c r="AL334" s="21">
        <f>(SUMPRODUCT(AL$9:AL$229,Nutrients!$EY$8:$EY$228)+(IF($A$7=Nutrients!$B$8,Nutrients!$EY$8,Nutrients!$EY$9)*AL$7)+(((IF($A$8=Nutrients!$B$79,Nutrients!$EY$79,(IF($A$8=Nutrients!$B$77,Nutrients!$EY$77,Nutrients!$EY$78)))))*AL$8))</f>
        <v>15000</v>
      </c>
      <c r="AM334" s="21">
        <f>(SUMPRODUCT(AM$9:AM$229,Nutrients!$EY$8:$EY$228)+(IF($A$7=Nutrients!$B$8,Nutrients!$EY$8,Nutrients!$EY$9)*AM$7)+(((IF($A$8=Nutrients!$B$79,Nutrients!$EY$79,(IF($A$8=Nutrients!$B$77,Nutrients!$EY$77,Nutrients!$EY$78)))))*AM$8))</f>
        <v>12500</v>
      </c>
      <c r="AN334" s="21">
        <f>(SUMPRODUCT(AN$9:AN$229,Nutrients!$EY$8:$EY$228)+(IF($A$7=Nutrients!$B$8,Nutrients!$EY$8,Nutrients!$EY$9)*AN$7)+(((IF($A$8=Nutrients!$B$79,Nutrients!$EY$79,(IF($A$8=Nutrients!$B$77,Nutrients!$EY$77,Nutrients!$EY$78)))))*AN$8))</f>
        <v>10000</v>
      </c>
      <c r="AO334" s="21">
        <f>(SUMPRODUCT(AO$9:AO$229,Nutrients!$EY$8:$EY$228)+(IF($A$7=Nutrients!$B$8,Nutrients!$EY$8,Nutrients!$EY$9)*AO$7)+(((IF($A$8=Nutrients!$B$79,Nutrients!$EY$79,(IF($A$8=Nutrients!$B$77,Nutrients!$EY$77,Nutrients!$EY$78)))))*AO$8))</f>
        <v>7500</v>
      </c>
      <c r="AP334" s="21">
        <f>(SUMPRODUCT(AP$9:AP$229,Nutrients!$EY$8:$EY$228)+(IF($A$7=Nutrients!$B$8,Nutrients!$EY$8,Nutrients!$EY$9)*AP$7)+(((IF($A$8=Nutrients!$B$79,Nutrients!$EY$79,(IF($A$8=Nutrients!$B$77,Nutrients!$EY$77,Nutrients!$EY$78)))))*AP$8))</f>
        <v>7500</v>
      </c>
      <c r="AR334" s="21">
        <f>(SUMPRODUCT(AR$9:AR$229,Nutrients!$EY$8:$EY$228)+(IF($A$7=Nutrients!$B$8,Nutrients!$EY$8,Nutrients!$EY$9)*AR$7)+(((IF($A$8=Nutrients!$B$79,Nutrients!$EY$79,(IF($A$8=Nutrients!$B$77,Nutrients!$EY$77,Nutrients!$EY$78)))))*AR$8))</f>
        <v>15000</v>
      </c>
      <c r="AS334" s="21">
        <f>(SUMPRODUCT(AS$9:AS$229,Nutrients!$EY$8:$EY$228)+(IF($A$7=Nutrients!$B$8,Nutrients!$EY$8,Nutrients!$EY$9)*AS$7)+(((IF($A$8=Nutrients!$B$79,Nutrients!$EY$79,(IF($A$8=Nutrients!$B$77,Nutrients!$EY$77,Nutrients!$EY$78)))))*AS$8))</f>
        <v>15000</v>
      </c>
      <c r="AT334" s="21">
        <f>(SUMPRODUCT(AT$9:AT$229,Nutrients!$EY$8:$EY$228)+(IF($A$7=Nutrients!$B$8,Nutrients!$EY$8,Nutrients!$EY$9)*AT$7)+(((IF($A$8=Nutrients!$B$79,Nutrients!$EY$79,(IF($A$8=Nutrients!$B$77,Nutrients!$EY$77,Nutrients!$EY$78)))))*AT$8))</f>
        <v>12500</v>
      </c>
      <c r="AU334" s="21">
        <f>(SUMPRODUCT(AU$9:AU$229,Nutrients!$EY$8:$EY$228)+(IF($A$7=Nutrients!$B$8,Nutrients!$EY$8,Nutrients!$EY$9)*AU$7)+(((IF($A$8=Nutrients!$B$79,Nutrients!$EY$79,(IF($A$8=Nutrients!$B$77,Nutrients!$EY$77,Nutrients!$EY$78)))))*AU$8))</f>
        <v>10000</v>
      </c>
      <c r="AV334" s="21">
        <f>(SUMPRODUCT(AV$9:AV$229,Nutrients!$EY$8:$EY$228)+(IF($A$7=Nutrients!$B$8,Nutrients!$EY$8,Nutrients!$EY$9)*AV$7)+(((IF($A$8=Nutrients!$B$79,Nutrients!$EY$79,(IF($A$8=Nutrients!$B$77,Nutrients!$EY$77,Nutrients!$EY$78)))))*AV$8))</f>
        <v>7500</v>
      </c>
      <c r="AW334" s="21">
        <f>(SUMPRODUCT(AW$9:AW$229,Nutrients!$EY$8:$EY$228)+(IF($A$7=Nutrients!$B$8,Nutrients!$EY$8,Nutrients!$EY$9)*AW$7)+(((IF($A$8=Nutrients!$B$79,Nutrients!$EY$79,(IF($A$8=Nutrients!$B$77,Nutrients!$EY$77,Nutrients!$EY$78)))))*AW$8))</f>
        <v>7500</v>
      </c>
    </row>
    <row r="335" spans="1:49" x14ac:dyDescent="0.25">
      <c r="A335" s="34" t="s">
        <v>128</v>
      </c>
      <c r="B335" s="21">
        <f>(SUMPRODUCT(B$9:B$229,Nutrients!$EZ$8:$EZ$228)+(IF($A$7=Nutrients!$B$8,Nutrients!$EZ$8,Nutrients!$EZ$9)*B$7)+(((IF($A$8=Nutrients!$B$79,Nutrients!$EZ$79,(IF($A$8=Nutrients!$B$77,Nutrients!$EZ$77,Nutrients!$EZ$78)))))*B$8))</f>
        <v>4500</v>
      </c>
      <c r="C335" s="21">
        <f>(SUMPRODUCT(C$9:C$229,Nutrients!$EZ$8:$EZ$228)+(IF($A$7=Nutrients!$B$8,Nutrients!$EZ$8,Nutrients!$EZ$9)*C$7)+(((IF($A$8=Nutrients!$B$79,Nutrients!$EZ$79,(IF($A$8=Nutrients!$B$77,Nutrients!$EZ$77,Nutrients!$EZ$78)))))*C$8))</f>
        <v>4500</v>
      </c>
      <c r="D335" s="21">
        <f>(SUMPRODUCT(D$9:D$229,Nutrients!$EZ$8:$EZ$228)+(IF($A$7=Nutrients!$B$8,Nutrients!$EZ$8,Nutrients!$EZ$9)*D$7)+(((IF($A$8=Nutrients!$B$79,Nutrients!$EZ$79,(IF($A$8=Nutrients!$B$77,Nutrients!$EZ$77,Nutrients!$EZ$78)))))*D$8))</f>
        <v>3750</v>
      </c>
      <c r="E335" s="21">
        <f>(SUMPRODUCT(E$9:E$229,Nutrients!$EZ$8:$EZ$228)+(IF($A$7=Nutrients!$B$8,Nutrients!$EZ$8,Nutrients!$EZ$9)*E$7)+(((IF($A$8=Nutrients!$B$79,Nutrients!$EZ$79,(IF($A$8=Nutrients!$B$77,Nutrients!$EZ$77,Nutrients!$EZ$78)))))*E$8))</f>
        <v>3000</v>
      </c>
      <c r="F335" s="21">
        <f>(SUMPRODUCT(F$9:F$229,Nutrients!$EZ$8:$EZ$228)+(IF($A$7=Nutrients!$B$8,Nutrients!$EZ$8,Nutrients!$EZ$9)*F$7)+(((IF($A$8=Nutrients!$B$79,Nutrients!$EZ$79,(IF($A$8=Nutrients!$B$77,Nutrients!$EZ$77,Nutrients!$EZ$78)))))*F$8))</f>
        <v>2250</v>
      </c>
      <c r="G335" s="21">
        <f>(SUMPRODUCT(G$9:G$229,Nutrients!$EZ$8:$EZ$228)+(IF($A$7=Nutrients!$B$8,Nutrients!$EZ$8,Nutrients!$EZ$9)*G$7)+(((IF($A$8=Nutrients!$B$79,Nutrients!$EZ$79,(IF($A$8=Nutrients!$B$77,Nutrients!$EZ$77,Nutrients!$EZ$78)))))*G$8))</f>
        <v>2250</v>
      </c>
      <c r="H335" s="226"/>
      <c r="I335" s="21">
        <f>(SUMPRODUCT(I$9:I$229,Nutrients!$EZ$8:$EZ$228)+(IF($A$7=Nutrients!$B$8,Nutrients!$EZ$8,Nutrients!$EZ$9)*I$7)+(((IF($A$8=Nutrients!$B$79,Nutrients!$EZ$79,(IF($A$8=Nutrients!$B$77,Nutrients!$EZ$77,Nutrients!$EZ$78)))))*I$8))</f>
        <v>4500</v>
      </c>
      <c r="J335" s="21">
        <f>(SUMPRODUCT(J$9:J$229,Nutrients!$EZ$8:$EZ$228)+(IF($A$7=Nutrients!$B$8,Nutrients!$EZ$8,Nutrients!$EZ$9)*J$7)+(((IF($A$8=Nutrients!$B$79,Nutrients!$EZ$79,(IF($A$8=Nutrients!$B$77,Nutrients!$EZ$77,Nutrients!$EZ$78)))))*J$8))</f>
        <v>4500</v>
      </c>
      <c r="K335" s="21">
        <f>(SUMPRODUCT(K$9:K$229,Nutrients!$EZ$8:$EZ$228)+(IF($A$7=Nutrients!$B$8,Nutrients!$EZ$8,Nutrients!$EZ$9)*K$7)+(((IF($A$8=Nutrients!$B$79,Nutrients!$EZ$79,(IF($A$8=Nutrients!$B$77,Nutrients!$EZ$77,Nutrients!$EZ$78)))))*K$8))</f>
        <v>3750</v>
      </c>
      <c r="L335" s="21">
        <f>(SUMPRODUCT(L$9:L$229,Nutrients!$EZ$8:$EZ$228)+(IF($A$7=Nutrients!$B$8,Nutrients!$EZ$8,Nutrients!$EZ$9)*L$7)+(((IF($A$8=Nutrients!$B$79,Nutrients!$EZ$79,(IF($A$8=Nutrients!$B$77,Nutrients!$EZ$77,Nutrients!$EZ$78)))))*L$8))</f>
        <v>3000</v>
      </c>
      <c r="M335" s="21">
        <f>(SUMPRODUCT(M$9:M$229,Nutrients!$EZ$8:$EZ$228)+(IF($A$7=Nutrients!$B$8,Nutrients!$EZ$8,Nutrients!$EZ$9)*M$7)+(((IF($A$8=Nutrients!$B$79,Nutrients!$EZ$79,(IF($A$8=Nutrients!$B$77,Nutrients!$EZ$77,Nutrients!$EZ$78)))))*M$8))</f>
        <v>2250</v>
      </c>
      <c r="N335" s="21">
        <f>(SUMPRODUCT(N$9:N$229,Nutrients!$EZ$8:$EZ$228)+(IF($A$7=Nutrients!$B$8,Nutrients!$EZ$8,Nutrients!$EZ$9)*N$7)+(((IF($A$8=Nutrients!$B$79,Nutrients!$EZ$79,(IF($A$8=Nutrients!$B$77,Nutrients!$EZ$77,Nutrients!$EZ$78)))))*N$8))</f>
        <v>2250</v>
      </c>
      <c r="O335" s="234"/>
      <c r="P335" s="21">
        <f>(SUMPRODUCT(P$9:P$229,Nutrients!$EZ$8:$EZ$228)+(IF($A$7=Nutrients!$B$8,Nutrients!$EZ$8,Nutrients!$EZ$9)*P$7)+(((IF($A$8=Nutrients!$B$79,Nutrients!$EZ$79,(IF($A$8=Nutrients!$B$77,Nutrients!$EZ$77,Nutrients!$EZ$78)))))*P$8))</f>
        <v>4500</v>
      </c>
      <c r="Q335" s="21">
        <f>(SUMPRODUCT(Q$9:Q$229,Nutrients!$EZ$8:$EZ$228)+(IF($A$7=Nutrients!$B$8,Nutrients!$EZ$8,Nutrients!$EZ$9)*Q$7)+(((IF($A$8=Nutrients!$B$79,Nutrients!$EZ$79,(IF($A$8=Nutrients!$B$77,Nutrients!$EZ$77,Nutrients!$EZ$78)))))*Q$8))</f>
        <v>4500</v>
      </c>
      <c r="R335" s="21">
        <f>(SUMPRODUCT(R$9:R$229,Nutrients!$EZ$8:$EZ$228)+(IF($A$7=Nutrients!$B$8,Nutrients!$EZ$8,Nutrients!$EZ$9)*R$7)+(((IF($A$8=Nutrients!$B$79,Nutrients!$EZ$79,(IF($A$8=Nutrients!$B$77,Nutrients!$EZ$77,Nutrients!$EZ$78)))))*R$8))</f>
        <v>3750</v>
      </c>
      <c r="S335" s="21">
        <f>(SUMPRODUCT(S$9:S$229,Nutrients!$EZ$8:$EZ$228)+(IF($A$7=Nutrients!$B$8,Nutrients!$EZ$8,Nutrients!$EZ$9)*S$7)+(((IF($A$8=Nutrients!$B$79,Nutrients!$EZ$79,(IF($A$8=Nutrients!$B$77,Nutrients!$EZ$77,Nutrients!$EZ$78)))))*S$8))</f>
        <v>3000</v>
      </c>
      <c r="T335" s="21">
        <f>(SUMPRODUCT(T$9:T$229,Nutrients!$EZ$8:$EZ$228)+(IF($A$7=Nutrients!$B$8,Nutrients!$EZ$8,Nutrients!$EZ$9)*T$7)+(((IF($A$8=Nutrients!$B$79,Nutrients!$EZ$79,(IF($A$8=Nutrients!$B$77,Nutrients!$EZ$77,Nutrients!$EZ$78)))))*T$8))</f>
        <v>2250</v>
      </c>
      <c r="U335" s="21">
        <f>(SUMPRODUCT(U$9:U$229,Nutrients!$EZ$8:$EZ$228)+(IF($A$7=Nutrients!$B$8,Nutrients!$EZ$8,Nutrients!$EZ$9)*U$7)+(((IF($A$8=Nutrients!$B$79,Nutrients!$EZ$79,(IF($A$8=Nutrients!$B$77,Nutrients!$EZ$77,Nutrients!$EZ$78)))))*U$8))</f>
        <v>2250</v>
      </c>
      <c r="W335" s="21">
        <f>(SUMPRODUCT(W$9:W$229,Nutrients!$EZ$8:$EZ$228)+(IF($A$7=Nutrients!$B$8,Nutrients!$EZ$8,Nutrients!$EZ$9)*W$7)+(((IF($A$8=Nutrients!$B$79,Nutrients!$EZ$79,(IF($A$8=Nutrients!$B$77,Nutrients!$EZ$77,Nutrients!$EZ$78)))))*W$8))</f>
        <v>4500</v>
      </c>
      <c r="X335" s="21">
        <f>(SUMPRODUCT(X$9:X$229,Nutrients!$EZ$8:$EZ$228)+(IF($A$7=Nutrients!$B$8,Nutrients!$EZ$8,Nutrients!$EZ$9)*X$7)+(((IF($A$8=Nutrients!$B$79,Nutrients!$EZ$79,(IF($A$8=Nutrients!$B$77,Nutrients!$EZ$77,Nutrients!$EZ$78)))))*X$8))</f>
        <v>4500</v>
      </c>
      <c r="Y335" s="21">
        <f>(SUMPRODUCT(Y$9:Y$229,Nutrients!$EZ$8:$EZ$228)+(IF($A$7=Nutrients!$B$8,Nutrients!$EZ$8,Nutrients!$EZ$9)*Y$7)+(((IF($A$8=Nutrients!$B$79,Nutrients!$EZ$79,(IF($A$8=Nutrients!$B$77,Nutrients!$EZ$77,Nutrients!$EZ$78)))))*Y$8))</f>
        <v>3750</v>
      </c>
      <c r="Z335" s="21">
        <f>(SUMPRODUCT(Z$9:Z$229,Nutrients!$EZ$8:$EZ$228)+(IF($A$7=Nutrients!$B$8,Nutrients!$EZ$8,Nutrients!$EZ$9)*Z$7)+(((IF($A$8=Nutrients!$B$79,Nutrients!$EZ$79,(IF($A$8=Nutrients!$B$77,Nutrients!$EZ$77,Nutrients!$EZ$78)))))*Z$8))</f>
        <v>3000</v>
      </c>
      <c r="AA335" s="21">
        <f>(SUMPRODUCT(AA$9:AA$229,Nutrients!$EZ$8:$EZ$228)+(IF($A$7=Nutrients!$B$8,Nutrients!$EZ$8,Nutrients!$EZ$9)*AA$7)+(((IF($A$8=Nutrients!$B$79,Nutrients!$EZ$79,(IF($A$8=Nutrients!$B$77,Nutrients!$EZ$77,Nutrients!$EZ$78)))))*AA$8))</f>
        <v>2250</v>
      </c>
      <c r="AB335" s="21">
        <f>(SUMPRODUCT(AB$9:AB$229,Nutrients!$EZ$8:$EZ$228)+(IF($A$7=Nutrients!$B$8,Nutrients!$EZ$8,Nutrients!$EZ$9)*AB$7)+(((IF($A$8=Nutrients!$B$79,Nutrients!$EZ$79,(IF($A$8=Nutrients!$B$77,Nutrients!$EZ$77,Nutrients!$EZ$78)))))*AB$8))</f>
        <v>2250</v>
      </c>
      <c r="AD335" s="21">
        <f>(SUMPRODUCT(AD$9:AD$229,Nutrients!$EZ$8:$EZ$228)+(IF($A$7=Nutrients!$B$8,Nutrients!$EZ$8,Nutrients!$EZ$9)*AD$7)+(((IF($A$8=Nutrients!$B$79,Nutrients!$EZ$79,(IF($A$8=Nutrients!$B$77,Nutrients!$EZ$77,Nutrients!$EZ$78)))))*AD$8))</f>
        <v>4500</v>
      </c>
      <c r="AE335" s="21">
        <f>(SUMPRODUCT(AE$9:AE$229,Nutrients!$EZ$8:$EZ$228)+(IF($A$7=Nutrients!$B$8,Nutrients!$EZ$8,Nutrients!$EZ$9)*AE$7)+(((IF($A$8=Nutrients!$B$79,Nutrients!$EZ$79,(IF($A$8=Nutrients!$B$77,Nutrients!$EZ$77,Nutrients!$EZ$78)))))*AE$8))</f>
        <v>4500</v>
      </c>
      <c r="AF335" s="21">
        <f>(SUMPRODUCT(AF$9:AF$229,Nutrients!$EZ$8:$EZ$228)+(IF($A$7=Nutrients!$B$8,Nutrients!$EZ$8,Nutrients!$EZ$9)*AF$7)+(((IF($A$8=Nutrients!$B$79,Nutrients!$EZ$79,(IF($A$8=Nutrients!$B$77,Nutrients!$EZ$77,Nutrients!$EZ$78)))))*AF$8))</f>
        <v>3750</v>
      </c>
      <c r="AG335" s="21">
        <f>(SUMPRODUCT(AG$9:AG$229,Nutrients!$EZ$8:$EZ$228)+(IF($A$7=Nutrients!$B$8,Nutrients!$EZ$8,Nutrients!$EZ$9)*AG$7)+(((IF($A$8=Nutrients!$B$79,Nutrients!$EZ$79,(IF($A$8=Nutrients!$B$77,Nutrients!$EZ$77,Nutrients!$EZ$78)))))*AG$8))</f>
        <v>3000</v>
      </c>
      <c r="AH335" s="21">
        <f>(SUMPRODUCT(AH$9:AH$229,Nutrients!$EZ$8:$EZ$228)+(IF($A$7=Nutrients!$B$8,Nutrients!$EZ$8,Nutrients!$EZ$9)*AH$7)+(((IF($A$8=Nutrients!$B$79,Nutrients!$EZ$79,(IF($A$8=Nutrients!$B$77,Nutrients!$EZ$77,Nutrients!$EZ$78)))))*AH$8))</f>
        <v>2250</v>
      </c>
      <c r="AI335" s="21">
        <f>(SUMPRODUCT(AI$9:AI$229,Nutrients!$EZ$8:$EZ$228)+(IF($A$7=Nutrients!$B$8,Nutrients!$EZ$8,Nutrients!$EZ$9)*AI$7)+(((IF($A$8=Nutrients!$B$79,Nutrients!$EZ$79,(IF($A$8=Nutrients!$B$77,Nutrients!$EZ$77,Nutrients!$EZ$78)))))*AI$8))</f>
        <v>2250</v>
      </c>
      <c r="AK335" s="21">
        <f>(SUMPRODUCT(AK$9:AK$229,Nutrients!$EZ$8:$EZ$228)+(IF($A$7=Nutrients!$B$8,Nutrients!$EZ$8,Nutrients!$EZ$9)*AK$7)+(((IF($A$8=Nutrients!$B$79,Nutrients!$EZ$79,(IF($A$8=Nutrients!$B$77,Nutrients!$EZ$77,Nutrients!$EZ$78)))))*AK$8))</f>
        <v>4500</v>
      </c>
      <c r="AL335" s="21">
        <f>(SUMPRODUCT(AL$9:AL$229,Nutrients!$EZ$8:$EZ$228)+(IF($A$7=Nutrients!$B$8,Nutrients!$EZ$8,Nutrients!$EZ$9)*AL$7)+(((IF($A$8=Nutrients!$B$79,Nutrients!$EZ$79,(IF($A$8=Nutrients!$B$77,Nutrients!$EZ$77,Nutrients!$EZ$78)))))*AL$8))</f>
        <v>4500</v>
      </c>
      <c r="AM335" s="21">
        <f>(SUMPRODUCT(AM$9:AM$229,Nutrients!$EZ$8:$EZ$228)+(IF($A$7=Nutrients!$B$8,Nutrients!$EZ$8,Nutrients!$EZ$9)*AM$7)+(((IF($A$8=Nutrients!$B$79,Nutrients!$EZ$79,(IF($A$8=Nutrients!$B$77,Nutrients!$EZ$77,Nutrients!$EZ$78)))))*AM$8))</f>
        <v>3750</v>
      </c>
      <c r="AN335" s="21">
        <f>(SUMPRODUCT(AN$9:AN$229,Nutrients!$EZ$8:$EZ$228)+(IF($A$7=Nutrients!$B$8,Nutrients!$EZ$8,Nutrients!$EZ$9)*AN$7)+(((IF($A$8=Nutrients!$B$79,Nutrients!$EZ$79,(IF($A$8=Nutrients!$B$77,Nutrients!$EZ$77,Nutrients!$EZ$78)))))*AN$8))</f>
        <v>3000</v>
      </c>
      <c r="AO335" s="21">
        <f>(SUMPRODUCT(AO$9:AO$229,Nutrients!$EZ$8:$EZ$228)+(IF($A$7=Nutrients!$B$8,Nutrients!$EZ$8,Nutrients!$EZ$9)*AO$7)+(((IF($A$8=Nutrients!$B$79,Nutrients!$EZ$79,(IF($A$8=Nutrients!$B$77,Nutrients!$EZ$77,Nutrients!$EZ$78)))))*AO$8))</f>
        <v>2250</v>
      </c>
      <c r="AP335" s="21">
        <f>(SUMPRODUCT(AP$9:AP$229,Nutrients!$EZ$8:$EZ$228)+(IF($A$7=Nutrients!$B$8,Nutrients!$EZ$8,Nutrients!$EZ$9)*AP$7)+(((IF($A$8=Nutrients!$B$79,Nutrients!$EZ$79,(IF($A$8=Nutrients!$B$77,Nutrients!$EZ$77,Nutrients!$EZ$78)))))*AP$8))</f>
        <v>2250</v>
      </c>
      <c r="AR335" s="21">
        <f>(SUMPRODUCT(AR$9:AR$229,Nutrients!$EZ$8:$EZ$228)+(IF($A$7=Nutrients!$B$8,Nutrients!$EZ$8,Nutrients!$EZ$9)*AR$7)+(((IF($A$8=Nutrients!$B$79,Nutrients!$EZ$79,(IF($A$8=Nutrients!$B$77,Nutrients!$EZ$77,Nutrients!$EZ$78)))))*AR$8))</f>
        <v>4500</v>
      </c>
      <c r="AS335" s="21">
        <f>(SUMPRODUCT(AS$9:AS$229,Nutrients!$EZ$8:$EZ$228)+(IF($A$7=Nutrients!$B$8,Nutrients!$EZ$8,Nutrients!$EZ$9)*AS$7)+(((IF($A$8=Nutrients!$B$79,Nutrients!$EZ$79,(IF($A$8=Nutrients!$B$77,Nutrients!$EZ$77,Nutrients!$EZ$78)))))*AS$8))</f>
        <v>4500</v>
      </c>
      <c r="AT335" s="21">
        <f>(SUMPRODUCT(AT$9:AT$229,Nutrients!$EZ$8:$EZ$228)+(IF($A$7=Nutrients!$B$8,Nutrients!$EZ$8,Nutrients!$EZ$9)*AT$7)+(((IF($A$8=Nutrients!$B$79,Nutrients!$EZ$79,(IF($A$8=Nutrients!$B$77,Nutrients!$EZ$77,Nutrients!$EZ$78)))))*AT$8))</f>
        <v>3750</v>
      </c>
      <c r="AU335" s="21">
        <f>(SUMPRODUCT(AU$9:AU$229,Nutrients!$EZ$8:$EZ$228)+(IF($A$7=Nutrients!$B$8,Nutrients!$EZ$8,Nutrients!$EZ$9)*AU$7)+(((IF($A$8=Nutrients!$B$79,Nutrients!$EZ$79,(IF($A$8=Nutrients!$B$77,Nutrients!$EZ$77,Nutrients!$EZ$78)))))*AU$8))</f>
        <v>3000</v>
      </c>
      <c r="AV335" s="21">
        <f>(SUMPRODUCT(AV$9:AV$229,Nutrients!$EZ$8:$EZ$228)+(IF($A$7=Nutrients!$B$8,Nutrients!$EZ$8,Nutrients!$EZ$9)*AV$7)+(((IF($A$8=Nutrients!$B$79,Nutrients!$EZ$79,(IF($A$8=Nutrients!$B$77,Nutrients!$EZ$77,Nutrients!$EZ$78)))))*AV$8))</f>
        <v>2250</v>
      </c>
      <c r="AW335" s="21">
        <f>(SUMPRODUCT(AW$9:AW$229,Nutrients!$EZ$8:$EZ$228)+(IF($A$7=Nutrients!$B$8,Nutrients!$EZ$8,Nutrients!$EZ$9)*AW$7)+(((IF($A$8=Nutrients!$B$79,Nutrients!$EZ$79,(IF($A$8=Nutrients!$B$77,Nutrients!$EZ$77,Nutrients!$EZ$78)))))*AW$8))</f>
        <v>2250</v>
      </c>
    </row>
    <row r="336" spans="1:49" x14ac:dyDescent="0.25">
      <c r="A336" s="34" t="s">
        <v>129</v>
      </c>
      <c r="B336" s="21">
        <f>(SUMPRODUCT(B$9:B$229,Nutrients!$FA$8:$FA$228)+(IF($A$7=Nutrients!$B$8,Nutrients!$FA$8,Nutrients!$FA$9)*B$7)+(((IF($A$8=Nutrients!$B$79,Nutrients!$FA$79,(IF($A$8=Nutrients!$B$77,Nutrients!$FA$77,Nutrients!$FA$78)))))*B$8))</f>
        <v>0</v>
      </c>
      <c r="C336" s="21">
        <f>(SUMPRODUCT(C$9:C$229,Nutrients!$FA$8:$FA$228)+(IF($A$7=Nutrients!$B$8,Nutrients!$FA$8,Nutrients!$FA$9)*C$7)+(((IF($A$8=Nutrients!$B$79,Nutrients!$FA$79,(IF($A$8=Nutrients!$B$77,Nutrients!$FA$77,Nutrients!$FA$78)))))*C$8))</f>
        <v>0</v>
      </c>
      <c r="D336" s="21">
        <f>(SUMPRODUCT(D$9:D$229,Nutrients!$FA$8:$FA$228)+(IF($A$7=Nutrients!$B$8,Nutrients!$FA$8,Nutrients!$FA$9)*D$7)+(((IF($A$8=Nutrients!$B$79,Nutrients!$FA$79,(IF($A$8=Nutrients!$B$77,Nutrients!$FA$77,Nutrients!$FA$78)))))*D$8))</f>
        <v>0</v>
      </c>
      <c r="E336" s="21">
        <f>(SUMPRODUCT(E$9:E$229,Nutrients!$FA$8:$FA$228)+(IF($A$7=Nutrients!$B$8,Nutrients!$FA$8,Nutrients!$FA$9)*E$7)+(((IF($A$8=Nutrients!$B$79,Nutrients!$FA$79,(IF($A$8=Nutrients!$B$77,Nutrients!$FA$77,Nutrients!$FA$78)))))*E$8))</f>
        <v>0</v>
      </c>
      <c r="F336" s="21">
        <f>(SUMPRODUCT(F$9:F$229,Nutrients!$FA$8:$FA$228)+(IF($A$7=Nutrients!$B$8,Nutrients!$FA$8,Nutrients!$FA$9)*F$7)+(((IF($A$8=Nutrients!$B$79,Nutrients!$FA$79,(IF($A$8=Nutrients!$B$77,Nutrients!$FA$77,Nutrients!$FA$78)))))*F$8))</f>
        <v>0</v>
      </c>
      <c r="G336" s="21">
        <f>(SUMPRODUCT(G$9:G$229,Nutrients!$FA$8:$FA$228)+(IF($A$7=Nutrients!$B$8,Nutrients!$FA$8,Nutrients!$FA$9)*G$7)+(((IF($A$8=Nutrients!$B$79,Nutrients!$FA$79,(IF($A$8=Nutrients!$B$77,Nutrients!$FA$77,Nutrients!$FA$78)))))*G$8))</f>
        <v>0</v>
      </c>
      <c r="H336" s="226"/>
      <c r="I336" s="21">
        <f>(SUMPRODUCT(I$9:I$229,Nutrients!$FA$8:$FA$228)+(IF($A$7=Nutrients!$B$8,Nutrients!$FA$8,Nutrients!$FA$9)*I$7)+(((IF($A$8=Nutrients!$B$79,Nutrients!$FA$79,(IF($A$8=Nutrients!$B$77,Nutrients!$FA$77,Nutrients!$FA$78)))))*I$8))</f>
        <v>0</v>
      </c>
      <c r="J336" s="21">
        <f>(SUMPRODUCT(J$9:J$229,Nutrients!$FA$8:$FA$228)+(IF($A$7=Nutrients!$B$8,Nutrients!$FA$8,Nutrients!$FA$9)*J$7)+(((IF($A$8=Nutrients!$B$79,Nutrients!$FA$79,(IF($A$8=Nutrients!$B$77,Nutrients!$FA$77,Nutrients!$FA$78)))))*J$8))</f>
        <v>0</v>
      </c>
      <c r="K336" s="21">
        <f>(SUMPRODUCT(K$9:K$229,Nutrients!$FA$8:$FA$228)+(IF($A$7=Nutrients!$B$8,Nutrients!$FA$8,Nutrients!$FA$9)*K$7)+(((IF($A$8=Nutrients!$B$79,Nutrients!$FA$79,(IF($A$8=Nutrients!$B$77,Nutrients!$FA$77,Nutrients!$FA$78)))))*K$8))</f>
        <v>0</v>
      </c>
      <c r="L336" s="21">
        <f>(SUMPRODUCT(L$9:L$229,Nutrients!$FA$8:$FA$228)+(IF($A$7=Nutrients!$B$8,Nutrients!$FA$8,Nutrients!$FA$9)*L$7)+(((IF($A$8=Nutrients!$B$79,Nutrients!$FA$79,(IF($A$8=Nutrients!$B$77,Nutrients!$FA$77,Nutrients!$FA$78)))))*L$8))</f>
        <v>0</v>
      </c>
      <c r="M336" s="21">
        <f>(SUMPRODUCT(M$9:M$229,Nutrients!$FA$8:$FA$228)+(IF($A$7=Nutrients!$B$8,Nutrients!$FA$8,Nutrients!$FA$9)*M$7)+(((IF($A$8=Nutrients!$B$79,Nutrients!$FA$79,(IF($A$8=Nutrients!$B$77,Nutrients!$FA$77,Nutrients!$FA$78)))))*M$8))</f>
        <v>0</v>
      </c>
      <c r="N336" s="21">
        <f>(SUMPRODUCT(N$9:N$229,Nutrients!$FA$8:$FA$228)+(IF($A$7=Nutrients!$B$8,Nutrients!$FA$8,Nutrients!$FA$9)*N$7)+(((IF($A$8=Nutrients!$B$79,Nutrients!$FA$79,(IF($A$8=Nutrients!$B$77,Nutrients!$FA$77,Nutrients!$FA$78)))))*N$8))</f>
        <v>0</v>
      </c>
      <c r="O336" s="234"/>
      <c r="P336" s="21">
        <f>(SUMPRODUCT(P$9:P$229,Nutrients!$FA$8:$FA$228)+(IF($A$7=Nutrients!$B$8,Nutrients!$FA$8,Nutrients!$FA$9)*P$7)+(((IF($A$8=Nutrients!$B$79,Nutrients!$FA$79,(IF($A$8=Nutrients!$B$77,Nutrients!$FA$77,Nutrients!$FA$78)))))*P$8))</f>
        <v>0</v>
      </c>
      <c r="Q336" s="21">
        <f>(SUMPRODUCT(Q$9:Q$229,Nutrients!$FA$8:$FA$228)+(IF($A$7=Nutrients!$B$8,Nutrients!$FA$8,Nutrients!$FA$9)*Q$7)+(((IF($A$8=Nutrients!$B$79,Nutrients!$FA$79,(IF($A$8=Nutrients!$B$77,Nutrients!$FA$77,Nutrients!$FA$78)))))*Q$8))</f>
        <v>0</v>
      </c>
      <c r="R336" s="21">
        <f>(SUMPRODUCT(R$9:R$229,Nutrients!$FA$8:$FA$228)+(IF($A$7=Nutrients!$B$8,Nutrients!$FA$8,Nutrients!$FA$9)*R$7)+(((IF($A$8=Nutrients!$B$79,Nutrients!$FA$79,(IF($A$8=Nutrients!$B$77,Nutrients!$FA$77,Nutrients!$FA$78)))))*R$8))</f>
        <v>0</v>
      </c>
      <c r="S336" s="21">
        <f>(SUMPRODUCT(S$9:S$229,Nutrients!$FA$8:$FA$228)+(IF($A$7=Nutrients!$B$8,Nutrients!$FA$8,Nutrients!$FA$9)*S$7)+(((IF($A$8=Nutrients!$B$79,Nutrients!$FA$79,(IF($A$8=Nutrients!$B$77,Nutrients!$FA$77,Nutrients!$FA$78)))))*S$8))</f>
        <v>0</v>
      </c>
      <c r="T336" s="21">
        <f>(SUMPRODUCT(T$9:T$229,Nutrients!$FA$8:$FA$228)+(IF($A$7=Nutrients!$B$8,Nutrients!$FA$8,Nutrients!$FA$9)*T$7)+(((IF($A$8=Nutrients!$B$79,Nutrients!$FA$79,(IF($A$8=Nutrients!$B$77,Nutrients!$FA$77,Nutrients!$FA$78)))))*T$8))</f>
        <v>0</v>
      </c>
      <c r="U336" s="21">
        <f>(SUMPRODUCT(U$9:U$229,Nutrients!$FA$8:$FA$228)+(IF($A$7=Nutrients!$B$8,Nutrients!$FA$8,Nutrients!$FA$9)*U$7)+(((IF($A$8=Nutrients!$B$79,Nutrients!$FA$79,(IF($A$8=Nutrients!$B$77,Nutrients!$FA$77,Nutrients!$FA$78)))))*U$8))</f>
        <v>0</v>
      </c>
      <c r="W336" s="21">
        <f>(SUMPRODUCT(W$9:W$229,Nutrients!$FA$8:$FA$228)+(IF($A$7=Nutrients!$B$8,Nutrients!$FA$8,Nutrients!$FA$9)*W$7)+(((IF($A$8=Nutrients!$B$79,Nutrients!$FA$79,(IF($A$8=Nutrients!$B$77,Nutrients!$FA$77,Nutrients!$FA$78)))))*W$8))</f>
        <v>0</v>
      </c>
      <c r="X336" s="21">
        <f>(SUMPRODUCT(X$9:X$229,Nutrients!$FA$8:$FA$228)+(IF($A$7=Nutrients!$B$8,Nutrients!$FA$8,Nutrients!$FA$9)*X$7)+(((IF($A$8=Nutrients!$B$79,Nutrients!$FA$79,(IF($A$8=Nutrients!$B$77,Nutrients!$FA$77,Nutrients!$FA$78)))))*X$8))</f>
        <v>0</v>
      </c>
      <c r="Y336" s="21">
        <f>(SUMPRODUCT(Y$9:Y$229,Nutrients!$FA$8:$FA$228)+(IF($A$7=Nutrients!$B$8,Nutrients!$FA$8,Nutrients!$FA$9)*Y$7)+(((IF($A$8=Nutrients!$B$79,Nutrients!$FA$79,(IF($A$8=Nutrients!$B$77,Nutrients!$FA$77,Nutrients!$FA$78)))))*Y$8))</f>
        <v>0</v>
      </c>
      <c r="Z336" s="21">
        <f>(SUMPRODUCT(Z$9:Z$229,Nutrients!$FA$8:$FA$228)+(IF($A$7=Nutrients!$B$8,Nutrients!$FA$8,Nutrients!$FA$9)*Z$7)+(((IF($A$8=Nutrients!$B$79,Nutrients!$FA$79,(IF($A$8=Nutrients!$B$77,Nutrients!$FA$77,Nutrients!$FA$78)))))*Z$8))</f>
        <v>0</v>
      </c>
      <c r="AA336" s="21">
        <f>(SUMPRODUCT(AA$9:AA$229,Nutrients!$FA$8:$FA$228)+(IF($A$7=Nutrients!$B$8,Nutrients!$FA$8,Nutrients!$FA$9)*AA$7)+(((IF($A$8=Nutrients!$B$79,Nutrients!$FA$79,(IF($A$8=Nutrients!$B$77,Nutrients!$FA$77,Nutrients!$FA$78)))))*AA$8))</f>
        <v>0</v>
      </c>
      <c r="AB336" s="21">
        <f>(SUMPRODUCT(AB$9:AB$229,Nutrients!$FA$8:$FA$228)+(IF($A$7=Nutrients!$B$8,Nutrients!$FA$8,Nutrients!$FA$9)*AB$7)+(((IF($A$8=Nutrients!$B$79,Nutrients!$FA$79,(IF($A$8=Nutrients!$B$77,Nutrients!$FA$77,Nutrients!$FA$78)))))*AB$8))</f>
        <v>0</v>
      </c>
      <c r="AD336" s="21">
        <f>(SUMPRODUCT(AD$9:AD$229,Nutrients!$FA$8:$FA$228)+(IF($A$7=Nutrients!$B$8,Nutrients!$FA$8,Nutrients!$FA$9)*AD$7)+(((IF($A$8=Nutrients!$B$79,Nutrients!$FA$79,(IF($A$8=Nutrients!$B$77,Nutrients!$FA$77,Nutrients!$FA$78)))))*AD$8))</f>
        <v>0</v>
      </c>
      <c r="AE336" s="21">
        <f>(SUMPRODUCT(AE$9:AE$229,Nutrients!$FA$8:$FA$228)+(IF($A$7=Nutrients!$B$8,Nutrients!$FA$8,Nutrients!$FA$9)*AE$7)+(((IF($A$8=Nutrients!$B$79,Nutrients!$FA$79,(IF($A$8=Nutrients!$B$77,Nutrients!$FA$77,Nutrients!$FA$78)))))*AE$8))</f>
        <v>0</v>
      </c>
      <c r="AF336" s="21">
        <f>(SUMPRODUCT(AF$9:AF$229,Nutrients!$FA$8:$FA$228)+(IF($A$7=Nutrients!$B$8,Nutrients!$FA$8,Nutrients!$FA$9)*AF$7)+(((IF($A$8=Nutrients!$B$79,Nutrients!$FA$79,(IF($A$8=Nutrients!$B$77,Nutrients!$FA$77,Nutrients!$FA$78)))))*AF$8))</f>
        <v>0</v>
      </c>
      <c r="AG336" s="21">
        <f>(SUMPRODUCT(AG$9:AG$229,Nutrients!$FA$8:$FA$228)+(IF($A$7=Nutrients!$B$8,Nutrients!$FA$8,Nutrients!$FA$9)*AG$7)+(((IF($A$8=Nutrients!$B$79,Nutrients!$FA$79,(IF($A$8=Nutrients!$B$77,Nutrients!$FA$77,Nutrients!$FA$78)))))*AG$8))</f>
        <v>0</v>
      </c>
      <c r="AH336" s="21">
        <f>(SUMPRODUCT(AH$9:AH$229,Nutrients!$FA$8:$FA$228)+(IF($A$7=Nutrients!$B$8,Nutrients!$FA$8,Nutrients!$FA$9)*AH$7)+(((IF($A$8=Nutrients!$B$79,Nutrients!$FA$79,(IF($A$8=Nutrients!$B$77,Nutrients!$FA$77,Nutrients!$FA$78)))))*AH$8))</f>
        <v>0</v>
      </c>
      <c r="AI336" s="21">
        <f>(SUMPRODUCT(AI$9:AI$229,Nutrients!$FA$8:$FA$228)+(IF($A$7=Nutrients!$B$8,Nutrients!$FA$8,Nutrients!$FA$9)*AI$7)+(((IF($A$8=Nutrients!$B$79,Nutrients!$FA$79,(IF($A$8=Nutrients!$B$77,Nutrients!$FA$77,Nutrients!$FA$78)))))*AI$8))</f>
        <v>0</v>
      </c>
      <c r="AK336" s="21">
        <f>(SUMPRODUCT(AK$9:AK$229,Nutrients!$FA$8:$FA$228)+(IF($A$7=Nutrients!$B$8,Nutrients!$FA$8,Nutrients!$FA$9)*AK$7)+(((IF($A$8=Nutrients!$B$79,Nutrients!$FA$79,(IF($A$8=Nutrients!$B$77,Nutrients!$FA$77,Nutrients!$FA$78)))))*AK$8))</f>
        <v>0</v>
      </c>
      <c r="AL336" s="21">
        <f>(SUMPRODUCT(AL$9:AL$229,Nutrients!$FA$8:$FA$228)+(IF($A$7=Nutrients!$B$8,Nutrients!$FA$8,Nutrients!$FA$9)*AL$7)+(((IF($A$8=Nutrients!$B$79,Nutrients!$FA$79,(IF($A$8=Nutrients!$B$77,Nutrients!$FA$77,Nutrients!$FA$78)))))*AL$8))</f>
        <v>0</v>
      </c>
      <c r="AM336" s="21">
        <f>(SUMPRODUCT(AM$9:AM$229,Nutrients!$FA$8:$FA$228)+(IF($A$7=Nutrients!$B$8,Nutrients!$FA$8,Nutrients!$FA$9)*AM$7)+(((IF($A$8=Nutrients!$B$79,Nutrients!$FA$79,(IF($A$8=Nutrients!$B$77,Nutrients!$FA$77,Nutrients!$FA$78)))))*AM$8))</f>
        <v>0</v>
      </c>
      <c r="AN336" s="21">
        <f>(SUMPRODUCT(AN$9:AN$229,Nutrients!$FA$8:$FA$228)+(IF($A$7=Nutrients!$B$8,Nutrients!$FA$8,Nutrients!$FA$9)*AN$7)+(((IF($A$8=Nutrients!$B$79,Nutrients!$FA$79,(IF($A$8=Nutrients!$B$77,Nutrients!$FA$77,Nutrients!$FA$78)))))*AN$8))</f>
        <v>0</v>
      </c>
      <c r="AO336" s="21">
        <f>(SUMPRODUCT(AO$9:AO$229,Nutrients!$FA$8:$FA$228)+(IF($A$7=Nutrients!$B$8,Nutrients!$FA$8,Nutrients!$FA$9)*AO$7)+(((IF($A$8=Nutrients!$B$79,Nutrients!$FA$79,(IF($A$8=Nutrients!$B$77,Nutrients!$FA$77,Nutrients!$FA$78)))))*AO$8))</f>
        <v>0</v>
      </c>
      <c r="AP336" s="21">
        <f>(SUMPRODUCT(AP$9:AP$229,Nutrients!$FA$8:$FA$228)+(IF($A$7=Nutrients!$B$8,Nutrients!$FA$8,Nutrients!$FA$9)*AP$7)+(((IF($A$8=Nutrients!$B$79,Nutrients!$FA$79,(IF($A$8=Nutrients!$B$77,Nutrients!$FA$77,Nutrients!$FA$78)))))*AP$8))</f>
        <v>0</v>
      </c>
      <c r="AR336" s="21">
        <f>(SUMPRODUCT(AR$9:AR$229,Nutrients!$FA$8:$FA$228)+(IF($A$7=Nutrients!$B$8,Nutrients!$FA$8,Nutrients!$FA$9)*AR$7)+(((IF($A$8=Nutrients!$B$79,Nutrients!$FA$79,(IF($A$8=Nutrients!$B$77,Nutrients!$FA$77,Nutrients!$FA$78)))))*AR$8))</f>
        <v>0</v>
      </c>
      <c r="AS336" s="21">
        <f>(SUMPRODUCT(AS$9:AS$229,Nutrients!$FA$8:$FA$228)+(IF($A$7=Nutrients!$B$8,Nutrients!$FA$8,Nutrients!$FA$9)*AS$7)+(((IF($A$8=Nutrients!$B$79,Nutrients!$FA$79,(IF($A$8=Nutrients!$B$77,Nutrients!$FA$77,Nutrients!$FA$78)))))*AS$8))</f>
        <v>0</v>
      </c>
      <c r="AT336" s="21">
        <f>(SUMPRODUCT(AT$9:AT$229,Nutrients!$FA$8:$FA$228)+(IF($A$7=Nutrients!$B$8,Nutrients!$FA$8,Nutrients!$FA$9)*AT$7)+(((IF($A$8=Nutrients!$B$79,Nutrients!$FA$79,(IF($A$8=Nutrients!$B$77,Nutrients!$FA$77,Nutrients!$FA$78)))))*AT$8))</f>
        <v>0</v>
      </c>
      <c r="AU336" s="21">
        <f>(SUMPRODUCT(AU$9:AU$229,Nutrients!$FA$8:$FA$228)+(IF($A$7=Nutrients!$B$8,Nutrients!$FA$8,Nutrients!$FA$9)*AU$7)+(((IF($A$8=Nutrients!$B$79,Nutrients!$FA$79,(IF($A$8=Nutrients!$B$77,Nutrients!$FA$77,Nutrients!$FA$78)))))*AU$8))</f>
        <v>0</v>
      </c>
      <c r="AV336" s="21">
        <f>(SUMPRODUCT(AV$9:AV$229,Nutrients!$FA$8:$FA$228)+(IF($A$7=Nutrients!$B$8,Nutrients!$FA$8,Nutrients!$FA$9)*AV$7)+(((IF($A$8=Nutrients!$B$79,Nutrients!$FA$79,(IF($A$8=Nutrients!$B$77,Nutrients!$FA$77,Nutrients!$FA$78)))))*AV$8))</f>
        <v>0</v>
      </c>
      <c r="AW336" s="21">
        <f>(SUMPRODUCT(AW$9:AW$229,Nutrients!$FA$8:$FA$228)+(IF($A$7=Nutrients!$B$8,Nutrients!$FA$8,Nutrients!$FA$9)*AW$7)+(((IF($A$8=Nutrients!$B$79,Nutrients!$FA$79,(IF($A$8=Nutrients!$B$77,Nutrients!$FA$77,Nutrients!$FA$78)))))*AW$8))</f>
        <v>0</v>
      </c>
    </row>
    <row r="337" spans="1:58" x14ac:dyDescent="0.25">
      <c r="A337" s="34" t="s">
        <v>130</v>
      </c>
      <c r="B337" s="21">
        <f>(SUMPRODUCT(B$9:B$229,Nutrients!$FB$8:$FB$228)+(IF($A$7=Nutrients!$B$8,Nutrients!$FB$8,Nutrients!$FB$9)*B$7)+(((IF($A$8=Nutrients!$B$79,Nutrients!$FB$79,(IF($A$8=Nutrients!$B$77,Nutrients!$FB$77,Nutrients!$FB$78)))))*B$8))</f>
        <v>0</v>
      </c>
      <c r="C337" s="21">
        <f>(SUMPRODUCT(C$9:C$229,Nutrients!$FB$8:$FB$228)+(IF($A$7=Nutrients!$B$8,Nutrients!$FB$8,Nutrients!$FB$9)*C$7)+(((IF($A$8=Nutrients!$B$79,Nutrients!$FB$79,(IF($A$8=Nutrients!$B$77,Nutrients!$FB$77,Nutrients!$FB$78)))))*C$8))</f>
        <v>0</v>
      </c>
      <c r="D337" s="21">
        <f>(SUMPRODUCT(D$9:D$229,Nutrients!$FB$8:$FB$228)+(IF($A$7=Nutrients!$B$8,Nutrients!$FB$8,Nutrients!$FB$9)*D$7)+(((IF($A$8=Nutrients!$B$79,Nutrients!$FB$79,(IF($A$8=Nutrients!$B$77,Nutrients!$FB$77,Nutrients!$FB$78)))))*D$8))</f>
        <v>0</v>
      </c>
      <c r="E337" s="21">
        <f>(SUMPRODUCT(E$9:E$229,Nutrients!$FB$8:$FB$228)+(IF($A$7=Nutrients!$B$8,Nutrients!$FB$8,Nutrients!$FB$9)*E$7)+(((IF($A$8=Nutrients!$B$79,Nutrients!$FB$79,(IF($A$8=Nutrients!$B$77,Nutrients!$FB$77,Nutrients!$FB$78)))))*E$8))</f>
        <v>0</v>
      </c>
      <c r="F337" s="21">
        <f>(SUMPRODUCT(F$9:F$229,Nutrients!$FB$8:$FB$228)+(IF($A$7=Nutrients!$B$8,Nutrients!$FB$8,Nutrients!$FB$9)*F$7)+(((IF($A$8=Nutrients!$B$79,Nutrients!$FB$79,(IF($A$8=Nutrients!$B$77,Nutrients!$FB$77,Nutrients!$FB$78)))))*F$8))</f>
        <v>0</v>
      </c>
      <c r="G337" s="21">
        <f>(SUMPRODUCT(G$9:G$229,Nutrients!$FB$8:$FB$228)+(IF($A$7=Nutrients!$B$8,Nutrients!$FB$8,Nutrients!$FB$9)*G$7)+(((IF($A$8=Nutrients!$B$79,Nutrients!$FB$79,(IF($A$8=Nutrients!$B$77,Nutrients!$FB$77,Nutrients!$FB$78)))))*G$8))</f>
        <v>0</v>
      </c>
      <c r="H337" s="226"/>
      <c r="I337" s="21">
        <f>(SUMPRODUCT(I$9:I$229,Nutrients!$FB$8:$FB$228)+(IF($A$7=Nutrients!$B$8,Nutrients!$FB$8,Nutrients!$FB$9)*I$7)+(((IF($A$8=Nutrients!$B$79,Nutrients!$FB$79,(IF($A$8=Nutrients!$B$77,Nutrients!$FB$77,Nutrients!$FB$78)))))*I$8))</f>
        <v>0</v>
      </c>
      <c r="J337" s="21">
        <f>(SUMPRODUCT(J$9:J$229,Nutrients!$FB$8:$FB$228)+(IF($A$7=Nutrients!$B$8,Nutrients!$FB$8,Nutrients!$FB$9)*J$7)+(((IF($A$8=Nutrients!$B$79,Nutrients!$FB$79,(IF($A$8=Nutrients!$B$77,Nutrients!$FB$77,Nutrients!$FB$78)))))*J$8))</f>
        <v>0</v>
      </c>
      <c r="K337" s="21">
        <f>(SUMPRODUCT(K$9:K$229,Nutrients!$FB$8:$FB$228)+(IF($A$7=Nutrients!$B$8,Nutrients!$FB$8,Nutrients!$FB$9)*K$7)+(((IF($A$8=Nutrients!$B$79,Nutrients!$FB$79,(IF($A$8=Nutrients!$B$77,Nutrients!$FB$77,Nutrients!$FB$78)))))*K$8))</f>
        <v>0</v>
      </c>
      <c r="L337" s="21">
        <f>(SUMPRODUCT(L$9:L$229,Nutrients!$FB$8:$FB$228)+(IF($A$7=Nutrients!$B$8,Nutrients!$FB$8,Nutrients!$FB$9)*L$7)+(((IF($A$8=Nutrients!$B$79,Nutrients!$FB$79,(IF($A$8=Nutrients!$B$77,Nutrients!$FB$77,Nutrients!$FB$78)))))*L$8))</f>
        <v>0</v>
      </c>
      <c r="M337" s="21">
        <f>(SUMPRODUCT(M$9:M$229,Nutrients!$FB$8:$FB$228)+(IF($A$7=Nutrients!$B$8,Nutrients!$FB$8,Nutrients!$FB$9)*M$7)+(((IF($A$8=Nutrients!$B$79,Nutrients!$FB$79,(IF($A$8=Nutrients!$B$77,Nutrients!$FB$77,Nutrients!$FB$78)))))*M$8))</f>
        <v>0</v>
      </c>
      <c r="N337" s="21">
        <f>(SUMPRODUCT(N$9:N$229,Nutrients!$FB$8:$FB$228)+(IF($A$7=Nutrients!$B$8,Nutrients!$FB$8,Nutrients!$FB$9)*N$7)+(((IF($A$8=Nutrients!$B$79,Nutrients!$FB$79,(IF($A$8=Nutrients!$B$77,Nutrients!$FB$77,Nutrients!$FB$78)))))*N$8))</f>
        <v>0</v>
      </c>
      <c r="O337" s="234"/>
      <c r="P337" s="21">
        <f>(SUMPRODUCT(P$9:P$229,Nutrients!$FB$8:$FB$228)+(IF($A$7=Nutrients!$B$8,Nutrients!$FB$8,Nutrients!$FB$9)*P$7)+(((IF($A$8=Nutrients!$B$79,Nutrients!$FB$79,(IF($A$8=Nutrients!$B$77,Nutrients!$FB$77,Nutrients!$FB$78)))))*P$8))</f>
        <v>0</v>
      </c>
      <c r="Q337" s="21">
        <f>(SUMPRODUCT(Q$9:Q$229,Nutrients!$FB$8:$FB$228)+(IF($A$7=Nutrients!$B$8,Nutrients!$FB$8,Nutrients!$FB$9)*Q$7)+(((IF($A$8=Nutrients!$B$79,Nutrients!$FB$79,(IF($A$8=Nutrients!$B$77,Nutrients!$FB$77,Nutrients!$FB$78)))))*Q$8))</f>
        <v>0</v>
      </c>
      <c r="R337" s="21">
        <f>(SUMPRODUCT(R$9:R$229,Nutrients!$FB$8:$FB$228)+(IF($A$7=Nutrients!$B$8,Nutrients!$FB$8,Nutrients!$FB$9)*R$7)+(((IF($A$8=Nutrients!$B$79,Nutrients!$FB$79,(IF($A$8=Nutrients!$B$77,Nutrients!$FB$77,Nutrients!$FB$78)))))*R$8))</f>
        <v>0</v>
      </c>
      <c r="S337" s="21">
        <f>(SUMPRODUCT(S$9:S$229,Nutrients!$FB$8:$FB$228)+(IF($A$7=Nutrients!$B$8,Nutrients!$FB$8,Nutrients!$FB$9)*S$7)+(((IF($A$8=Nutrients!$B$79,Nutrients!$FB$79,(IF($A$8=Nutrients!$B$77,Nutrients!$FB$77,Nutrients!$FB$78)))))*S$8))</f>
        <v>0</v>
      </c>
      <c r="T337" s="21">
        <f>(SUMPRODUCT(T$9:T$229,Nutrients!$FB$8:$FB$228)+(IF($A$7=Nutrients!$B$8,Nutrients!$FB$8,Nutrients!$FB$9)*T$7)+(((IF($A$8=Nutrients!$B$79,Nutrients!$FB$79,(IF($A$8=Nutrients!$B$77,Nutrients!$FB$77,Nutrients!$FB$78)))))*T$8))</f>
        <v>0</v>
      </c>
      <c r="U337" s="21">
        <f>(SUMPRODUCT(U$9:U$229,Nutrients!$FB$8:$FB$228)+(IF($A$7=Nutrients!$B$8,Nutrients!$FB$8,Nutrients!$FB$9)*U$7)+(((IF($A$8=Nutrients!$B$79,Nutrients!$FB$79,(IF($A$8=Nutrients!$B$77,Nutrients!$FB$77,Nutrients!$FB$78)))))*U$8))</f>
        <v>0</v>
      </c>
      <c r="W337" s="21">
        <f>(SUMPRODUCT(W$9:W$229,Nutrients!$FB$8:$FB$228)+(IF($A$7=Nutrients!$B$8,Nutrients!$FB$8,Nutrients!$FB$9)*W$7)+(((IF($A$8=Nutrients!$B$79,Nutrients!$FB$79,(IF($A$8=Nutrients!$B$77,Nutrients!$FB$77,Nutrients!$FB$78)))))*W$8))</f>
        <v>0</v>
      </c>
      <c r="X337" s="21">
        <f>(SUMPRODUCT(X$9:X$229,Nutrients!$FB$8:$FB$228)+(IF($A$7=Nutrients!$B$8,Nutrients!$FB$8,Nutrients!$FB$9)*X$7)+(((IF($A$8=Nutrients!$B$79,Nutrients!$FB$79,(IF($A$8=Nutrients!$B$77,Nutrients!$FB$77,Nutrients!$FB$78)))))*X$8))</f>
        <v>0</v>
      </c>
      <c r="Y337" s="21">
        <f>(SUMPRODUCT(Y$9:Y$229,Nutrients!$FB$8:$FB$228)+(IF($A$7=Nutrients!$B$8,Nutrients!$FB$8,Nutrients!$FB$9)*Y$7)+(((IF($A$8=Nutrients!$B$79,Nutrients!$FB$79,(IF($A$8=Nutrients!$B$77,Nutrients!$FB$77,Nutrients!$FB$78)))))*Y$8))</f>
        <v>0</v>
      </c>
      <c r="Z337" s="21">
        <f>(SUMPRODUCT(Z$9:Z$229,Nutrients!$FB$8:$FB$228)+(IF($A$7=Nutrients!$B$8,Nutrients!$FB$8,Nutrients!$FB$9)*Z$7)+(((IF($A$8=Nutrients!$B$79,Nutrients!$FB$79,(IF($A$8=Nutrients!$B$77,Nutrients!$FB$77,Nutrients!$FB$78)))))*Z$8))</f>
        <v>0</v>
      </c>
      <c r="AA337" s="21">
        <f>(SUMPRODUCT(AA$9:AA$229,Nutrients!$FB$8:$FB$228)+(IF($A$7=Nutrients!$B$8,Nutrients!$FB$8,Nutrients!$FB$9)*AA$7)+(((IF($A$8=Nutrients!$B$79,Nutrients!$FB$79,(IF($A$8=Nutrients!$B$77,Nutrients!$FB$77,Nutrients!$FB$78)))))*AA$8))</f>
        <v>0</v>
      </c>
      <c r="AB337" s="21">
        <f>(SUMPRODUCT(AB$9:AB$229,Nutrients!$FB$8:$FB$228)+(IF($A$7=Nutrients!$B$8,Nutrients!$FB$8,Nutrients!$FB$9)*AB$7)+(((IF($A$8=Nutrients!$B$79,Nutrients!$FB$79,(IF($A$8=Nutrients!$B$77,Nutrients!$FB$77,Nutrients!$FB$78)))))*AB$8))</f>
        <v>0</v>
      </c>
      <c r="AD337" s="21">
        <f>(SUMPRODUCT(AD$9:AD$229,Nutrients!$FB$8:$FB$228)+(IF($A$7=Nutrients!$B$8,Nutrients!$FB$8,Nutrients!$FB$9)*AD$7)+(((IF($A$8=Nutrients!$B$79,Nutrients!$FB$79,(IF($A$8=Nutrients!$B$77,Nutrients!$FB$77,Nutrients!$FB$78)))))*AD$8))</f>
        <v>0</v>
      </c>
      <c r="AE337" s="21">
        <f>(SUMPRODUCT(AE$9:AE$229,Nutrients!$FB$8:$FB$228)+(IF($A$7=Nutrients!$B$8,Nutrients!$FB$8,Nutrients!$FB$9)*AE$7)+(((IF($A$8=Nutrients!$B$79,Nutrients!$FB$79,(IF($A$8=Nutrients!$B$77,Nutrients!$FB$77,Nutrients!$FB$78)))))*AE$8))</f>
        <v>0</v>
      </c>
      <c r="AF337" s="21">
        <f>(SUMPRODUCT(AF$9:AF$229,Nutrients!$FB$8:$FB$228)+(IF($A$7=Nutrients!$B$8,Nutrients!$FB$8,Nutrients!$FB$9)*AF$7)+(((IF($A$8=Nutrients!$B$79,Nutrients!$FB$79,(IF($A$8=Nutrients!$B$77,Nutrients!$FB$77,Nutrients!$FB$78)))))*AF$8))</f>
        <v>0</v>
      </c>
      <c r="AG337" s="21">
        <f>(SUMPRODUCT(AG$9:AG$229,Nutrients!$FB$8:$FB$228)+(IF($A$7=Nutrients!$B$8,Nutrients!$FB$8,Nutrients!$FB$9)*AG$7)+(((IF($A$8=Nutrients!$B$79,Nutrients!$FB$79,(IF($A$8=Nutrients!$B$77,Nutrients!$FB$77,Nutrients!$FB$78)))))*AG$8))</f>
        <v>0</v>
      </c>
      <c r="AH337" s="21">
        <f>(SUMPRODUCT(AH$9:AH$229,Nutrients!$FB$8:$FB$228)+(IF($A$7=Nutrients!$B$8,Nutrients!$FB$8,Nutrients!$FB$9)*AH$7)+(((IF($A$8=Nutrients!$B$79,Nutrients!$FB$79,(IF($A$8=Nutrients!$B$77,Nutrients!$FB$77,Nutrients!$FB$78)))))*AH$8))</f>
        <v>0</v>
      </c>
      <c r="AI337" s="21">
        <f>(SUMPRODUCT(AI$9:AI$229,Nutrients!$FB$8:$FB$228)+(IF($A$7=Nutrients!$B$8,Nutrients!$FB$8,Nutrients!$FB$9)*AI$7)+(((IF($A$8=Nutrients!$B$79,Nutrients!$FB$79,(IF($A$8=Nutrients!$B$77,Nutrients!$FB$77,Nutrients!$FB$78)))))*AI$8))</f>
        <v>0</v>
      </c>
      <c r="AK337" s="21">
        <f>(SUMPRODUCT(AK$9:AK$229,Nutrients!$FB$8:$FB$228)+(IF($A$7=Nutrients!$B$8,Nutrients!$FB$8,Nutrients!$FB$9)*AK$7)+(((IF($A$8=Nutrients!$B$79,Nutrients!$FB$79,(IF($A$8=Nutrients!$B$77,Nutrients!$FB$77,Nutrients!$FB$78)))))*AK$8))</f>
        <v>0</v>
      </c>
      <c r="AL337" s="21">
        <f>(SUMPRODUCT(AL$9:AL$229,Nutrients!$FB$8:$FB$228)+(IF($A$7=Nutrients!$B$8,Nutrients!$FB$8,Nutrients!$FB$9)*AL$7)+(((IF($A$8=Nutrients!$B$79,Nutrients!$FB$79,(IF($A$8=Nutrients!$B$77,Nutrients!$FB$77,Nutrients!$FB$78)))))*AL$8))</f>
        <v>0</v>
      </c>
      <c r="AM337" s="21">
        <f>(SUMPRODUCT(AM$9:AM$229,Nutrients!$FB$8:$FB$228)+(IF($A$7=Nutrients!$B$8,Nutrients!$FB$8,Nutrients!$FB$9)*AM$7)+(((IF($A$8=Nutrients!$B$79,Nutrients!$FB$79,(IF($A$8=Nutrients!$B$77,Nutrients!$FB$77,Nutrients!$FB$78)))))*AM$8))</f>
        <v>0</v>
      </c>
      <c r="AN337" s="21">
        <f>(SUMPRODUCT(AN$9:AN$229,Nutrients!$FB$8:$FB$228)+(IF($A$7=Nutrients!$B$8,Nutrients!$FB$8,Nutrients!$FB$9)*AN$7)+(((IF($A$8=Nutrients!$B$79,Nutrients!$FB$79,(IF($A$8=Nutrients!$B$77,Nutrients!$FB$77,Nutrients!$FB$78)))))*AN$8))</f>
        <v>0</v>
      </c>
      <c r="AO337" s="21">
        <f>(SUMPRODUCT(AO$9:AO$229,Nutrients!$FB$8:$FB$228)+(IF($A$7=Nutrients!$B$8,Nutrients!$FB$8,Nutrients!$FB$9)*AO$7)+(((IF($A$8=Nutrients!$B$79,Nutrients!$FB$79,(IF($A$8=Nutrients!$B$77,Nutrients!$FB$77,Nutrients!$FB$78)))))*AO$8))</f>
        <v>0</v>
      </c>
      <c r="AP337" s="21">
        <f>(SUMPRODUCT(AP$9:AP$229,Nutrients!$FB$8:$FB$228)+(IF($A$7=Nutrients!$B$8,Nutrients!$FB$8,Nutrients!$FB$9)*AP$7)+(((IF($A$8=Nutrients!$B$79,Nutrients!$FB$79,(IF($A$8=Nutrients!$B$77,Nutrients!$FB$77,Nutrients!$FB$78)))))*AP$8))</f>
        <v>0</v>
      </c>
      <c r="AR337" s="21">
        <f>(SUMPRODUCT(AR$9:AR$229,Nutrients!$FB$8:$FB$228)+(IF($A$7=Nutrients!$B$8,Nutrients!$FB$8,Nutrients!$FB$9)*AR$7)+(((IF($A$8=Nutrients!$B$79,Nutrients!$FB$79,(IF($A$8=Nutrients!$B$77,Nutrients!$FB$77,Nutrients!$FB$78)))))*AR$8))</f>
        <v>0</v>
      </c>
      <c r="AS337" s="21">
        <f>(SUMPRODUCT(AS$9:AS$229,Nutrients!$FB$8:$FB$228)+(IF($A$7=Nutrients!$B$8,Nutrients!$FB$8,Nutrients!$FB$9)*AS$7)+(((IF($A$8=Nutrients!$B$79,Nutrients!$FB$79,(IF($A$8=Nutrients!$B$77,Nutrients!$FB$77,Nutrients!$FB$78)))))*AS$8))</f>
        <v>0</v>
      </c>
      <c r="AT337" s="21">
        <f>(SUMPRODUCT(AT$9:AT$229,Nutrients!$FB$8:$FB$228)+(IF($A$7=Nutrients!$B$8,Nutrients!$FB$8,Nutrients!$FB$9)*AT$7)+(((IF($A$8=Nutrients!$B$79,Nutrients!$FB$79,(IF($A$8=Nutrients!$B$77,Nutrients!$FB$77,Nutrients!$FB$78)))))*AT$8))</f>
        <v>0</v>
      </c>
      <c r="AU337" s="21">
        <f>(SUMPRODUCT(AU$9:AU$229,Nutrients!$FB$8:$FB$228)+(IF($A$7=Nutrients!$B$8,Nutrients!$FB$8,Nutrients!$FB$9)*AU$7)+(((IF($A$8=Nutrients!$B$79,Nutrients!$FB$79,(IF($A$8=Nutrients!$B$77,Nutrients!$FB$77,Nutrients!$FB$78)))))*AU$8))</f>
        <v>0</v>
      </c>
      <c r="AV337" s="21">
        <f>(SUMPRODUCT(AV$9:AV$229,Nutrients!$FB$8:$FB$228)+(IF($A$7=Nutrients!$B$8,Nutrients!$FB$8,Nutrients!$FB$9)*AV$7)+(((IF($A$8=Nutrients!$B$79,Nutrients!$FB$79,(IF($A$8=Nutrients!$B$77,Nutrients!$FB$77,Nutrients!$FB$78)))))*AV$8))</f>
        <v>0</v>
      </c>
      <c r="AW337" s="21">
        <f>(SUMPRODUCT(AW$9:AW$229,Nutrients!$FB$8:$FB$228)+(IF($A$7=Nutrients!$B$8,Nutrients!$FB$8,Nutrients!$FB$9)*AW$7)+(((IF($A$8=Nutrients!$B$79,Nutrients!$FB$79,(IF($A$8=Nutrients!$B$77,Nutrients!$FB$77,Nutrients!$FB$78)))))*AW$8))</f>
        <v>0</v>
      </c>
    </row>
    <row r="338" spans="1:58" x14ac:dyDescent="0.25">
      <c r="A338" s="34" t="s">
        <v>131</v>
      </c>
      <c r="B338" s="21">
        <f>(SUMPRODUCT(B$9:B$229,Nutrients!$FC$8:$FC$228)+(IF($A$7=Nutrients!$B$8,Nutrients!$FC$8,Nutrients!$FC$9)*B$7)+(((IF($A$8=Nutrients!$B$79,Nutrients!$FC$79,(IF($A$8=Nutrients!$B$77,Nutrients!$FC$77,Nutrients!$FC$78)))))*B$8))</f>
        <v>0</v>
      </c>
      <c r="C338" s="21">
        <f>(SUMPRODUCT(C$9:C$229,Nutrients!$FC$8:$FC$228)+(IF($A$7=Nutrients!$B$8,Nutrients!$FC$8,Nutrients!$FC$9)*C$7)+(((IF($A$8=Nutrients!$B$79,Nutrients!$FC$79,(IF($A$8=Nutrients!$B$77,Nutrients!$FC$77,Nutrients!$FC$78)))))*C$8))</f>
        <v>0</v>
      </c>
      <c r="D338" s="21">
        <f>(SUMPRODUCT(D$9:D$229,Nutrients!$FC$8:$FC$228)+(IF($A$7=Nutrients!$B$8,Nutrients!$FC$8,Nutrients!$FC$9)*D$7)+(((IF($A$8=Nutrients!$B$79,Nutrients!$FC$79,(IF($A$8=Nutrients!$B$77,Nutrients!$FC$77,Nutrients!$FC$78)))))*D$8))</f>
        <v>0</v>
      </c>
      <c r="E338" s="21">
        <f>(SUMPRODUCT(E$9:E$229,Nutrients!$FC$8:$FC$228)+(IF($A$7=Nutrients!$B$8,Nutrients!$FC$8,Nutrients!$FC$9)*E$7)+(((IF($A$8=Nutrients!$B$79,Nutrients!$FC$79,(IF($A$8=Nutrients!$B$77,Nutrients!$FC$77,Nutrients!$FC$78)))))*E$8))</f>
        <v>0</v>
      </c>
      <c r="F338" s="21">
        <f>(SUMPRODUCT(F$9:F$229,Nutrients!$FC$8:$FC$228)+(IF($A$7=Nutrients!$B$8,Nutrients!$FC$8,Nutrients!$FC$9)*F$7)+(((IF($A$8=Nutrients!$B$79,Nutrients!$FC$79,(IF($A$8=Nutrients!$B$77,Nutrients!$FC$77,Nutrients!$FC$78)))))*F$8))</f>
        <v>0</v>
      </c>
      <c r="G338" s="21">
        <f>(SUMPRODUCT(G$9:G$229,Nutrients!$FC$8:$FC$228)+(IF($A$7=Nutrients!$B$8,Nutrients!$FC$8,Nutrients!$FC$9)*G$7)+(((IF($A$8=Nutrients!$B$79,Nutrients!$FC$79,(IF($A$8=Nutrients!$B$77,Nutrients!$FC$77,Nutrients!$FC$78)))))*G$8))</f>
        <v>0</v>
      </c>
      <c r="H338" s="226"/>
      <c r="I338" s="21">
        <f>(SUMPRODUCT(I$9:I$229,Nutrients!$FC$8:$FC$228)+(IF($A$7=Nutrients!$B$8,Nutrients!$FC$8,Nutrients!$FC$9)*I$7)+(((IF($A$8=Nutrients!$B$79,Nutrients!$FC$79,(IF($A$8=Nutrients!$B$77,Nutrients!$FC$77,Nutrients!$FC$78)))))*I$8))</f>
        <v>0</v>
      </c>
      <c r="J338" s="21">
        <f>(SUMPRODUCT(J$9:J$229,Nutrients!$FC$8:$FC$228)+(IF($A$7=Nutrients!$B$8,Nutrients!$FC$8,Nutrients!$FC$9)*J$7)+(((IF($A$8=Nutrients!$B$79,Nutrients!$FC$79,(IF($A$8=Nutrients!$B$77,Nutrients!$FC$77,Nutrients!$FC$78)))))*J$8))</f>
        <v>0</v>
      </c>
      <c r="K338" s="21">
        <f>(SUMPRODUCT(K$9:K$229,Nutrients!$FC$8:$FC$228)+(IF($A$7=Nutrients!$B$8,Nutrients!$FC$8,Nutrients!$FC$9)*K$7)+(((IF($A$8=Nutrients!$B$79,Nutrients!$FC$79,(IF($A$8=Nutrients!$B$77,Nutrients!$FC$77,Nutrients!$FC$78)))))*K$8))</f>
        <v>0</v>
      </c>
      <c r="L338" s="21">
        <f>(SUMPRODUCT(L$9:L$229,Nutrients!$FC$8:$FC$228)+(IF($A$7=Nutrients!$B$8,Nutrients!$FC$8,Nutrients!$FC$9)*L$7)+(((IF($A$8=Nutrients!$B$79,Nutrients!$FC$79,(IF($A$8=Nutrients!$B$77,Nutrients!$FC$77,Nutrients!$FC$78)))))*L$8))</f>
        <v>0</v>
      </c>
      <c r="M338" s="21">
        <f>(SUMPRODUCT(M$9:M$229,Nutrients!$FC$8:$FC$228)+(IF($A$7=Nutrients!$B$8,Nutrients!$FC$8,Nutrients!$FC$9)*M$7)+(((IF($A$8=Nutrients!$B$79,Nutrients!$FC$79,(IF($A$8=Nutrients!$B$77,Nutrients!$FC$77,Nutrients!$FC$78)))))*M$8))</f>
        <v>0</v>
      </c>
      <c r="N338" s="21">
        <f>(SUMPRODUCT(N$9:N$229,Nutrients!$FC$8:$FC$228)+(IF($A$7=Nutrients!$B$8,Nutrients!$FC$8,Nutrients!$FC$9)*N$7)+(((IF($A$8=Nutrients!$B$79,Nutrients!$FC$79,(IF($A$8=Nutrients!$B$77,Nutrients!$FC$77,Nutrients!$FC$78)))))*N$8))</f>
        <v>0</v>
      </c>
      <c r="O338" s="234"/>
      <c r="P338" s="21">
        <f>(SUMPRODUCT(P$9:P$229,Nutrients!$FC$8:$FC$228)+(IF($A$7=Nutrients!$B$8,Nutrients!$FC$8,Nutrients!$FC$9)*P$7)+(((IF($A$8=Nutrients!$B$79,Nutrients!$FC$79,(IF($A$8=Nutrients!$B$77,Nutrients!$FC$77,Nutrients!$FC$78)))))*P$8))</f>
        <v>0</v>
      </c>
      <c r="Q338" s="21">
        <f>(SUMPRODUCT(Q$9:Q$229,Nutrients!$FC$8:$FC$228)+(IF($A$7=Nutrients!$B$8,Nutrients!$FC$8,Nutrients!$FC$9)*Q$7)+(((IF($A$8=Nutrients!$B$79,Nutrients!$FC$79,(IF($A$8=Nutrients!$B$77,Nutrients!$FC$77,Nutrients!$FC$78)))))*Q$8))</f>
        <v>0</v>
      </c>
      <c r="R338" s="21">
        <f>(SUMPRODUCT(R$9:R$229,Nutrients!$FC$8:$FC$228)+(IF($A$7=Nutrients!$B$8,Nutrients!$FC$8,Nutrients!$FC$9)*R$7)+(((IF($A$8=Nutrients!$B$79,Nutrients!$FC$79,(IF($A$8=Nutrients!$B$77,Nutrients!$FC$77,Nutrients!$FC$78)))))*R$8))</f>
        <v>0</v>
      </c>
      <c r="S338" s="21">
        <f>(SUMPRODUCT(S$9:S$229,Nutrients!$FC$8:$FC$228)+(IF($A$7=Nutrients!$B$8,Nutrients!$FC$8,Nutrients!$FC$9)*S$7)+(((IF($A$8=Nutrients!$B$79,Nutrients!$FC$79,(IF($A$8=Nutrients!$B$77,Nutrients!$FC$77,Nutrients!$FC$78)))))*S$8))</f>
        <v>0</v>
      </c>
      <c r="T338" s="21">
        <f>(SUMPRODUCT(T$9:T$229,Nutrients!$FC$8:$FC$228)+(IF($A$7=Nutrients!$B$8,Nutrients!$FC$8,Nutrients!$FC$9)*T$7)+(((IF($A$8=Nutrients!$B$79,Nutrients!$FC$79,(IF($A$8=Nutrients!$B$77,Nutrients!$FC$77,Nutrients!$FC$78)))))*T$8))</f>
        <v>0</v>
      </c>
      <c r="U338" s="21">
        <f>(SUMPRODUCT(U$9:U$229,Nutrients!$FC$8:$FC$228)+(IF($A$7=Nutrients!$B$8,Nutrients!$FC$8,Nutrients!$FC$9)*U$7)+(((IF($A$8=Nutrients!$B$79,Nutrients!$FC$79,(IF($A$8=Nutrients!$B$77,Nutrients!$FC$77,Nutrients!$FC$78)))))*U$8))</f>
        <v>0</v>
      </c>
      <c r="W338" s="21">
        <f>(SUMPRODUCT(W$9:W$229,Nutrients!$FC$8:$FC$228)+(IF($A$7=Nutrients!$B$8,Nutrients!$FC$8,Nutrients!$FC$9)*W$7)+(((IF($A$8=Nutrients!$B$79,Nutrients!$FC$79,(IF($A$8=Nutrients!$B$77,Nutrients!$FC$77,Nutrients!$FC$78)))))*W$8))</f>
        <v>0</v>
      </c>
      <c r="X338" s="21">
        <f>(SUMPRODUCT(X$9:X$229,Nutrients!$FC$8:$FC$228)+(IF($A$7=Nutrients!$B$8,Nutrients!$FC$8,Nutrients!$FC$9)*X$7)+(((IF($A$8=Nutrients!$B$79,Nutrients!$FC$79,(IF($A$8=Nutrients!$B$77,Nutrients!$FC$77,Nutrients!$FC$78)))))*X$8))</f>
        <v>0</v>
      </c>
      <c r="Y338" s="21">
        <f>(SUMPRODUCT(Y$9:Y$229,Nutrients!$FC$8:$FC$228)+(IF($A$7=Nutrients!$B$8,Nutrients!$FC$8,Nutrients!$FC$9)*Y$7)+(((IF($A$8=Nutrients!$B$79,Nutrients!$FC$79,(IF($A$8=Nutrients!$B$77,Nutrients!$FC$77,Nutrients!$FC$78)))))*Y$8))</f>
        <v>0</v>
      </c>
      <c r="Z338" s="21">
        <f>(SUMPRODUCT(Z$9:Z$229,Nutrients!$FC$8:$FC$228)+(IF($A$7=Nutrients!$B$8,Nutrients!$FC$8,Nutrients!$FC$9)*Z$7)+(((IF($A$8=Nutrients!$B$79,Nutrients!$FC$79,(IF($A$8=Nutrients!$B$77,Nutrients!$FC$77,Nutrients!$FC$78)))))*Z$8))</f>
        <v>0</v>
      </c>
      <c r="AA338" s="21">
        <f>(SUMPRODUCT(AA$9:AA$229,Nutrients!$FC$8:$FC$228)+(IF($A$7=Nutrients!$B$8,Nutrients!$FC$8,Nutrients!$FC$9)*AA$7)+(((IF($A$8=Nutrients!$B$79,Nutrients!$FC$79,(IF($A$8=Nutrients!$B$77,Nutrients!$FC$77,Nutrients!$FC$78)))))*AA$8))</f>
        <v>0</v>
      </c>
      <c r="AB338" s="21">
        <f>(SUMPRODUCT(AB$9:AB$229,Nutrients!$FC$8:$FC$228)+(IF($A$7=Nutrients!$B$8,Nutrients!$FC$8,Nutrients!$FC$9)*AB$7)+(((IF($A$8=Nutrients!$B$79,Nutrients!$FC$79,(IF($A$8=Nutrients!$B$77,Nutrients!$FC$77,Nutrients!$FC$78)))))*AB$8))</f>
        <v>0</v>
      </c>
      <c r="AD338" s="21">
        <f>(SUMPRODUCT(AD$9:AD$229,Nutrients!$FC$8:$FC$228)+(IF($A$7=Nutrients!$B$8,Nutrients!$FC$8,Nutrients!$FC$9)*AD$7)+(((IF($A$8=Nutrients!$B$79,Nutrients!$FC$79,(IF($A$8=Nutrients!$B$77,Nutrients!$FC$77,Nutrients!$FC$78)))))*AD$8))</f>
        <v>0</v>
      </c>
      <c r="AE338" s="21">
        <f>(SUMPRODUCT(AE$9:AE$229,Nutrients!$FC$8:$FC$228)+(IF($A$7=Nutrients!$B$8,Nutrients!$FC$8,Nutrients!$FC$9)*AE$7)+(((IF($A$8=Nutrients!$B$79,Nutrients!$FC$79,(IF($A$8=Nutrients!$B$77,Nutrients!$FC$77,Nutrients!$FC$78)))))*AE$8))</f>
        <v>0</v>
      </c>
      <c r="AF338" s="21">
        <f>(SUMPRODUCT(AF$9:AF$229,Nutrients!$FC$8:$FC$228)+(IF($A$7=Nutrients!$B$8,Nutrients!$FC$8,Nutrients!$FC$9)*AF$7)+(((IF($A$8=Nutrients!$B$79,Nutrients!$FC$79,(IF($A$8=Nutrients!$B$77,Nutrients!$FC$77,Nutrients!$FC$78)))))*AF$8))</f>
        <v>0</v>
      </c>
      <c r="AG338" s="21">
        <f>(SUMPRODUCT(AG$9:AG$229,Nutrients!$FC$8:$FC$228)+(IF($A$7=Nutrients!$B$8,Nutrients!$FC$8,Nutrients!$FC$9)*AG$7)+(((IF($A$8=Nutrients!$B$79,Nutrients!$FC$79,(IF($A$8=Nutrients!$B$77,Nutrients!$FC$77,Nutrients!$FC$78)))))*AG$8))</f>
        <v>0</v>
      </c>
      <c r="AH338" s="21">
        <f>(SUMPRODUCT(AH$9:AH$229,Nutrients!$FC$8:$FC$228)+(IF($A$7=Nutrients!$B$8,Nutrients!$FC$8,Nutrients!$FC$9)*AH$7)+(((IF($A$8=Nutrients!$B$79,Nutrients!$FC$79,(IF($A$8=Nutrients!$B$77,Nutrients!$FC$77,Nutrients!$FC$78)))))*AH$8))</f>
        <v>0</v>
      </c>
      <c r="AI338" s="21">
        <f>(SUMPRODUCT(AI$9:AI$229,Nutrients!$FC$8:$FC$228)+(IF($A$7=Nutrients!$B$8,Nutrients!$FC$8,Nutrients!$FC$9)*AI$7)+(((IF($A$8=Nutrients!$B$79,Nutrients!$FC$79,(IF($A$8=Nutrients!$B$77,Nutrients!$FC$77,Nutrients!$FC$78)))))*AI$8))</f>
        <v>0</v>
      </c>
      <c r="AK338" s="21">
        <f>(SUMPRODUCT(AK$9:AK$229,Nutrients!$FC$8:$FC$228)+(IF($A$7=Nutrients!$B$8,Nutrients!$FC$8,Nutrients!$FC$9)*AK$7)+(((IF($A$8=Nutrients!$B$79,Nutrients!$FC$79,(IF($A$8=Nutrients!$B$77,Nutrients!$FC$77,Nutrients!$FC$78)))))*AK$8))</f>
        <v>0</v>
      </c>
      <c r="AL338" s="21">
        <f>(SUMPRODUCT(AL$9:AL$229,Nutrients!$FC$8:$FC$228)+(IF($A$7=Nutrients!$B$8,Nutrients!$FC$8,Nutrients!$FC$9)*AL$7)+(((IF($A$8=Nutrients!$B$79,Nutrients!$FC$79,(IF($A$8=Nutrients!$B$77,Nutrients!$FC$77,Nutrients!$FC$78)))))*AL$8))</f>
        <v>0</v>
      </c>
      <c r="AM338" s="21">
        <f>(SUMPRODUCT(AM$9:AM$229,Nutrients!$FC$8:$FC$228)+(IF($A$7=Nutrients!$B$8,Nutrients!$FC$8,Nutrients!$FC$9)*AM$7)+(((IF($A$8=Nutrients!$B$79,Nutrients!$FC$79,(IF($A$8=Nutrients!$B$77,Nutrients!$FC$77,Nutrients!$FC$78)))))*AM$8))</f>
        <v>0</v>
      </c>
      <c r="AN338" s="21">
        <f>(SUMPRODUCT(AN$9:AN$229,Nutrients!$FC$8:$FC$228)+(IF($A$7=Nutrients!$B$8,Nutrients!$FC$8,Nutrients!$FC$9)*AN$7)+(((IF($A$8=Nutrients!$B$79,Nutrients!$FC$79,(IF($A$8=Nutrients!$B$77,Nutrients!$FC$77,Nutrients!$FC$78)))))*AN$8))</f>
        <v>0</v>
      </c>
      <c r="AO338" s="21">
        <f>(SUMPRODUCT(AO$9:AO$229,Nutrients!$FC$8:$FC$228)+(IF($A$7=Nutrients!$B$8,Nutrients!$FC$8,Nutrients!$FC$9)*AO$7)+(((IF($A$8=Nutrients!$B$79,Nutrients!$FC$79,(IF($A$8=Nutrients!$B$77,Nutrients!$FC$77,Nutrients!$FC$78)))))*AO$8))</f>
        <v>0</v>
      </c>
      <c r="AP338" s="21">
        <f>(SUMPRODUCT(AP$9:AP$229,Nutrients!$FC$8:$FC$228)+(IF($A$7=Nutrients!$B$8,Nutrients!$FC$8,Nutrients!$FC$9)*AP$7)+(((IF($A$8=Nutrients!$B$79,Nutrients!$FC$79,(IF($A$8=Nutrients!$B$77,Nutrients!$FC$77,Nutrients!$FC$78)))))*AP$8))</f>
        <v>0</v>
      </c>
      <c r="AR338" s="21">
        <f>(SUMPRODUCT(AR$9:AR$229,Nutrients!$FC$8:$FC$228)+(IF($A$7=Nutrients!$B$8,Nutrients!$FC$8,Nutrients!$FC$9)*AR$7)+(((IF($A$8=Nutrients!$B$79,Nutrients!$FC$79,(IF($A$8=Nutrients!$B$77,Nutrients!$FC$77,Nutrients!$FC$78)))))*AR$8))</f>
        <v>0</v>
      </c>
      <c r="AS338" s="21">
        <f>(SUMPRODUCT(AS$9:AS$229,Nutrients!$FC$8:$FC$228)+(IF($A$7=Nutrients!$B$8,Nutrients!$FC$8,Nutrients!$FC$9)*AS$7)+(((IF($A$8=Nutrients!$B$79,Nutrients!$FC$79,(IF($A$8=Nutrients!$B$77,Nutrients!$FC$77,Nutrients!$FC$78)))))*AS$8))</f>
        <v>0</v>
      </c>
      <c r="AT338" s="21">
        <f>(SUMPRODUCT(AT$9:AT$229,Nutrients!$FC$8:$FC$228)+(IF($A$7=Nutrients!$B$8,Nutrients!$FC$8,Nutrients!$FC$9)*AT$7)+(((IF($A$8=Nutrients!$B$79,Nutrients!$FC$79,(IF($A$8=Nutrients!$B$77,Nutrients!$FC$77,Nutrients!$FC$78)))))*AT$8))</f>
        <v>0</v>
      </c>
      <c r="AU338" s="21">
        <f>(SUMPRODUCT(AU$9:AU$229,Nutrients!$FC$8:$FC$228)+(IF($A$7=Nutrients!$B$8,Nutrients!$FC$8,Nutrients!$FC$9)*AU$7)+(((IF($A$8=Nutrients!$B$79,Nutrients!$FC$79,(IF($A$8=Nutrients!$B$77,Nutrients!$FC$77,Nutrients!$FC$78)))))*AU$8))</f>
        <v>0</v>
      </c>
      <c r="AV338" s="21">
        <f>(SUMPRODUCT(AV$9:AV$229,Nutrients!$FC$8:$FC$228)+(IF($A$7=Nutrients!$B$8,Nutrients!$FC$8,Nutrients!$FC$9)*AV$7)+(((IF($A$8=Nutrients!$B$79,Nutrients!$FC$79,(IF($A$8=Nutrients!$B$77,Nutrients!$FC$77,Nutrients!$FC$78)))))*AV$8))</f>
        <v>0</v>
      </c>
      <c r="AW338" s="21">
        <f>(SUMPRODUCT(AW$9:AW$229,Nutrients!$FC$8:$FC$228)+(IF($A$7=Nutrients!$B$8,Nutrients!$FC$8,Nutrients!$FC$9)*AW$7)+(((IF($A$8=Nutrients!$B$79,Nutrients!$FC$79,(IF($A$8=Nutrients!$B$77,Nutrients!$FC$77,Nutrients!$FC$78)))))*AW$8))</f>
        <v>0</v>
      </c>
    </row>
    <row r="339" spans="1:58" x14ac:dyDescent="0.25">
      <c r="A339" s="34" t="s">
        <v>132</v>
      </c>
      <c r="B339" s="21">
        <f>(SUMPRODUCT(B$9:B$229,Nutrients!$FD$8:$FD$228)+(IF($A$7=Nutrients!$B$8,Nutrients!$FD$8,Nutrients!$FD$9)*B$7)+(((IF($A$8=Nutrients!$B$79,Nutrients!$FD$79,(IF($A$8=Nutrients!$B$77,Nutrients!$FD$77,Nutrients!$FD$78)))))*B$8))</f>
        <v>0</v>
      </c>
      <c r="C339" s="21">
        <f>(SUMPRODUCT(C$9:C$229,Nutrients!$FD$8:$FD$228)+(IF($A$7=Nutrients!$B$8,Nutrients!$FD$8,Nutrients!$FD$9)*C$7)+(((IF($A$8=Nutrients!$B$79,Nutrients!$FD$79,(IF($A$8=Nutrients!$B$77,Nutrients!$FD$77,Nutrients!$FD$78)))))*C$8))</f>
        <v>0</v>
      </c>
      <c r="D339" s="21">
        <f>(SUMPRODUCT(D$9:D$229,Nutrients!$FD$8:$FD$228)+(IF($A$7=Nutrients!$B$8,Nutrients!$FD$8,Nutrients!$FD$9)*D$7)+(((IF($A$8=Nutrients!$B$79,Nutrients!$FD$79,(IF($A$8=Nutrients!$B$77,Nutrients!$FD$77,Nutrients!$FD$78)))))*D$8))</f>
        <v>0</v>
      </c>
      <c r="E339" s="21">
        <f>(SUMPRODUCT(E$9:E$229,Nutrients!$FD$8:$FD$228)+(IF($A$7=Nutrients!$B$8,Nutrients!$FD$8,Nutrients!$FD$9)*E$7)+(((IF($A$8=Nutrients!$B$79,Nutrients!$FD$79,(IF($A$8=Nutrients!$B$77,Nutrients!$FD$77,Nutrients!$FD$78)))))*E$8))</f>
        <v>0</v>
      </c>
      <c r="F339" s="21">
        <f>(SUMPRODUCT(F$9:F$229,Nutrients!$FD$8:$FD$228)+(IF($A$7=Nutrients!$B$8,Nutrients!$FD$8,Nutrients!$FD$9)*F$7)+(((IF($A$8=Nutrients!$B$79,Nutrients!$FD$79,(IF($A$8=Nutrients!$B$77,Nutrients!$FD$77,Nutrients!$FD$78)))))*F$8))</f>
        <v>0</v>
      </c>
      <c r="G339" s="21">
        <f>(SUMPRODUCT(G$9:G$229,Nutrients!$FD$8:$FD$228)+(IF($A$7=Nutrients!$B$8,Nutrients!$FD$8,Nutrients!$FD$9)*G$7)+(((IF($A$8=Nutrients!$B$79,Nutrients!$FD$79,(IF($A$8=Nutrients!$B$77,Nutrients!$FD$77,Nutrients!$FD$78)))))*G$8))</f>
        <v>0</v>
      </c>
      <c r="H339" s="226"/>
      <c r="I339" s="21">
        <f>(SUMPRODUCT(I$9:I$229,Nutrients!$FD$8:$FD$228)+(IF($A$7=Nutrients!$B$8,Nutrients!$FD$8,Nutrients!$FD$9)*I$7)+(((IF($A$8=Nutrients!$B$79,Nutrients!$FD$79,(IF($A$8=Nutrients!$B$77,Nutrients!$FD$77,Nutrients!$FD$78)))))*I$8))</f>
        <v>0</v>
      </c>
      <c r="J339" s="21">
        <f>(SUMPRODUCT(J$9:J$229,Nutrients!$FD$8:$FD$228)+(IF($A$7=Nutrients!$B$8,Nutrients!$FD$8,Nutrients!$FD$9)*J$7)+(((IF($A$8=Nutrients!$B$79,Nutrients!$FD$79,(IF($A$8=Nutrients!$B$77,Nutrients!$FD$77,Nutrients!$FD$78)))))*J$8))</f>
        <v>0</v>
      </c>
      <c r="K339" s="21">
        <f>(SUMPRODUCT(K$9:K$229,Nutrients!$FD$8:$FD$228)+(IF($A$7=Nutrients!$B$8,Nutrients!$FD$8,Nutrients!$FD$9)*K$7)+(((IF($A$8=Nutrients!$B$79,Nutrients!$FD$79,(IF($A$8=Nutrients!$B$77,Nutrients!$FD$77,Nutrients!$FD$78)))))*K$8))</f>
        <v>0</v>
      </c>
      <c r="L339" s="21">
        <f>(SUMPRODUCT(L$9:L$229,Nutrients!$FD$8:$FD$228)+(IF($A$7=Nutrients!$B$8,Nutrients!$FD$8,Nutrients!$FD$9)*L$7)+(((IF($A$8=Nutrients!$B$79,Nutrients!$FD$79,(IF($A$8=Nutrients!$B$77,Nutrients!$FD$77,Nutrients!$FD$78)))))*L$8))</f>
        <v>0</v>
      </c>
      <c r="M339" s="21">
        <f>(SUMPRODUCT(M$9:M$229,Nutrients!$FD$8:$FD$228)+(IF($A$7=Nutrients!$B$8,Nutrients!$FD$8,Nutrients!$FD$9)*M$7)+(((IF($A$8=Nutrients!$B$79,Nutrients!$FD$79,(IF($A$8=Nutrients!$B$77,Nutrients!$FD$77,Nutrients!$FD$78)))))*M$8))</f>
        <v>0</v>
      </c>
      <c r="N339" s="21">
        <f>(SUMPRODUCT(N$9:N$229,Nutrients!$FD$8:$FD$228)+(IF($A$7=Nutrients!$B$8,Nutrients!$FD$8,Nutrients!$FD$9)*N$7)+(((IF($A$8=Nutrients!$B$79,Nutrients!$FD$79,(IF($A$8=Nutrients!$B$77,Nutrients!$FD$77,Nutrients!$FD$78)))))*N$8))</f>
        <v>0</v>
      </c>
      <c r="O339" s="234"/>
      <c r="P339" s="21">
        <f>(SUMPRODUCT(P$9:P$229,Nutrients!$FD$8:$FD$228)+(IF($A$7=Nutrients!$B$8,Nutrients!$FD$8,Nutrients!$FD$9)*P$7)+(((IF($A$8=Nutrients!$B$79,Nutrients!$FD$79,(IF($A$8=Nutrients!$B$77,Nutrients!$FD$77,Nutrients!$FD$78)))))*P$8))</f>
        <v>0</v>
      </c>
      <c r="Q339" s="21">
        <f>(SUMPRODUCT(Q$9:Q$229,Nutrients!$FD$8:$FD$228)+(IF($A$7=Nutrients!$B$8,Nutrients!$FD$8,Nutrients!$FD$9)*Q$7)+(((IF($A$8=Nutrients!$B$79,Nutrients!$FD$79,(IF($A$8=Nutrients!$B$77,Nutrients!$FD$77,Nutrients!$FD$78)))))*Q$8))</f>
        <v>0</v>
      </c>
      <c r="R339" s="21">
        <f>(SUMPRODUCT(R$9:R$229,Nutrients!$FD$8:$FD$228)+(IF($A$7=Nutrients!$B$8,Nutrients!$FD$8,Nutrients!$FD$9)*R$7)+(((IF($A$8=Nutrients!$B$79,Nutrients!$FD$79,(IF($A$8=Nutrients!$B$77,Nutrients!$FD$77,Nutrients!$FD$78)))))*R$8))</f>
        <v>0</v>
      </c>
      <c r="S339" s="21">
        <f>(SUMPRODUCT(S$9:S$229,Nutrients!$FD$8:$FD$228)+(IF($A$7=Nutrients!$B$8,Nutrients!$FD$8,Nutrients!$FD$9)*S$7)+(((IF($A$8=Nutrients!$B$79,Nutrients!$FD$79,(IF($A$8=Nutrients!$B$77,Nutrients!$FD$77,Nutrients!$FD$78)))))*S$8))</f>
        <v>0</v>
      </c>
      <c r="T339" s="21">
        <f>(SUMPRODUCT(T$9:T$229,Nutrients!$FD$8:$FD$228)+(IF($A$7=Nutrients!$B$8,Nutrients!$FD$8,Nutrients!$FD$9)*T$7)+(((IF($A$8=Nutrients!$B$79,Nutrients!$FD$79,(IF($A$8=Nutrients!$B$77,Nutrients!$FD$77,Nutrients!$FD$78)))))*T$8))</f>
        <v>0</v>
      </c>
      <c r="U339" s="21">
        <f>(SUMPRODUCT(U$9:U$229,Nutrients!$FD$8:$FD$228)+(IF($A$7=Nutrients!$B$8,Nutrients!$FD$8,Nutrients!$FD$9)*U$7)+(((IF($A$8=Nutrients!$B$79,Nutrients!$FD$79,(IF($A$8=Nutrients!$B$77,Nutrients!$FD$77,Nutrients!$FD$78)))))*U$8))</f>
        <v>0</v>
      </c>
      <c r="W339" s="21">
        <f>(SUMPRODUCT(W$9:W$229,Nutrients!$FD$8:$FD$228)+(IF($A$7=Nutrients!$B$8,Nutrients!$FD$8,Nutrients!$FD$9)*W$7)+(((IF($A$8=Nutrients!$B$79,Nutrients!$FD$79,(IF($A$8=Nutrients!$B$77,Nutrients!$FD$77,Nutrients!$FD$78)))))*W$8))</f>
        <v>0</v>
      </c>
      <c r="X339" s="21">
        <f>(SUMPRODUCT(X$9:X$229,Nutrients!$FD$8:$FD$228)+(IF($A$7=Nutrients!$B$8,Nutrients!$FD$8,Nutrients!$FD$9)*X$7)+(((IF($A$8=Nutrients!$B$79,Nutrients!$FD$79,(IF($A$8=Nutrients!$B$77,Nutrients!$FD$77,Nutrients!$FD$78)))))*X$8))</f>
        <v>0</v>
      </c>
      <c r="Y339" s="21">
        <f>(SUMPRODUCT(Y$9:Y$229,Nutrients!$FD$8:$FD$228)+(IF($A$7=Nutrients!$B$8,Nutrients!$FD$8,Nutrients!$FD$9)*Y$7)+(((IF($A$8=Nutrients!$B$79,Nutrients!$FD$79,(IF($A$8=Nutrients!$B$77,Nutrients!$FD$77,Nutrients!$FD$78)))))*Y$8))</f>
        <v>0</v>
      </c>
      <c r="Z339" s="21">
        <f>(SUMPRODUCT(Z$9:Z$229,Nutrients!$FD$8:$FD$228)+(IF($A$7=Nutrients!$B$8,Nutrients!$FD$8,Nutrients!$FD$9)*Z$7)+(((IF($A$8=Nutrients!$B$79,Nutrients!$FD$79,(IF($A$8=Nutrients!$B$77,Nutrients!$FD$77,Nutrients!$FD$78)))))*Z$8))</f>
        <v>0</v>
      </c>
      <c r="AA339" s="21">
        <f>(SUMPRODUCT(AA$9:AA$229,Nutrients!$FD$8:$FD$228)+(IF($A$7=Nutrients!$B$8,Nutrients!$FD$8,Nutrients!$FD$9)*AA$7)+(((IF($A$8=Nutrients!$B$79,Nutrients!$FD$79,(IF($A$8=Nutrients!$B$77,Nutrients!$FD$77,Nutrients!$FD$78)))))*AA$8))</f>
        <v>0</v>
      </c>
      <c r="AB339" s="21">
        <f>(SUMPRODUCT(AB$9:AB$229,Nutrients!$FD$8:$FD$228)+(IF($A$7=Nutrients!$B$8,Nutrients!$FD$8,Nutrients!$FD$9)*AB$7)+(((IF($A$8=Nutrients!$B$79,Nutrients!$FD$79,(IF($A$8=Nutrients!$B$77,Nutrients!$FD$77,Nutrients!$FD$78)))))*AB$8))</f>
        <v>0</v>
      </c>
      <c r="AD339" s="21">
        <f>(SUMPRODUCT(AD$9:AD$229,Nutrients!$FD$8:$FD$228)+(IF($A$7=Nutrients!$B$8,Nutrients!$FD$8,Nutrients!$FD$9)*AD$7)+(((IF($A$8=Nutrients!$B$79,Nutrients!$FD$79,(IF($A$8=Nutrients!$B$77,Nutrients!$FD$77,Nutrients!$FD$78)))))*AD$8))</f>
        <v>0</v>
      </c>
      <c r="AE339" s="21">
        <f>(SUMPRODUCT(AE$9:AE$229,Nutrients!$FD$8:$FD$228)+(IF($A$7=Nutrients!$B$8,Nutrients!$FD$8,Nutrients!$FD$9)*AE$7)+(((IF($A$8=Nutrients!$B$79,Nutrients!$FD$79,(IF($A$8=Nutrients!$B$77,Nutrients!$FD$77,Nutrients!$FD$78)))))*AE$8))</f>
        <v>0</v>
      </c>
      <c r="AF339" s="21">
        <f>(SUMPRODUCT(AF$9:AF$229,Nutrients!$FD$8:$FD$228)+(IF($A$7=Nutrients!$B$8,Nutrients!$FD$8,Nutrients!$FD$9)*AF$7)+(((IF($A$8=Nutrients!$B$79,Nutrients!$FD$79,(IF($A$8=Nutrients!$B$77,Nutrients!$FD$77,Nutrients!$FD$78)))))*AF$8))</f>
        <v>0</v>
      </c>
      <c r="AG339" s="21">
        <f>(SUMPRODUCT(AG$9:AG$229,Nutrients!$FD$8:$FD$228)+(IF($A$7=Nutrients!$B$8,Nutrients!$FD$8,Nutrients!$FD$9)*AG$7)+(((IF($A$8=Nutrients!$B$79,Nutrients!$FD$79,(IF($A$8=Nutrients!$B$77,Nutrients!$FD$77,Nutrients!$FD$78)))))*AG$8))</f>
        <v>0</v>
      </c>
      <c r="AH339" s="21">
        <f>(SUMPRODUCT(AH$9:AH$229,Nutrients!$FD$8:$FD$228)+(IF($A$7=Nutrients!$B$8,Nutrients!$FD$8,Nutrients!$FD$9)*AH$7)+(((IF($A$8=Nutrients!$B$79,Nutrients!$FD$79,(IF($A$8=Nutrients!$B$77,Nutrients!$FD$77,Nutrients!$FD$78)))))*AH$8))</f>
        <v>0</v>
      </c>
      <c r="AI339" s="21">
        <f>(SUMPRODUCT(AI$9:AI$229,Nutrients!$FD$8:$FD$228)+(IF($A$7=Nutrients!$B$8,Nutrients!$FD$8,Nutrients!$FD$9)*AI$7)+(((IF($A$8=Nutrients!$B$79,Nutrients!$FD$79,(IF($A$8=Nutrients!$B$77,Nutrients!$FD$77,Nutrients!$FD$78)))))*AI$8))</f>
        <v>0</v>
      </c>
      <c r="AK339" s="21">
        <f>(SUMPRODUCT(AK$9:AK$229,Nutrients!$FD$8:$FD$228)+(IF($A$7=Nutrients!$B$8,Nutrients!$FD$8,Nutrients!$FD$9)*AK$7)+(((IF($A$8=Nutrients!$B$79,Nutrients!$FD$79,(IF($A$8=Nutrients!$B$77,Nutrients!$FD$77,Nutrients!$FD$78)))))*AK$8))</f>
        <v>0</v>
      </c>
      <c r="AL339" s="21">
        <f>(SUMPRODUCT(AL$9:AL$229,Nutrients!$FD$8:$FD$228)+(IF($A$7=Nutrients!$B$8,Nutrients!$FD$8,Nutrients!$FD$9)*AL$7)+(((IF($A$8=Nutrients!$B$79,Nutrients!$FD$79,(IF($A$8=Nutrients!$B$77,Nutrients!$FD$77,Nutrients!$FD$78)))))*AL$8))</f>
        <v>0</v>
      </c>
      <c r="AM339" s="21">
        <f>(SUMPRODUCT(AM$9:AM$229,Nutrients!$FD$8:$FD$228)+(IF($A$7=Nutrients!$B$8,Nutrients!$FD$8,Nutrients!$FD$9)*AM$7)+(((IF($A$8=Nutrients!$B$79,Nutrients!$FD$79,(IF($A$8=Nutrients!$B$77,Nutrients!$FD$77,Nutrients!$FD$78)))))*AM$8))</f>
        <v>0</v>
      </c>
      <c r="AN339" s="21">
        <f>(SUMPRODUCT(AN$9:AN$229,Nutrients!$FD$8:$FD$228)+(IF($A$7=Nutrients!$B$8,Nutrients!$FD$8,Nutrients!$FD$9)*AN$7)+(((IF($A$8=Nutrients!$B$79,Nutrients!$FD$79,(IF($A$8=Nutrients!$B$77,Nutrients!$FD$77,Nutrients!$FD$78)))))*AN$8))</f>
        <v>0</v>
      </c>
      <c r="AO339" s="21">
        <f>(SUMPRODUCT(AO$9:AO$229,Nutrients!$FD$8:$FD$228)+(IF($A$7=Nutrients!$B$8,Nutrients!$FD$8,Nutrients!$FD$9)*AO$7)+(((IF($A$8=Nutrients!$B$79,Nutrients!$FD$79,(IF($A$8=Nutrients!$B$77,Nutrients!$FD$77,Nutrients!$FD$78)))))*AO$8))</f>
        <v>0</v>
      </c>
      <c r="AP339" s="21">
        <f>(SUMPRODUCT(AP$9:AP$229,Nutrients!$FD$8:$FD$228)+(IF($A$7=Nutrients!$B$8,Nutrients!$FD$8,Nutrients!$FD$9)*AP$7)+(((IF($A$8=Nutrients!$B$79,Nutrients!$FD$79,(IF($A$8=Nutrients!$B$77,Nutrients!$FD$77,Nutrients!$FD$78)))))*AP$8))</f>
        <v>0</v>
      </c>
      <c r="AR339" s="21">
        <f>(SUMPRODUCT(AR$9:AR$229,Nutrients!$FD$8:$FD$228)+(IF($A$7=Nutrients!$B$8,Nutrients!$FD$8,Nutrients!$FD$9)*AR$7)+(((IF($A$8=Nutrients!$B$79,Nutrients!$FD$79,(IF($A$8=Nutrients!$B$77,Nutrients!$FD$77,Nutrients!$FD$78)))))*AR$8))</f>
        <v>0</v>
      </c>
      <c r="AS339" s="21">
        <f>(SUMPRODUCT(AS$9:AS$229,Nutrients!$FD$8:$FD$228)+(IF($A$7=Nutrients!$B$8,Nutrients!$FD$8,Nutrients!$FD$9)*AS$7)+(((IF($A$8=Nutrients!$B$79,Nutrients!$FD$79,(IF($A$8=Nutrients!$B$77,Nutrients!$FD$77,Nutrients!$FD$78)))))*AS$8))</f>
        <v>0</v>
      </c>
      <c r="AT339" s="21">
        <f>(SUMPRODUCT(AT$9:AT$229,Nutrients!$FD$8:$FD$228)+(IF($A$7=Nutrients!$B$8,Nutrients!$FD$8,Nutrients!$FD$9)*AT$7)+(((IF($A$8=Nutrients!$B$79,Nutrients!$FD$79,(IF($A$8=Nutrients!$B$77,Nutrients!$FD$77,Nutrients!$FD$78)))))*AT$8))</f>
        <v>0</v>
      </c>
      <c r="AU339" s="21">
        <f>(SUMPRODUCT(AU$9:AU$229,Nutrients!$FD$8:$FD$228)+(IF($A$7=Nutrients!$B$8,Nutrients!$FD$8,Nutrients!$FD$9)*AU$7)+(((IF($A$8=Nutrients!$B$79,Nutrients!$FD$79,(IF($A$8=Nutrients!$B$77,Nutrients!$FD$77,Nutrients!$FD$78)))))*AU$8))</f>
        <v>0</v>
      </c>
      <c r="AV339" s="21">
        <f>(SUMPRODUCT(AV$9:AV$229,Nutrients!$FD$8:$FD$228)+(IF($A$7=Nutrients!$B$8,Nutrients!$FD$8,Nutrients!$FD$9)*AV$7)+(((IF($A$8=Nutrients!$B$79,Nutrients!$FD$79,(IF($A$8=Nutrients!$B$77,Nutrients!$FD$77,Nutrients!$FD$78)))))*AV$8))</f>
        <v>0</v>
      </c>
      <c r="AW339" s="21">
        <f>(SUMPRODUCT(AW$9:AW$229,Nutrients!$FD$8:$FD$228)+(IF($A$7=Nutrients!$B$8,Nutrients!$FD$8,Nutrients!$FD$9)*AW$7)+(((IF($A$8=Nutrients!$B$79,Nutrients!$FD$79,(IF($A$8=Nutrients!$B$77,Nutrients!$FD$77,Nutrients!$FD$78)))))*AW$8))</f>
        <v>0</v>
      </c>
    </row>
    <row r="340" spans="1:58" x14ac:dyDescent="0.25">
      <c r="A340" s="34" t="s">
        <v>133</v>
      </c>
      <c r="B340" s="21">
        <f>(SUMPRODUCT(B$9:B$229,Nutrients!$FE$8:$FE$228)+(IF($A$7=Nutrients!$B$8,Nutrients!$FE$8,Nutrients!$FE$9)*B$7)+(((IF($A$8=Nutrients!$B$79,Nutrients!$FE$79,(IF($A$8=Nutrients!$B$77,Nutrients!$FE$77,Nutrients!$FE$78)))))*B$8))</f>
        <v>0</v>
      </c>
      <c r="C340" s="21">
        <f>(SUMPRODUCT(C$9:C$229,Nutrients!$FE$8:$FE$228)+(IF($A$7=Nutrients!$B$8,Nutrients!$FE$8,Nutrients!$FE$9)*C$7)+(((IF($A$8=Nutrients!$B$79,Nutrients!$FE$79,(IF($A$8=Nutrients!$B$77,Nutrients!$FE$77,Nutrients!$FE$78)))))*C$8))</f>
        <v>0</v>
      </c>
      <c r="D340" s="21">
        <f>(SUMPRODUCT(D$9:D$229,Nutrients!$FE$8:$FE$228)+(IF($A$7=Nutrients!$B$8,Nutrients!$FE$8,Nutrients!$FE$9)*D$7)+(((IF($A$8=Nutrients!$B$79,Nutrients!$FE$79,(IF($A$8=Nutrients!$B$77,Nutrients!$FE$77,Nutrients!$FE$78)))))*D$8))</f>
        <v>0</v>
      </c>
      <c r="E340" s="21">
        <f>(SUMPRODUCT(E$9:E$229,Nutrients!$FE$8:$FE$228)+(IF($A$7=Nutrients!$B$8,Nutrients!$FE$8,Nutrients!$FE$9)*E$7)+(((IF($A$8=Nutrients!$B$79,Nutrients!$FE$79,(IF($A$8=Nutrients!$B$77,Nutrients!$FE$77,Nutrients!$FE$78)))))*E$8))</f>
        <v>0</v>
      </c>
      <c r="F340" s="21">
        <f>(SUMPRODUCT(F$9:F$229,Nutrients!$FE$8:$FE$228)+(IF($A$7=Nutrients!$B$8,Nutrients!$FE$8,Nutrients!$FE$9)*F$7)+(((IF($A$8=Nutrients!$B$79,Nutrients!$FE$79,(IF($A$8=Nutrients!$B$77,Nutrients!$FE$77,Nutrients!$FE$78)))))*F$8))</f>
        <v>0</v>
      </c>
      <c r="G340" s="21">
        <f>(SUMPRODUCT(G$9:G$229,Nutrients!$FE$8:$FE$228)+(IF($A$7=Nutrients!$B$8,Nutrients!$FE$8,Nutrients!$FE$9)*G$7)+(((IF($A$8=Nutrients!$B$79,Nutrients!$FE$79,(IF($A$8=Nutrients!$B$77,Nutrients!$FE$77,Nutrients!$FE$78)))))*G$8))</f>
        <v>0</v>
      </c>
      <c r="H340" s="226"/>
      <c r="I340" s="21">
        <f>(SUMPRODUCT(I$9:I$229,Nutrients!$FE$8:$FE$228)+(IF($A$7=Nutrients!$B$8,Nutrients!$FE$8,Nutrients!$FE$9)*I$7)+(((IF($A$8=Nutrients!$B$79,Nutrients!$FE$79,(IF($A$8=Nutrients!$B$77,Nutrients!$FE$77,Nutrients!$FE$78)))))*I$8))</f>
        <v>0</v>
      </c>
      <c r="J340" s="21">
        <f>(SUMPRODUCT(J$9:J$229,Nutrients!$FE$8:$FE$228)+(IF($A$7=Nutrients!$B$8,Nutrients!$FE$8,Nutrients!$FE$9)*J$7)+(((IF($A$8=Nutrients!$B$79,Nutrients!$FE$79,(IF($A$8=Nutrients!$B$77,Nutrients!$FE$77,Nutrients!$FE$78)))))*J$8))</f>
        <v>0</v>
      </c>
      <c r="K340" s="21">
        <f>(SUMPRODUCT(K$9:K$229,Nutrients!$FE$8:$FE$228)+(IF($A$7=Nutrients!$B$8,Nutrients!$FE$8,Nutrients!$FE$9)*K$7)+(((IF($A$8=Nutrients!$B$79,Nutrients!$FE$79,(IF($A$8=Nutrients!$B$77,Nutrients!$FE$77,Nutrients!$FE$78)))))*K$8))</f>
        <v>0</v>
      </c>
      <c r="L340" s="21">
        <f>(SUMPRODUCT(L$9:L$229,Nutrients!$FE$8:$FE$228)+(IF($A$7=Nutrients!$B$8,Nutrients!$FE$8,Nutrients!$FE$9)*L$7)+(((IF($A$8=Nutrients!$B$79,Nutrients!$FE$79,(IF($A$8=Nutrients!$B$77,Nutrients!$FE$77,Nutrients!$FE$78)))))*L$8))</f>
        <v>0</v>
      </c>
      <c r="M340" s="21">
        <f>(SUMPRODUCT(M$9:M$229,Nutrients!$FE$8:$FE$228)+(IF($A$7=Nutrients!$B$8,Nutrients!$FE$8,Nutrients!$FE$9)*M$7)+(((IF($A$8=Nutrients!$B$79,Nutrients!$FE$79,(IF($A$8=Nutrients!$B$77,Nutrients!$FE$77,Nutrients!$FE$78)))))*M$8))</f>
        <v>0</v>
      </c>
      <c r="N340" s="21">
        <f>(SUMPRODUCT(N$9:N$229,Nutrients!$FE$8:$FE$228)+(IF($A$7=Nutrients!$B$8,Nutrients!$FE$8,Nutrients!$FE$9)*N$7)+(((IF($A$8=Nutrients!$B$79,Nutrients!$FE$79,(IF($A$8=Nutrients!$B$77,Nutrients!$FE$77,Nutrients!$FE$78)))))*N$8))</f>
        <v>0</v>
      </c>
      <c r="O340" s="234"/>
      <c r="P340" s="21">
        <f>(SUMPRODUCT(P$9:P$229,Nutrients!$FE$8:$FE$228)+(IF($A$7=Nutrients!$B$8,Nutrients!$FE$8,Nutrients!$FE$9)*P$7)+(((IF($A$8=Nutrients!$B$79,Nutrients!$FE$79,(IF($A$8=Nutrients!$B$77,Nutrients!$FE$77,Nutrients!$FE$78)))))*P$8))</f>
        <v>0</v>
      </c>
      <c r="Q340" s="21">
        <f>(SUMPRODUCT(Q$9:Q$229,Nutrients!$FE$8:$FE$228)+(IF($A$7=Nutrients!$B$8,Nutrients!$FE$8,Nutrients!$FE$9)*Q$7)+(((IF($A$8=Nutrients!$B$79,Nutrients!$FE$79,(IF($A$8=Nutrients!$B$77,Nutrients!$FE$77,Nutrients!$FE$78)))))*Q$8))</f>
        <v>0</v>
      </c>
      <c r="R340" s="21">
        <f>(SUMPRODUCT(R$9:R$229,Nutrients!$FE$8:$FE$228)+(IF($A$7=Nutrients!$B$8,Nutrients!$FE$8,Nutrients!$FE$9)*R$7)+(((IF($A$8=Nutrients!$B$79,Nutrients!$FE$79,(IF($A$8=Nutrients!$B$77,Nutrients!$FE$77,Nutrients!$FE$78)))))*R$8))</f>
        <v>0</v>
      </c>
      <c r="S340" s="21">
        <f>(SUMPRODUCT(S$9:S$229,Nutrients!$FE$8:$FE$228)+(IF($A$7=Nutrients!$B$8,Nutrients!$FE$8,Nutrients!$FE$9)*S$7)+(((IF($A$8=Nutrients!$B$79,Nutrients!$FE$79,(IF($A$8=Nutrients!$B$77,Nutrients!$FE$77,Nutrients!$FE$78)))))*S$8))</f>
        <v>0</v>
      </c>
      <c r="T340" s="21">
        <f>(SUMPRODUCT(T$9:T$229,Nutrients!$FE$8:$FE$228)+(IF($A$7=Nutrients!$B$8,Nutrients!$FE$8,Nutrients!$FE$9)*T$7)+(((IF($A$8=Nutrients!$B$79,Nutrients!$FE$79,(IF($A$8=Nutrients!$B$77,Nutrients!$FE$77,Nutrients!$FE$78)))))*T$8))</f>
        <v>0</v>
      </c>
      <c r="U340" s="21">
        <f>(SUMPRODUCT(U$9:U$229,Nutrients!$FE$8:$FE$228)+(IF($A$7=Nutrients!$B$8,Nutrients!$FE$8,Nutrients!$FE$9)*U$7)+(((IF($A$8=Nutrients!$B$79,Nutrients!$FE$79,(IF($A$8=Nutrients!$B$77,Nutrients!$FE$77,Nutrients!$FE$78)))))*U$8))</f>
        <v>0</v>
      </c>
      <c r="W340" s="21">
        <f>(SUMPRODUCT(W$9:W$229,Nutrients!$FE$8:$FE$228)+(IF($A$7=Nutrients!$B$8,Nutrients!$FE$8,Nutrients!$FE$9)*W$7)+(((IF($A$8=Nutrients!$B$79,Nutrients!$FE$79,(IF($A$8=Nutrients!$B$77,Nutrients!$FE$77,Nutrients!$FE$78)))))*W$8))</f>
        <v>0</v>
      </c>
      <c r="X340" s="21">
        <f>(SUMPRODUCT(X$9:X$229,Nutrients!$FE$8:$FE$228)+(IF($A$7=Nutrients!$B$8,Nutrients!$FE$8,Nutrients!$FE$9)*X$7)+(((IF($A$8=Nutrients!$B$79,Nutrients!$FE$79,(IF($A$8=Nutrients!$B$77,Nutrients!$FE$77,Nutrients!$FE$78)))))*X$8))</f>
        <v>0</v>
      </c>
      <c r="Y340" s="21">
        <f>(SUMPRODUCT(Y$9:Y$229,Nutrients!$FE$8:$FE$228)+(IF($A$7=Nutrients!$B$8,Nutrients!$FE$8,Nutrients!$FE$9)*Y$7)+(((IF($A$8=Nutrients!$B$79,Nutrients!$FE$79,(IF($A$8=Nutrients!$B$77,Nutrients!$FE$77,Nutrients!$FE$78)))))*Y$8))</f>
        <v>0</v>
      </c>
      <c r="Z340" s="21">
        <f>(SUMPRODUCT(Z$9:Z$229,Nutrients!$FE$8:$FE$228)+(IF($A$7=Nutrients!$B$8,Nutrients!$FE$8,Nutrients!$FE$9)*Z$7)+(((IF($A$8=Nutrients!$B$79,Nutrients!$FE$79,(IF($A$8=Nutrients!$B$77,Nutrients!$FE$77,Nutrients!$FE$78)))))*Z$8))</f>
        <v>0</v>
      </c>
      <c r="AA340" s="21">
        <f>(SUMPRODUCT(AA$9:AA$229,Nutrients!$FE$8:$FE$228)+(IF($A$7=Nutrients!$B$8,Nutrients!$FE$8,Nutrients!$FE$9)*AA$7)+(((IF($A$8=Nutrients!$B$79,Nutrients!$FE$79,(IF($A$8=Nutrients!$B$77,Nutrients!$FE$77,Nutrients!$FE$78)))))*AA$8))</f>
        <v>0</v>
      </c>
      <c r="AB340" s="21">
        <f>(SUMPRODUCT(AB$9:AB$229,Nutrients!$FE$8:$FE$228)+(IF($A$7=Nutrients!$B$8,Nutrients!$FE$8,Nutrients!$FE$9)*AB$7)+(((IF($A$8=Nutrients!$B$79,Nutrients!$FE$79,(IF($A$8=Nutrients!$B$77,Nutrients!$FE$77,Nutrients!$FE$78)))))*AB$8))</f>
        <v>0</v>
      </c>
      <c r="AD340" s="21">
        <f>(SUMPRODUCT(AD$9:AD$229,Nutrients!$FE$8:$FE$228)+(IF($A$7=Nutrients!$B$8,Nutrients!$FE$8,Nutrients!$FE$9)*AD$7)+(((IF($A$8=Nutrients!$B$79,Nutrients!$FE$79,(IF($A$8=Nutrients!$B$77,Nutrients!$FE$77,Nutrients!$FE$78)))))*AD$8))</f>
        <v>0</v>
      </c>
      <c r="AE340" s="21">
        <f>(SUMPRODUCT(AE$9:AE$229,Nutrients!$FE$8:$FE$228)+(IF($A$7=Nutrients!$B$8,Nutrients!$FE$8,Nutrients!$FE$9)*AE$7)+(((IF($A$8=Nutrients!$B$79,Nutrients!$FE$79,(IF($A$8=Nutrients!$B$77,Nutrients!$FE$77,Nutrients!$FE$78)))))*AE$8))</f>
        <v>0</v>
      </c>
      <c r="AF340" s="21">
        <f>(SUMPRODUCT(AF$9:AF$229,Nutrients!$FE$8:$FE$228)+(IF($A$7=Nutrients!$B$8,Nutrients!$FE$8,Nutrients!$FE$9)*AF$7)+(((IF($A$8=Nutrients!$B$79,Nutrients!$FE$79,(IF($A$8=Nutrients!$B$77,Nutrients!$FE$77,Nutrients!$FE$78)))))*AF$8))</f>
        <v>0</v>
      </c>
      <c r="AG340" s="21">
        <f>(SUMPRODUCT(AG$9:AG$229,Nutrients!$FE$8:$FE$228)+(IF($A$7=Nutrients!$B$8,Nutrients!$FE$8,Nutrients!$FE$9)*AG$7)+(((IF($A$8=Nutrients!$B$79,Nutrients!$FE$79,(IF($A$8=Nutrients!$B$77,Nutrients!$FE$77,Nutrients!$FE$78)))))*AG$8))</f>
        <v>0</v>
      </c>
      <c r="AH340" s="21">
        <f>(SUMPRODUCT(AH$9:AH$229,Nutrients!$FE$8:$FE$228)+(IF($A$7=Nutrients!$B$8,Nutrients!$FE$8,Nutrients!$FE$9)*AH$7)+(((IF($A$8=Nutrients!$B$79,Nutrients!$FE$79,(IF($A$8=Nutrients!$B$77,Nutrients!$FE$77,Nutrients!$FE$78)))))*AH$8))</f>
        <v>0</v>
      </c>
      <c r="AI340" s="21">
        <f>(SUMPRODUCT(AI$9:AI$229,Nutrients!$FE$8:$FE$228)+(IF($A$7=Nutrients!$B$8,Nutrients!$FE$8,Nutrients!$FE$9)*AI$7)+(((IF($A$8=Nutrients!$B$79,Nutrients!$FE$79,(IF($A$8=Nutrients!$B$77,Nutrients!$FE$77,Nutrients!$FE$78)))))*AI$8))</f>
        <v>0</v>
      </c>
      <c r="AK340" s="21">
        <f>(SUMPRODUCT(AK$9:AK$229,Nutrients!$FE$8:$FE$228)+(IF($A$7=Nutrients!$B$8,Nutrients!$FE$8,Nutrients!$FE$9)*AK$7)+(((IF($A$8=Nutrients!$B$79,Nutrients!$FE$79,(IF($A$8=Nutrients!$B$77,Nutrients!$FE$77,Nutrients!$FE$78)))))*AK$8))</f>
        <v>0</v>
      </c>
      <c r="AL340" s="21">
        <f>(SUMPRODUCT(AL$9:AL$229,Nutrients!$FE$8:$FE$228)+(IF($A$7=Nutrients!$B$8,Nutrients!$FE$8,Nutrients!$FE$9)*AL$7)+(((IF($A$8=Nutrients!$B$79,Nutrients!$FE$79,(IF($A$8=Nutrients!$B$77,Nutrients!$FE$77,Nutrients!$FE$78)))))*AL$8))</f>
        <v>0</v>
      </c>
      <c r="AM340" s="21">
        <f>(SUMPRODUCT(AM$9:AM$229,Nutrients!$FE$8:$FE$228)+(IF($A$7=Nutrients!$B$8,Nutrients!$FE$8,Nutrients!$FE$9)*AM$7)+(((IF($A$8=Nutrients!$B$79,Nutrients!$FE$79,(IF($A$8=Nutrients!$B$77,Nutrients!$FE$77,Nutrients!$FE$78)))))*AM$8))</f>
        <v>0</v>
      </c>
      <c r="AN340" s="21">
        <f>(SUMPRODUCT(AN$9:AN$229,Nutrients!$FE$8:$FE$228)+(IF($A$7=Nutrients!$B$8,Nutrients!$FE$8,Nutrients!$FE$9)*AN$7)+(((IF($A$8=Nutrients!$B$79,Nutrients!$FE$79,(IF($A$8=Nutrients!$B$77,Nutrients!$FE$77,Nutrients!$FE$78)))))*AN$8))</f>
        <v>0</v>
      </c>
      <c r="AO340" s="21">
        <f>(SUMPRODUCT(AO$9:AO$229,Nutrients!$FE$8:$FE$228)+(IF($A$7=Nutrients!$B$8,Nutrients!$FE$8,Nutrients!$FE$9)*AO$7)+(((IF($A$8=Nutrients!$B$79,Nutrients!$FE$79,(IF($A$8=Nutrients!$B$77,Nutrients!$FE$77,Nutrients!$FE$78)))))*AO$8))</f>
        <v>0</v>
      </c>
      <c r="AP340" s="21">
        <f>(SUMPRODUCT(AP$9:AP$229,Nutrients!$FE$8:$FE$228)+(IF($A$7=Nutrients!$B$8,Nutrients!$FE$8,Nutrients!$FE$9)*AP$7)+(((IF($A$8=Nutrients!$B$79,Nutrients!$FE$79,(IF($A$8=Nutrients!$B$77,Nutrients!$FE$77,Nutrients!$FE$78)))))*AP$8))</f>
        <v>0</v>
      </c>
      <c r="AR340" s="21">
        <f>(SUMPRODUCT(AR$9:AR$229,Nutrients!$FE$8:$FE$228)+(IF($A$7=Nutrients!$B$8,Nutrients!$FE$8,Nutrients!$FE$9)*AR$7)+(((IF($A$8=Nutrients!$B$79,Nutrients!$FE$79,(IF($A$8=Nutrients!$B$77,Nutrients!$FE$77,Nutrients!$FE$78)))))*AR$8))</f>
        <v>0</v>
      </c>
      <c r="AS340" s="21">
        <f>(SUMPRODUCT(AS$9:AS$229,Nutrients!$FE$8:$FE$228)+(IF($A$7=Nutrients!$B$8,Nutrients!$FE$8,Nutrients!$FE$9)*AS$7)+(((IF($A$8=Nutrients!$B$79,Nutrients!$FE$79,(IF($A$8=Nutrients!$B$77,Nutrients!$FE$77,Nutrients!$FE$78)))))*AS$8))</f>
        <v>0</v>
      </c>
      <c r="AT340" s="21">
        <f>(SUMPRODUCT(AT$9:AT$229,Nutrients!$FE$8:$FE$228)+(IF($A$7=Nutrients!$B$8,Nutrients!$FE$8,Nutrients!$FE$9)*AT$7)+(((IF($A$8=Nutrients!$B$79,Nutrients!$FE$79,(IF($A$8=Nutrients!$B$77,Nutrients!$FE$77,Nutrients!$FE$78)))))*AT$8))</f>
        <v>0</v>
      </c>
      <c r="AU340" s="21">
        <f>(SUMPRODUCT(AU$9:AU$229,Nutrients!$FE$8:$FE$228)+(IF($A$7=Nutrients!$B$8,Nutrients!$FE$8,Nutrients!$FE$9)*AU$7)+(((IF($A$8=Nutrients!$B$79,Nutrients!$FE$79,(IF($A$8=Nutrients!$B$77,Nutrients!$FE$77,Nutrients!$FE$78)))))*AU$8))</f>
        <v>0</v>
      </c>
      <c r="AV340" s="21">
        <f>(SUMPRODUCT(AV$9:AV$229,Nutrients!$FE$8:$FE$228)+(IF($A$7=Nutrients!$B$8,Nutrients!$FE$8,Nutrients!$FE$9)*AV$7)+(((IF($A$8=Nutrients!$B$79,Nutrients!$FE$79,(IF($A$8=Nutrients!$B$77,Nutrients!$FE$77,Nutrients!$FE$78)))))*AV$8))</f>
        <v>0</v>
      </c>
      <c r="AW340" s="21">
        <f>(SUMPRODUCT(AW$9:AW$229,Nutrients!$FE$8:$FE$228)+(IF($A$7=Nutrients!$B$8,Nutrients!$FE$8,Nutrients!$FE$9)*AW$7)+(((IF($A$8=Nutrients!$B$79,Nutrients!$FE$79,(IF($A$8=Nutrients!$B$77,Nutrients!$FE$77,Nutrients!$FE$78)))))*AW$8))</f>
        <v>0</v>
      </c>
    </row>
    <row r="341" spans="1:58" x14ac:dyDescent="0.25">
      <c r="I341" s="380"/>
      <c r="J341" s="380"/>
      <c r="K341" s="380"/>
      <c r="L341" s="380"/>
      <c r="M341" s="380"/>
      <c r="N341" s="380"/>
      <c r="P341" s="380"/>
      <c r="Q341" s="380"/>
      <c r="R341" s="380"/>
      <c r="S341" s="380"/>
      <c r="T341" s="380"/>
      <c r="U341" s="380"/>
      <c r="W341" s="380"/>
      <c r="X341" s="380"/>
      <c r="Y341" s="380"/>
      <c r="Z341" s="380"/>
      <c r="AA341" s="380"/>
      <c r="AB341" s="380"/>
      <c r="AD341" s="380"/>
      <c r="AE341" s="380"/>
      <c r="AF341" s="380"/>
      <c r="AG341" s="380"/>
      <c r="AH341" s="380"/>
      <c r="AI341" s="380"/>
      <c r="AK341" s="380"/>
      <c r="AL341" s="380"/>
      <c r="AM341" s="380"/>
      <c r="AN341" s="380"/>
      <c r="AO341" s="380"/>
      <c r="AP341" s="380"/>
      <c r="AR341" s="380"/>
      <c r="AS341" s="380"/>
      <c r="AT341" s="380"/>
      <c r="AU341" s="380"/>
      <c r="AV341" s="380"/>
      <c r="AW341" s="380"/>
    </row>
    <row r="342" spans="1:58" x14ac:dyDescent="0.25">
      <c r="A342" s="298" t="s">
        <v>478</v>
      </c>
      <c r="B342" s="299">
        <f xml:space="preserve"> (-1619.2980797296 + 25.9248064834 * (B251/1000) - 2657.6209162609 * B236 +
123.0469725298 * B253 - 9.2854579989 * B316 + 872.0182830582 * B252 + 26.664395965 * (AVERAGE(B5:B6)*0.453592) +
2599.7646012325 * B236 * B236- 0.1016237102 *  (AVERAGE(B5:B6)*0.453592) *  (AVERAGE(B5:B6)*0.453592) - 71.8618465276 * B236 * B253 -
607.1294449572 * B236 * B252 + 25.6463076451 * B236 * (AVERAGE(B5:B6)*0.453592) - 0.8399854508 * B253 * (AVERAGE(B5:B6)*0.453592) +
0.0967347393 * B316 * (AVERAGE(B5:B6)*0.453592) - 5.2553838048 * B252 * (AVERAGE(B5:B6)*0.453592))</f>
        <v>757.46635553023782</v>
      </c>
      <c r="C342" s="299">
        <f xml:space="preserve"> -1619.2980797296 + 25.9248064834 * (C251/1000) - 2657.6209162609 * C236 +
123.0469725298 * C253 - 9.2854579989 * C316 + 872.0182830582 * C252 + 26.664395965 * (AVERAGE(C5:C6)*0.453592) +
2599.7646012325 * C236 * C236- 0.1016237102 *  (AVERAGE(C5:C6)*0.453592) *  (AVERAGE(C5:C6)*0.453592) - 71.8618465276 * C236 * C253 -
607.1294449572 * C236 * C252 + 25.6463076451 * C236 * (AVERAGE(C5:C6)*0.453592) - 0.8399854508 * C253 * (AVERAGE(C5:C6)*0.453592) +
0.0967347393 * C316 * (AVERAGE(C5:C6)*0.453592) - 5.2553838048 * C252 * (AVERAGE(C5:C6)*0.453592)</f>
        <v>870.42326519783569</v>
      </c>
      <c r="D342" s="299">
        <f xml:space="preserve"> -1619.2980797296 + 25.9248064834 * (D251/1000) - 2657.6209162609 * D236 +
123.0469725298 * D253 - 9.2854579989 * D316 + 872.0182830582 * D252 + 26.664395965 * (AVERAGE(D5:D6)*0.453592) +
2599.7646012325 * D236 * D236- 0.1016237102 *  (AVERAGE(D5:D6)*0.453592) *  (AVERAGE(D5:D6)*0.453592) - 71.8618465276 * D236 * D253 -
607.1294449572 * D236 * D252 + 25.6463076451 * D236 * (AVERAGE(D5:D6)*0.453592) - 0.8399854508 * D253 * (AVERAGE(D5:D6)*0.453592) +
0.0967347393 * D316 * (AVERAGE(D5:D6)*0.453592) - 5.2553838048 * D252 * (AVERAGE(D5:D6)*0.453592)</f>
        <v>946.21888727648684</v>
      </c>
      <c r="E342" s="299">
        <f xml:space="preserve"> -1619.2980797296 + 25.9248064834 * (E251/1000) - 2657.6209162609 * E236 +
123.0469725298 * E253 - 9.2854579989 * E316 + 872.0182830582 * E252 + 26.664395965 * (AVERAGE(E5:E6)*0.453592) +
2599.7646012325 * E236 * E236- 0.1016237102 *  (AVERAGE(E5:E6)*0.453592) *  (AVERAGE(E5:E6)*0.453592) - 71.8618465276 * E236 * E253 -
607.1294449572 * E236 * E252 + 25.6463076451 * E236 * (AVERAGE(E5:E6)*0.453592) - 0.8399854508 * E253 * (AVERAGE(E5:E6)*0.453592) +
0.0967347393 * E316 * (AVERAGE(E5:E6)*0.453592) - 5.2553838048 * E252 * (AVERAGE(E5:E6)*0.453592)</f>
        <v>982.61557306834152</v>
      </c>
      <c r="F342" s="299">
        <f xml:space="preserve"> -1619.2980797296 + 25.9248064834 * (F251/1000) - 2657.6209162609 * F236 +
123.0469725298 * F253 - 9.2854579989 * F316 + 872.0182830582 * F252 + 26.664395965 * (AVERAGE(F5:F6)*0.453592) +
2599.7646012325 * F236 * F236- 0.1016237102 *  (AVERAGE(F5:F6)*0.453592) *  (AVERAGE(F5:F6)*0.453592) - 71.8618465276 * F236 * F253 -
607.1294449572 * F236 * F252 + 25.6463076451 * F236 * (AVERAGE(F5:F6)*0.453592) - 0.8399854508 * F253 * (AVERAGE(F5:F6)*0.453592) +
0.0967347393 * F316 * (AVERAGE(F5:F6)*0.453592) - 5.2553838048 * F252 * (AVERAGE(F5:F6)*0.453592)</f>
        <v>976.63637619430801</v>
      </c>
      <c r="G342" s="299">
        <f xml:space="preserve"> -1619.2980797296 + 25.9248064834 * (G251/1000) - 2657.6209162609 * G236 +
123.0469725298 * G253 - 9.2854579989 * G316 + 872.0182830582 * G252 + 26.664395965 * (AVERAGE(G5:G6)*0.453592) +
2599.7646012325 * G236 * G236- 0.1016237102 *  (AVERAGE(G5:G6)*0.453592) *  (AVERAGE(G5:G6)*0.453592) - 71.8618465276 * G236 * G253 -
607.1294449572 * G236 * G252 + 25.6463076451 * G236 * (AVERAGE(G5:G6)*0.453592) - 0.8399854508 * G253 * (AVERAGE(G5:G6)*0.453592) +
0.0967347393 * G316 * (AVERAGE(G5:G6)*0.453592) - 5.2553838048 * G252 * (AVERAGE(G5:G6)*0.453592)</f>
        <v>919.74779687896194</v>
      </c>
      <c r="I342" s="299">
        <f xml:space="preserve"> (-1619.2980797296 + 25.9248064834 * (I251/1000) - 2657.6209162609 * I236 +
123.0469725298 * I253 - 9.2854579989 * I316 + 872.0182830582 * I252 + 26.664395965 * (AVERAGE(I5:I6)*0.453592) +
2599.7646012325 * I236 * I236- 0.1016237102 *  (AVERAGE(I5:I6)*0.453592) *  (AVERAGE(I5:I6)*0.453592) - 71.8618465276 * I236 * I253 -
607.1294449572 * I236 * I252 + 25.6463076451 * I236 * (AVERAGE(I5:I6)*0.453592) - 0.8399854508 * I253 * (AVERAGE(I5:I6)*0.453592) +
0.0967347393 * I316 * (AVERAGE(I5:I6)*0.453592) - 5.2553838048 * I252 * (AVERAGE(I5:I6)*0.453592))</f>
        <v>752.59141313154385</v>
      </c>
      <c r="J342" s="299">
        <f xml:space="preserve"> -1619.2980797296 + 25.9248064834 * (J251/1000) - 2657.6209162609 * J236 +
123.0469725298 * J253 - 9.2854579989 * J316 + 872.0182830582 * J252 + 26.664395965 * (AVERAGE(J5:J6)*0.453592) +
2599.7646012325 * J236 * J236- 0.1016237102 *  (AVERAGE(J5:J6)*0.453592) *  (AVERAGE(J5:J6)*0.453592) - 71.8618465276 * J236 * J253 -
607.1294449572 * J236 * J252 + 25.6463076451 * J236 * (AVERAGE(J5:J6)*0.453592) - 0.8399854508 * J253 * (AVERAGE(J5:J6)*0.453592) +
0.0967347393 * J316 * (AVERAGE(J5:J6)*0.453592) - 5.2553838048 * J252 * (AVERAGE(J5:J6)*0.453592)</f>
        <v>865.08750767091408</v>
      </c>
      <c r="K342" s="299">
        <f xml:space="preserve"> -1619.2980797296 + 25.9248064834 * (K251/1000) - 2657.6209162609 * K236 +
123.0469725298 * K253 - 9.2854579989 * K316 + 872.0182830582 * K252 + 26.664395965 * (AVERAGE(K5:K6)*0.453592) +
2599.7646012325 * K236 * K236- 0.1016237102 *  (AVERAGE(K5:K6)*0.453592) *  (AVERAGE(K5:K6)*0.453592) - 71.8618465276 * K236 * K253 -
607.1294449572 * K236 * K252 + 25.6463076451 * K236 * (AVERAGE(K5:K6)*0.453592) - 0.8399854508 * K253 * (AVERAGE(K5:K6)*0.453592) +
0.0967347393 * K316 * (AVERAGE(K5:K6)*0.453592) - 5.2553838048 * K252 * (AVERAGE(K5:K6)*0.453592)</f>
        <v>940.00942055353994</v>
      </c>
      <c r="L342" s="299">
        <f xml:space="preserve"> -1619.2980797296 + 25.9248064834 * (L251/1000) - 2657.6209162609 * L236 +
123.0469725298 * L253 - 9.2854579989 * L316 + 872.0182830582 * L252 + 26.664395965 * (AVERAGE(L5:L6)*0.453592) +
2599.7646012325 * L236 * L236- 0.1016237102 *  (AVERAGE(L5:L6)*0.453592) *  (AVERAGE(L5:L6)*0.453592) - 71.8618465276 * L236 * L253 -
607.1294449572 * L236 * L252 + 25.6463076451 * L236 * (AVERAGE(L5:L6)*0.453592) - 0.8399854508 * L253 * (AVERAGE(L5:L6)*0.453592) +
0.0967347393 * L316 * (AVERAGE(L5:L6)*0.453592) - 5.2553838048 * L252 * (AVERAGE(L5:L6)*0.453592)</f>
        <v>974.79583887856711</v>
      </c>
      <c r="M342" s="299">
        <f xml:space="preserve"> -1619.2980797296 + 25.9248064834 * (M251/1000) - 2657.6209162609 * M236 +
123.0469725298 * M253 - 9.2854579989 * M316 + 872.0182830582 * M252 + 26.664395965 * (AVERAGE(M5:M6)*0.453592) +
2599.7646012325 * M236 * M236- 0.1016237102 *  (AVERAGE(M5:M6)*0.453592) *  (AVERAGE(M5:M6)*0.453592) - 71.8618465276 * M236 * M253 -
607.1294449572 * M236 * M252 + 25.6463076451 * M236 * (AVERAGE(M5:M6)*0.453592) - 0.8399854508 * M253 * (AVERAGE(M5:M6)*0.453592) +
0.0967347393 * M316 * (AVERAGE(M5:M6)*0.453592) - 5.2553838048 * M252 * (AVERAGE(M5:M6)*0.453592)</f>
        <v>966.1311541434236</v>
      </c>
      <c r="N342" s="299">
        <f xml:space="preserve"> -1619.2980797296 + 25.9248064834 * (N251/1000) - 2657.6209162609 * N236 +
123.0469725298 * N253 - 9.2854579989 * N316 + 872.0182830582 * N252 + 26.664395965 * (AVERAGE(N5:N6)*0.453592) +
2599.7646012325 * N236 * N236- 0.1016237102 *  (AVERAGE(N5:N6)*0.453592) *  (AVERAGE(N5:N6)*0.453592) - 71.8618465276 * N236 * N253 -
607.1294449572 * N236 * N252 + 25.6463076451 * N236 * (AVERAGE(N5:N6)*0.453592) - 0.8399854508 * N253 * (AVERAGE(N5:N6)*0.453592) +
0.0967347393 * N316 * (AVERAGE(N5:N6)*0.453592) - 5.2553838048 * N252 * (AVERAGE(N5:N6)*0.453592)</f>
        <v>919.74779687896194</v>
      </c>
      <c r="P342" s="299">
        <f xml:space="preserve"> (-1619.2980797296 + 25.9248064834 * (P251/1000) - 2657.6209162609 * P236 +
123.0469725298 * P253 - 9.2854579989 * P316 + 872.0182830582 * P252 + 26.664395965 * (AVERAGE(P5:P6)*0.453592) +
2599.7646012325 * P236 * P236- 0.1016237102 *  (AVERAGE(P5:P6)*0.453592) *  (AVERAGE(P5:P6)*0.453592) - 71.8618465276 * P236 * P253 -
607.1294449572 * P236 * P252 + 25.6463076451 * P236 * (AVERAGE(P5:P6)*0.453592) - 0.8399854508 * P253 * (AVERAGE(P5:P6)*0.453592) +
0.0967347393 * P316 * (AVERAGE(P5:P6)*0.453592) - 5.2553838048 * P252 * (AVERAGE(P5:P6)*0.453592))</f>
        <v>748.62113056984265</v>
      </c>
      <c r="Q342" s="299">
        <f xml:space="preserve"> -1619.2980797296 + 25.9248064834 * (Q251/1000) - 2657.6209162609 * Q236 +
123.0469725298 * Q253 - 9.2854579989 * Q316 + 872.0182830582 * Q252 + 26.664395965 * (AVERAGE(Q5:Q6)*0.453592) +
2599.7646012325 * Q236 * Q236- 0.1016237102 *  (AVERAGE(Q5:Q6)*0.453592) *  (AVERAGE(Q5:Q6)*0.453592) - 71.8618465276 * Q236 * Q253 -
607.1294449572 * Q236 * Q252 + 25.6463076451 * Q236 * (AVERAGE(Q5:Q6)*0.453592) - 0.8399854508 * Q253 * (AVERAGE(Q5:Q6)*0.453592) +
0.0967347393 * Q316 * (AVERAGE(Q5:Q6)*0.453592) - 5.2553838048 * Q252 * (AVERAGE(Q5:Q6)*0.453592)</f>
        <v>860.67248275182237</v>
      </c>
      <c r="R342" s="299">
        <f xml:space="preserve"> -1619.2980797296 + 25.9248064834 * (R251/1000) - 2657.6209162609 * R236 +
123.0469725298 * R253 - 9.2854579989 * R316 + 872.0182830582 * R252 + 26.664395965 * (AVERAGE(R5:R6)*0.453592) +
2599.7646012325 * R236 * R236- 0.1016237102 *  (AVERAGE(R5:R6)*0.453592) *  (AVERAGE(R5:R6)*0.453592) - 71.8618465276 * R236 * R253 -
607.1294449572 * R236 * R252 + 25.6463076451 * R236 * (AVERAGE(R5:R6)*0.453592) - 0.8399854508 * R253 * (AVERAGE(R5:R6)*0.453592) +
0.0967347393 * R316 * (AVERAGE(R5:R6)*0.453592) - 5.2553838048 * R252 * (AVERAGE(R5:R6)*0.453592)</f>
        <v>934.64211304565606</v>
      </c>
      <c r="S342" s="299">
        <f xml:space="preserve"> -1619.2980797296 + 25.9248064834 * (S251/1000) - 2657.6209162609 * S236 +
123.0469725298 * S253 - 9.2854579989 * S316 + 872.0182830582 * S252 + 26.664395965 * (AVERAGE(S5:S6)*0.453592) +
2599.7646012325 * S236 * S236- 0.1016237102 *  (AVERAGE(S5:S6)*0.453592) *  (AVERAGE(S5:S6)*0.453592) - 71.8618465276 * S236 * S253 -
607.1294449572 * S236 * S252 + 25.6463076451 * S236 * (AVERAGE(S5:S6)*0.453592) - 0.8399854508 * S253 * (AVERAGE(S5:S6)*0.453592) +
0.0967347393 * S316 * (AVERAGE(S5:S6)*0.453592) - 5.2553838048 * S252 * (AVERAGE(S5:S6)*0.453592)</f>
        <v>967.32292311801757</v>
      </c>
      <c r="T342" s="299">
        <f xml:space="preserve"> -1619.2980797296 + 25.9248064834 * (T251/1000) - 2657.6209162609 * T236 +
123.0469725298 * T253 - 9.2854579989 * T316 + 872.0182830582 * T252 + 26.664395965 * (AVERAGE(T5:T6)*0.453592) +
2599.7646012325 * T236 * T236- 0.1016237102 *  (AVERAGE(T5:T6)*0.453592) *  (AVERAGE(T5:T6)*0.453592) - 71.8618465276 * T236 * T253 -
607.1294449572 * T236 * T252 + 25.6463076451 * T236 * (AVERAGE(T5:T6)*0.453592) - 0.8399854508 * T253 * (AVERAGE(T5:T6)*0.453592) +
0.0967347393 * T316 * (AVERAGE(T5:T6)*0.453592) - 5.2553838048 * T252 * (AVERAGE(T5:T6)*0.453592)</f>
        <v>956.16918565871811</v>
      </c>
      <c r="U342" s="299">
        <f xml:space="preserve"> -1619.2980797296 + 25.9248064834 * (U251/1000) - 2657.6209162609 * U236 +
123.0469725298 * U253 - 9.2854579989 * U316 + 872.0182830582 * U252 + 26.664395965 * (AVERAGE(U5:U6)*0.453592) +
2599.7646012325 * U236 * U236- 0.1016237102 *  (AVERAGE(U5:U6)*0.453592) *  (AVERAGE(U5:U6)*0.453592) - 71.8618465276 * U236 * U253 -
607.1294449572 * U236 * U252 + 25.6463076451 * U236 * (AVERAGE(U5:U6)*0.453592) - 0.8399854508 * U253 * (AVERAGE(U5:U6)*0.453592) +
0.0967347393 * U316 * (AVERAGE(U5:U6)*0.453592) - 5.2553838048 * U252 * (AVERAGE(U5:U6)*0.453592)</f>
        <v>919.74779687896194</v>
      </c>
      <c r="W342" s="299">
        <f xml:space="preserve"> (-1619.2980797296 + 25.9248064834 * (W251/1000) - 2657.6209162609 * W236 +
123.0469725298 * W253 - 9.2854579989 * W316 + 872.0182830582 * W252 + 26.664395965 * (AVERAGE(W5:W6)*0.453592) +
2599.7646012325 * W236 * W236- 0.1016237102 *  (AVERAGE(W5:W6)*0.453592) *  (AVERAGE(W5:W6)*0.453592) - 71.8618465276 * W236 * W253 -
607.1294449572 * W236 * W252 + 25.6463076451 * W236 * (AVERAGE(W5:W6)*0.453592) - 0.8399854508 * W253 * (AVERAGE(W5:W6)*0.453592) +
0.0967347393 * W316 * (AVERAGE(W5:W6)*0.453592) - 5.2553838048 * W252 * (AVERAGE(W5:W6)*0.453592))</f>
        <v>745.32048522697846</v>
      </c>
      <c r="X342" s="299">
        <f xml:space="preserve"> -1619.2980797296 + 25.9248064834 * (X251/1000) - 2657.6209162609 * X236 +
123.0469725298 * X253 - 9.2854579989 * X316 + 872.0182830582 * X252 + 26.664395965 * (AVERAGE(X5:X6)*0.453592) +
2599.7646012325 * X236 * X236- 0.1016237102 *  (AVERAGE(X5:X6)*0.453592) *  (AVERAGE(X5:X6)*0.453592) - 71.8618465276 * X236 * X253 -
607.1294449572 * X236 * X252 + 25.6463076451 * X236 * (AVERAGE(X5:X6)*0.453592) - 0.8399854508 * X253 * (AVERAGE(X5:X6)*0.453592) +
0.0967347393 * X316 * (AVERAGE(X5:X6)*0.453592) - 5.2553838048 * X252 * (AVERAGE(X5:X6)*0.453592)</f>
        <v>856.82099481867851</v>
      </c>
      <c r="Y342" s="299">
        <f xml:space="preserve"> -1619.2980797296 + 25.9248064834 * (Y251/1000) - 2657.6209162609 * Y236 +
123.0469725298 * Y253 - 9.2854579989 * Y316 + 872.0182830582 * Y252 + 26.664395965 * (AVERAGE(Y5:Y6)*0.453592) +
2599.7646012325 * Y236 * Y236- 0.1016237102 *  (AVERAGE(Y5:Y6)*0.453592) *  (AVERAGE(Y5:Y6)*0.453592) - 71.8618465276 * Y236 * Y253 -
607.1294449572 * Y236 * Y252 + 25.6463076451 * Y236 * (AVERAGE(Y5:Y6)*0.453592) - 0.8399854508 * Y253 * (AVERAGE(Y5:Y6)*0.453592) +
0.0967347393 * Y316 * (AVERAGE(Y5:Y6)*0.453592) - 5.2553838048 * Y252 * (AVERAGE(Y5:Y6)*0.453592)</f>
        <v>929.39325528346376</v>
      </c>
      <c r="Z342" s="299">
        <f xml:space="preserve"> -1619.2980797296 + 25.9248064834 * (Z251/1000) - 2657.6209162609 * Z236 +
123.0469725298 * Z253 - 9.2854579989 * Z316 + 872.0182830582 * Z252 + 26.664395965 * (AVERAGE(Z5:Z6)*0.453592) +
2599.7646012325 * Z236 * Z236- 0.1016237102 *  (AVERAGE(Z5:Z6)*0.453592) *  (AVERAGE(Z5:Z6)*0.453592) - 71.8618465276 * Z236 * Z253 -
607.1294449572 * Z236 * Z252 + 25.6463076451 * Z236 * (AVERAGE(Z5:Z6)*0.453592) - 0.8399854508 * Z253 * (AVERAGE(Z5:Z6)*0.453592) +
0.0967347393 * Z316 * (AVERAGE(Z5:Z6)*0.453592) - 5.2553838048 * Z252 * (AVERAGE(Z5:Z6)*0.453592)</f>
        <v>960.42772548353014</v>
      </c>
      <c r="AA342" s="299">
        <f xml:space="preserve"> -1619.2980797296 + 25.9248064834 * (AA251/1000) - 2657.6209162609 * AA236 +
123.0469725298 * AA253 - 9.2854579989 * AA316 + 872.0182830582 * AA252 + 26.664395965 * (AVERAGE(AA5:AA6)*0.453592) +
2599.7646012325 * AA236 * AA236- 0.1016237102 *  (AVERAGE(AA5:AA6)*0.453592) *  (AVERAGE(AA5:AA6)*0.453592) - 71.8618465276 * AA236 * AA253 -
607.1294449572 * AA236 * AA252 + 25.6463076451 * AA236 * (AVERAGE(AA5:AA6)*0.453592) - 0.8399854508 * AA253 * (AVERAGE(AA5:AA6)*0.453592) +
0.0967347393 * AA316 * (AVERAGE(AA5:AA6)*0.453592) - 5.2553838048 * AA252 * (AVERAGE(AA5:AA6)*0.453592)</f>
        <v>946.63313524160253</v>
      </c>
      <c r="AB342" s="299">
        <f xml:space="preserve"> -1619.2980797296 + 25.9248064834 * (AB251/1000) - 2657.6209162609 * AB236 +
123.0469725298 * AB253 - 9.2854579989 * AB316 + 872.0182830582 * AB252 + 26.664395965 * (AVERAGE(AB5:AB6)*0.453592) +
2599.7646012325 * AB236 * AB236- 0.1016237102 *  (AVERAGE(AB5:AB6)*0.453592) *  (AVERAGE(AB5:AB6)*0.453592) - 71.8618465276 * AB236 * AB253 -
607.1294449572 * AB236 * AB252 + 25.6463076451 * AB236 * (AVERAGE(AB5:AB6)*0.453592) - 0.8399854508 * AB253 * (AVERAGE(AB5:AB6)*0.453592) +
0.0967347393 * AB316 * (AVERAGE(AB5:AB6)*0.453592) - 5.2553838048 * AB252 * (AVERAGE(AB5:AB6)*0.453592)</f>
        <v>919.74779687896194</v>
      </c>
      <c r="AD342" s="299">
        <f xml:space="preserve"> (-1619.2980797296 + 25.9248064834 * (AD251/1000) - 2657.6209162609 * AD236 +
123.0469725298 * AD253 - 9.2854579989 * AD316 + 872.0182830582 * AD252 + 26.664395965 * (AVERAGE(AD5:AD6)*0.453592) +
2599.7646012325 * AD236 * AD236- 0.1016237102 *  (AVERAGE(AD5:AD6)*0.453592) *  (AVERAGE(AD5:AD6)*0.453592) - 71.8618465276 * AD236 * AD253 -
607.1294449572 * AD236 * AD252 + 25.6463076451 * AD236 * (AVERAGE(AD5:AD6)*0.453592) - 0.8399854508 * AD253 * (AVERAGE(AD5:AD6)*0.453592) +
0.0967347393 * AD316 * (AVERAGE(AD5:AD6)*0.453592) - 5.2553838048 * AD252 * (AVERAGE(AD5:AD6)*0.453592))</f>
        <v>742.69055046940025</v>
      </c>
      <c r="AE342" s="299">
        <f xml:space="preserve"> -1619.2980797296 + 25.9248064834 * (AE251/1000) - 2657.6209162609 * AE236 +
123.0469725298 * AE253 - 9.2854579989 * AE316 + 872.0182830582 * AE252 + 26.664395965 * (AVERAGE(AE5:AE6)*0.453592) +
2599.7646012325 * AE236 * AE236- 0.1016237102 *  (AVERAGE(AE5:AE6)*0.453592) *  (AVERAGE(AE5:AE6)*0.453592) - 71.8618465276 * AE236 * AE253 -
607.1294449572 * AE236 * AE252 + 25.6463076451 * AE236 * (AVERAGE(AE5:AE6)*0.453592) - 0.8399854508 * AE253 * (AVERAGE(AE5:AE6)*0.453592) +
0.0967347393 * AE316 * (AVERAGE(AE5:AE6)*0.453592) - 5.2553838048 * AE252 * (AVERAGE(AE5:AE6)*0.453592)</f>
        <v>853.35182138732102</v>
      </c>
      <c r="AF342" s="299">
        <f xml:space="preserve"> -1619.2980797296 + 25.9248064834 * (AF251/1000) - 2657.6209162609 * AF236 +
123.0469725298 * AF253 - 9.2854579989 * AF316 + 872.0182830582 * AF252 + 26.664395965 * (AVERAGE(AF5:AF6)*0.453592) +
2599.7646012325 * AF236 * AF236- 0.1016237102 *  (AVERAGE(AF5:AF6)*0.453592) *  (AVERAGE(AF5:AF6)*0.453592) - 71.8618465276 * AF236 * AF253 -
607.1294449572 * AF236 * AF252 + 25.6463076451 * AF236 * (AVERAGE(AF5:AF6)*0.453592) - 0.8399854508 * AF253 * (AVERAGE(AF5:AF6)*0.453592) +
0.0967347393 * AF316 * (AVERAGE(AF5:AF6)*0.453592) - 5.2553838048 * AF252 * (AVERAGE(AF5:AF6)*0.453592)</f>
        <v>924.76743851556557</v>
      </c>
      <c r="AG342" s="299">
        <f xml:space="preserve"> -1619.2980797296 + 25.9248064834 * (AG251/1000) - 2657.6209162609 * AG236 +
123.0469725298 * AG253 - 9.2854579989 * AG316 + 872.0182830582 * AG252 + 26.664395965 * (AVERAGE(AG5:AG6)*0.453592) +
2599.7646012325 * AG236 * AG236- 0.1016237102 *  (AVERAGE(AG5:AG6)*0.453592) *  (AVERAGE(AG5:AG6)*0.453592) - 71.8618465276 * AG236 * AG253 -
607.1294449572 * AG236 * AG252 + 25.6463076451 * AG236 * (AVERAGE(AG5:AG6)*0.453592) - 0.8399854508 * AG253 * (AVERAGE(AG5:AG6)*0.453592) +
0.0967347393 * AG316 * (AVERAGE(AG5:AG6)*0.453592) - 5.2553838048 * AG252 * (AVERAGE(AG5:AG6)*0.453592)</f>
        <v>953.97017769775789</v>
      </c>
      <c r="AH342" s="299">
        <f xml:space="preserve"> -1619.2980797296 + 25.9248064834 * (AH251/1000) - 2657.6209162609 * AH236 +
123.0469725298 * AH253 - 9.2854579989 * AH316 + 872.0182830582 * AH252 + 26.664395965 * (AVERAGE(AH5:AH6)*0.453592) +
2599.7646012325 * AH236 * AH236- 0.1016237102 *  (AVERAGE(AH5:AH6)*0.453592) *  (AVERAGE(AH5:AH6)*0.453592) - 71.8618465276 * AH236 * AH253 -
607.1294449572 * AH236 * AH252 + 25.6463076451 * AH236 * (AVERAGE(AH5:AH6)*0.453592) - 0.8399854508 * AH253 * (AVERAGE(AH5:AH6)*0.453592) +
0.0967347393 * AH316 * (AVERAGE(AH5:AH6)*0.453592) - 5.2553838048 * AH252 * (AVERAGE(AH5:AH6)*0.453592)</f>
        <v>937.20083374915134</v>
      </c>
      <c r="AI342" s="299">
        <f xml:space="preserve"> -1619.2980797296 + 25.9248064834 * (AI251/1000) - 2657.6209162609 * AI236 +
123.0469725298 * AI253 - 9.2854579989 * AI316 + 872.0182830582 * AI252 + 26.664395965 * (AVERAGE(AI5:AI6)*0.453592) +
2599.7646012325 * AI236 * AI236- 0.1016237102 *  (AVERAGE(AI5:AI6)*0.453592) *  (AVERAGE(AI5:AI6)*0.453592) - 71.8618465276 * AI236 * AI253 -
607.1294449572 * AI236 * AI252 + 25.6463076451 * AI236 * (AVERAGE(AI5:AI6)*0.453592) - 0.8399854508 * AI253 * (AVERAGE(AI5:AI6)*0.453592) +
0.0967347393 * AI316 * (AVERAGE(AI5:AI6)*0.453592) - 5.2553838048 * AI252 * (AVERAGE(AI5:AI6)*0.453592)</f>
        <v>919.74779687896194</v>
      </c>
      <c r="AK342" s="299">
        <f xml:space="preserve"> (-1619.2980797296 + 25.9248064834 * (AK251/1000) - 2657.6209162609 * AK236 +
123.0469725298 * AK253 - 9.2854579989 * AK316 + 872.0182830582 * AK252 + 26.664395965 * (AVERAGE(AK5:AK6)*0.453592) +
2599.7646012325 * AK236 * AK236- 0.1016237102 *  (AVERAGE(AK5:AK6)*0.453592) *  (AVERAGE(AK5:AK6)*0.453592) - 71.8618465276 * AK236 * AK253 -
607.1294449572 * AK236 * AK252 + 25.6463076451 * AK236 * (AVERAGE(AK5:AK6)*0.453592) - 0.8399854508 * AK253 * (AVERAGE(AK5:AK6)*0.453592) +
0.0967347393 * AK316 * (AVERAGE(AK5:AK6)*0.453592) - 5.2553838048 * AK252 * (AVERAGE(AK5:AK6)*0.453592))</f>
        <v>740.485091285458</v>
      </c>
      <c r="AL342" s="299">
        <f xml:space="preserve"> -1619.2980797296 + 25.9248064834 * (AL251/1000) - 2657.6209162609 * AL236 +
123.0469725298 * AL253 - 9.2854579989 * AL316 + 872.0182830582 * AL252 + 26.664395965 * (AVERAGE(AL5:AL6)*0.453592) +
2599.7646012325 * AL236 * AL236- 0.1016237102 *  (AVERAGE(AL5:AL6)*0.453592) *  (AVERAGE(AL5:AL6)*0.453592) - 71.8618465276 * AL236 * AL253 -
607.1294449572 * AL236 * AL252 + 25.6463076451 * AL236 * (AVERAGE(AL5:AL6)*0.453592) - 0.8399854508 * AL253 * (AVERAGE(AL5:AL6)*0.453592) +
0.0967347393 * AL316 * (AVERAGE(AL5:AL6)*0.453592) - 5.2553838048 * AL252 * (AVERAGE(AL5:AL6)*0.453592)</f>
        <v>850.57562438691457</v>
      </c>
      <c r="AM342" s="299">
        <f xml:space="preserve"> -1619.2980797296 + 25.9248064834 * (AM251/1000) - 2657.6209162609 * AM236 +
123.0469725298 * AM253 - 9.2854579989 * AM316 + 872.0182830582 * AM252 + 26.664395965 * (AVERAGE(AM5:AM6)*0.453592) +
2599.7646012325 * AM236 * AM236- 0.1016237102 *  (AVERAGE(AM5:AM6)*0.453592) *  (AVERAGE(AM5:AM6)*0.453592) - 71.8618465276 * AM236 * AM253 -
607.1294449572 * AM236 * AM252 + 25.6463076451 * AM236 * (AVERAGE(AM5:AM6)*0.453592) - 0.8399854508 * AM253 * (AVERAGE(AM5:AM6)*0.453592) +
0.0967347393 * AM316 * (AVERAGE(AM5:AM6)*0.453592) - 5.2553838048 * AM252 * (AVERAGE(AM5:AM6)*0.453592)</f>
        <v>920.75457010940886</v>
      </c>
      <c r="AN342" s="299">
        <f xml:space="preserve"> -1619.2980797296 + 25.9248064834 * (AN251/1000) - 2657.6209162609 * AN236 +
123.0469725298 * AN253 - 9.2854579989 * AN316 + 872.0182830582 * AN252 + 26.664395965 * (AVERAGE(AN5:AN6)*0.453592) +
2599.7646012325 * AN236 * AN236- 0.1016237102 *  (AVERAGE(AN5:AN6)*0.453592) *  (AVERAGE(AN5:AN6)*0.453592) - 71.8618465276 * AN236 * AN253 -
607.1294449572 * AN236 * AN252 + 25.6463076451 * AN236 * (AVERAGE(AN5:AN6)*0.453592) - 0.8399854508 * AN253 * (AVERAGE(AN5:AN6)*0.453592) +
0.0967347393 * AN316 * (AVERAGE(AN5:AN6)*0.453592) - 5.2553838048 * AN252 * (AVERAGE(AN5:AN6)*0.453592)</f>
        <v>947.79441678421176</v>
      </c>
      <c r="AO342" s="299">
        <f xml:space="preserve"> -1619.2980797296 + 25.9248064834 * (AO251/1000) - 2657.6209162609 * AO236 +
123.0469725298 * AO253 - 9.2854579989 * AO316 + 872.0182830582 * AO252 + 26.664395965 * (AVERAGE(AO5:AO6)*0.453592) +
2599.7646012325 * AO236 * AO236- 0.1016237102 *  (AVERAGE(AO5:AO6)*0.453592) *  (AVERAGE(AO5:AO6)*0.453592) - 71.8618465276 * AO236 * AO253 -
607.1294449572 * AO236 * AO252 + 25.6463076451 * AO236 * (AVERAGE(AO5:AO6)*0.453592) - 0.8399854508 * AO253 * (AVERAGE(AO5:AO6)*0.453592) +
0.0967347393 * AO316 * (AVERAGE(AO5:AO6)*0.453592) - 5.2553838048 * AO252 * (AVERAGE(AO5:AO6)*0.453592)</f>
        <v>928.08975082836355</v>
      </c>
      <c r="AP342" s="299">
        <f xml:space="preserve"> -1619.2980797296 + 25.9248064834 * (AP251/1000) - 2657.6209162609 * AP236 +
123.0469725298 * AP253 - 9.2854579989 * AP316 + 872.0182830582 * AP252 + 26.664395965 * (AVERAGE(AP5:AP6)*0.453592) +
2599.7646012325 * AP236 * AP236- 0.1016237102 *  (AVERAGE(AP5:AP6)*0.453592) *  (AVERAGE(AP5:AP6)*0.453592) - 71.8618465276 * AP236 * AP253 -
607.1294449572 * AP236 * AP252 + 25.6463076451 * AP236 * (AVERAGE(AP5:AP6)*0.453592) - 0.8399854508 * AP253 * (AVERAGE(AP5:AP6)*0.453592) +
0.0967347393 * AP316 * (AVERAGE(AP5:AP6)*0.453592) - 5.2553838048 * AP252 * (AVERAGE(AP5:AP6)*0.453592)</f>
        <v>919.74779687896194</v>
      </c>
      <c r="AR342" s="299">
        <f xml:space="preserve"> (-1619.2980797296 + 25.9248064834 * (AR251/1000) - 2657.6209162609 * AR236 +
123.0469725298 * AR253 - 9.2854579989 * AR316 + 872.0182830582 * AR252 + 26.664395965 * (AVERAGE(AR5:AR6)*0.453592) +
2599.7646012325 * AR236 * AR236- 0.1016237102 *  (AVERAGE(AR5:AR6)*0.453592) *  (AVERAGE(AR5:AR6)*0.453592) - 71.8618465276 * AR236 * AR253 -
607.1294449572 * AR236 * AR252 + 25.6463076451 * AR236 * (AVERAGE(AR5:AR6)*0.453592) - 0.8399854508 * AR253 * (AVERAGE(AR5:AR6)*0.453592) +
0.0967347393 * AR316 * (AVERAGE(AR5:AR6)*0.453592) - 5.2553838048 * AR252 * (AVERAGE(AR5:AR6)*0.453592))</f>
        <v>739.21219320971636</v>
      </c>
      <c r="AS342" s="299">
        <f xml:space="preserve"> -1619.2980797296 + 25.9248064834 * (AS251/1000) - 2657.6209162609 * AS236 +
123.0469725298 * AS253 - 9.2854579989 * AS316 + 872.0182830582 * AS252 + 26.664395965 * (AVERAGE(AS5:AS6)*0.453592) +
2599.7646012325 * AS236 * AS236- 0.1016237102 *  (AVERAGE(AS5:AS6)*0.453592) *  (AVERAGE(AS5:AS6)*0.453592) - 71.8618465276 * AS236 * AS253 -
607.1294449572 * AS236 * AS252 + 25.6463076451 * AS236 * (AVERAGE(AS5:AS6)*0.453592) - 0.8399854508 * AS253 * (AVERAGE(AS5:AS6)*0.453592) +
0.0967347393 * AS316 * (AVERAGE(AS5:AS6)*0.453592) - 5.2553838048 * AS252 * (AVERAGE(AS5:AS6)*0.453592)</f>
        <v>848.42796213456415</v>
      </c>
      <c r="AT342" s="299">
        <f xml:space="preserve"> -1619.2980797296 + 25.9248064834 * (AT251/1000) - 2657.6209162609 * AT236 +
123.0469725298 * AT253 - 9.2854579989 * AT316 + 872.0182830582 * AT252 + 26.664395965 * (AVERAGE(AT5:AT6)*0.453592) +
2599.7646012325 * AT236 * AT236- 0.1016237102 *  (AVERAGE(AT5:AT6)*0.453592) *  (AVERAGE(AT5:AT6)*0.453592) - 71.8618465276 * AT236 * AT253 -
607.1294449572 * AT236 * AT252 + 25.6463076451 * AT236 * (AVERAGE(AT5:AT6)*0.453592) - 0.8399854508 * AT253 * (AVERAGE(AT5:AT6)*0.453592) +
0.0967347393 * AT316 * (AVERAGE(AT5:AT6)*0.453592) - 5.2553838048 * AT252 * (AVERAGE(AT5:AT6)*0.453592)</f>
        <v>917.31575363788306</v>
      </c>
      <c r="AU342" s="299">
        <f xml:space="preserve"> -1619.2980797296 + 25.9248064834 * (AU251/1000) - 2657.6209162609 * AU236 +
123.0469725298 * AU253 - 9.2854579989 * AU316 + 872.0182830582 * AU252 + 26.664395965 * (AVERAGE(AU5:AU6)*0.453592) +
2599.7646012325 * AU236 * AU236- 0.1016237102 *  (AVERAGE(AU5:AU6)*0.453592) *  (AVERAGE(AU5:AU6)*0.453592) - 71.8618465276 * AU236 * AU253 -
607.1294449572 * AU236 * AU252 + 25.6463076451 * AU236 * (AVERAGE(AU5:AU6)*0.453592) - 0.8399854508 * AU253 * (AVERAGE(AU5:AU6)*0.453592) +
0.0967347393 * AU316 * (AVERAGE(AU5:AU6)*0.453592) - 5.2553838048 * AU252 * (AVERAGE(AU5:AU6)*0.453592)</f>
        <v>941.99410601919431</v>
      </c>
      <c r="AV342" s="299">
        <f xml:space="preserve"> -1619.2980797296 + 25.9248064834 * (AV251/1000) - 2657.6209162609 * AV236 +
123.0469725298 * AV253 - 9.2854579989 * AV316 + 872.0182830582 * AV252 + 26.664395965 * (AVERAGE(AV5:AV6)*0.453592) +
2599.7646012325 * AV236 * AV236- 0.1016237102 *  (AVERAGE(AV5:AV6)*0.453592) *  (AVERAGE(AV5:AV6)*0.453592) - 71.8618465276 * AV236 * AV253 -
607.1294449572 * AV236 * AV252 + 25.6463076451 * AV236 * (AVERAGE(AV5:AV6)*0.453592) - 0.8399854508 * AV253 * (AVERAGE(AV5:AV6)*0.453592) +
0.0967347393 * AV316 * (AVERAGE(AV5:AV6)*0.453592) - 5.2553838048 * AV252 * (AVERAGE(AV5:AV6)*0.453592)</f>
        <v>919.44377030358305</v>
      </c>
      <c r="AW342" s="299">
        <f xml:space="preserve"> -1619.2980797296 + 25.9248064834 * (AW251/1000) - 2657.6209162609 * AW236 +
123.0469725298 * AW253 - 9.2854579989 * AW316 + 872.0182830582 * AW252 + 26.664395965 * (AVERAGE(AW5:AW6)*0.453592) +
2599.7646012325 * AW236 * AW236- 0.1016237102 *  (AVERAGE(AW5:AW6)*0.453592) *  (AVERAGE(AW5:AW6)*0.453592) - 71.8618465276 * AW236 * AW253 -
607.1294449572 * AW236 * AW252 + 25.6463076451 * AW236 * (AVERAGE(AW5:AW6)*0.453592) - 0.8399854508 * AW253 * (AVERAGE(AW5:AW6)*0.453592) +
0.0967347393 * AW316 * (AVERAGE(AW5:AW6)*0.453592) - 5.2553838048 * AW252 * (AVERAGE(AW5:AW6)*0.453592)</f>
        <v>919.74779687896194</v>
      </c>
    </row>
    <row r="343" spans="1:58" x14ac:dyDescent="0.25">
      <c r="A343" s="298" t="s">
        <v>479</v>
      </c>
      <c r="B343" s="300">
        <f t="shared" ref="B343:G343" si="217">B342/B344*1000</f>
        <v>1398.8783014207611</v>
      </c>
      <c r="C343" s="300">
        <f t="shared" si="217"/>
        <v>1847.8320572748494</v>
      </c>
      <c r="D343" s="300">
        <f t="shared" si="217"/>
        <v>2307.7192145327367</v>
      </c>
      <c r="E343" s="300">
        <f t="shared" si="217"/>
        <v>2723.4676222335261</v>
      </c>
      <c r="F343" s="300">
        <f t="shared" si="217"/>
        <v>2993.2160501056624</v>
      </c>
      <c r="G343" s="300">
        <f t="shared" si="217"/>
        <v>3054.344258459666</v>
      </c>
      <c r="I343" s="300">
        <f t="shared" ref="I343:N343" si="218">I342/I344*1000</f>
        <v>1389.0024681618436</v>
      </c>
      <c r="J343" s="300">
        <f t="shared" si="218"/>
        <v>1835.7297163413807</v>
      </c>
      <c r="K343" s="300">
        <f t="shared" si="218"/>
        <v>2293.0161296074825</v>
      </c>
      <c r="L343" s="300">
        <f t="shared" si="218"/>
        <v>2707.0649160735961</v>
      </c>
      <c r="M343" s="300">
        <f t="shared" si="218"/>
        <v>2979.6503897026291</v>
      </c>
      <c r="N343" s="300">
        <f t="shared" si="218"/>
        <v>3054.344258459666</v>
      </c>
      <c r="P343" s="300">
        <f t="shared" ref="P343:U343" si="219">P342/P344*1000</f>
        <v>1382.0838310526742</v>
      </c>
      <c r="Q343" s="300">
        <f t="shared" si="219"/>
        <v>1827.0793350244305</v>
      </c>
      <c r="R343" s="300">
        <f t="shared" si="219"/>
        <v>2281.8539108127361</v>
      </c>
      <c r="S343" s="300">
        <f t="shared" si="219"/>
        <v>2694.0613907702627</v>
      </c>
      <c r="T343" s="300">
        <f t="shared" si="219"/>
        <v>2968.6383980672913</v>
      </c>
      <c r="U343" s="300">
        <f t="shared" si="219"/>
        <v>3054.344258459666</v>
      </c>
      <c r="W343" s="300">
        <f t="shared" ref="W343:AB343" si="220">W342/W344*1000</f>
        <v>1378.2753373390838</v>
      </c>
      <c r="X343" s="300">
        <f t="shared" si="220"/>
        <v>1821.8416003019208</v>
      </c>
      <c r="Y343" s="300">
        <f t="shared" si="220"/>
        <v>2274.0019521611794</v>
      </c>
      <c r="Z343" s="300">
        <f t="shared" si="220"/>
        <v>2684.1316189505246</v>
      </c>
      <c r="AA343" s="300">
        <f t="shared" si="220"/>
        <v>2960.1296853008007</v>
      </c>
      <c r="AB343" s="300">
        <f t="shared" si="220"/>
        <v>3054.344258459666</v>
      </c>
      <c r="AD343" s="300">
        <f t="shared" ref="AD343:AI343" si="221">AD342/AD344*1000</f>
        <v>1377.6340144513379</v>
      </c>
      <c r="AE343" s="300">
        <f t="shared" si="221"/>
        <v>1820.0883648751139</v>
      </c>
      <c r="AF343" s="300">
        <f t="shared" si="221"/>
        <v>2269.6679884188111</v>
      </c>
      <c r="AG343" s="300">
        <f t="shared" si="221"/>
        <v>2677.2160527946958</v>
      </c>
      <c r="AH343" s="300">
        <f t="shared" si="221"/>
        <v>2955.040714864369</v>
      </c>
      <c r="AI343" s="300">
        <f t="shared" si="221"/>
        <v>3054.344258459666</v>
      </c>
      <c r="AK343" s="300">
        <f t="shared" ref="AK343:AP343" si="222">AK342/AK344*1000</f>
        <v>1378.9748645318275</v>
      </c>
      <c r="AL343" s="300">
        <f t="shared" si="222"/>
        <v>1821.8064174474123</v>
      </c>
      <c r="AM343" s="300">
        <f t="shared" si="222"/>
        <v>2268.7754808471641</v>
      </c>
      <c r="AN343" s="300">
        <f t="shared" si="222"/>
        <v>2674.3516294236761</v>
      </c>
      <c r="AO343" s="300">
        <f t="shared" si="222"/>
        <v>2953.107463417391</v>
      </c>
      <c r="AP343" s="300">
        <f t="shared" si="222"/>
        <v>3054.344258459666</v>
      </c>
      <c r="AR343" s="300">
        <f t="shared" ref="AR343:AW343" si="223">AR342/AR344*1000</f>
        <v>1385.2113044296577</v>
      </c>
      <c r="AS343" s="300">
        <f t="shared" si="223"/>
        <v>1827.0958848698046</v>
      </c>
      <c r="AT343" s="300">
        <f t="shared" si="223"/>
        <v>2271.5494684878845</v>
      </c>
      <c r="AU343" s="300">
        <f t="shared" si="223"/>
        <v>2675.7622608000383</v>
      </c>
      <c r="AV343" s="300">
        <f t="shared" si="223"/>
        <v>2954.0964179039579</v>
      </c>
      <c r="AW343" s="300">
        <f t="shared" si="223"/>
        <v>3054.344258459666</v>
      </c>
      <c r="AZ343" s="373"/>
      <c r="BA343" s="373"/>
      <c r="BB343" s="373"/>
      <c r="BC343" s="373"/>
      <c r="BD343" s="373"/>
      <c r="BE343" s="373"/>
      <c r="BF343" s="373"/>
    </row>
    <row r="344" spans="1:58" x14ac:dyDescent="0.25">
      <c r="A344" s="298" t="s">
        <v>480</v>
      </c>
      <c r="B344" s="299">
        <f t="shared" ref="B344:G344" si="224" xml:space="preserve"> -232.8670000513 - (102.0339177026 * (B251/1000)) + (1386.8135453223 * B236) - (3.1583174866 * B253) + (80.3303777865 * B316) - (115.1570451563 * B252) + (4.1836503117 * (AVERAGE(B5:B6)*0.453592)) + (2553.6417073224 * B236 * B236) + (228.757399518 * B252 * B252) + (12.736240264 *  (B251/1000) * B253) - (24.4502664605 *  (B251/1000) * B316) - (23.0415882284 * B236 * B253) + (101.5847297779 * B236 * B316) - (1559.9331198689 * B236 *B252) - (3.9239483753 * B236 * (AVERAGE(B5:B6)*0.453592)) - (0.1078600966 * B253 * (AVERAGE(B5:B6)*0.453592)) - (28.1879330488 * B316 * B252) - (0.1153929924 * B316 * (AVERAGE(B5:B6)*0.453592))</f>
        <v>541.48123876174384</v>
      </c>
      <c r="C344" s="299">
        <f t="shared" si="224"/>
        <v>471.05106861362759</v>
      </c>
      <c r="D344" s="299">
        <f t="shared" si="224"/>
        <v>410.02340376494885</v>
      </c>
      <c r="E344" s="299">
        <f t="shared" si="224"/>
        <v>360.7957609066396</v>
      </c>
      <c r="F344" s="299">
        <f t="shared" si="224"/>
        <v>326.28328855841602</v>
      </c>
      <c r="G344" s="299">
        <f t="shared" si="224"/>
        <v>301.12774430436968</v>
      </c>
      <c r="I344" s="299">
        <f t="shared" ref="I344:N344" si="225" xml:space="preserve"> -232.8670000513 - (102.0339177026 * (I251/1000)) + (1386.8135453223 * I236) - (3.1583174866 * I253) + (80.3303777865 * I316) - (115.1570451563 * I252) + (4.1836503117 * (AVERAGE(I5:I6)*0.453592)) + (2553.6417073224 * I236 * I236) + (228.757399518 * I252 * I252) + (12.736240264 *  (I251/1000) * I253) - (24.4502664605 *  (I251/1000) * I316) - (23.0415882284 * I236 * I253) + (101.5847297779 * I236 * I316) - (1559.9331198689 * I236 *I252) - (3.9239483753 * I236 * (AVERAGE(I5:I6)*0.453592)) - (0.1078600966 * I253 * (AVERAGE(I5:I6)*0.453592)) - (28.1879330488 * I316 * I252) - (0.1153929924 * I316 * (AVERAGE(I5:I6)*0.453592))</f>
        <v>541.82150887571606</v>
      </c>
      <c r="J344" s="299">
        <f t="shared" si="225"/>
        <v>471.24993400174304</v>
      </c>
      <c r="K344" s="299">
        <f t="shared" si="225"/>
        <v>409.94453044447192</v>
      </c>
      <c r="L344" s="299">
        <f t="shared" si="225"/>
        <v>360.09326303576006</v>
      </c>
      <c r="M344" s="299">
        <f t="shared" si="225"/>
        <v>324.24312512712072</v>
      </c>
      <c r="N344" s="299">
        <f t="shared" si="225"/>
        <v>301.12774430436968</v>
      </c>
      <c r="P344" s="299">
        <f t="shared" ref="P344:U344" si="226" xml:space="preserve"> -232.8670000513 - (102.0339177026 * (P251/1000)) + (1386.8135453223 * P236) - (3.1583174866 * P253) + (80.3303777865 * P316) - (115.1570451563 * P252) + (4.1836503117 * (AVERAGE(P5:P6)*0.453592)) + (2553.6417073224 * P236 * P236) + (228.757399518 * P252 * P252) + (12.736240264 *  (P251/1000) * P253) - (24.4502664605 *  (P251/1000) * P316) - (23.0415882284 * P236 * P253) + (101.5847297779 * P236 * P316) - (1559.9331198689 * P236 *P252) - (3.9239483753 * P236 * (AVERAGE(P5:P6)*0.453592)) - (0.1078600966 * P253 * (AVERAGE(P5:P6)*0.453592)) - (28.1879330488 * P316 * P252) - (0.1153929924 * P316 * (AVERAGE(P5:P6)*0.453592))</f>
        <v>541.66115958367732</v>
      </c>
      <c r="Q344" s="299">
        <f t="shared" si="226"/>
        <v>471.06464741462037</v>
      </c>
      <c r="R344" s="299">
        <f t="shared" si="226"/>
        <v>409.59769975491599</v>
      </c>
      <c r="S344" s="299">
        <f t="shared" si="226"/>
        <v>359.05749083225191</v>
      </c>
      <c r="T344" s="299">
        <f t="shared" si="226"/>
        <v>322.09014957201407</v>
      </c>
      <c r="U344" s="299">
        <f t="shared" si="226"/>
        <v>301.12774430436968</v>
      </c>
      <c r="W344" s="299">
        <f t="shared" ref="W344:AB344" si="227" xml:space="preserve"> -232.8670000513 - (102.0339177026 * (W251/1000)) + (1386.8135453223 * W236) - (3.1583174866 * W253) + (80.3303777865 * W316) - (115.1570451563 * W252) + (4.1836503117 * (AVERAGE(W5:W6)*0.453592)) + (2553.6417073224 * W236 * W236) + (228.757399518 * W252 * W252) + (12.736240264 *  (W251/1000) * W253) - (24.4502664605 *  (W251/1000) * W316) - (23.0415882284 * W236 * W253) + (101.5847297779 * W236 * W316) - (1559.9331198689 * W236 *W252) - (3.9239483753 * W236 * (AVERAGE(W5:W6)*0.453592)) - (0.1078600966 * W253 * (AVERAGE(W5:W6)*0.453592)) - (28.1879330488 * W316 * W252) - (0.1153929924 * W316 * (AVERAGE(W5:W6)*0.453592))</f>
        <v>540.76312985901927</v>
      </c>
      <c r="X344" s="299">
        <f t="shared" si="227"/>
        <v>470.30487978575286</v>
      </c>
      <c r="Y344" s="299">
        <f t="shared" si="227"/>
        <v>408.70380713621705</v>
      </c>
      <c r="Z344" s="299">
        <f t="shared" si="227"/>
        <v>357.81692622772732</v>
      </c>
      <c r="AA344" s="299">
        <f t="shared" si="227"/>
        <v>319.79448060749678</v>
      </c>
      <c r="AB344" s="299">
        <f t="shared" si="227"/>
        <v>301.12774430436968</v>
      </c>
      <c r="AD344" s="299">
        <f t="shared" ref="AD344:AI344" si="228" xml:space="preserve"> -232.8670000513 - (102.0339177026 * (AD251/1000)) + (1386.8135453223 * AD236) - (3.1583174866 * AD253) + (80.3303777865 * AD316) - (115.1570451563 * AD252) + (4.1836503117 * (AVERAGE(AD5:AD6)*0.453592)) + (2553.6417073224 * AD236 * AD236) + (228.757399518 * AD252 * AD252) + (12.736240264 *  (AD251/1000) * AD253) - (24.4502664605 *  (AD251/1000) * AD316) - (23.0415882284 * AD236 * AD253) + (101.5847297779 * AD236 * AD316) - (1559.9331198689 * AD236 *AD252) - (3.9239483753 * AD236 * (AVERAGE(AD5:AD6)*0.453592)) - (0.1078600966 * AD253 * (AVERAGE(AD5:AD6)*0.453592)) - (28.1879330488 * AD316 * AD252) - (0.1153929924 * AD316 * (AVERAGE(AD5:AD6)*0.453592))</f>
        <v>539.10584573159451</v>
      </c>
      <c r="AE344" s="299">
        <f t="shared" si="228"/>
        <v>468.85186337965195</v>
      </c>
      <c r="AF344" s="299">
        <f t="shared" si="228"/>
        <v>407.44613010989991</v>
      </c>
      <c r="AG344" s="299">
        <f t="shared" si="228"/>
        <v>356.32917138007082</v>
      </c>
      <c r="AH344" s="299">
        <f t="shared" si="228"/>
        <v>317.15327272306877</v>
      </c>
      <c r="AI344" s="299">
        <f t="shared" si="228"/>
        <v>301.12774430436968</v>
      </c>
      <c r="AK344" s="299">
        <f t="shared" ref="AK344:AP344" si="229" xml:space="preserve"> -232.8670000513 - (102.0339177026 * (AK251/1000)) + (1386.8135453223 * AK236) - (3.1583174866 * AK253) + (80.3303777865 * AK316) - (115.1570451563 * AK252) + (4.1836503117 * (AVERAGE(AK5:AK6)*0.453592)) + (2553.6417073224 * AK236 * AK236) + (228.757399518 * AK252 * AK252) + (12.736240264 *  (AK251/1000) * AK253) - (24.4502664605 *  (AK251/1000) * AK316) - (23.0415882284 * AK236 * AK253) + (101.5847297779 * AK236 * AK316) - (1559.9331198689 * AK236 *AK252) - (3.9239483753 * AK236 * (AVERAGE(AK5:AK6)*0.453592)) - (0.1078600966 * AK253 * (AVERAGE(AK5:AK6)*0.453592)) - (28.1879330488 * AK316 * AK252) - (0.1153929924 * AK316 * (AVERAGE(AK5:AK6)*0.453592))</f>
        <v>536.98229774250331</v>
      </c>
      <c r="AL344" s="299">
        <f t="shared" si="229"/>
        <v>466.88584266745625</v>
      </c>
      <c r="AM344" s="299">
        <f t="shared" si="229"/>
        <v>405.83767670373345</v>
      </c>
      <c r="AN344" s="299">
        <f t="shared" si="229"/>
        <v>354.40157021852133</v>
      </c>
      <c r="AO344" s="299">
        <f t="shared" si="229"/>
        <v>314.27564432564225</v>
      </c>
      <c r="AP344" s="299">
        <f t="shared" si="229"/>
        <v>301.12774430436968</v>
      </c>
      <c r="AR344" s="299">
        <f t="shared" ref="AR344:AW344" si="230" xml:space="preserve"> -232.8670000513 - (102.0339177026 * (AR251/1000)) + (1386.8135453223 * AR236) - (3.1583174866 * AR253) + (80.3303777865 * AR316) - (115.1570451563 * AR252) + (4.1836503117 * (AVERAGE(AR5:AR6)*0.453592)) + (2553.6417073224 * AR236 * AR236) + (228.757399518 * AR252 * AR252) + (12.736240264 *  (AR251/1000) * AR253) - (24.4502664605 *  (AR251/1000) * AR316) - (23.0415882284 * AR236 * AR253) + (101.5847297779 * AR236 * AR316) - (1559.9331198689 * AR236 *AR252) - (3.9239483753 * AR236 * (AVERAGE(AR5:AR6)*0.453592)) - (0.1078600966 * AR253 * (AVERAGE(AR5:AR6)*0.453592)) - (28.1879330488 * AR316 * AR252) - (0.1153929924 * AR316 * (AVERAGE(AR5:AR6)*0.453592))</f>
        <v>533.6457989086922</v>
      </c>
      <c r="AS344" s="299">
        <f t="shared" si="230"/>
        <v>464.35875049602089</v>
      </c>
      <c r="AT344" s="299">
        <f t="shared" si="230"/>
        <v>403.82820905437643</v>
      </c>
      <c r="AU344" s="299">
        <f t="shared" si="230"/>
        <v>352.04701098428052</v>
      </c>
      <c r="AV344" s="299">
        <f t="shared" si="230"/>
        <v>311.24365634482672</v>
      </c>
      <c r="AW344" s="299">
        <f t="shared" si="230"/>
        <v>301.12774430436968</v>
      </c>
      <c r="AY344" s="2"/>
    </row>
    <row r="345" spans="1:58" x14ac:dyDescent="0.25">
      <c r="A345" s="298" t="s">
        <v>134</v>
      </c>
      <c r="B345" s="301">
        <f t="shared" ref="B345:G345" si="231">IF(B323="","0",1/B344*1000)</f>
        <v>1.846786053542306</v>
      </c>
      <c r="C345" s="301">
        <f t="shared" si="231"/>
        <v>2.1229120718123973</v>
      </c>
      <c r="D345" s="301">
        <f t="shared" si="231"/>
        <v>2.4388851729382321</v>
      </c>
      <c r="E345" s="301">
        <f t="shared" si="231"/>
        <v>2.7716511898230491</v>
      </c>
      <c r="F345" s="301">
        <f t="shared" si="231"/>
        <v>3.0648213839519558</v>
      </c>
      <c r="G345" s="301">
        <f t="shared" si="231"/>
        <v>3.3208497686258824</v>
      </c>
      <c r="I345" s="301">
        <f t="shared" ref="I345:N345" si="232">IF(I323="","0",1/I344*1000)</f>
        <v>1.8456262507463166</v>
      </c>
      <c r="J345" s="301">
        <f t="shared" si="232"/>
        <v>2.1220162123063582</v>
      </c>
      <c r="K345" s="301">
        <f t="shared" si="232"/>
        <v>2.4393544144027861</v>
      </c>
      <c r="L345" s="301">
        <f t="shared" si="232"/>
        <v>2.7770583419681816</v>
      </c>
      <c r="M345" s="301">
        <f t="shared" si="232"/>
        <v>3.0841054829086856</v>
      </c>
      <c r="N345" s="301">
        <f t="shared" si="232"/>
        <v>3.3208497686258824</v>
      </c>
      <c r="P345" s="301">
        <f t="shared" ref="P345:U345" si="233">IF(P323="","0",1/P344*1000)</f>
        <v>1.8461726160476479</v>
      </c>
      <c r="Q345" s="301">
        <f t="shared" si="233"/>
        <v>2.1228508772381356</v>
      </c>
      <c r="R345" s="301">
        <f t="shared" si="233"/>
        <v>2.4414199606061091</v>
      </c>
      <c r="S345" s="301">
        <f t="shared" si="233"/>
        <v>2.7850693148947281</v>
      </c>
      <c r="T345" s="301">
        <f t="shared" si="233"/>
        <v>3.1047208408229086</v>
      </c>
      <c r="U345" s="301">
        <f t="shared" si="233"/>
        <v>3.3208497686258824</v>
      </c>
      <c r="W345" s="301">
        <f t="shared" ref="W345:AB345" si="234">IF(W323="","0",1/W344*1000)</f>
        <v>1.8492385016351005</v>
      </c>
      <c r="X345" s="301">
        <f t="shared" si="234"/>
        <v>2.1262802981239521</v>
      </c>
      <c r="Y345" s="301">
        <f t="shared" si="234"/>
        <v>2.4467596888979055</v>
      </c>
      <c r="Z345" s="301">
        <f t="shared" si="234"/>
        <v>2.7947252538958001</v>
      </c>
      <c r="AA345" s="301">
        <f t="shared" si="234"/>
        <v>3.1270083151540096</v>
      </c>
      <c r="AB345" s="301">
        <f t="shared" si="234"/>
        <v>3.3208497686258824</v>
      </c>
      <c r="AD345" s="301">
        <f t="shared" ref="AD345:AI345" si="235">IF(AD323="","0",1/AD344*1000)</f>
        <v>1.8549233103620835</v>
      </c>
      <c r="AE345" s="301">
        <f t="shared" si="235"/>
        <v>2.1328698424949026</v>
      </c>
      <c r="AF345" s="301">
        <f t="shared" si="235"/>
        <v>2.4543121804354144</v>
      </c>
      <c r="AG345" s="301">
        <f t="shared" si="235"/>
        <v>2.8063938636485406</v>
      </c>
      <c r="AH345" s="301">
        <f t="shared" si="235"/>
        <v>3.1530496009517073</v>
      </c>
      <c r="AI345" s="301">
        <f t="shared" si="235"/>
        <v>3.3208497686258824</v>
      </c>
      <c r="AK345" s="301">
        <f t="shared" ref="AK345:AP345" si="236">IF(AK323="","0",1/AK344*1000)</f>
        <v>1.8622587824664669</v>
      </c>
      <c r="AL345" s="301">
        <f t="shared" si="236"/>
        <v>2.1418511949017462</v>
      </c>
      <c r="AM345" s="301">
        <f t="shared" si="236"/>
        <v>2.4640393374073359</v>
      </c>
      <c r="AN345" s="301">
        <f t="shared" si="236"/>
        <v>2.8216579271457727</v>
      </c>
      <c r="AO345" s="301">
        <f t="shared" si="236"/>
        <v>3.1819201330276567</v>
      </c>
      <c r="AP345" s="301">
        <f t="shared" si="236"/>
        <v>3.3208497686258824</v>
      </c>
      <c r="AR345" s="301">
        <f t="shared" ref="AR345:AW345" si="237">IF(AR323="","0",1/AR344*1000)</f>
        <v>1.873902131423135</v>
      </c>
      <c r="AS345" s="301">
        <f t="shared" si="237"/>
        <v>2.1535073882678328</v>
      </c>
      <c r="AT345" s="301">
        <f t="shared" si="237"/>
        <v>2.4763005099164523</v>
      </c>
      <c r="AU345" s="301">
        <f t="shared" si="237"/>
        <v>2.8405297269933412</v>
      </c>
      <c r="AV345" s="301">
        <f t="shared" si="237"/>
        <v>3.2129168887930697</v>
      </c>
      <c r="AW345" s="301">
        <f t="shared" si="237"/>
        <v>3.3208497686258824</v>
      </c>
      <c r="AZ345" s="180"/>
    </row>
    <row r="346" spans="1:58" x14ac:dyDescent="0.25">
      <c r="A346" s="298" t="s">
        <v>481</v>
      </c>
      <c r="B346" s="301">
        <f t="shared" ref="B346:G346" si="238">(B6-B5)*0.453592/(B342/1000)</f>
        <v>20.958977100556179</v>
      </c>
      <c r="C346" s="301">
        <f t="shared" si="238"/>
        <v>18.239080496534822</v>
      </c>
      <c r="D346" s="301">
        <f t="shared" si="238"/>
        <v>19.17492901903826</v>
      </c>
      <c r="E346" s="301">
        <f t="shared" si="238"/>
        <v>18.464677842774325</v>
      </c>
      <c r="F346" s="301">
        <f t="shared" si="238"/>
        <v>18.577722929695792</v>
      </c>
      <c r="G346" s="301">
        <f t="shared" si="238"/>
        <v>22.192648973190369</v>
      </c>
      <c r="I346" s="301">
        <f>(I351-I5)*0.453592/(I342/1000)</f>
        <v>20.95893480644677</v>
      </c>
      <c r="J346" s="301">
        <f>(J351-I351)*0.453592/(J342/1000)</f>
        <v>18.35718855519335</v>
      </c>
      <c r="K346" s="301">
        <f>(K351-J351)*0.453592/(K342/1000)</f>
        <v>19.278454326068832</v>
      </c>
      <c r="L346" s="301">
        <f>(L351-K351)*0.453592/(L342/1000)</f>
        <v>18.586822479538029</v>
      </c>
      <c r="M346" s="301">
        <f>(M351-L351)*0.453592/(M342/1000)</f>
        <v>18.727173521378983</v>
      </c>
      <c r="N346" s="301">
        <f>(N351-M351)*0.453592/(N342/1000)</f>
        <v>22.404836007581121</v>
      </c>
      <c r="P346" s="301">
        <f>(P351-P5)*0.453592/(P342/1000)</f>
        <v>20.95893458214163</v>
      </c>
      <c r="Q346" s="301">
        <f>(Q351-P351)*0.453592/(Q342/1000)</f>
        <v>18.454478189744961</v>
      </c>
      <c r="R346" s="301">
        <f>(R351-Q351)*0.453592/(R342/1000)</f>
        <v>19.36520587077186</v>
      </c>
      <c r="S346" s="301">
        <f>(S351-R351)*0.453592/(S342/1000)</f>
        <v>18.694160488993525</v>
      </c>
      <c r="T346" s="301">
        <f>(T351-S351)*0.453592/(T342/1000)</f>
        <v>18.873040807462903</v>
      </c>
      <c r="U346" s="301">
        <f>(U351-T351)*0.453592/(U342/1000)</f>
        <v>22.606054962354627</v>
      </c>
      <c r="W346" s="301">
        <f>(W351-W5)*0.453592/(W342/1000)</f>
        <v>20.958934393849194</v>
      </c>
      <c r="X346" s="301">
        <f>(X351-W351)*0.453592/(X342/1000)</f>
        <v>18.536184581392376</v>
      </c>
      <c r="Y346" s="301">
        <f>(Y351-X351)*0.453592/(Y342/1000)</f>
        <v>19.441864846043302</v>
      </c>
      <c r="Z346" s="301">
        <f>(Z351-Y351)*0.453592/(Z342/1000)</f>
        <v>18.800601401212049</v>
      </c>
      <c r="AA346" s="301">
        <f>(AA351-Z351)*0.453592/(AA342/1000)</f>
        <v>19.010510925832818</v>
      </c>
      <c r="AB346" s="301">
        <f>(AB351-AA351)*0.453592/(AB342/1000)</f>
        <v>22.798670919787671</v>
      </c>
      <c r="AD346" s="301">
        <f>(AD351-AD5)*0.453592/(AD342/1000)</f>
        <v>20.958934242620867</v>
      </c>
      <c r="AE346" s="301">
        <f>(AE351-AD351)*0.453592/(AE342/1000)</f>
        <v>18.60198563384256</v>
      </c>
      <c r="AF346" s="301">
        <f>(AF351-AE351)*0.453592/(AF342/1000)</f>
        <v>19.511622200172283</v>
      </c>
      <c r="AG346" s="301">
        <f>(AG351-AF351)*0.453592/(AG342/1000)</f>
        <v>18.895854851199129</v>
      </c>
      <c r="AH346" s="301">
        <f>(AH351-AG351)*0.453592/(AH342/1000)</f>
        <v>19.142092889847042</v>
      </c>
      <c r="AI346" s="301">
        <f>(AI351-AH351)*0.453592/(AI342/1000)</f>
        <v>22.989191282337863</v>
      </c>
      <c r="AK346" s="301">
        <f>(AK351-AK5)*0.453592/(AK342/1000)</f>
        <v>20.958934114972884</v>
      </c>
      <c r="AL346" s="301">
        <f>(AL351-AK351)*0.453592/(AL342/1000)</f>
        <v>18.657514693613265</v>
      </c>
      <c r="AM346" s="301">
        <f>(AM351-AL351)*0.453592/(AM342/1000)</f>
        <v>19.568082833311045</v>
      </c>
      <c r="AN346" s="301">
        <f>(AN351-AM351)*0.453592/(AN342/1000)</f>
        <v>18.979849134723569</v>
      </c>
      <c r="AO346" s="301">
        <f>(AO351-AN351)*0.453592/(AO342/1000)</f>
        <v>19.270502299714131</v>
      </c>
      <c r="AP346" s="301">
        <f>(AP351-AO351)*0.453592/(AP342/1000)</f>
        <v>23.173223442747762</v>
      </c>
      <c r="AR346" s="301">
        <f>(AR351-AR5)*0.453592/(AR342/1000)</f>
        <v>20.958934040953189</v>
      </c>
      <c r="AS346" s="301">
        <f>(AS351-AR351)*0.453592/(AS342/1000)</f>
        <v>18.690018687095019</v>
      </c>
      <c r="AT346" s="301">
        <f>(AT351-AS351)*0.453592/(AT342/1000)</f>
        <v>19.612258863594686</v>
      </c>
      <c r="AU346" s="301">
        <f>(AU351-AT351)*0.453592/(AU342/1000)</f>
        <v>19.053020734100979</v>
      </c>
      <c r="AV346" s="301">
        <f>(AV351-AU351)*0.453592/(AV342/1000)</f>
        <v>19.393501258712828</v>
      </c>
      <c r="AW346" s="301">
        <f>(AW351-AV351)*0.453592/(AW342/1000)</f>
        <v>23.347861132764486</v>
      </c>
      <c r="AX346" s="6"/>
      <c r="AY346" s="180"/>
    </row>
    <row r="347" spans="1:58" x14ac:dyDescent="0.25">
      <c r="A347" s="298" t="s">
        <v>482</v>
      </c>
      <c r="B347" s="299">
        <f t="shared" ref="B347:G347" si="239" xml:space="preserve"> 51.6684755267 + 7.1030096064 * (B251/1000) + 54.0870565413 * B236 + 1.6439820046 * B253 + 0.4039153805 * B316 - 20.5375389219 * B252 + 0.2869358688 *(AVERAGE(B5:B6)*0.453592) - 0.016597667 * B316 * B316 - 0.1531408962 * (B251/1000) * (AVERAGE(B5:B6)*0.453592) - 4.8153797375 * B236 * B253 + 0.5304361357 * B236 * (AVERAGE(B5:B6)*0.453592) + 0.9830652207 * B253 * B252 - 0.0127129553 * B253 *(AVERAGE(B5:B6)*0.453592)</f>
        <v>59.07643336708562</v>
      </c>
      <c r="C347" s="299">
        <f t="shared" si="239"/>
        <v>66.187005535002854</v>
      </c>
      <c r="D347" s="299">
        <f t="shared" si="239"/>
        <v>71.339528706858943</v>
      </c>
      <c r="E347" s="299">
        <f t="shared" si="239"/>
        <v>74.764464309798441</v>
      </c>
      <c r="F347" s="299">
        <f t="shared" si="239"/>
        <v>76.836980679644768</v>
      </c>
      <c r="G347" s="299">
        <f t="shared" si="239"/>
        <v>78.432360226639787</v>
      </c>
      <c r="I347" s="299">
        <f t="shared" ref="I347:N347" si="240" xml:space="preserve"> 51.6684755267 + 7.1030096064 * (I251/1000) + 54.0870565413 * I236 + 1.6439820046 * I253 + 0.4039153805 * I316 - 20.5375389219 * I252 + 0.2869358688 *(AVERAGE(I5:I6)*0.453592) - 0.016597667 * I316 * I316 - 0.1531408962 * (I251/1000) * (AVERAGE(I5:I6)*0.453592) - 4.8153797375 * I236 * I253 + 0.5304361357 * I236 * (AVERAGE(I5:I6)*0.453592) + 0.9830652207 * I253 * I252 - 0.0127129553 * I253 *(AVERAGE(I5:I6)*0.453592)</f>
        <v>59.47245710133177</v>
      </c>
      <c r="J347" s="299">
        <f t="shared" si="240"/>
        <v>66.406606050511769</v>
      </c>
      <c r="K347" s="299">
        <f t="shared" si="240"/>
        <v>71.434223172565837</v>
      </c>
      <c r="L347" s="299">
        <f t="shared" si="240"/>
        <v>74.771084931125017</v>
      </c>
      <c r="M347" s="299">
        <f t="shared" si="240"/>
        <v>76.773615449152217</v>
      </c>
      <c r="N347" s="299">
        <f t="shared" si="240"/>
        <v>78.432360226639787</v>
      </c>
      <c r="P347" s="299">
        <f t="shared" ref="P347:U347" si="241" xml:space="preserve"> 51.6684755267 + 7.1030096064 * (P251/1000) + 54.0870565413 * P236 + 1.6439820046 * P253 + 0.4039153805 * P316 - 20.5375389219 * P252 + 0.2869358688 *(AVERAGE(P5:P6)*0.453592) - 0.016597667 * P316 * P316 - 0.1531408962 * (P251/1000) * (AVERAGE(P5:P6)*0.453592) - 4.8153797375 * P236 * P253 + 0.5304361357 * P236 * (AVERAGE(P5:P6)*0.453592) + 0.9830652207 * P253 * P252 - 0.0127129553 * P253 *(AVERAGE(P5:P6)*0.453592)</f>
        <v>59.789620750365181</v>
      </c>
      <c r="Q347" s="299">
        <f t="shared" si="241"/>
        <v>66.573337019981963</v>
      </c>
      <c r="R347" s="299">
        <f t="shared" si="241"/>
        <v>71.488741758387278</v>
      </c>
      <c r="S347" s="299">
        <f t="shared" si="241"/>
        <v>74.745679049484494</v>
      </c>
      <c r="T347" s="299">
        <f t="shared" si="241"/>
        <v>76.681162735633336</v>
      </c>
      <c r="U347" s="299">
        <f t="shared" si="241"/>
        <v>78.432360226639787</v>
      </c>
      <c r="W347" s="299">
        <f t="shared" ref="W347:AB347" si="242" xml:space="preserve"> 51.6684755267 + 7.1030096064 * (W251/1000) + 54.0870565413 * W236 + 1.6439820046 * W253 + 0.4039153805 * W316 - 20.5375389219 * W252 + 0.2869358688 *(AVERAGE(W5:W6)*0.453592) - 0.016597667 * W316 * W316 - 0.1531408962 * (W251/1000) * (AVERAGE(W5:W6)*0.453592) - 4.8153797375 * W236 * W253 + 0.5304361357 * W236 * (AVERAGE(W5:W6)*0.453592) + 0.9830652207 * W253 * W252 - 0.0127129553 * W253 *(AVERAGE(W5:W6)*0.453592)</f>
        <v>60.080724196546477</v>
      </c>
      <c r="X347" s="299">
        <f t="shared" si="242"/>
        <v>66.712215707842489</v>
      </c>
      <c r="Y347" s="299">
        <f t="shared" si="242"/>
        <v>71.526948031071086</v>
      </c>
      <c r="Z347" s="299">
        <f t="shared" si="242"/>
        <v>74.688645814596498</v>
      </c>
      <c r="AA347" s="299">
        <f t="shared" si="242"/>
        <v>76.556964851279844</v>
      </c>
      <c r="AB347" s="299">
        <f t="shared" si="242"/>
        <v>78.432360226639787</v>
      </c>
      <c r="AD347" s="299">
        <f t="shared" ref="AD347:AI347" si="243" xml:space="preserve"> 51.6684755267 + 7.1030096064 * (AD251/1000) + 54.0870565413 * AD236 + 1.6439820046 * AD253 + 0.4039153805 * AD316 - 20.5375389219 * AD252 + 0.2869358688 *(AVERAGE(AD5:AD6)*0.453592) - 0.016597667 * AD316 * AD316 - 0.1531408962 * (AD251/1000) * (AVERAGE(AD5:AD6)*0.453592) - 4.8153797375 * AD236 * AD253 + 0.5304361357 * AD236 * (AVERAGE(AD5:AD6)*0.453592) + 0.9830652207 * AD253 * AD252 - 0.0127129553 * AD253 *(AVERAGE(AD5:AD6)*0.453592)</f>
        <v>60.348386565208067</v>
      </c>
      <c r="AE347" s="299">
        <f t="shared" si="243"/>
        <v>66.846743344333788</v>
      </c>
      <c r="AF347" s="299">
        <f t="shared" si="243"/>
        <v>71.531884823598858</v>
      </c>
      <c r="AG347" s="299">
        <f t="shared" si="243"/>
        <v>74.60024550215411</v>
      </c>
      <c r="AH347" s="299">
        <f t="shared" si="243"/>
        <v>76.400777675178659</v>
      </c>
      <c r="AI347" s="299">
        <f t="shared" si="243"/>
        <v>78.432360226639787</v>
      </c>
      <c r="AK347" s="299">
        <f t="shared" ref="AK347:AP347" si="244" xml:space="preserve"> 51.6684755267 + 7.1030096064 * (AK251/1000) + 54.0870565413 * AK236 + 1.6439820046 * AK253 + 0.4039153805 * AK316 - 20.5375389219 * AK252 + 0.2869358688 *(AVERAGE(AK5:AK6)*0.453592) - 0.016597667 * AK316 * AK316 - 0.1531408962 * (AK251/1000) * (AVERAGE(AK5:AK6)*0.453592) - 4.8153797375 * AK236 * AK253 + 0.5304361357 * AK236 * (AVERAGE(AK5:AK6)*0.453592) + 0.9830652207 * AK253 * AK252 - 0.0127129553 * AK253 *(AVERAGE(AK5:AK6)*0.453592)</f>
        <v>60.4564667682032</v>
      </c>
      <c r="AL347" s="299">
        <f t="shared" si="244"/>
        <v>66.945780828267516</v>
      </c>
      <c r="AM347" s="299">
        <f t="shared" si="244"/>
        <v>71.506597511494405</v>
      </c>
      <c r="AN347" s="299">
        <f t="shared" si="244"/>
        <v>74.481378714821872</v>
      </c>
      <c r="AO347" s="299">
        <f t="shared" si="244"/>
        <v>76.214244529721142</v>
      </c>
      <c r="AP347" s="299">
        <f t="shared" si="244"/>
        <v>78.432360226639787</v>
      </c>
      <c r="AR347" s="299">
        <f t="shared" ref="AR347:AW347" si="245" xml:space="preserve"> 51.6684755267 + 7.1030096064 * (AR251/1000) + 54.0870565413 * AR236 + 1.6439820046 * AR253 + 0.4039153805 * AR316 - 20.5375389219 * AR252 + 0.2869358688 *(AVERAGE(AR5:AR6)*0.453592) - 0.016597667 * AR316 * AR316 - 0.1531408962 * (AR251/1000) * (AVERAGE(AR5:AR6)*0.453592) - 4.8153797375 * AR236 * AR253 + 0.5304361357 * AR236 * (AVERAGE(AR5:AR6)*0.453592) + 0.9830652207 * AR253 * AR252 - 0.0127129553 * AR253 *(AVERAGE(AR5:AR6)*0.453592)</f>
        <v>60.724547040232338</v>
      </c>
      <c r="AS347" s="299">
        <f t="shared" si="245"/>
        <v>67.016048303677977</v>
      </c>
      <c r="AT347" s="299">
        <f t="shared" si="245"/>
        <v>71.449619839784489</v>
      </c>
      <c r="AU347" s="299">
        <f t="shared" si="245"/>
        <v>74.332934406185672</v>
      </c>
      <c r="AV347" s="299">
        <f t="shared" si="245"/>
        <v>75.997502287216861</v>
      </c>
      <c r="AW347" s="299">
        <f t="shared" si="245"/>
        <v>78.432360226639787</v>
      </c>
    </row>
    <row r="348" spans="1:58" x14ac:dyDescent="0.25">
      <c r="A348" s="298" t="s">
        <v>474</v>
      </c>
      <c r="B348" s="299">
        <f t="shared" ref="B348:G348" si="246" xml:space="preserve"> 41.4410513954 + (14.8656283053 * B236) - (0.6326892081 * B253) - (12.1380129342 * B252) -
(0.0133880688 * (B253^2)) + (1.1112817574 * (B252^2))</f>
        <v>7.8081201670684095</v>
      </c>
      <c r="C348" s="299">
        <f t="shared" si="246"/>
        <v>9.6497372018873726</v>
      </c>
      <c r="D348" s="299">
        <f t="shared" si="246"/>
        <v>11.707280587456946</v>
      </c>
      <c r="E348" s="299">
        <f t="shared" si="246"/>
        <v>13.756142379711502</v>
      </c>
      <c r="F348" s="299">
        <f t="shared" si="246"/>
        <v>15.307913140289045</v>
      </c>
      <c r="G348" s="299">
        <f t="shared" si="246"/>
        <v>16.16672623849167</v>
      </c>
      <c r="I348" s="299">
        <f t="shared" ref="I348:N348" si="247" xml:space="preserve"> 41.4410513954 + (14.8656283053 * I236) - (0.6326892081 * I253) - (12.1380129342 * I252) -
(0.0133880688 * (I253^2)) + (1.1112817574 * (I252^2))</f>
        <v>7.4147514908089143</v>
      </c>
      <c r="J348" s="299">
        <f t="shared" si="247"/>
        <v>9.2599130022793421</v>
      </c>
      <c r="K348" s="299">
        <f t="shared" si="247"/>
        <v>11.321266884587033</v>
      </c>
      <c r="L348" s="299">
        <f t="shared" si="247"/>
        <v>13.380712236867044</v>
      </c>
      <c r="M348" s="299">
        <f t="shared" si="247"/>
        <v>14.952674520236904</v>
      </c>
      <c r="N348" s="299">
        <f t="shared" si="247"/>
        <v>16.16672623849167</v>
      </c>
      <c r="P348" s="299">
        <f t="shared" ref="P348:U348" si="248" xml:space="preserve"> 41.4410513954 + (14.8656283053 * P236) - (0.6326892081 * P253) - (12.1380129342 * P252) -
(0.0133880688 * (P253^2)) + (1.1112817574 * (P252^2))</f>
        <v>6.9974935187495859</v>
      </c>
      <c r="Q348" s="299">
        <f t="shared" si="248"/>
        <v>8.8467311315054395</v>
      </c>
      <c r="R348" s="299">
        <f t="shared" si="248"/>
        <v>10.912643204174914</v>
      </c>
      <c r="S348" s="299">
        <f t="shared" si="248"/>
        <v>13.004932197286927</v>
      </c>
      <c r="T348" s="299">
        <f t="shared" si="248"/>
        <v>14.574236886172834</v>
      </c>
      <c r="U348" s="299">
        <f t="shared" si="248"/>
        <v>16.16672623849167</v>
      </c>
      <c r="W348" s="299">
        <f t="shared" ref="W348:AB348" si="249" xml:space="preserve"> 41.4410513954 + (14.8656283053 * W236) - (0.6326892081 * W253) - (12.1380129342 * W252) -
(0.0133880688 * (W253^2)) + (1.1112817574 * (W252^2))</f>
        <v>6.5786516451840882</v>
      </c>
      <c r="X348" s="299">
        <f t="shared" si="249"/>
        <v>8.431987586660723</v>
      </c>
      <c r="Y348" s="299">
        <f t="shared" si="249"/>
        <v>10.528675612605181</v>
      </c>
      <c r="Z348" s="299">
        <f t="shared" si="249"/>
        <v>12.618149516634537</v>
      </c>
      <c r="AA348" s="299">
        <f t="shared" si="249"/>
        <v>14.190429392847689</v>
      </c>
      <c r="AB348" s="299">
        <f t="shared" si="249"/>
        <v>16.16672623849167</v>
      </c>
      <c r="AD348" s="299">
        <f t="shared" ref="AD348:AI348" si="250" xml:space="preserve"> 41.4410513954 + (14.8656283053 * AD236) - (0.6326892081 * AD253) - (12.1380129342 * AD252) -
(0.0133880688 * (AD253^2)) + (1.1112817574 * (AD252^2))</f>
        <v>6.1594195084221681</v>
      </c>
      <c r="AE348" s="299">
        <f t="shared" si="250"/>
        <v>8.0369965516408968</v>
      </c>
      <c r="AF348" s="299">
        <f t="shared" si="250"/>
        <v>10.137233831790711</v>
      </c>
      <c r="AG348" s="299">
        <f t="shared" si="250"/>
        <v>12.225731685963469</v>
      </c>
      <c r="AH348" s="299">
        <f t="shared" si="250"/>
        <v>13.810460753032491</v>
      </c>
      <c r="AI348" s="299">
        <f t="shared" si="250"/>
        <v>16.16672623849167</v>
      </c>
      <c r="AK348" s="299">
        <f t="shared" ref="AK348:AP348" si="251" xml:space="preserve"> 41.4410513954 + (14.8656283053 * AK236) - (0.6326892081 * AK253) - (12.1380129342 * AK252) -
(0.0133880688 * (AK253^2)) + (1.1112817574 * (AK252^2))</f>
        <v>5.67527983610265</v>
      </c>
      <c r="AL348" s="299">
        <f t="shared" si="251"/>
        <v>7.6342088721097277</v>
      </c>
      <c r="AM348" s="299">
        <f t="shared" si="251"/>
        <v>9.7347832349186767</v>
      </c>
      <c r="AN348" s="299">
        <f t="shared" si="251"/>
        <v>11.835941043558405</v>
      </c>
      <c r="AO348" s="299">
        <f t="shared" si="251"/>
        <v>13.429118649663488</v>
      </c>
      <c r="AP348" s="299">
        <f t="shared" si="251"/>
        <v>16.16672623849167</v>
      </c>
      <c r="AR348" s="299">
        <f t="shared" ref="AR348:AW348" si="252" xml:space="preserve"> 41.4410513954 + (14.8656283053 * AR236) - (0.6326892081 * AR253) - (12.1380129342 * AR252) -
(0.0133880688 * (AR253^2)) + (1.1112817574 * (AR252^2))</f>
        <v>5.2762904384761597</v>
      </c>
      <c r="AS348" s="299">
        <f t="shared" si="252"/>
        <v>7.2295574542125678</v>
      </c>
      <c r="AT348" s="299">
        <f t="shared" si="252"/>
        <v>9.3248656225295328</v>
      </c>
      <c r="AU348" s="299">
        <f t="shared" si="252"/>
        <v>11.443318689820181</v>
      </c>
      <c r="AV348" s="299">
        <f t="shared" si="252"/>
        <v>13.045811477094851</v>
      </c>
      <c r="AW348" s="299">
        <f t="shared" si="252"/>
        <v>16.16672623849167</v>
      </c>
    </row>
    <row r="349" spans="1:58" x14ac:dyDescent="0.25">
      <c r="A349" s="298" t="s">
        <v>483</v>
      </c>
      <c r="B349" s="299">
        <f t="shared" ref="B349:G349" si="253" xml:space="preserve"> -16.7992454106 + 17.2658536059 * (B251/1000) - 106.6634904715 * B236 + 0.1550376119 * B253 - 0.0727312562 * B316 + 48.6541457906 * B252 - 0.1535643762 * B253 * B253 - 0.0358142801 * B316 * B316 - 5.4618633046 * B252 * B252 + 4.2267870055 * B236 * B253 - 2.0313848595 * B236 * B316 + 0.1484978883 * B253 * B316</f>
        <v>52.048652387826927</v>
      </c>
      <c r="C349" s="299">
        <f t="shared" si="253"/>
        <v>57.424545894850155</v>
      </c>
      <c r="D349" s="299">
        <f t="shared" si="253"/>
        <v>60.138112629899155</v>
      </c>
      <c r="E349" s="299">
        <f t="shared" si="253"/>
        <v>61.003481994612869</v>
      </c>
      <c r="F349" s="299">
        <f t="shared" si="253"/>
        <v>60.913721975717699</v>
      </c>
      <c r="G349" s="299">
        <f t="shared" si="253"/>
        <v>60.653455485036048</v>
      </c>
      <c r="I349" s="299">
        <f t="shared" ref="I349:N349" si="254" xml:space="preserve"> -16.7992454106 + 17.2658536059 * (I251/1000) - 106.6634904715 * I236 + 0.1550376119 * I253 - 0.0727312562 * I316 + 48.6541457906 * I252 - 0.1535643762 * I253 * I253 - 0.0358142801 * I316 * I316 - 5.4618633046 * I252 * I252 + 4.2267870055 * I236 * I253 - 2.0313848595 * I236 * I316 + 0.1484978883 * I253 * I316</f>
        <v>52.031811571600912</v>
      </c>
      <c r="J349" s="299">
        <f t="shared" si="254"/>
        <v>57.396057781422968</v>
      </c>
      <c r="K349" s="299">
        <f t="shared" si="254"/>
        <v>60.099958738241526</v>
      </c>
      <c r="L349" s="299">
        <f t="shared" si="254"/>
        <v>60.950686793849755</v>
      </c>
      <c r="M349" s="299">
        <f t="shared" si="254"/>
        <v>60.841871946377623</v>
      </c>
      <c r="N349" s="299">
        <f t="shared" si="254"/>
        <v>60.653455485036048</v>
      </c>
      <c r="P349" s="299">
        <f t="shared" ref="P349:U349" si="255" xml:space="preserve"> -16.7992454106 + 17.2658536059 * (P251/1000) - 106.6634904715 * P236 + 0.1550376119 * P253 - 0.0727312562 * P316 + 48.6541457906 * P252 - 0.1535643762 * P253 * P253 - 0.0358142801 * P316 * P316 - 5.4618633046 * P252 * P252 + 4.2267870055 * P236 * P253 - 2.0313848595 * P236 * P316 + 0.1484978883 * P253 * P316</f>
        <v>51.910494751854898</v>
      </c>
      <c r="Q349" s="299">
        <f t="shared" si="255"/>
        <v>57.316055471372891</v>
      </c>
      <c r="R349" s="299">
        <f t="shared" si="255"/>
        <v>60.033576783753801</v>
      </c>
      <c r="S349" s="299">
        <f t="shared" si="255"/>
        <v>60.884690125334174</v>
      </c>
      <c r="T349" s="299">
        <f t="shared" si="255"/>
        <v>60.762954113199143</v>
      </c>
      <c r="U349" s="299">
        <f t="shared" si="255"/>
        <v>60.653455485036048</v>
      </c>
      <c r="W349" s="299">
        <f t="shared" ref="W349:AB349" si="256" xml:space="preserve"> -16.7992454106 + 17.2658536059 * (W251/1000) - 106.6634904715 * W236 + 0.1550376119 * W253 - 0.0727312562 * W316 + 48.6541457906 * W252 - 0.1535643762 * W253 * W253 - 0.0358142801 * W316 * W316 - 5.4618633046 * W252 * W252 + 4.2267870055 * W236 * W253 - 2.0313848595 * W236 * W316 + 0.1484978883 * W253 * W316</f>
        <v>51.776108797873775</v>
      </c>
      <c r="X349" s="299">
        <f t="shared" si="256"/>
        <v>57.222596572706266</v>
      </c>
      <c r="Y349" s="299">
        <f t="shared" si="256"/>
        <v>59.97407832913791</v>
      </c>
      <c r="Z349" s="299">
        <f t="shared" si="256"/>
        <v>60.805476982723917</v>
      </c>
      <c r="AA349" s="299">
        <f t="shared" si="256"/>
        <v>60.672412376385019</v>
      </c>
      <c r="AB349" s="299">
        <f t="shared" si="256"/>
        <v>60.653455485036048</v>
      </c>
      <c r="AD349" s="299">
        <f t="shared" ref="AD349:AI349" si="257" xml:space="preserve"> -16.7992454106 + 17.2658536059 * (AD251/1000) - 106.6634904715 * AD236 + 0.1550376119 * AD253 - 0.0727312562 * AD316 + 48.6541457906 * AD252 - 0.1535643762 * AD253 * AD253 - 0.0358142801 * AD316 * AD316 - 5.4618633046 * AD252 * AD252 + 4.2267870055 * AD236 * AD253 - 2.0313848595 * AD236 * AD316 + 0.1484978883 * AD253 * AD316</f>
        <v>51.632362876788818</v>
      </c>
      <c r="AE349" s="299">
        <f t="shared" si="257"/>
        <v>57.156475609405739</v>
      </c>
      <c r="AF349" s="299">
        <f t="shared" si="257"/>
        <v>59.895975049279301</v>
      </c>
      <c r="AG349" s="299">
        <f t="shared" si="257"/>
        <v>60.716018787690459</v>
      </c>
      <c r="AH349" s="299">
        <f t="shared" si="257"/>
        <v>60.568561014713026</v>
      </c>
      <c r="AI349" s="299">
        <f t="shared" si="257"/>
        <v>60.653455485036048</v>
      </c>
      <c r="AK349" s="299">
        <f t="shared" ref="AK349:AP349" si="258" xml:space="preserve"> -16.7992454106 + 17.2658536059 * (AK251/1000) - 106.6634904715 * AK236 + 0.1550376119 * AK253 - 0.0727312562 * AK316 + 48.6541457906 * AK252 - 0.1535643762 * AK253 * AK253 - 0.0358142801 * AK316 * AK316 - 5.4618633046 * AK252 * AK252 + 4.2267870055 * AK236 * AK253 - 2.0313848595 * AK236 * AK316 + 0.1484978883 * AK253 * AK316</f>
        <v>51.199243638821358</v>
      </c>
      <c r="AL349" s="299">
        <f t="shared" si="258"/>
        <v>57.065913145247642</v>
      </c>
      <c r="AM349" s="299">
        <f t="shared" si="258"/>
        <v>59.807489999539072</v>
      </c>
      <c r="AN349" s="299">
        <f t="shared" si="258"/>
        <v>60.614388859987457</v>
      </c>
      <c r="AO349" s="299">
        <f t="shared" si="258"/>
        <v>60.452646432680879</v>
      </c>
      <c r="AP349" s="299">
        <f t="shared" si="258"/>
        <v>60.653455485036048</v>
      </c>
      <c r="AR349" s="299">
        <f t="shared" ref="AR349:AW349" si="259" xml:space="preserve"> -16.7992454106 + 17.2658536059 * (AR251/1000) - 106.6634904715 * AR236 + 0.1550376119 * AR253 - 0.0727312562 * AR316 + 48.6541457906 * AR252 - 0.1535643762 * AR253 * AR253 - 0.0358142801 * AR316 * AR316 - 5.4618633046 * AR252 * AR252 + 4.2267870055 * AR236 * AR253 - 2.0313848595 * AR236 * AR316 + 0.1484978883 * AR253 * AR316</f>
        <v>51.129627436266425</v>
      </c>
      <c r="AS349" s="299">
        <f t="shared" si="259"/>
        <v>56.961797580322376</v>
      </c>
      <c r="AT349" s="299">
        <f t="shared" si="259"/>
        <v>59.702742213448772</v>
      </c>
      <c r="AU349" s="299">
        <f t="shared" si="259"/>
        <v>60.501137157705614</v>
      </c>
      <c r="AV349" s="299">
        <f t="shared" si="259"/>
        <v>60.324057631038869</v>
      </c>
      <c r="AW349" s="299">
        <f t="shared" si="259"/>
        <v>60.653455485036048</v>
      </c>
    </row>
    <row r="350" spans="1:58" x14ac:dyDescent="0.25">
      <c r="A350" s="298" t="s">
        <v>484</v>
      </c>
      <c r="B350" s="299">
        <f t="shared" ref="B350:G350" si="260" xml:space="preserve"> 49.3215904687 - 4.5564383267 * (B251/1000) + 31.3355706686 * B236 + 0.0864922401 * B253 - 16.201377828 * B236 * B236</f>
        <v>53.954378874327247</v>
      </c>
      <c r="C350" s="299">
        <f t="shared" si="260"/>
        <v>54.343913736532443</v>
      </c>
      <c r="D350" s="299">
        <f t="shared" si="260"/>
        <v>54.182582260957595</v>
      </c>
      <c r="E350" s="299">
        <f t="shared" si="260"/>
        <v>53.680906160604707</v>
      </c>
      <c r="F350" s="299">
        <f t="shared" si="260"/>
        <v>53.144530833046296</v>
      </c>
      <c r="G350" s="299">
        <f t="shared" si="260"/>
        <v>52.790842861934969</v>
      </c>
      <c r="I350" s="299">
        <f t="shared" ref="I350:N350" si="261" xml:space="preserve"> 49.3215904687 - 4.5564383267 * (I251/1000) + 31.3355706686 * I236 + 0.0864922401 * I253 - 16.201377828 * I236 * I236</f>
        <v>54.134196000750507</v>
      </c>
      <c r="J350" s="299">
        <f t="shared" si="261"/>
        <v>54.479866835130245</v>
      </c>
      <c r="K350" s="299">
        <f t="shared" si="261"/>
        <v>54.290014477434966</v>
      </c>
      <c r="L350" s="299">
        <f t="shared" si="261"/>
        <v>53.768016043127062</v>
      </c>
      <c r="M350" s="299">
        <f t="shared" si="261"/>
        <v>53.217775330799931</v>
      </c>
      <c r="N350" s="299">
        <f t="shared" si="261"/>
        <v>52.790842861934969</v>
      </c>
      <c r="P350" s="299">
        <f t="shared" ref="P350:U350" si="262" xml:space="preserve"> 49.3215904687 - 4.5564383267 * (P251/1000) + 31.3355706686 * P236 + 0.0864922401 * P253 - 16.201377828 * P236 * P236</f>
        <v>54.302560308235627</v>
      </c>
      <c r="Q350" s="299">
        <f t="shared" si="262"/>
        <v>54.613307917389932</v>
      </c>
      <c r="R350" s="299">
        <f t="shared" si="262"/>
        <v>54.399633726203731</v>
      </c>
      <c r="S350" s="299">
        <f t="shared" si="262"/>
        <v>53.855002320003138</v>
      </c>
      <c r="T350" s="299">
        <f t="shared" si="262"/>
        <v>53.297040940809822</v>
      </c>
      <c r="U350" s="299">
        <f t="shared" si="262"/>
        <v>52.790842861934969</v>
      </c>
      <c r="W350" s="299">
        <f t="shared" ref="W350:AB350" si="263" xml:space="preserve"> 49.3215904687 - 4.5564383267 * (W251/1000) + 31.3355706686 * W236 + 0.0864922401 * W253 - 16.201377828 * W236 * W236</f>
        <v>54.468726236896515</v>
      </c>
      <c r="X350" s="299">
        <f t="shared" si="263"/>
        <v>54.744997920004913</v>
      </c>
      <c r="Y350" s="299">
        <f t="shared" si="263"/>
        <v>54.502586730778503</v>
      </c>
      <c r="Z350" s="299">
        <f t="shared" si="263"/>
        <v>53.942803426459712</v>
      </c>
      <c r="AA350" s="299">
        <f t="shared" si="263"/>
        <v>53.375812537131495</v>
      </c>
      <c r="AB350" s="299">
        <f t="shared" si="263"/>
        <v>52.790842861934969</v>
      </c>
      <c r="AD350" s="299">
        <f t="shared" ref="AD350:AI350" si="264" xml:space="preserve"> 49.3215904687 - 4.5564383267 * (AD251/1000) + 31.3355706686 * AD236 + 0.0864922401 * AD253 - 16.201377828 * AD236 * AD236</f>
        <v>54.633440320365807</v>
      </c>
      <c r="AE350" s="299">
        <f t="shared" si="264"/>
        <v>54.874942445672175</v>
      </c>
      <c r="AF350" s="299">
        <f t="shared" si="264"/>
        <v>54.605255626300988</v>
      </c>
      <c r="AG350" s="299">
        <f t="shared" si="264"/>
        <v>54.0292369152954</v>
      </c>
      <c r="AH350" s="299">
        <f t="shared" si="264"/>
        <v>53.455535587722743</v>
      </c>
      <c r="AI350" s="299">
        <f t="shared" si="264"/>
        <v>52.790842861934969</v>
      </c>
      <c r="AK350" s="299">
        <f t="shared" ref="AK350:AP350" si="265" xml:space="preserve"> 49.3215904687 - 4.5564383267 * (AK251/1000) + 31.3355706686 * AK236 + 0.0864922401 * AK253 - 16.201377828 * AK236 * AK236</f>
        <v>54.774976861337635</v>
      </c>
      <c r="AL350" s="299">
        <f t="shared" si="265"/>
        <v>55.002708452905729</v>
      </c>
      <c r="AM350" s="299">
        <f t="shared" si="265"/>
        <v>54.706589350232555</v>
      </c>
      <c r="AN350" s="299">
        <f t="shared" si="265"/>
        <v>54.116479284340883</v>
      </c>
      <c r="AO350" s="299">
        <f t="shared" si="265"/>
        <v>53.535605941033964</v>
      </c>
      <c r="AP350" s="299">
        <f t="shared" si="265"/>
        <v>52.790842861934969</v>
      </c>
      <c r="AR350" s="299">
        <f t="shared" ref="AR350:AW350" si="266" xml:space="preserve"> 49.3215904687 - 4.5564383267 * (AR251/1000) + 31.3355706686 * AR236 + 0.0864922401 * AR253 - 16.201377828 * AR236 * AR236</f>
        <v>54.944412353300216</v>
      </c>
      <c r="AS350" s="299">
        <f t="shared" si="266"/>
        <v>55.128553478632149</v>
      </c>
      <c r="AT350" s="299">
        <f t="shared" si="266"/>
        <v>54.807699095852193</v>
      </c>
      <c r="AU350" s="299">
        <f t="shared" si="266"/>
        <v>54.205783247306584</v>
      </c>
      <c r="AV350" s="299">
        <f t="shared" si="266"/>
        <v>53.6144601987735</v>
      </c>
      <c r="AW350" s="299">
        <f t="shared" si="266"/>
        <v>52.790842861934969</v>
      </c>
    </row>
    <row r="351" spans="1:58" x14ac:dyDescent="0.25">
      <c r="A351" s="298" t="s">
        <v>513</v>
      </c>
      <c r="B351" s="364">
        <f t="shared" ref="B351:G351" si="267">B5+(B342*0.00220462*B346)</f>
        <v>84.999929826400006</v>
      </c>
      <c r="C351" s="364">
        <f t="shared" si="267"/>
        <v>119.99992982640001</v>
      </c>
      <c r="D351" s="364">
        <f t="shared" si="267"/>
        <v>159.99991980160002</v>
      </c>
      <c r="E351" s="364">
        <f t="shared" si="267"/>
        <v>199.99991980160002</v>
      </c>
      <c r="F351" s="364">
        <f t="shared" si="267"/>
        <v>239.99991980160002</v>
      </c>
      <c r="G351" s="364">
        <f t="shared" si="267"/>
        <v>284.9999097768</v>
      </c>
      <c r="H351" s="7"/>
      <c r="I351" s="364">
        <f>$B$351-I268</f>
        <v>84.774674958367157</v>
      </c>
      <c r="J351" s="364">
        <f>$C$351-J268</f>
        <v>119.78537729671801</v>
      </c>
      <c r="K351" s="364">
        <f>$D$351-K268</f>
        <v>159.73742380595064</v>
      </c>
      <c r="L351" s="364">
        <f>$E$351-L268</f>
        <v>199.68159656699643</v>
      </c>
      <c r="M351" s="364">
        <f>$F$351-M268</f>
        <v>239.5696584553323</v>
      </c>
      <c r="N351" s="364">
        <f>$G$351-N268</f>
        <v>284.9999097768</v>
      </c>
      <c r="O351" s="2"/>
      <c r="P351" s="364">
        <f>$B$351-P268</f>
        <v>84.591221411361403</v>
      </c>
      <c r="Q351" s="364">
        <f>$C$351-Q268</f>
        <v>119.60784772191616</v>
      </c>
      <c r="R351" s="364">
        <f>$D$351-R268</f>
        <v>159.51052884200283</v>
      </c>
      <c r="S351" s="364">
        <f>$E$351-S268</f>
        <v>199.3773915059179</v>
      </c>
      <c r="T351" s="364">
        <f>$F$351-T268</f>
        <v>239.16164709194138</v>
      </c>
      <c r="U351" s="364">
        <f>$G$351-U268</f>
        <v>284.9999097768</v>
      </c>
      <c r="V351" s="2"/>
      <c r="W351" s="364">
        <f>$B$351-W268</f>
        <v>84.438709572179604</v>
      </c>
      <c r="X351" s="364">
        <f>$C$351-X268</f>
        <v>119.45297815092717</v>
      </c>
      <c r="Y351" s="364">
        <f>$D$351-Y268</f>
        <v>159.28864116536596</v>
      </c>
      <c r="Z351" s="364">
        <f>$E$351-Z268</f>
        <v>199.09670400926214</v>
      </c>
      <c r="AA351" s="364">
        <f>$F$351-AA268</f>
        <v>238.77108001295238</v>
      </c>
      <c r="AB351" s="364">
        <f>$G$351-AB268</f>
        <v>284.9999097768</v>
      </c>
      <c r="AC351" s="2"/>
      <c r="AD351" s="364">
        <f>$B$351-AD268</f>
        <v>84.317189037514012</v>
      </c>
      <c r="AE351" s="364">
        <f>$C$351-AE268</f>
        <v>119.31348156926133</v>
      </c>
      <c r="AF351" s="364">
        <f>$D$351-AF268</f>
        <v>159.09309162265021</v>
      </c>
      <c r="AG351" s="364">
        <f>$E$351-AG268</f>
        <v>198.83383222246121</v>
      </c>
      <c r="AH351" s="364">
        <f>$F$351-AH268</f>
        <v>238.38476216846632</v>
      </c>
      <c r="AI351" s="364">
        <f>$G$351-AI268</f>
        <v>284.9999097768</v>
      </c>
      <c r="AJ351" s="2"/>
      <c r="AK351" s="364">
        <f>$B$351-AK268</f>
        <v>84.215282106764661</v>
      </c>
      <c r="AL351" s="364">
        <f>$C$351-AL268</f>
        <v>119.20184979320564</v>
      </c>
      <c r="AM351" s="364">
        <f>$D$351-AM268</f>
        <v>158.92345356278406</v>
      </c>
      <c r="AN351" s="364">
        <f>$E$351-AN268</f>
        <v>198.58243132539374</v>
      </c>
      <c r="AO351" s="364">
        <f>$F$351-AO268</f>
        <v>238.01160044142554</v>
      </c>
      <c r="AP351" s="364">
        <f>$G$351-AP268</f>
        <v>284.9999097768</v>
      </c>
      <c r="AQ351" s="2"/>
      <c r="AR351" s="364">
        <f>$B$351-AR268</f>
        <v>84.156465721950099</v>
      </c>
      <c r="AS351" s="364">
        <f>$C$351-AS268</f>
        <v>119.11549160192362</v>
      </c>
      <c r="AT351" s="364">
        <f>$D$351-AT268</f>
        <v>158.77808269700381</v>
      </c>
      <c r="AU351" s="364">
        <f>$E$351-AU268</f>
        <v>198.34631413270952</v>
      </c>
      <c r="AV351" s="364">
        <f>$F$351-AV268</f>
        <v>237.65748786747162</v>
      </c>
      <c r="AW351" s="364">
        <f>$G$351-AW268</f>
        <v>284.9999097768</v>
      </c>
      <c r="AX351" s="2"/>
      <c r="AY351" s="7"/>
      <c r="AZ351" s="2"/>
    </row>
    <row r="352" spans="1:58" x14ac:dyDescent="0.25">
      <c r="A352" s="298" t="s">
        <v>514</v>
      </c>
      <c r="B352" s="364">
        <v>0</v>
      </c>
      <c r="C352" s="364">
        <v>0</v>
      </c>
      <c r="D352" s="364">
        <v>0</v>
      </c>
      <c r="E352" s="364">
        <v>0</v>
      </c>
      <c r="F352" s="364">
        <v>0</v>
      </c>
      <c r="G352" s="364">
        <v>0</v>
      </c>
      <c r="H352" s="7"/>
      <c r="I352" s="364">
        <v>0</v>
      </c>
      <c r="J352" s="364">
        <v>0</v>
      </c>
      <c r="K352" s="364">
        <v>0</v>
      </c>
      <c r="L352" s="364">
        <v>0</v>
      </c>
      <c r="M352" s="364">
        <v>0</v>
      </c>
      <c r="N352" s="364">
        <v>0</v>
      </c>
      <c r="O352" s="2"/>
      <c r="P352" s="364">
        <v>0</v>
      </c>
      <c r="Q352" s="364">
        <v>0</v>
      </c>
      <c r="R352" s="364">
        <v>0</v>
      </c>
      <c r="S352" s="364">
        <v>0</v>
      </c>
      <c r="T352" s="364">
        <v>0</v>
      </c>
      <c r="U352" s="364">
        <v>0</v>
      </c>
      <c r="V352" s="2"/>
      <c r="W352" s="364">
        <v>0</v>
      </c>
      <c r="X352" s="364">
        <v>0</v>
      </c>
      <c r="Y352" s="364">
        <v>0</v>
      </c>
      <c r="Z352" s="364">
        <v>0</v>
      </c>
      <c r="AA352" s="364">
        <v>0</v>
      </c>
      <c r="AB352" s="364">
        <v>0</v>
      </c>
      <c r="AC352" s="2"/>
      <c r="AD352" s="364">
        <v>0</v>
      </c>
      <c r="AE352" s="364">
        <v>0</v>
      </c>
      <c r="AF352" s="364">
        <v>0</v>
      </c>
      <c r="AG352" s="364">
        <v>0</v>
      </c>
      <c r="AH352" s="364">
        <v>0</v>
      </c>
      <c r="AI352" s="364">
        <v>0</v>
      </c>
      <c r="AJ352" s="2"/>
      <c r="AK352" s="364">
        <v>0</v>
      </c>
      <c r="AL352" s="364">
        <v>0</v>
      </c>
      <c r="AM352" s="364">
        <v>0</v>
      </c>
      <c r="AN352" s="364">
        <v>0</v>
      </c>
      <c r="AO352" s="364">
        <v>0</v>
      </c>
      <c r="AP352" s="364">
        <v>0</v>
      </c>
      <c r="AQ352" s="2"/>
      <c r="AR352" s="364">
        <v>0</v>
      </c>
      <c r="AS352" s="364">
        <v>0</v>
      </c>
      <c r="AT352" s="364">
        <v>0</v>
      </c>
      <c r="AU352" s="364">
        <v>0</v>
      </c>
      <c r="AV352" s="364">
        <v>0</v>
      </c>
      <c r="AW352" s="364">
        <v>0</v>
      </c>
      <c r="AX352" s="2"/>
    </row>
    <row r="353" spans="1:51" ht="14.4" x14ac:dyDescent="0.3">
      <c r="A353" s="365" t="s">
        <v>515</v>
      </c>
      <c r="B353" s="462">
        <f xml:space="preserve"> 0.03492* B352 - 0.05092 * B316 - 0.06897 * B316 - 0.00289 * (B316 * B352) + 'DDGS Calculator'!$G$9</f>
        <v>73.97283598564384</v>
      </c>
      <c r="C353" s="462">
        <f xml:space="preserve"> 0.03492* C352 - 0.05092 * B316- 0.06897 * C316 - 0.00289 * (C316 * C352) + 'DDGS Calculator'!$G$9</f>
        <v>73.967856887824908</v>
      </c>
      <c r="D353" s="462">
        <f xml:space="preserve"> 0.03492* D352 - 0.05092 * C316- 0.06897 * D316 - 0.00289 * (D316 * D352) + 'DDGS Calculator'!$G$9</f>
        <v>73.959733111485349</v>
      </c>
      <c r="E353" s="462">
        <f xml:space="preserve"> 0.03492* E352 - 0.05092 * D316- 0.06897 * E316 - 0.00289 * (E316 * E352) + 'DDGS Calculator'!$G$9</f>
        <v>73.952776279957178</v>
      </c>
      <c r="F353" s="462">
        <f xml:space="preserve"> 0.03492* F352 - 0.05092 * E316- 0.06897 * F316 - 0.00289 * (F316 * F352) + 'DDGS Calculator'!$G$9</f>
        <v>73.947268075350891</v>
      </c>
      <c r="G353" s="462">
        <f xml:space="preserve"> 0.03492* G352 - 0.05092 * F316- 0.06897 * G316 - 0.00289 * (G316 * G352) + 'DDGS Calculator'!$G$9</f>
        <v>73.944010160900064</v>
      </c>
      <c r="H353" s="7"/>
      <c r="I353" s="462">
        <f xml:space="preserve"> 0.03492* I352 - 0.05092 * I316 - 0.06897 * I316 - 0.00289 * (I316 * I352) + 'DDGS Calculator'!$G$9</f>
        <v>73.828399741686923</v>
      </c>
      <c r="J353" s="462">
        <f xml:space="preserve"> 0.03492* J352 - 0.05092 * I316- 0.06897 * J316 - 0.00289 * (J316 * J352) + 'DDGS Calculator'!$G$9</f>
        <v>73.823469685187504</v>
      </c>
      <c r="K353" s="462">
        <f xml:space="preserve"> 0.03492* K352 - 0.05092 * J316- 0.06897 * K316 - 0.00289 * (K316 * K352) + 'DDGS Calculator'!$G$9</f>
        <v>73.815421891542698</v>
      </c>
      <c r="L353" s="462">
        <f xml:space="preserve"> 0.03492* L352 - 0.05092 * K316- 0.06897 * L316 - 0.00289 * (L316 * L352) + 'DDGS Calculator'!$G$9</f>
        <v>73.808383225998156</v>
      </c>
      <c r="M353" s="462">
        <f xml:space="preserve"> 0.03492* M352 - 0.05092 * L316- 0.06897 * M316 - 0.00289 * (M316 * M352) + 'DDGS Calculator'!$G$9</f>
        <v>73.802833685574498</v>
      </c>
      <c r="N353" s="462">
        <f xml:space="preserve"> 0.03492* N352 - 0.05092 * M316- 0.06897 * N316 - 0.00289 * (N316 * N352) + 'DDGS Calculator'!$G$9</f>
        <v>73.882678384173261</v>
      </c>
      <c r="O353" s="7"/>
      <c r="P353" s="462">
        <f xml:space="preserve"> 0.03492* P352 - 0.05092 * P316 - 0.06897 * P316 - 0.00289 * (P316 * P352) + 'DDGS Calculator'!$G$9</f>
        <v>73.684085265028074</v>
      </c>
      <c r="Q353" s="462">
        <f xml:space="preserve"> 0.03492* Q352 - 0.05092 * P316- 0.06897 * Q316 - 0.00289 * (Q316 * Q352) + 'DDGS Calculator'!$G$9</f>
        <v>73.679181079333631</v>
      </c>
      <c r="R353" s="462">
        <f xml:space="preserve"> 0.03492* R352 - 0.05092 * Q316- 0.06897 * R316 - 0.00289 * (R316 * R352) + 'DDGS Calculator'!$G$9</f>
        <v>73.671175292758278</v>
      </c>
      <c r="S353" s="462">
        <f xml:space="preserve"> 0.03492* S352 - 0.05092 * R316- 0.06897 * S316 - 0.00289 * (S316 * S352) + 'DDGS Calculator'!$G$9</f>
        <v>73.664142001094334</v>
      </c>
      <c r="T353" s="462">
        <f xml:space="preserve"> 0.03492* T352 - 0.05092 * S316- 0.06897 * T316 - 0.00289 * (T316 * T352) + 'DDGS Calculator'!$G$9</f>
        <v>73.658657830837186</v>
      </c>
      <c r="U353" s="462">
        <f xml:space="preserve"> 0.03492* U352 - 0.05092 * T316- 0.06897 * U316 - 0.00289 * (U316 * U352) + 'DDGS Calculator'!$G$9</f>
        <v>73.821466800500005</v>
      </c>
      <c r="V353" s="7"/>
      <c r="W353" s="462">
        <f xml:space="preserve"> 0.03492* W352 - 0.05092 * W316 - 0.06897 * W316 - 0.00289 * (W316 * W352) + 'DDGS Calculator'!$G$9</f>
        <v>73.539752700505488</v>
      </c>
      <c r="X353" s="462">
        <f xml:space="preserve"> 0.03492* X352 - 0.05092 * W316- 0.06897 * X316 - 0.00289 * (X316 * X352) + 'DDGS Calculator'!$G$9</f>
        <v>73.534871009615941</v>
      </c>
      <c r="Y353" s="462">
        <f xml:space="preserve"> 0.03492* Y352 - 0.05092 * X316- 0.06897 * Y316 - 0.00289 * (Y316 * Y352) + 'DDGS Calculator'!$G$9</f>
        <v>73.526874325262895</v>
      </c>
      <c r="Z353" s="462">
        <f xml:space="preserve"> 0.03492* Z352 - 0.05092 * Y316- 0.06897 * Z316 - 0.00289 * (Z316 * Z352) + 'DDGS Calculator'!$G$9</f>
        <v>73.519882794159642</v>
      </c>
      <c r="AA353" s="462">
        <f xml:space="preserve"> 0.03492* AA352 - 0.05092 * Z316- 0.06897 * AA316 - 0.00289 * (AA316 * AA352) + 'DDGS Calculator'!$G$9</f>
        <v>73.5144979168589</v>
      </c>
      <c r="AB353" s="462">
        <f xml:space="preserve"> 0.03492* AB352 - 0.05092 * AA316- 0.06897 * AB316 - 0.00289 * (AB316 * AB352) + 'DDGS Calculator'!$G$9</f>
        <v>73.760259002602396</v>
      </c>
      <c r="AC353" s="7"/>
      <c r="AD353" s="462">
        <f xml:space="preserve"> 0.03492* AD352 - 0.05092 * AD316 - 0.06897 * AD316 - 0.00289 * (AD316 * AD352) + 'DDGS Calculator'!$G$9</f>
        <v>73.395426256137313</v>
      </c>
      <c r="AE353" s="462">
        <f xml:space="preserve"> 0.03492* AE352 - 0.05092 * AD316- 0.06897 * AE316 - 0.00289 * (AE316 * AE352) + 'DDGS Calculator'!$G$9</f>
        <v>73.390536279064307</v>
      </c>
      <c r="AF353" s="462">
        <f xml:space="preserve"> 0.03492* AF352 - 0.05092 * AE316- 0.06897 * AF316 - 0.00289 * (AF316 * AF352) + 'DDGS Calculator'!$G$9</f>
        <v>73.382560952889435</v>
      </c>
      <c r="AG353" s="462">
        <f xml:space="preserve"> 0.03492* AG352 - 0.05092 * AF316- 0.06897 * AG316 - 0.00289 * (AG316 * AG352) + 'DDGS Calculator'!$G$9</f>
        <v>73.375689612562525</v>
      </c>
      <c r="AH353" s="462">
        <f xml:space="preserve"> 0.03492* AH352 - 0.05092 * AG316- 0.06897 * AH316 - 0.00289 * (AH316 * AH352) + 'DDGS Calculator'!$G$9</f>
        <v>73.370735227410734</v>
      </c>
      <c r="AI353" s="462">
        <f xml:space="preserve"> 0.03492* AI352 - 0.05092 * AH316- 0.06897 * AI316 - 0.00289 * (AI316 * AI352) + 'DDGS Calculator'!$G$9</f>
        <v>73.699311590799979</v>
      </c>
      <c r="AJ353" s="7"/>
      <c r="AK353" s="462">
        <f xml:space="preserve"> 0.03492* AK352 - 0.05092 * AK316 - 0.06897 * AK316 - 0.00289 * (AK316 * AK352) + 'DDGS Calculator'!$G$9</f>
        <v>73.251338161470329</v>
      </c>
      <c r="AL353" s="462">
        <f xml:space="preserve"> 0.03492* AL352 - 0.05092 * AK316- 0.06897 * AL316 - 0.00289 * (AL316 * AL352) + 'DDGS Calculator'!$G$9</f>
        <v>73.246305874624596</v>
      </c>
      <c r="AM353" s="462">
        <f xml:space="preserve"> 0.03492* AM352 - 0.05092 * AL316- 0.06897 * AM316 - 0.00289 * (AM316 * AM352) + 'DDGS Calculator'!$G$9</f>
        <v>73.238320644142092</v>
      </c>
      <c r="AN353" s="462">
        <f xml:space="preserve"> 0.03492* AN352 - 0.05092 * AM316- 0.06897 * AN316 - 0.00289 * (AN316 * AN352) + 'DDGS Calculator'!$G$9</f>
        <v>73.231805407736175</v>
      </c>
      <c r="AO353" s="462">
        <f xml:space="preserve"> 0.03492* AO352 - 0.05092 * AN316- 0.06897 * AO316 - 0.00289 * (AO316 * AO352) + 'DDGS Calculator'!$G$9</f>
        <v>73.227337036573971</v>
      </c>
      <c r="AP353" s="462">
        <f xml:space="preserve"> 0.03492* AP352 - 0.05092 * AO316- 0.06897 * AP316 - 0.00289 * (AP316 * AP352) + 'DDGS Calculator'!$G$9</f>
        <v>73.638493353340266</v>
      </c>
      <c r="AQ353" s="7"/>
      <c r="AR353" s="462">
        <f xml:space="preserve"> 0.03492* AR352 - 0.05092 * AR316 - 0.06897 * AR316 - 0.00289 * (AR316 * AR352) + 'DDGS Calculator'!$G$9</f>
        <v>73.106914285373577</v>
      </c>
      <c r="AS353" s="462">
        <f xml:space="preserve"> 0.03492* AS352 - 0.05092 * AR316- 0.06897 * AS316 - 0.00289 * (AS316 * AS352) + 'DDGS Calculator'!$G$9</f>
        <v>73.10193928363806</v>
      </c>
      <c r="AT353" s="462">
        <f xml:space="preserve"> 0.03492* AT352 - 0.05092 * AS316- 0.06897 * AT316 - 0.00289 * (AT316 * AT352) + 'DDGS Calculator'!$G$9</f>
        <v>73.094099851998521</v>
      </c>
      <c r="AU353" s="462">
        <f xml:space="preserve"> 0.03492* AU352 - 0.05092 * AT316- 0.06897 * AU316 - 0.00289 * (AU316 * AU352) + 'DDGS Calculator'!$G$9</f>
        <v>73.088199256539951</v>
      </c>
      <c r="AV353" s="462">
        <f xml:space="preserve"> 0.03492* AV352 - 0.05092 * AU316- 0.06897 * AV316 - 0.00289 * (AV316 * AV352) + 'DDGS Calculator'!$G$9</f>
        <v>73.084133600109567</v>
      </c>
      <c r="AW353" s="462">
        <f xml:space="preserve"> 0.03492* AW352 - 0.05092 * AV316- 0.06897 * AW316 - 0.00289 * (AW316 * AW352) + 'DDGS Calculator'!$G$9</f>
        <v>73.577673285695212</v>
      </c>
      <c r="AX353" s="7"/>
    </row>
    <row r="354" spans="1:51" ht="14.4" x14ac:dyDescent="0.3">
      <c r="A354" s="452"/>
      <c r="B354" s="470"/>
      <c r="C354" s="470"/>
      <c r="D354" s="470"/>
      <c r="E354" s="470"/>
      <c r="F354" s="470"/>
      <c r="G354" s="470"/>
      <c r="H354" s="7"/>
      <c r="I354" s="470"/>
      <c r="J354" s="470"/>
      <c r="K354" s="470"/>
      <c r="L354" s="470"/>
      <c r="M354" s="470"/>
      <c r="N354" s="470"/>
      <c r="O354" s="7"/>
      <c r="P354" s="470"/>
      <c r="Q354" s="470"/>
      <c r="R354" s="470"/>
      <c r="S354" s="470"/>
      <c r="T354" s="470"/>
      <c r="U354" s="470"/>
      <c r="V354" s="7"/>
      <c r="W354" s="470"/>
      <c r="X354" s="470"/>
      <c r="Y354" s="470"/>
      <c r="Z354" s="470"/>
      <c r="AA354" s="470"/>
      <c r="AB354" s="470"/>
      <c r="AC354" s="7"/>
      <c r="AD354" s="470"/>
      <c r="AE354" s="470"/>
      <c r="AF354" s="470"/>
      <c r="AG354" s="470"/>
      <c r="AH354" s="470"/>
      <c r="AI354" s="470"/>
      <c r="AJ354" s="7"/>
      <c r="AK354" s="470"/>
      <c r="AL354" s="470"/>
      <c r="AM354" s="470"/>
      <c r="AN354" s="470"/>
      <c r="AO354" s="470"/>
      <c r="AP354" s="470"/>
      <c r="AQ354" s="7"/>
      <c r="AR354" s="470"/>
      <c r="AS354" s="470"/>
      <c r="AT354" s="470"/>
      <c r="AU354" s="470"/>
      <c r="AV354" s="470"/>
      <c r="AW354" s="470"/>
      <c r="AX354" s="7"/>
    </row>
    <row r="355" spans="1:51" x14ac:dyDescent="0.25">
      <c r="I355"/>
      <c r="J355" s="52"/>
      <c r="K355" s="7"/>
      <c r="L355" s="7"/>
      <c r="M355" s="7"/>
      <c r="N355"/>
      <c r="O355" s="6"/>
      <c r="T355" s="7"/>
      <c r="U355"/>
      <c r="V355" s="6"/>
      <c r="AA355" s="7"/>
      <c r="AB355"/>
      <c r="AC355" s="6"/>
      <c r="AH355" s="7"/>
      <c r="AI355"/>
      <c r="AJ355" s="6"/>
      <c r="AO355" s="7"/>
      <c r="AP355"/>
      <c r="AQ355" s="6"/>
      <c r="AV355" s="7"/>
      <c r="AW355"/>
      <c r="AX355" s="6"/>
    </row>
    <row r="356" spans="1:51" x14ac:dyDescent="0.25">
      <c r="A356" s="71"/>
      <c r="B356" s="7"/>
      <c r="C356" s="7"/>
      <c r="D356" s="7"/>
      <c r="E356" s="7"/>
      <c r="F356" s="7"/>
      <c r="G356" s="7"/>
      <c r="I356" s="71"/>
      <c r="J356" s="7"/>
      <c r="K356" s="7"/>
      <c r="L356" s="7"/>
      <c r="M356" s="7"/>
      <c r="N356"/>
      <c r="O356" s="7"/>
      <c r="P356" s="7"/>
      <c r="Q356" s="7"/>
      <c r="R356" s="7"/>
      <c r="S356" s="7"/>
      <c r="T356" s="7"/>
      <c r="U356"/>
      <c r="V356" s="7"/>
      <c r="W356" s="7"/>
      <c r="X356" s="7"/>
      <c r="Y356" s="7"/>
      <c r="Z356" s="7"/>
      <c r="AA356" s="7"/>
      <c r="AC356" s="7"/>
      <c r="AD356" s="7"/>
      <c r="AE356" s="7"/>
      <c r="AF356" s="7"/>
      <c r="AG356" s="7"/>
      <c r="AH356" s="7"/>
      <c r="AI356"/>
      <c r="AJ356" s="7"/>
      <c r="AK356" s="7"/>
      <c r="AL356" s="7"/>
      <c r="AM356" s="7"/>
      <c r="AN356" s="7"/>
      <c r="AO356" s="7"/>
      <c r="AP356"/>
      <c r="AQ356" s="7"/>
      <c r="AR356" s="7"/>
      <c r="AS356" s="7"/>
      <c r="AT356" s="7"/>
      <c r="AU356" s="7"/>
      <c r="AV356" s="7"/>
      <c r="AX356" s="7"/>
    </row>
    <row r="357" spans="1:51" x14ac:dyDescent="0.25">
      <c r="A357" s="71"/>
      <c r="B357" s="7"/>
      <c r="C357" s="7"/>
      <c r="D357" s="7"/>
      <c r="E357" s="7"/>
      <c r="F357" s="7"/>
      <c r="G357" s="7"/>
      <c r="I357" s="71"/>
      <c r="J357" s="7"/>
      <c r="K357" s="7"/>
      <c r="L357" s="380"/>
      <c r="M357" s="380"/>
      <c r="N357" s="7"/>
      <c r="O357" s="7"/>
      <c r="P357" s="7"/>
      <c r="Q357" s="7"/>
      <c r="R357" s="7"/>
      <c r="S357" s="7"/>
      <c r="T357" s="7"/>
      <c r="U357"/>
      <c r="V357" s="7"/>
      <c r="W357" s="7"/>
      <c r="X357" s="7"/>
      <c r="Y357" s="7"/>
      <c r="Z357" s="7"/>
      <c r="AA357" s="7"/>
      <c r="AC357" s="7"/>
      <c r="AD357" s="7"/>
      <c r="AE357" s="7"/>
      <c r="AF357" s="7"/>
      <c r="AG357" s="7"/>
      <c r="AH357" s="7"/>
      <c r="AI357"/>
      <c r="AJ357" s="7"/>
      <c r="AK357" s="7"/>
      <c r="AL357" s="7"/>
      <c r="AM357" s="7"/>
      <c r="AN357" s="7"/>
      <c r="AO357" s="7"/>
      <c r="AP357"/>
      <c r="AQ357" s="7"/>
      <c r="AR357" s="7"/>
      <c r="AS357" s="7"/>
      <c r="AT357" s="7"/>
      <c r="AU357" s="7"/>
      <c r="AV357" s="7"/>
      <c r="AX357" s="7"/>
    </row>
    <row r="358" spans="1:51" x14ac:dyDescent="0.25">
      <c r="A358" s="34"/>
      <c r="B358" s="7"/>
      <c r="C358" s="7"/>
      <c r="D358" s="7"/>
      <c r="E358" s="7"/>
      <c r="F358" s="7"/>
      <c r="G358" s="7"/>
      <c r="I358" s="34"/>
      <c r="J358" s="7"/>
      <c r="K358" s="7"/>
      <c r="L358" s="380"/>
      <c r="M358" s="380"/>
      <c r="N358" s="7"/>
      <c r="O358" s="7"/>
      <c r="P358" s="7"/>
      <c r="Q358" s="7"/>
      <c r="R358" s="7"/>
      <c r="S358" s="7"/>
      <c r="T358" s="7"/>
      <c r="U358"/>
      <c r="V358" s="7"/>
      <c r="W358" s="7"/>
      <c r="X358" s="7"/>
      <c r="Y358" s="7"/>
      <c r="Z358" s="7"/>
      <c r="AA358" s="7"/>
      <c r="AC358" s="7"/>
      <c r="AD358" s="7"/>
      <c r="AE358" s="7"/>
      <c r="AF358" s="7"/>
      <c r="AG358" s="7"/>
      <c r="AH358" s="7"/>
      <c r="AI358"/>
      <c r="AJ358" s="7"/>
      <c r="AK358" s="7"/>
      <c r="AL358" s="7"/>
      <c r="AM358" s="7"/>
      <c r="AN358" s="7"/>
      <c r="AO358" s="7"/>
      <c r="AP358"/>
      <c r="AQ358" s="7"/>
      <c r="AR358" s="7"/>
      <c r="AS358" s="7"/>
      <c r="AT358" s="7"/>
      <c r="AU358" s="7"/>
      <c r="AV358" s="7"/>
      <c r="AX358" s="7"/>
    </row>
    <row r="359" spans="1:51" x14ac:dyDescent="0.25">
      <c r="A359" s="71"/>
      <c r="B359" s="7"/>
      <c r="C359" s="7"/>
      <c r="D359" s="7"/>
      <c r="E359" s="7"/>
      <c r="F359" s="7"/>
      <c r="G359" s="7"/>
      <c r="I359" s="71"/>
      <c r="J359" s="7"/>
      <c r="K359" s="7"/>
      <c r="L359" s="380"/>
      <c r="M359" s="380"/>
      <c r="N359" s="7"/>
      <c r="O359" s="7"/>
      <c r="P359" s="7"/>
      <c r="Q359" s="7"/>
      <c r="R359" s="7"/>
      <c r="S359" s="7"/>
      <c r="T359" s="7"/>
      <c r="U359"/>
      <c r="V359" s="7"/>
      <c r="W359" s="7"/>
      <c r="X359" s="7"/>
      <c r="Y359" s="7"/>
      <c r="Z359" s="7"/>
      <c r="AA359" s="7"/>
      <c r="AC359" s="7"/>
      <c r="AD359" s="7"/>
      <c r="AE359" s="7"/>
      <c r="AF359" s="7"/>
      <c r="AG359" s="7"/>
      <c r="AH359" s="7"/>
      <c r="AI359"/>
      <c r="AJ359" s="7"/>
      <c r="AK359" s="7"/>
      <c r="AL359" s="7"/>
      <c r="AM359" s="7"/>
      <c r="AN359" s="7"/>
      <c r="AO359" s="7"/>
      <c r="AP359"/>
      <c r="AQ359" s="7"/>
      <c r="AR359" s="7"/>
      <c r="AS359" s="7"/>
      <c r="AT359" s="7"/>
      <c r="AU359" s="7"/>
      <c r="AV359" s="7"/>
      <c r="AX359" s="7"/>
    </row>
    <row r="360" spans="1:51" x14ac:dyDescent="0.25">
      <c r="A360" s="71"/>
      <c r="B360" s="7"/>
      <c r="C360" s="7"/>
      <c r="D360" s="7"/>
      <c r="E360" s="7"/>
      <c r="F360" s="7"/>
      <c r="G360" s="7"/>
      <c r="I360" s="71"/>
      <c r="J360" s="7"/>
      <c r="K360" s="7"/>
      <c r="L360" s="380"/>
      <c r="M360" s="380"/>
      <c r="N360" s="7"/>
      <c r="O360" s="366"/>
      <c r="U360"/>
      <c r="V360" s="6"/>
      <c r="AB360"/>
      <c r="AC360" s="6"/>
      <c r="AI360"/>
      <c r="AJ360" s="366"/>
      <c r="AP360"/>
      <c r="AQ360" s="6"/>
      <c r="AW360"/>
      <c r="AX360" s="6"/>
    </row>
    <row r="361" spans="1:51" x14ac:dyDescent="0.25">
      <c r="A361" s="34"/>
      <c r="B361" s="7"/>
      <c r="C361" s="7"/>
      <c r="D361" s="7"/>
      <c r="E361" s="7"/>
      <c r="F361" s="7"/>
      <c r="G361" s="7"/>
      <c r="I361" s="34"/>
      <c r="J361" s="7"/>
      <c r="K361" s="7"/>
      <c r="L361" s="380"/>
      <c r="M361" s="380"/>
      <c r="N361" s="7"/>
      <c r="O361" s="7"/>
      <c r="P361" s="7"/>
      <c r="Q361" s="7"/>
      <c r="R361" s="7"/>
      <c r="S361" s="7"/>
      <c r="T361" s="7"/>
      <c r="U361"/>
      <c r="V361" s="7"/>
      <c r="W361" s="7"/>
      <c r="X361" s="7"/>
      <c r="Y361" s="7"/>
      <c r="Z361" s="7"/>
      <c r="AA361" s="7"/>
      <c r="AB361"/>
      <c r="AC361" s="7"/>
      <c r="AD361" s="7"/>
      <c r="AE361" s="7"/>
      <c r="AF361" s="7"/>
      <c r="AG361" s="7"/>
      <c r="AH361" s="7"/>
      <c r="AI361"/>
      <c r="AJ361" s="7"/>
      <c r="AK361" s="7"/>
      <c r="AL361" s="7"/>
      <c r="AM361" s="7"/>
      <c r="AN361" s="7"/>
      <c r="AO361" s="7"/>
      <c r="AP361"/>
      <c r="AQ361" s="7"/>
      <c r="AR361" s="7"/>
      <c r="AS361" s="7"/>
      <c r="AT361" s="7"/>
      <c r="AU361" s="7"/>
      <c r="AV361" s="7"/>
      <c r="AW361"/>
      <c r="AX361" s="7"/>
    </row>
    <row r="362" spans="1:51" x14ac:dyDescent="0.25">
      <c r="A362" s="71"/>
      <c r="B362" s="7"/>
      <c r="C362" s="7"/>
      <c r="D362" s="7"/>
      <c r="E362" s="7"/>
      <c r="F362" s="7"/>
      <c r="G362" s="7"/>
      <c r="I362" s="71"/>
      <c r="J362" s="7"/>
      <c r="K362" s="7"/>
      <c r="L362" s="380"/>
      <c r="M362" s="380"/>
      <c r="N362" s="7"/>
      <c r="O362" s="7"/>
      <c r="P362" s="7"/>
      <c r="Q362" s="7"/>
      <c r="R362" s="7"/>
      <c r="S362" s="7"/>
      <c r="T362" s="7"/>
      <c r="U362"/>
      <c r="V362" s="7"/>
      <c r="W362" s="7"/>
      <c r="X362" s="7"/>
      <c r="Y362" s="7"/>
      <c r="Z362" s="7"/>
      <c r="AA362" s="7"/>
      <c r="AB362"/>
      <c r="AC362" s="7"/>
      <c r="AD362" s="7"/>
      <c r="AE362" s="7"/>
      <c r="AF362" s="7"/>
      <c r="AG362" s="7"/>
      <c r="AH362" s="7"/>
      <c r="AI362"/>
      <c r="AJ362" s="7"/>
      <c r="AK362" s="7"/>
      <c r="AL362" s="7"/>
      <c r="AM362" s="7"/>
      <c r="AN362" s="7"/>
      <c r="AO362" s="7"/>
      <c r="AP362"/>
      <c r="AQ362" s="7"/>
      <c r="AR362" s="7"/>
      <c r="AS362" s="7"/>
      <c r="AT362" s="7"/>
      <c r="AU362" s="7"/>
      <c r="AV362" s="7"/>
      <c r="AW362"/>
      <c r="AX362" s="7"/>
    </row>
    <row r="363" spans="1:51" x14ac:dyDescent="0.25">
      <c r="B363" s="7"/>
      <c r="C363" s="7"/>
      <c r="D363" s="7"/>
      <c r="E363" s="7"/>
      <c r="F363" s="7"/>
      <c r="G363" s="7"/>
      <c r="I363" s="7"/>
      <c r="J363" s="7"/>
      <c r="K363" s="7"/>
      <c r="L363" s="7"/>
      <c r="M363" s="7"/>
      <c r="N363" s="7"/>
      <c r="P363" s="7"/>
      <c r="Q363" s="7"/>
      <c r="R363" s="7"/>
      <c r="S363" s="7"/>
      <c r="T363" s="7"/>
      <c r="U363" s="7"/>
      <c r="W363" s="7"/>
      <c r="X363" s="7"/>
      <c r="Y363" s="7"/>
      <c r="Z363" s="7"/>
      <c r="AA363" s="7"/>
      <c r="AB363" s="7"/>
      <c r="AD363" s="7"/>
      <c r="AE363" s="7"/>
      <c r="AF363" s="7"/>
      <c r="AG363" s="7"/>
      <c r="AH363" s="7"/>
      <c r="AI363" s="7"/>
      <c r="AK363" s="7"/>
      <c r="AL363" s="7"/>
      <c r="AM363" s="7"/>
      <c r="AN363" s="7"/>
      <c r="AO363" s="7"/>
      <c r="AP363" s="7"/>
      <c r="AR363" s="7"/>
      <c r="AS363" s="7"/>
      <c r="AT363" s="7"/>
      <c r="AU363" s="7"/>
      <c r="AV363" s="7"/>
      <c r="AW363" s="7"/>
    </row>
    <row r="364" spans="1:51" x14ac:dyDescent="0.25">
      <c r="A364" s="71"/>
    </row>
    <row r="365" spans="1:51" x14ac:dyDescent="0.25">
      <c r="A365" s="71"/>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x14ac:dyDescent="0.25">
      <c r="A366" s="34"/>
      <c r="B366" s="7"/>
      <c r="C366" s="7"/>
      <c r="D366" s="7"/>
      <c r="E366" s="7"/>
      <c r="F366" s="7"/>
      <c r="G366" s="7"/>
    </row>
    <row r="367" spans="1:51" x14ac:dyDescent="0.25">
      <c r="A367" s="71"/>
      <c r="B367" s="7"/>
      <c r="C367" s="7"/>
      <c r="D367" s="7"/>
      <c r="E367" s="7"/>
      <c r="F367" s="7"/>
      <c r="G367" s="7"/>
    </row>
    <row r="368" spans="1:51" x14ac:dyDescent="0.25">
      <c r="A368" s="71"/>
      <c r="B368" s="7"/>
      <c r="C368" s="7"/>
      <c r="D368" s="7"/>
      <c r="E368" s="7"/>
      <c r="F368" s="7"/>
      <c r="G368" s="7"/>
    </row>
    <row r="369" spans="1:7" x14ac:dyDescent="0.25">
      <c r="A369" s="34"/>
      <c r="B369" s="7"/>
      <c r="C369" s="7"/>
      <c r="D369" s="7"/>
      <c r="E369" s="7"/>
      <c r="F369" s="7"/>
      <c r="G369" s="7"/>
    </row>
    <row r="370" spans="1:7" x14ac:dyDescent="0.25">
      <c r="A370" s="71"/>
      <c r="B370" s="7"/>
      <c r="C370" s="7"/>
      <c r="D370" s="7"/>
      <c r="E370" s="7"/>
      <c r="F370" s="7"/>
      <c r="G370" s="7"/>
    </row>
    <row r="373" spans="1:7" x14ac:dyDescent="0.25">
      <c r="B373" s="7"/>
      <c r="C373" s="7"/>
      <c r="D373" s="7"/>
      <c r="E373" s="7"/>
      <c r="F373" s="7"/>
      <c r="G373" s="7"/>
    </row>
    <row r="374" spans="1:7" x14ac:dyDescent="0.25">
      <c r="B374" s="7"/>
      <c r="C374" s="7"/>
      <c r="D374" s="7"/>
      <c r="E374" s="7"/>
      <c r="F374" s="7"/>
      <c r="G374" s="7"/>
    </row>
    <row r="375" spans="1:7" x14ac:dyDescent="0.25">
      <c r="B375" s="7"/>
      <c r="C375" s="7"/>
      <c r="D375" s="7"/>
      <c r="E375" s="7"/>
      <c r="F375" s="7"/>
      <c r="G375" s="7"/>
    </row>
    <row r="376" spans="1:7" x14ac:dyDescent="0.25">
      <c r="B376" s="7"/>
      <c r="C376" s="7"/>
      <c r="D376" s="7"/>
      <c r="E376" s="7"/>
      <c r="F376" s="7"/>
      <c r="G376" s="7"/>
    </row>
    <row r="377" spans="1:7" x14ac:dyDescent="0.25">
      <c r="B377" s="7"/>
      <c r="C377" s="7"/>
      <c r="D377" s="7"/>
      <c r="E377" s="7"/>
      <c r="F377" s="7"/>
      <c r="G377" s="7"/>
    </row>
    <row r="378" spans="1:7" x14ac:dyDescent="0.25">
      <c r="B378" s="7"/>
      <c r="C378" s="7"/>
      <c r="D378" s="7"/>
      <c r="E378" s="7"/>
      <c r="F378" s="7"/>
      <c r="G378" s="7"/>
    </row>
  </sheetData>
  <mergeCells count="7">
    <mergeCell ref="AK4:AO4"/>
    <mergeCell ref="AR4:AV4"/>
    <mergeCell ref="C4:F4"/>
    <mergeCell ref="I4:M4"/>
    <mergeCell ref="P4:T4"/>
    <mergeCell ref="W4:AA4"/>
    <mergeCell ref="AD4:AH4"/>
  </mergeCells>
  <conditionalFormatting sqref="B273:N280 P273:U280 W273:AB280 AD273:AI280 AK273:AP280 AR273:AW280 O274:O281">
    <cfRule type="cellIs" dxfId="123" priority="31" stopIfTrue="1" operator="greaterThan">
      <formula>B237/100</formula>
    </cfRule>
  </conditionalFormatting>
  <conditionalFormatting sqref="B281:N281 P281:U281 O282">
    <cfRule type="cellIs" dxfId="122" priority="30" stopIfTrue="1" operator="greaterThan">
      <formula>B258</formula>
    </cfRule>
  </conditionalFormatting>
  <conditionalFormatting sqref="B283:N283 P283:U283 O284">
    <cfRule type="cellIs" dxfId="121" priority="29" stopIfTrue="1" operator="greaterThan">
      <formula>B257</formula>
    </cfRule>
  </conditionalFormatting>
  <conditionalFormatting sqref="B284:N284 P284:U284 O285">
    <cfRule type="cellIs" dxfId="120" priority="25" stopIfTrue="1" operator="greaterThan">
      <formula>B254</formula>
    </cfRule>
  </conditionalFormatting>
  <conditionalFormatting sqref="B285:N285 P285:U285 O286">
    <cfRule type="cellIs" dxfId="119" priority="28" stopIfTrue="1" operator="greaterThan">
      <formula>B254/B255</formula>
    </cfRule>
  </conditionalFormatting>
  <conditionalFormatting sqref="B286:N286 P286:U286 O287">
    <cfRule type="cellIs" dxfId="118" priority="27" stopIfTrue="1" operator="lessThan">
      <formula>B254/B255</formula>
    </cfRule>
  </conditionalFormatting>
  <conditionalFormatting sqref="B290:N290 P290:U290">
    <cfRule type="cellIs" dxfId="117" priority="26" stopIfTrue="1" operator="lessThan">
      <formula>B300</formula>
    </cfRule>
  </conditionalFormatting>
  <conditionalFormatting sqref="W281:AB281">
    <cfRule type="cellIs" dxfId="116" priority="23" stopIfTrue="1" operator="greaterThan">
      <formula>W258</formula>
    </cfRule>
  </conditionalFormatting>
  <conditionalFormatting sqref="W283:AB283">
    <cfRule type="cellIs" dxfId="115" priority="22" stopIfTrue="1" operator="greaterThan">
      <formula>W257</formula>
    </cfRule>
  </conditionalFormatting>
  <conditionalFormatting sqref="W284:AB284">
    <cfRule type="cellIs" dxfId="114" priority="19" stopIfTrue="1" operator="greaterThan">
      <formula>W254</formula>
    </cfRule>
  </conditionalFormatting>
  <conditionalFormatting sqref="W285:AB285">
    <cfRule type="cellIs" dxfId="113" priority="21" stopIfTrue="1" operator="greaterThan">
      <formula>W254/W255</formula>
    </cfRule>
  </conditionalFormatting>
  <conditionalFormatting sqref="W286:AB286">
    <cfRule type="cellIs" dxfId="112" priority="20" stopIfTrue="1" operator="lessThan">
      <formula>W254/W255</formula>
    </cfRule>
  </conditionalFormatting>
  <conditionalFormatting sqref="W290:AB290">
    <cfRule type="cellIs" dxfId="111" priority="24" stopIfTrue="1" operator="lessThan">
      <formula>W300</formula>
    </cfRule>
  </conditionalFormatting>
  <conditionalFormatting sqref="AD281:AI281">
    <cfRule type="cellIs" dxfId="110" priority="17" stopIfTrue="1" operator="greaterThan">
      <formula>AD258</formula>
    </cfRule>
  </conditionalFormatting>
  <conditionalFormatting sqref="AD283:AI283">
    <cfRule type="cellIs" dxfId="109" priority="16" stopIfTrue="1" operator="greaterThan">
      <formula>AD257</formula>
    </cfRule>
  </conditionalFormatting>
  <conditionalFormatting sqref="AD284:AI284">
    <cfRule type="cellIs" dxfId="108" priority="13" stopIfTrue="1" operator="greaterThan">
      <formula>AD254</formula>
    </cfRule>
  </conditionalFormatting>
  <conditionalFormatting sqref="AD285:AI285">
    <cfRule type="cellIs" dxfId="107" priority="15" stopIfTrue="1" operator="greaterThan">
      <formula>AD254/AD255</formula>
    </cfRule>
  </conditionalFormatting>
  <conditionalFormatting sqref="AD286:AI286">
    <cfRule type="cellIs" dxfId="106" priority="14" stopIfTrue="1" operator="lessThan">
      <formula>AD254/AD255</formula>
    </cfRule>
  </conditionalFormatting>
  <conditionalFormatting sqref="AD290:AI290">
    <cfRule type="cellIs" dxfId="105" priority="18" stopIfTrue="1" operator="lessThan">
      <formula>AD300</formula>
    </cfRule>
  </conditionalFormatting>
  <conditionalFormatting sqref="AK281:AP281">
    <cfRule type="cellIs" dxfId="104" priority="11" stopIfTrue="1" operator="greaterThan">
      <formula>AK258</formula>
    </cfRule>
  </conditionalFormatting>
  <conditionalFormatting sqref="AK283:AP283">
    <cfRule type="cellIs" dxfId="103" priority="10" stopIfTrue="1" operator="greaterThan">
      <formula>AK257</formula>
    </cfRule>
  </conditionalFormatting>
  <conditionalFormatting sqref="AK284:AP284">
    <cfRule type="cellIs" dxfId="102" priority="7" stopIfTrue="1" operator="greaterThan">
      <formula>AK254</formula>
    </cfRule>
  </conditionalFormatting>
  <conditionalFormatting sqref="AK285:AP285">
    <cfRule type="cellIs" dxfId="101" priority="9" stopIfTrue="1" operator="greaterThan">
      <formula>AK254/AK255</formula>
    </cfRule>
  </conditionalFormatting>
  <conditionalFormatting sqref="AK286:AP286">
    <cfRule type="cellIs" dxfId="100" priority="8" stopIfTrue="1" operator="lessThan">
      <formula>AK254/AK255</formula>
    </cfRule>
  </conditionalFormatting>
  <conditionalFormatting sqref="AK290:AP290">
    <cfRule type="cellIs" dxfId="99" priority="12" stopIfTrue="1" operator="lessThan">
      <formula>AK300</formula>
    </cfRule>
  </conditionalFormatting>
  <conditionalFormatting sqref="AR281:AW281">
    <cfRule type="cellIs" dxfId="98" priority="5" stopIfTrue="1" operator="greaterThan">
      <formula>AR258</formula>
    </cfRule>
  </conditionalFormatting>
  <conditionalFormatting sqref="AR283:AW283">
    <cfRule type="cellIs" dxfId="97" priority="4" stopIfTrue="1" operator="greaterThan">
      <formula>AR257</formula>
    </cfRule>
  </conditionalFormatting>
  <conditionalFormatting sqref="AR284:AW284">
    <cfRule type="cellIs" dxfId="96" priority="1" stopIfTrue="1" operator="greaterThan">
      <formula>AR254</formula>
    </cfRule>
  </conditionalFormatting>
  <conditionalFormatting sqref="AR285:AW285">
    <cfRule type="cellIs" dxfId="95" priority="3" stopIfTrue="1" operator="greaterThan">
      <formula>AR254/AR255</formula>
    </cfRule>
  </conditionalFormatting>
  <conditionalFormatting sqref="AR286:AW286">
    <cfRule type="cellIs" dxfId="94" priority="2" stopIfTrue="1" operator="lessThan">
      <formula>AR254/AR255</formula>
    </cfRule>
  </conditionalFormatting>
  <conditionalFormatting sqref="AR290:AW290">
    <cfRule type="cellIs" dxfId="93" priority="6" stopIfTrue="1" operator="lessThan">
      <formula>AR300</formula>
    </cfRule>
  </conditionalFormatting>
  <dataValidations count="2">
    <dataValidation type="list" allowBlank="1" showInputMessage="1" showErrorMessage="1" sqref="A8" xr:uid="{D80B2AE0-E1BF-4A5D-9765-53924B7405F9}">
      <formula1>$A$78:$A$80</formula1>
    </dataValidation>
    <dataValidation type="list" allowBlank="1" showInputMessage="1" showErrorMessage="1" sqref="A7" xr:uid="{41848325-9890-4920-97E2-1B3791C14146}">
      <formula1>$A$9:$A$10</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4AD17-EF7D-451E-A96B-C241380F255C}">
  <sheetPr codeName="Sheet16">
    <tabColor theme="6" tint="0.79998168889431442"/>
  </sheetPr>
  <dimension ref="A1:BG378"/>
  <sheetViews>
    <sheetView workbookViewId="0">
      <pane xSplit="1" ySplit="5" topLeftCell="B6" activePane="bottomRight" state="frozen"/>
      <selection activeCell="A271" sqref="A271:XFD272"/>
      <selection pane="topRight" activeCell="A271" sqref="A271:XFD272"/>
      <selection pane="bottomLeft" activeCell="A271" sqref="A271:XFD272"/>
      <selection pane="bottomRight" activeCell="T358" sqref="T358"/>
    </sheetView>
  </sheetViews>
  <sheetFormatPr defaultColWidth="8.77734375" defaultRowHeight="13.2" x14ac:dyDescent="0.25"/>
  <cols>
    <col min="1" max="1" width="41" bestFit="1" customWidth="1"/>
    <col min="2" max="14" width="10.109375" style="6" customWidth="1"/>
    <col min="15" max="15" width="10.109375" customWidth="1"/>
    <col min="16" max="21" width="10.109375" style="6" customWidth="1"/>
    <col min="23" max="28" width="10.109375" style="6" customWidth="1"/>
    <col min="30" max="35" width="10.109375" style="6" customWidth="1"/>
    <col min="37" max="42" width="10.109375" style="6" customWidth="1"/>
    <col min="44" max="49" width="10.109375" style="6" customWidth="1"/>
  </cols>
  <sheetData>
    <row r="1" spans="1:49" x14ac:dyDescent="0.25">
      <c r="A1" t="s">
        <v>1</v>
      </c>
      <c r="I1" s="8">
        <f>B7-I7</f>
        <v>78.847932538945088</v>
      </c>
      <c r="J1" s="8">
        <f t="shared" ref="J1:N2" si="0">C7-J7</f>
        <v>78.990904656930297</v>
      </c>
      <c r="K1" s="8">
        <f t="shared" si="0"/>
        <v>78.732847708260579</v>
      </c>
      <c r="L1" s="8">
        <f t="shared" si="0"/>
        <v>78.350814532472214</v>
      </c>
      <c r="M1" s="8">
        <f t="shared" si="0"/>
        <v>78.625314003523499</v>
      </c>
      <c r="N1" s="8">
        <f t="shared" si="0"/>
        <v>0</v>
      </c>
      <c r="P1" s="8">
        <f>I7-P7</f>
        <v>78.869446714110154</v>
      </c>
      <c r="Q1" s="8">
        <f t="shared" ref="Q1:U2" si="1">J7-Q7</f>
        <v>78.910241852682702</v>
      </c>
      <c r="R1" s="8">
        <f t="shared" si="1"/>
        <v>78.971817812852578</v>
      </c>
      <c r="S1" s="8">
        <f t="shared" si="1"/>
        <v>78.947597993782438</v>
      </c>
      <c r="T1" s="8">
        <f t="shared" si="1"/>
        <v>79.007989930308668</v>
      </c>
      <c r="U1" s="8">
        <f t="shared" si="1"/>
        <v>0</v>
      </c>
      <c r="W1" s="8">
        <f>P7-W7</f>
        <v>78.901632467544005</v>
      </c>
      <c r="X1" s="8">
        <f t="shared" ref="X1:AB2" si="2">Q7-X7</f>
        <v>78.948872278436511</v>
      </c>
      <c r="Y1" s="8">
        <f t="shared" si="2"/>
        <v>78.879611969325424</v>
      </c>
      <c r="Z1" s="8">
        <f t="shared" si="2"/>
        <v>78.834660770078244</v>
      </c>
      <c r="AA1" s="8">
        <f t="shared" si="2"/>
        <v>79.083790296524739</v>
      </c>
      <c r="AB1" s="8">
        <f t="shared" si="2"/>
        <v>0</v>
      </c>
      <c r="AD1" s="8">
        <f>W7-AD7</f>
        <v>78.941135212754148</v>
      </c>
      <c r="AE1" s="8">
        <f t="shared" ref="AE1:AI2" si="3">X7-AE7</f>
        <v>78.923722167716278</v>
      </c>
      <c r="AF1" s="8">
        <f t="shared" si="3"/>
        <v>78.778889522292275</v>
      </c>
      <c r="AG1" s="8">
        <f t="shared" si="3"/>
        <v>79.150340635518887</v>
      </c>
      <c r="AH1" s="8">
        <f t="shared" si="3"/>
        <v>81.585366228283192</v>
      </c>
      <c r="AI1" s="8">
        <f t="shared" si="3"/>
        <v>0</v>
      </c>
      <c r="AK1" s="8">
        <f>AD7-AK7</f>
        <v>79.21829355550733</v>
      </c>
      <c r="AL1" s="8">
        <f t="shared" ref="AL1:AP2" si="4">AE7-AL7</f>
        <v>78.919632197342935</v>
      </c>
      <c r="AM1" s="8">
        <f t="shared" si="4"/>
        <v>79.078660894961104</v>
      </c>
      <c r="AN1" s="8">
        <f t="shared" si="4"/>
        <v>81.302066593328163</v>
      </c>
      <c r="AO1" s="8">
        <f t="shared" si="4"/>
        <v>82.216761385820291</v>
      </c>
      <c r="AP1" s="8">
        <f t="shared" si="4"/>
        <v>0</v>
      </c>
      <c r="AR1" s="8">
        <f>AK7-AR7</f>
        <v>78.801706942857095</v>
      </c>
      <c r="AS1" s="8">
        <f t="shared" ref="AS1:AW2" si="5">AL7-AS7</f>
        <v>78.921885944682913</v>
      </c>
      <c r="AT1" s="8">
        <f t="shared" si="5"/>
        <v>79.64106076521557</v>
      </c>
      <c r="AU1" s="8">
        <f t="shared" si="5"/>
        <v>82.20833215019411</v>
      </c>
      <c r="AV1" s="8">
        <f t="shared" si="5"/>
        <v>82.262159022385049</v>
      </c>
      <c r="AW1" s="8">
        <f t="shared" si="5"/>
        <v>0</v>
      </c>
    </row>
    <row r="2" spans="1:49" x14ac:dyDescent="0.25">
      <c r="A2" t="s">
        <v>569</v>
      </c>
      <c r="I2" s="8">
        <f>B8-I8</f>
        <v>30.448349711621177</v>
      </c>
      <c r="J2" s="8">
        <f t="shared" si="0"/>
        <v>30.438309534796645</v>
      </c>
      <c r="K2" s="8">
        <f t="shared" si="0"/>
        <v>30.45643151152899</v>
      </c>
      <c r="L2" s="8">
        <f t="shared" si="0"/>
        <v>30.483259683986034</v>
      </c>
      <c r="M2" s="8">
        <f t="shared" si="0"/>
        <v>30.463983035737783</v>
      </c>
      <c r="N2" s="8">
        <f t="shared" si="0"/>
        <v>0</v>
      </c>
      <c r="P2" s="8">
        <f>I8-P8</f>
        <v>30.44683888471377</v>
      </c>
      <c r="Q2" s="8">
        <f t="shared" si="1"/>
        <v>30.44397405756672</v>
      </c>
      <c r="R2" s="8">
        <f t="shared" si="1"/>
        <v>30.439649903060399</v>
      </c>
      <c r="S2" s="8">
        <f t="shared" si="1"/>
        <v>30.441350733051195</v>
      </c>
      <c r="T2" s="8">
        <f t="shared" si="1"/>
        <v>30.437109726272865</v>
      </c>
      <c r="U2" s="8">
        <f t="shared" si="1"/>
        <v>0</v>
      </c>
      <c r="W2" s="8">
        <f>P8-W8</f>
        <v>30.444578649219693</v>
      </c>
      <c r="X2" s="8">
        <f t="shared" si="2"/>
        <v>30.4412612467695</v>
      </c>
      <c r="Y2" s="8">
        <f t="shared" si="2"/>
        <v>30.44612503252165</v>
      </c>
      <c r="Z2" s="8">
        <f t="shared" si="2"/>
        <v>30.449281717861595</v>
      </c>
      <c r="AA2" s="8">
        <f t="shared" si="2"/>
        <v>30.431786666847302</v>
      </c>
      <c r="AB2" s="8">
        <f t="shared" si="2"/>
        <v>0</v>
      </c>
      <c r="AD2" s="8">
        <f>W8-AD8</f>
        <v>30.44180458003359</v>
      </c>
      <c r="AE2" s="8">
        <f t="shared" si="3"/>
        <v>30.44302740622993</v>
      </c>
      <c r="AF2" s="8">
        <f t="shared" si="3"/>
        <v>30.453198238071764</v>
      </c>
      <c r="AG2" s="8">
        <f t="shared" si="3"/>
        <v>30.427113187985697</v>
      </c>
      <c r="AH2" s="8">
        <f t="shared" si="3"/>
        <v>30.256114199729609</v>
      </c>
      <c r="AI2" s="8">
        <f t="shared" si="3"/>
        <v>0</v>
      </c>
      <c r="AK2" s="8">
        <f>AD8-AK8</f>
        <v>30.422341213267259</v>
      </c>
      <c r="AL2" s="8">
        <f t="shared" si="4"/>
        <v>30.443314623250672</v>
      </c>
      <c r="AM2" s="8">
        <f t="shared" si="4"/>
        <v>30.43214687763134</v>
      </c>
      <c r="AN2" s="8">
        <f t="shared" si="4"/>
        <v>30.276008837015979</v>
      </c>
      <c r="AO2" s="8">
        <f t="shared" si="4"/>
        <v>30.211774652149643</v>
      </c>
      <c r="AP2" s="8">
        <f t="shared" si="4"/>
        <v>0</v>
      </c>
      <c r="AR2" s="8">
        <f>AK8-AR8</f>
        <v>30.451595891121883</v>
      </c>
      <c r="AS2" s="8">
        <f>AL8-AS8</f>
        <v>30.443156354476855</v>
      </c>
      <c r="AT2" s="8">
        <f>AM8-AT8</f>
        <v>30.392652504720218</v>
      </c>
      <c r="AU2" s="8">
        <f t="shared" si="5"/>
        <v>30.212366592853868</v>
      </c>
      <c r="AV2" s="8">
        <f t="shared" si="5"/>
        <v>30.208586615874083</v>
      </c>
      <c r="AW2" s="8">
        <f t="shared" si="5"/>
        <v>0</v>
      </c>
    </row>
    <row r="3" spans="1:49" ht="15.6" x14ac:dyDescent="0.3">
      <c r="A3" s="4"/>
      <c r="B3" s="196" t="s">
        <v>37</v>
      </c>
      <c r="C3" s="196" t="s">
        <v>38</v>
      </c>
      <c r="D3" s="196" t="s">
        <v>39</v>
      </c>
      <c r="E3" s="196" t="s">
        <v>40</v>
      </c>
      <c r="F3" s="196" t="s">
        <v>41</v>
      </c>
      <c r="G3" s="196" t="s">
        <v>141</v>
      </c>
      <c r="H3" s="196"/>
      <c r="I3" s="196" t="s">
        <v>37</v>
      </c>
      <c r="J3" s="196" t="s">
        <v>38</v>
      </c>
      <c r="K3" s="196" t="s">
        <v>39</v>
      </c>
      <c r="L3" s="196" t="s">
        <v>40</v>
      </c>
      <c r="M3" s="196" t="s">
        <v>41</v>
      </c>
      <c r="N3" s="196" t="s">
        <v>141</v>
      </c>
      <c r="O3" s="196"/>
      <c r="P3" s="196" t="s">
        <v>37</v>
      </c>
      <c r="Q3" s="196" t="s">
        <v>38</v>
      </c>
      <c r="R3" s="196" t="s">
        <v>39</v>
      </c>
      <c r="S3" s="196" t="s">
        <v>40</v>
      </c>
      <c r="T3" s="196" t="s">
        <v>41</v>
      </c>
      <c r="U3" s="196" t="s">
        <v>141</v>
      </c>
      <c r="W3" s="297" t="s">
        <v>37</v>
      </c>
      <c r="X3" s="196" t="s">
        <v>38</v>
      </c>
      <c r="Y3" s="196" t="s">
        <v>39</v>
      </c>
      <c r="Z3" s="196" t="s">
        <v>40</v>
      </c>
      <c r="AA3" s="196" t="s">
        <v>41</v>
      </c>
      <c r="AB3" s="196" t="s">
        <v>141</v>
      </c>
      <c r="AD3" s="196" t="s">
        <v>37</v>
      </c>
      <c r="AE3" s="196" t="s">
        <v>38</v>
      </c>
      <c r="AF3" s="196" t="s">
        <v>39</v>
      </c>
      <c r="AG3" s="196" t="s">
        <v>40</v>
      </c>
      <c r="AH3" s="196" t="s">
        <v>41</v>
      </c>
      <c r="AI3" s="196" t="s">
        <v>141</v>
      </c>
      <c r="AK3" s="196" t="s">
        <v>37</v>
      </c>
      <c r="AL3" s="196" t="s">
        <v>38</v>
      </c>
      <c r="AM3" s="196" t="s">
        <v>39</v>
      </c>
      <c r="AN3" s="196" t="s">
        <v>40</v>
      </c>
      <c r="AO3" s="196" t="s">
        <v>41</v>
      </c>
      <c r="AP3" s="196" t="s">
        <v>141</v>
      </c>
      <c r="AR3" s="196" t="s">
        <v>37</v>
      </c>
      <c r="AS3" s="196" t="s">
        <v>38</v>
      </c>
      <c r="AT3" s="196" t="s">
        <v>39</v>
      </c>
      <c r="AU3" s="196" t="s">
        <v>40</v>
      </c>
      <c r="AV3" s="196" t="s">
        <v>41</v>
      </c>
      <c r="AW3" s="196" t="s">
        <v>141</v>
      </c>
    </row>
    <row r="4" spans="1:49" ht="12.75" customHeight="1" x14ac:dyDescent="0.25">
      <c r="B4" s="565" t="s">
        <v>72</v>
      </c>
      <c r="C4" s="565"/>
      <c r="D4" s="565"/>
      <c r="E4" s="565"/>
      <c r="F4" s="565"/>
      <c r="G4" s="75"/>
      <c r="I4" s="565" t="s">
        <v>72</v>
      </c>
      <c r="J4" s="565"/>
      <c r="K4" s="565"/>
      <c r="L4" s="565"/>
      <c r="M4" s="565"/>
      <c r="N4" s="75"/>
      <c r="O4" s="6"/>
      <c r="P4" s="565" t="s">
        <v>72</v>
      </c>
      <c r="Q4" s="565"/>
      <c r="R4" s="565"/>
      <c r="S4" s="565"/>
      <c r="T4" s="565"/>
      <c r="U4" s="75"/>
      <c r="W4" s="565" t="s">
        <v>72</v>
      </c>
      <c r="X4" s="565"/>
      <c r="Y4" s="565"/>
      <c r="Z4" s="565"/>
      <c r="AA4" s="565"/>
      <c r="AB4" s="75"/>
      <c r="AD4" s="565" t="s">
        <v>72</v>
      </c>
      <c r="AE4" s="565"/>
      <c r="AF4" s="565"/>
      <c r="AG4" s="565"/>
      <c r="AH4" s="565"/>
      <c r="AI4" s="75"/>
      <c r="AK4" s="565" t="s">
        <v>72</v>
      </c>
      <c r="AL4" s="565"/>
      <c r="AM4" s="565"/>
      <c r="AN4" s="565"/>
      <c r="AO4" s="565"/>
      <c r="AP4" s="75"/>
      <c r="AR4" s="565" t="s">
        <v>72</v>
      </c>
      <c r="AS4" s="565"/>
      <c r="AT4" s="565"/>
      <c r="AU4" s="565"/>
      <c r="AV4" s="565"/>
      <c r="AW4" s="75"/>
    </row>
    <row r="5" spans="1:49" x14ac:dyDescent="0.25">
      <c r="B5" s="376">
        <v>50</v>
      </c>
      <c r="C5" s="376">
        <v>85</v>
      </c>
      <c r="D5" s="376">
        <v>120</v>
      </c>
      <c r="E5" s="376">
        <v>160</v>
      </c>
      <c r="F5" s="376">
        <v>200</v>
      </c>
      <c r="G5" s="376">
        <v>240</v>
      </c>
      <c r="H5" s="99"/>
      <c r="I5" s="376">
        <v>50</v>
      </c>
      <c r="J5" s="376">
        <v>85</v>
      </c>
      <c r="K5" s="376">
        <v>120</v>
      </c>
      <c r="L5" s="376">
        <v>160</v>
      </c>
      <c r="M5" s="376">
        <v>200</v>
      </c>
      <c r="N5" s="376">
        <v>240</v>
      </c>
      <c r="O5" s="99"/>
      <c r="P5" s="376">
        <v>50</v>
      </c>
      <c r="Q5" s="376">
        <v>85</v>
      </c>
      <c r="R5" s="376">
        <v>120</v>
      </c>
      <c r="S5" s="376">
        <v>160</v>
      </c>
      <c r="T5" s="376">
        <v>200</v>
      </c>
      <c r="U5" s="376">
        <v>240</v>
      </c>
      <c r="W5" s="376">
        <v>50</v>
      </c>
      <c r="X5" s="376">
        <v>85</v>
      </c>
      <c r="Y5" s="376">
        <v>120</v>
      </c>
      <c r="Z5" s="376">
        <v>160</v>
      </c>
      <c r="AA5" s="376">
        <v>200</v>
      </c>
      <c r="AB5" s="376">
        <v>240</v>
      </c>
      <c r="AD5" s="376">
        <v>50</v>
      </c>
      <c r="AE5" s="376">
        <v>85</v>
      </c>
      <c r="AF5" s="376">
        <v>120</v>
      </c>
      <c r="AG5" s="376">
        <v>160</v>
      </c>
      <c r="AH5" s="376">
        <v>200</v>
      </c>
      <c r="AI5" s="376">
        <v>240</v>
      </c>
      <c r="AK5" s="376">
        <v>50</v>
      </c>
      <c r="AL5" s="376">
        <v>85</v>
      </c>
      <c r="AM5" s="376">
        <v>120</v>
      </c>
      <c r="AN5" s="376">
        <v>160</v>
      </c>
      <c r="AO5" s="376">
        <v>200</v>
      </c>
      <c r="AP5" s="376">
        <v>240</v>
      </c>
      <c r="AR5" s="376">
        <v>50</v>
      </c>
      <c r="AS5" s="376">
        <v>85</v>
      </c>
      <c r="AT5" s="376">
        <v>120</v>
      </c>
      <c r="AU5" s="376">
        <v>160</v>
      </c>
      <c r="AV5" s="376">
        <v>200</v>
      </c>
      <c r="AW5" s="376">
        <v>240</v>
      </c>
    </row>
    <row r="6" spans="1:49" ht="13.8" thickBot="1" x14ac:dyDescent="0.3">
      <c r="A6" s="306" t="s">
        <v>15</v>
      </c>
      <c r="B6" s="11">
        <v>85</v>
      </c>
      <c r="C6" s="11">
        <v>120</v>
      </c>
      <c r="D6" s="11">
        <v>160</v>
      </c>
      <c r="E6" s="11">
        <v>200</v>
      </c>
      <c r="F6" s="11">
        <v>240</v>
      </c>
      <c r="G6" s="11">
        <v>285</v>
      </c>
      <c r="H6" s="222"/>
      <c r="I6" s="11">
        <v>85</v>
      </c>
      <c r="J6" s="11">
        <v>120</v>
      </c>
      <c r="K6" s="11">
        <v>160</v>
      </c>
      <c r="L6" s="11">
        <v>200</v>
      </c>
      <c r="M6" s="11">
        <v>240</v>
      </c>
      <c r="N6" s="11">
        <v>285</v>
      </c>
      <c r="O6" s="94"/>
      <c r="P6" s="11">
        <v>85</v>
      </c>
      <c r="Q6" s="11">
        <v>120</v>
      </c>
      <c r="R6" s="11">
        <v>160</v>
      </c>
      <c r="S6" s="11">
        <v>200</v>
      </c>
      <c r="T6" s="11">
        <v>240</v>
      </c>
      <c r="U6" s="11">
        <v>285</v>
      </c>
      <c r="W6" s="11">
        <v>85</v>
      </c>
      <c r="X6" s="11">
        <v>120</v>
      </c>
      <c r="Y6" s="11">
        <v>160</v>
      </c>
      <c r="Z6" s="11">
        <v>200</v>
      </c>
      <c r="AA6" s="11">
        <v>240</v>
      </c>
      <c r="AB6" s="11">
        <v>285</v>
      </c>
      <c r="AD6" s="11">
        <v>85</v>
      </c>
      <c r="AE6" s="11">
        <v>120</v>
      </c>
      <c r="AF6" s="11">
        <v>160</v>
      </c>
      <c r="AG6" s="11">
        <v>200</v>
      </c>
      <c r="AH6" s="11">
        <v>240</v>
      </c>
      <c r="AI6" s="11">
        <v>285</v>
      </c>
      <c r="AK6" s="11">
        <v>85</v>
      </c>
      <c r="AL6" s="11">
        <v>120</v>
      </c>
      <c r="AM6" s="11">
        <v>160</v>
      </c>
      <c r="AN6" s="11">
        <v>200</v>
      </c>
      <c r="AO6" s="11">
        <v>240</v>
      </c>
      <c r="AP6" s="11">
        <v>285</v>
      </c>
      <c r="AR6" s="11">
        <v>85</v>
      </c>
      <c r="AS6" s="11">
        <v>120</v>
      </c>
      <c r="AT6" s="11">
        <v>160</v>
      </c>
      <c r="AU6" s="11">
        <v>200</v>
      </c>
      <c r="AV6" s="11">
        <v>240</v>
      </c>
      <c r="AW6" s="11">
        <v>285</v>
      </c>
    </row>
    <row r="7" spans="1:49" x14ac:dyDescent="0.25">
      <c r="A7" t="s">
        <v>1</v>
      </c>
      <c r="B7" s="291">
        <f>IF(B5="","",((((B236-B297)*2000)+((SUM(B9:B229)-2000)*((IF($A8=Nutrients!$B$79,Nutrients!$DA$79,(IF($A8=Nutrients!$B$77,Nutrients!$DA$77,Nutrients!$DA$78)))))))/((IF($A7=Nutrients!$B$8,Nutrients!$DA$8,Nutrients!$DA$9))-((IF($A8=Nutrients!$B$79,Nutrients!$DA$79,(IF($A8=Nutrients!$B$77,Nutrients!$DA$77,Nutrients!$DA$78))))))))</f>
        <v>1323.1904784197848</v>
      </c>
      <c r="C7" s="291">
        <f>IF(C5="","",((((C236-C297)*2000)+((SUM(C9:C229)-2000)*((IF($A8=Nutrients!$B$79,Nutrients!$DA$79,(IF($A8=Nutrients!$B$77,Nutrients!$DA$77,Nutrients!$DA$78)))))))/((IF($A7=Nutrients!$B$8,Nutrients!$DA$8,Nutrients!$DA$9))-((IF($A8=Nutrients!$B$79,Nutrients!$DA$79,(IF($A8=Nutrients!$B$77,Nutrients!$DA$77,Nutrients!$DA$78))))))))</f>
        <v>1438.5863426264264</v>
      </c>
      <c r="D7" s="291">
        <f>IF(D5="","",((((D236-D297)*2000)+((SUM(D9:D229)-2000)*((IF($A8=Nutrients!$B$79,Nutrients!$DA$79,(IF($A8=Nutrients!$B$77,Nutrients!$DA$77,Nutrients!$DA$78)))))))/((IF($A7=Nutrients!$B$8,Nutrients!$DA$8,Nutrients!$DA$9))-((IF($A8=Nutrients!$B$79,Nutrients!$DA$79,(IF($A8=Nutrients!$B$77,Nutrients!$DA$77,Nutrients!$DA$78))))))))</f>
        <v>1538.5624561307404</v>
      </c>
      <c r="E7" s="291">
        <f>IF(E5="","",((((E236-E297)*2000)+((SUM(E9:E229)-2000)*((IF($A8=Nutrients!$B$79,Nutrients!$DA$79,(IF($A8=Nutrients!$B$77,Nutrients!$DA$77,Nutrients!$DA$78)))))))/((IF($A7=Nutrients!$B$8,Nutrients!$DA$8,Nutrients!$DA$9))-((IF($A8=Nutrients!$B$79,Nutrients!$DA$79,(IF($A8=Nutrients!$B$77,Nutrients!$DA$77,Nutrients!$DA$78))))))))</f>
        <v>1622.5648380110952</v>
      </c>
      <c r="F7" s="291">
        <f>IF(F5="","",((((F236-F297)*2000)+((SUM(F9:F229)-2000)*((IF($A8=Nutrients!$B$79,Nutrients!$DA$79,(IF($A8=Nutrients!$B$77,Nutrients!$DA$77,Nutrients!$DA$78)))))))/((IF($A7=Nutrients!$B$8,Nutrients!$DA$8,Nutrients!$DA$9))-((IF($A8=Nutrients!$B$79,Nutrients!$DA$79,(IF($A8=Nutrients!$B$77,Nutrients!$DA$77,Nutrients!$DA$78))))))))</f>
        <v>1679.6960832539069</v>
      </c>
      <c r="G7" s="291">
        <f>IF(G5="","",((((G236-G297)*2000)+((SUM(G9:G229)-2000)*((IF($A8=Nutrients!$B$79,Nutrients!$DA$79,(IF($A8=Nutrients!$B$77,Nutrients!$DA$77,Nutrients!$DA$78)))))))/((IF($A7=Nutrients!$B$8,Nutrients!$DA$8,Nutrients!$DA$9))-((IF($A8=Nutrients!$B$79,Nutrients!$DA$79,(IF($A8=Nutrients!$B$77,Nutrients!$DA$77,Nutrients!$DA$78))))))))</f>
        <v>1707.9835561942639</v>
      </c>
      <c r="H7" s="291"/>
      <c r="I7" s="291">
        <f>IF(I5="","",((((I236-I297)*2000)+((SUM(I9:I229)-2000)*((IF($A8=Nutrients!$B$79,Nutrients!$DA$79,(IF($A8=Nutrients!$B$77,Nutrients!$DA$77,Nutrients!$DA$78)))))))/((IF($A7=Nutrients!$B$8,Nutrients!$DA$8,Nutrients!$DA$9))-((IF($A8=Nutrients!$B$79,Nutrients!$DA$79,(IF($A8=Nutrients!$B$77,Nutrients!$DA$77,Nutrients!$DA$78))))))))</f>
        <v>1244.3425458808397</v>
      </c>
      <c r="J7" s="291">
        <f>IF(J5="","",((((J236-J297)*2000)+((SUM(J9:J229)-2000)*((IF($A8=Nutrients!$B$79,Nutrients!$DA$79,(IF($A8=Nutrients!$B$77,Nutrients!$DA$77,Nutrients!$DA$78)))))))/((IF($A7=Nutrients!$B$8,Nutrients!$DA$8,Nutrients!$DA$9))-((IF($A8=Nutrients!$B$79,Nutrients!$DA$79,(IF($A8=Nutrients!$B$77,Nutrients!$DA$77,Nutrients!$DA$78))))))))</f>
        <v>1359.5954379694961</v>
      </c>
      <c r="K7" s="291">
        <f>IF(K5="","",((((K236-K297)*2000)+((SUM(K9:K229)-2000)*((IF($A8=Nutrients!$B$79,Nutrients!$DA$79,(IF($A8=Nutrients!$B$77,Nutrients!$DA$77,Nutrients!$DA$78)))))))/((IF($A7=Nutrients!$B$8,Nutrients!$DA$8,Nutrients!$DA$9))-((IF($A8=Nutrients!$B$79,Nutrients!$DA$79,(IF($A8=Nutrients!$B$77,Nutrients!$DA$77,Nutrients!$DA$78))))))))</f>
        <v>1459.8296084224799</v>
      </c>
      <c r="L7" s="291">
        <f>IF(L5="","",((((L236-L297)*2000)+((SUM(L9:L229)-2000)*((IF($A8=Nutrients!$B$79,Nutrients!$DA$79,(IF($A8=Nutrients!$B$77,Nutrients!$DA$77,Nutrients!$DA$78)))))))/((IF($A7=Nutrients!$B$8,Nutrients!$DA$8,Nutrients!$DA$9))-((IF($A8=Nutrients!$B$79,Nutrients!$DA$79,(IF($A8=Nutrients!$B$77,Nutrients!$DA$77,Nutrients!$DA$78))))))))</f>
        <v>1544.2140234786229</v>
      </c>
      <c r="M7" s="291">
        <f>IF(M5="","",((((M236-M297)*2000)+((SUM(M9:M229)-2000)*((IF($A8=Nutrients!$B$79,Nutrients!$DA$79,(IF($A8=Nutrients!$B$77,Nutrients!$DA$77,Nutrients!$DA$78)))))))/((IF($A7=Nutrients!$B$8,Nutrients!$DA$8,Nutrients!$DA$9))-((IF($A8=Nutrients!$B$79,Nutrients!$DA$79,(IF($A8=Nutrients!$B$77,Nutrients!$DA$77,Nutrients!$DA$78))))))))</f>
        <v>1601.0707692503834</v>
      </c>
      <c r="N7" s="291">
        <f>IF(N5="","",((((N236-N297)*2000)+((SUM(N9:N229)-2000)*((IF($A8=Nutrients!$B$79,Nutrients!$DA$79,(IF($A8=Nutrients!$B$77,Nutrients!$DA$77,Nutrients!$DA$78)))))))/((IF($A7=Nutrients!$B$8,Nutrients!$DA$8,Nutrients!$DA$9))-((IF($A8=Nutrients!$B$79,Nutrients!$DA$79,(IF($A8=Nutrients!$B$77,Nutrients!$DA$77,Nutrients!$DA$78))))))))</f>
        <v>1707.9835561942639</v>
      </c>
      <c r="O7" s="30"/>
      <c r="P7" s="291">
        <f>IF(P5="","",((((P236-P297)*2000)+((SUM(P9:P229)-2000)*((IF($A8=Nutrients!$B$79,Nutrients!$DA$79,(IF($A8=Nutrients!$B$77,Nutrients!$DA$77,Nutrients!$DA$78)))))))/((IF($A7=Nutrients!$B$8,Nutrients!$DA$8,Nutrients!$DA$9))-((IF($A8=Nutrients!$B$79,Nutrients!$DA$79,(IF($A8=Nutrients!$B$77,Nutrients!$DA$77,Nutrients!$DA$78))))))))</f>
        <v>1165.4730991667295</v>
      </c>
      <c r="Q7" s="291">
        <f>IF(Q5="","",((((Q236-Q297)*2000)+((SUM(Q9:Q229)-2000)*((IF($A8=Nutrients!$B$79,Nutrients!$DA$79,(IF($A8=Nutrients!$B$77,Nutrients!$DA$77,Nutrients!$DA$78)))))))/((IF($A7=Nutrients!$B$8,Nutrients!$DA$8,Nutrients!$DA$9))-((IF($A8=Nutrients!$B$79,Nutrients!$DA$79,(IF($A8=Nutrients!$B$77,Nutrients!$DA$77,Nutrients!$DA$78))))))))</f>
        <v>1280.6851961168134</v>
      </c>
      <c r="R7" s="291">
        <f>IF(R5="","",((((R236-R297)*2000)+((SUM(R9:R229)-2000)*((IF($A8=Nutrients!$B$79,Nutrients!$DA$79,(IF($A8=Nutrients!$B$77,Nutrients!$DA$77,Nutrients!$DA$78)))))))/((IF($A7=Nutrients!$B$8,Nutrients!$DA$8,Nutrients!$DA$9))-((IF($A8=Nutrients!$B$79,Nutrients!$DA$79,(IF($A8=Nutrients!$B$77,Nutrients!$DA$77,Nutrients!$DA$78))))))))</f>
        <v>1380.8577906096273</v>
      </c>
      <c r="S7" s="291">
        <f>IF(S5="","",((((S236-S297)*2000)+((SUM(S9:S229)-2000)*((IF($A8=Nutrients!$B$79,Nutrients!$DA$79,(IF($A8=Nutrients!$B$77,Nutrients!$DA$77,Nutrients!$DA$78)))))))/((IF($A7=Nutrients!$B$8,Nutrients!$DA$8,Nutrients!$DA$9))-((IF($A8=Nutrients!$B$79,Nutrients!$DA$79,(IF($A8=Nutrients!$B$77,Nutrients!$DA$77,Nutrients!$DA$78))))))))</f>
        <v>1465.2664254848405</v>
      </c>
      <c r="T7" s="291">
        <f>IF(T5="","",((((T236-T297)*2000)+((SUM(T9:T229)-2000)*((IF($A8=Nutrients!$B$79,Nutrients!$DA$79,(IF($A8=Nutrients!$B$77,Nutrients!$DA$77,Nutrients!$DA$78)))))))/((IF($A7=Nutrients!$B$8,Nutrients!$DA$8,Nutrients!$DA$9))-((IF($A8=Nutrients!$B$79,Nutrients!$DA$79,(IF($A8=Nutrients!$B$77,Nutrients!$DA$77,Nutrients!$DA$78))))))))</f>
        <v>1522.0627793200747</v>
      </c>
      <c r="U7" s="291">
        <f>IF(U5="","",((((U236-U297)*2000)+((SUM(U9:U229)-2000)*((IF($A8=Nutrients!$B$79,Nutrients!$DA$79,(IF($A8=Nutrients!$B$77,Nutrients!$DA$77,Nutrients!$DA$78)))))))/((IF($A7=Nutrients!$B$8,Nutrients!$DA$8,Nutrients!$DA$9))-((IF($A8=Nutrients!$B$79,Nutrients!$DA$79,(IF($A8=Nutrients!$B$77,Nutrients!$DA$77,Nutrients!$DA$78))))))))</f>
        <v>1707.9835561942639</v>
      </c>
      <c r="W7" s="291">
        <f>IF(W5="","",((((W236-W297)*2000)+((SUM(W9:W229)-2000)*((IF($A8=Nutrients!$B$79,Nutrients!$DA$79,(IF($A8=Nutrients!$B$77,Nutrients!$DA$77,Nutrients!$DA$78)))))))/((IF($A7=Nutrients!$B$8,Nutrients!$DA$8,Nutrients!$DA$9))-((IF($A8=Nutrients!$B$79,Nutrients!$DA$79,(IF($A8=Nutrients!$B$77,Nutrients!$DA$77,Nutrients!$DA$78))))))))</f>
        <v>1086.5714666991855</v>
      </c>
      <c r="X7" s="291">
        <f>IF(X5="","",((((X236-X297)*2000)+((SUM(X9:X229)-2000)*((IF($A8=Nutrients!$B$79,Nutrients!$DA$79,(IF($A8=Nutrients!$B$77,Nutrients!$DA$77,Nutrients!$DA$78)))))))/((IF($A7=Nutrients!$B$8,Nutrients!$DA$8,Nutrients!$DA$9))-((IF($A8=Nutrients!$B$79,Nutrients!$DA$79,(IF($A8=Nutrients!$B$77,Nutrients!$DA$77,Nutrients!$DA$78))))))))</f>
        <v>1201.7363238383768</v>
      </c>
      <c r="Y7" s="291">
        <f>IF(Y5="","",((((Y236-Y297)*2000)+((SUM(Y9:Y229)-2000)*((IF($A8=Nutrients!$B$79,Nutrients!$DA$79,(IF($A8=Nutrients!$B$77,Nutrients!$DA$77,Nutrients!$DA$78)))))))/((IF($A7=Nutrients!$B$8,Nutrients!$DA$8,Nutrients!$DA$9))-((IF($A8=Nutrients!$B$79,Nutrients!$DA$79,(IF($A8=Nutrients!$B$77,Nutrients!$DA$77,Nutrients!$DA$78))))))))</f>
        <v>1301.9781786403018</v>
      </c>
      <c r="Z7" s="291">
        <f>IF(Z5="","",((((Z236-Z297)*2000)+((SUM(Z9:Z229)-2000)*((IF($A8=Nutrients!$B$79,Nutrients!$DA$79,(IF($A8=Nutrients!$B$77,Nutrients!$DA$77,Nutrients!$DA$78)))))))/((IF($A7=Nutrients!$B$8,Nutrients!$DA$8,Nutrients!$DA$9))-((IF($A8=Nutrients!$B$79,Nutrients!$DA$79,(IF($A8=Nutrients!$B$77,Nutrients!$DA$77,Nutrients!$DA$78))))))))</f>
        <v>1386.4317647147623</v>
      </c>
      <c r="AA7" s="291">
        <f>IF(AA5="","",((((AA236-AA297)*2000)+((SUM(AA9:AA229)-2000)*((IF($A8=Nutrients!$B$79,Nutrients!$DA$79,(IF($A8=Nutrients!$B$77,Nutrients!$DA$77,Nutrients!$DA$78)))))))/((IF($A7=Nutrients!$B$8,Nutrients!$DA$8,Nutrients!$DA$9))-((IF($A8=Nutrients!$B$79,Nutrients!$DA$79,(IF($A8=Nutrients!$B$77,Nutrients!$DA$77,Nutrients!$DA$78))))))))</f>
        <v>1442.97898902355</v>
      </c>
      <c r="AB7" s="291">
        <f>IF(AB5="","",((((AB236-AB297)*2000)+((SUM(AB9:AB229)-2000)*((IF($A8=Nutrients!$B$79,Nutrients!$DA$79,(IF($A8=Nutrients!$B$77,Nutrients!$DA$77,Nutrients!$DA$78)))))))/((IF($A7=Nutrients!$B$8,Nutrients!$DA$8,Nutrients!$DA$9))-((IF($A8=Nutrients!$B$79,Nutrients!$DA$79,(IF($A8=Nutrients!$B$77,Nutrients!$DA$77,Nutrients!$DA$78))))))))</f>
        <v>1707.9835561942639</v>
      </c>
      <c r="AD7" s="291">
        <f>IF(AD5="","",((((AD236-AD297)*2000)+((SUM(AD9:AD229)-2000)*((IF($A8=Nutrients!$B$79,Nutrients!$DA$79,(IF($A8=Nutrients!$B$77,Nutrients!$DA$77,Nutrients!$DA$78)))))))/((IF($A7=Nutrients!$B$8,Nutrients!$DA$8,Nutrients!$DA$9))-((IF($A8=Nutrients!$B$79,Nutrients!$DA$79,(IF($A8=Nutrients!$B$77,Nutrients!$DA$77,Nutrients!$DA$78))))))))</f>
        <v>1007.6303314864314</v>
      </c>
      <c r="AE7" s="291">
        <f>IF(AE5="","",((((AE236-AE297)*2000)+((SUM(AE9:AE229)-2000)*((IF($A8=Nutrients!$B$79,Nutrients!$DA$79,(IF($A8=Nutrients!$B$77,Nutrients!$DA$77,Nutrients!$DA$78)))))))/((IF($A7=Nutrients!$B$8,Nutrients!$DA$8,Nutrients!$DA$9))-((IF($A8=Nutrients!$B$79,Nutrients!$DA$79,(IF($A8=Nutrients!$B$77,Nutrients!$DA$77,Nutrients!$DA$78))))))))</f>
        <v>1122.8126016706606</v>
      </c>
      <c r="AF7" s="291">
        <f>IF(AF5="","",((((AF236-AF297)*2000)+((SUM(AF9:AF229)-2000)*((IF($A8=Nutrients!$B$79,Nutrients!$DA$79,(IF($A8=Nutrients!$B$77,Nutrients!$DA$77,Nutrients!$DA$78)))))))/((IF($A7=Nutrients!$B$8,Nutrients!$DA$8,Nutrients!$DA$9))-((IF($A8=Nutrients!$B$79,Nutrients!$DA$79,(IF($A8=Nutrients!$B$77,Nutrients!$DA$77,Nutrients!$DA$78))))))))</f>
        <v>1223.1992891180096</v>
      </c>
      <c r="AG7" s="291">
        <f>IF(AG5="","",((((AG236-AG297)*2000)+((SUM(AG9:AG229)-2000)*((IF($A8=Nutrients!$B$79,Nutrients!$DA$79,(IF($A8=Nutrients!$B$77,Nutrients!$DA$77,Nutrients!$DA$78)))))))/((IF($A7=Nutrients!$B$8,Nutrients!$DA$8,Nutrients!$DA$9))-((IF($A8=Nutrients!$B$79,Nutrients!$DA$79,(IF($A8=Nutrients!$B$77,Nutrients!$DA$77,Nutrients!$DA$78))))))))</f>
        <v>1307.2814240792434</v>
      </c>
      <c r="AH7" s="291">
        <f>IF(AH5="","",((((AH236-AH297)*2000)+((SUM(AH9:AH229)-2000)*((IF($A8=Nutrients!$B$79,Nutrients!$DA$79,(IF($A8=Nutrients!$B$77,Nutrients!$DA$77,Nutrients!$DA$78)))))))/((IF($A7=Nutrients!$B$8,Nutrients!$DA$8,Nutrients!$DA$9))-((IF($A8=Nutrients!$B$79,Nutrients!$DA$79,(IF($A8=Nutrients!$B$77,Nutrients!$DA$77,Nutrients!$DA$78))))))))</f>
        <v>1361.3936227952668</v>
      </c>
      <c r="AI7" s="291">
        <f>IF(AI5="","",((((AI236-AI297)*2000)+((SUM(AI9:AI229)-2000)*((IF($A8=Nutrients!$B$79,Nutrients!$DA$79,(IF($A8=Nutrients!$B$77,Nutrients!$DA$77,Nutrients!$DA$78)))))))/((IF($A7=Nutrients!$B$8,Nutrients!$DA$8,Nutrients!$DA$9))-((IF($A8=Nutrients!$B$79,Nutrients!$DA$79,(IF($A8=Nutrients!$B$77,Nutrients!$DA$77,Nutrients!$DA$78))))))))</f>
        <v>1707.9835561942639</v>
      </c>
      <c r="AK7" s="291">
        <f>IF(AK5="","",((((AK236-AK297)*2000)+((SUM(AK9:AK229)-2000)*((IF($A8=Nutrients!$B$79,Nutrients!$DA$79,(IF($A8=Nutrients!$B$77,Nutrients!$DA$77,Nutrients!$DA$78)))))))/((IF($A7=Nutrients!$B$8,Nutrients!$DA$8,Nutrients!$DA$9))-((IF($A8=Nutrients!$B$79,Nutrients!$DA$79,(IF($A8=Nutrients!$B$77,Nutrients!$DA$77,Nutrients!$DA$78))))))))</f>
        <v>928.41203793092404</v>
      </c>
      <c r="AL7" s="291">
        <f>IF(AL5="","",((((AL236-AL297)*2000)+((SUM(AL9:AL229)-2000)*((IF($A8=Nutrients!$B$79,Nutrients!$DA$79,(IF($A8=Nutrients!$B$77,Nutrients!$DA$77,Nutrients!$DA$78)))))))/((IF($A7=Nutrients!$B$8,Nutrients!$DA$8,Nutrients!$DA$9))-((IF($A8=Nutrients!$B$79,Nutrients!$DA$79,(IF($A8=Nutrients!$B$77,Nutrients!$DA$77,Nutrients!$DA$78))))))))</f>
        <v>1043.8929694733176</v>
      </c>
      <c r="AM7" s="291">
        <f>IF(AM5="","",((((AM236-AM297)*2000)+((SUM(AM9:AM229)-2000)*((IF($A8=Nutrients!$B$79,Nutrients!$DA$79,(IF($A8=Nutrients!$B$77,Nutrients!$DA$77,Nutrients!$DA$78)))))))/((IF($A7=Nutrients!$B$8,Nutrients!$DA$8,Nutrients!$DA$9))-((IF($A8=Nutrients!$B$79,Nutrients!$DA$79,(IF($A8=Nutrients!$B$77,Nutrients!$DA$77,Nutrients!$DA$78))))))))</f>
        <v>1144.1206282230485</v>
      </c>
      <c r="AN7" s="291">
        <f>IF(AN5="","",((((AN236-AN297)*2000)+((SUM(AN9:AN229)-2000)*((IF($A8=Nutrients!$B$79,Nutrients!$DA$79,(IF($A8=Nutrients!$B$77,Nutrients!$DA$77,Nutrients!$DA$78)))))))/((IF($A7=Nutrients!$B$8,Nutrients!$DA$8,Nutrients!$DA$9))-((IF($A8=Nutrients!$B$79,Nutrients!$DA$79,(IF($A8=Nutrients!$B$77,Nutrients!$DA$77,Nutrients!$DA$78))))))))</f>
        <v>1225.9793574859152</v>
      </c>
      <c r="AO7" s="291">
        <f>IF(AO5="","",((((AO236-AO297)*2000)+((SUM(AO9:AO229)-2000)*((IF($A8=Nutrients!$B$79,Nutrients!$DA$79,(IF($A8=Nutrients!$B$77,Nutrients!$DA$77,Nutrients!$DA$78)))))))/((IF($A7=Nutrients!$B$8,Nutrients!$DA$8,Nutrients!$DA$9))-((IF($A8=Nutrients!$B$79,Nutrients!$DA$79,(IF($A8=Nutrients!$B$77,Nutrients!$DA$77,Nutrients!$DA$78))))))))</f>
        <v>1279.1768614094465</v>
      </c>
      <c r="AP7" s="291">
        <f>IF(AP5="","",((((AP236-AP297)*2000)+((SUM(AP9:AP229)-2000)*((IF($A8=Nutrients!$B$79,Nutrients!$DA$79,(IF($A8=Nutrients!$B$77,Nutrients!$DA$77,Nutrients!$DA$78)))))))/((IF($A7=Nutrients!$B$8,Nutrients!$DA$8,Nutrients!$DA$9))-((IF($A8=Nutrients!$B$79,Nutrients!$DA$79,(IF($A8=Nutrients!$B$77,Nutrients!$DA$77,Nutrients!$DA$78))))))))</f>
        <v>1707.9835561942639</v>
      </c>
      <c r="AR7" s="291">
        <f>IF(AR5="","",((((AR236-AR297)*2000)+((SUM(AR9:AR229)-2000)*((IF($A8=Nutrients!$B$79,Nutrients!$DA$79,(IF($A8=Nutrients!$B$77,Nutrients!$DA$77,Nutrients!$DA$78)))))))/((IF($A7=Nutrients!$B$8,Nutrients!$DA$8,Nutrients!$DA$9))-((IF($A8=Nutrients!$B$79,Nutrients!$DA$79,(IF($A8=Nutrients!$B$77,Nutrients!$DA$77,Nutrients!$DA$78))))))))</f>
        <v>849.61033098806695</v>
      </c>
      <c r="AS7" s="291">
        <f>IF(AS5="","",((((AS236-AS297)*2000)+((SUM(AS9:AS229)-2000)*((IF($A8=Nutrients!$B$79,Nutrients!$DA$79,(IF($A8=Nutrients!$B$77,Nutrients!$DA$77,Nutrients!$DA$78)))))))/((IF($A7=Nutrients!$B$8,Nutrients!$DA$8,Nutrients!$DA$9))-((IF($A8=Nutrients!$B$79,Nutrients!$DA$79,(IF($A8=Nutrients!$B$77,Nutrients!$DA$77,Nutrients!$DA$78))))))))</f>
        <v>964.97108352863472</v>
      </c>
      <c r="AT7" s="291">
        <f>IF(AT5="","",((((AT236-AT297)*2000)+((SUM(AT9:AT229)-2000)*((IF($A8=Nutrients!$B$79,Nutrients!$DA$79,(IF($A8=Nutrients!$B$77,Nutrients!$DA$77,Nutrients!$DA$78)))))))/((IF($A7=Nutrients!$B$8,Nutrients!$DA$8,Nutrients!$DA$9))-((IF($A8=Nutrients!$B$79,Nutrients!$DA$79,(IF($A8=Nutrients!$B$77,Nutrients!$DA$77,Nutrients!$DA$78))))))))</f>
        <v>1064.4795674578329</v>
      </c>
      <c r="AU7" s="291">
        <f>IF(AU5="","",((((AU236-AU297)*2000)+((SUM(AU9:AU229)-2000)*((IF($A8=Nutrients!$B$79,Nutrients!$DA$79,(IF($A8=Nutrients!$B$77,Nutrients!$DA$77,Nutrients!$DA$78)))))))/((IF($A7=Nutrients!$B$8,Nutrients!$DA$8,Nutrients!$DA$9))-((IF($A8=Nutrients!$B$79,Nutrients!$DA$79,(IF($A8=Nutrients!$B$77,Nutrients!$DA$77,Nutrients!$DA$78))))))))</f>
        <v>1143.7710253357211</v>
      </c>
      <c r="AV7" s="291">
        <f>IF(AV5="","",((((AV236-AV297)*2000)+((SUM(AV9:AV229)-2000)*((IF($A8=Nutrients!$B$79,Nutrients!$DA$79,(IF($A8=Nutrients!$B$77,Nutrients!$DA$77,Nutrients!$DA$78)))))))/((IF($A7=Nutrients!$B$8,Nutrients!$DA$8,Nutrients!$DA$9))-((IF($A8=Nutrients!$B$79,Nutrients!$DA$79,(IF($A8=Nutrients!$B$77,Nutrients!$DA$77,Nutrients!$DA$78))))))))</f>
        <v>1196.9147023870614</v>
      </c>
      <c r="AW7" s="291">
        <f>IF(AW5="","",((((AW236-AW297)*2000)+((SUM(AW9:AW229)-2000)*((IF($A8=Nutrients!$B$79,Nutrients!$DA$79,(IF($A8=Nutrients!$B$77,Nutrients!$DA$77,Nutrients!$DA$78)))))))/((IF($A7=Nutrients!$B$8,Nutrients!$DA$8,Nutrients!$DA$9))-((IF($A8=Nutrients!$B$79,Nutrients!$DA$79,(IF($A8=Nutrients!$B$77,Nutrients!$DA$77,Nutrients!$DA$78))))))))</f>
        <v>1707.9835561942639</v>
      </c>
    </row>
    <row r="8" spans="1:49" x14ac:dyDescent="0.25">
      <c r="A8" t="s">
        <v>295</v>
      </c>
      <c r="B8" s="291">
        <f t="shared" ref="B8:G8" si="6">IF(B5="","",2000-SUM(B9:B218)-B7)</f>
        <v>618.86019033712819</v>
      </c>
      <c r="C8" s="291">
        <f t="shared" si="6"/>
        <v>508.40076632216437</v>
      </c>
      <c r="D8" s="291">
        <f t="shared" si="6"/>
        <v>413.17469083498395</v>
      </c>
      <c r="E8" s="291">
        <f t="shared" si="6"/>
        <v>332.93731204963137</v>
      </c>
      <c r="F8" s="291">
        <f t="shared" si="6"/>
        <v>279.42017973722363</v>
      </c>
      <c r="G8" s="291">
        <f t="shared" si="6"/>
        <v>252.24678261106305</v>
      </c>
      <c r="H8" s="291"/>
      <c r="I8" s="291">
        <f t="shared" ref="I8:N8" si="7">IF(I5="","",2000-SUM(I9:I220)-I7)</f>
        <v>588.41184062550701</v>
      </c>
      <c r="J8" s="291">
        <f t="shared" si="7"/>
        <v>477.96245678736773</v>
      </c>
      <c r="K8" s="291">
        <f t="shared" si="7"/>
        <v>382.71825932345496</v>
      </c>
      <c r="L8" s="291">
        <f t="shared" si="7"/>
        <v>302.45405236564534</v>
      </c>
      <c r="M8" s="291">
        <f t="shared" si="7"/>
        <v>248.95619670148585</v>
      </c>
      <c r="N8" s="291">
        <f t="shared" si="7"/>
        <v>252.24678261106305</v>
      </c>
      <c r="O8" s="30"/>
      <c r="P8" s="291">
        <f t="shared" ref="P8:U8" si="8">IF(P5="","",2000-SUM(P9:P220)-P7)</f>
        <v>557.96500174079324</v>
      </c>
      <c r="Q8" s="291">
        <f t="shared" si="8"/>
        <v>447.51848272980101</v>
      </c>
      <c r="R8" s="291">
        <f t="shared" si="8"/>
        <v>352.27860942039456</v>
      </c>
      <c r="S8" s="291">
        <f t="shared" si="8"/>
        <v>272.01270163259414</v>
      </c>
      <c r="T8" s="291">
        <f t="shared" si="8"/>
        <v>218.51908697521299</v>
      </c>
      <c r="U8" s="291">
        <f t="shared" si="8"/>
        <v>252.24678261106305</v>
      </c>
      <c r="W8" s="291">
        <f t="shared" ref="W8:AB8" si="9">IF(W5="","",2000-SUM(W9:W220)-W7)</f>
        <v>527.52042309157355</v>
      </c>
      <c r="X8" s="291">
        <f t="shared" si="9"/>
        <v>417.07722148303151</v>
      </c>
      <c r="Y8" s="291">
        <f t="shared" si="9"/>
        <v>321.83248438787291</v>
      </c>
      <c r="Z8" s="291">
        <f t="shared" si="9"/>
        <v>241.56341991473255</v>
      </c>
      <c r="AA8" s="291">
        <f t="shared" si="9"/>
        <v>188.08730030836568</v>
      </c>
      <c r="AB8" s="291">
        <f t="shared" si="9"/>
        <v>252.24678261106305</v>
      </c>
      <c r="AD8" s="291">
        <f t="shared" ref="AD8:AI8" si="10">IF(AD5="","",2000-SUM(AD9:AD220)-AD7)</f>
        <v>497.07861851153996</v>
      </c>
      <c r="AE8" s="291">
        <f t="shared" si="10"/>
        <v>386.63419407680158</v>
      </c>
      <c r="AF8" s="291">
        <f t="shared" si="10"/>
        <v>291.37928614980115</v>
      </c>
      <c r="AG8" s="291">
        <f t="shared" si="10"/>
        <v>211.13630672674685</v>
      </c>
      <c r="AH8" s="291">
        <f t="shared" si="10"/>
        <v>157.83118610863608</v>
      </c>
      <c r="AI8" s="291">
        <f t="shared" si="10"/>
        <v>252.24678261106305</v>
      </c>
      <c r="AK8" s="291">
        <f t="shared" ref="AK8:AP8" si="11">IF(AK5="","",2000-SUM(AK9:AK220)-AK7)</f>
        <v>466.6562772982727</v>
      </c>
      <c r="AL8" s="291">
        <f t="shared" si="11"/>
        <v>356.19087945355091</v>
      </c>
      <c r="AM8" s="291">
        <f t="shared" si="11"/>
        <v>260.94713927216981</v>
      </c>
      <c r="AN8" s="291">
        <f t="shared" si="11"/>
        <v>180.86029788973087</v>
      </c>
      <c r="AO8" s="291">
        <f t="shared" si="11"/>
        <v>127.61941145648643</v>
      </c>
      <c r="AP8" s="291">
        <f t="shared" si="11"/>
        <v>252.24678261106305</v>
      </c>
      <c r="AR8" s="291">
        <f t="shared" ref="AR8:AW8" si="12">IF(AR5="","",2000-SUM(AR9:AR220)-AR7)</f>
        <v>436.20468140715082</v>
      </c>
      <c r="AS8" s="291">
        <f t="shared" si="12"/>
        <v>325.74772309907405</v>
      </c>
      <c r="AT8" s="291">
        <f t="shared" si="12"/>
        <v>230.55448676744959</v>
      </c>
      <c r="AU8" s="291">
        <f t="shared" si="12"/>
        <v>150.647931296877</v>
      </c>
      <c r="AV8" s="291">
        <f t="shared" si="12"/>
        <v>97.410824840612349</v>
      </c>
      <c r="AW8" s="291">
        <f t="shared" si="12"/>
        <v>252.24678261106305</v>
      </c>
    </row>
    <row r="9" spans="1:49" ht="13.05" hidden="1" customHeight="1" x14ac:dyDescent="0.25">
      <c r="A9" t="str">
        <f>Nutrients!B8</f>
        <v>Corn</v>
      </c>
      <c r="B9" s="99"/>
      <c r="C9" s="99"/>
      <c r="D9" s="99"/>
      <c r="E9" s="99"/>
      <c r="F9" s="99"/>
      <c r="G9" s="99"/>
      <c r="H9" s="99"/>
      <c r="I9" s="99"/>
      <c r="J9" s="99"/>
      <c r="K9" s="99"/>
      <c r="L9" s="99"/>
      <c r="M9" s="99"/>
      <c r="N9" s="99"/>
      <c r="O9" s="10"/>
      <c r="P9" s="99"/>
      <c r="Q9" s="99"/>
      <c r="R9" s="99"/>
      <c r="S9" s="99"/>
      <c r="T9" s="99"/>
      <c r="U9" s="99"/>
      <c r="W9" s="99"/>
      <c r="X9" s="99"/>
      <c r="Y9" s="99"/>
      <c r="Z9" s="99"/>
      <c r="AA9" s="99"/>
      <c r="AB9" s="99"/>
      <c r="AD9" s="99"/>
      <c r="AE9" s="99"/>
      <c r="AF9" s="99"/>
      <c r="AG9" s="99"/>
      <c r="AH9" s="99"/>
      <c r="AI9" s="99"/>
      <c r="AK9" s="99"/>
      <c r="AL9" s="99"/>
      <c r="AM9" s="99"/>
      <c r="AN9" s="99"/>
      <c r="AO9" s="99"/>
      <c r="AP9" s="99"/>
      <c r="AR9" s="99"/>
      <c r="AS9" s="99"/>
      <c r="AT9" s="99"/>
      <c r="AU9" s="99"/>
      <c r="AV9" s="99"/>
      <c r="AW9" s="99"/>
    </row>
    <row r="10" spans="1:49" ht="13.05" hidden="1" customHeight="1" x14ac:dyDescent="0.25">
      <c r="A10" t="str">
        <f>Nutrients!B9</f>
        <v>Milo</v>
      </c>
      <c r="B10" s="99"/>
      <c r="C10" s="99"/>
      <c r="D10" s="99"/>
      <c r="E10" s="99"/>
      <c r="F10" s="99"/>
      <c r="G10" s="99"/>
      <c r="H10" s="99"/>
      <c r="I10" s="99"/>
      <c r="J10" s="99"/>
      <c r="K10" s="99"/>
      <c r="L10" s="99"/>
      <c r="M10" s="99"/>
      <c r="N10" s="99"/>
      <c r="O10" s="10"/>
      <c r="P10" s="99"/>
      <c r="Q10" s="99"/>
      <c r="R10" s="99"/>
      <c r="S10" s="99"/>
      <c r="T10" s="99"/>
      <c r="U10" s="99"/>
      <c r="W10" s="99"/>
      <c r="X10" s="99"/>
      <c r="Y10" s="99"/>
      <c r="Z10" s="99"/>
      <c r="AA10" s="99"/>
      <c r="AB10" s="99"/>
      <c r="AD10" s="99"/>
      <c r="AE10" s="99"/>
      <c r="AF10" s="99"/>
      <c r="AG10" s="99"/>
      <c r="AH10" s="99"/>
      <c r="AI10" s="99"/>
      <c r="AK10" s="99"/>
      <c r="AL10" s="99"/>
      <c r="AM10" s="99"/>
      <c r="AN10" s="99"/>
      <c r="AO10" s="99"/>
      <c r="AP10" s="99"/>
      <c r="AR10" s="99"/>
      <c r="AS10" s="99"/>
      <c r="AT10" s="99"/>
      <c r="AU10" s="99"/>
      <c r="AV10" s="99"/>
      <c r="AW10" s="99"/>
    </row>
    <row r="11" spans="1:49" ht="13.05" hidden="1" customHeight="1" x14ac:dyDescent="0.25">
      <c r="A11" t="str">
        <f>Nutrients!B10</f>
        <v>Alfalfa Meal</v>
      </c>
      <c r="B11" s="106"/>
      <c r="C11" s="106"/>
      <c r="D11" s="106"/>
      <c r="E11" s="106"/>
      <c r="F11" s="106"/>
      <c r="G11" s="106"/>
      <c r="H11" s="106"/>
      <c r="I11" s="106"/>
      <c r="J11" s="106"/>
      <c r="K11" s="106"/>
      <c r="L11" s="106"/>
      <c r="M11" s="106"/>
      <c r="N11" s="106"/>
      <c r="O11" s="29"/>
      <c r="P11" s="106"/>
      <c r="Q11" s="106"/>
      <c r="R11" s="106"/>
      <c r="S11" s="106"/>
      <c r="T11" s="106"/>
      <c r="U11" s="106"/>
      <c r="W11" s="106"/>
      <c r="X11" s="106"/>
      <c r="Y11" s="106"/>
      <c r="Z11" s="106"/>
      <c r="AA11" s="106"/>
      <c r="AB11" s="106"/>
      <c r="AD11" s="106"/>
      <c r="AE11" s="106"/>
      <c r="AF11" s="106"/>
      <c r="AG11" s="106"/>
      <c r="AH11" s="106"/>
      <c r="AI11" s="106"/>
      <c r="AK11" s="106"/>
      <c r="AL11" s="106"/>
      <c r="AM11" s="106"/>
      <c r="AN11" s="106"/>
      <c r="AO11" s="106"/>
      <c r="AP11" s="106"/>
      <c r="AR11" s="106"/>
      <c r="AS11" s="106"/>
      <c r="AT11" s="106"/>
      <c r="AU11" s="106"/>
      <c r="AV11" s="106"/>
      <c r="AW11" s="106"/>
    </row>
    <row r="12" spans="1:49" ht="13.05" hidden="1" customHeight="1" x14ac:dyDescent="0.25">
      <c r="A12" t="str">
        <f>Nutrients!B11</f>
        <v>Bakery Meal</v>
      </c>
      <c r="B12" s="106"/>
      <c r="C12" s="106"/>
      <c r="D12" s="106"/>
      <c r="E12" s="106"/>
      <c r="F12" s="106"/>
      <c r="G12" s="106"/>
      <c r="H12" s="106"/>
      <c r="I12" s="106"/>
      <c r="J12" s="106"/>
      <c r="K12" s="106"/>
      <c r="L12" s="106"/>
      <c r="M12" s="106"/>
      <c r="N12" s="106"/>
      <c r="O12" s="29"/>
      <c r="P12" s="106"/>
      <c r="Q12" s="106"/>
      <c r="R12" s="106"/>
      <c r="S12" s="106"/>
      <c r="T12" s="106"/>
      <c r="U12" s="106"/>
      <c r="W12" s="106"/>
      <c r="X12" s="106"/>
      <c r="Y12" s="106"/>
      <c r="Z12" s="106"/>
      <c r="AA12" s="106"/>
      <c r="AB12" s="106"/>
      <c r="AD12" s="106"/>
      <c r="AE12" s="106"/>
      <c r="AF12" s="106"/>
      <c r="AG12" s="106"/>
      <c r="AH12" s="106"/>
      <c r="AI12" s="106"/>
      <c r="AK12" s="106"/>
      <c r="AL12" s="106"/>
      <c r="AM12" s="106"/>
      <c r="AN12" s="106"/>
      <c r="AO12" s="106"/>
      <c r="AP12" s="106"/>
      <c r="AR12" s="106"/>
      <c r="AS12" s="106"/>
      <c r="AT12" s="106"/>
      <c r="AU12" s="106"/>
      <c r="AV12" s="106"/>
      <c r="AW12" s="106"/>
    </row>
    <row r="13" spans="1:49" ht="13.05" hidden="1" customHeight="1" x14ac:dyDescent="0.25">
      <c r="A13" t="str">
        <f>Nutrients!B12</f>
        <v>Barley</v>
      </c>
      <c r="B13" s="99"/>
      <c r="C13" s="99"/>
      <c r="D13" s="99"/>
      <c r="E13" s="99"/>
      <c r="F13" s="99"/>
      <c r="G13" s="99"/>
      <c r="H13" s="99"/>
      <c r="I13" s="99"/>
      <c r="J13" s="99"/>
      <c r="K13" s="99"/>
      <c r="L13" s="99"/>
      <c r="M13" s="99"/>
      <c r="N13" s="99"/>
      <c r="O13" s="10"/>
      <c r="P13" s="99"/>
      <c r="Q13" s="99"/>
      <c r="R13" s="99"/>
      <c r="S13" s="99"/>
      <c r="T13" s="99"/>
      <c r="U13" s="99"/>
      <c r="W13" s="99"/>
      <c r="X13" s="99"/>
      <c r="Y13" s="99"/>
      <c r="Z13" s="99"/>
      <c r="AA13" s="99"/>
      <c r="AB13" s="99"/>
      <c r="AD13" s="99"/>
      <c r="AE13" s="99"/>
      <c r="AF13" s="99"/>
      <c r="AG13" s="99"/>
      <c r="AH13" s="99"/>
      <c r="AI13" s="99"/>
      <c r="AK13" s="99"/>
      <c r="AL13" s="99"/>
      <c r="AM13" s="99"/>
      <c r="AN13" s="99"/>
      <c r="AO13" s="99"/>
      <c r="AP13" s="99"/>
      <c r="AR13" s="99"/>
      <c r="AS13" s="99"/>
      <c r="AT13" s="99"/>
      <c r="AU13" s="99"/>
      <c r="AV13" s="99"/>
      <c r="AW13" s="99"/>
    </row>
    <row r="14" spans="1:49" ht="13.05" hidden="1" customHeight="1" x14ac:dyDescent="0.25">
      <c r="A14" t="str">
        <f>Nutrients!B13</f>
        <v>Barley, Hulless</v>
      </c>
      <c r="B14" s="99"/>
      <c r="C14" s="99"/>
      <c r="D14" s="99"/>
      <c r="E14" s="99"/>
      <c r="F14" s="99"/>
      <c r="G14" s="99"/>
      <c r="H14" s="99"/>
      <c r="I14" s="99"/>
      <c r="J14" s="99"/>
      <c r="K14" s="99"/>
      <c r="L14" s="99"/>
      <c r="M14" s="99"/>
      <c r="N14" s="99"/>
      <c r="O14" s="10"/>
      <c r="P14" s="99"/>
      <c r="Q14" s="99"/>
      <c r="R14" s="99"/>
      <c r="S14" s="99"/>
      <c r="T14" s="99"/>
      <c r="U14" s="99"/>
      <c r="W14" s="99"/>
      <c r="X14" s="99"/>
      <c r="Y14" s="99"/>
      <c r="Z14" s="99"/>
      <c r="AA14" s="99"/>
      <c r="AB14" s="99"/>
      <c r="AD14" s="99"/>
      <c r="AE14" s="99"/>
      <c r="AF14" s="99"/>
      <c r="AG14" s="99"/>
      <c r="AH14" s="99"/>
      <c r="AI14" s="99"/>
      <c r="AK14" s="99"/>
      <c r="AL14" s="99"/>
      <c r="AM14" s="99"/>
      <c r="AN14" s="99"/>
      <c r="AO14" s="99"/>
      <c r="AP14" s="99"/>
      <c r="AR14" s="99"/>
      <c r="AS14" s="99"/>
      <c r="AT14" s="99"/>
      <c r="AU14" s="99"/>
      <c r="AV14" s="99"/>
      <c r="AW14" s="99"/>
    </row>
    <row r="15" spans="1:49" ht="13.05" hidden="1" customHeight="1" x14ac:dyDescent="0.25">
      <c r="A15" t="str">
        <f>Nutrients!B14</f>
        <v>Beans, Faba</v>
      </c>
      <c r="B15" s="99"/>
      <c r="C15" s="99"/>
      <c r="D15" s="99"/>
      <c r="E15" s="99"/>
      <c r="F15" s="99"/>
      <c r="G15" s="99"/>
      <c r="H15" s="99"/>
      <c r="I15" s="99"/>
      <c r="J15" s="99"/>
      <c r="K15" s="99"/>
      <c r="L15" s="99"/>
      <c r="M15" s="99"/>
      <c r="N15" s="99"/>
      <c r="O15" s="10"/>
      <c r="P15" s="99"/>
      <c r="Q15" s="99"/>
      <c r="R15" s="99"/>
      <c r="S15" s="99"/>
      <c r="T15" s="99"/>
      <c r="U15" s="99"/>
      <c r="W15" s="99"/>
      <c r="X15" s="99"/>
      <c r="Y15" s="99"/>
      <c r="Z15" s="99"/>
      <c r="AA15" s="99"/>
      <c r="AB15" s="99"/>
      <c r="AD15" s="99"/>
      <c r="AE15" s="99"/>
      <c r="AF15" s="99"/>
      <c r="AG15" s="99"/>
      <c r="AH15" s="99"/>
      <c r="AI15" s="99"/>
      <c r="AK15" s="99"/>
      <c r="AL15" s="99"/>
      <c r="AM15" s="99"/>
      <c r="AN15" s="99"/>
      <c r="AO15" s="99"/>
      <c r="AP15" s="99"/>
      <c r="AR15" s="99"/>
      <c r="AS15" s="99"/>
      <c r="AT15" s="99"/>
      <c r="AU15" s="99"/>
      <c r="AV15" s="99"/>
      <c r="AW15" s="99"/>
    </row>
    <row r="16" spans="1:49" ht="13.05" hidden="1" customHeight="1" x14ac:dyDescent="0.25">
      <c r="A16" t="str">
        <f>Nutrients!B15</f>
        <v>Blood Meal</v>
      </c>
      <c r="B16" s="99"/>
      <c r="C16" s="99"/>
      <c r="D16" s="99"/>
      <c r="E16" s="99"/>
      <c r="F16" s="99"/>
      <c r="G16" s="99"/>
      <c r="H16" s="99"/>
      <c r="I16" s="99"/>
      <c r="J16" s="99"/>
      <c r="K16" s="99"/>
      <c r="L16" s="99"/>
      <c r="M16" s="99"/>
      <c r="N16" s="99"/>
      <c r="O16" s="10"/>
      <c r="P16" s="99"/>
      <c r="Q16" s="99"/>
      <c r="R16" s="99"/>
      <c r="S16" s="99"/>
      <c r="T16" s="99"/>
      <c r="U16" s="99"/>
      <c r="W16" s="99"/>
      <c r="X16" s="99"/>
      <c r="Y16" s="99"/>
      <c r="Z16" s="99"/>
      <c r="AA16" s="99"/>
      <c r="AB16" s="99"/>
      <c r="AD16" s="99"/>
      <c r="AE16" s="99"/>
      <c r="AF16" s="99"/>
      <c r="AG16" s="99"/>
      <c r="AH16" s="99"/>
      <c r="AI16" s="99"/>
      <c r="AK16" s="99"/>
      <c r="AL16" s="99"/>
      <c r="AM16" s="99"/>
      <c r="AN16" s="99"/>
      <c r="AO16" s="99"/>
      <c r="AP16" s="99"/>
      <c r="AR16" s="99"/>
      <c r="AS16" s="99"/>
      <c r="AT16" s="99"/>
      <c r="AU16" s="99"/>
      <c r="AV16" s="99"/>
      <c r="AW16" s="99"/>
    </row>
    <row r="17" spans="1:49" ht="13.05" hidden="1" customHeight="1" x14ac:dyDescent="0.25">
      <c r="A17" t="str">
        <f>Nutrients!B16</f>
        <v>Blood Plasma</v>
      </c>
      <c r="B17" s="99"/>
      <c r="C17" s="99"/>
      <c r="D17" s="99"/>
      <c r="E17" s="99"/>
      <c r="F17" s="99"/>
      <c r="G17" s="99"/>
      <c r="H17" s="99"/>
      <c r="I17" s="99"/>
      <c r="J17" s="99"/>
      <c r="K17" s="99"/>
      <c r="L17" s="99"/>
      <c r="M17" s="99"/>
      <c r="N17" s="99"/>
      <c r="O17" s="10"/>
      <c r="P17" s="99"/>
      <c r="Q17" s="99"/>
      <c r="R17" s="99"/>
      <c r="S17" s="99"/>
      <c r="T17" s="99"/>
      <c r="U17" s="99"/>
      <c r="W17" s="99"/>
      <c r="X17" s="99"/>
      <c r="Y17" s="99"/>
      <c r="Z17" s="99"/>
      <c r="AA17" s="99"/>
      <c r="AB17" s="99"/>
      <c r="AD17" s="99"/>
      <c r="AE17" s="99"/>
      <c r="AF17" s="99"/>
      <c r="AG17" s="99"/>
      <c r="AH17" s="99"/>
      <c r="AI17" s="99"/>
      <c r="AK17" s="99"/>
      <c r="AL17" s="99"/>
      <c r="AM17" s="99"/>
      <c r="AN17" s="99"/>
      <c r="AO17" s="99"/>
      <c r="AP17" s="99"/>
      <c r="AR17" s="99"/>
      <c r="AS17" s="99"/>
      <c r="AT17" s="99"/>
      <c r="AU17" s="99"/>
      <c r="AV17" s="99"/>
      <c r="AW17" s="99"/>
    </row>
    <row r="18" spans="1:49" ht="13.05" hidden="1" customHeight="1" x14ac:dyDescent="0.25">
      <c r="A18" t="str">
        <f>Nutrients!B17</f>
        <v>Brewers Grain</v>
      </c>
      <c r="B18" s="99"/>
      <c r="C18" s="99"/>
      <c r="D18" s="99"/>
      <c r="E18" s="99"/>
      <c r="F18" s="99"/>
      <c r="G18" s="99"/>
      <c r="H18" s="99"/>
      <c r="I18" s="99"/>
      <c r="J18" s="99"/>
      <c r="K18" s="99"/>
      <c r="L18" s="99"/>
      <c r="M18" s="99"/>
      <c r="N18" s="99"/>
      <c r="O18" s="10"/>
      <c r="P18" s="99"/>
      <c r="Q18" s="99"/>
      <c r="R18" s="99"/>
      <c r="S18" s="99"/>
      <c r="T18" s="99"/>
      <c r="U18" s="99"/>
      <c r="W18" s="99"/>
      <c r="X18" s="99"/>
      <c r="Y18" s="99"/>
      <c r="Z18" s="99"/>
      <c r="AA18" s="99"/>
      <c r="AB18" s="99"/>
      <c r="AD18" s="99"/>
      <c r="AE18" s="99"/>
      <c r="AF18" s="99"/>
      <c r="AG18" s="99"/>
      <c r="AH18" s="99"/>
      <c r="AI18" s="99"/>
      <c r="AK18" s="99"/>
      <c r="AL18" s="99"/>
      <c r="AM18" s="99"/>
      <c r="AN18" s="99"/>
      <c r="AO18" s="99"/>
      <c r="AP18" s="99"/>
      <c r="AR18" s="99"/>
      <c r="AS18" s="99"/>
      <c r="AT18" s="99"/>
      <c r="AU18" s="99"/>
      <c r="AV18" s="99"/>
      <c r="AW18" s="99"/>
    </row>
    <row r="19" spans="1:49" ht="13.05" hidden="1" customHeight="1" x14ac:dyDescent="0.25">
      <c r="A19" t="str">
        <f>Nutrients!B18</f>
        <v>Canola, Full Fat</v>
      </c>
      <c r="B19" s="99"/>
      <c r="C19" s="99"/>
      <c r="D19" s="99"/>
      <c r="E19" s="99"/>
      <c r="F19" s="99"/>
      <c r="G19" s="99"/>
      <c r="H19" s="99"/>
      <c r="I19" s="99"/>
      <c r="J19" s="99"/>
      <c r="K19" s="99"/>
      <c r="L19" s="99"/>
      <c r="M19" s="99"/>
      <c r="N19" s="99"/>
      <c r="O19" s="10"/>
      <c r="P19" s="99"/>
      <c r="Q19" s="99"/>
      <c r="R19" s="99"/>
      <c r="S19" s="99"/>
      <c r="T19" s="99"/>
      <c r="U19" s="99"/>
      <c r="W19" s="99"/>
      <c r="X19" s="99"/>
      <c r="Y19" s="99"/>
      <c r="Z19" s="99"/>
      <c r="AA19" s="99"/>
      <c r="AB19" s="99"/>
      <c r="AD19" s="99"/>
      <c r="AE19" s="99"/>
      <c r="AF19" s="99"/>
      <c r="AG19" s="99"/>
      <c r="AH19" s="99"/>
      <c r="AI19" s="99"/>
      <c r="AK19" s="99"/>
      <c r="AL19" s="99"/>
      <c r="AM19" s="99"/>
      <c r="AN19" s="99"/>
      <c r="AO19" s="99"/>
      <c r="AP19" s="99"/>
      <c r="AR19" s="99"/>
      <c r="AS19" s="99"/>
      <c r="AT19" s="99"/>
      <c r="AU19" s="99"/>
      <c r="AV19" s="99"/>
      <c r="AW19" s="99"/>
    </row>
    <row r="20" spans="1:49" ht="13.05" hidden="1" customHeight="1" x14ac:dyDescent="0.25">
      <c r="A20" t="str">
        <f>Nutrients!B19</f>
        <v>Canola Meal, Expelled</v>
      </c>
      <c r="B20" s="99"/>
      <c r="C20" s="99"/>
      <c r="D20" s="99"/>
      <c r="E20" s="99"/>
      <c r="F20" s="99"/>
      <c r="G20" s="99"/>
      <c r="H20" s="99"/>
      <c r="I20" s="99"/>
      <c r="J20" s="99"/>
      <c r="K20" s="99"/>
      <c r="L20" s="99"/>
      <c r="M20" s="99"/>
      <c r="N20" s="99"/>
      <c r="O20" s="10"/>
      <c r="P20" s="99"/>
      <c r="Q20" s="99"/>
      <c r="R20" s="99"/>
      <c r="S20" s="99"/>
      <c r="T20" s="99"/>
      <c r="U20" s="99"/>
      <c r="W20" s="99"/>
      <c r="X20" s="99"/>
      <c r="Y20" s="99"/>
      <c r="Z20" s="99"/>
      <c r="AA20" s="99"/>
      <c r="AB20" s="99"/>
      <c r="AD20" s="99"/>
      <c r="AE20" s="99"/>
      <c r="AF20" s="99"/>
      <c r="AG20" s="99"/>
      <c r="AH20" s="99"/>
      <c r="AI20" s="99"/>
      <c r="AK20" s="99"/>
      <c r="AL20" s="99"/>
      <c r="AM20" s="99"/>
      <c r="AN20" s="99"/>
      <c r="AO20" s="99"/>
      <c r="AP20" s="99"/>
      <c r="AR20" s="99"/>
      <c r="AS20" s="99"/>
      <c r="AT20" s="99"/>
      <c r="AU20" s="99"/>
      <c r="AV20" s="99"/>
      <c r="AW20" s="99"/>
    </row>
    <row r="21" spans="1:49" ht="13.05" hidden="1" customHeight="1" x14ac:dyDescent="0.25">
      <c r="A21" t="str">
        <f>Nutrients!B20</f>
        <v>Canola Meal, Solvent Extracted</v>
      </c>
      <c r="B21" s="99"/>
      <c r="C21" s="99"/>
      <c r="D21" s="99"/>
      <c r="E21" s="99"/>
      <c r="F21" s="99"/>
      <c r="G21" s="99"/>
      <c r="H21" s="99"/>
      <c r="I21" s="99"/>
      <c r="J21" s="99"/>
      <c r="K21" s="99"/>
      <c r="L21" s="99"/>
      <c r="M21" s="99"/>
      <c r="N21" s="99"/>
      <c r="O21" s="10"/>
      <c r="P21" s="99"/>
      <c r="Q21" s="99"/>
      <c r="R21" s="99"/>
      <c r="S21" s="99"/>
      <c r="T21" s="99"/>
      <c r="U21" s="99"/>
      <c r="W21" s="99"/>
      <c r="X21" s="99"/>
      <c r="Y21" s="99"/>
      <c r="Z21" s="99"/>
      <c r="AA21" s="99"/>
      <c r="AB21" s="99"/>
      <c r="AD21" s="99"/>
      <c r="AE21" s="99"/>
      <c r="AF21" s="99"/>
      <c r="AG21" s="99"/>
      <c r="AH21" s="99"/>
      <c r="AI21" s="99"/>
      <c r="AK21" s="99"/>
      <c r="AL21" s="99"/>
      <c r="AM21" s="99"/>
      <c r="AN21" s="99"/>
      <c r="AO21" s="99"/>
      <c r="AP21" s="99"/>
      <c r="AR21" s="99"/>
      <c r="AS21" s="99"/>
      <c r="AT21" s="99"/>
      <c r="AU21" s="99"/>
      <c r="AV21" s="99"/>
      <c r="AW21" s="99"/>
    </row>
    <row r="22" spans="1:49" ht="13.05" hidden="1" customHeight="1" x14ac:dyDescent="0.25">
      <c r="A22" t="str">
        <f>Nutrients!B21</f>
        <v>Casava Meal</v>
      </c>
      <c r="B22" s="99"/>
      <c r="C22" s="99"/>
      <c r="D22" s="99"/>
      <c r="E22" s="99"/>
      <c r="F22" s="99"/>
      <c r="G22" s="99"/>
      <c r="H22" s="99"/>
      <c r="I22" s="99"/>
      <c r="J22" s="99"/>
      <c r="K22" s="99"/>
      <c r="L22" s="99"/>
      <c r="M22" s="99"/>
      <c r="N22" s="99"/>
      <c r="O22" s="10"/>
      <c r="P22" s="99"/>
      <c r="Q22" s="99"/>
      <c r="R22" s="99"/>
      <c r="S22" s="99"/>
      <c r="T22" s="99"/>
      <c r="U22" s="99"/>
      <c r="W22" s="99"/>
      <c r="X22" s="99"/>
      <c r="Y22" s="99"/>
      <c r="Z22" s="99"/>
      <c r="AA22" s="99"/>
      <c r="AB22" s="99"/>
      <c r="AD22" s="99"/>
      <c r="AE22" s="99"/>
      <c r="AF22" s="99"/>
      <c r="AG22" s="99"/>
      <c r="AH22" s="99"/>
      <c r="AI22" s="99"/>
      <c r="AK22" s="99"/>
      <c r="AL22" s="99"/>
      <c r="AM22" s="99"/>
      <c r="AN22" s="99"/>
      <c r="AO22" s="99"/>
      <c r="AP22" s="99"/>
      <c r="AR22" s="99"/>
      <c r="AS22" s="99"/>
      <c r="AT22" s="99"/>
      <c r="AU22" s="99"/>
      <c r="AV22" s="99"/>
      <c r="AW22" s="99"/>
    </row>
    <row r="23" spans="1:49" ht="13.05" hidden="1" customHeight="1" x14ac:dyDescent="0.25">
      <c r="A23" t="str">
        <f>Nutrients!B22</f>
        <v>Citrus Pulp</v>
      </c>
      <c r="B23" s="99"/>
      <c r="C23" s="99"/>
      <c r="D23" s="99"/>
      <c r="E23" s="99"/>
      <c r="F23" s="99"/>
      <c r="G23" s="99"/>
      <c r="H23" s="99"/>
      <c r="I23" s="99"/>
      <c r="J23" s="99"/>
      <c r="K23" s="99"/>
      <c r="L23" s="99"/>
      <c r="M23" s="99"/>
      <c r="N23" s="99"/>
      <c r="O23" s="10"/>
      <c r="P23" s="99"/>
      <c r="Q23" s="99"/>
      <c r="R23" s="99"/>
      <c r="S23" s="99"/>
      <c r="T23" s="99"/>
      <c r="U23" s="99"/>
      <c r="W23" s="99"/>
      <c r="X23" s="99"/>
      <c r="Y23" s="99"/>
      <c r="Z23" s="99"/>
      <c r="AA23" s="99"/>
      <c r="AB23" s="99"/>
      <c r="AD23" s="99"/>
      <c r="AE23" s="99"/>
      <c r="AF23" s="99"/>
      <c r="AG23" s="99"/>
      <c r="AH23" s="99"/>
      <c r="AI23" s="99"/>
      <c r="AK23" s="99"/>
      <c r="AL23" s="99"/>
      <c r="AM23" s="99"/>
      <c r="AN23" s="99"/>
      <c r="AO23" s="99"/>
      <c r="AP23" s="99"/>
      <c r="AR23" s="99"/>
      <c r="AS23" s="99"/>
      <c r="AT23" s="99"/>
      <c r="AU23" s="99"/>
      <c r="AV23" s="99"/>
      <c r="AW23" s="99"/>
    </row>
    <row r="24" spans="1:49" ht="13.05" hidden="1" customHeight="1" x14ac:dyDescent="0.25">
      <c r="A24" t="str">
        <f>Nutrients!B23</f>
        <v>Copra Meal</v>
      </c>
      <c r="B24" s="99"/>
      <c r="C24" s="99"/>
      <c r="D24" s="99"/>
      <c r="E24" s="99"/>
      <c r="F24" s="99"/>
      <c r="G24" s="99"/>
      <c r="H24" s="99"/>
      <c r="I24" s="99"/>
      <c r="J24" s="99"/>
      <c r="K24" s="99"/>
      <c r="L24" s="99"/>
      <c r="M24" s="99"/>
      <c r="N24" s="99"/>
      <c r="O24" s="10"/>
      <c r="P24" s="99"/>
      <c r="Q24" s="99"/>
      <c r="R24" s="99"/>
      <c r="S24" s="99"/>
      <c r="T24" s="99"/>
      <c r="U24" s="99"/>
      <c r="W24" s="99"/>
      <c r="X24" s="99"/>
      <c r="Y24" s="99"/>
      <c r="Z24" s="99"/>
      <c r="AA24" s="99"/>
      <c r="AB24" s="99"/>
      <c r="AD24" s="99"/>
      <c r="AE24" s="99"/>
      <c r="AF24" s="99"/>
      <c r="AG24" s="99"/>
      <c r="AH24" s="99"/>
      <c r="AI24" s="99"/>
      <c r="AK24" s="99"/>
      <c r="AL24" s="99"/>
      <c r="AM24" s="99"/>
      <c r="AN24" s="99"/>
      <c r="AO24" s="99"/>
      <c r="AP24" s="99"/>
      <c r="AR24" s="99"/>
      <c r="AS24" s="99"/>
      <c r="AT24" s="99"/>
      <c r="AU24" s="99"/>
      <c r="AV24" s="99"/>
      <c r="AW24" s="99"/>
    </row>
    <row r="25" spans="1:49" ht="13.05" hidden="1" customHeight="1" x14ac:dyDescent="0.25">
      <c r="A25" t="str">
        <f>Nutrients!B24</f>
        <v>Corn, Yellow Dent</v>
      </c>
      <c r="B25" s="99"/>
      <c r="C25" s="99"/>
      <c r="D25" s="99"/>
      <c r="E25" s="99"/>
      <c r="F25" s="99"/>
      <c r="G25" s="99"/>
      <c r="H25" s="99"/>
      <c r="I25" s="99"/>
      <c r="J25" s="99"/>
      <c r="K25" s="99"/>
      <c r="L25" s="99"/>
      <c r="M25" s="99"/>
      <c r="N25" s="99"/>
      <c r="O25" s="10"/>
      <c r="P25" s="99"/>
      <c r="Q25" s="99"/>
      <c r="R25" s="99"/>
      <c r="S25" s="99"/>
      <c r="T25" s="99"/>
      <c r="U25" s="99"/>
      <c r="W25" s="99"/>
      <c r="X25" s="99"/>
      <c r="Y25" s="99"/>
      <c r="Z25" s="99"/>
      <c r="AA25" s="99"/>
      <c r="AB25" s="99"/>
      <c r="AD25" s="99"/>
      <c r="AE25" s="99"/>
      <c r="AF25" s="99"/>
      <c r="AG25" s="99"/>
      <c r="AH25" s="99"/>
      <c r="AI25" s="99"/>
      <c r="AK25" s="99"/>
      <c r="AL25" s="99"/>
      <c r="AM25" s="99"/>
      <c r="AN25" s="99"/>
      <c r="AO25" s="99"/>
      <c r="AP25" s="99"/>
      <c r="AR25" s="99"/>
      <c r="AS25" s="99"/>
      <c r="AT25" s="99"/>
      <c r="AU25" s="99"/>
      <c r="AV25" s="99"/>
      <c r="AW25" s="99"/>
    </row>
    <row r="26" spans="1:49" ht="13.05" hidden="1" customHeight="1" x14ac:dyDescent="0.25">
      <c r="A26" t="str">
        <f>Nutrients!B25</f>
        <v>Corn, Nutridense</v>
      </c>
      <c r="B26" s="99"/>
      <c r="C26" s="99"/>
      <c r="D26" s="99"/>
      <c r="E26" s="99"/>
      <c r="F26" s="99"/>
      <c r="G26" s="99"/>
      <c r="H26" s="99"/>
      <c r="I26" s="99"/>
      <c r="J26" s="99"/>
      <c r="K26" s="99"/>
      <c r="L26" s="99"/>
      <c r="M26" s="99"/>
      <c r="N26" s="99"/>
      <c r="O26" s="10"/>
      <c r="P26" s="99"/>
      <c r="Q26" s="99"/>
      <c r="R26" s="99"/>
      <c r="S26" s="99"/>
      <c r="T26" s="99"/>
      <c r="U26" s="99"/>
      <c r="W26" s="99"/>
      <c r="X26" s="99"/>
      <c r="Y26" s="99"/>
      <c r="Z26" s="99"/>
      <c r="AA26" s="99"/>
      <c r="AB26" s="99"/>
      <c r="AD26" s="99"/>
      <c r="AE26" s="99"/>
      <c r="AF26" s="99"/>
      <c r="AG26" s="99"/>
      <c r="AH26" s="99"/>
      <c r="AI26" s="99"/>
      <c r="AK26" s="99"/>
      <c r="AL26" s="99"/>
      <c r="AM26" s="99"/>
      <c r="AN26" s="99"/>
      <c r="AO26" s="99"/>
      <c r="AP26" s="99"/>
      <c r="AR26" s="99"/>
      <c r="AS26" s="99"/>
      <c r="AT26" s="99"/>
      <c r="AU26" s="99"/>
      <c r="AV26" s="99"/>
      <c r="AW26" s="99"/>
    </row>
    <row r="27" spans="1:49" ht="13.05" hidden="1" customHeight="1" x14ac:dyDescent="0.25">
      <c r="A27" t="str">
        <f>Nutrients!B26</f>
        <v>Corn Bran</v>
      </c>
      <c r="B27" s="99"/>
      <c r="C27" s="99"/>
      <c r="D27" s="99"/>
      <c r="E27" s="99"/>
      <c r="F27" s="99"/>
      <c r="G27" s="99"/>
      <c r="H27" s="99"/>
      <c r="I27" s="99"/>
      <c r="J27" s="99"/>
      <c r="K27" s="99"/>
      <c r="L27" s="99"/>
      <c r="M27" s="99"/>
      <c r="N27" s="99"/>
      <c r="O27" s="10"/>
      <c r="P27" s="99"/>
      <c r="Q27" s="99"/>
      <c r="R27" s="99"/>
      <c r="S27" s="99"/>
      <c r="T27" s="99"/>
      <c r="U27" s="99"/>
      <c r="W27" s="99"/>
      <c r="X27" s="99"/>
      <c r="Y27" s="99"/>
      <c r="Z27" s="99"/>
      <c r="AA27" s="99"/>
      <c r="AB27" s="99"/>
      <c r="AD27" s="99"/>
      <c r="AE27" s="99"/>
      <c r="AF27" s="99"/>
      <c r="AG27" s="99"/>
      <c r="AH27" s="99"/>
      <c r="AI27" s="99"/>
      <c r="AK27" s="99"/>
      <c r="AL27" s="99"/>
      <c r="AM27" s="99"/>
      <c r="AN27" s="99"/>
      <c r="AO27" s="99"/>
      <c r="AP27" s="99"/>
      <c r="AR27" s="99"/>
      <c r="AS27" s="99"/>
      <c r="AT27" s="99"/>
      <c r="AU27" s="99"/>
      <c r="AV27" s="99"/>
      <c r="AW27" s="99"/>
    </row>
    <row r="28" spans="1:49" ht="13.05" hidden="1" customHeight="1" x14ac:dyDescent="0.25">
      <c r="A28" t="str">
        <f>Nutrients!B27</f>
        <v>Corn DDG</v>
      </c>
      <c r="B28" s="99"/>
      <c r="C28" s="99"/>
      <c r="D28" s="99"/>
      <c r="E28" s="99"/>
      <c r="F28" s="99"/>
      <c r="G28" s="99"/>
      <c r="H28" s="99"/>
      <c r="I28" s="99"/>
      <c r="J28" s="99"/>
      <c r="K28" s="99"/>
      <c r="L28" s="99"/>
      <c r="M28" s="99"/>
      <c r="N28" s="99"/>
      <c r="O28" s="10"/>
      <c r="P28" s="99"/>
      <c r="Q28" s="99"/>
      <c r="R28" s="99"/>
      <c r="S28" s="99"/>
      <c r="T28" s="99"/>
      <c r="U28" s="99"/>
      <c r="W28" s="99"/>
      <c r="X28" s="99"/>
      <c r="Y28" s="99"/>
      <c r="Z28" s="99"/>
      <c r="AA28" s="99"/>
      <c r="AB28" s="99"/>
      <c r="AD28" s="99"/>
      <c r="AE28" s="99"/>
      <c r="AF28" s="99"/>
      <c r="AG28" s="99"/>
      <c r="AH28" s="99"/>
      <c r="AI28" s="99"/>
      <c r="AK28" s="99"/>
      <c r="AL28" s="99"/>
      <c r="AM28" s="99"/>
      <c r="AN28" s="99"/>
      <c r="AO28" s="99"/>
      <c r="AP28" s="99"/>
      <c r="AR28" s="99"/>
      <c r="AS28" s="99"/>
      <c r="AT28" s="99"/>
      <c r="AU28" s="99"/>
      <c r="AV28" s="99"/>
      <c r="AW28" s="99"/>
    </row>
    <row r="29" spans="1:49" ht="13.05" hidden="1" customHeight="1" x14ac:dyDescent="0.25">
      <c r="A29" t="str">
        <f>Nutrients!B28</f>
        <v>Corn DDGS, &gt;10% Oil</v>
      </c>
      <c r="B29" s="99"/>
      <c r="C29" s="99"/>
      <c r="D29" s="99"/>
      <c r="E29" s="99"/>
      <c r="F29" s="99"/>
      <c r="G29" s="99"/>
      <c r="H29" s="99"/>
      <c r="I29" s="99"/>
      <c r="J29" s="99"/>
      <c r="K29" s="99"/>
      <c r="L29" s="99"/>
      <c r="M29" s="99"/>
      <c r="N29" s="99"/>
      <c r="O29" s="10"/>
      <c r="P29" s="99"/>
      <c r="Q29" s="99"/>
      <c r="R29" s="99"/>
      <c r="S29" s="99"/>
      <c r="T29" s="99"/>
      <c r="U29" s="99"/>
      <c r="W29" s="99"/>
      <c r="X29" s="99"/>
      <c r="Y29" s="99"/>
      <c r="Z29" s="99"/>
      <c r="AA29" s="99"/>
      <c r="AB29" s="99"/>
      <c r="AD29" s="99"/>
      <c r="AE29" s="99"/>
      <c r="AF29" s="99"/>
      <c r="AG29" s="99"/>
      <c r="AH29" s="99"/>
      <c r="AI29" s="99"/>
      <c r="AK29" s="99"/>
      <c r="AL29" s="99"/>
      <c r="AM29" s="99"/>
      <c r="AN29" s="99"/>
      <c r="AO29" s="99"/>
      <c r="AP29" s="99"/>
      <c r="AR29" s="99"/>
      <c r="AS29" s="99"/>
      <c r="AT29" s="99"/>
      <c r="AU29" s="99"/>
      <c r="AV29" s="99"/>
      <c r="AW29" s="99"/>
    </row>
    <row r="30" spans="1:49" ht="13.05" hidden="1" customHeight="1" x14ac:dyDescent="0.25">
      <c r="A30" t="str">
        <f>Nutrients!B29</f>
        <v>Corn DDGS, &gt;6 and &lt;9% Oil</v>
      </c>
      <c r="B30" s="99"/>
      <c r="C30" s="99"/>
      <c r="D30" s="99"/>
      <c r="E30" s="99"/>
      <c r="F30" s="99"/>
      <c r="G30" s="99"/>
      <c r="H30" s="99"/>
      <c r="I30" s="99"/>
      <c r="J30" s="99"/>
      <c r="K30" s="99"/>
      <c r="L30" s="99"/>
      <c r="M30" s="99"/>
      <c r="N30" s="99"/>
      <c r="O30" s="10"/>
      <c r="P30" s="99"/>
      <c r="Q30" s="99"/>
      <c r="R30" s="99"/>
      <c r="S30" s="99"/>
      <c r="T30" s="99"/>
      <c r="U30" s="99"/>
      <c r="W30" s="99"/>
      <c r="X30" s="99"/>
      <c r="Y30" s="99"/>
      <c r="Z30" s="99"/>
      <c r="AA30" s="99"/>
      <c r="AB30" s="99"/>
      <c r="AD30" s="99"/>
      <c r="AE30" s="99"/>
      <c r="AF30" s="99"/>
      <c r="AG30" s="99"/>
      <c r="AH30" s="99"/>
      <c r="AI30" s="99"/>
      <c r="AK30" s="99"/>
      <c r="AL30" s="99"/>
      <c r="AM30" s="99"/>
      <c r="AN30" s="99"/>
      <c r="AO30" s="99"/>
      <c r="AP30" s="99"/>
      <c r="AR30" s="99"/>
      <c r="AS30" s="99"/>
      <c r="AT30" s="99"/>
      <c r="AU30" s="99"/>
      <c r="AV30" s="99"/>
      <c r="AW30" s="99"/>
    </row>
    <row r="31" spans="1:49" ht="13.05" hidden="1" customHeight="1" x14ac:dyDescent="0.25">
      <c r="A31" t="str">
        <f>Nutrients!B30</f>
        <v>Corn DDGS, &lt;4% Oil</v>
      </c>
      <c r="B31" s="99"/>
      <c r="C31" s="99"/>
      <c r="D31" s="99"/>
      <c r="E31" s="99"/>
      <c r="F31" s="99"/>
      <c r="G31" s="99"/>
      <c r="H31" s="99"/>
      <c r="I31" s="99"/>
      <c r="J31" s="99"/>
      <c r="K31" s="99"/>
      <c r="L31" s="99"/>
      <c r="M31" s="99"/>
      <c r="N31" s="99"/>
      <c r="O31" s="10"/>
      <c r="P31" s="99"/>
      <c r="Q31" s="99"/>
      <c r="R31" s="99"/>
      <c r="S31" s="99"/>
      <c r="T31" s="99"/>
      <c r="U31" s="99"/>
      <c r="W31" s="99"/>
      <c r="X31" s="99"/>
      <c r="Y31" s="99"/>
      <c r="Z31" s="99"/>
      <c r="AA31" s="99"/>
      <c r="AB31" s="99"/>
      <c r="AD31" s="99"/>
      <c r="AE31" s="99"/>
      <c r="AF31" s="99"/>
      <c r="AG31" s="99"/>
      <c r="AH31" s="99"/>
      <c r="AI31" s="99"/>
      <c r="AK31" s="99"/>
      <c r="AL31" s="99"/>
      <c r="AM31" s="99"/>
      <c r="AN31" s="99"/>
      <c r="AO31" s="99"/>
      <c r="AP31" s="99"/>
      <c r="AR31" s="99"/>
      <c r="AS31" s="99"/>
      <c r="AT31" s="99"/>
      <c r="AU31" s="99"/>
      <c r="AV31" s="99"/>
      <c r="AW31" s="99"/>
    </row>
    <row r="32" spans="1:49" ht="13.05" hidden="1" customHeight="1" x14ac:dyDescent="0.25">
      <c r="A32" t="str">
        <f>Nutrients!B31</f>
        <v>Corn HP DDG</v>
      </c>
      <c r="B32" s="99"/>
      <c r="C32" s="99"/>
      <c r="D32" s="99"/>
      <c r="E32" s="99"/>
      <c r="F32" s="99"/>
      <c r="G32" s="99"/>
      <c r="H32" s="99"/>
      <c r="I32" s="99"/>
      <c r="J32" s="99"/>
      <c r="K32" s="99"/>
      <c r="L32" s="99"/>
      <c r="M32" s="99"/>
      <c r="N32" s="99"/>
      <c r="O32" s="10"/>
      <c r="P32" s="99"/>
      <c r="Q32" s="99"/>
      <c r="R32" s="99"/>
      <c r="S32" s="99"/>
      <c r="T32" s="99"/>
      <c r="U32" s="99"/>
      <c r="W32" s="99"/>
      <c r="X32" s="99"/>
      <c r="Y32" s="99"/>
      <c r="Z32" s="99"/>
      <c r="AA32" s="99"/>
      <c r="AB32" s="99"/>
      <c r="AD32" s="99"/>
      <c r="AE32" s="99"/>
      <c r="AF32" s="99"/>
      <c r="AG32" s="99"/>
      <c r="AH32" s="99"/>
      <c r="AI32" s="99"/>
      <c r="AK32" s="99"/>
      <c r="AL32" s="99"/>
      <c r="AM32" s="99"/>
      <c r="AN32" s="99"/>
      <c r="AO32" s="99"/>
      <c r="AP32" s="99"/>
      <c r="AR32" s="99"/>
      <c r="AS32" s="99"/>
      <c r="AT32" s="99"/>
      <c r="AU32" s="99"/>
      <c r="AV32" s="99"/>
      <c r="AW32" s="99"/>
    </row>
    <row r="33" spans="1:49" ht="13.05" hidden="1" customHeight="1" x14ac:dyDescent="0.25">
      <c r="A33" t="str">
        <f>Nutrients!B32</f>
        <v>Corn Germ</v>
      </c>
      <c r="B33" s="99"/>
      <c r="C33" s="99"/>
      <c r="D33" s="99"/>
      <c r="E33" s="99"/>
      <c r="F33" s="99"/>
      <c r="G33" s="99"/>
      <c r="H33" s="99"/>
      <c r="I33" s="99"/>
      <c r="J33" s="99"/>
      <c r="K33" s="99"/>
      <c r="L33" s="99"/>
      <c r="M33" s="99"/>
      <c r="N33" s="99"/>
      <c r="O33" s="10"/>
      <c r="P33" s="99"/>
      <c r="Q33" s="99"/>
      <c r="R33" s="99"/>
      <c r="S33" s="99"/>
      <c r="T33" s="99"/>
      <c r="U33" s="99"/>
      <c r="W33" s="99"/>
      <c r="X33" s="99"/>
      <c r="Y33" s="99"/>
      <c r="Z33" s="99"/>
      <c r="AA33" s="99"/>
      <c r="AB33" s="99"/>
      <c r="AD33" s="99"/>
      <c r="AE33" s="99"/>
      <c r="AF33" s="99"/>
      <c r="AG33" s="99"/>
      <c r="AH33" s="99"/>
      <c r="AI33" s="99"/>
      <c r="AK33" s="99"/>
      <c r="AL33" s="99"/>
      <c r="AM33" s="99"/>
      <c r="AN33" s="99"/>
      <c r="AO33" s="99"/>
      <c r="AP33" s="99"/>
      <c r="AR33" s="99"/>
      <c r="AS33" s="99"/>
      <c r="AT33" s="99"/>
      <c r="AU33" s="99"/>
      <c r="AV33" s="99"/>
      <c r="AW33" s="99"/>
    </row>
    <row r="34" spans="1:49" ht="13.05" hidden="1" customHeight="1" x14ac:dyDescent="0.25">
      <c r="A34" t="str">
        <f>Nutrients!B33</f>
        <v>Corn Germ Meal</v>
      </c>
      <c r="B34" s="99"/>
      <c r="C34" s="99"/>
      <c r="D34" s="99"/>
      <c r="E34" s="99"/>
      <c r="F34" s="99"/>
      <c r="G34" s="99"/>
      <c r="H34" s="99"/>
      <c r="I34" s="99"/>
      <c r="J34" s="99"/>
      <c r="K34" s="99"/>
      <c r="L34" s="99"/>
      <c r="M34" s="99"/>
      <c r="N34" s="99"/>
      <c r="O34" s="10"/>
      <c r="P34" s="99"/>
      <c r="Q34" s="99"/>
      <c r="R34" s="99"/>
      <c r="S34" s="99"/>
      <c r="T34" s="99"/>
      <c r="U34" s="99"/>
      <c r="W34" s="99"/>
      <c r="X34" s="99"/>
      <c r="Y34" s="99"/>
      <c r="Z34" s="99"/>
      <c r="AA34" s="99"/>
      <c r="AB34" s="99"/>
      <c r="AD34" s="99"/>
      <c r="AE34" s="99"/>
      <c r="AF34" s="99"/>
      <c r="AG34" s="99"/>
      <c r="AH34" s="99"/>
      <c r="AI34" s="99"/>
      <c r="AK34" s="99"/>
      <c r="AL34" s="99"/>
      <c r="AM34" s="99"/>
      <c r="AN34" s="99"/>
      <c r="AO34" s="99"/>
      <c r="AP34" s="99"/>
      <c r="AR34" s="99"/>
      <c r="AS34" s="99"/>
      <c r="AT34" s="99"/>
      <c r="AU34" s="99"/>
      <c r="AV34" s="99"/>
      <c r="AW34" s="99"/>
    </row>
    <row r="35" spans="1:49" ht="13.05" hidden="1" customHeight="1" x14ac:dyDescent="0.25">
      <c r="A35" t="str">
        <f>Nutrients!B34</f>
        <v>Corn Gluten Feed</v>
      </c>
      <c r="B35" s="99"/>
      <c r="C35" s="99"/>
      <c r="D35" s="99"/>
      <c r="E35" s="99"/>
      <c r="F35" s="99"/>
      <c r="G35" s="99"/>
      <c r="H35" s="99"/>
      <c r="I35" s="99"/>
      <c r="J35" s="99"/>
      <c r="K35" s="99"/>
      <c r="L35" s="99"/>
      <c r="M35" s="99"/>
      <c r="N35" s="99"/>
      <c r="O35" s="10"/>
      <c r="P35" s="99"/>
      <c r="Q35" s="99"/>
      <c r="R35" s="99"/>
      <c r="S35" s="99"/>
      <c r="T35" s="99"/>
      <c r="U35" s="99"/>
      <c r="W35" s="99"/>
      <c r="X35" s="99"/>
      <c r="Y35" s="99"/>
      <c r="Z35" s="99"/>
      <c r="AA35" s="99"/>
      <c r="AB35" s="99"/>
      <c r="AD35" s="99"/>
      <c r="AE35" s="99"/>
      <c r="AF35" s="99"/>
      <c r="AG35" s="99"/>
      <c r="AH35" s="99"/>
      <c r="AI35" s="99"/>
      <c r="AK35" s="99"/>
      <c r="AL35" s="99"/>
      <c r="AM35" s="99"/>
      <c r="AN35" s="99"/>
      <c r="AO35" s="99"/>
      <c r="AP35" s="99"/>
      <c r="AR35" s="99"/>
      <c r="AS35" s="99"/>
      <c r="AT35" s="99"/>
      <c r="AU35" s="99"/>
      <c r="AV35" s="99"/>
      <c r="AW35" s="99"/>
    </row>
    <row r="36" spans="1:49" ht="13.05" hidden="1" customHeight="1" x14ac:dyDescent="0.25">
      <c r="A36" t="str">
        <f>Nutrients!B35</f>
        <v>Corn Gluten Meal</v>
      </c>
      <c r="B36" s="99"/>
      <c r="C36" s="99"/>
      <c r="D36" s="99"/>
      <c r="E36" s="99"/>
      <c r="F36" s="99"/>
      <c r="G36" s="99"/>
      <c r="H36" s="99"/>
      <c r="I36" s="99"/>
      <c r="J36" s="99"/>
      <c r="K36" s="99"/>
      <c r="L36" s="99"/>
      <c r="M36" s="99"/>
      <c r="N36" s="99"/>
      <c r="O36" s="10"/>
      <c r="P36" s="99"/>
      <c r="Q36" s="99"/>
      <c r="R36" s="99"/>
      <c r="S36" s="99"/>
      <c r="T36" s="99"/>
      <c r="U36" s="99"/>
      <c r="W36" s="99"/>
      <c r="X36" s="99"/>
      <c r="Y36" s="99"/>
      <c r="Z36" s="99"/>
      <c r="AA36" s="99"/>
      <c r="AB36" s="99"/>
      <c r="AD36" s="99"/>
      <c r="AE36" s="99"/>
      <c r="AF36" s="99"/>
      <c r="AG36" s="99"/>
      <c r="AH36" s="99"/>
      <c r="AI36" s="99"/>
      <c r="AK36" s="99"/>
      <c r="AL36" s="99"/>
      <c r="AM36" s="99"/>
      <c r="AN36" s="99"/>
      <c r="AO36" s="99"/>
      <c r="AP36" s="99"/>
      <c r="AR36" s="99"/>
      <c r="AS36" s="99"/>
      <c r="AT36" s="99"/>
      <c r="AU36" s="99"/>
      <c r="AV36" s="99"/>
      <c r="AW36" s="99"/>
    </row>
    <row r="37" spans="1:49" ht="13.05" hidden="1" customHeight="1" x14ac:dyDescent="0.25">
      <c r="A37" t="str">
        <f>Nutrients!B36</f>
        <v>Corn Grits, Hominy Feed</v>
      </c>
      <c r="B37" s="99"/>
      <c r="C37" s="99"/>
      <c r="D37" s="99"/>
      <c r="E37" s="99"/>
      <c r="F37" s="99"/>
      <c r="G37" s="99"/>
      <c r="H37" s="99"/>
      <c r="I37" s="99"/>
      <c r="J37" s="99"/>
      <c r="K37" s="99"/>
      <c r="L37" s="99"/>
      <c r="M37" s="99"/>
      <c r="N37" s="99"/>
      <c r="O37" s="10"/>
      <c r="P37" s="99"/>
      <c r="Q37" s="99"/>
      <c r="R37" s="99"/>
      <c r="S37" s="99"/>
      <c r="T37" s="99"/>
      <c r="U37" s="99"/>
      <c r="W37" s="99"/>
      <c r="X37" s="99"/>
      <c r="Y37" s="99"/>
      <c r="Z37" s="99"/>
      <c r="AA37" s="99"/>
      <c r="AB37" s="99"/>
      <c r="AD37" s="99"/>
      <c r="AE37" s="99"/>
      <c r="AF37" s="99"/>
      <c r="AG37" s="99"/>
      <c r="AH37" s="99"/>
      <c r="AI37" s="99"/>
      <c r="AK37" s="99"/>
      <c r="AL37" s="99"/>
      <c r="AM37" s="99"/>
      <c r="AN37" s="99"/>
      <c r="AO37" s="99"/>
      <c r="AP37" s="99"/>
      <c r="AR37" s="99"/>
      <c r="AS37" s="99"/>
      <c r="AT37" s="99"/>
      <c r="AU37" s="99"/>
      <c r="AV37" s="99"/>
      <c r="AW37" s="99"/>
    </row>
    <row r="38" spans="1:49" ht="13.05" hidden="1" customHeight="1" x14ac:dyDescent="0.25">
      <c r="A38" t="str">
        <f>Nutrients!B37</f>
        <v>Cotton Seeds, Fullfat</v>
      </c>
      <c r="B38" s="99"/>
      <c r="C38" s="99"/>
      <c r="D38" s="99"/>
      <c r="E38" s="99"/>
      <c r="F38" s="99"/>
      <c r="G38" s="99"/>
      <c r="H38" s="99"/>
      <c r="I38" s="99"/>
      <c r="J38" s="99"/>
      <c r="K38" s="99"/>
      <c r="L38" s="99"/>
      <c r="M38" s="99"/>
      <c r="N38" s="99"/>
      <c r="O38" s="10"/>
      <c r="P38" s="99"/>
      <c r="Q38" s="99"/>
      <c r="R38" s="99"/>
      <c r="S38" s="99"/>
      <c r="T38" s="99"/>
      <c r="U38" s="99"/>
      <c r="W38" s="99"/>
      <c r="X38" s="99"/>
      <c r="Y38" s="99"/>
      <c r="Z38" s="99"/>
      <c r="AA38" s="99"/>
      <c r="AB38" s="99"/>
      <c r="AD38" s="99"/>
      <c r="AE38" s="99"/>
      <c r="AF38" s="99"/>
      <c r="AG38" s="99"/>
      <c r="AH38" s="99"/>
      <c r="AI38" s="99"/>
      <c r="AK38" s="99"/>
      <c r="AL38" s="99"/>
      <c r="AM38" s="99"/>
      <c r="AN38" s="99"/>
      <c r="AO38" s="99"/>
      <c r="AP38" s="99"/>
      <c r="AR38" s="99"/>
      <c r="AS38" s="99"/>
      <c r="AT38" s="99"/>
      <c r="AU38" s="99"/>
      <c r="AV38" s="99"/>
      <c r="AW38" s="99"/>
    </row>
    <row r="39" spans="1:49" ht="13.05" hidden="1" customHeight="1" x14ac:dyDescent="0.25">
      <c r="A39" t="str">
        <f>Nutrients!B38</f>
        <v>Cotton Seed Meal</v>
      </c>
      <c r="B39" s="99"/>
      <c r="C39" s="99"/>
      <c r="D39" s="99"/>
      <c r="E39" s="99"/>
      <c r="F39" s="99"/>
      <c r="G39" s="99"/>
      <c r="H39" s="99"/>
      <c r="I39" s="99"/>
      <c r="J39" s="99"/>
      <c r="K39" s="99"/>
      <c r="L39" s="99"/>
      <c r="M39" s="99"/>
      <c r="N39" s="99"/>
      <c r="O39" s="10"/>
      <c r="P39" s="99"/>
      <c r="Q39" s="99"/>
      <c r="R39" s="99"/>
      <c r="S39" s="99"/>
      <c r="T39" s="99"/>
      <c r="U39" s="99"/>
      <c r="W39" s="99"/>
      <c r="X39" s="99"/>
      <c r="Y39" s="99"/>
      <c r="Z39" s="99"/>
      <c r="AA39" s="99"/>
      <c r="AB39" s="99"/>
      <c r="AD39" s="99"/>
      <c r="AE39" s="99"/>
      <c r="AF39" s="99"/>
      <c r="AG39" s="99"/>
      <c r="AH39" s="99"/>
      <c r="AI39" s="99"/>
      <c r="AK39" s="99"/>
      <c r="AL39" s="99"/>
      <c r="AM39" s="99"/>
      <c r="AN39" s="99"/>
      <c r="AO39" s="99"/>
      <c r="AP39" s="99"/>
      <c r="AR39" s="99"/>
      <c r="AS39" s="99"/>
      <c r="AT39" s="99"/>
      <c r="AU39" s="99"/>
      <c r="AV39" s="99"/>
      <c r="AW39" s="99"/>
    </row>
    <row r="40" spans="1:49" ht="13.05" hidden="1" customHeight="1" x14ac:dyDescent="0.25">
      <c r="A40" t="str">
        <f>Nutrients!B39</f>
        <v>Feather Meal</v>
      </c>
      <c r="B40" s="99"/>
      <c r="C40" s="99"/>
      <c r="D40" s="99"/>
      <c r="E40" s="99"/>
      <c r="F40" s="99"/>
      <c r="G40" s="99"/>
      <c r="H40" s="99"/>
      <c r="I40" s="99"/>
      <c r="J40" s="99"/>
      <c r="K40" s="99"/>
      <c r="L40" s="99"/>
      <c r="M40" s="99"/>
      <c r="N40" s="99"/>
      <c r="O40" s="10"/>
      <c r="P40" s="99"/>
      <c r="Q40" s="99"/>
      <c r="R40" s="99"/>
      <c r="S40" s="99"/>
      <c r="T40" s="99"/>
      <c r="U40" s="99"/>
      <c r="W40" s="99"/>
      <c r="X40" s="99"/>
      <c r="Y40" s="99"/>
      <c r="Z40" s="99"/>
      <c r="AA40" s="99"/>
      <c r="AB40" s="99"/>
      <c r="AD40" s="99"/>
      <c r="AE40" s="99"/>
      <c r="AF40" s="99"/>
      <c r="AG40" s="99"/>
      <c r="AH40" s="99"/>
      <c r="AI40" s="99"/>
      <c r="AK40" s="99"/>
      <c r="AL40" s="99"/>
      <c r="AM40" s="99"/>
      <c r="AN40" s="99"/>
      <c r="AO40" s="99"/>
      <c r="AP40" s="99"/>
      <c r="AR40" s="99"/>
      <c r="AS40" s="99"/>
      <c r="AT40" s="99"/>
      <c r="AU40" s="99"/>
      <c r="AV40" s="99"/>
      <c r="AW40" s="99"/>
    </row>
    <row r="41" spans="1:49" ht="13.05" hidden="1" customHeight="1" x14ac:dyDescent="0.25">
      <c r="A41" t="str">
        <f>Nutrients!B40</f>
        <v>Fish Meal Combined</v>
      </c>
      <c r="B41" s="99"/>
      <c r="C41" s="99"/>
      <c r="D41" s="99"/>
      <c r="E41" s="99"/>
      <c r="F41" s="99"/>
      <c r="G41" s="99"/>
      <c r="H41" s="99"/>
      <c r="I41" s="99"/>
      <c r="J41" s="99"/>
      <c r="K41" s="99"/>
      <c r="L41" s="99"/>
      <c r="M41" s="99"/>
      <c r="N41" s="99"/>
      <c r="O41" s="10"/>
      <c r="P41" s="99"/>
      <c r="Q41" s="99"/>
      <c r="R41" s="99"/>
      <c r="S41" s="99"/>
      <c r="T41" s="99"/>
      <c r="U41" s="99"/>
      <c r="W41" s="99"/>
      <c r="X41" s="99"/>
      <c r="Y41" s="99"/>
      <c r="Z41" s="99"/>
      <c r="AA41" s="99"/>
      <c r="AB41" s="99"/>
      <c r="AD41" s="99"/>
      <c r="AE41" s="99"/>
      <c r="AF41" s="99"/>
      <c r="AG41" s="99"/>
      <c r="AH41" s="99"/>
      <c r="AI41" s="99"/>
      <c r="AK41" s="99"/>
      <c r="AL41" s="99"/>
      <c r="AM41" s="99"/>
      <c r="AN41" s="99"/>
      <c r="AO41" s="99"/>
      <c r="AP41" s="99"/>
      <c r="AR41" s="99"/>
      <c r="AS41" s="99"/>
      <c r="AT41" s="99"/>
      <c r="AU41" s="99"/>
      <c r="AV41" s="99"/>
      <c r="AW41" s="99"/>
    </row>
    <row r="42" spans="1:49" ht="13.05" hidden="1" customHeight="1" x14ac:dyDescent="0.25">
      <c r="A42" t="str">
        <f>Nutrients!B41</f>
        <v>Flaxseed</v>
      </c>
      <c r="B42" s="99"/>
      <c r="C42" s="99"/>
      <c r="D42" s="99"/>
      <c r="E42" s="99"/>
      <c r="F42" s="99"/>
      <c r="G42" s="99"/>
      <c r="H42" s="99"/>
      <c r="I42" s="99"/>
      <c r="J42" s="99"/>
      <c r="K42" s="99"/>
      <c r="L42" s="99"/>
      <c r="M42" s="99"/>
      <c r="N42" s="99"/>
      <c r="O42" s="10"/>
      <c r="P42" s="99"/>
      <c r="Q42" s="99"/>
      <c r="R42" s="99"/>
      <c r="S42" s="99"/>
      <c r="T42" s="99"/>
      <c r="U42" s="99"/>
      <c r="W42" s="99"/>
      <c r="X42" s="99"/>
      <c r="Y42" s="99"/>
      <c r="Z42" s="99"/>
      <c r="AA42" s="99"/>
      <c r="AB42" s="99"/>
      <c r="AD42" s="99"/>
      <c r="AE42" s="99"/>
      <c r="AF42" s="99"/>
      <c r="AG42" s="99"/>
      <c r="AH42" s="99"/>
      <c r="AI42" s="99"/>
      <c r="AK42" s="99"/>
      <c r="AL42" s="99"/>
      <c r="AM42" s="99"/>
      <c r="AN42" s="99"/>
      <c r="AO42" s="99"/>
      <c r="AP42" s="99"/>
      <c r="AR42" s="99"/>
      <c r="AS42" s="99"/>
      <c r="AT42" s="99"/>
      <c r="AU42" s="99"/>
      <c r="AV42" s="99"/>
      <c r="AW42" s="99"/>
    </row>
    <row r="43" spans="1:49" ht="13.05" hidden="1" customHeight="1" x14ac:dyDescent="0.25">
      <c r="A43" t="str">
        <f>Nutrients!B42</f>
        <v>Flaxseed Meal</v>
      </c>
      <c r="B43" s="99"/>
      <c r="C43" s="99"/>
      <c r="D43" s="99"/>
      <c r="E43" s="99"/>
      <c r="F43" s="99"/>
      <c r="G43" s="99"/>
      <c r="H43" s="99"/>
      <c r="I43" s="99"/>
      <c r="J43" s="99"/>
      <c r="K43" s="99"/>
      <c r="L43" s="99"/>
      <c r="M43" s="99"/>
      <c r="N43" s="99"/>
      <c r="O43" s="10"/>
      <c r="P43" s="99"/>
      <c r="Q43" s="99"/>
      <c r="R43" s="99"/>
      <c r="S43" s="99"/>
      <c r="T43" s="99"/>
      <c r="U43" s="99"/>
      <c r="W43" s="99"/>
      <c r="X43" s="99"/>
      <c r="Y43" s="99"/>
      <c r="Z43" s="99"/>
      <c r="AA43" s="99"/>
      <c r="AB43" s="99"/>
      <c r="AD43" s="99"/>
      <c r="AE43" s="99"/>
      <c r="AF43" s="99"/>
      <c r="AG43" s="99"/>
      <c r="AH43" s="99"/>
      <c r="AI43" s="99"/>
      <c r="AK43" s="99"/>
      <c r="AL43" s="99"/>
      <c r="AM43" s="99"/>
      <c r="AN43" s="99"/>
      <c r="AO43" s="99"/>
      <c r="AP43" s="99"/>
      <c r="AR43" s="99"/>
      <c r="AS43" s="99"/>
      <c r="AT43" s="99"/>
      <c r="AU43" s="99"/>
      <c r="AV43" s="99"/>
      <c r="AW43" s="99"/>
    </row>
    <row r="44" spans="1:49" ht="13.05" hidden="1" customHeight="1" x14ac:dyDescent="0.25">
      <c r="A44" t="str">
        <f>Nutrients!B43</f>
        <v>Lupins</v>
      </c>
      <c r="B44" s="99"/>
      <c r="C44" s="99"/>
      <c r="D44" s="99"/>
      <c r="E44" s="99"/>
      <c r="F44" s="99"/>
      <c r="G44" s="99"/>
      <c r="H44" s="99"/>
      <c r="I44" s="99"/>
      <c r="J44" s="99"/>
      <c r="K44" s="99"/>
      <c r="L44" s="99"/>
      <c r="M44" s="99"/>
      <c r="N44" s="99"/>
      <c r="O44" s="10"/>
      <c r="P44" s="99"/>
      <c r="Q44" s="99"/>
      <c r="R44" s="99"/>
      <c r="S44" s="99"/>
      <c r="T44" s="99"/>
      <c r="U44" s="99"/>
      <c r="W44" s="99"/>
      <c r="X44" s="99"/>
      <c r="Y44" s="99"/>
      <c r="Z44" s="99"/>
      <c r="AA44" s="99"/>
      <c r="AB44" s="99"/>
      <c r="AD44" s="99"/>
      <c r="AE44" s="99"/>
      <c r="AF44" s="99"/>
      <c r="AG44" s="99"/>
      <c r="AH44" s="99"/>
      <c r="AI44" s="99"/>
      <c r="AK44" s="99"/>
      <c r="AL44" s="99"/>
      <c r="AM44" s="99"/>
      <c r="AN44" s="99"/>
      <c r="AO44" s="99"/>
      <c r="AP44" s="99"/>
      <c r="AR44" s="99"/>
      <c r="AS44" s="99"/>
      <c r="AT44" s="99"/>
      <c r="AU44" s="99"/>
      <c r="AV44" s="99"/>
      <c r="AW44" s="99"/>
    </row>
    <row r="45" spans="1:49" ht="13.05" hidden="1" customHeight="1" x14ac:dyDescent="0.25">
      <c r="A45" t="str">
        <f>Nutrients!B44</f>
        <v>Meat Meal</v>
      </c>
      <c r="B45" s="99"/>
      <c r="C45" s="99"/>
      <c r="D45" s="99"/>
      <c r="E45" s="99"/>
      <c r="F45" s="99"/>
      <c r="G45" s="99"/>
      <c r="H45" s="99"/>
      <c r="I45" s="99"/>
      <c r="J45" s="99"/>
      <c r="K45" s="99"/>
      <c r="L45" s="99"/>
      <c r="M45" s="99"/>
      <c r="N45" s="99"/>
      <c r="O45" s="10"/>
      <c r="P45" s="99"/>
      <c r="Q45" s="99"/>
      <c r="R45" s="99"/>
      <c r="S45" s="99"/>
      <c r="T45" s="99"/>
      <c r="U45" s="99"/>
      <c r="W45" s="99"/>
      <c r="X45" s="99"/>
      <c r="Y45" s="99"/>
      <c r="Z45" s="99"/>
      <c r="AA45" s="99"/>
      <c r="AB45" s="99"/>
      <c r="AD45" s="99"/>
      <c r="AE45" s="99"/>
      <c r="AF45" s="99"/>
      <c r="AG45" s="99"/>
      <c r="AH45" s="99"/>
      <c r="AI45" s="99"/>
      <c r="AK45" s="99"/>
      <c r="AL45" s="99"/>
      <c r="AM45" s="99"/>
      <c r="AN45" s="99"/>
      <c r="AO45" s="99"/>
      <c r="AP45" s="99"/>
      <c r="AR45" s="99"/>
      <c r="AS45" s="99"/>
      <c r="AT45" s="99"/>
      <c r="AU45" s="99"/>
      <c r="AV45" s="99"/>
      <c r="AW45" s="99"/>
    </row>
    <row r="46" spans="1:49" ht="13.05" hidden="1" customHeight="1" x14ac:dyDescent="0.25">
      <c r="A46" t="str">
        <f>Nutrients!B45</f>
        <v>Meat and Bone Meal, P &gt;4%</v>
      </c>
      <c r="B46" s="99"/>
      <c r="C46" s="99"/>
      <c r="D46" s="99"/>
      <c r="E46" s="99"/>
      <c r="F46" s="99"/>
      <c r="G46" s="99"/>
      <c r="H46" s="99"/>
      <c r="I46" s="99"/>
      <c r="J46" s="99"/>
      <c r="K46" s="99"/>
      <c r="L46" s="99"/>
      <c r="M46" s="99"/>
      <c r="N46" s="99"/>
      <c r="O46" s="10"/>
      <c r="P46" s="99"/>
      <c r="Q46" s="99"/>
      <c r="R46" s="99"/>
      <c r="S46" s="99"/>
      <c r="T46" s="99"/>
      <c r="U46" s="99"/>
      <c r="W46" s="99"/>
      <c r="X46" s="99"/>
      <c r="Y46" s="99"/>
      <c r="Z46" s="99"/>
      <c r="AA46" s="99"/>
      <c r="AB46" s="99"/>
      <c r="AD46" s="99"/>
      <c r="AE46" s="99"/>
      <c r="AF46" s="99"/>
      <c r="AG46" s="99"/>
      <c r="AH46" s="99"/>
      <c r="AI46" s="99"/>
      <c r="AK46" s="99"/>
      <c r="AL46" s="99"/>
      <c r="AM46" s="99"/>
      <c r="AN46" s="99"/>
      <c r="AO46" s="99"/>
      <c r="AP46" s="99"/>
      <c r="AR46" s="99"/>
      <c r="AS46" s="99"/>
      <c r="AT46" s="99"/>
      <c r="AU46" s="99"/>
      <c r="AV46" s="99"/>
      <c r="AW46" s="99"/>
    </row>
    <row r="47" spans="1:49" ht="13.05" hidden="1" customHeight="1" x14ac:dyDescent="0.25">
      <c r="A47" t="str">
        <f>Nutrients!B46</f>
        <v>Milk, Casein</v>
      </c>
      <c r="B47" s="99"/>
      <c r="C47" s="99"/>
      <c r="D47" s="99"/>
      <c r="E47" s="99"/>
      <c r="F47" s="99"/>
      <c r="G47" s="99"/>
      <c r="H47" s="99"/>
      <c r="I47" s="99"/>
      <c r="J47" s="99"/>
      <c r="K47" s="99"/>
      <c r="L47" s="99"/>
      <c r="M47" s="99"/>
      <c r="N47" s="99"/>
      <c r="O47" s="10"/>
      <c r="P47" s="99"/>
      <c r="Q47" s="99"/>
      <c r="R47" s="99"/>
      <c r="S47" s="99"/>
      <c r="T47" s="99"/>
      <c r="U47" s="99"/>
      <c r="W47" s="99"/>
      <c r="X47" s="99"/>
      <c r="Y47" s="99"/>
      <c r="Z47" s="99"/>
      <c r="AA47" s="99"/>
      <c r="AB47" s="99"/>
      <c r="AD47" s="99"/>
      <c r="AE47" s="99"/>
      <c r="AF47" s="99"/>
      <c r="AG47" s="99"/>
      <c r="AH47" s="99"/>
      <c r="AI47" s="99"/>
      <c r="AK47" s="99"/>
      <c r="AL47" s="99"/>
      <c r="AM47" s="99"/>
      <c r="AN47" s="99"/>
      <c r="AO47" s="99"/>
      <c r="AP47" s="99"/>
      <c r="AR47" s="99"/>
      <c r="AS47" s="99"/>
      <c r="AT47" s="99"/>
      <c r="AU47" s="99"/>
      <c r="AV47" s="99"/>
      <c r="AW47" s="99"/>
    </row>
    <row r="48" spans="1:49" ht="13.05" hidden="1" customHeight="1" x14ac:dyDescent="0.25">
      <c r="A48" t="str">
        <f>Nutrients!B47</f>
        <v>Milk, Lactose</v>
      </c>
      <c r="B48" s="99"/>
      <c r="C48" s="99"/>
      <c r="D48" s="99"/>
      <c r="E48" s="99"/>
      <c r="F48" s="99"/>
      <c r="G48" s="99"/>
      <c r="H48" s="99"/>
      <c r="I48" s="99"/>
      <c r="J48" s="99"/>
      <c r="K48" s="99"/>
      <c r="L48" s="99"/>
      <c r="M48" s="99"/>
      <c r="N48" s="99"/>
      <c r="O48" s="10"/>
      <c r="P48" s="99"/>
      <c r="Q48" s="99"/>
      <c r="R48" s="99"/>
      <c r="S48" s="99"/>
      <c r="T48" s="99"/>
      <c r="U48" s="99"/>
      <c r="W48" s="99"/>
      <c r="X48" s="99"/>
      <c r="Y48" s="99"/>
      <c r="Z48" s="99"/>
      <c r="AA48" s="99"/>
      <c r="AB48" s="99"/>
      <c r="AD48" s="99"/>
      <c r="AE48" s="99"/>
      <c r="AF48" s="99"/>
      <c r="AG48" s="99"/>
      <c r="AH48" s="99"/>
      <c r="AI48" s="99"/>
      <c r="AK48" s="99"/>
      <c r="AL48" s="99"/>
      <c r="AM48" s="99"/>
      <c r="AN48" s="99"/>
      <c r="AO48" s="99"/>
      <c r="AP48" s="99"/>
      <c r="AR48" s="99"/>
      <c r="AS48" s="99"/>
      <c r="AT48" s="99"/>
      <c r="AU48" s="99"/>
      <c r="AV48" s="99"/>
      <c r="AW48" s="99"/>
    </row>
    <row r="49" spans="1:49" ht="13.05" hidden="1" customHeight="1" x14ac:dyDescent="0.25">
      <c r="A49" t="str">
        <f>Nutrients!B48</f>
        <v>Milk, Skim Milk Powder</v>
      </c>
      <c r="B49" s="99"/>
      <c r="C49" s="99"/>
      <c r="D49" s="99"/>
      <c r="E49" s="99"/>
      <c r="F49" s="99"/>
      <c r="G49" s="99"/>
      <c r="H49" s="99"/>
      <c r="I49" s="99"/>
      <c r="J49" s="99"/>
      <c r="K49" s="99"/>
      <c r="L49" s="99"/>
      <c r="M49" s="99"/>
      <c r="N49" s="99"/>
      <c r="O49" s="10"/>
      <c r="P49" s="99"/>
      <c r="Q49" s="99"/>
      <c r="R49" s="99"/>
      <c r="S49" s="99"/>
      <c r="T49" s="99"/>
      <c r="U49" s="99"/>
      <c r="W49" s="99"/>
      <c r="X49" s="99"/>
      <c r="Y49" s="99"/>
      <c r="Z49" s="99"/>
      <c r="AA49" s="99"/>
      <c r="AB49" s="99"/>
      <c r="AD49" s="99"/>
      <c r="AE49" s="99"/>
      <c r="AF49" s="99"/>
      <c r="AG49" s="99"/>
      <c r="AH49" s="99"/>
      <c r="AI49" s="99"/>
      <c r="AK49" s="99"/>
      <c r="AL49" s="99"/>
      <c r="AM49" s="99"/>
      <c r="AN49" s="99"/>
      <c r="AO49" s="99"/>
      <c r="AP49" s="99"/>
      <c r="AR49" s="99"/>
      <c r="AS49" s="99"/>
      <c r="AT49" s="99"/>
      <c r="AU49" s="99"/>
      <c r="AV49" s="99"/>
      <c r="AW49" s="99"/>
    </row>
    <row r="50" spans="1:49" ht="13.05" hidden="1" customHeight="1" x14ac:dyDescent="0.25">
      <c r="A50" t="str">
        <f>Nutrients!B49</f>
        <v>Milk, Whey Powder</v>
      </c>
      <c r="B50" s="99"/>
      <c r="C50" s="99"/>
      <c r="D50" s="99"/>
      <c r="E50" s="99"/>
      <c r="F50" s="99"/>
      <c r="G50" s="99"/>
      <c r="H50" s="99"/>
      <c r="I50" s="99"/>
      <c r="J50" s="99"/>
      <c r="K50" s="99"/>
      <c r="L50" s="99"/>
      <c r="M50" s="99"/>
      <c r="N50" s="99"/>
      <c r="O50" s="10"/>
      <c r="P50" s="99"/>
      <c r="Q50" s="99"/>
      <c r="R50" s="99"/>
      <c r="S50" s="99"/>
      <c r="T50" s="99"/>
      <c r="U50" s="99"/>
      <c r="W50" s="99"/>
      <c r="X50" s="99"/>
      <c r="Y50" s="99"/>
      <c r="Z50" s="99"/>
      <c r="AA50" s="99"/>
      <c r="AB50" s="99"/>
      <c r="AD50" s="99"/>
      <c r="AE50" s="99"/>
      <c r="AF50" s="99"/>
      <c r="AG50" s="99"/>
      <c r="AH50" s="99"/>
      <c r="AI50" s="99"/>
      <c r="AK50" s="99"/>
      <c r="AL50" s="99"/>
      <c r="AM50" s="99"/>
      <c r="AN50" s="99"/>
      <c r="AO50" s="99"/>
      <c r="AP50" s="99"/>
      <c r="AR50" s="99"/>
      <c r="AS50" s="99"/>
      <c r="AT50" s="99"/>
      <c r="AU50" s="99"/>
      <c r="AV50" s="99"/>
      <c r="AW50" s="99"/>
    </row>
    <row r="51" spans="1:49" ht="13.05" hidden="1" customHeight="1" x14ac:dyDescent="0.25">
      <c r="A51" t="str">
        <f>Nutrients!B50</f>
        <v>Milk, Whey Permeate, 80% lactose</v>
      </c>
      <c r="B51" s="99"/>
      <c r="C51" s="99"/>
      <c r="D51" s="99"/>
      <c r="E51" s="99"/>
      <c r="F51" s="99"/>
      <c r="G51" s="99"/>
      <c r="H51" s="99"/>
      <c r="I51" s="99"/>
      <c r="J51" s="99"/>
      <c r="K51" s="99"/>
      <c r="L51" s="99"/>
      <c r="M51" s="99"/>
      <c r="N51" s="99"/>
      <c r="O51" s="10"/>
      <c r="P51" s="99"/>
      <c r="Q51" s="99"/>
      <c r="R51" s="99"/>
      <c r="S51" s="99"/>
      <c r="T51" s="99"/>
      <c r="U51" s="99"/>
      <c r="W51" s="99"/>
      <c r="X51" s="99"/>
      <c r="Y51" s="99"/>
      <c r="Z51" s="99"/>
      <c r="AA51" s="99"/>
      <c r="AB51" s="99"/>
      <c r="AD51" s="99"/>
      <c r="AE51" s="99"/>
      <c r="AF51" s="99"/>
      <c r="AG51" s="99"/>
      <c r="AH51" s="99"/>
      <c r="AI51" s="99"/>
      <c r="AK51" s="99"/>
      <c r="AL51" s="99"/>
      <c r="AM51" s="99"/>
      <c r="AN51" s="99"/>
      <c r="AO51" s="99"/>
      <c r="AP51" s="99"/>
      <c r="AR51" s="99"/>
      <c r="AS51" s="99"/>
      <c r="AT51" s="99"/>
      <c r="AU51" s="99"/>
      <c r="AV51" s="99"/>
      <c r="AW51" s="99"/>
    </row>
    <row r="52" spans="1:49" ht="12.75" hidden="1" customHeight="1" x14ac:dyDescent="0.25">
      <c r="A52" t="str">
        <f>Nutrients!B51</f>
        <v>Milk, Whey Protein Concentrate</v>
      </c>
      <c r="B52" s="99"/>
      <c r="C52" s="99"/>
      <c r="D52" s="99"/>
      <c r="E52" s="99"/>
      <c r="F52" s="99"/>
      <c r="G52" s="99"/>
      <c r="H52" s="99"/>
      <c r="I52" s="99"/>
      <c r="J52" s="99"/>
      <c r="K52" s="99"/>
      <c r="L52" s="99"/>
      <c r="M52" s="99"/>
      <c r="N52" s="99"/>
      <c r="O52" s="10"/>
      <c r="P52" s="99"/>
      <c r="Q52" s="99"/>
      <c r="R52" s="99"/>
      <c r="S52" s="99"/>
      <c r="T52" s="99"/>
      <c r="U52" s="99"/>
      <c r="W52" s="99"/>
      <c r="X52" s="99"/>
      <c r="Y52" s="99"/>
      <c r="Z52" s="99"/>
      <c r="AA52" s="99"/>
      <c r="AB52" s="99"/>
      <c r="AD52" s="99"/>
      <c r="AE52" s="99"/>
      <c r="AF52" s="99"/>
      <c r="AG52" s="99"/>
      <c r="AH52" s="99"/>
      <c r="AI52" s="99"/>
      <c r="AK52" s="99"/>
      <c r="AL52" s="99"/>
      <c r="AM52" s="99"/>
      <c r="AN52" s="99"/>
      <c r="AO52" s="99"/>
      <c r="AP52" s="99"/>
      <c r="AR52" s="99"/>
      <c r="AS52" s="99"/>
      <c r="AT52" s="99"/>
      <c r="AU52" s="99"/>
      <c r="AV52" s="99"/>
      <c r="AW52" s="99"/>
    </row>
    <row r="53" spans="1:49" ht="12.75" hidden="1" customHeight="1" x14ac:dyDescent="0.25">
      <c r="A53" t="str">
        <f>Nutrients!B52</f>
        <v>Millet</v>
      </c>
      <c r="B53" s="99"/>
      <c r="C53" s="99"/>
      <c r="D53" s="99"/>
      <c r="E53" s="99"/>
      <c r="F53" s="99"/>
      <c r="G53" s="99"/>
      <c r="H53" s="99"/>
      <c r="I53" s="99"/>
      <c r="J53" s="99"/>
      <c r="K53" s="99"/>
      <c r="L53" s="99"/>
      <c r="M53" s="99"/>
      <c r="N53" s="99"/>
      <c r="O53" s="10"/>
      <c r="P53" s="99"/>
      <c r="Q53" s="99"/>
      <c r="R53" s="99"/>
      <c r="S53" s="99"/>
      <c r="T53" s="99"/>
      <c r="U53" s="99"/>
      <c r="W53" s="99"/>
      <c r="X53" s="99"/>
      <c r="Y53" s="99"/>
      <c r="Z53" s="99"/>
      <c r="AA53" s="99"/>
      <c r="AB53" s="99"/>
      <c r="AD53" s="99"/>
      <c r="AE53" s="99"/>
      <c r="AF53" s="99"/>
      <c r="AG53" s="99"/>
      <c r="AH53" s="99"/>
      <c r="AI53" s="99"/>
      <c r="AK53" s="99"/>
      <c r="AL53" s="99"/>
      <c r="AM53" s="99"/>
      <c r="AN53" s="99"/>
      <c r="AO53" s="99"/>
      <c r="AP53" s="99"/>
      <c r="AR53" s="99"/>
      <c r="AS53" s="99"/>
      <c r="AT53" s="99"/>
      <c r="AU53" s="99"/>
      <c r="AV53" s="99"/>
      <c r="AW53" s="99"/>
    </row>
    <row r="54" spans="1:49" ht="12.75" hidden="1" customHeight="1" x14ac:dyDescent="0.25">
      <c r="A54" t="str">
        <f>Nutrients!B53</f>
        <v>Molasses, Sugarbeet</v>
      </c>
      <c r="B54" s="99"/>
      <c r="C54" s="99"/>
      <c r="D54" s="99"/>
      <c r="E54" s="99"/>
      <c r="F54" s="99"/>
      <c r="G54" s="99"/>
      <c r="H54" s="99"/>
      <c r="I54" s="99"/>
      <c r="J54" s="99"/>
      <c r="K54" s="99"/>
      <c r="L54" s="99"/>
      <c r="M54" s="99"/>
      <c r="N54" s="99"/>
      <c r="O54" s="10"/>
      <c r="P54" s="99"/>
      <c r="Q54" s="99"/>
      <c r="R54" s="99"/>
      <c r="S54" s="99"/>
      <c r="T54" s="99"/>
      <c r="U54" s="99"/>
      <c r="W54" s="99"/>
      <c r="X54" s="99"/>
      <c r="Y54" s="99"/>
      <c r="Z54" s="99"/>
      <c r="AA54" s="99"/>
      <c r="AB54" s="99"/>
      <c r="AD54" s="99"/>
      <c r="AE54" s="99"/>
      <c r="AF54" s="99"/>
      <c r="AG54" s="99"/>
      <c r="AH54" s="99"/>
      <c r="AI54" s="99"/>
      <c r="AK54" s="99"/>
      <c r="AL54" s="99"/>
      <c r="AM54" s="99"/>
      <c r="AN54" s="99"/>
      <c r="AO54" s="99"/>
      <c r="AP54" s="99"/>
      <c r="AR54" s="99"/>
      <c r="AS54" s="99"/>
      <c r="AT54" s="99"/>
      <c r="AU54" s="99"/>
      <c r="AV54" s="99"/>
      <c r="AW54" s="99"/>
    </row>
    <row r="55" spans="1:49" ht="12.75" hidden="1" customHeight="1" x14ac:dyDescent="0.25">
      <c r="A55" t="str">
        <f>Nutrients!B54</f>
        <v>Molasses, Sugarcane</v>
      </c>
      <c r="B55" s="99"/>
      <c r="C55" s="99"/>
      <c r="D55" s="99"/>
      <c r="E55" s="99"/>
      <c r="F55" s="99"/>
      <c r="G55" s="99"/>
      <c r="H55" s="99"/>
      <c r="I55" s="99"/>
      <c r="J55" s="99"/>
      <c r="K55" s="99"/>
      <c r="L55" s="99"/>
      <c r="M55" s="99"/>
      <c r="N55" s="99"/>
      <c r="O55" s="10"/>
      <c r="P55" s="99"/>
      <c r="Q55" s="99"/>
      <c r="R55" s="99"/>
      <c r="S55" s="99"/>
      <c r="T55" s="99"/>
      <c r="U55" s="99"/>
      <c r="W55" s="99"/>
      <c r="X55" s="99"/>
      <c r="Y55" s="99"/>
      <c r="Z55" s="99"/>
      <c r="AA55" s="99"/>
      <c r="AB55" s="99"/>
      <c r="AD55" s="99"/>
      <c r="AE55" s="99"/>
      <c r="AF55" s="99"/>
      <c r="AG55" s="99"/>
      <c r="AH55" s="99"/>
      <c r="AI55" s="99"/>
      <c r="AK55" s="99"/>
      <c r="AL55" s="99"/>
      <c r="AM55" s="99"/>
      <c r="AN55" s="99"/>
      <c r="AO55" s="99"/>
      <c r="AP55" s="99"/>
      <c r="AR55" s="99"/>
      <c r="AS55" s="99"/>
      <c r="AT55" s="99"/>
      <c r="AU55" s="99"/>
      <c r="AV55" s="99"/>
      <c r="AW55" s="99"/>
    </row>
    <row r="56" spans="1:49" ht="12.75" hidden="1" customHeight="1" x14ac:dyDescent="0.25">
      <c r="A56" t="str">
        <f>Nutrients!B55</f>
        <v>Oats</v>
      </c>
      <c r="B56" s="99"/>
      <c r="C56" s="99"/>
      <c r="D56" s="99"/>
      <c r="E56" s="99"/>
      <c r="F56" s="99"/>
      <c r="G56" s="99"/>
      <c r="H56" s="99"/>
      <c r="I56" s="99"/>
      <c r="J56" s="99"/>
      <c r="K56" s="99"/>
      <c r="L56" s="99"/>
      <c r="M56" s="99"/>
      <c r="N56" s="99"/>
      <c r="O56" s="10"/>
      <c r="P56" s="99"/>
      <c r="Q56" s="99"/>
      <c r="R56" s="99"/>
      <c r="S56" s="99"/>
      <c r="T56" s="99"/>
      <c r="U56" s="99"/>
      <c r="W56" s="99"/>
      <c r="X56" s="99"/>
      <c r="Y56" s="99"/>
      <c r="Z56" s="99"/>
      <c r="AA56" s="99"/>
      <c r="AB56" s="99"/>
      <c r="AD56" s="99"/>
      <c r="AE56" s="99"/>
      <c r="AF56" s="99"/>
      <c r="AG56" s="99"/>
      <c r="AH56" s="99"/>
      <c r="AI56" s="99"/>
      <c r="AK56" s="99"/>
      <c r="AL56" s="99"/>
      <c r="AM56" s="99"/>
      <c r="AN56" s="99"/>
      <c r="AO56" s="99"/>
      <c r="AP56" s="99"/>
      <c r="AR56" s="99"/>
      <c r="AS56" s="99"/>
      <c r="AT56" s="99"/>
      <c r="AU56" s="99"/>
      <c r="AV56" s="99"/>
      <c r="AW56" s="99"/>
    </row>
    <row r="57" spans="1:49" ht="12.75" hidden="1" customHeight="1" x14ac:dyDescent="0.25">
      <c r="A57" t="str">
        <f>Nutrients!B56</f>
        <v>Oats, Naked</v>
      </c>
      <c r="B57" s="99"/>
      <c r="C57" s="99"/>
      <c r="D57" s="99"/>
      <c r="E57" s="99"/>
      <c r="F57" s="99"/>
      <c r="G57" s="99"/>
      <c r="H57" s="99"/>
      <c r="I57" s="99"/>
      <c r="J57" s="99"/>
      <c r="K57" s="99"/>
      <c r="L57" s="99"/>
      <c r="M57" s="99"/>
      <c r="N57" s="99"/>
      <c r="O57" s="10"/>
      <c r="P57" s="99"/>
      <c r="Q57" s="99"/>
      <c r="R57" s="99"/>
      <c r="S57" s="99"/>
      <c r="T57" s="99"/>
      <c r="U57" s="99"/>
      <c r="W57" s="99"/>
      <c r="X57" s="99"/>
      <c r="Y57" s="99"/>
      <c r="Z57" s="99"/>
      <c r="AA57" s="99"/>
      <c r="AB57" s="99"/>
      <c r="AD57" s="99"/>
      <c r="AE57" s="99"/>
      <c r="AF57" s="99"/>
      <c r="AG57" s="99"/>
      <c r="AH57" s="99"/>
      <c r="AI57" s="99"/>
      <c r="AK57" s="99"/>
      <c r="AL57" s="99"/>
      <c r="AM57" s="99"/>
      <c r="AN57" s="99"/>
      <c r="AO57" s="99"/>
      <c r="AP57" s="99"/>
      <c r="AR57" s="99"/>
      <c r="AS57" s="99"/>
      <c r="AT57" s="99"/>
      <c r="AU57" s="99"/>
      <c r="AV57" s="99"/>
      <c r="AW57" s="99"/>
    </row>
    <row r="58" spans="1:49" ht="12.75" hidden="1" customHeight="1" x14ac:dyDescent="0.25">
      <c r="A58" t="str">
        <f>Nutrients!B57</f>
        <v>Oat Groats</v>
      </c>
      <c r="B58" s="99"/>
      <c r="C58" s="99"/>
      <c r="D58" s="99"/>
      <c r="E58" s="99"/>
      <c r="F58" s="99"/>
      <c r="G58" s="99"/>
      <c r="H58" s="99"/>
      <c r="I58" s="99"/>
      <c r="J58" s="99"/>
      <c r="K58" s="99"/>
      <c r="L58" s="99"/>
      <c r="M58" s="99"/>
      <c r="N58" s="99"/>
      <c r="O58" s="10"/>
      <c r="P58" s="99"/>
      <c r="Q58" s="99"/>
      <c r="R58" s="99"/>
      <c r="S58" s="99"/>
      <c r="T58" s="99"/>
      <c r="U58" s="99"/>
      <c r="W58" s="99"/>
      <c r="X58" s="99"/>
      <c r="Y58" s="99"/>
      <c r="Z58" s="99"/>
      <c r="AA58" s="99"/>
      <c r="AB58" s="99"/>
      <c r="AD58" s="99"/>
      <c r="AE58" s="99"/>
      <c r="AF58" s="99"/>
      <c r="AG58" s="99"/>
      <c r="AH58" s="99"/>
      <c r="AI58" s="99"/>
      <c r="AK58" s="99"/>
      <c r="AL58" s="99"/>
      <c r="AM58" s="99"/>
      <c r="AN58" s="99"/>
      <c r="AO58" s="99"/>
      <c r="AP58" s="99"/>
      <c r="AR58" s="99"/>
      <c r="AS58" s="99"/>
      <c r="AT58" s="99"/>
      <c r="AU58" s="99"/>
      <c r="AV58" s="99"/>
      <c r="AW58" s="99"/>
    </row>
    <row r="59" spans="1:49" ht="12.75" hidden="1" customHeight="1" x14ac:dyDescent="0.25">
      <c r="A59" t="str">
        <f>Nutrients!B58</f>
        <v>Peanut Meal, Expelled</v>
      </c>
      <c r="B59" s="99"/>
      <c r="C59" s="99"/>
      <c r="D59" s="99"/>
      <c r="E59" s="99"/>
      <c r="F59" s="99"/>
      <c r="G59" s="99"/>
      <c r="H59" s="99"/>
      <c r="I59" s="99"/>
      <c r="J59" s="99"/>
      <c r="K59" s="99"/>
      <c r="L59" s="99"/>
      <c r="M59" s="99"/>
      <c r="N59" s="99"/>
      <c r="O59" s="10"/>
      <c r="P59" s="99"/>
      <c r="Q59" s="99"/>
      <c r="R59" s="99"/>
      <c r="S59" s="99"/>
      <c r="T59" s="99"/>
      <c r="U59" s="99"/>
      <c r="W59" s="99"/>
      <c r="X59" s="99"/>
      <c r="Y59" s="99"/>
      <c r="Z59" s="99"/>
      <c r="AA59" s="99"/>
      <c r="AB59" s="99"/>
      <c r="AD59" s="99"/>
      <c r="AE59" s="99"/>
      <c r="AF59" s="99"/>
      <c r="AG59" s="99"/>
      <c r="AH59" s="99"/>
      <c r="AI59" s="99"/>
      <c r="AK59" s="99"/>
      <c r="AL59" s="99"/>
      <c r="AM59" s="99"/>
      <c r="AN59" s="99"/>
      <c r="AO59" s="99"/>
      <c r="AP59" s="99"/>
      <c r="AR59" s="99"/>
      <c r="AS59" s="99"/>
      <c r="AT59" s="99"/>
      <c r="AU59" s="99"/>
      <c r="AV59" s="99"/>
      <c r="AW59" s="99"/>
    </row>
    <row r="60" spans="1:49" ht="12.75" hidden="1" customHeight="1" x14ac:dyDescent="0.25">
      <c r="A60" t="str">
        <f>Nutrients!B59</f>
        <v>Peanut Meal, Extracted</v>
      </c>
      <c r="B60" s="99"/>
      <c r="C60" s="99"/>
      <c r="D60" s="99"/>
      <c r="E60" s="99"/>
      <c r="F60" s="99"/>
      <c r="G60" s="99"/>
      <c r="H60" s="99"/>
      <c r="I60" s="99"/>
      <c r="J60" s="99"/>
      <c r="K60" s="99"/>
      <c r="L60" s="99"/>
      <c r="M60" s="99"/>
      <c r="N60" s="99"/>
      <c r="O60" s="10"/>
      <c r="P60" s="99"/>
      <c r="Q60" s="99"/>
      <c r="R60" s="99"/>
      <c r="S60" s="99"/>
      <c r="T60" s="99"/>
      <c r="U60" s="99"/>
      <c r="W60" s="99"/>
      <c r="X60" s="99"/>
      <c r="Y60" s="99"/>
      <c r="Z60" s="99"/>
      <c r="AA60" s="99"/>
      <c r="AB60" s="99"/>
      <c r="AD60" s="99"/>
      <c r="AE60" s="99"/>
      <c r="AF60" s="99"/>
      <c r="AG60" s="99"/>
      <c r="AH60" s="99"/>
      <c r="AI60" s="99"/>
      <c r="AK60" s="99"/>
      <c r="AL60" s="99"/>
      <c r="AM60" s="99"/>
      <c r="AN60" s="99"/>
      <c r="AO60" s="99"/>
      <c r="AP60" s="99"/>
      <c r="AR60" s="99"/>
      <c r="AS60" s="99"/>
      <c r="AT60" s="99"/>
      <c r="AU60" s="99"/>
      <c r="AV60" s="99"/>
      <c r="AW60" s="99"/>
    </row>
    <row r="61" spans="1:49" ht="12.75" hidden="1" customHeight="1" x14ac:dyDescent="0.25">
      <c r="A61" t="str">
        <f>Nutrients!B60</f>
        <v>Peas, Field Peas</v>
      </c>
      <c r="B61" s="99"/>
      <c r="C61" s="99"/>
      <c r="D61" s="99"/>
      <c r="E61" s="99"/>
      <c r="F61" s="99"/>
      <c r="G61" s="99"/>
      <c r="H61" s="99"/>
      <c r="I61" s="99"/>
      <c r="J61" s="99"/>
      <c r="K61" s="99"/>
      <c r="L61" s="99"/>
      <c r="M61" s="99"/>
      <c r="N61" s="99"/>
      <c r="O61" s="10"/>
      <c r="P61" s="99"/>
      <c r="Q61" s="99"/>
      <c r="R61" s="99"/>
      <c r="S61" s="99"/>
      <c r="T61" s="99"/>
      <c r="U61" s="99"/>
      <c r="W61" s="99"/>
      <c r="X61" s="99"/>
      <c r="Y61" s="99"/>
      <c r="Z61" s="99"/>
      <c r="AA61" s="99"/>
      <c r="AB61" s="99"/>
      <c r="AD61" s="99"/>
      <c r="AE61" s="99"/>
      <c r="AF61" s="99"/>
      <c r="AG61" s="99"/>
      <c r="AH61" s="99"/>
      <c r="AI61" s="99"/>
      <c r="AK61" s="99"/>
      <c r="AL61" s="99"/>
      <c r="AM61" s="99"/>
      <c r="AN61" s="99"/>
      <c r="AO61" s="99"/>
      <c r="AP61" s="99"/>
      <c r="AR61" s="99"/>
      <c r="AS61" s="99"/>
      <c r="AT61" s="99"/>
      <c r="AU61" s="99"/>
      <c r="AV61" s="99"/>
      <c r="AW61" s="99"/>
    </row>
    <row r="62" spans="1:49" ht="12.75" hidden="1" customHeight="1" x14ac:dyDescent="0.25">
      <c r="A62" t="str">
        <f>Nutrients!B61</f>
        <v>Pea Protein Concentrate</v>
      </c>
      <c r="B62" s="99"/>
      <c r="C62" s="99"/>
      <c r="D62" s="99"/>
      <c r="E62" s="99"/>
      <c r="F62" s="99"/>
      <c r="G62" s="99"/>
      <c r="H62" s="99"/>
      <c r="I62" s="99"/>
      <c r="J62" s="99"/>
      <c r="K62" s="99"/>
      <c r="L62" s="99"/>
      <c r="M62" s="99"/>
      <c r="N62" s="99"/>
      <c r="O62" s="10"/>
      <c r="P62" s="99"/>
      <c r="Q62" s="99"/>
      <c r="R62" s="99"/>
      <c r="S62" s="99"/>
      <c r="T62" s="99"/>
      <c r="U62" s="99"/>
      <c r="W62" s="99"/>
      <c r="X62" s="99"/>
      <c r="Y62" s="99"/>
      <c r="Z62" s="99"/>
      <c r="AA62" s="99"/>
      <c r="AB62" s="99"/>
      <c r="AD62" s="99"/>
      <c r="AE62" s="99"/>
      <c r="AF62" s="99"/>
      <c r="AG62" s="99"/>
      <c r="AH62" s="99"/>
      <c r="AI62" s="99"/>
      <c r="AK62" s="99"/>
      <c r="AL62" s="99"/>
      <c r="AM62" s="99"/>
      <c r="AN62" s="99"/>
      <c r="AO62" s="99"/>
      <c r="AP62" s="99"/>
      <c r="AR62" s="99"/>
      <c r="AS62" s="99"/>
      <c r="AT62" s="99"/>
      <c r="AU62" s="99"/>
      <c r="AV62" s="99"/>
      <c r="AW62" s="99"/>
    </row>
    <row r="63" spans="1:49" ht="12.75" hidden="1" customHeight="1" x14ac:dyDescent="0.25">
      <c r="A63" t="str">
        <f>Nutrients!B62</f>
        <v>Potato Protein Concentrate</v>
      </c>
      <c r="B63" s="99"/>
      <c r="C63" s="99"/>
      <c r="D63" s="99"/>
      <c r="E63" s="99"/>
      <c r="F63" s="99"/>
      <c r="G63" s="99"/>
      <c r="H63" s="99"/>
      <c r="I63" s="99"/>
      <c r="J63" s="99"/>
      <c r="K63" s="99"/>
      <c r="L63" s="99"/>
      <c r="M63" s="99"/>
      <c r="N63" s="99"/>
      <c r="O63" s="10"/>
      <c r="P63" s="99"/>
      <c r="Q63" s="99"/>
      <c r="R63" s="99"/>
      <c r="S63" s="99"/>
      <c r="T63" s="99"/>
      <c r="U63" s="99"/>
      <c r="W63" s="99"/>
      <c r="X63" s="99"/>
      <c r="Y63" s="99"/>
      <c r="Z63" s="99"/>
      <c r="AA63" s="99"/>
      <c r="AB63" s="99"/>
      <c r="AD63" s="99"/>
      <c r="AE63" s="99"/>
      <c r="AF63" s="99"/>
      <c r="AG63" s="99"/>
      <c r="AH63" s="99"/>
      <c r="AI63" s="99"/>
      <c r="AK63" s="99"/>
      <c r="AL63" s="99"/>
      <c r="AM63" s="99"/>
      <c r="AN63" s="99"/>
      <c r="AO63" s="99"/>
      <c r="AP63" s="99"/>
      <c r="AR63" s="99"/>
      <c r="AS63" s="99"/>
      <c r="AT63" s="99"/>
      <c r="AU63" s="99"/>
      <c r="AV63" s="99"/>
      <c r="AW63" s="99"/>
    </row>
    <row r="64" spans="1:49" ht="12.75" hidden="1" customHeight="1" x14ac:dyDescent="0.25">
      <c r="A64" t="str">
        <f>Nutrients!B63</f>
        <v>Poultry Byproduct</v>
      </c>
      <c r="B64" s="99"/>
      <c r="C64" s="99"/>
      <c r="D64" s="99"/>
      <c r="E64" s="99"/>
      <c r="F64" s="99"/>
      <c r="G64" s="99"/>
      <c r="H64" s="99"/>
      <c r="I64" s="99"/>
      <c r="J64" s="99"/>
      <c r="K64" s="99"/>
      <c r="L64" s="99"/>
      <c r="M64" s="99"/>
      <c r="N64" s="99"/>
      <c r="O64" s="10"/>
      <c r="P64" s="99"/>
      <c r="Q64" s="99"/>
      <c r="R64" s="99"/>
      <c r="S64" s="99"/>
      <c r="T64" s="99"/>
      <c r="U64" s="99"/>
      <c r="W64" s="99"/>
      <c r="X64" s="99"/>
      <c r="Y64" s="99"/>
      <c r="Z64" s="99"/>
      <c r="AA64" s="99"/>
      <c r="AB64" s="99"/>
      <c r="AD64" s="99"/>
      <c r="AE64" s="99"/>
      <c r="AF64" s="99"/>
      <c r="AG64" s="99"/>
      <c r="AH64" s="99"/>
      <c r="AI64" s="99"/>
      <c r="AK64" s="99"/>
      <c r="AL64" s="99"/>
      <c r="AM64" s="99"/>
      <c r="AN64" s="99"/>
      <c r="AO64" s="99"/>
      <c r="AP64" s="99"/>
      <c r="AR64" s="99"/>
      <c r="AS64" s="99"/>
      <c r="AT64" s="99"/>
      <c r="AU64" s="99"/>
      <c r="AV64" s="99"/>
      <c r="AW64" s="99"/>
    </row>
    <row r="65" spans="1:49" ht="12.75" hidden="1" customHeight="1" x14ac:dyDescent="0.25">
      <c r="A65" t="str">
        <f>Nutrients!B64</f>
        <v>Rice</v>
      </c>
      <c r="B65" s="99"/>
      <c r="C65" s="99"/>
      <c r="D65" s="99"/>
      <c r="E65" s="99"/>
      <c r="F65" s="99"/>
      <c r="G65" s="99"/>
      <c r="H65" s="99"/>
      <c r="I65" s="99"/>
      <c r="J65" s="99"/>
      <c r="K65" s="99"/>
      <c r="L65" s="99"/>
      <c r="M65" s="99"/>
      <c r="N65" s="99"/>
      <c r="O65" s="10"/>
      <c r="P65" s="99"/>
      <c r="Q65" s="99"/>
      <c r="R65" s="99"/>
      <c r="S65" s="99"/>
      <c r="T65" s="99"/>
      <c r="U65" s="99"/>
      <c r="W65" s="99"/>
      <c r="X65" s="99"/>
      <c r="Y65" s="99"/>
      <c r="Z65" s="99"/>
      <c r="AA65" s="99"/>
      <c r="AB65" s="99"/>
      <c r="AD65" s="99"/>
      <c r="AE65" s="99"/>
      <c r="AF65" s="99"/>
      <c r="AG65" s="99"/>
      <c r="AH65" s="99"/>
      <c r="AI65" s="99"/>
      <c r="AK65" s="99"/>
      <c r="AL65" s="99"/>
      <c r="AM65" s="99"/>
      <c r="AN65" s="99"/>
      <c r="AO65" s="99"/>
      <c r="AP65" s="99"/>
      <c r="AR65" s="99"/>
      <c r="AS65" s="99"/>
      <c r="AT65" s="99"/>
      <c r="AU65" s="99"/>
      <c r="AV65" s="99"/>
      <c r="AW65" s="99"/>
    </row>
    <row r="66" spans="1:49" ht="12.75" hidden="1" customHeight="1" x14ac:dyDescent="0.25">
      <c r="A66" t="str">
        <f>Nutrients!B65</f>
        <v>Rice Bran</v>
      </c>
      <c r="B66" s="99"/>
      <c r="C66" s="99"/>
      <c r="D66" s="99"/>
      <c r="E66" s="99"/>
      <c r="F66" s="99"/>
      <c r="G66" s="99"/>
      <c r="H66" s="99"/>
      <c r="I66" s="99"/>
      <c r="J66" s="99"/>
      <c r="K66" s="99"/>
      <c r="L66" s="99"/>
      <c r="M66" s="99"/>
      <c r="N66" s="99"/>
      <c r="O66" s="10"/>
      <c r="P66" s="99"/>
      <c r="Q66" s="99"/>
      <c r="R66" s="99"/>
      <c r="S66" s="99"/>
      <c r="T66" s="99"/>
      <c r="U66" s="99"/>
      <c r="W66" s="99"/>
      <c r="X66" s="99"/>
      <c r="Y66" s="99"/>
      <c r="Z66" s="99"/>
      <c r="AA66" s="99"/>
      <c r="AB66" s="99"/>
      <c r="AD66" s="99"/>
      <c r="AE66" s="99"/>
      <c r="AF66" s="99"/>
      <c r="AG66" s="99"/>
      <c r="AH66" s="99"/>
      <c r="AI66" s="99"/>
      <c r="AK66" s="99"/>
      <c r="AL66" s="99"/>
      <c r="AM66" s="99"/>
      <c r="AN66" s="99"/>
      <c r="AO66" s="99"/>
      <c r="AP66" s="99"/>
      <c r="AR66" s="99"/>
      <c r="AS66" s="99"/>
      <c r="AT66" s="99"/>
      <c r="AU66" s="99"/>
      <c r="AV66" s="99"/>
      <c r="AW66" s="99"/>
    </row>
    <row r="67" spans="1:49" ht="12.75" hidden="1" customHeight="1" x14ac:dyDescent="0.25">
      <c r="A67" t="str">
        <f>Nutrients!B66</f>
        <v>Rice Bran, Defatted</v>
      </c>
      <c r="B67" s="99"/>
      <c r="C67" s="99"/>
      <c r="D67" s="99"/>
      <c r="E67" s="99"/>
      <c r="F67" s="99"/>
      <c r="G67" s="99"/>
      <c r="H67" s="99"/>
      <c r="I67" s="99"/>
      <c r="J67" s="99"/>
      <c r="K67" s="99"/>
      <c r="L67" s="99"/>
      <c r="M67" s="99"/>
      <c r="N67" s="99"/>
      <c r="O67" s="10"/>
      <c r="P67" s="99"/>
      <c r="Q67" s="99"/>
      <c r="R67" s="99"/>
      <c r="S67" s="99"/>
      <c r="T67" s="99"/>
      <c r="U67" s="99"/>
      <c r="W67" s="99"/>
      <c r="X67" s="99"/>
      <c r="Y67" s="99"/>
      <c r="Z67" s="99"/>
      <c r="AA67" s="99"/>
      <c r="AB67" s="99"/>
      <c r="AD67" s="99"/>
      <c r="AE67" s="99"/>
      <c r="AF67" s="99"/>
      <c r="AG67" s="99"/>
      <c r="AH67" s="99"/>
      <c r="AI67" s="99"/>
      <c r="AK67" s="99"/>
      <c r="AL67" s="99"/>
      <c r="AM67" s="99"/>
      <c r="AN67" s="99"/>
      <c r="AO67" s="99"/>
      <c r="AP67" s="99"/>
      <c r="AR67" s="99"/>
      <c r="AS67" s="99"/>
      <c r="AT67" s="99"/>
      <c r="AU67" s="99"/>
      <c r="AV67" s="99"/>
      <c r="AW67" s="99"/>
    </row>
    <row r="68" spans="1:49" ht="12.75" hidden="1" customHeight="1" x14ac:dyDescent="0.25">
      <c r="A68" t="str">
        <f>Nutrients!B67</f>
        <v>Rice, Broken</v>
      </c>
      <c r="B68" s="99"/>
      <c r="C68" s="99"/>
      <c r="D68" s="99"/>
      <c r="E68" s="99"/>
      <c r="F68" s="99"/>
      <c r="G68" s="99"/>
      <c r="H68" s="99"/>
      <c r="I68" s="99"/>
      <c r="J68" s="99"/>
      <c r="K68" s="99"/>
      <c r="L68" s="99"/>
      <c r="M68" s="99"/>
      <c r="N68" s="99"/>
      <c r="O68" s="10"/>
      <c r="P68" s="99"/>
      <c r="Q68" s="99"/>
      <c r="R68" s="99"/>
      <c r="S68" s="99"/>
      <c r="T68" s="99"/>
      <c r="U68" s="99"/>
      <c r="W68" s="99"/>
      <c r="X68" s="99"/>
      <c r="Y68" s="99"/>
      <c r="Z68" s="99"/>
      <c r="AA68" s="99"/>
      <c r="AB68" s="99"/>
      <c r="AD68" s="99"/>
      <c r="AE68" s="99"/>
      <c r="AF68" s="99"/>
      <c r="AG68" s="99"/>
      <c r="AH68" s="99"/>
      <c r="AI68" s="99"/>
      <c r="AK68" s="99"/>
      <c r="AL68" s="99"/>
      <c r="AM68" s="99"/>
      <c r="AN68" s="99"/>
      <c r="AO68" s="99"/>
      <c r="AP68" s="99"/>
      <c r="AR68" s="99"/>
      <c r="AS68" s="99"/>
      <c r="AT68" s="99"/>
      <c r="AU68" s="99"/>
      <c r="AV68" s="99"/>
      <c r="AW68" s="99"/>
    </row>
    <row r="69" spans="1:49" ht="12.75" hidden="1" customHeight="1" x14ac:dyDescent="0.25">
      <c r="A69" t="str">
        <f>Nutrients!B68</f>
        <v>Rye</v>
      </c>
      <c r="B69" s="99"/>
      <c r="C69" s="99"/>
      <c r="D69" s="99"/>
      <c r="E69" s="99"/>
      <c r="F69" s="99"/>
      <c r="G69" s="99"/>
      <c r="H69" s="99"/>
      <c r="I69" s="99"/>
      <c r="J69" s="99"/>
      <c r="K69" s="99"/>
      <c r="L69" s="99"/>
      <c r="M69" s="99"/>
      <c r="N69" s="99"/>
      <c r="O69" s="10"/>
      <c r="P69" s="99"/>
      <c r="Q69" s="99"/>
      <c r="R69" s="99"/>
      <c r="S69" s="99"/>
      <c r="T69" s="99"/>
      <c r="U69" s="99"/>
      <c r="W69" s="99"/>
      <c r="X69" s="99"/>
      <c r="Y69" s="99"/>
      <c r="Z69" s="99"/>
      <c r="AA69" s="99"/>
      <c r="AB69" s="99"/>
      <c r="AD69" s="99"/>
      <c r="AE69" s="99"/>
      <c r="AF69" s="99"/>
      <c r="AG69" s="99"/>
      <c r="AH69" s="99"/>
      <c r="AI69" s="99"/>
      <c r="AK69" s="99"/>
      <c r="AL69" s="99"/>
      <c r="AM69" s="99"/>
      <c r="AN69" s="99"/>
      <c r="AO69" s="99"/>
      <c r="AP69" s="99"/>
      <c r="AR69" s="99"/>
      <c r="AS69" s="99"/>
      <c r="AT69" s="99"/>
      <c r="AU69" s="99"/>
      <c r="AV69" s="99"/>
      <c r="AW69" s="99"/>
    </row>
    <row r="70" spans="1:49" ht="12.75" hidden="1" customHeight="1" x14ac:dyDescent="0.25">
      <c r="A70" t="str">
        <f>Nutrients!B69</f>
        <v>Sesame Meal</v>
      </c>
      <c r="B70" s="99"/>
      <c r="C70" s="99"/>
      <c r="D70" s="99"/>
      <c r="E70" s="99"/>
      <c r="F70" s="99"/>
      <c r="G70" s="99"/>
      <c r="H70" s="99"/>
      <c r="I70" s="99"/>
      <c r="J70" s="99"/>
      <c r="K70" s="99"/>
      <c r="L70" s="99"/>
      <c r="M70" s="99"/>
      <c r="N70" s="99"/>
      <c r="O70" s="10"/>
      <c r="P70" s="99"/>
      <c r="Q70" s="99"/>
      <c r="R70" s="99"/>
      <c r="S70" s="99"/>
      <c r="T70" s="99"/>
      <c r="U70" s="99"/>
      <c r="W70" s="99"/>
      <c r="X70" s="99"/>
      <c r="Y70" s="99"/>
      <c r="Z70" s="99"/>
      <c r="AA70" s="99"/>
      <c r="AB70" s="99"/>
      <c r="AD70" s="99"/>
      <c r="AE70" s="99"/>
      <c r="AF70" s="99"/>
      <c r="AG70" s="99"/>
      <c r="AH70" s="99"/>
      <c r="AI70" s="99"/>
      <c r="AK70" s="99"/>
      <c r="AL70" s="99"/>
      <c r="AM70" s="99"/>
      <c r="AN70" s="99"/>
      <c r="AO70" s="99"/>
      <c r="AP70" s="99"/>
      <c r="AR70" s="99"/>
      <c r="AS70" s="99"/>
      <c r="AT70" s="99"/>
      <c r="AU70" s="99"/>
      <c r="AV70" s="99"/>
      <c r="AW70" s="99"/>
    </row>
    <row r="71" spans="1:49" ht="12.75" hidden="1" customHeight="1" x14ac:dyDescent="0.25">
      <c r="A71" t="str">
        <f>Nutrients!B70</f>
        <v>Sorghum</v>
      </c>
      <c r="B71" s="99"/>
      <c r="C71" s="99"/>
      <c r="D71" s="99"/>
      <c r="E71" s="99"/>
      <c r="F71" s="99"/>
      <c r="G71" s="99"/>
      <c r="H71" s="99"/>
      <c r="I71" s="99"/>
      <c r="J71" s="99"/>
      <c r="K71" s="99"/>
      <c r="L71" s="99"/>
      <c r="M71" s="99"/>
      <c r="N71" s="99"/>
      <c r="O71" s="10"/>
      <c r="P71" s="99"/>
      <c r="Q71" s="99"/>
      <c r="R71" s="99"/>
      <c r="S71" s="99"/>
      <c r="T71" s="99"/>
      <c r="U71" s="99"/>
      <c r="W71" s="99"/>
      <c r="X71" s="99"/>
      <c r="Y71" s="99"/>
      <c r="Z71" s="99"/>
      <c r="AA71" s="99"/>
      <c r="AB71" s="99"/>
      <c r="AD71" s="99"/>
      <c r="AE71" s="99"/>
      <c r="AF71" s="99"/>
      <c r="AG71" s="99"/>
      <c r="AH71" s="99"/>
      <c r="AI71" s="99"/>
      <c r="AK71" s="99"/>
      <c r="AL71" s="99"/>
      <c r="AM71" s="99"/>
      <c r="AN71" s="99"/>
      <c r="AO71" s="99"/>
      <c r="AP71" s="99"/>
      <c r="AR71" s="99"/>
      <c r="AS71" s="99"/>
      <c r="AT71" s="99"/>
      <c r="AU71" s="99"/>
      <c r="AV71" s="99"/>
      <c r="AW71" s="99"/>
    </row>
    <row r="72" spans="1:49" ht="12.75" hidden="1" customHeight="1" x14ac:dyDescent="0.25">
      <c r="A72" t="str">
        <f>Nutrients!B71</f>
        <v>Soybeans, Full Fat</v>
      </c>
      <c r="B72" s="99"/>
      <c r="C72" s="99"/>
      <c r="D72" s="99"/>
      <c r="E72" s="99"/>
      <c r="F72" s="99"/>
      <c r="G72" s="99"/>
      <c r="H72" s="99"/>
      <c r="I72" s="99"/>
      <c r="J72" s="99"/>
      <c r="K72" s="99"/>
      <c r="L72" s="99"/>
      <c r="M72" s="99"/>
      <c r="N72" s="99"/>
      <c r="O72" s="10"/>
      <c r="P72" s="99"/>
      <c r="Q72" s="99"/>
      <c r="R72" s="99"/>
      <c r="S72" s="99"/>
      <c r="T72" s="99"/>
      <c r="U72" s="99"/>
      <c r="W72" s="99"/>
      <c r="X72" s="99"/>
      <c r="Y72" s="99"/>
      <c r="Z72" s="99"/>
      <c r="AA72" s="99"/>
      <c r="AB72" s="99"/>
      <c r="AD72" s="99"/>
      <c r="AE72" s="99"/>
      <c r="AF72" s="99"/>
      <c r="AG72" s="99"/>
      <c r="AH72" s="99"/>
      <c r="AI72" s="99"/>
      <c r="AK72" s="99"/>
      <c r="AL72" s="99"/>
      <c r="AM72" s="99"/>
      <c r="AN72" s="99"/>
      <c r="AO72" s="99"/>
      <c r="AP72" s="99"/>
      <c r="AR72" s="99"/>
      <c r="AS72" s="99"/>
      <c r="AT72" s="99"/>
      <c r="AU72" s="99"/>
      <c r="AV72" s="99"/>
      <c r="AW72" s="99"/>
    </row>
    <row r="73" spans="1:49" ht="12.75" hidden="1" customHeight="1" x14ac:dyDescent="0.25">
      <c r="A73" t="str">
        <f>Nutrients!B72</f>
        <v>Soybeans, High Protein, Full Fat</v>
      </c>
      <c r="B73" s="99"/>
      <c r="C73" s="99"/>
      <c r="D73" s="99"/>
      <c r="E73" s="99"/>
      <c r="F73" s="99"/>
      <c r="G73" s="99"/>
      <c r="H73" s="99"/>
      <c r="I73" s="99"/>
      <c r="J73" s="99"/>
      <c r="K73" s="99"/>
      <c r="L73" s="99"/>
      <c r="M73" s="99"/>
      <c r="N73" s="99"/>
      <c r="O73" s="10"/>
      <c r="P73" s="99"/>
      <c r="Q73" s="99"/>
      <c r="R73" s="99"/>
      <c r="S73" s="99"/>
      <c r="T73" s="99"/>
      <c r="U73" s="99"/>
      <c r="W73" s="99"/>
      <c r="X73" s="99"/>
      <c r="Y73" s="99"/>
      <c r="Z73" s="99"/>
      <c r="AA73" s="99"/>
      <c r="AB73" s="99"/>
      <c r="AD73" s="99"/>
      <c r="AE73" s="99"/>
      <c r="AF73" s="99"/>
      <c r="AG73" s="99"/>
      <c r="AH73" s="99"/>
      <c r="AI73" s="99"/>
      <c r="AK73" s="99"/>
      <c r="AL73" s="99"/>
      <c r="AM73" s="99"/>
      <c r="AN73" s="99"/>
      <c r="AO73" s="99"/>
      <c r="AP73" s="99"/>
      <c r="AR73" s="99"/>
      <c r="AS73" s="99"/>
      <c r="AT73" s="99"/>
      <c r="AU73" s="99"/>
      <c r="AV73" s="99"/>
      <c r="AW73" s="99"/>
    </row>
    <row r="74" spans="1:49" ht="12.75" hidden="1" customHeight="1" x14ac:dyDescent="0.25">
      <c r="A74" t="str">
        <f>Nutrients!B73</f>
        <v>Soybeans, Low Oligosaccharide, Full Fat</v>
      </c>
      <c r="B74" s="99"/>
      <c r="C74" s="99"/>
      <c r="D74" s="99"/>
      <c r="E74" s="99"/>
      <c r="F74" s="99"/>
      <c r="G74" s="99"/>
      <c r="H74" s="99"/>
      <c r="I74" s="99"/>
      <c r="J74" s="99"/>
      <c r="K74" s="99"/>
      <c r="L74" s="99"/>
      <c r="M74" s="99"/>
      <c r="N74" s="99"/>
      <c r="O74" s="10"/>
      <c r="P74" s="99"/>
      <c r="Q74" s="99"/>
      <c r="R74" s="99"/>
      <c r="S74" s="99"/>
      <c r="T74" s="99"/>
      <c r="U74" s="99"/>
      <c r="W74" s="99"/>
      <c r="X74" s="99"/>
      <c r="Y74" s="99"/>
      <c r="Z74" s="99"/>
      <c r="AA74" s="99"/>
      <c r="AB74" s="99"/>
      <c r="AD74" s="99"/>
      <c r="AE74" s="99"/>
      <c r="AF74" s="99"/>
      <c r="AG74" s="99"/>
      <c r="AH74" s="99"/>
      <c r="AI74" s="99"/>
      <c r="AK74" s="99"/>
      <c r="AL74" s="99"/>
      <c r="AM74" s="99"/>
      <c r="AN74" s="99"/>
      <c r="AO74" s="99"/>
      <c r="AP74" s="99"/>
      <c r="AR74" s="99"/>
      <c r="AS74" s="99"/>
      <c r="AT74" s="99"/>
      <c r="AU74" s="99"/>
      <c r="AV74" s="99"/>
      <c r="AW74" s="99"/>
    </row>
    <row r="75" spans="1:49" ht="12.75" hidden="1" customHeight="1" x14ac:dyDescent="0.25">
      <c r="A75" t="str">
        <f>Nutrients!B74</f>
        <v>Soybean Meal, High Protein, Expelled</v>
      </c>
      <c r="B75" s="99"/>
      <c r="C75" s="99"/>
      <c r="D75" s="99"/>
      <c r="E75" s="99"/>
      <c r="F75" s="99"/>
      <c r="G75" s="99"/>
      <c r="H75" s="99"/>
      <c r="I75" s="99"/>
      <c r="J75" s="99"/>
      <c r="K75" s="99"/>
      <c r="L75" s="99"/>
      <c r="M75" s="99"/>
      <c r="N75" s="99"/>
      <c r="O75" s="10"/>
      <c r="P75" s="99"/>
      <c r="Q75" s="99"/>
      <c r="R75" s="99"/>
      <c r="S75" s="99"/>
      <c r="T75" s="99"/>
      <c r="U75" s="99"/>
      <c r="W75" s="99"/>
      <c r="X75" s="99"/>
      <c r="Y75" s="99"/>
      <c r="Z75" s="99"/>
      <c r="AA75" s="99"/>
      <c r="AB75" s="99"/>
      <c r="AD75" s="99"/>
      <c r="AE75" s="99"/>
      <c r="AF75" s="99"/>
      <c r="AG75" s="99"/>
      <c r="AH75" s="99"/>
      <c r="AI75" s="99"/>
      <c r="AK75" s="99"/>
      <c r="AL75" s="99"/>
      <c r="AM75" s="99"/>
      <c r="AN75" s="99"/>
      <c r="AO75" s="99"/>
      <c r="AP75" s="99"/>
      <c r="AR75" s="99"/>
      <c r="AS75" s="99"/>
      <c r="AT75" s="99"/>
      <c r="AU75" s="99"/>
      <c r="AV75" s="99"/>
      <c r="AW75" s="99"/>
    </row>
    <row r="76" spans="1:49" ht="12.75" hidden="1" customHeight="1" x14ac:dyDescent="0.25">
      <c r="A76" t="str">
        <f>Nutrients!B75</f>
        <v>Soybean Meal, Low Oligosacch, Expell</v>
      </c>
      <c r="B76" s="99"/>
      <c r="C76" s="99"/>
      <c r="D76" s="99"/>
      <c r="E76" s="99"/>
      <c r="F76" s="99"/>
      <c r="G76" s="99"/>
      <c r="H76" s="99"/>
      <c r="I76" s="99"/>
      <c r="J76" s="99"/>
      <c r="K76" s="99"/>
      <c r="L76" s="99"/>
      <c r="M76" s="99"/>
      <c r="N76" s="99"/>
      <c r="O76" s="10"/>
      <c r="P76" s="99"/>
      <c r="Q76" s="99"/>
      <c r="R76" s="99"/>
      <c r="S76" s="99"/>
      <c r="T76" s="99"/>
      <c r="U76" s="99"/>
      <c r="W76" s="99"/>
      <c r="X76" s="99"/>
      <c r="Y76" s="99"/>
      <c r="Z76" s="99"/>
      <c r="AA76" s="99"/>
      <c r="AB76" s="99"/>
      <c r="AD76" s="99"/>
      <c r="AE76" s="99"/>
      <c r="AF76" s="99"/>
      <c r="AG76" s="99"/>
      <c r="AH76" s="99"/>
      <c r="AI76" s="99"/>
      <c r="AK76" s="99"/>
      <c r="AL76" s="99"/>
      <c r="AM76" s="99"/>
      <c r="AN76" s="99"/>
      <c r="AO76" s="99"/>
      <c r="AP76" s="99"/>
      <c r="AR76" s="99"/>
      <c r="AS76" s="99"/>
      <c r="AT76" s="99"/>
      <c r="AU76" s="99"/>
      <c r="AV76" s="99"/>
      <c r="AW76" s="99"/>
    </row>
    <row r="77" spans="1:49" ht="12.75" hidden="1" customHeight="1" x14ac:dyDescent="0.25">
      <c r="A77" t="str">
        <f>Nutrients!B76</f>
        <v>Soybean Meal, Expelled</v>
      </c>
      <c r="B77" s="99"/>
      <c r="C77" s="99"/>
      <c r="D77" s="99"/>
      <c r="E77" s="99"/>
      <c r="F77" s="99"/>
      <c r="G77" s="99"/>
      <c r="H77" s="99"/>
      <c r="I77" s="99"/>
      <c r="J77" s="99"/>
      <c r="K77" s="99"/>
      <c r="L77" s="99"/>
      <c r="M77" s="99"/>
      <c r="N77" s="99"/>
      <c r="O77" s="10"/>
      <c r="P77" s="99"/>
      <c r="Q77" s="99"/>
      <c r="R77" s="99"/>
      <c r="S77" s="99"/>
      <c r="T77" s="99"/>
      <c r="U77" s="99"/>
      <c r="W77" s="99"/>
      <c r="X77" s="99"/>
      <c r="Y77" s="99"/>
      <c r="Z77" s="99"/>
      <c r="AA77" s="99"/>
      <c r="AB77" s="99"/>
      <c r="AD77" s="99"/>
      <c r="AE77" s="99"/>
      <c r="AF77" s="99"/>
      <c r="AG77" s="99"/>
      <c r="AH77" s="99"/>
      <c r="AI77" s="99"/>
      <c r="AK77" s="99"/>
      <c r="AL77" s="99"/>
      <c r="AM77" s="99"/>
      <c r="AN77" s="99"/>
      <c r="AO77" s="99"/>
      <c r="AP77" s="99"/>
      <c r="AR77" s="99"/>
      <c r="AS77" s="99"/>
      <c r="AT77" s="99"/>
      <c r="AU77" s="99"/>
      <c r="AV77" s="99"/>
      <c r="AW77" s="99"/>
    </row>
    <row r="78" spans="1:49" ht="12.75" hidden="1" customHeight="1" x14ac:dyDescent="0.25">
      <c r="A78" t="str">
        <f>Nutrients!B77</f>
        <v>Soybean Meal, Dehulled, Expelled</v>
      </c>
      <c r="B78" s="99"/>
      <c r="C78" s="99"/>
      <c r="D78" s="99"/>
      <c r="E78" s="99"/>
      <c r="F78" s="99"/>
      <c r="G78" s="99"/>
      <c r="H78" s="99"/>
      <c r="I78" s="99"/>
      <c r="J78" s="99"/>
      <c r="K78" s="99"/>
      <c r="L78" s="99"/>
      <c r="M78" s="99"/>
      <c r="N78" s="99"/>
      <c r="O78" s="10"/>
      <c r="P78" s="99"/>
      <c r="Q78" s="99"/>
      <c r="R78" s="99"/>
      <c r="S78" s="99"/>
      <c r="T78" s="99"/>
      <c r="U78" s="99"/>
      <c r="W78" s="99"/>
      <c r="X78" s="99"/>
      <c r="Y78" s="99"/>
      <c r="Z78" s="99"/>
      <c r="AA78" s="99"/>
      <c r="AB78" s="99"/>
      <c r="AD78" s="99"/>
      <c r="AE78" s="99"/>
      <c r="AF78" s="99"/>
      <c r="AG78" s="99"/>
      <c r="AH78" s="99"/>
      <c r="AI78" s="99"/>
      <c r="AK78" s="99"/>
      <c r="AL78" s="99"/>
      <c r="AM78" s="99"/>
      <c r="AN78" s="99"/>
      <c r="AO78" s="99"/>
      <c r="AP78" s="99"/>
      <c r="AR78" s="99"/>
      <c r="AS78" s="99"/>
      <c r="AT78" s="99"/>
      <c r="AU78" s="99"/>
      <c r="AV78" s="99"/>
      <c r="AW78" s="99"/>
    </row>
    <row r="79" spans="1:49" ht="12.75" hidden="1" customHeight="1" x14ac:dyDescent="0.25">
      <c r="A79" t="str">
        <f>Nutrients!B78</f>
        <v>Soybean Meal, Solvent Extracted</v>
      </c>
      <c r="B79" s="99"/>
      <c r="C79" s="99"/>
      <c r="D79" s="99"/>
      <c r="E79" s="99"/>
      <c r="F79" s="99"/>
      <c r="G79" s="99"/>
      <c r="H79" s="99"/>
      <c r="I79" s="99"/>
      <c r="J79" s="99"/>
      <c r="K79" s="99"/>
      <c r="L79" s="99"/>
      <c r="M79" s="99"/>
      <c r="N79" s="99"/>
      <c r="O79" s="10"/>
      <c r="P79" s="99"/>
      <c r="Q79" s="99"/>
      <c r="R79" s="99"/>
      <c r="S79" s="99"/>
      <c r="T79" s="99"/>
      <c r="U79" s="99"/>
      <c r="W79" s="99"/>
      <c r="X79" s="99"/>
      <c r="Y79" s="99"/>
      <c r="Z79" s="99"/>
      <c r="AA79" s="99"/>
      <c r="AB79" s="99"/>
      <c r="AD79" s="99"/>
      <c r="AE79" s="99"/>
      <c r="AF79" s="99"/>
      <c r="AG79" s="99"/>
      <c r="AH79" s="99"/>
      <c r="AI79" s="99"/>
      <c r="AK79" s="99"/>
      <c r="AL79" s="99"/>
      <c r="AM79" s="99"/>
      <c r="AN79" s="99"/>
      <c r="AO79" s="99"/>
      <c r="AP79" s="99"/>
      <c r="AR79" s="99"/>
      <c r="AS79" s="99"/>
      <c r="AT79" s="99"/>
      <c r="AU79" s="99"/>
      <c r="AV79" s="99"/>
      <c r="AW79" s="99"/>
    </row>
    <row r="80" spans="1:49" ht="12.75" hidden="1" customHeight="1" x14ac:dyDescent="0.25">
      <c r="A80" t="str">
        <f>Nutrients!B79</f>
        <v>Soybean Meal, Dehull, Sol Extr</v>
      </c>
      <c r="B80" s="99"/>
      <c r="C80" s="99"/>
      <c r="D80" s="99"/>
      <c r="E80" s="99"/>
      <c r="F80" s="99"/>
      <c r="G80" s="99"/>
      <c r="H80" s="99"/>
      <c r="I80" s="99"/>
      <c r="J80" s="99"/>
      <c r="K80" s="99"/>
      <c r="L80" s="99"/>
      <c r="M80" s="99"/>
      <c r="N80" s="99"/>
      <c r="O80" s="10"/>
      <c r="P80" s="99"/>
      <c r="Q80" s="99"/>
      <c r="R80" s="99"/>
      <c r="S80" s="99"/>
      <c r="T80" s="99"/>
      <c r="U80" s="99"/>
      <c r="W80" s="99"/>
      <c r="X80" s="99"/>
      <c r="Y80" s="99"/>
      <c r="Z80" s="99"/>
      <c r="AA80" s="99"/>
      <c r="AB80" s="99"/>
      <c r="AD80" s="99"/>
      <c r="AE80" s="99"/>
      <c r="AF80" s="99"/>
      <c r="AG80" s="99"/>
      <c r="AH80" s="99"/>
      <c r="AI80" s="99"/>
      <c r="AK80" s="99"/>
      <c r="AL80" s="99"/>
      <c r="AM80" s="99"/>
      <c r="AN80" s="99"/>
      <c r="AO80" s="99"/>
      <c r="AP80" s="99"/>
      <c r="AR80" s="99"/>
      <c r="AS80" s="99"/>
      <c r="AT80" s="99"/>
      <c r="AU80" s="99"/>
      <c r="AV80" s="99"/>
      <c r="AW80" s="99"/>
    </row>
    <row r="81" spans="1:49" ht="12.75" hidden="1" customHeight="1" x14ac:dyDescent="0.25">
      <c r="A81" t="str">
        <f>Nutrients!B80</f>
        <v>Soybean Meal, High Prot, Dehull, Solv Extr</v>
      </c>
      <c r="B81" s="99"/>
      <c r="C81" s="99"/>
      <c r="D81" s="99"/>
      <c r="E81" s="99"/>
      <c r="F81" s="99"/>
      <c r="G81" s="99"/>
      <c r="H81" s="99"/>
      <c r="I81" s="99"/>
      <c r="J81" s="99"/>
      <c r="K81" s="99"/>
      <c r="L81" s="99"/>
      <c r="M81" s="99"/>
      <c r="N81" s="99"/>
      <c r="O81" s="10"/>
      <c r="P81" s="99"/>
      <c r="Q81" s="99"/>
      <c r="R81" s="99"/>
      <c r="S81" s="99"/>
      <c r="T81" s="99"/>
      <c r="U81" s="99"/>
      <c r="W81" s="99"/>
      <c r="X81" s="99"/>
      <c r="Y81" s="99"/>
      <c r="Z81" s="99"/>
      <c r="AA81" s="99"/>
      <c r="AB81" s="99"/>
      <c r="AD81" s="99"/>
      <c r="AE81" s="99"/>
      <c r="AF81" s="99"/>
      <c r="AG81" s="99"/>
      <c r="AH81" s="99"/>
      <c r="AI81" s="99"/>
      <c r="AK81" s="99"/>
      <c r="AL81" s="99"/>
      <c r="AM81" s="99"/>
      <c r="AN81" s="99"/>
      <c r="AO81" s="99"/>
      <c r="AP81" s="99"/>
      <c r="AR81" s="99"/>
      <c r="AS81" s="99"/>
      <c r="AT81" s="99"/>
      <c r="AU81" s="99"/>
      <c r="AV81" s="99"/>
      <c r="AW81" s="99"/>
    </row>
    <row r="82" spans="1:49" ht="12.75" hidden="1" customHeight="1" x14ac:dyDescent="0.25">
      <c r="A82" t="str">
        <f>Nutrients!B81</f>
        <v>Soybean Meal, Enzyme Treated</v>
      </c>
      <c r="B82" s="99"/>
      <c r="C82" s="99"/>
      <c r="D82" s="99"/>
      <c r="E82" s="99"/>
      <c r="F82" s="99"/>
      <c r="G82" s="99"/>
      <c r="H82" s="99"/>
      <c r="I82" s="99"/>
      <c r="J82" s="99"/>
      <c r="K82" s="99"/>
      <c r="L82" s="99"/>
      <c r="M82" s="99"/>
      <c r="N82" s="99"/>
      <c r="O82" s="10"/>
      <c r="P82" s="99"/>
      <c r="Q82" s="99"/>
      <c r="R82" s="99"/>
      <c r="S82" s="99"/>
      <c r="T82" s="99"/>
      <c r="U82" s="99"/>
      <c r="W82" s="99"/>
      <c r="X82" s="99"/>
      <c r="Y82" s="99"/>
      <c r="Z82" s="99"/>
      <c r="AA82" s="99"/>
      <c r="AB82" s="99"/>
      <c r="AD82" s="99"/>
      <c r="AE82" s="99"/>
      <c r="AF82" s="99"/>
      <c r="AG82" s="99"/>
      <c r="AH82" s="99"/>
      <c r="AI82" s="99"/>
      <c r="AK82" s="99"/>
      <c r="AL82" s="99"/>
      <c r="AM82" s="99"/>
      <c r="AN82" s="99"/>
      <c r="AO82" s="99"/>
      <c r="AP82" s="99"/>
      <c r="AR82" s="99"/>
      <c r="AS82" s="99"/>
      <c r="AT82" s="99"/>
      <c r="AU82" s="99"/>
      <c r="AV82" s="99"/>
      <c r="AW82" s="99"/>
    </row>
    <row r="83" spans="1:49" ht="12.75" hidden="1" customHeight="1" x14ac:dyDescent="0.25">
      <c r="A83" t="str">
        <f>Nutrients!B82</f>
        <v>Soybean Meal, Fermented</v>
      </c>
      <c r="B83" s="99"/>
      <c r="C83" s="99"/>
      <c r="D83" s="99"/>
      <c r="E83" s="99"/>
      <c r="F83" s="99"/>
      <c r="G83" s="99"/>
      <c r="H83" s="99"/>
      <c r="I83" s="99"/>
      <c r="J83" s="99"/>
      <c r="K83" s="99"/>
      <c r="L83" s="99"/>
      <c r="M83" s="99"/>
      <c r="N83" s="99"/>
      <c r="O83" s="10"/>
      <c r="P83" s="99"/>
      <c r="Q83" s="99"/>
      <c r="R83" s="99"/>
      <c r="S83" s="99"/>
      <c r="T83" s="99"/>
      <c r="U83" s="99"/>
      <c r="W83" s="99"/>
      <c r="X83" s="99"/>
      <c r="Y83" s="99"/>
      <c r="Z83" s="99"/>
      <c r="AA83" s="99"/>
      <c r="AB83" s="99"/>
      <c r="AD83" s="99"/>
      <c r="AE83" s="99"/>
      <c r="AF83" s="99"/>
      <c r="AG83" s="99"/>
      <c r="AH83" s="99"/>
      <c r="AI83" s="99"/>
      <c r="AK83" s="99"/>
      <c r="AL83" s="99"/>
      <c r="AM83" s="99"/>
      <c r="AN83" s="99"/>
      <c r="AO83" s="99"/>
      <c r="AP83" s="99"/>
      <c r="AR83" s="99"/>
      <c r="AS83" s="99"/>
      <c r="AT83" s="99"/>
      <c r="AU83" s="99"/>
      <c r="AV83" s="99"/>
      <c r="AW83" s="99"/>
    </row>
    <row r="84" spans="1:49" ht="12.75" hidden="1" customHeight="1" x14ac:dyDescent="0.25">
      <c r="A84" t="str">
        <f>Nutrients!B83</f>
        <v>Soybean Hulls</v>
      </c>
      <c r="B84" s="99"/>
      <c r="C84" s="99"/>
      <c r="D84" s="99"/>
      <c r="E84" s="99"/>
      <c r="F84" s="99"/>
      <c r="G84" s="99"/>
      <c r="H84" s="99"/>
      <c r="I84" s="99"/>
      <c r="J84" s="99"/>
      <c r="K84" s="99"/>
      <c r="L84" s="99"/>
      <c r="M84" s="99"/>
      <c r="N84" s="99"/>
      <c r="O84" s="10"/>
      <c r="P84" s="99"/>
      <c r="Q84" s="99"/>
      <c r="R84" s="99"/>
      <c r="S84" s="99"/>
      <c r="T84" s="99"/>
      <c r="U84" s="99"/>
      <c r="W84" s="99"/>
      <c r="X84" s="99"/>
      <c r="Y84" s="99"/>
      <c r="Z84" s="99"/>
      <c r="AA84" s="99"/>
      <c r="AB84" s="99"/>
      <c r="AD84" s="99"/>
      <c r="AE84" s="99"/>
      <c r="AF84" s="99"/>
      <c r="AG84" s="99"/>
      <c r="AH84" s="99"/>
      <c r="AI84" s="99"/>
      <c r="AK84" s="99"/>
      <c r="AL84" s="99"/>
      <c r="AM84" s="99"/>
      <c r="AN84" s="99"/>
      <c r="AO84" s="99"/>
      <c r="AP84" s="99"/>
      <c r="AR84" s="99"/>
      <c r="AS84" s="99"/>
      <c r="AT84" s="99"/>
      <c r="AU84" s="99"/>
      <c r="AV84" s="99"/>
      <c r="AW84" s="99"/>
    </row>
    <row r="85" spans="1:49" ht="12.75" hidden="1" customHeight="1" x14ac:dyDescent="0.25">
      <c r="A85" t="str">
        <f>Nutrients!B84</f>
        <v>Soy Protein Concentrate</v>
      </c>
      <c r="B85" s="99"/>
      <c r="C85" s="99"/>
      <c r="D85" s="99"/>
      <c r="E85" s="99"/>
      <c r="F85" s="99"/>
      <c r="G85" s="99"/>
      <c r="H85" s="99"/>
      <c r="I85" s="99"/>
      <c r="J85" s="99"/>
      <c r="K85" s="99"/>
      <c r="L85" s="99"/>
      <c r="M85" s="99"/>
      <c r="N85" s="99"/>
      <c r="O85" s="10"/>
      <c r="P85" s="99"/>
      <c r="Q85" s="99"/>
      <c r="R85" s="99"/>
      <c r="S85" s="99"/>
      <c r="T85" s="99"/>
      <c r="U85" s="99"/>
      <c r="W85" s="99"/>
      <c r="X85" s="99"/>
      <c r="Y85" s="99"/>
      <c r="Z85" s="99"/>
      <c r="AA85" s="99"/>
      <c r="AB85" s="99"/>
      <c r="AD85" s="99"/>
      <c r="AE85" s="99"/>
      <c r="AF85" s="99"/>
      <c r="AG85" s="99"/>
      <c r="AH85" s="99"/>
      <c r="AI85" s="99"/>
      <c r="AK85" s="99"/>
      <c r="AL85" s="99"/>
      <c r="AM85" s="99"/>
      <c r="AN85" s="99"/>
      <c r="AO85" s="99"/>
      <c r="AP85" s="99"/>
      <c r="AR85" s="99"/>
      <c r="AS85" s="99"/>
      <c r="AT85" s="99"/>
      <c r="AU85" s="99"/>
      <c r="AV85" s="99"/>
      <c r="AW85" s="99"/>
    </row>
    <row r="86" spans="1:49" ht="12.75" hidden="1" customHeight="1" x14ac:dyDescent="0.25">
      <c r="A86" t="str">
        <f>Nutrients!B85</f>
        <v>Soy Protein Isolate</v>
      </c>
      <c r="B86" s="99"/>
      <c r="C86" s="99"/>
      <c r="D86" s="99"/>
      <c r="E86" s="99"/>
      <c r="F86" s="99"/>
      <c r="G86" s="99"/>
      <c r="H86" s="99"/>
      <c r="I86" s="99"/>
      <c r="J86" s="99"/>
      <c r="K86" s="99"/>
      <c r="L86" s="99"/>
      <c r="M86" s="99"/>
      <c r="N86" s="99"/>
      <c r="O86" s="10"/>
      <c r="P86" s="99"/>
      <c r="Q86" s="99"/>
      <c r="R86" s="99"/>
      <c r="S86" s="99"/>
      <c r="T86" s="99"/>
      <c r="U86" s="99"/>
      <c r="W86" s="99"/>
      <c r="X86" s="99"/>
      <c r="Y86" s="99"/>
      <c r="Z86" s="99"/>
      <c r="AA86" s="99"/>
      <c r="AB86" s="99"/>
      <c r="AD86" s="99"/>
      <c r="AE86" s="99"/>
      <c r="AF86" s="99"/>
      <c r="AG86" s="99"/>
      <c r="AH86" s="99"/>
      <c r="AI86" s="99"/>
      <c r="AK86" s="99"/>
      <c r="AL86" s="99"/>
      <c r="AM86" s="99"/>
      <c r="AN86" s="99"/>
      <c r="AO86" s="99"/>
      <c r="AP86" s="99"/>
      <c r="AR86" s="99"/>
      <c r="AS86" s="99"/>
      <c r="AT86" s="99"/>
      <c r="AU86" s="99"/>
      <c r="AV86" s="99"/>
      <c r="AW86" s="99"/>
    </row>
    <row r="87" spans="1:49" ht="12.75" hidden="1" customHeight="1" x14ac:dyDescent="0.25">
      <c r="A87" t="str">
        <f>Nutrients!B86</f>
        <v>Sugar Beet Pulp</v>
      </c>
      <c r="B87" s="99"/>
      <c r="C87" s="99"/>
      <c r="D87" s="99"/>
      <c r="E87" s="99"/>
      <c r="F87" s="99"/>
      <c r="G87" s="99"/>
      <c r="H87" s="99"/>
      <c r="I87" s="99"/>
      <c r="J87" s="99"/>
      <c r="K87" s="99"/>
      <c r="L87" s="99"/>
      <c r="M87" s="99"/>
      <c r="N87" s="99"/>
      <c r="O87" s="10"/>
      <c r="P87" s="99"/>
      <c r="Q87" s="99"/>
      <c r="R87" s="99"/>
      <c r="S87" s="99"/>
      <c r="T87" s="99"/>
      <c r="U87" s="99"/>
      <c r="W87" s="99"/>
      <c r="X87" s="99"/>
      <c r="Y87" s="99"/>
      <c r="Z87" s="99"/>
      <c r="AA87" s="99"/>
      <c r="AB87" s="99"/>
      <c r="AD87" s="99"/>
      <c r="AE87" s="99"/>
      <c r="AF87" s="99"/>
      <c r="AG87" s="99"/>
      <c r="AH87" s="99"/>
      <c r="AI87" s="99"/>
      <c r="AK87" s="99"/>
      <c r="AL87" s="99"/>
      <c r="AM87" s="99"/>
      <c r="AN87" s="99"/>
      <c r="AO87" s="99"/>
      <c r="AP87" s="99"/>
      <c r="AR87" s="99"/>
      <c r="AS87" s="99"/>
      <c r="AT87" s="99"/>
      <c r="AU87" s="99"/>
      <c r="AV87" s="99"/>
      <c r="AW87" s="99"/>
    </row>
    <row r="88" spans="1:49" ht="12.75" hidden="1" customHeight="1" x14ac:dyDescent="0.25">
      <c r="A88" t="str">
        <f>Nutrients!B87</f>
        <v>Sunflower, Full Fat</v>
      </c>
      <c r="B88" s="99"/>
      <c r="C88" s="99"/>
      <c r="D88" s="99"/>
      <c r="E88" s="99"/>
      <c r="F88" s="99"/>
      <c r="G88" s="99"/>
      <c r="H88" s="99"/>
      <c r="I88" s="99"/>
      <c r="J88" s="99"/>
      <c r="K88" s="99"/>
      <c r="L88" s="99"/>
      <c r="M88" s="99"/>
      <c r="N88" s="99"/>
      <c r="O88" s="10"/>
      <c r="P88" s="99"/>
      <c r="Q88" s="99"/>
      <c r="R88" s="99"/>
      <c r="S88" s="99"/>
      <c r="T88" s="99"/>
      <c r="U88" s="99"/>
      <c r="W88" s="99"/>
      <c r="X88" s="99"/>
      <c r="Y88" s="99"/>
      <c r="Z88" s="99"/>
      <c r="AA88" s="99"/>
      <c r="AB88" s="99"/>
      <c r="AD88" s="99"/>
      <c r="AE88" s="99"/>
      <c r="AF88" s="99"/>
      <c r="AG88" s="99"/>
      <c r="AH88" s="99"/>
      <c r="AI88" s="99"/>
      <c r="AK88" s="99"/>
      <c r="AL88" s="99"/>
      <c r="AM88" s="99"/>
      <c r="AN88" s="99"/>
      <c r="AO88" s="99"/>
      <c r="AP88" s="99"/>
      <c r="AR88" s="99"/>
      <c r="AS88" s="99"/>
      <c r="AT88" s="99"/>
      <c r="AU88" s="99"/>
      <c r="AV88" s="99"/>
      <c r="AW88" s="99"/>
    </row>
    <row r="89" spans="1:49" ht="12.75" hidden="1" customHeight="1" x14ac:dyDescent="0.25">
      <c r="A89" t="str">
        <f>Nutrients!B88</f>
        <v>Sunflower Meal, Solvent Extracted</v>
      </c>
      <c r="B89" s="99"/>
      <c r="C89" s="99"/>
      <c r="D89" s="99"/>
      <c r="E89" s="99"/>
      <c r="F89" s="99"/>
      <c r="G89" s="99"/>
      <c r="H89" s="99"/>
      <c r="I89" s="99"/>
      <c r="J89" s="99"/>
      <c r="K89" s="99"/>
      <c r="L89" s="99"/>
      <c r="M89" s="99"/>
      <c r="N89" s="99"/>
      <c r="O89" s="10"/>
      <c r="P89" s="99"/>
      <c r="Q89" s="99"/>
      <c r="R89" s="99"/>
      <c r="S89" s="99"/>
      <c r="T89" s="99"/>
      <c r="U89" s="99"/>
      <c r="W89" s="99"/>
      <c r="X89" s="99"/>
      <c r="Y89" s="99"/>
      <c r="Z89" s="99"/>
      <c r="AA89" s="99"/>
      <c r="AB89" s="99"/>
      <c r="AD89" s="99"/>
      <c r="AE89" s="99"/>
      <c r="AF89" s="99"/>
      <c r="AG89" s="99"/>
      <c r="AH89" s="99"/>
      <c r="AI89" s="99"/>
      <c r="AK89" s="99"/>
      <c r="AL89" s="99"/>
      <c r="AM89" s="99"/>
      <c r="AN89" s="99"/>
      <c r="AO89" s="99"/>
      <c r="AP89" s="99"/>
      <c r="AR89" s="99"/>
      <c r="AS89" s="99"/>
      <c r="AT89" s="99"/>
      <c r="AU89" s="99"/>
      <c r="AV89" s="99"/>
      <c r="AW89" s="99"/>
    </row>
    <row r="90" spans="1:49" ht="12.75" hidden="1" customHeight="1" x14ac:dyDescent="0.25">
      <c r="A90" t="str">
        <f>Nutrients!B89</f>
        <v>Sunflower Meal, Dehulled, Solvent Extr</v>
      </c>
      <c r="B90" s="99"/>
      <c r="C90" s="99"/>
      <c r="D90" s="99"/>
      <c r="E90" s="99"/>
      <c r="F90" s="99"/>
      <c r="G90" s="99"/>
      <c r="H90" s="99"/>
      <c r="I90" s="99"/>
      <c r="J90" s="99"/>
      <c r="K90" s="99"/>
      <c r="L90" s="99"/>
      <c r="M90" s="99"/>
      <c r="N90" s="99"/>
      <c r="O90" s="10"/>
      <c r="P90" s="99"/>
      <c r="Q90" s="99"/>
      <c r="R90" s="99"/>
      <c r="S90" s="99"/>
      <c r="T90" s="99"/>
      <c r="U90" s="99"/>
      <c r="W90" s="99"/>
      <c r="X90" s="99"/>
      <c r="Y90" s="99"/>
      <c r="Z90" s="99"/>
      <c r="AA90" s="99"/>
      <c r="AB90" s="99"/>
      <c r="AD90" s="99"/>
      <c r="AE90" s="99"/>
      <c r="AF90" s="99"/>
      <c r="AG90" s="99"/>
      <c r="AH90" s="99"/>
      <c r="AI90" s="99"/>
      <c r="AK90" s="99"/>
      <c r="AL90" s="99"/>
      <c r="AM90" s="99"/>
      <c r="AN90" s="99"/>
      <c r="AO90" s="99"/>
      <c r="AP90" s="99"/>
      <c r="AR90" s="99"/>
      <c r="AS90" s="99"/>
      <c r="AT90" s="99"/>
      <c r="AU90" s="99"/>
      <c r="AV90" s="99"/>
      <c r="AW90" s="99"/>
    </row>
    <row r="91" spans="1:49" ht="12.75" hidden="1" customHeight="1" x14ac:dyDescent="0.25">
      <c r="A91" t="str">
        <f>Nutrients!B90</f>
        <v>Triticale</v>
      </c>
      <c r="B91" s="99"/>
      <c r="C91" s="99"/>
      <c r="D91" s="99"/>
      <c r="E91" s="99"/>
      <c r="F91" s="99"/>
      <c r="G91" s="99"/>
      <c r="H91" s="99"/>
      <c r="I91" s="99"/>
      <c r="J91" s="99"/>
      <c r="K91" s="99"/>
      <c r="L91" s="99"/>
      <c r="M91" s="99"/>
      <c r="N91" s="99"/>
      <c r="O91" s="10"/>
      <c r="P91" s="99"/>
      <c r="Q91" s="99"/>
      <c r="R91" s="99"/>
      <c r="S91" s="99"/>
      <c r="T91" s="99"/>
      <c r="U91" s="99"/>
      <c r="W91" s="99"/>
      <c r="X91" s="99"/>
      <c r="Y91" s="99"/>
      <c r="Z91" s="99"/>
      <c r="AA91" s="99"/>
      <c r="AB91" s="99"/>
      <c r="AD91" s="99"/>
      <c r="AE91" s="99"/>
      <c r="AF91" s="99"/>
      <c r="AG91" s="99"/>
      <c r="AH91" s="99"/>
      <c r="AI91" s="99"/>
      <c r="AK91" s="99"/>
      <c r="AL91" s="99"/>
      <c r="AM91" s="99"/>
      <c r="AN91" s="99"/>
      <c r="AO91" s="99"/>
      <c r="AP91" s="99"/>
      <c r="AR91" s="99"/>
      <c r="AS91" s="99"/>
      <c r="AT91" s="99"/>
      <c r="AU91" s="99"/>
      <c r="AV91" s="99"/>
      <c r="AW91" s="99"/>
    </row>
    <row r="92" spans="1:49" ht="12.75" hidden="1" customHeight="1" x14ac:dyDescent="0.25">
      <c r="A92" t="str">
        <f>Nutrients!B91</f>
        <v>Wheat, Hard Red</v>
      </c>
      <c r="B92" s="99"/>
      <c r="C92" s="99"/>
      <c r="D92" s="99"/>
      <c r="E92" s="99"/>
      <c r="F92" s="99"/>
      <c r="G92" s="99"/>
      <c r="H92" s="99"/>
      <c r="I92" s="99"/>
      <c r="J92" s="99"/>
      <c r="K92" s="99"/>
      <c r="L92" s="99"/>
      <c r="M92" s="99"/>
      <c r="N92" s="99"/>
      <c r="O92" s="10"/>
      <c r="P92" s="99"/>
      <c r="Q92" s="99"/>
      <c r="R92" s="99"/>
      <c r="S92" s="99"/>
      <c r="T92" s="99"/>
      <c r="U92" s="99"/>
      <c r="W92" s="99"/>
      <c r="X92" s="99"/>
      <c r="Y92" s="99"/>
      <c r="Z92" s="99"/>
      <c r="AA92" s="99"/>
      <c r="AB92" s="99"/>
      <c r="AD92" s="99"/>
      <c r="AE92" s="99"/>
      <c r="AF92" s="99"/>
      <c r="AG92" s="99"/>
      <c r="AH92" s="99"/>
      <c r="AI92" s="99"/>
      <c r="AK92" s="99"/>
      <c r="AL92" s="99"/>
      <c r="AM92" s="99"/>
      <c r="AN92" s="99"/>
      <c r="AO92" s="99"/>
      <c r="AP92" s="99"/>
      <c r="AR92" s="99"/>
      <c r="AS92" s="99"/>
      <c r="AT92" s="99"/>
      <c r="AU92" s="99"/>
      <c r="AV92" s="99"/>
      <c r="AW92" s="99"/>
    </row>
    <row r="93" spans="1:49" ht="12.75" hidden="1" customHeight="1" x14ac:dyDescent="0.25">
      <c r="A93" t="str">
        <f>Nutrients!B92</f>
        <v>Wheat, Soft Red</v>
      </c>
      <c r="B93" s="99"/>
      <c r="C93" s="99"/>
      <c r="D93" s="99"/>
      <c r="E93" s="99"/>
      <c r="F93" s="99"/>
      <c r="G93" s="99"/>
      <c r="H93" s="99"/>
      <c r="I93" s="99"/>
      <c r="J93" s="99"/>
      <c r="K93" s="99"/>
      <c r="L93" s="99"/>
      <c r="M93" s="99"/>
      <c r="N93" s="99"/>
      <c r="O93" s="10"/>
      <c r="P93" s="99"/>
      <c r="Q93" s="99"/>
      <c r="R93" s="99"/>
      <c r="S93" s="99"/>
      <c r="T93" s="99"/>
      <c r="U93" s="99"/>
      <c r="W93" s="99"/>
      <c r="X93" s="99"/>
      <c r="Y93" s="99"/>
      <c r="Z93" s="99"/>
      <c r="AA93" s="99"/>
      <c r="AB93" s="99"/>
      <c r="AD93" s="99"/>
      <c r="AE93" s="99"/>
      <c r="AF93" s="99"/>
      <c r="AG93" s="99"/>
      <c r="AH93" s="99"/>
      <c r="AI93" s="99"/>
      <c r="AK93" s="99"/>
      <c r="AL93" s="99"/>
      <c r="AM93" s="99"/>
      <c r="AN93" s="99"/>
      <c r="AO93" s="99"/>
      <c r="AP93" s="99"/>
      <c r="AR93" s="99"/>
      <c r="AS93" s="99"/>
      <c r="AT93" s="99"/>
      <c r="AU93" s="99"/>
      <c r="AV93" s="99"/>
      <c r="AW93" s="99"/>
    </row>
    <row r="94" spans="1:49" ht="12.75" hidden="1" customHeight="1" x14ac:dyDescent="0.25">
      <c r="A94" t="str">
        <f>Nutrients!B93</f>
        <v>Wheat Bran</v>
      </c>
      <c r="B94" s="99"/>
      <c r="C94" s="99"/>
      <c r="D94" s="99"/>
      <c r="E94" s="99"/>
      <c r="F94" s="99"/>
      <c r="G94" s="99"/>
      <c r="H94" s="99"/>
      <c r="I94" s="99"/>
      <c r="J94" s="99"/>
      <c r="K94" s="99"/>
      <c r="L94" s="99"/>
      <c r="M94" s="99"/>
      <c r="N94" s="99"/>
      <c r="O94" s="10"/>
      <c r="P94" s="99"/>
      <c r="Q94" s="99"/>
      <c r="R94" s="99"/>
      <c r="S94" s="99"/>
      <c r="T94" s="99"/>
      <c r="U94" s="99"/>
      <c r="W94" s="99"/>
      <c r="X94" s="99"/>
      <c r="Y94" s="99"/>
      <c r="Z94" s="99"/>
      <c r="AA94" s="99"/>
      <c r="AB94" s="99"/>
      <c r="AD94" s="99"/>
      <c r="AE94" s="99"/>
      <c r="AF94" s="99"/>
      <c r="AG94" s="99"/>
      <c r="AH94" s="99"/>
      <c r="AI94" s="99"/>
      <c r="AK94" s="99"/>
      <c r="AL94" s="99"/>
      <c r="AM94" s="99"/>
      <c r="AN94" s="99"/>
      <c r="AO94" s="99"/>
      <c r="AP94" s="99"/>
      <c r="AR94" s="99"/>
      <c r="AS94" s="99"/>
      <c r="AT94" s="99"/>
      <c r="AU94" s="99"/>
      <c r="AV94" s="99"/>
      <c r="AW94" s="99"/>
    </row>
    <row r="95" spans="1:49" ht="12.75" hidden="1" customHeight="1" x14ac:dyDescent="0.25">
      <c r="A95" t="str">
        <f>Nutrients!B94</f>
        <v>Wheat Middlings</v>
      </c>
      <c r="B95" s="99"/>
      <c r="C95" s="99"/>
      <c r="D95" s="99"/>
      <c r="E95" s="99"/>
      <c r="F95" s="99"/>
      <c r="G95" s="99"/>
      <c r="H95" s="99"/>
      <c r="I95" s="99"/>
      <c r="J95" s="99"/>
      <c r="K95" s="99"/>
      <c r="L95" s="99"/>
      <c r="M95" s="99"/>
      <c r="N95" s="99"/>
      <c r="O95" s="10"/>
      <c r="P95" s="99"/>
      <c r="Q95" s="99"/>
      <c r="R95" s="99"/>
      <c r="S95" s="99"/>
      <c r="T95" s="99"/>
      <c r="U95" s="99"/>
      <c r="W95" s="99"/>
      <c r="X95" s="99"/>
      <c r="Y95" s="99"/>
      <c r="Z95" s="99"/>
      <c r="AA95" s="99"/>
      <c r="AB95" s="99"/>
      <c r="AD95" s="99"/>
      <c r="AE95" s="99"/>
      <c r="AF95" s="99"/>
      <c r="AG95" s="99"/>
      <c r="AH95" s="99"/>
      <c r="AI95" s="99"/>
      <c r="AK95" s="99"/>
      <c r="AL95" s="99"/>
      <c r="AM95" s="99"/>
      <c r="AN95" s="99"/>
      <c r="AO95" s="99"/>
      <c r="AP95" s="99"/>
      <c r="AR95" s="99"/>
      <c r="AS95" s="99"/>
      <c r="AT95" s="99"/>
      <c r="AU95" s="99"/>
      <c r="AV95" s="99"/>
      <c r="AW95" s="99"/>
    </row>
    <row r="96" spans="1:49" ht="12.75" hidden="1" customHeight="1" x14ac:dyDescent="0.25">
      <c r="A96" t="str">
        <f>Nutrients!B95</f>
        <v>Wheat Shorts</v>
      </c>
      <c r="B96" s="99"/>
      <c r="C96" s="99"/>
      <c r="D96" s="99"/>
      <c r="E96" s="99"/>
      <c r="F96" s="99"/>
      <c r="G96" s="99"/>
      <c r="H96" s="99"/>
      <c r="I96" s="99"/>
      <c r="J96" s="99"/>
      <c r="K96" s="99"/>
      <c r="L96" s="99"/>
      <c r="M96" s="99"/>
      <c r="N96" s="99"/>
      <c r="O96" s="10"/>
      <c r="P96" s="99"/>
      <c r="Q96" s="99"/>
      <c r="R96" s="99"/>
      <c r="S96" s="99"/>
      <c r="T96" s="99"/>
      <c r="U96" s="99"/>
      <c r="W96" s="99"/>
      <c r="X96" s="99"/>
      <c r="Y96" s="99"/>
      <c r="Z96" s="99"/>
      <c r="AA96" s="99"/>
      <c r="AB96" s="99"/>
      <c r="AD96" s="99"/>
      <c r="AE96" s="99"/>
      <c r="AF96" s="99"/>
      <c r="AG96" s="99"/>
      <c r="AH96" s="99"/>
      <c r="AI96" s="99"/>
      <c r="AK96" s="99"/>
      <c r="AL96" s="99"/>
      <c r="AM96" s="99"/>
      <c r="AN96" s="99"/>
      <c r="AO96" s="99"/>
      <c r="AP96" s="99"/>
      <c r="AR96" s="99"/>
      <c r="AS96" s="99"/>
      <c r="AT96" s="99"/>
      <c r="AU96" s="99"/>
      <c r="AV96" s="99"/>
      <c r="AW96" s="99"/>
    </row>
    <row r="97" spans="1:51" ht="12.75" hidden="1" customHeight="1" x14ac:dyDescent="0.25">
      <c r="A97" t="str">
        <f>Nutrients!B96</f>
        <v>Wheat DDGS</v>
      </c>
      <c r="B97" s="99"/>
      <c r="C97" s="99"/>
      <c r="D97" s="99"/>
      <c r="E97" s="99"/>
      <c r="F97" s="99"/>
      <c r="G97" s="99"/>
      <c r="H97" s="99"/>
      <c r="I97" s="99"/>
      <c r="J97" s="99"/>
      <c r="K97" s="99"/>
      <c r="L97" s="99"/>
      <c r="M97" s="99"/>
      <c r="N97" s="99"/>
      <c r="O97" s="10"/>
      <c r="P97" s="99"/>
      <c r="Q97" s="99"/>
      <c r="R97" s="99"/>
      <c r="S97" s="99"/>
      <c r="T97" s="99"/>
      <c r="U97" s="99"/>
      <c r="W97" s="99"/>
      <c r="X97" s="99"/>
      <c r="Y97" s="99"/>
      <c r="Z97" s="99"/>
      <c r="AA97" s="99"/>
      <c r="AB97" s="99"/>
      <c r="AD97" s="99"/>
      <c r="AE97" s="99"/>
      <c r="AF97" s="99"/>
      <c r="AG97" s="99"/>
      <c r="AH97" s="99"/>
      <c r="AI97" s="99"/>
      <c r="AK97" s="99"/>
      <c r="AL97" s="99"/>
      <c r="AM97" s="99"/>
      <c r="AN97" s="99"/>
      <c r="AO97" s="99"/>
      <c r="AP97" s="99"/>
      <c r="AR97" s="99"/>
      <c r="AS97" s="99"/>
      <c r="AT97" s="99"/>
      <c r="AU97" s="99"/>
      <c r="AV97" s="99"/>
      <c r="AW97" s="99"/>
    </row>
    <row r="98" spans="1:51" ht="12.75" hidden="1" customHeight="1" x14ac:dyDescent="0.25">
      <c r="A98" t="str">
        <f>Nutrients!B97</f>
        <v>Yeast, Brewers' Yeast</v>
      </c>
      <c r="B98" s="99"/>
      <c r="C98" s="99"/>
      <c r="D98" s="99"/>
      <c r="E98" s="99"/>
      <c r="F98" s="99"/>
      <c r="G98" s="99"/>
      <c r="H98" s="99"/>
      <c r="I98" s="99"/>
      <c r="J98" s="99"/>
      <c r="K98" s="99"/>
      <c r="L98" s="99"/>
      <c r="M98" s="99"/>
      <c r="N98" s="99"/>
      <c r="O98" s="10"/>
      <c r="P98" s="99"/>
      <c r="Q98" s="99"/>
      <c r="R98" s="99"/>
      <c r="S98" s="99"/>
      <c r="T98" s="99"/>
      <c r="U98" s="99"/>
      <c r="W98" s="99"/>
      <c r="X98" s="99"/>
      <c r="Y98" s="99"/>
      <c r="Z98" s="99"/>
      <c r="AA98" s="99"/>
      <c r="AB98" s="99"/>
      <c r="AD98" s="99"/>
      <c r="AE98" s="99"/>
      <c r="AF98" s="99"/>
      <c r="AG98" s="99"/>
      <c r="AH98" s="99"/>
      <c r="AI98" s="99"/>
      <c r="AK98" s="99"/>
      <c r="AL98" s="99"/>
      <c r="AM98" s="99"/>
      <c r="AN98" s="99"/>
      <c r="AO98" s="99"/>
      <c r="AP98" s="99"/>
      <c r="AR98" s="99"/>
      <c r="AS98" s="99"/>
      <c r="AT98" s="99"/>
      <c r="AU98" s="99"/>
      <c r="AV98" s="99"/>
      <c r="AW98" s="99"/>
    </row>
    <row r="99" spans="1:51" ht="12.75" hidden="1" customHeight="1" x14ac:dyDescent="0.25">
      <c r="A99" t="str">
        <f>Nutrients!B98</f>
        <v>Yeast, Single Cell Protein</v>
      </c>
      <c r="B99" s="99"/>
      <c r="C99" s="99"/>
      <c r="D99" s="99"/>
      <c r="E99" s="99"/>
      <c r="F99" s="99"/>
      <c r="G99" s="99"/>
      <c r="H99" s="99"/>
      <c r="I99" s="99"/>
      <c r="J99" s="99"/>
      <c r="K99" s="99"/>
      <c r="L99" s="99"/>
      <c r="M99" s="99"/>
      <c r="N99" s="99"/>
      <c r="O99" s="10"/>
      <c r="P99" s="99"/>
      <c r="Q99" s="99"/>
      <c r="R99" s="99"/>
      <c r="S99" s="99"/>
      <c r="T99" s="99"/>
      <c r="U99" s="99"/>
      <c r="W99" s="99"/>
      <c r="X99" s="99"/>
      <c r="Y99" s="99"/>
      <c r="Z99" s="99"/>
      <c r="AA99" s="99"/>
      <c r="AB99" s="99"/>
      <c r="AD99" s="99"/>
      <c r="AE99" s="99"/>
      <c r="AF99" s="99"/>
      <c r="AG99" s="99"/>
      <c r="AH99" s="99"/>
      <c r="AI99" s="99"/>
      <c r="AK99" s="99"/>
      <c r="AL99" s="99"/>
      <c r="AM99" s="99"/>
      <c r="AN99" s="99"/>
      <c r="AO99" s="99"/>
      <c r="AP99" s="99"/>
      <c r="AR99" s="99"/>
      <c r="AS99" s="99"/>
      <c r="AT99" s="99"/>
      <c r="AU99" s="99"/>
      <c r="AV99" s="99"/>
      <c r="AW99" s="99"/>
    </row>
    <row r="100" spans="1:51" ht="12.75" hidden="1" customHeight="1" x14ac:dyDescent="0.25">
      <c r="A100" t="str">
        <f>Nutrients!B99</f>
        <v>Beef Tallow</v>
      </c>
      <c r="B100" s="99"/>
      <c r="C100" s="99"/>
      <c r="D100" s="99"/>
      <c r="E100" s="99"/>
      <c r="F100" s="99"/>
      <c r="G100" s="99"/>
      <c r="H100" s="99"/>
      <c r="I100" s="99"/>
      <c r="J100" s="99"/>
      <c r="K100" s="99"/>
      <c r="L100" s="99"/>
      <c r="M100" s="99"/>
      <c r="N100" s="99"/>
      <c r="O100" s="10"/>
      <c r="P100" s="99"/>
      <c r="Q100" s="99"/>
      <c r="R100" s="99"/>
      <c r="S100" s="99"/>
      <c r="T100" s="99"/>
      <c r="U100" s="99"/>
      <c r="W100" s="99"/>
      <c r="X100" s="99"/>
      <c r="Y100" s="99"/>
      <c r="Z100" s="99"/>
      <c r="AA100" s="99"/>
      <c r="AB100" s="99"/>
      <c r="AD100" s="99"/>
      <c r="AE100" s="99"/>
      <c r="AF100" s="99"/>
      <c r="AG100" s="99"/>
      <c r="AH100" s="99"/>
      <c r="AI100" s="99"/>
      <c r="AK100" s="99"/>
      <c r="AL100" s="99"/>
      <c r="AM100" s="99"/>
      <c r="AN100" s="99"/>
      <c r="AO100" s="99"/>
      <c r="AP100" s="99"/>
      <c r="AR100" s="99"/>
      <c r="AS100" s="99"/>
      <c r="AT100" s="99"/>
      <c r="AU100" s="99"/>
      <c r="AV100" s="99"/>
      <c r="AW100" s="99"/>
    </row>
    <row r="101" spans="1:51" x14ac:dyDescent="0.25">
      <c r="A101" t="str">
        <f>Nutrients!B100</f>
        <v>Choice White Grease</v>
      </c>
      <c r="B101" s="99"/>
      <c r="C101" s="99"/>
      <c r="D101" s="99"/>
      <c r="E101" s="99"/>
      <c r="F101" s="99"/>
      <c r="G101" s="99"/>
      <c r="H101" s="99"/>
      <c r="I101" s="106">
        <f>IF('GF diets No L-Val'!B250-'GF diets No L-Val'!I250&lt;0,0,'GF diets No L-Val'!B250-'GF diets No L-Val'!I250+0.1)</f>
        <v>9.4602533844016303</v>
      </c>
      <c r="J101" s="106">
        <f>IF('GF diets No L-Val'!C250-'GF diets No L-Val'!J250&lt;0,0,'GF diets No L-Val'!C250-'GF diets No L-Val'!J250+0.1)</f>
        <v>9.5557270193424753</v>
      </c>
      <c r="K101" s="106">
        <f>IF('GF diets No L-Val'!D250-'GF diets No L-Val'!K250&lt;0,0,'GF diets No L-Val'!D250-'GF diets No L-Val'!K250+0.1)</f>
        <v>9.620277963423268</v>
      </c>
      <c r="L101" s="106">
        <f>IF('GF diets No L-Val'!E250-'GF diets No L-Val'!L250&lt;0,0,('GF diets No L-Val'!E250-'GF diets No L-Val'!L250)+0.1)</f>
        <v>9.4051479682508212</v>
      </c>
      <c r="M101" s="106">
        <f>IF('GF diets No L-Val'!F250-'GF diets No L-Val'!M250&lt;0,0,'GF diets No L-Val'!F250-'GF diets No L-Val'!M250+0.1)</f>
        <v>9.4839750483116401</v>
      </c>
      <c r="N101" s="99"/>
      <c r="O101" s="29"/>
      <c r="P101" s="106">
        <f>IF('GF diets No L-Val'!B250-'GF diets No L-Val'!P250&lt;0,0,'GF diets No L-Val'!B250-'GF diets No L-Val'!P250+0.2)</f>
        <v>19.036538983225636</v>
      </c>
      <c r="Q101" s="106">
        <f>IF('GF diets No L-Val'!C250-'GF diets No L-Val'!Q250&lt;0,0,'GF diets No L-Val'!C250-'GF diets No L-Val'!Q250+0.2)</f>
        <v>19.169942929591752</v>
      </c>
      <c r="R101" s="106">
        <f>IF('GF diets No L-Val'!D250-'GF diets No L-Val'!R250&lt;0,0,'GF diets No L-Val'!D250-'GF diets No L-Val'!R250+0.2)</f>
        <v>19.291745679336099</v>
      </c>
      <c r="S101" s="106">
        <f>IF('GF diets No L-Val'!E250-'GF diets No L-Val'!S250&lt;0,0,'GF diets No L-Val'!E250-'GF diets No L-Val'!S250+0.2)</f>
        <v>19.054096695084535</v>
      </c>
      <c r="T101" s="106">
        <f>IF('GF diets No L-Val'!F250-'GF diets No L-Val'!T250&lt;0,0,'GF diets No L-Val'!F250-'GF diets No L-Val'!T250+0.2)</f>
        <v>19.11541741259175</v>
      </c>
      <c r="U101" s="99"/>
      <c r="V101" s="9"/>
      <c r="W101" s="106">
        <f>IF('GF diets No L-Val'!B250-'GF diets No L-Val'!W250&lt;0,0,'GF diets No L-Val'!B250-'GF diets No L-Val'!W250+0.35)</f>
        <v>28.642750099989463</v>
      </c>
      <c r="X101" s="106">
        <f>IF('GF diets No L-Val'!C250-'GF diets No L-Val'!X250&lt;0,0,'GF diets No L-Val'!C250-'GF diets No L-Val'!X250+0.35)</f>
        <v>28.820076454797892</v>
      </c>
      <c r="Y101" s="106">
        <f>IF('GF diets No L-Val'!D250-'GF diets No L-Val'!Y250&lt;0,0,'GF diets No L-Val'!D250-'GF diets No L-Val'!Y250+0.35)</f>
        <v>28.917482681183266</v>
      </c>
      <c r="Z101" s="106">
        <f>IF('GF diets No L-Val'!E250-'GF diets No L-Val'!Z250&lt;0,0,'GF diets No L-Val'!E250-'GF diets No L-Val'!Z250+0.35)</f>
        <v>28.727284518841863</v>
      </c>
      <c r="AA101" s="106">
        <f>IF('GF diets No L-Val'!F250-'GF diets No L-Val'!AA250&lt;0,0,'GF diets No L-Val'!F250-'GF diets No L-Val'!AA250+0.35)</f>
        <v>28.760994375963811</v>
      </c>
      <c r="AB101" s="99"/>
      <c r="AC101" s="9"/>
      <c r="AD101" s="106">
        <f>IF('GF diets No L-Val'!B250-'GF diets No L-Val'!AD250&lt;0,0,'GF diets No L-Val'!B250-'GF diets No L-Val'!AD250+0.55)</f>
        <v>38.305689892777124</v>
      </c>
      <c r="AE101" s="106">
        <f>IF('GF diets No L-Val'!C250-'GF diets No L-Val'!AE250&lt;0,0,'GF diets No L-Val'!C250-'GF diets No L-Val'!AE250+0.55)</f>
        <v>38.466826028744023</v>
      </c>
      <c r="AF101" s="106">
        <f>IF('GF diets No L-Val'!D250-'GF diets No L-Val'!AF250&lt;0,0,'GF diets No L-Val'!D250-'GF diets No L-Val'!AF250+0.55)</f>
        <v>38.634544140625891</v>
      </c>
      <c r="AG101" s="106">
        <f>IF('GF diets No L-Val'!E250-'GF diets No L-Val'!AG250&lt;0,0,'GF diets No L-Val'!E250-'GF diets No L-Val'!AG250+0.55)</f>
        <v>38.414738342346297</v>
      </c>
      <c r="AH101" s="106">
        <f>IF('GF diets No L-Val'!F250-'GF diets No L-Val'!AH250&lt;0,0,'GF diets No L-Val'!F250-'GF diets No L-Val'!AH250+0.55)</f>
        <v>39.145763216081193</v>
      </c>
      <c r="AI101" s="99"/>
      <c r="AJ101" s="9"/>
      <c r="AK101" s="106">
        <f>IF('GF diets No L-Val'!B250-'GF diets No L-Val'!AK250&lt;0,0,'GF diets No L-Val'!B250-'GF diets No L-Val'!AK250+0.75)</f>
        <v>48.236324661551635</v>
      </c>
      <c r="AL101" s="106">
        <f>IF('GF diets No L-Val'!C250-'GF diets No L-Val'!AL250&lt;0,0,'GF diets No L-Val'!C250-'GF diets No L-Val'!AL250+0.75)</f>
        <v>48.119772849337778</v>
      </c>
      <c r="AM101" s="106">
        <f>IF('GF diets No L-Val'!D250-'GF diets No L-Val'!AM250&lt;0,0,'GF diets No L-Val'!D250-'GF diets No L-Val'!AM250+0.75)</f>
        <v>48.26535191321841</v>
      </c>
      <c r="AN101" s="106">
        <f>IF('GF diets No L-Val'!E250-'GF diets No L-Val'!AN250&lt;0,0,'GF diets No L-Val'!E250-'GF diets No L-Val'!AN250+0.75)</f>
        <v>48.609905153929503</v>
      </c>
      <c r="AO101" s="106">
        <f>IF('GF diets No L-Val'!F250-'GF diets No L-Val'!AO250&lt;0,0,'GF diets No L-Val'!F250-'GF diets No L-Val'!AO250+0.75)</f>
        <v>49.858848343582167</v>
      </c>
      <c r="AP101" s="99"/>
      <c r="AQ101" s="9"/>
      <c r="AR101" s="106">
        <f>IF('GF diets No L-Val'!B250-'GF diets No L-Val'!AR250&lt;0,0,'GF diets No L-Val'!B250-'GF diets No L-Val'!AR250+0.95)</f>
        <v>57.789937901385159</v>
      </c>
      <c r="AS101" s="106">
        <f>IF('GF diets No L-Val'!C250-'GF diets No L-Val'!AS250&lt;0,0,'GF diets No L-Val'!C250-'GF diets No L-Val'!AS250+0.95)</f>
        <v>57.785124085120017</v>
      </c>
      <c r="AT101" s="106">
        <f>IF('GF diets No L-Val'!D250-'GF diets No L-Val'!AT250&lt;0,0,'GF diets No L-Val'!D250-'GF diets No L-Val'!AT250+0.95)</f>
        <v>57.924810335123269</v>
      </c>
      <c r="AU101" s="106">
        <f>IF('GF diets No L-Val'!E250-'GF diets No L-Val'!AU250&lt;0,0,'GF diets No L-Val'!E250-'GF diets No L-Val'!AU250+0.95)</f>
        <v>59.307625382842119</v>
      </c>
      <c r="AV101" s="106">
        <f>IF('GF diets No L-Val'!F250-'GF diets No L-Val'!AV250&lt;0,0,'GF diets No L-Val'!F250-'GF diets No L-Val'!AV250+0.95)</f>
        <v>60.576352630714339</v>
      </c>
      <c r="AW101" s="99"/>
      <c r="AX101" s="9"/>
      <c r="AY101" s="333"/>
    </row>
    <row r="102" spans="1:51" ht="13.05" hidden="1" customHeight="1" x14ac:dyDescent="0.25">
      <c r="A102" t="str">
        <f>Nutrients!B101</f>
        <v>Poultry Fat</v>
      </c>
      <c r="B102" s="99"/>
      <c r="C102" s="99"/>
      <c r="D102" s="99"/>
      <c r="E102" s="99"/>
      <c r="F102" s="99"/>
      <c r="G102" s="99"/>
      <c r="H102" s="99"/>
      <c r="I102" s="99"/>
      <c r="J102" s="99"/>
      <c r="K102" s="99"/>
      <c r="L102" s="99"/>
      <c r="M102" s="99"/>
      <c r="N102" s="99"/>
      <c r="O102" s="10"/>
      <c r="P102" s="99"/>
      <c r="Q102" s="99"/>
      <c r="R102" s="99"/>
      <c r="S102" s="99"/>
      <c r="T102" s="99"/>
      <c r="U102" s="99"/>
      <c r="W102" s="99"/>
      <c r="X102" s="99"/>
      <c r="Y102" s="99"/>
      <c r="Z102" s="99"/>
      <c r="AA102" s="99"/>
      <c r="AB102" s="99"/>
      <c r="AD102" s="99"/>
      <c r="AE102" s="99"/>
      <c r="AF102" s="99"/>
      <c r="AG102" s="99"/>
      <c r="AH102" s="99"/>
      <c r="AI102" s="99"/>
      <c r="AK102" s="99"/>
      <c r="AL102" s="99"/>
      <c r="AM102" s="99"/>
      <c r="AN102" s="99"/>
      <c r="AO102" s="99"/>
      <c r="AP102" s="99"/>
      <c r="AR102" s="99"/>
      <c r="AS102" s="99"/>
      <c r="AT102" s="99"/>
      <c r="AU102" s="99"/>
      <c r="AV102" s="99"/>
      <c r="AW102" s="99"/>
    </row>
    <row r="103" spans="1:51" ht="13.05" hidden="1" customHeight="1" x14ac:dyDescent="0.25">
      <c r="A103" t="str">
        <f>Nutrients!B102</f>
        <v>Lard</v>
      </c>
      <c r="B103" s="99"/>
      <c r="C103" s="99"/>
      <c r="D103" s="99"/>
      <c r="E103" s="99"/>
      <c r="F103" s="99"/>
      <c r="G103" s="99"/>
      <c r="H103" s="99"/>
      <c r="I103" s="99"/>
      <c r="J103" s="99"/>
      <c r="K103" s="99"/>
      <c r="L103" s="99"/>
      <c r="M103" s="99"/>
      <c r="N103" s="99"/>
      <c r="O103" s="10"/>
      <c r="P103" s="99"/>
      <c r="Q103" s="99"/>
      <c r="R103" s="99"/>
      <c r="S103" s="99"/>
      <c r="T103" s="99"/>
      <c r="U103" s="99"/>
      <c r="W103" s="99"/>
      <c r="X103" s="99"/>
      <c r="Y103" s="99"/>
      <c r="Z103" s="99"/>
      <c r="AA103" s="99"/>
      <c r="AB103" s="99"/>
      <c r="AD103" s="99"/>
      <c r="AE103" s="99"/>
      <c r="AF103" s="99"/>
      <c r="AG103" s="99"/>
      <c r="AH103" s="99"/>
      <c r="AI103" s="99"/>
      <c r="AK103" s="99"/>
      <c r="AL103" s="99"/>
      <c r="AM103" s="99"/>
      <c r="AN103" s="99"/>
      <c r="AO103" s="99"/>
      <c r="AP103" s="99"/>
      <c r="AR103" s="99"/>
      <c r="AS103" s="99"/>
      <c r="AT103" s="99"/>
      <c r="AU103" s="99"/>
      <c r="AV103" s="99"/>
      <c r="AW103" s="99"/>
    </row>
    <row r="104" spans="1:51" ht="13.05" hidden="1" customHeight="1" x14ac:dyDescent="0.25">
      <c r="A104" t="str">
        <f>Nutrients!B103</f>
        <v>Restaurant Grease</v>
      </c>
      <c r="B104" s="99"/>
      <c r="C104" s="99"/>
      <c r="D104" s="99"/>
      <c r="E104" s="99"/>
      <c r="F104" s="99"/>
      <c r="G104" s="99"/>
      <c r="H104" s="99"/>
      <c r="I104" s="99"/>
      <c r="J104" s="99"/>
      <c r="K104" s="99"/>
      <c r="L104" s="99"/>
      <c r="M104" s="99"/>
      <c r="N104" s="99"/>
      <c r="O104" s="10"/>
      <c r="P104" s="99"/>
      <c r="Q104" s="99"/>
      <c r="R104" s="99"/>
      <c r="S104" s="99"/>
      <c r="T104" s="99"/>
      <c r="U104" s="99"/>
      <c r="W104" s="99"/>
      <c r="X104" s="99"/>
      <c r="Y104" s="99"/>
      <c r="Z104" s="99"/>
      <c r="AA104" s="99"/>
      <c r="AB104" s="99"/>
      <c r="AD104" s="99"/>
      <c r="AE104" s="99"/>
      <c r="AF104" s="99"/>
      <c r="AG104" s="99"/>
      <c r="AH104" s="99"/>
      <c r="AI104" s="99"/>
      <c r="AK104" s="99"/>
      <c r="AL104" s="99"/>
      <c r="AM104" s="99"/>
      <c r="AN104" s="99"/>
      <c r="AO104" s="99"/>
      <c r="AP104" s="99"/>
      <c r="AR104" s="99"/>
      <c r="AS104" s="99"/>
      <c r="AT104" s="99"/>
      <c r="AU104" s="99"/>
      <c r="AV104" s="99"/>
      <c r="AW104" s="99"/>
    </row>
    <row r="105" spans="1:51" ht="13.05" hidden="1" customHeight="1" x14ac:dyDescent="0.25">
      <c r="A105" t="str">
        <f>Nutrients!B104</f>
        <v>Canola oil</v>
      </c>
      <c r="B105" s="99"/>
      <c r="C105" s="99"/>
      <c r="D105" s="99"/>
      <c r="E105" s="99"/>
      <c r="F105" s="99"/>
      <c r="G105" s="99"/>
      <c r="H105" s="99"/>
      <c r="I105" s="99"/>
      <c r="J105" s="99"/>
      <c r="K105" s="99"/>
      <c r="L105" s="99"/>
      <c r="M105" s="99"/>
      <c r="N105" s="99"/>
      <c r="O105" s="10"/>
      <c r="P105" s="99"/>
      <c r="Q105" s="99"/>
      <c r="R105" s="99"/>
      <c r="S105" s="99"/>
      <c r="T105" s="99"/>
      <c r="U105" s="99"/>
      <c r="W105" s="99"/>
      <c r="X105" s="99"/>
      <c r="Y105" s="99"/>
      <c r="Z105" s="99"/>
      <c r="AA105" s="99"/>
      <c r="AB105" s="99"/>
      <c r="AD105" s="99"/>
      <c r="AE105" s="99"/>
      <c r="AF105" s="99"/>
      <c r="AG105" s="99"/>
      <c r="AH105" s="99"/>
      <c r="AI105" s="99"/>
      <c r="AK105" s="99"/>
      <c r="AL105" s="99"/>
      <c r="AM105" s="99"/>
      <c r="AN105" s="99"/>
      <c r="AO105" s="99"/>
      <c r="AP105" s="99"/>
      <c r="AR105" s="99"/>
      <c r="AS105" s="99"/>
      <c r="AT105" s="99"/>
      <c r="AU105" s="99"/>
      <c r="AV105" s="99"/>
      <c r="AW105" s="99"/>
    </row>
    <row r="106" spans="1:51" ht="13.05" hidden="1" customHeight="1" x14ac:dyDescent="0.25">
      <c r="A106" t="str">
        <f>Nutrients!B105</f>
        <v>Coconut oil</v>
      </c>
      <c r="B106" s="99"/>
      <c r="C106" s="99"/>
      <c r="D106" s="99"/>
      <c r="E106" s="99"/>
      <c r="F106" s="99"/>
      <c r="G106" s="99"/>
      <c r="H106" s="99"/>
      <c r="I106" s="99"/>
      <c r="J106" s="99"/>
      <c r="K106" s="99"/>
      <c r="L106" s="99"/>
      <c r="M106" s="99"/>
      <c r="N106" s="99"/>
      <c r="O106" s="10"/>
      <c r="P106" s="99"/>
      <c r="Q106" s="99"/>
      <c r="R106" s="99"/>
      <c r="S106" s="99"/>
      <c r="T106" s="99"/>
      <c r="U106" s="99"/>
      <c r="W106" s="99"/>
      <c r="X106" s="99"/>
      <c r="Y106" s="99"/>
      <c r="Z106" s="99"/>
      <c r="AA106" s="99"/>
      <c r="AB106" s="99"/>
      <c r="AD106" s="99"/>
      <c r="AE106" s="99"/>
      <c r="AF106" s="99"/>
      <c r="AG106" s="99"/>
      <c r="AH106" s="99"/>
      <c r="AI106" s="99"/>
      <c r="AK106" s="99"/>
      <c r="AL106" s="99"/>
      <c r="AM106" s="99"/>
      <c r="AN106" s="99"/>
      <c r="AO106" s="99"/>
      <c r="AP106" s="99"/>
      <c r="AR106" s="99"/>
      <c r="AS106" s="99"/>
      <c r="AT106" s="99"/>
      <c r="AU106" s="99"/>
      <c r="AV106" s="99"/>
      <c r="AW106" s="99"/>
    </row>
    <row r="107" spans="1:51" ht="13.05" hidden="1" customHeight="1" x14ac:dyDescent="0.25">
      <c r="A107" t="str">
        <f>Nutrients!B106</f>
        <v>Corn oil</v>
      </c>
      <c r="B107" s="99"/>
      <c r="C107" s="99"/>
      <c r="D107" s="99"/>
      <c r="E107" s="99"/>
      <c r="F107" s="99"/>
      <c r="G107" s="99"/>
      <c r="H107" s="99"/>
      <c r="I107" s="99"/>
      <c r="J107" s="99"/>
      <c r="K107" s="99"/>
      <c r="L107" s="99"/>
      <c r="M107" s="99"/>
      <c r="N107" s="99"/>
      <c r="O107" s="10"/>
      <c r="P107" s="99"/>
      <c r="Q107" s="99"/>
      <c r="R107" s="99"/>
      <c r="S107" s="99"/>
      <c r="T107" s="99"/>
      <c r="U107" s="99"/>
      <c r="W107" s="99"/>
      <c r="X107" s="99"/>
      <c r="Y107" s="99"/>
      <c r="Z107" s="99"/>
      <c r="AA107" s="99"/>
      <c r="AB107" s="99"/>
      <c r="AD107" s="99"/>
      <c r="AE107" s="99"/>
      <c r="AF107" s="99"/>
      <c r="AG107" s="99"/>
      <c r="AH107" s="99"/>
      <c r="AI107" s="99"/>
      <c r="AK107" s="99"/>
      <c r="AL107" s="99"/>
      <c r="AM107" s="99"/>
      <c r="AN107" s="99"/>
      <c r="AO107" s="99"/>
      <c r="AP107" s="99"/>
      <c r="AR107" s="99"/>
      <c r="AS107" s="99"/>
      <c r="AT107" s="99"/>
      <c r="AU107" s="99"/>
      <c r="AV107" s="99"/>
      <c r="AW107" s="99"/>
    </row>
    <row r="108" spans="1:51" ht="13.05" hidden="1" customHeight="1" x14ac:dyDescent="0.25">
      <c r="A108" t="str">
        <f>Nutrients!B107</f>
        <v>Palm Kernel oil</v>
      </c>
      <c r="B108" s="99"/>
      <c r="C108" s="99"/>
      <c r="D108" s="99"/>
      <c r="E108" s="99"/>
      <c r="F108" s="99"/>
      <c r="G108" s="99"/>
      <c r="H108" s="99"/>
      <c r="I108" s="99"/>
      <c r="J108" s="99"/>
      <c r="K108" s="99"/>
      <c r="L108" s="99"/>
      <c r="M108" s="99"/>
      <c r="N108" s="99"/>
      <c r="O108" s="10"/>
      <c r="P108" s="99"/>
      <c r="Q108" s="99"/>
      <c r="R108" s="99"/>
      <c r="S108" s="99"/>
      <c r="T108" s="99"/>
      <c r="U108" s="99"/>
      <c r="W108" s="99"/>
      <c r="X108" s="99"/>
      <c r="Y108" s="99"/>
      <c r="Z108" s="99"/>
      <c r="AA108" s="99"/>
      <c r="AB108" s="99"/>
      <c r="AD108" s="99"/>
      <c r="AE108" s="99"/>
      <c r="AF108" s="99"/>
      <c r="AG108" s="99"/>
      <c r="AH108" s="99"/>
      <c r="AI108" s="99"/>
      <c r="AK108" s="99"/>
      <c r="AL108" s="99"/>
      <c r="AM108" s="99"/>
      <c r="AN108" s="99"/>
      <c r="AO108" s="99"/>
      <c r="AP108" s="99"/>
      <c r="AR108" s="99"/>
      <c r="AS108" s="99"/>
      <c r="AT108" s="99"/>
      <c r="AU108" s="99"/>
      <c r="AV108" s="99"/>
      <c r="AW108" s="99"/>
    </row>
    <row r="109" spans="1:51" ht="13.05" hidden="1" customHeight="1" x14ac:dyDescent="0.25">
      <c r="A109" t="str">
        <f>Nutrients!B108</f>
        <v>Soybean oil</v>
      </c>
      <c r="B109" s="99"/>
      <c r="C109" s="99"/>
      <c r="D109" s="99"/>
      <c r="E109" s="99"/>
      <c r="F109" s="99"/>
      <c r="G109" s="99"/>
      <c r="H109" s="99"/>
      <c r="I109" s="99"/>
      <c r="J109" s="99"/>
      <c r="K109" s="99"/>
      <c r="L109" s="99"/>
      <c r="M109" s="99"/>
      <c r="N109" s="99"/>
      <c r="O109" s="10"/>
      <c r="P109" s="99"/>
      <c r="Q109" s="99"/>
      <c r="R109" s="99"/>
      <c r="S109" s="99"/>
      <c r="T109" s="99"/>
      <c r="U109" s="99"/>
      <c r="W109" s="99"/>
      <c r="X109" s="99"/>
      <c r="Y109" s="99"/>
      <c r="Z109" s="99"/>
      <c r="AA109" s="99"/>
      <c r="AB109" s="99"/>
      <c r="AD109" s="99"/>
      <c r="AE109" s="99"/>
      <c r="AF109" s="99"/>
      <c r="AG109" s="99"/>
      <c r="AH109" s="99"/>
      <c r="AI109" s="99"/>
      <c r="AK109" s="99"/>
      <c r="AL109" s="99"/>
      <c r="AM109" s="99"/>
      <c r="AN109" s="99"/>
      <c r="AO109" s="99"/>
      <c r="AP109" s="99"/>
      <c r="AR109" s="99"/>
      <c r="AS109" s="99"/>
      <c r="AT109" s="99"/>
      <c r="AU109" s="99"/>
      <c r="AV109" s="99"/>
      <c r="AW109" s="99"/>
    </row>
    <row r="110" spans="1:51" ht="13.05" hidden="1" customHeight="1" x14ac:dyDescent="0.25">
      <c r="A110" t="str">
        <f>Nutrients!B109</f>
        <v>Soybean Lecithin</v>
      </c>
      <c r="B110" s="99"/>
      <c r="C110" s="99"/>
      <c r="D110" s="99"/>
      <c r="E110" s="99"/>
      <c r="F110" s="99"/>
      <c r="G110" s="99"/>
      <c r="H110" s="99"/>
      <c r="I110" s="99"/>
      <c r="J110" s="99"/>
      <c r="K110" s="99"/>
      <c r="L110" s="99"/>
      <c r="M110" s="99"/>
      <c r="N110" s="99"/>
      <c r="O110" s="10"/>
      <c r="P110" s="99"/>
      <c r="Q110" s="99"/>
      <c r="R110" s="99"/>
      <c r="S110" s="99"/>
      <c r="T110" s="99"/>
      <c r="U110" s="99"/>
      <c r="W110" s="99"/>
      <c r="X110" s="99"/>
      <c r="Y110" s="99"/>
      <c r="Z110" s="99"/>
      <c r="AA110" s="99"/>
      <c r="AB110" s="99"/>
      <c r="AD110" s="99"/>
      <c r="AE110" s="99"/>
      <c r="AF110" s="99"/>
      <c r="AG110" s="99"/>
      <c r="AH110" s="99"/>
      <c r="AI110" s="99"/>
      <c r="AK110" s="99"/>
      <c r="AL110" s="99"/>
      <c r="AM110" s="99"/>
      <c r="AN110" s="99"/>
      <c r="AO110" s="99"/>
      <c r="AP110" s="99"/>
      <c r="AR110" s="99"/>
      <c r="AS110" s="99"/>
      <c r="AT110" s="99"/>
      <c r="AU110" s="99"/>
      <c r="AV110" s="99"/>
      <c r="AW110" s="99"/>
    </row>
    <row r="111" spans="1:51" ht="13.05" hidden="1" customHeight="1" x14ac:dyDescent="0.25">
      <c r="A111" t="str">
        <f>Nutrients!B110</f>
        <v>Sunflower oil</v>
      </c>
      <c r="B111" s="99"/>
      <c r="C111" s="99"/>
      <c r="D111" s="99"/>
      <c r="E111" s="99"/>
      <c r="F111" s="99"/>
      <c r="G111" s="99"/>
      <c r="H111" s="99"/>
      <c r="I111" s="99"/>
      <c r="J111" s="99"/>
      <c r="K111" s="99"/>
      <c r="L111" s="99"/>
      <c r="M111" s="99"/>
      <c r="N111" s="99"/>
      <c r="O111" s="10"/>
      <c r="P111" s="99"/>
      <c r="Q111" s="99"/>
      <c r="R111" s="99"/>
      <c r="S111" s="99"/>
      <c r="T111" s="99"/>
      <c r="U111" s="99"/>
      <c r="W111" s="99"/>
      <c r="X111" s="99"/>
      <c r="Y111" s="99"/>
      <c r="Z111" s="99"/>
      <c r="AA111" s="99"/>
      <c r="AB111" s="99"/>
      <c r="AD111" s="99"/>
      <c r="AE111" s="99"/>
      <c r="AF111" s="99"/>
      <c r="AG111" s="99"/>
      <c r="AH111" s="99"/>
      <c r="AI111" s="99"/>
      <c r="AK111" s="99"/>
      <c r="AL111" s="99"/>
      <c r="AM111" s="99"/>
      <c r="AN111" s="99"/>
      <c r="AO111" s="99"/>
      <c r="AP111" s="99"/>
      <c r="AR111" s="99"/>
      <c r="AS111" s="99"/>
      <c r="AT111" s="99"/>
      <c r="AU111" s="99"/>
      <c r="AV111" s="99"/>
      <c r="AW111" s="99"/>
    </row>
    <row r="112" spans="1:51" ht="13.05" hidden="1" customHeight="1" x14ac:dyDescent="0.25">
      <c r="A112" t="str">
        <f>Nutrients!B111</f>
        <v>Fat, A/V blend</v>
      </c>
      <c r="B112" s="99"/>
      <c r="C112" s="99"/>
      <c r="D112" s="99"/>
      <c r="E112" s="99"/>
      <c r="F112" s="99"/>
      <c r="G112" s="99"/>
      <c r="H112" s="99"/>
      <c r="I112" s="99"/>
      <c r="J112" s="99"/>
      <c r="K112" s="99"/>
      <c r="L112" s="99"/>
      <c r="M112" s="99"/>
      <c r="N112" s="99"/>
      <c r="O112" s="10"/>
      <c r="P112" s="99"/>
      <c r="Q112" s="99"/>
      <c r="R112" s="99"/>
      <c r="S112" s="99"/>
      <c r="T112" s="99"/>
      <c r="U112" s="99"/>
      <c r="W112" s="99"/>
      <c r="X112" s="99"/>
      <c r="Y112" s="99"/>
      <c r="Z112" s="99"/>
      <c r="AA112" s="99"/>
      <c r="AB112" s="99"/>
      <c r="AD112" s="99"/>
      <c r="AE112" s="99"/>
      <c r="AF112" s="99"/>
      <c r="AG112" s="99"/>
      <c r="AH112" s="99"/>
      <c r="AI112" s="99"/>
      <c r="AK112" s="99"/>
      <c r="AL112" s="99"/>
      <c r="AM112" s="99"/>
      <c r="AN112" s="99"/>
      <c r="AO112" s="99"/>
      <c r="AP112" s="99"/>
      <c r="AR112" s="99"/>
      <c r="AS112" s="99"/>
      <c r="AT112" s="99"/>
      <c r="AU112" s="99"/>
      <c r="AV112" s="99"/>
      <c r="AW112" s="99"/>
    </row>
    <row r="113" spans="1:50" x14ac:dyDescent="0.25">
      <c r="A113" t="s">
        <v>327</v>
      </c>
      <c r="B113" s="106">
        <v>20.650850091543401</v>
      </c>
      <c r="C113" s="106">
        <v>19.206</v>
      </c>
      <c r="D113" s="106">
        <v>19.148185418768257</v>
      </c>
      <c r="E113" s="106">
        <v>18.64855351548341</v>
      </c>
      <c r="F113" s="106">
        <v>18.080501293847359</v>
      </c>
      <c r="G113" s="106">
        <v>17.747857076024747</v>
      </c>
      <c r="H113" s="106"/>
      <c r="I113" s="106">
        <v>21.302725380416337</v>
      </c>
      <c r="J113" s="106">
        <v>19.896000000000001</v>
      </c>
      <c r="K113" s="106">
        <v>19.772727630525221</v>
      </c>
      <c r="L113" s="106">
        <v>19.192483222547349</v>
      </c>
      <c r="M113" s="106">
        <v>18.682939713542989</v>
      </c>
      <c r="N113" s="106">
        <v>17.747857076024747</v>
      </c>
      <c r="O113" s="29"/>
      <c r="P113" s="106">
        <v>21.952725380416336</v>
      </c>
      <c r="Q113" s="106">
        <v>20.545999999999999</v>
      </c>
      <c r="R113" s="106">
        <v>20.42272763052522</v>
      </c>
      <c r="S113" s="106">
        <v>19.842483222547347</v>
      </c>
      <c r="T113" s="106">
        <v>19.332939713542988</v>
      </c>
      <c r="U113" s="106">
        <v>17.747857076024747</v>
      </c>
      <c r="V113" s="9"/>
      <c r="W113" s="106">
        <v>22.602725380416334</v>
      </c>
      <c r="X113" s="106">
        <v>21.195999999999998</v>
      </c>
      <c r="Y113" s="106">
        <v>21.032727630525219</v>
      </c>
      <c r="Z113" s="106">
        <v>20.452483222547347</v>
      </c>
      <c r="AA113" s="106">
        <v>19.942939713542987</v>
      </c>
      <c r="AB113" s="106">
        <v>17.747857076024747</v>
      </c>
      <c r="AC113" s="9"/>
      <c r="AD113" s="106">
        <v>23.232725380416333</v>
      </c>
      <c r="AE113" s="106">
        <v>21.825999999999997</v>
      </c>
      <c r="AF113" s="106">
        <v>21.662727630525218</v>
      </c>
      <c r="AG113" s="106">
        <v>21.082483222547346</v>
      </c>
      <c r="AH113" s="106">
        <v>21.038695410430403</v>
      </c>
      <c r="AI113" s="106">
        <v>17.747857076024747</v>
      </c>
      <c r="AJ113" s="9"/>
      <c r="AK113" s="106">
        <v>23.852725380416334</v>
      </c>
      <c r="AL113" s="106">
        <v>22.445999999999998</v>
      </c>
      <c r="AM113" s="106">
        <v>22.282727630525219</v>
      </c>
      <c r="AN113" s="106">
        <v>22.156361600374847</v>
      </c>
      <c r="AO113" s="106">
        <v>22.197353735767237</v>
      </c>
      <c r="AP113" s="106">
        <v>17.747857076024747</v>
      </c>
      <c r="AQ113" s="9"/>
      <c r="AR113" s="106">
        <v>24.502725380416333</v>
      </c>
      <c r="AS113" s="106">
        <v>23.095999999999997</v>
      </c>
      <c r="AT113" s="106">
        <v>23.082598294113691</v>
      </c>
      <c r="AU113" s="106">
        <v>23.327669657947101</v>
      </c>
      <c r="AV113" s="106">
        <v>23.35587162149066</v>
      </c>
      <c r="AW113" s="106">
        <v>17.747857076024747</v>
      </c>
      <c r="AX113" s="9"/>
    </row>
    <row r="114" spans="1:50" ht="13.05" hidden="1" customHeight="1" x14ac:dyDescent="0.25">
      <c r="A114" t="str">
        <f>Nutrients!B113</f>
        <v>Calcium phosphate (tricalcium)</v>
      </c>
      <c r="B114" s="106"/>
      <c r="C114" s="106"/>
      <c r="D114" s="106"/>
      <c r="E114" s="106"/>
      <c r="F114" s="106"/>
      <c r="G114" s="106"/>
      <c r="H114" s="106"/>
      <c r="I114" s="106"/>
      <c r="J114" s="106"/>
      <c r="K114" s="106"/>
      <c r="L114" s="106"/>
      <c r="M114" s="106"/>
      <c r="N114" s="106"/>
      <c r="O114" s="29"/>
      <c r="P114" s="106"/>
      <c r="Q114" s="106"/>
      <c r="R114" s="106"/>
      <c r="S114" s="106"/>
      <c r="T114" s="106"/>
      <c r="U114" s="106"/>
      <c r="V114" s="9"/>
      <c r="W114" s="106"/>
      <c r="X114" s="106"/>
      <c r="Y114" s="106"/>
      <c r="Z114" s="106"/>
      <c r="AA114" s="106"/>
      <c r="AB114" s="106"/>
      <c r="AC114" s="9"/>
      <c r="AD114" s="106"/>
      <c r="AE114" s="106"/>
      <c r="AF114" s="106"/>
      <c r="AG114" s="106"/>
      <c r="AH114" s="106"/>
      <c r="AI114" s="106"/>
      <c r="AJ114" s="9"/>
      <c r="AK114" s="106"/>
      <c r="AL114" s="106"/>
      <c r="AM114" s="106"/>
      <c r="AN114" s="106"/>
      <c r="AO114" s="106"/>
      <c r="AP114" s="106"/>
      <c r="AQ114" s="9"/>
      <c r="AR114" s="106"/>
      <c r="AS114" s="106"/>
      <c r="AT114" s="106"/>
      <c r="AU114" s="106"/>
      <c r="AV114" s="106"/>
      <c r="AW114" s="106"/>
      <c r="AX114" s="9"/>
    </row>
    <row r="115" spans="1:50" hidden="1" x14ac:dyDescent="0.25">
      <c r="A115" t="str">
        <f>Nutrients!B114</f>
        <v>Calcium phosphate (dicalcium)</v>
      </c>
      <c r="B115" s="106"/>
      <c r="C115" s="106"/>
      <c r="D115" s="106"/>
      <c r="E115" s="106"/>
      <c r="F115" s="106"/>
      <c r="G115" s="106"/>
      <c r="H115" s="106"/>
      <c r="I115" s="106"/>
      <c r="J115" s="106"/>
      <c r="K115" s="106"/>
      <c r="L115" s="106"/>
      <c r="M115" s="106"/>
      <c r="N115" s="106"/>
      <c r="O115" s="29"/>
      <c r="P115" s="106"/>
      <c r="Q115" s="106"/>
      <c r="R115" s="106"/>
      <c r="S115" s="106"/>
      <c r="T115" s="106"/>
      <c r="U115" s="106"/>
      <c r="V115" s="9"/>
      <c r="W115" s="106"/>
      <c r="X115" s="106"/>
      <c r="Y115" s="106"/>
      <c r="Z115" s="106"/>
      <c r="AA115" s="106"/>
      <c r="AB115" s="106"/>
      <c r="AC115" s="9"/>
      <c r="AD115" s="106"/>
      <c r="AE115" s="106"/>
      <c r="AF115" s="106"/>
      <c r="AG115" s="106"/>
      <c r="AH115" s="106"/>
      <c r="AI115" s="106"/>
      <c r="AJ115" s="9"/>
      <c r="AK115" s="106"/>
      <c r="AL115" s="106"/>
      <c r="AM115" s="106"/>
      <c r="AN115" s="106"/>
      <c r="AO115" s="106"/>
      <c r="AP115" s="106"/>
      <c r="AQ115" s="9"/>
      <c r="AR115" s="106"/>
      <c r="AS115" s="106"/>
      <c r="AT115" s="106"/>
      <c r="AU115" s="106"/>
      <c r="AV115" s="106"/>
      <c r="AW115" s="106"/>
      <c r="AX115" s="9"/>
    </row>
    <row r="116" spans="1:50" x14ac:dyDescent="0.25">
      <c r="A116" t="s">
        <v>330</v>
      </c>
      <c r="B116" s="106">
        <v>13.279340186607511</v>
      </c>
      <c r="C116" s="106">
        <v>10.560038663342741</v>
      </c>
      <c r="D116" s="106">
        <v>7.7098828288906036</v>
      </c>
      <c r="E116" s="106">
        <v>5.7362235571478868</v>
      </c>
      <c r="F116" s="106">
        <v>4.249911842640179</v>
      </c>
      <c r="G116" s="106">
        <v>3.6237362366975527</v>
      </c>
      <c r="H116" s="106"/>
      <c r="I116" s="106">
        <v>12.059340186607511</v>
      </c>
      <c r="J116" s="106">
        <v>9.3400386633427406</v>
      </c>
      <c r="K116" s="106">
        <v>6.2510586229279221</v>
      </c>
      <c r="L116" s="106">
        <v>4.2192561688755807</v>
      </c>
      <c r="M116" s="106">
        <v>2.8506400350413044</v>
      </c>
      <c r="N116" s="106">
        <v>3.6237362366975527</v>
      </c>
      <c r="O116" s="29"/>
      <c r="P116" s="106">
        <v>10.73934018660751</v>
      </c>
      <c r="Q116" s="106">
        <v>8.0200386633427403</v>
      </c>
      <c r="R116" s="106">
        <v>4.9310586229279219</v>
      </c>
      <c r="S116" s="106">
        <v>2.8992561688755805</v>
      </c>
      <c r="T116" s="106">
        <v>1.5306400350413043</v>
      </c>
      <c r="U116" s="106">
        <v>3.6237362366975527</v>
      </c>
      <c r="V116" s="9"/>
      <c r="W116" s="106">
        <v>9.4193401866075099</v>
      </c>
      <c r="X116" s="106">
        <v>6.70003866334274</v>
      </c>
      <c r="Y116" s="106">
        <v>3.6110586229279216</v>
      </c>
      <c r="Z116" s="106">
        <v>1.5792561688755804</v>
      </c>
      <c r="AA116" s="106">
        <v>0.21064003504130424</v>
      </c>
      <c r="AB116" s="106">
        <v>3.6237362366975527</v>
      </c>
      <c r="AC116" s="9"/>
      <c r="AD116" s="106">
        <v>8.0993401866075097</v>
      </c>
      <c r="AE116" s="106">
        <v>5.3800386633427397</v>
      </c>
      <c r="AF116" s="106">
        <v>2.2910586229279213</v>
      </c>
      <c r="AG116" s="106">
        <v>0.25925616887558034</v>
      </c>
      <c r="AH116" s="106"/>
      <c r="AI116" s="106">
        <v>3.6237362366975527</v>
      </c>
      <c r="AJ116" s="9"/>
      <c r="AK116" s="106">
        <v>6.7793401866075094</v>
      </c>
      <c r="AL116" s="106">
        <v>4.0600386633427394</v>
      </c>
      <c r="AM116" s="106">
        <v>0.97105862292792122</v>
      </c>
      <c r="AN116" s="106"/>
      <c r="AO116" s="106"/>
      <c r="AP116" s="106">
        <v>3.6237362366975527</v>
      </c>
      <c r="AQ116" s="9"/>
      <c r="AR116" s="106">
        <v>5.4593401866075091</v>
      </c>
      <c r="AS116" s="106">
        <v>2.7400386633427392</v>
      </c>
      <c r="AT116" s="106"/>
      <c r="AU116" s="106"/>
      <c r="AV116" s="106"/>
      <c r="AW116" s="106">
        <v>3.6237362366975527</v>
      </c>
      <c r="AX116" s="9"/>
    </row>
    <row r="117" spans="1:50" ht="13.05" hidden="1" customHeight="1" x14ac:dyDescent="0.25">
      <c r="A117" t="str">
        <f>Nutrients!B116</f>
        <v>Calcium sulfate, dihydrate</v>
      </c>
      <c r="B117" s="106"/>
      <c r="C117" s="106"/>
      <c r="D117" s="106"/>
      <c r="E117" s="106"/>
      <c r="F117" s="106"/>
      <c r="G117" s="106"/>
      <c r="H117" s="106"/>
      <c r="I117" s="106"/>
      <c r="J117" s="106"/>
      <c r="K117" s="106"/>
      <c r="L117" s="106"/>
      <c r="M117" s="106"/>
      <c r="N117" s="106"/>
      <c r="O117" s="29"/>
      <c r="P117" s="106"/>
      <c r="Q117" s="106"/>
      <c r="R117" s="106"/>
      <c r="S117" s="106"/>
      <c r="T117" s="106"/>
      <c r="U117" s="106"/>
      <c r="V117" s="9"/>
      <c r="W117" s="106"/>
      <c r="X117" s="106"/>
      <c r="Y117" s="106"/>
      <c r="Z117" s="106"/>
      <c r="AA117" s="106"/>
      <c r="AB117" s="106"/>
      <c r="AC117" s="9"/>
      <c r="AD117" s="106"/>
      <c r="AE117" s="106"/>
      <c r="AF117" s="106"/>
      <c r="AG117" s="106"/>
      <c r="AH117" s="106"/>
      <c r="AI117" s="106"/>
      <c r="AJ117" s="9"/>
      <c r="AK117" s="106"/>
      <c r="AL117" s="106"/>
      <c r="AM117" s="106"/>
      <c r="AN117" s="106"/>
      <c r="AO117" s="106"/>
      <c r="AP117" s="106"/>
      <c r="AQ117" s="9"/>
      <c r="AR117" s="106"/>
      <c r="AS117" s="106"/>
      <c r="AT117" s="106"/>
      <c r="AU117" s="106"/>
      <c r="AV117" s="106"/>
      <c r="AW117" s="106"/>
      <c r="AX117" s="9"/>
    </row>
    <row r="118" spans="1:50" ht="13.05" hidden="1" customHeight="1" x14ac:dyDescent="0.25">
      <c r="A118" t="str">
        <f>Nutrients!B117</f>
        <v>Limestone, ground</v>
      </c>
      <c r="B118" s="106"/>
      <c r="C118" s="106"/>
      <c r="D118" s="106"/>
      <c r="E118" s="106"/>
      <c r="F118" s="106"/>
      <c r="G118" s="106"/>
      <c r="H118" s="106"/>
      <c r="I118" s="106"/>
      <c r="J118" s="106"/>
      <c r="K118" s="106"/>
      <c r="L118" s="106"/>
      <c r="M118" s="106"/>
      <c r="N118" s="106"/>
      <c r="O118" s="29"/>
      <c r="P118" s="106"/>
      <c r="Q118" s="106"/>
      <c r="R118" s="106"/>
      <c r="S118" s="106"/>
      <c r="T118" s="106"/>
      <c r="U118" s="106"/>
      <c r="V118" s="9"/>
      <c r="W118" s="106"/>
      <c r="X118" s="106"/>
      <c r="Y118" s="106"/>
      <c r="Z118" s="106"/>
      <c r="AA118" s="106"/>
      <c r="AB118" s="106"/>
      <c r="AC118" s="9"/>
      <c r="AD118" s="106"/>
      <c r="AE118" s="106"/>
      <c r="AF118" s="106"/>
      <c r="AG118" s="106"/>
      <c r="AH118" s="106"/>
      <c r="AI118" s="106"/>
      <c r="AJ118" s="9"/>
      <c r="AK118" s="106"/>
      <c r="AL118" s="106"/>
      <c r="AM118" s="106"/>
      <c r="AN118" s="106"/>
      <c r="AO118" s="106"/>
      <c r="AP118" s="106"/>
      <c r="AQ118" s="9"/>
      <c r="AR118" s="106"/>
      <c r="AS118" s="106"/>
      <c r="AT118" s="106"/>
      <c r="AU118" s="106"/>
      <c r="AV118" s="106"/>
      <c r="AW118" s="106"/>
      <c r="AX118" s="9"/>
    </row>
    <row r="119" spans="1:50" ht="13.05" hidden="1" customHeight="1" x14ac:dyDescent="0.25">
      <c r="A119" t="str">
        <f>Nutrients!B118</f>
        <v>Magnesium phosphate</v>
      </c>
      <c r="B119" s="106"/>
      <c r="C119" s="106"/>
      <c r="D119" s="106"/>
      <c r="E119" s="106"/>
      <c r="F119" s="106"/>
      <c r="G119" s="106"/>
      <c r="H119" s="106"/>
      <c r="I119" s="106"/>
      <c r="J119" s="106"/>
      <c r="K119" s="106"/>
      <c r="L119" s="106"/>
      <c r="M119" s="106"/>
      <c r="N119" s="106"/>
      <c r="O119" s="29"/>
      <c r="P119" s="106"/>
      <c r="Q119" s="106"/>
      <c r="R119" s="106"/>
      <c r="S119" s="106"/>
      <c r="T119" s="106"/>
      <c r="U119" s="106"/>
      <c r="V119" s="9"/>
      <c r="W119" s="106"/>
      <c r="X119" s="106"/>
      <c r="Y119" s="106"/>
      <c r="Z119" s="106"/>
      <c r="AA119" s="106"/>
      <c r="AB119" s="106"/>
      <c r="AC119" s="9"/>
      <c r="AD119" s="106"/>
      <c r="AE119" s="106"/>
      <c r="AF119" s="106"/>
      <c r="AG119" s="106"/>
      <c r="AH119" s="106"/>
      <c r="AI119" s="106"/>
      <c r="AJ119" s="9"/>
      <c r="AK119" s="106"/>
      <c r="AL119" s="106"/>
      <c r="AM119" s="106"/>
      <c r="AN119" s="106"/>
      <c r="AO119" s="106"/>
      <c r="AP119" s="106"/>
      <c r="AQ119" s="9"/>
      <c r="AR119" s="106"/>
      <c r="AS119" s="106"/>
      <c r="AT119" s="106"/>
      <c r="AU119" s="106"/>
      <c r="AV119" s="106"/>
      <c r="AW119" s="106"/>
      <c r="AX119" s="9"/>
    </row>
    <row r="120" spans="1:50" ht="13.05" hidden="1" customHeight="1" x14ac:dyDescent="0.25">
      <c r="A120" t="str">
        <f>Nutrients!B119</f>
        <v>Sodium carbonate</v>
      </c>
      <c r="B120" s="106"/>
      <c r="C120" s="106"/>
      <c r="D120" s="106"/>
      <c r="E120" s="106"/>
      <c r="F120" s="106"/>
      <c r="G120" s="106"/>
      <c r="H120" s="106"/>
      <c r="I120" s="106"/>
      <c r="J120" s="106"/>
      <c r="K120" s="106"/>
      <c r="L120" s="106"/>
      <c r="M120" s="106"/>
      <c r="N120" s="106"/>
      <c r="O120" s="29"/>
      <c r="P120" s="106"/>
      <c r="Q120" s="106"/>
      <c r="R120" s="106"/>
      <c r="S120" s="106"/>
      <c r="T120" s="106"/>
      <c r="U120" s="106"/>
      <c r="V120" s="9"/>
      <c r="W120" s="106"/>
      <c r="X120" s="106"/>
      <c r="Y120" s="106"/>
      <c r="Z120" s="106"/>
      <c r="AA120" s="106"/>
      <c r="AB120" s="106"/>
      <c r="AC120" s="9"/>
      <c r="AD120" s="106"/>
      <c r="AE120" s="106"/>
      <c r="AF120" s="106"/>
      <c r="AG120" s="106"/>
      <c r="AH120" s="106"/>
      <c r="AI120" s="106"/>
      <c r="AJ120" s="9"/>
      <c r="AK120" s="106"/>
      <c r="AL120" s="106"/>
      <c r="AM120" s="106"/>
      <c r="AN120" s="106"/>
      <c r="AO120" s="106"/>
      <c r="AP120" s="106"/>
      <c r="AQ120" s="9"/>
      <c r="AR120" s="106"/>
      <c r="AS120" s="106"/>
      <c r="AT120" s="106"/>
      <c r="AU120" s="106"/>
      <c r="AV120" s="106"/>
      <c r="AW120" s="106"/>
      <c r="AX120" s="9"/>
    </row>
    <row r="121" spans="1:50" ht="13.05" hidden="1" customHeight="1" x14ac:dyDescent="0.25">
      <c r="A121" t="str">
        <f>Nutrients!B120</f>
        <v>Sodium bicarbonate</v>
      </c>
      <c r="B121" s="106"/>
      <c r="C121" s="106"/>
      <c r="D121" s="106"/>
      <c r="E121" s="106"/>
      <c r="F121" s="106"/>
      <c r="G121" s="106"/>
      <c r="H121" s="106"/>
      <c r="I121" s="106"/>
      <c r="J121" s="106"/>
      <c r="K121" s="106"/>
      <c r="L121" s="106"/>
      <c r="M121" s="106"/>
      <c r="N121" s="106"/>
      <c r="O121" s="29"/>
      <c r="P121" s="106"/>
      <c r="Q121" s="106"/>
      <c r="R121" s="106"/>
      <c r="S121" s="106"/>
      <c r="T121" s="106"/>
      <c r="U121" s="106"/>
      <c r="V121" s="9"/>
      <c r="W121" s="106"/>
      <c r="X121" s="106"/>
      <c r="Y121" s="106"/>
      <c r="Z121" s="106"/>
      <c r="AA121" s="106"/>
      <c r="AB121" s="106"/>
      <c r="AC121" s="9"/>
      <c r="AD121" s="106"/>
      <c r="AE121" s="106"/>
      <c r="AF121" s="106"/>
      <c r="AG121" s="106"/>
      <c r="AH121" s="106"/>
      <c r="AI121" s="106"/>
      <c r="AJ121" s="9"/>
      <c r="AK121" s="106"/>
      <c r="AL121" s="106"/>
      <c r="AM121" s="106"/>
      <c r="AN121" s="106"/>
      <c r="AO121" s="106"/>
      <c r="AP121" s="106"/>
      <c r="AQ121" s="9"/>
      <c r="AR121" s="106"/>
      <c r="AS121" s="106"/>
      <c r="AT121" s="106"/>
      <c r="AU121" s="106"/>
      <c r="AV121" s="106"/>
      <c r="AW121" s="106"/>
      <c r="AX121" s="9"/>
    </row>
    <row r="122" spans="1:50" x14ac:dyDescent="0.25">
      <c r="A122" t="str">
        <f>Nutrients!B121</f>
        <v>Sodium chloride</v>
      </c>
      <c r="B122" s="106">
        <v>7</v>
      </c>
      <c r="C122" s="106">
        <v>7</v>
      </c>
      <c r="D122" s="106">
        <v>7</v>
      </c>
      <c r="E122" s="106">
        <v>7</v>
      </c>
      <c r="F122" s="106">
        <v>7</v>
      </c>
      <c r="G122" s="106">
        <v>7</v>
      </c>
      <c r="H122" s="106"/>
      <c r="I122" s="106">
        <v>7</v>
      </c>
      <c r="J122" s="106">
        <v>7</v>
      </c>
      <c r="K122" s="106">
        <v>7</v>
      </c>
      <c r="L122" s="106">
        <v>7</v>
      </c>
      <c r="M122" s="106">
        <v>7</v>
      </c>
      <c r="N122" s="106">
        <v>7</v>
      </c>
      <c r="O122" s="29"/>
      <c r="P122" s="106">
        <v>7</v>
      </c>
      <c r="Q122" s="106">
        <v>7</v>
      </c>
      <c r="R122" s="106">
        <v>7</v>
      </c>
      <c r="S122" s="106">
        <v>7</v>
      </c>
      <c r="T122" s="106">
        <v>7</v>
      </c>
      <c r="U122" s="106">
        <v>7</v>
      </c>
      <c r="V122" s="9"/>
      <c r="W122" s="106">
        <v>7</v>
      </c>
      <c r="X122" s="106">
        <v>7</v>
      </c>
      <c r="Y122" s="106">
        <v>7</v>
      </c>
      <c r="Z122" s="106">
        <v>7</v>
      </c>
      <c r="AA122" s="106">
        <v>7</v>
      </c>
      <c r="AB122" s="106">
        <v>7</v>
      </c>
      <c r="AC122" s="9"/>
      <c r="AD122" s="106">
        <v>7</v>
      </c>
      <c r="AE122" s="106">
        <v>7</v>
      </c>
      <c r="AF122" s="106">
        <v>7</v>
      </c>
      <c r="AG122" s="106">
        <v>7</v>
      </c>
      <c r="AH122" s="106">
        <v>7</v>
      </c>
      <c r="AI122" s="106">
        <v>7</v>
      </c>
      <c r="AJ122" s="9"/>
      <c r="AK122" s="106">
        <v>7</v>
      </c>
      <c r="AL122" s="106">
        <v>7</v>
      </c>
      <c r="AM122" s="106">
        <v>7</v>
      </c>
      <c r="AN122" s="106">
        <v>7</v>
      </c>
      <c r="AO122" s="106">
        <v>7</v>
      </c>
      <c r="AP122" s="106">
        <v>7</v>
      </c>
      <c r="AQ122" s="9"/>
      <c r="AR122" s="106">
        <v>7</v>
      </c>
      <c r="AS122" s="106">
        <v>7</v>
      </c>
      <c r="AT122" s="106">
        <v>7</v>
      </c>
      <c r="AU122" s="106">
        <v>7</v>
      </c>
      <c r="AV122" s="106">
        <v>7</v>
      </c>
      <c r="AW122" s="106">
        <v>7</v>
      </c>
      <c r="AX122" s="9"/>
    </row>
    <row r="123" spans="1:50" ht="13.05" hidden="1" customHeight="1" x14ac:dyDescent="0.25">
      <c r="A123" t="str">
        <f>Nutrients!B122</f>
        <v>Sodium phosphate, monobasic</v>
      </c>
      <c r="B123" s="106"/>
      <c r="C123" s="106"/>
      <c r="D123" s="106"/>
      <c r="E123" s="106"/>
      <c r="F123" s="106"/>
      <c r="G123" s="106"/>
      <c r="H123" s="106"/>
      <c r="I123" s="106"/>
      <c r="J123" s="106"/>
      <c r="K123" s="106"/>
      <c r="L123" s="106"/>
      <c r="M123" s="106"/>
      <c r="N123" s="106"/>
      <c r="O123" s="29"/>
      <c r="P123" s="106"/>
      <c r="Q123" s="106"/>
      <c r="R123" s="106"/>
      <c r="S123" s="106"/>
      <c r="T123" s="106"/>
      <c r="U123" s="106"/>
      <c r="V123" s="9"/>
      <c r="W123" s="106"/>
      <c r="X123" s="106"/>
      <c r="Y123" s="106"/>
      <c r="Z123" s="106"/>
      <c r="AA123" s="106"/>
      <c r="AB123" s="106"/>
      <c r="AC123" s="9"/>
      <c r="AD123" s="106"/>
      <c r="AE123" s="106"/>
      <c r="AF123" s="106"/>
      <c r="AG123" s="106"/>
      <c r="AH123" s="106"/>
      <c r="AI123" s="106"/>
      <c r="AJ123" s="9"/>
      <c r="AK123" s="106"/>
      <c r="AL123" s="106"/>
      <c r="AM123" s="106"/>
      <c r="AN123" s="106"/>
      <c r="AO123" s="106"/>
      <c r="AP123" s="106"/>
      <c r="AQ123" s="9"/>
      <c r="AR123" s="106"/>
      <c r="AS123" s="106"/>
      <c r="AT123" s="106"/>
      <c r="AU123" s="106"/>
      <c r="AV123" s="106"/>
      <c r="AW123" s="106"/>
      <c r="AX123" s="9"/>
    </row>
    <row r="124" spans="1:50" ht="13.05" hidden="1" customHeight="1" x14ac:dyDescent="0.25">
      <c r="A124" t="str">
        <f>Nutrients!B123</f>
        <v>Sodium sulfate, decahydrate</v>
      </c>
      <c r="B124" s="106"/>
      <c r="C124" s="106"/>
      <c r="D124" s="106"/>
      <c r="E124" s="106"/>
      <c r="F124" s="106"/>
      <c r="G124" s="106"/>
      <c r="H124" s="106"/>
      <c r="I124" s="106"/>
      <c r="J124" s="106"/>
      <c r="K124" s="106"/>
      <c r="L124" s="106"/>
      <c r="M124" s="106"/>
      <c r="N124" s="106"/>
      <c r="O124" s="29"/>
      <c r="P124" s="106"/>
      <c r="Q124" s="106"/>
      <c r="R124" s="106"/>
      <c r="S124" s="106"/>
      <c r="T124" s="106"/>
      <c r="U124" s="106"/>
      <c r="V124" s="9"/>
      <c r="W124" s="106"/>
      <c r="X124" s="106"/>
      <c r="Y124" s="106"/>
      <c r="Z124" s="106"/>
      <c r="AA124" s="106"/>
      <c r="AB124" s="106"/>
      <c r="AC124" s="9"/>
      <c r="AD124" s="106"/>
      <c r="AE124" s="106"/>
      <c r="AF124" s="106"/>
      <c r="AG124" s="106"/>
      <c r="AH124" s="106"/>
      <c r="AI124" s="106"/>
      <c r="AJ124" s="9"/>
      <c r="AK124" s="106"/>
      <c r="AL124" s="106"/>
      <c r="AM124" s="106"/>
      <c r="AN124" s="106"/>
      <c r="AO124" s="106"/>
      <c r="AP124" s="106"/>
      <c r="AQ124" s="9"/>
      <c r="AR124" s="106"/>
      <c r="AS124" s="106"/>
      <c r="AT124" s="106"/>
      <c r="AU124" s="106"/>
      <c r="AV124" s="106"/>
      <c r="AW124" s="106"/>
      <c r="AX124" s="9"/>
    </row>
    <row r="125" spans="1:50" x14ac:dyDescent="0.25">
      <c r="A125" t="str">
        <f>Nutrients!B124</f>
        <v>L-Lys-HCl</v>
      </c>
      <c r="B125" s="106">
        <v>6.3084820001521269</v>
      </c>
      <c r="C125" s="106">
        <v>6.2433597724335907</v>
      </c>
      <c r="D125" s="106">
        <v>6.1008877821794973</v>
      </c>
      <c r="E125" s="106">
        <v>6.0262980797710428</v>
      </c>
      <c r="F125" s="106">
        <v>5.9214818115557355</v>
      </c>
      <c r="G125" s="106">
        <v>5.7904970568511782</v>
      </c>
      <c r="H125" s="106"/>
      <c r="I125" s="106">
        <v>6.8584820001521267</v>
      </c>
      <c r="J125" s="106">
        <v>6.7933597724335906</v>
      </c>
      <c r="K125" s="106">
        <v>6.6508877821794972</v>
      </c>
      <c r="L125" s="106">
        <v>6.5762980797710426</v>
      </c>
      <c r="M125" s="106">
        <v>6.4714818115557353</v>
      </c>
      <c r="N125" s="106">
        <v>5.7904970568511782</v>
      </c>
      <c r="O125" s="106"/>
      <c r="P125" s="106">
        <v>7.4084820001521265</v>
      </c>
      <c r="Q125" s="106">
        <v>7.3433597724335904</v>
      </c>
      <c r="R125" s="106">
        <v>7.200887782179497</v>
      </c>
      <c r="S125" s="106">
        <v>7.1262980797710425</v>
      </c>
      <c r="T125" s="106">
        <v>7.0214818115557351</v>
      </c>
      <c r="U125" s="106">
        <v>5.7904970568511782</v>
      </c>
      <c r="V125" s="106"/>
      <c r="W125" s="106">
        <v>7.9584820001521264</v>
      </c>
      <c r="X125" s="106">
        <v>7.8933597724335902</v>
      </c>
      <c r="Y125" s="106">
        <v>7.7508877821794968</v>
      </c>
      <c r="Z125" s="106">
        <v>7.6762980797710423</v>
      </c>
      <c r="AA125" s="106">
        <v>7.571481811555735</v>
      </c>
      <c r="AB125" s="106">
        <v>5.7904970568511782</v>
      </c>
      <c r="AC125" s="106"/>
      <c r="AD125" s="106">
        <v>8.5084820001521262</v>
      </c>
      <c r="AE125" s="106">
        <v>8.44335977243359</v>
      </c>
      <c r="AF125" s="106">
        <v>8.3008877821794975</v>
      </c>
      <c r="AG125" s="106">
        <v>8.226298079771043</v>
      </c>
      <c r="AH125" s="106">
        <v>8.1214818115557357</v>
      </c>
      <c r="AI125" s="106">
        <v>5.7904970568511782</v>
      </c>
      <c r="AJ125" s="106"/>
      <c r="AK125" s="106">
        <v>9.0584820001521269</v>
      </c>
      <c r="AL125" s="106">
        <v>8.9933597724335907</v>
      </c>
      <c r="AM125" s="106">
        <v>8.8508877821794982</v>
      </c>
      <c r="AN125" s="106">
        <v>8.7762980797710437</v>
      </c>
      <c r="AO125" s="106">
        <v>8.6714818115557364</v>
      </c>
      <c r="AP125" s="106">
        <v>5.7904970568511782</v>
      </c>
      <c r="AQ125" s="106"/>
      <c r="AR125" s="106">
        <v>9.6084820001521276</v>
      </c>
      <c r="AS125" s="106">
        <v>9.5433597724335915</v>
      </c>
      <c r="AT125" s="106">
        <v>9.4008877821794989</v>
      </c>
      <c r="AU125" s="106">
        <v>9.3262980797710444</v>
      </c>
      <c r="AV125" s="106">
        <v>9.2214818115557371</v>
      </c>
      <c r="AW125" s="106">
        <v>5.7904970568511782</v>
      </c>
      <c r="AX125" s="9"/>
    </row>
    <row r="126" spans="1:50" x14ac:dyDescent="0.25">
      <c r="A126" t="s">
        <v>338</v>
      </c>
      <c r="B126" s="106">
        <v>2.0001072741250949</v>
      </c>
      <c r="C126" s="106">
        <v>1.4142932363875236</v>
      </c>
      <c r="D126" s="106">
        <v>0.86934747110785748</v>
      </c>
      <c r="E126" s="106">
        <v>0.597281406401727</v>
      </c>
      <c r="F126" s="106">
        <v>0.26418732884583351</v>
      </c>
      <c r="G126" s="106">
        <v>0.20625243191767928</v>
      </c>
      <c r="H126" s="106"/>
      <c r="I126" s="106">
        <v>1.8342608514165972</v>
      </c>
      <c r="J126" s="106">
        <v>1.2477804087720765</v>
      </c>
      <c r="K126" s="106">
        <v>0.70263072167985541</v>
      </c>
      <c r="L126" s="106">
        <v>0.42924533581749902</v>
      </c>
      <c r="M126" s="91">
        <v>9.6342707698536839E-2</v>
      </c>
      <c r="N126" s="106">
        <v>0.20625243191767928</v>
      </c>
      <c r="O126" s="29"/>
      <c r="P126" s="106">
        <v>1.6642608514165973</v>
      </c>
      <c r="Q126" s="106">
        <v>1.0777804087720766</v>
      </c>
      <c r="R126" s="106">
        <v>0.53263072167985537</v>
      </c>
      <c r="S126" s="106">
        <v>0.25924533581749898</v>
      </c>
      <c r="T126" s="91"/>
      <c r="U126" s="106">
        <v>0.20625243191767928</v>
      </c>
      <c r="V126" s="9"/>
      <c r="W126" s="106">
        <v>1.4942608514165974</v>
      </c>
      <c r="X126" s="106">
        <v>0.90778040877207655</v>
      </c>
      <c r="Y126" s="106">
        <v>0.36263072167985533</v>
      </c>
      <c r="Z126" s="106"/>
      <c r="AA126" s="106"/>
      <c r="AB126" s="106">
        <v>0.20625243191767928</v>
      </c>
      <c r="AC126" s="9"/>
      <c r="AD126" s="106">
        <v>1.3242608514165974</v>
      </c>
      <c r="AE126" s="106">
        <v>0.73778040877207651</v>
      </c>
      <c r="AF126" s="106"/>
      <c r="AG126" s="106"/>
      <c r="AH126" s="106"/>
      <c r="AI126" s="106">
        <v>0.20625243191767928</v>
      </c>
      <c r="AJ126" s="9"/>
      <c r="AK126" s="106">
        <v>1.1542608514165975</v>
      </c>
      <c r="AL126" s="106">
        <v>0.56778040877207647</v>
      </c>
      <c r="AM126" s="106"/>
      <c r="AN126" s="106"/>
      <c r="AO126" s="106"/>
      <c r="AP126" s="106">
        <v>0.20625243191767928</v>
      </c>
      <c r="AQ126" s="9"/>
      <c r="AR126" s="106">
        <v>0.98426085141659747</v>
      </c>
      <c r="AS126" s="106">
        <v>0.39778040877207643</v>
      </c>
      <c r="AT126" s="106"/>
      <c r="AU126" s="106"/>
      <c r="AV126" s="106"/>
      <c r="AW126" s="106">
        <v>0.20625243191767928</v>
      </c>
      <c r="AX126" s="9"/>
    </row>
    <row r="127" spans="1:50" x14ac:dyDescent="0.25">
      <c r="A127" t="s">
        <v>339</v>
      </c>
      <c r="B127" s="106">
        <v>2.1021642542029664</v>
      </c>
      <c r="C127" s="106">
        <v>1.8931061779303802</v>
      </c>
      <c r="D127" s="106">
        <v>1.6694885978130205</v>
      </c>
      <c r="E127" s="106">
        <v>1.6715266713984547</v>
      </c>
      <c r="F127" s="106">
        <v>1.5185483019032111</v>
      </c>
      <c r="G127" s="106">
        <v>1.5481920365803807</v>
      </c>
      <c r="H127" s="106"/>
      <c r="I127" s="106">
        <v>2.0421642542029663</v>
      </c>
      <c r="J127" s="106">
        <v>1.8331061779303801</v>
      </c>
      <c r="K127" s="106">
        <v>1.6094885978130204</v>
      </c>
      <c r="L127" s="106">
        <v>1.6115266713984546</v>
      </c>
      <c r="M127" s="106">
        <v>1.4585483019032111</v>
      </c>
      <c r="N127" s="106">
        <v>1.5481920365803807</v>
      </c>
      <c r="O127" s="29"/>
      <c r="P127" s="106">
        <v>1.9821642542029663</v>
      </c>
      <c r="Q127" s="106">
        <v>1.7731061779303801</v>
      </c>
      <c r="R127" s="106">
        <v>1.5494885978130204</v>
      </c>
      <c r="S127" s="106">
        <v>1.5515266713984546</v>
      </c>
      <c r="T127" s="106">
        <v>1.398548301903211</v>
      </c>
      <c r="U127" s="106">
        <v>1.5481920365803807</v>
      </c>
      <c r="V127" s="9"/>
      <c r="W127" s="106">
        <v>1.9221642542029662</v>
      </c>
      <c r="X127" s="106">
        <v>1.71310617793038</v>
      </c>
      <c r="Y127" s="106">
        <v>1.4894885978130203</v>
      </c>
      <c r="Z127" s="106">
        <v>1.4915266713984545</v>
      </c>
      <c r="AA127" s="106">
        <v>1.3385483019032109</v>
      </c>
      <c r="AB127" s="106">
        <v>1.5481920365803807</v>
      </c>
      <c r="AC127" s="9"/>
      <c r="AD127" s="106">
        <v>1.8621642542029662</v>
      </c>
      <c r="AE127" s="106">
        <v>1.6531061779303799</v>
      </c>
      <c r="AF127" s="106">
        <v>1.4294885978130203</v>
      </c>
      <c r="AG127" s="106">
        <v>1.4315266713984545</v>
      </c>
      <c r="AH127" s="106">
        <v>1.2785483019032109</v>
      </c>
      <c r="AI127" s="106">
        <v>1.5481920365803807</v>
      </c>
      <c r="AJ127" s="9"/>
      <c r="AK127" s="106">
        <v>1.8021642542029661</v>
      </c>
      <c r="AL127" s="106">
        <v>1.5931061779303799</v>
      </c>
      <c r="AM127" s="106">
        <v>1.3694885978130202</v>
      </c>
      <c r="AN127" s="106">
        <v>1.3715266713984544</v>
      </c>
      <c r="AO127" s="106">
        <v>1.2185483019032108</v>
      </c>
      <c r="AP127" s="106">
        <v>1.5481920365803807</v>
      </c>
      <c r="AQ127" s="9"/>
      <c r="AR127" s="106">
        <v>1.7421642542029661</v>
      </c>
      <c r="AS127" s="106">
        <v>1.5331061779303798</v>
      </c>
      <c r="AT127" s="106">
        <v>1.3094885978130202</v>
      </c>
      <c r="AU127" s="106">
        <v>1.3115266713984544</v>
      </c>
      <c r="AV127" s="106">
        <v>1.1585483019032108</v>
      </c>
      <c r="AW127" s="106">
        <v>1.5481920365803807</v>
      </c>
      <c r="AX127" s="9"/>
    </row>
    <row r="128" spans="1:50" x14ac:dyDescent="0.25">
      <c r="A128" t="s">
        <v>340</v>
      </c>
      <c r="B128" s="106">
        <v>0.1583874364560095</v>
      </c>
      <c r="C128" s="106">
        <v>0.24609320131494719</v>
      </c>
      <c r="D128" s="106">
        <v>0.31506093551644743</v>
      </c>
      <c r="E128" s="106">
        <v>0.36796670907097156</v>
      </c>
      <c r="F128" s="106">
        <v>0.39910643007729607</v>
      </c>
      <c r="G128" s="106">
        <v>0.40312635660152313</v>
      </c>
      <c r="H128" s="106"/>
      <c r="I128" s="106">
        <v>0.23838743645600952</v>
      </c>
      <c r="J128" s="106">
        <v>0.32609320131494718</v>
      </c>
      <c r="K128" s="106">
        <v>0.39506093551644744</v>
      </c>
      <c r="L128" s="106">
        <v>0.44796670907097158</v>
      </c>
      <c r="M128" s="106">
        <v>0.47910643007729609</v>
      </c>
      <c r="N128" s="106">
        <v>0.40312635660152313</v>
      </c>
      <c r="O128" s="29"/>
      <c r="P128" s="106">
        <v>0.32838743645600954</v>
      </c>
      <c r="Q128" s="106">
        <v>0.4160932013149472</v>
      </c>
      <c r="R128" s="106">
        <v>0.48506093551644747</v>
      </c>
      <c r="S128" s="106">
        <v>0.53796670907097155</v>
      </c>
      <c r="T128" s="106">
        <v>0.56910643007729611</v>
      </c>
      <c r="U128" s="106">
        <v>0.40312635660152313</v>
      </c>
      <c r="V128" s="9"/>
      <c r="W128" s="106">
        <v>0.41838743645600951</v>
      </c>
      <c r="X128" s="106">
        <v>0.50609320131494717</v>
      </c>
      <c r="Y128" s="106">
        <v>0.57506093551644744</v>
      </c>
      <c r="Z128" s="106">
        <v>0.62796670907097152</v>
      </c>
      <c r="AA128" s="106">
        <v>0.65910643007729608</v>
      </c>
      <c r="AB128" s="106">
        <v>0.40312635660152313</v>
      </c>
      <c r="AC128" s="9"/>
      <c r="AD128" s="106">
        <v>0.50838743645600948</v>
      </c>
      <c r="AE128" s="106">
        <v>0.59609320131494714</v>
      </c>
      <c r="AF128" s="106">
        <v>0.65271795811769306</v>
      </c>
      <c r="AG128" s="106">
        <v>0.71796670907097149</v>
      </c>
      <c r="AH128" s="106">
        <v>0.74070235612654567</v>
      </c>
      <c r="AI128" s="106">
        <v>0.40312635660152313</v>
      </c>
      <c r="AJ128" s="9"/>
      <c r="AK128" s="106">
        <v>0.59838743645600945</v>
      </c>
      <c r="AL128" s="106">
        <v>0.68609320131494711</v>
      </c>
      <c r="AM128" s="106">
        <v>0.74271795811769303</v>
      </c>
      <c r="AN128" s="106">
        <v>0.79625311888019668</v>
      </c>
      <c r="AO128" s="106">
        <v>0.80749494125874588</v>
      </c>
      <c r="AP128" s="106">
        <v>0.40312635660152313</v>
      </c>
      <c r="AQ128" s="9"/>
      <c r="AR128" s="106">
        <v>0.64807703060165656</v>
      </c>
      <c r="AS128" s="106">
        <v>0.73578426469247626</v>
      </c>
      <c r="AT128" s="106">
        <v>0.79816076548794745</v>
      </c>
      <c r="AU128" s="106">
        <v>0.85792357544318287</v>
      </c>
      <c r="AV128" s="106">
        <v>0.91221840666227716</v>
      </c>
      <c r="AW128" s="106">
        <v>0.40312635660152313</v>
      </c>
      <c r="AX128" s="9"/>
    </row>
    <row r="129" spans="1:50" x14ac:dyDescent="0.25">
      <c r="A129" t="str">
        <f>Nutrients!B128</f>
        <v>L-Val</v>
      </c>
      <c r="B129" s="106"/>
      <c r="C129" s="106"/>
      <c r="D129" s="106"/>
      <c r="E129" s="106"/>
      <c r="F129" s="106"/>
      <c r="G129" s="106"/>
      <c r="H129" s="106"/>
      <c r="I129" s="106"/>
      <c r="J129" s="106"/>
      <c r="K129" s="106"/>
      <c r="L129" s="106"/>
      <c r="M129" s="106"/>
      <c r="N129" s="106"/>
      <c r="O129" s="29"/>
      <c r="P129" s="106"/>
      <c r="Q129" s="106"/>
      <c r="R129" s="106"/>
      <c r="S129" s="106"/>
      <c r="T129" s="106"/>
      <c r="U129" s="106"/>
      <c r="V129" s="9"/>
      <c r="W129" s="106"/>
      <c r="X129" s="106"/>
      <c r="Y129" s="106"/>
      <c r="Z129" s="106"/>
      <c r="AA129" s="106"/>
      <c r="AB129" s="106"/>
      <c r="AC129" s="9"/>
      <c r="AD129" s="106"/>
      <c r="AE129" s="106"/>
      <c r="AF129" s="106"/>
      <c r="AG129" s="106"/>
      <c r="AH129" s="106"/>
      <c r="AI129" s="106"/>
      <c r="AJ129" s="9"/>
      <c r="AK129" s="106"/>
      <c r="AL129" s="106"/>
      <c r="AM129" s="106"/>
      <c r="AN129" s="106"/>
      <c r="AO129" s="106"/>
      <c r="AP129" s="106"/>
      <c r="AQ129" s="9"/>
      <c r="AR129" s="106"/>
      <c r="AS129" s="106"/>
      <c r="AT129" s="106"/>
      <c r="AU129" s="106"/>
      <c r="AV129" s="106"/>
      <c r="AW129" s="106"/>
      <c r="AX129" s="9"/>
    </row>
    <row r="130" spans="1:50" ht="13.05" hidden="1" customHeight="1" x14ac:dyDescent="0.25">
      <c r="A130" t="str">
        <f>Nutrients!B129</f>
        <v>L-Ile</v>
      </c>
      <c r="B130" s="106"/>
      <c r="C130" s="106"/>
      <c r="D130" s="106"/>
      <c r="E130" s="106"/>
      <c r="F130" s="106"/>
      <c r="G130" s="106"/>
      <c r="H130" s="106"/>
      <c r="I130" s="106"/>
      <c r="J130" s="106"/>
      <c r="K130" s="106"/>
      <c r="L130" s="106"/>
      <c r="M130" s="106"/>
      <c r="N130" s="106"/>
      <c r="O130" s="29"/>
      <c r="P130" s="106"/>
      <c r="Q130" s="106"/>
      <c r="R130" s="106"/>
      <c r="S130" s="106"/>
      <c r="T130" s="106"/>
      <c r="U130" s="106"/>
      <c r="V130" s="9"/>
      <c r="W130" s="106"/>
      <c r="X130" s="106"/>
      <c r="Y130" s="106"/>
      <c r="Z130" s="106"/>
      <c r="AA130" s="106"/>
      <c r="AB130" s="106"/>
      <c r="AC130" s="9"/>
      <c r="AD130" s="106"/>
      <c r="AE130" s="106"/>
      <c r="AF130" s="106"/>
      <c r="AG130" s="106"/>
      <c r="AH130" s="106"/>
      <c r="AI130" s="106"/>
      <c r="AJ130" s="9"/>
      <c r="AK130" s="106"/>
      <c r="AL130" s="106"/>
      <c r="AM130" s="106"/>
      <c r="AN130" s="106"/>
      <c r="AO130" s="106"/>
      <c r="AP130" s="106"/>
      <c r="AQ130" s="9"/>
      <c r="AR130" s="106"/>
      <c r="AS130" s="106"/>
      <c r="AT130" s="106"/>
      <c r="AU130" s="106"/>
      <c r="AV130" s="106"/>
      <c r="AW130" s="106"/>
      <c r="AX130" s="9"/>
    </row>
    <row r="131" spans="1:50" ht="13.05" hidden="1" customHeight="1" x14ac:dyDescent="0.25">
      <c r="A131" t="str">
        <f>Nutrients!B130</f>
        <v>Methionine hydroxy analog</v>
      </c>
      <c r="B131" s="106"/>
      <c r="C131" s="106"/>
      <c r="D131" s="106"/>
      <c r="E131" s="106"/>
      <c r="F131" s="106"/>
      <c r="G131" s="106"/>
      <c r="H131" s="106"/>
      <c r="I131" s="106"/>
      <c r="J131" s="106"/>
      <c r="K131" s="106"/>
      <c r="L131" s="106"/>
      <c r="M131" s="106"/>
      <c r="N131" s="106"/>
      <c r="O131" s="29"/>
      <c r="P131" s="106"/>
      <c r="Q131" s="106"/>
      <c r="R131" s="106"/>
      <c r="S131" s="106"/>
      <c r="T131" s="106"/>
      <c r="U131" s="106"/>
      <c r="V131" s="9"/>
      <c r="W131" s="106"/>
      <c r="X131" s="106"/>
      <c r="Y131" s="106"/>
      <c r="Z131" s="106"/>
      <c r="AA131" s="106"/>
      <c r="AB131" s="106"/>
      <c r="AC131" s="9"/>
      <c r="AD131" s="106"/>
      <c r="AE131" s="106"/>
      <c r="AF131" s="106"/>
      <c r="AG131" s="106"/>
      <c r="AH131" s="106"/>
      <c r="AI131" s="106"/>
      <c r="AJ131" s="9"/>
      <c r="AK131" s="106"/>
      <c r="AL131" s="106"/>
      <c r="AM131" s="106"/>
      <c r="AN131" s="106"/>
      <c r="AO131" s="106"/>
      <c r="AP131" s="106"/>
      <c r="AQ131" s="9"/>
      <c r="AR131" s="106"/>
      <c r="AS131" s="106"/>
      <c r="AT131" s="106"/>
      <c r="AU131" s="106"/>
      <c r="AV131" s="106"/>
      <c r="AW131" s="106"/>
      <c r="AX131" s="9"/>
    </row>
    <row r="132" spans="1:50" ht="13.05" hidden="1" customHeight="1" x14ac:dyDescent="0.25">
      <c r="A132" t="str">
        <f>Nutrients!B131</f>
        <v>Glutamine</v>
      </c>
      <c r="B132" s="106"/>
      <c r="C132" s="106"/>
      <c r="D132" s="106"/>
      <c r="E132" s="106"/>
      <c r="F132" s="106"/>
      <c r="G132" s="106"/>
      <c r="H132" s="106"/>
      <c r="I132" s="106"/>
      <c r="J132" s="106"/>
      <c r="K132" s="106"/>
      <c r="L132" s="106"/>
      <c r="M132" s="106"/>
      <c r="N132" s="106"/>
      <c r="O132" s="29"/>
      <c r="P132" s="106"/>
      <c r="Q132" s="106"/>
      <c r="R132" s="106"/>
      <c r="S132" s="106"/>
      <c r="T132" s="106"/>
      <c r="U132" s="106"/>
      <c r="V132" s="9"/>
      <c r="W132" s="106"/>
      <c r="X132" s="106"/>
      <c r="Y132" s="106"/>
      <c r="Z132" s="106"/>
      <c r="AA132" s="106"/>
      <c r="AB132" s="106"/>
      <c r="AC132" s="9"/>
      <c r="AD132" s="106"/>
      <c r="AE132" s="106"/>
      <c r="AF132" s="106"/>
      <c r="AG132" s="106"/>
      <c r="AH132" s="106"/>
      <c r="AI132" s="106"/>
      <c r="AJ132" s="9"/>
      <c r="AK132" s="106"/>
      <c r="AL132" s="106"/>
      <c r="AM132" s="106"/>
      <c r="AN132" s="106"/>
      <c r="AO132" s="106"/>
      <c r="AP132" s="106"/>
      <c r="AQ132" s="9"/>
      <c r="AR132" s="106"/>
      <c r="AS132" s="106"/>
      <c r="AT132" s="106"/>
      <c r="AU132" s="106"/>
      <c r="AV132" s="106"/>
      <c r="AW132" s="106"/>
      <c r="AX132" s="9"/>
    </row>
    <row r="133" spans="1:50" ht="13.05" hidden="1" customHeight="1" x14ac:dyDescent="0.25">
      <c r="A133" t="str">
        <f>Nutrients!B132</f>
        <v>Glutamic acid</v>
      </c>
      <c r="B133" s="106"/>
      <c r="C133" s="106"/>
      <c r="D133" s="106"/>
      <c r="E133" s="106"/>
      <c r="F133" s="106"/>
      <c r="G133" s="106"/>
      <c r="H133" s="106"/>
      <c r="I133" s="106"/>
      <c r="J133" s="106"/>
      <c r="K133" s="106"/>
      <c r="L133" s="106"/>
      <c r="M133" s="106"/>
      <c r="N133" s="106"/>
      <c r="O133" s="29"/>
      <c r="P133" s="106"/>
      <c r="Q133" s="106"/>
      <c r="R133" s="106"/>
      <c r="S133" s="106"/>
      <c r="T133" s="106"/>
      <c r="U133" s="106"/>
      <c r="V133" s="9"/>
      <c r="W133" s="106"/>
      <c r="X133" s="106"/>
      <c r="Y133" s="106"/>
      <c r="Z133" s="106"/>
      <c r="AA133" s="106"/>
      <c r="AB133" s="106"/>
      <c r="AC133" s="9"/>
      <c r="AD133" s="106"/>
      <c r="AE133" s="106"/>
      <c r="AF133" s="106"/>
      <c r="AG133" s="106"/>
      <c r="AH133" s="106"/>
      <c r="AI133" s="106"/>
      <c r="AJ133" s="9"/>
      <c r="AK133" s="106"/>
      <c r="AL133" s="106"/>
      <c r="AM133" s="106"/>
      <c r="AN133" s="106"/>
      <c r="AO133" s="106"/>
      <c r="AP133" s="106"/>
      <c r="AQ133" s="9"/>
      <c r="AR133" s="106"/>
      <c r="AS133" s="106"/>
      <c r="AT133" s="106"/>
      <c r="AU133" s="106"/>
      <c r="AV133" s="106"/>
      <c r="AW133" s="106"/>
      <c r="AX133" s="9"/>
    </row>
    <row r="134" spans="1:50" ht="13.05" hidden="1" customHeight="1" x14ac:dyDescent="0.25">
      <c r="A134" t="str">
        <f>Nutrients!B133</f>
        <v>Biolys</v>
      </c>
      <c r="B134" s="106"/>
      <c r="C134" s="106"/>
      <c r="D134" s="106"/>
      <c r="E134" s="106"/>
      <c r="F134" s="106"/>
      <c r="G134" s="106"/>
      <c r="H134" s="106"/>
      <c r="I134" s="106"/>
      <c r="J134" s="106"/>
      <c r="K134" s="106"/>
      <c r="L134" s="106"/>
      <c r="M134" s="106"/>
      <c r="N134" s="106"/>
      <c r="O134" s="29"/>
      <c r="P134" s="106"/>
      <c r="Q134" s="106"/>
      <c r="R134" s="106"/>
      <c r="S134" s="106"/>
      <c r="T134" s="106"/>
      <c r="U134" s="106"/>
      <c r="V134" s="9"/>
      <c r="W134" s="106"/>
      <c r="X134" s="106"/>
      <c r="Y134" s="106"/>
      <c r="Z134" s="106"/>
      <c r="AA134" s="106"/>
      <c r="AB134" s="106"/>
      <c r="AC134" s="9"/>
      <c r="AD134" s="106"/>
      <c r="AE134" s="106"/>
      <c r="AF134" s="106"/>
      <c r="AG134" s="106"/>
      <c r="AH134" s="106"/>
      <c r="AI134" s="106"/>
      <c r="AJ134" s="9"/>
      <c r="AK134" s="106"/>
      <c r="AL134" s="106"/>
      <c r="AM134" s="106"/>
      <c r="AN134" s="106"/>
      <c r="AO134" s="106"/>
      <c r="AP134" s="106"/>
      <c r="AQ134" s="9"/>
      <c r="AR134" s="106"/>
      <c r="AS134" s="106"/>
      <c r="AT134" s="106"/>
      <c r="AU134" s="106"/>
      <c r="AV134" s="106"/>
      <c r="AW134" s="106"/>
      <c r="AX134" s="9"/>
    </row>
    <row r="135" spans="1:50" ht="13.05" hidden="1" customHeight="1" x14ac:dyDescent="0.25">
      <c r="A135" t="str">
        <f>Nutrients!B134</f>
        <v>Liquid lysine 60%</v>
      </c>
      <c r="B135" s="106"/>
      <c r="C135" s="106"/>
      <c r="D135" s="106"/>
      <c r="E135" s="106"/>
      <c r="F135" s="106"/>
      <c r="G135" s="106"/>
      <c r="H135" s="106"/>
      <c r="I135" s="106"/>
      <c r="J135" s="106"/>
      <c r="K135" s="106"/>
      <c r="L135" s="106"/>
      <c r="M135" s="106"/>
      <c r="N135" s="106"/>
      <c r="O135" s="29"/>
      <c r="P135" s="106"/>
      <c r="Q135" s="106"/>
      <c r="R135" s="106"/>
      <c r="S135" s="106"/>
      <c r="T135" s="106"/>
      <c r="U135" s="106"/>
      <c r="V135" s="9"/>
      <c r="W135" s="106"/>
      <c r="X135" s="106"/>
      <c r="Y135" s="106"/>
      <c r="Z135" s="106"/>
      <c r="AA135" s="106"/>
      <c r="AB135" s="106"/>
      <c r="AC135" s="9"/>
      <c r="AD135" s="106"/>
      <c r="AE135" s="106"/>
      <c r="AF135" s="106"/>
      <c r="AG135" s="106"/>
      <c r="AH135" s="106"/>
      <c r="AI135" s="106"/>
      <c r="AJ135" s="9"/>
      <c r="AK135" s="106"/>
      <c r="AL135" s="106"/>
      <c r="AM135" s="106"/>
      <c r="AN135" s="106"/>
      <c r="AO135" s="106"/>
      <c r="AP135" s="106"/>
      <c r="AQ135" s="9"/>
      <c r="AR135" s="106"/>
      <c r="AS135" s="106"/>
      <c r="AT135" s="106"/>
      <c r="AU135" s="106"/>
      <c r="AV135" s="106"/>
      <c r="AW135" s="106"/>
      <c r="AX135" s="9"/>
    </row>
    <row r="136" spans="1:50" ht="13.05" hidden="1" customHeight="1" x14ac:dyDescent="0.25">
      <c r="A136" t="str">
        <f>Nutrients!B135</f>
        <v>MHA dry</v>
      </c>
      <c r="B136" s="106"/>
      <c r="C136" s="106"/>
      <c r="D136" s="106"/>
      <c r="E136" s="106"/>
      <c r="F136" s="106"/>
      <c r="G136" s="106"/>
      <c r="H136" s="106"/>
      <c r="I136" s="106"/>
      <c r="J136" s="106"/>
      <c r="K136" s="106"/>
      <c r="L136" s="106"/>
      <c r="M136" s="106"/>
      <c r="N136" s="106"/>
      <c r="O136" s="29"/>
      <c r="P136" s="106"/>
      <c r="Q136" s="106"/>
      <c r="R136" s="106"/>
      <c r="S136" s="106"/>
      <c r="T136" s="106"/>
      <c r="U136" s="106"/>
      <c r="V136" s="9"/>
      <c r="W136" s="106"/>
      <c r="X136" s="106"/>
      <c r="Y136" s="106"/>
      <c r="Z136" s="106"/>
      <c r="AA136" s="106"/>
      <c r="AB136" s="106"/>
      <c r="AC136" s="9"/>
      <c r="AD136" s="106"/>
      <c r="AE136" s="106"/>
      <c r="AF136" s="106"/>
      <c r="AG136" s="106"/>
      <c r="AH136" s="106"/>
      <c r="AI136" s="106"/>
      <c r="AJ136" s="9"/>
      <c r="AK136" s="106"/>
      <c r="AL136" s="106"/>
      <c r="AM136" s="106"/>
      <c r="AN136" s="106"/>
      <c r="AO136" s="106"/>
      <c r="AP136" s="106"/>
      <c r="AQ136" s="9"/>
      <c r="AR136" s="106"/>
      <c r="AS136" s="106"/>
      <c r="AT136" s="106"/>
      <c r="AU136" s="106"/>
      <c r="AV136" s="106"/>
      <c r="AW136" s="106"/>
      <c r="AX136" s="9"/>
    </row>
    <row r="137" spans="1:50" ht="13.05" hidden="1" customHeight="1" x14ac:dyDescent="0.25">
      <c r="A137" t="str">
        <f>Nutrients!B136</f>
        <v>Paylean, 9 g/lb</v>
      </c>
      <c r="B137" s="106"/>
      <c r="C137" s="106"/>
      <c r="D137" s="106"/>
      <c r="E137" s="106"/>
      <c r="F137" s="106"/>
      <c r="G137" s="106"/>
      <c r="H137" s="106"/>
      <c r="I137" s="106"/>
      <c r="J137" s="106"/>
      <c r="K137" s="106"/>
      <c r="L137" s="106"/>
      <c r="M137" s="106"/>
      <c r="N137" s="106"/>
      <c r="O137" s="29"/>
      <c r="P137" s="106"/>
      <c r="Q137" s="106"/>
      <c r="R137" s="106"/>
      <c r="S137" s="106"/>
      <c r="T137" s="106"/>
      <c r="U137" s="106"/>
      <c r="V137" s="9"/>
      <c r="W137" s="106"/>
      <c r="X137" s="106"/>
      <c r="Y137" s="106"/>
      <c r="Z137" s="106"/>
      <c r="AA137" s="106"/>
      <c r="AB137" s="106"/>
      <c r="AC137" s="9"/>
      <c r="AD137" s="106"/>
      <c r="AE137" s="106"/>
      <c r="AF137" s="106"/>
      <c r="AG137" s="106"/>
      <c r="AH137" s="106"/>
      <c r="AI137" s="106"/>
      <c r="AJ137" s="9"/>
      <c r="AK137" s="106"/>
      <c r="AL137" s="106"/>
      <c r="AM137" s="106"/>
      <c r="AN137" s="106"/>
      <c r="AO137" s="106"/>
      <c r="AP137" s="106"/>
      <c r="AQ137" s="9"/>
      <c r="AR137" s="106"/>
      <c r="AS137" s="106"/>
      <c r="AT137" s="106"/>
      <c r="AU137" s="106"/>
      <c r="AV137" s="106"/>
      <c r="AW137" s="106"/>
      <c r="AX137" s="9"/>
    </row>
    <row r="138" spans="1:50" ht="13.05" hidden="1" customHeight="1" x14ac:dyDescent="0.25">
      <c r="A138" t="str">
        <f>Nutrients!B137</f>
        <v>Tribasic copper chloride</v>
      </c>
      <c r="B138" s="106"/>
      <c r="C138" s="106"/>
      <c r="D138" s="106"/>
      <c r="E138" s="106"/>
      <c r="F138" s="106"/>
      <c r="G138" s="106"/>
      <c r="H138" s="106"/>
      <c r="I138" s="106"/>
      <c r="J138" s="106"/>
      <c r="K138" s="106"/>
      <c r="L138" s="106"/>
      <c r="M138" s="106"/>
      <c r="N138" s="106"/>
      <c r="O138" s="29"/>
      <c r="P138" s="106"/>
      <c r="Q138" s="106"/>
      <c r="R138" s="106"/>
      <c r="S138" s="106"/>
      <c r="T138" s="106"/>
      <c r="U138" s="106"/>
      <c r="V138" s="9"/>
      <c r="W138" s="106"/>
      <c r="X138" s="106"/>
      <c r="Y138" s="106"/>
      <c r="Z138" s="106"/>
      <c r="AA138" s="106"/>
      <c r="AB138" s="106"/>
      <c r="AC138" s="9"/>
      <c r="AD138" s="106"/>
      <c r="AE138" s="106"/>
      <c r="AF138" s="106"/>
      <c r="AG138" s="106"/>
      <c r="AH138" s="106"/>
      <c r="AI138" s="106"/>
      <c r="AJ138" s="9"/>
      <c r="AK138" s="106"/>
      <c r="AL138" s="106"/>
      <c r="AM138" s="106"/>
      <c r="AN138" s="106"/>
      <c r="AO138" s="106"/>
      <c r="AP138" s="106"/>
      <c r="AQ138" s="9"/>
      <c r="AR138" s="106"/>
      <c r="AS138" s="106"/>
      <c r="AT138" s="106"/>
      <c r="AU138" s="106"/>
      <c r="AV138" s="106"/>
      <c r="AW138" s="106"/>
      <c r="AX138" s="9"/>
    </row>
    <row r="139" spans="1:50" ht="13.05" hidden="1" customHeight="1" x14ac:dyDescent="0.25">
      <c r="A139" t="str">
        <f>Nutrients!B138</f>
        <v>2018 Starter base mix</v>
      </c>
      <c r="B139" s="106"/>
      <c r="C139" s="106"/>
      <c r="D139" s="106"/>
      <c r="E139" s="106"/>
      <c r="F139" s="106"/>
      <c r="G139" s="106"/>
      <c r="H139" s="106"/>
      <c r="I139" s="106"/>
      <c r="J139" s="106"/>
      <c r="K139" s="106"/>
      <c r="L139" s="106"/>
      <c r="M139" s="106"/>
      <c r="N139" s="106"/>
      <c r="O139" s="29"/>
      <c r="P139" s="106"/>
      <c r="Q139" s="106"/>
      <c r="R139" s="106"/>
      <c r="S139" s="106"/>
      <c r="T139" s="106"/>
      <c r="U139" s="106"/>
      <c r="V139" s="9"/>
      <c r="W139" s="106"/>
      <c r="X139" s="106"/>
      <c r="Y139" s="106"/>
      <c r="Z139" s="106"/>
      <c r="AA139" s="106"/>
      <c r="AB139" s="106"/>
      <c r="AC139" s="9"/>
      <c r="AD139" s="106"/>
      <c r="AE139" s="106"/>
      <c r="AF139" s="106"/>
      <c r="AG139" s="106"/>
      <c r="AH139" s="106"/>
      <c r="AI139" s="106"/>
      <c r="AJ139" s="9"/>
      <c r="AK139" s="106"/>
      <c r="AL139" s="106"/>
      <c r="AM139" s="106"/>
      <c r="AN139" s="106"/>
      <c r="AO139" s="106"/>
      <c r="AP139" s="106"/>
      <c r="AQ139" s="9"/>
      <c r="AR139" s="106"/>
      <c r="AS139" s="106"/>
      <c r="AT139" s="106"/>
      <c r="AU139" s="106"/>
      <c r="AV139" s="106"/>
      <c r="AW139" s="106"/>
      <c r="AX139" s="9"/>
    </row>
    <row r="140" spans="1:50" ht="13.05" hidden="1" customHeight="1" x14ac:dyDescent="0.25">
      <c r="A140" t="str">
        <f>Nutrients!B139</f>
        <v>2018 Grow-finish base mix</v>
      </c>
      <c r="B140" s="106"/>
      <c r="C140" s="106"/>
      <c r="D140" s="106"/>
      <c r="E140" s="106"/>
      <c r="F140" s="106"/>
      <c r="G140" s="106"/>
      <c r="H140" s="106"/>
      <c r="I140" s="106"/>
      <c r="J140" s="106"/>
      <c r="K140" s="106"/>
      <c r="L140" s="106"/>
      <c r="M140" s="106"/>
      <c r="N140" s="106"/>
      <c r="O140" s="29"/>
      <c r="P140" s="106"/>
      <c r="Q140" s="106"/>
      <c r="R140" s="106"/>
      <c r="S140" s="106"/>
      <c r="T140" s="106"/>
      <c r="U140" s="106"/>
      <c r="V140" s="9"/>
      <c r="W140" s="106"/>
      <c r="X140" s="106"/>
      <c r="Y140" s="106"/>
      <c r="Z140" s="106"/>
      <c r="AA140" s="106"/>
      <c r="AB140" s="106"/>
      <c r="AC140" s="9"/>
      <c r="AD140" s="106"/>
      <c r="AE140" s="106"/>
      <c r="AF140" s="106"/>
      <c r="AG140" s="106"/>
      <c r="AH140" s="106"/>
      <c r="AI140" s="106"/>
      <c r="AJ140" s="9"/>
      <c r="AK140" s="106"/>
      <c r="AL140" s="106"/>
      <c r="AM140" s="106"/>
      <c r="AN140" s="106"/>
      <c r="AO140" s="106"/>
      <c r="AP140" s="106"/>
      <c r="AQ140" s="9"/>
      <c r="AR140" s="106"/>
      <c r="AS140" s="106"/>
      <c r="AT140" s="106"/>
      <c r="AU140" s="106"/>
      <c r="AV140" s="106"/>
      <c r="AW140" s="106"/>
      <c r="AX140" s="9"/>
    </row>
    <row r="141" spans="1:50" ht="13.05" hidden="1" customHeight="1" x14ac:dyDescent="0.25">
      <c r="A141" t="str">
        <f>Nutrients!B140</f>
        <v>Developer base mix</v>
      </c>
      <c r="B141" s="106"/>
      <c r="C141" s="106"/>
      <c r="D141" s="106"/>
      <c r="E141" s="106"/>
      <c r="F141" s="106"/>
      <c r="G141" s="106"/>
      <c r="H141" s="106"/>
      <c r="I141" s="106"/>
      <c r="J141" s="106"/>
      <c r="K141" s="106"/>
      <c r="L141" s="106"/>
      <c r="M141" s="106"/>
      <c r="N141" s="106"/>
      <c r="O141" s="29"/>
      <c r="P141" s="106"/>
      <c r="Q141" s="106"/>
      <c r="R141" s="106"/>
      <c r="S141" s="106"/>
      <c r="T141" s="106"/>
      <c r="U141" s="106"/>
      <c r="V141" s="9"/>
      <c r="W141" s="106"/>
      <c r="X141" s="106"/>
      <c r="Y141" s="106"/>
      <c r="Z141" s="106"/>
      <c r="AA141" s="106"/>
      <c r="AB141" s="106"/>
      <c r="AC141" s="9"/>
      <c r="AD141" s="106"/>
      <c r="AE141" s="106"/>
      <c r="AF141" s="106"/>
      <c r="AG141" s="106"/>
      <c r="AH141" s="106"/>
      <c r="AI141" s="106"/>
      <c r="AJ141" s="9"/>
      <c r="AK141" s="106"/>
      <c r="AL141" s="106"/>
      <c r="AM141" s="106"/>
      <c r="AN141" s="106"/>
      <c r="AO141" s="106"/>
      <c r="AP141" s="106"/>
      <c r="AQ141" s="9"/>
      <c r="AR141" s="106"/>
      <c r="AS141" s="106"/>
      <c r="AT141" s="106"/>
      <c r="AU141" s="106"/>
      <c r="AV141" s="106"/>
      <c r="AW141" s="106"/>
      <c r="AX141" s="9"/>
    </row>
    <row r="142" spans="1:50" ht="13.05" hidden="1" customHeight="1" x14ac:dyDescent="0.25">
      <c r="A142" t="str">
        <f>Nutrients!B141</f>
        <v>2018 Sow base mix</v>
      </c>
      <c r="B142" s="106"/>
      <c r="C142" s="106"/>
      <c r="D142" s="106"/>
      <c r="E142" s="106"/>
      <c r="F142" s="106"/>
      <c r="G142" s="106"/>
      <c r="H142" s="106"/>
      <c r="I142" s="106"/>
      <c r="J142" s="106"/>
      <c r="K142" s="106"/>
      <c r="L142" s="106"/>
      <c r="M142" s="106"/>
      <c r="N142" s="106"/>
      <c r="O142" s="29"/>
      <c r="P142" s="106"/>
      <c r="Q142" s="106"/>
      <c r="R142" s="106"/>
      <c r="S142" s="106"/>
      <c r="T142" s="106"/>
      <c r="U142" s="106"/>
      <c r="V142" s="9"/>
      <c r="W142" s="106"/>
      <c r="X142" s="106"/>
      <c r="Y142" s="106"/>
      <c r="Z142" s="106"/>
      <c r="AA142" s="106"/>
      <c r="AB142" s="106"/>
      <c r="AC142" s="9"/>
      <c r="AD142" s="106"/>
      <c r="AE142" s="106"/>
      <c r="AF142" s="106"/>
      <c r="AG142" s="106"/>
      <c r="AH142" s="106"/>
      <c r="AI142" s="106"/>
      <c r="AJ142" s="9"/>
      <c r="AK142" s="106"/>
      <c r="AL142" s="106"/>
      <c r="AM142" s="106"/>
      <c r="AN142" s="106"/>
      <c r="AO142" s="106"/>
      <c r="AP142" s="106"/>
      <c r="AQ142" s="9"/>
      <c r="AR142" s="106"/>
      <c r="AS142" s="106"/>
      <c r="AT142" s="106"/>
      <c r="AU142" s="106"/>
      <c r="AV142" s="106"/>
      <c r="AW142" s="106"/>
      <c r="AX142" s="9"/>
    </row>
    <row r="143" spans="1:50" hidden="1" x14ac:dyDescent="0.25">
      <c r="A143" t="str">
        <f>Nutrients!B142</f>
        <v>Vitamin premix with phytase</v>
      </c>
      <c r="B143" s="106"/>
      <c r="C143" s="106"/>
      <c r="D143" s="106"/>
      <c r="E143" s="106"/>
      <c r="F143" s="106"/>
      <c r="G143" s="106"/>
      <c r="H143" s="106"/>
      <c r="I143" s="106"/>
      <c r="J143" s="106"/>
      <c r="K143" s="106"/>
      <c r="L143" s="106"/>
      <c r="M143" s="106"/>
      <c r="N143" s="106"/>
      <c r="O143" s="29"/>
      <c r="P143" s="106"/>
      <c r="Q143" s="106"/>
      <c r="R143" s="106"/>
      <c r="S143" s="106"/>
      <c r="T143" s="106"/>
      <c r="U143" s="106"/>
      <c r="V143" s="9"/>
      <c r="W143" s="106"/>
      <c r="X143" s="106"/>
      <c r="Y143" s="106"/>
      <c r="Z143" s="106"/>
      <c r="AA143" s="106"/>
      <c r="AB143" s="106"/>
      <c r="AC143" s="9"/>
      <c r="AD143" s="106"/>
      <c r="AE143" s="106"/>
      <c r="AF143" s="106"/>
      <c r="AG143" s="106"/>
      <c r="AH143" s="106"/>
      <c r="AI143" s="106"/>
      <c r="AJ143" s="9"/>
      <c r="AK143" s="106"/>
      <c r="AL143" s="106"/>
      <c r="AM143" s="106"/>
      <c r="AN143" s="106"/>
      <c r="AO143" s="106"/>
      <c r="AP143" s="106"/>
      <c r="AQ143" s="9"/>
      <c r="AR143" s="106"/>
      <c r="AS143" s="106"/>
      <c r="AT143" s="106"/>
      <c r="AU143" s="106"/>
      <c r="AV143" s="106"/>
      <c r="AW143" s="106"/>
      <c r="AX143" s="9"/>
    </row>
    <row r="144" spans="1:50" x14ac:dyDescent="0.25">
      <c r="A144" t="str">
        <f>Nutrients!B143</f>
        <v>Trace mineral premix</v>
      </c>
      <c r="B144" s="106">
        <v>3</v>
      </c>
      <c r="C144" s="106">
        <v>3</v>
      </c>
      <c r="D144" s="106">
        <v>2.5</v>
      </c>
      <c r="E144" s="106">
        <v>2</v>
      </c>
      <c r="F144" s="106">
        <v>1.5</v>
      </c>
      <c r="G144" s="106">
        <v>1.5</v>
      </c>
      <c r="H144" s="106"/>
      <c r="I144" s="106">
        <v>3</v>
      </c>
      <c r="J144" s="106">
        <v>3</v>
      </c>
      <c r="K144" s="106">
        <v>2.5</v>
      </c>
      <c r="L144" s="106">
        <v>2</v>
      </c>
      <c r="M144" s="106">
        <v>1.5</v>
      </c>
      <c r="N144" s="106">
        <v>1.5</v>
      </c>
      <c r="O144" s="29"/>
      <c r="P144" s="106">
        <v>3</v>
      </c>
      <c r="Q144" s="106">
        <v>3</v>
      </c>
      <c r="R144" s="106">
        <v>2.5</v>
      </c>
      <c r="S144" s="106">
        <v>2</v>
      </c>
      <c r="T144" s="106">
        <v>1.5</v>
      </c>
      <c r="U144" s="106">
        <v>1.5</v>
      </c>
      <c r="V144" s="9"/>
      <c r="W144" s="106">
        <v>3</v>
      </c>
      <c r="X144" s="106">
        <v>3</v>
      </c>
      <c r="Y144" s="106">
        <v>2.5</v>
      </c>
      <c r="Z144" s="106">
        <v>2</v>
      </c>
      <c r="AA144" s="106">
        <v>1.5</v>
      </c>
      <c r="AB144" s="106">
        <v>1.5</v>
      </c>
      <c r="AC144" s="9"/>
      <c r="AD144" s="106">
        <v>3</v>
      </c>
      <c r="AE144" s="106">
        <v>3</v>
      </c>
      <c r="AF144" s="106">
        <v>2.5</v>
      </c>
      <c r="AG144" s="106">
        <v>2</v>
      </c>
      <c r="AH144" s="106">
        <v>1.5</v>
      </c>
      <c r="AI144" s="106">
        <v>1.5</v>
      </c>
      <c r="AJ144" s="9"/>
      <c r="AK144" s="106">
        <v>3</v>
      </c>
      <c r="AL144" s="106">
        <v>3</v>
      </c>
      <c r="AM144" s="106">
        <v>2.5</v>
      </c>
      <c r="AN144" s="106">
        <v>2</v>
      </c>
      <c r="AO144" s="106">
        <v>1.5</v>
      </c>
      <c r="AP144" s="106">
        <v>1.5</v>
      </c>
      <c r="AQ144" s="9"/>
      <c r="AR144" s="106">
        <v>3</v>
      </c>
      <c r="AS144" s="106">
        <v>3</v>
      </c>
      <c r="AT144" s="106">
        <v>2.5</v>
      </c>
      <c r="AU144" s="106">
        <v>2</v>
      </c>
      <c r="AV144" s="106">
        <v>1.5</v>
      </c>
      <c r="AW144" s="106">
        <v>1.5</v>
      </c>
      <c r="AX144" s="9"/>
    </row>
    <row r="145" spans="1:50" ht="13.05" hidden="1" customHeight="1" x14ac:dyDescent="0.25">
      <c r="A145" t="str">
        <f>Nutrients!B144</f>
        <v>Sow add pack</v>
      </c>
      <c r="B145" s="106"/>
      <c r="C145" s="106"/>
      <c r="D145" s="106"/>
      <c r="E145" s="106"/>
      <c r="F145" s="106"/>
      <c r="G145" s="106"/>
      <c r="H145" s="106"/>
      <c r="I145" s="106"/>
      <c r="J145" s="106"/>
      <c r="K145" s="106"/>
      <c r="L145" s="106"/>
      <c r="M145" s="106"/>
      <c r="N145" s="106"/>
      <c r="O145" s="29"/>
      <c r="P145" s="106"/>
      <c r="Q145" s="106"/>
      <c r="R145" s="106"/>
      <c r="S145" s="106"/>
      <c r="T145" s="106"/>
      <c r="U145" s="106"/>
      <c r="V145" s="9"/>
      <c r="W145" s="106"/>
      <c r="X145" s="106"/>
      <c r="Y145" s="106"/>
      <c r="Z145" s="106"/>
      <c r="AA145" s="106"/>
      <c r="AB145" s="106"/>
      <c r="AC145" s="9"/>
      <c r="AD145" s="106"/>
      <c r="AE145" s="106"/>
      <c r="AF145" s="106"/>
      <c r="AG145" s="106"/>
      <c r="AH145" s="106"/>
      <c r="AI145" s="106"/>
      <c r="AJ145" s="9"/>
      <c r="AK145" s="106"/>
      <c r="AL145" s="106"/>
      <c r="AM145" s="106"/>
      <c r="AN145" s="106"/>
      <c r="AO145" s="106"/>
      <c r="AP145" s="106"/>
      <c r="AQ145" s="9"/>
      <c r="AR145" s="106"/>
      <c r="AS145" s="106"/>
      <c r="AT145" s="106"/>
      <c r="AU145" s="106"/>
      <c r="AV145" s="106"/>
      <c r="AW145" s="106"/>
      <c r="AX145" s="9"/>
    </row>
    <row r="146" spans="1:50" x14ac:dyDescent="0.25">
      <c r="A146" t="str">
        <f>Nutrients!B145</f>
        <v>Vitamin premix without phytase</v>
      </c>
      <c r="B146" s="106">
        <v>3</v>
      </c>
      <c r="C146" s="106">
        <v>3</v>
      </c>
      <c r="D146" s="106">
        <v>2.5</v>
      </c>
      <c r="E146" s="106">
        <v>2</v>
      </c>
      <c r="F146" s="106">
        <v>1.5</v>
      </c>
      <c r="G146" s="106">
        <v>1.5</v>
      </c>
      <c r="H146" s="106"/>
      <c r="I146" s="106">
        <v>3</v>
      </c>
      <c r="J146" s="106">
        <v>3</v>
      </c>
      <c r="K146" s="106">
        <v>2.5</v>
      </c>
      <c r="L146" s="106">
        <v>2</v>
      </c>
      <c r="M146" s="106">
        <v>1.5</v>
      </c>
      <c r="N146" s="106">
        <v>1.5</v>
      </c>
      <c r="O146" s="29"/>
      <c r="P146" s="106">
        <v>3</v>
      </c>
      <c r="Q146" s="106">
        <v>3</v>
      </c>
      <c r="R146" s="106">
        <v>2.5</v>
      </c>
      <c r="S146" s="106">
        <v>2</v>
      </c>
      <c r="T146" s="106">
        <v>1.5</v>
      </c>
      <c r="U146" s="106">
        <v>1.5</v>
      </c>
      <c r="V146" s="9"/>
      <c r="W146" s="106">
        <v>3</v>
      </c>
      <c r="X146" s="106">
        <v>3</v>
      </c>
      <c r="Y146" s="106">
        <v>2.5</v>
      </c>
      <c r="Z146" s="106">
        <v>2</v>
      </c>
      <c r="AA146" s="106">
        <v>1.5</v>
      </c>
      <c r="AB146" s="106">
        <v>1.5</v>
      </c>
      <c r="AC146" s="9"/>
      <c r="AD146" s="106">
        <v>3</v>
      </c>
      <c r="AE146" s="106">
        <v>3</v>
      </c>
      <c r="AF146" s="106">
        <v>2.5</v>
      </c>
      <c r="AG146" s="106">
        <v>2</v>
      </c>
      <c r="AH146" s="106">
        <v>1.5</v>
      </c>
      <c r="AI146" s="106">
        <v>1.5</v>
      </c>
      <c r="AJ146" s="9"/>
      <c r="AK146" s="106">
        <v>3</v>
      </c>
      <c r="AL146" s="106">
        <v>3</v>
      </c>
      <c r="AM146" s="106">
        <v>2.5</v>
      </c>
      <c r="AN146" s="106">
        <v>2</v>
      </c>
      <c r="AO146" s="106">
        <v>1.5</v>
      </c>
      <c r="AP146" s="106">
        <v>1.5</v>
      </c>
      <c r="AQ146" s="9"/>
      <c r="AR146" s="106">
        <v>3</v>
      </c>
      <c r="AS146" s="106">
        <v>3</v>
      </c>
      <c r="AT146" s="106">
        <v>2.5</v>
      </c>
      <c r="AU146" s="106">
        <v>2</v>
      </c>
      <c r="AV146" s="106">
        <v>1.5</v>
      </c>
      <c r="AW146" s="106">
        <v>1.5</v>
      </c>
      <c r="AX146" s="9"/>
    </row>
    <row r="147" spans="1:50" ht="13.05" hidden="1" customHeight="1" x14ac:dyDescent="0.25">
      <c r="A147" t="str">
        <f>Nutrients!B146</f>
        <v>GF DDGS Base Mix</v>
      </c>
      <c r="B147" s="106"/>
      <c r="C147" s="106"/>
      <c r="D147" s="106"/>
      <c r="E147" s="106"/>
      <c r="F147" s="106"/>
      <c r="G147" s="106"/>
      <c r="H147" s="106"/>
      <c r="I147" s="106"/>
      <c r="J147" s="106"/>
      <c r="K147" s="106"/>
      <c r="L147" s="106"/>
      <c r="M147" s="106"/>
      <c r="N147" s="106"/>
      <c r="O147" s="29"/>
      <c r="P147" s="106"/>
      <c r="Q147" s="106"/>
      <c r="R147" s="106"/>
      <c r="S147" s="106"/>
      <c r="T147" s="106"/>
      <c r="U147" s="106"/>
      <c r="V147" s="9"/>
      <c r="W147" s="106"/>
      <c r="X147" s="106"/>
      <c r="Y147" s="106"/>
      <c r="Z147" s="106"/>
      <c r="AA147" s="106"/>
      <c r="AB147" s="106"/>
      <c r="AC147" s="9"/>
      <c r="AD147" s="106"/>
      <c r="AE147" s="106"/>
      <c r="AF147" s="106"/>
      <c r="AG147" s="106"/>
      <c r="AH147" s="106"/>
      <c r="AI147" s="106"/>
      <c r="AJ147" s="9"/>
      <c r="AK147" s="106"/>
      <c r="AL147" s="106"/>
      <c r="AM147" s="106"/>
      <c r="AN147" s="106"/>
      <c r="AO147" s="106"/>
      <c r="AP147" s="106"/>
      <c r="AQ147" s="9"/>
      <c r="AR147" s="106"/>
      <c r="AS147" s="106"/>
      <c r="AT147" s="106"/>
      <c r="AU147" s="106"/>
      <c r="AV147" s="106"/>
      <c r="AW147" s="106"/>
      <c r="AX147" s="9"/>
    </row>
    <row r="148" spans="1:50" ht="13.05" hidden="1" customHeight="1" x14ac:dyDescent="0.25">
      <c r="A148" t="str">
        <f>Nutrients!B147</f>
        <v>GF synthetics Base Mix</v>
      </c>
      <c r="B148" s="106"/>
      <c r="C148" s="106"/>
      <c r="D148" s="106"/>
      <c r="E148" s="106"/>
      <c r="F148" s="106"/>
      <c r="G148" s="106"/>
      <c r="H148" s="106"/>
      <c r="I148" s="106"/>
      <c r="J148" s="106"/>
      <c r="K148" s="106"/>
      <c r="L148" s="106"/>
      <c r="M148" s="106"/>
      <c r="N148" s="106"/>
      <c r="O148" s="29"/>
      <c r="P148" s="106"/>
      <c r="Q148" s="106"/>
      <c r="R148" s="106"/>
      <c r="S148" s="106"/>
      <c r="T148" s="106"/>
      <c r="U148" s="106"/>
      <c r="V148" s="9"/>
      <c r="W148" s="106"/>
      <c r="X148" s="106"/>
      <c r="Y148" s="106"/>
      <c r="Z148" s="106"/>
      <c r="AA148" s="106"/>
      <c r="AB148" s="106"/>
      <c r="AC148" s="9"/>
      <c r="AD148" s="106"/>
      <c r="AE148" s="106"/>
      <c r="AF148" s="106"/>
      <c r="AG148" s="106"/>
      <c r="AH148" s="106"/>
      <c r="AI148" s="106"/>
      <c r="AJ148" s="9"/>
      <c r="AK148" s="106"/>
      <c r="AL148" s="106"/>
      <c r="AM148" s="106"/>
      <c r="AN148" s="106"/>
      <c r="AO148" s="106"/>
      <c r="AP148" s="106"/>
      <c r="AQ148" s="9"/>
      <c r="AR148" s="106"/>
      <c r="AS148" s="106"/>
      <c r="AT148" s="106"/>
      <c r="AU148" s="106"/>
      <c r="AV148" s="106"/>
      <c r="AW148" s="106"/>
      <c r="AX148" s="9"/>
    </row>
    <row r="149" spans="1:50" ht="13.05" hidden="1" customHeight="1" x14ac:dyDescent="0.25">
      <c r="A149" t="str">
        <f>Nutrients!B148</f>
        <v>Choline chloride 60%</v>
      </c>
      <c r="B149" s="106"/>
      <c r="C149" s="106"/>
      <c r="D149" s="106"/>
      <c r="E149" s="106"/>
      <c r="F149" s="106"/>
      <c r="G149" s="106"/>
      <c r="H149" s="106"/>
      <c r="I149" s="106"/>
      <c r="J149" s="106"/>
      <c r="K149" s="106"/>
      <c r="L149" s="106"/>
      <c r="M149" s="106"/>
      <c r="N149" s="106"/>
      <c r="O149" s="29"/>
      <c r="P149" s="106"/>
      <c r="Q149" s="106"/>
      <c r="R149" s="106"/>
      <c r="S149" s="106"/>
      <c r="T149" s="106"/>
      <c r="U149" s="106"/>
      <c r="V149" s="9"/>
      <c r="W149" s="106"/>
      <c r="X149" s="106"/>
      <c r="Y149" s="106"/>
      <c r="Z149" s="106"/>
      <c r="AA149" s="106"/>
      <c r="AB149" s="106"/>
      <c r="AC149" s="9"/>
      <c r="AD149" s="106"/>
      <c r="AE149" s="106"/>
      <c r="AF149" s="106"/>
      <c r="AG149" s="106"/>
      <c r="AH149" s="106"/>
      <c r="AI149" s="106"/>
      <c r="AJ149" s="9"/>
      <c r="AK149" s="106"/>
      <c r="AL149" s="106"/>
      <c r="AM149" s="106"/>
      <c r="AN149" s="106"/>
      <c r="AO149" s="106"/>
      <c r="AP149" s="106"/>
      <c r="AQ149" s="9"/>
      <c r="AR149" s="106"/>
      <c r="AS149" s="106"/>
      <c r="AT149" s="106"/>
      <c r="AU149" s="106"/>
      <c r="AV149" s="106"/>
      <c r="AW149" s="106"/>
      <c r="AX149" s="9"/>
    </row>
    <row r="150" spans="1:50" ht="13.05" hidden="1" customHeight="1" x14ac:dyDescent="0.25">
      <c r="A150" t="str">
        <f>Nutrients!B149</f>
        <v>Natuphos 600</v>
      </c>
      <c r="B150" s="106"/>
      <c r="C150" s="106"/>
      <c r="D150" s="106"/>
      <c r="E150" s="106"/>
      <c r="F150" s="106"/>
      <c r="G150" s="106"/>
      <c r="H150" s="106"/>
      <c r="I150" s="106"/>
      <c r="J150" s="106"/>
      <c r="K150" s="106"/>
      <c r="L150" s="106"/>
      <c r="M150" s="106"/>
      <c r="N150" s="106"/>
      <c r="O150" s="29"/>
      <c r="P150" s="106"/>
      <c r="Q150" s="106"/>
      <c r="R150" s="106"/>
      <c r="S150" s="106"/>
      <c r="T150" s="106"/>
      <c r="U150" s="106"/>
      <c r="V150" s="9"/>
      <c r="W150" s="106"/>
      <c r="X150" s="106"/>
      <c r="Y150" s="106"/>
      <c r="Z150" s="106"/>
      <c r="AA150" s="106"/>
      <c r="AB150" s="106"/>
      <c r="AC150" s="9"/>
      <c r="AD150" s="106"/>
      <c r="AE150" s="106"/>
      <c r="AF150" s="106"/>
      <c r="AG150" s="106"/>
      <c r="AH150" s="106"/>
      <c r="AI150" s="106"/>
      <c r="AJ150" s="9"/>
      <c r="AK150" s="106"/>
      <c r="AL150" s="106"/>
      <c r="AM150" s="106"/>
      <c r="AN150" s="106"/>
      <c r="AO150" s="106"/>
      <c r="AP150" s="106"/>
      <c r="AQ150" s="9"/>
      <c r="AR150" s="106"/>
      <c r="AS150" s="106"/>
      <c r="AT150" s="106"/>
      <c r="AU150" s="106"/>
      <c r="AV150" s="106"/>
      <c r="AW150" s="106"/>
      <c r="AX150" s="9"/>
    </row>
    <row r="151" spans="1:50" ht="13.05" hidden="1" customHeight="1" x14ac:dyDescent="0.25">
      <c r="A151" t="str">
        <f>Nutrients!B150</f>
        <v>Natuphos 1200</v>
      </c>
      <c r="B151" s="106"/>
      <c r="C151" s="106"/>
      <c r="D151" s="106"/>
      <c r="E151" s="106"/>
      <c r="F151" s="106"/>
      <c r="G151" s="106"/>
      <c r="H151" s="106"/>
      <c r="I151" s="106"/>
      <c r="J151" s="106"/>
      <c r="K151" s="106"/>
      <c r="L151" s="106"/>
      <c r="M151" s="106"/>
      <c r="N151" s="106"/>
      <c r="O151" s="29"/>
      <c r="P151" s="106"/>
      <c r="Q151" s="106"/>
      <c r="R151" s="106"/>
      <c r="S151" s="106"/>
      <c r="T151" s="106"/>
      <c r="U151" s="106"/>
      <c r="V151" s="9"/>
      <c r="W151" s="106"/>
      <c r="X151" s="106"/>
      <c r="Y151" s="106"/>
      <c r="Z151" s="106"/>
      <c r="AA151" s="106"/>
      <c r="AB151" s="106"/>
      <c r="AC151" s="9"/>
      <c r="AD151" s="106"/>
      <c r="AE151" s="106"/>
      <c r="AF151" s="106"/>
      <c r="AG151" s="106"/>
      <c r="AH151" s="106"/>
      <c r="AI151" s="106"/>
      <c r="AJ151" s="9"/>
      <c r="AK151" s="106"/>
      <c r="AL151" s="106"/>
      <c r="AM151" s="106"/>
      <c r="AN151" s="106"/>
      <c r="AO151" s="106"/>
      <c r="AP151" s="106"/>
      <c r="AQ151" s="9"/>
      <c r="AR151" s="106"/>
      <c r="AS151" s="106"/>
      <c r="AT151" s="106"/>
      <c r="AU151" s="106"/>
      <c r="AV151" s="106"/>
      <c r="AW151" s="106"/>
      <c r="AX151" s="9"/>
    </row>
    <row r="152" spans="1:50" ht="13.05" hidden="1" customHeight="1" x14ac:dyDescent="0.25">
      <c r="A152" t="str">
        <f>Nutrients!B151</f>
        <v>Optiphos 2000</v>
      </c>
      <c r="B152" s="106"/>
      <c r="C152" s="106"/>
      <c r="D152" s="106"/>
      <c r="E152" s="106"/>
      <c r="F152" s="106"/>
      <c r="G152" s="106"/>
      <c r="H152" s="106"/>
      <c r="I152" s="106"/>
      <c r="J152" s="106"/>
      <c r="K152" s="106"/>
      <c r="L152" s="106"/>
      <c r="M152" s="106"/>
      <c r="N152" s="106"/>
      <c r="O152" s="29"/>
      <c r="P152" s="106"/>
      <c r="Q152" s="106"/>
      <c r="R152" s="106"/>
      <c r="S152" s="106"/>
      <c r="T152" s="106"/>
      <c r="U152" s="106"/>
      <c r="V152" s="9"/>
      <c r="W152" s="106"/>
      <c r="X152" s="106"/>
      <c r="Y152" s="106"/>
      <c r="Z152" s="106"/>
      <c r="AA152" s="106"/>
      <c r="AB152" s="106"/>
      <c r="AC152" s="9"/>
      <c r="AD152" s="106"/>
      <c r="AE152" s="106"/>
      <c r="AF152" s="106"/>
      <c r="AG152" s="106"/>
      <c r="AH152" s="106"/>
      <c r="AI152" s="106"/>
      <c r="AJ152" s="9"/>
      <c r="AK152" s="106"/>
      <c r="AL152" s="106"/>
      <c r="AM152" s="106"/>
      <c r="AN152" s="106"/>
      <c r="AO152" s="106"/>
      <c r="AP152" s="106"/>
      <c r="AQ152" s="9"/>
      <c r="AR152" s="106"/>
      <c r="AS152" s="106"/>
      <c r="AT152" s="106"/>
      <c r="AU152" s="106"/>
      <c r="AV152" s="106"/>
      <c r="AW152" s="106"/>
      <c r="AX152" s="9"/>
    </row>
    <row r="153" spans="1:50" ht="13.05" hidden="1" customHeight="1" x14ac:dyDescent="0.25">
      <c r="A153" t="str">
        <f>Nutrients!B152</f>
        <v>Phyzyme 1200</v>
      </c>
      <c r="B153" s="106"/>
      <c r="C153" s="106"/>
      <c r="D153" s="106"/>
      <c r="E153" s="106"/>
      <c r="F153" s="106"/>
      <c r="G153" s="106"/>
      <c r="H153" s="106"/>
      <c r="I153" s="106"/>
      <c r="J153" s="106"/>
      <c r="K153" s="106"/>
      <c r="L153" s="106"/>
      <c r="M153" s="106"/>
      <c r="N153" s="106"/>
      <c r="O153" s="29"/>
      <c r="P153" s="106"/>
      <c r="Q153" s="106"/>
      <c r="R153" s="106"/>
      <c r="S153" s="106"/>
      <c r="T153" s="106"/>
      <c r="U153" s="106"/>
      <c r="V153" s="9"/>
      <c r="W153" s="106"/>
      <c r="X153" s="106"/>
      <c r="Y153" s="106"/>
      <c r="Z153" s="106"/>
      <c r="AA153" s="106"/>
      <c r="AB153" s="106"/>
      <c r="AC153" s="9"/>
      <c r="AD153" s="106"/>
      <c r="AE153" s="106"/>
      <c r="AF153" s="106"/>
      <c r="AG153" s="106"/>
      <c r="AH153" s="106"/>
      <c r="AI153" s="106"/>
      <c r="AJ153" s="9"/>
      <c r="AK153" s="106"/>
      <c r="AL153" s="106"/>
      <c r="AM153" s="106"/>
      <c r="AN153" s="106"/>
      <c r="AO153" s="106"/>
      <c r="AP153" s="106"/>
      <c r="AQ153" s="9"/>
      <c r="AR153" s="106"/>
      <c r="AS153" s="106"/>
      <c r="AT153" s="106"/>
      <c r="AU153" s="106"/>
      <c r="AV153" s="106"/>
      <c r="AW153" s="106"/>
      <c r="AX153" s="9"/>
    </row>
    <row r="154" spans="1:50" ht="13.05" hidden="1" customHeight="1" x14ac:dyDescent="0.25">
      <c r="A154" t="str">
        <f>Nutrients!B153</f>
        <v>Phyzyme 5000</v>
      </c>
      <c r="B154" s="106"/>
      <c r="C154" s="106"/>
      <c r="D154" s="106"/>
      <c r="E154" s="106"/>
      <c r="F154" s="106"/>
      <c r="G154" s="106"/>
      <c r="H154" s="106"/>
      <c r="I154" s="106"/>
      <c r="J154" s="106"/>
      <c r="K154" s="106"/>
      <c r="L154" s="106"/>
      <c r="M154" s="106"/>
      <c r="N154" s="106"/>
      <c r="O154" s="29"/>
      <c r="P154" s="106"/>
      <c r="Q154" s="106"/>
      <c r="R154" s="106"/>
      <c r="S154" s="106"/>
      <c r="T154" s="106"/>
      <c r="U154" s="106"/>
      <c r="V154" s="9"/>
      <c r="W154" s="106"/>
      <c r="X154" s="106"/>
      <c r="Y154" s="106"/>
      <c r="Z154" s="106"/>
      <c r="AA154" s="106"/>
      <c r="AB154" s="106"/>
      <c r="AC154" s="9"/>
      <c r="AD154" s="106"/>
      <c r="AE154" s="106"/>
      <c r="AF154" s="106"/>
      <c r="AG154" s="106"/>
      <c r="AH154" s="106"/>
      <c r="AI154" s="106"/>
      <c r="AJ154" s="9"/>
      <c r="AK154" s="106"/>
      <c r="AL154" s="106"/>
      <c r="AM154" s="106"/>
      <c r="AN154" s="106"/>
      <c r="AO154" s="106"/>
      <c r="AP154" s="106"/>
      <c r="AQ154" s="9"/>
      <c r="AR154" s="106"/>
      <c r="AS154" s="106"/>
      <c r="AT154" s="106"/>
      <c r="AU154" s="106"/>
      <c r="AV154" s="106"/>
      <c r="AW154" s="106"/>
      <c r="AX154" s="9"/>
    </row>
    <row r="155" spans="1:50" ht="13.05" hidden="1" customHeight="1" x14ac:dyDescent="0.25">
      <c r="A155" t="str">
        <f>Nutrients!B154</f>
        <v>Ronozyme Hiphos GT (10,000)</v>
      </c>
      <c r="B155" s="106"/>
      <c r="C155" s="106"/>
      <c r="D155" s="106"/>
      <c r="E155" s="106"/>
      <c r="F155" s="106"/>
      <c r="G155" s="106"/>
      <c r="H155" s="106"/>
      <c r="I155" s="106"/>
      <c r="J155" s="106"/>
      <c r="K155" s="106"/>
      <c r="L155" s="106"/>
      <c r="M155" s="106"/>
      <c r="N155" s="106"/>
      <c r="O155" s="29"/>
      <c r="P155" s="106"/>
      <c r="Q155" s="106"/>
      <c r="R155" s="106"/>
      <c r="S155" s="106"/>
      <c r="T155" s="106"/>
      <c r="U155" s="106"/>
      <c r="V155" s="9"/>
      <c r="W155" s="106"/>
      <c r="X155" s="106"/>
      <c r="Y155" s="106"/>
      <c r="Z155" s="106"/>
      <c r="AA155" s="106"/>
      <c r="AB155" s="106"/>
      <c r="AC155" s="9"/>
      <c r="AD155" s="106"/>
      <c r="AE155" s="106"/>
      <c r="AF155" s="106"/>
      <c r="AG155" s="106"/>
      <c r="AH155" s="106"/>
      <c r="AI155" s="106"/>
      <c r="AJ155" s="9"/>
      <c r="AK155" s="106"/>
      <c r="AL155" s="106"/>
      <c r="AM155" s="106"/>
      <c r="AN155" s="106"/>
      <c r="AO155" s="106"/>
      <c r="AP155" s="106"/>
      <c r="AQ155" s="9"/>
      <c r="AR155" s="106"/>
      <c r="AS155" s="106"/>
      <c r="AT155" s="106"/>
      <c r="AU155" s="106"/>
      <c r="AV155" s="106"/>
      <c r="AW155" s="106"/>
      <c r="AX155" s="9"/>
    </row>
    <row r="156" spans="1:50" ht="13.05" hidden="1" customHeight="1" x14ac:dyDescent="0.25">
      <c r="A156" t="str">
        <f>Nutrients!B155</f>
        <v>Ronozyme Hiphos M (50,000)</v>
      </c>
      <c r="B156" s="106"/>
      <c r="C156" s="106"/>
      <c r="D156" s="106"/>
      <c r="E156" s="106"/>
      <c r="F156" s="106"/>
      <c r="G156" s="106"/>
      <c r="H156" s="106"/>
      <c r="I156" s="106"/>
      <c r="J156" s="106"/>
      <c r="K156" s="106"/>
      <c r="L156" s="106"/>
      <c r="M156" s="106"/>
      <c r="N156" s="106"/>
      <c r="O156" s="29"/>
      <c r="P156" s="106"/>
      <c r="Q156" s="106"/>
      <c r="R156" s="106"/>
      <c r="S156" s="106"/>
      <c r="T156" s="106"/>
      <c r="U156" s="106"/>
      <c r="V156" s="9"/>
      <c r="W156" s="106"/>
      <c r="X156" s="106"/>
      <c r="Y156" s="106"/>
      <c r="Z156" s="106"/>
      <c r="AA156" s="106"/>
      <c r="AB156" s="106"/>
      <c r="AC156" s="9"/>
      <c r="AD156" s="106"/>
      <c r="AE156" s="106"/>
      <c r="AF156" s="106"/>
      <c r="AG156" s="106"/>
      <c r="AH156" s="106"/>
      <c r="AI156" s="106"/>
      <c r="AJ156" s="9"/>
      <c r="AK156" s="106"/>
      <c r="AL156" s="106"/>
      <c r="AM156" s="106"/>
      <c r="AN156" s="106"/>
      <c r="AO156" s="106"/>
      <c r="AP156" s="106"/>
      <c r="AQ156" s="9"/>
      <c r="AR156" s="106"/>
      <c r="AS156" s="106"/>
      <c r="AT156" s="106"/>
      <c r="AU156" s="106"/>
      <c r="AV156" s="106"/>
      <c r="AW156" s="106"/>
      <c r="AX156" s="9"/>
    </row>
    <row r="157" spans="1:50" ht="13.05" customHeight="1" x14ac:dyDescent="0.25">
      <c r="A157" t="str">
        <f>Nutrients!B156</f>
        <v>Ronozyme HiPhos 2700</v>
      </c>
      <c r="B157" s="106">
        <v>0.45</v>
      </c>
      <c r="C157" s="106">
        <v>0.45</v>
      </c>
      <c r="D157" s="106">
        <v>0.45</v>
      </c>
      <c r="E157" s="106">
        <v>0.45</v>
      </c>
      <c r="F157" s="106">
        <v>0.45</v>
      </c>
      <c r="G157" s="106">
        <v>0.45</v>
      </c>
      <c r="H157" s="106"/>
      <c r="I157" s="106">
        <v>0.45</v>
      </c>
      <c r="J157" s="106">
        <v>0.45</v>
      </c>
      <c r="K157" s="106">
        <v>0.45</v>
      </c>
      <c r="L157" s="106">
        <v>0.45</v>
      </c>
      <c r="M157" s="106">
        <v>0.45</v>
      </c>
      <c r="N157" s="106">
        <v>0.45</v>
      </c>
      <c r="O157" s="29"/>
      <c r="P157" s="106">
        <v>0.45</v>
      </c>
      <c r="Q157" s="106">
        <v>0.45</v>
      </c>
      <c r="R157" s="106">
        <v>0.45</v>
      </c>
      <c r="S157" s="106">
        <v>0.45</v>
      </c>
      <c r="T157" s="106">
        <v>0.45</v>
      </c>
      <c r="U157" s="106">
        <v>0.45</v>
      </c>
      <c r="V157" s="9"/>
      <c r="W157" s="106">
        <v>0.45</v>
      </c>
      <c r="X157" s="106">
        <v>0.45</v>
      </c>
      <c r="Y157" s="106">
        <v>0.45</v>
      </c>
      <c r="Z157" s="106">
        <v>0.45</v>
      </c>
      <c r="AA157" s="106">
        <v>0.45</v>
      </c>
      <c r="AB157" s="106">
        <v>0.45</v>
      </c>
      <c r="AC157" s="9"/>
      <c r="AD157" s="106">
        <v>0.45</v>
      </c>
      <c r="AE157" s="106">
        <v>0.45</v>
      </c>
      <c r="AF157" s="106">
        <v>0.45</v>
      </c>
      <c r="AG157" s="106">
        <v>0.45</v>
      </c>
      <c r="AH157" s="106">
        <v>0.45</v>
      </c>
      <c r="AI157" s="106">
        <v>0.45</v>
      </c>
      <c r="AJ157" s="9"/>
      <c r="AK157" s="106">
        <v>0.45</v>
      </c>
      <c r="AL157" s="106">
        <v>0.45</v>
      </c>
      <c r="AM157" s="106">
        <v>0.45</v>
      </c>
      <c r="AN157" s="106">
        <v>0.45</v>
      </c>
      <c r="AO157" s="106">
        <v>0.45</v>
      </c>
      <c r="AP157" s="106">
        <v>0.45</v>
      </c>
      <c r="AQ157" s="9"/>
      <c r="AR157" s="106">
        <v>0.45</v>
      </c>
      <c r="AS157" s="106">
        <v>0.45</v>
      </c>
      <c r="AT157" s="106">
        <v>0.45</v>
      </c>
      <c r="AU157" s="106">
        <v>0.45</v>
      </c>
      <c r="AV157" s="106">
        <v>0.45</v>
      </c>
      <c r="AW157" s="106">
        <v>0.45</v>
      </c>
      <c r="AX157" s="9"/>
    </row>
    <row r="158" spans="1:50" ht="13.05" hidden="1" customHeight="1" thickBot="1" x14ac:dyDescent="0.3">
      <c r="A158" t="str">
        <f>Nutrients!B157</f>
        <v>Zinc oxide</v>
      </c>
      <c r="B158" s="106"/>
      <c r="C158" s="106"/>
      <c r="D158" s="106"/>
      <c r="E158" s="106"/>
      <c r="F158" s="106"/>
      <c r="G158" s="106"/>
      <c r="H158" s="106"/>
      <c r="I158" s="106"/>
      <c r="J158" s="106"/>
      <c r="K158" s="106"/>
      <c r="L158" s="106"/>
      <c r="M158" s="106"/>
      <c r="N158" s="106"/>
      <c r="O158" s="29"/>
      <c r="P158" s="106"/>
      <c r="Q158" s="106"/>
      <c r="R158" s="106"/>
      <c r="S158" s="106"/>
      <c r="T158" s="106"/>
      <c r="U158" s="106"/>
      <c r="V158" s="9"/>
      <c r="W158" s="106"/>
      <c r="X158" s="106"/>
      <c r="Y158" s="106"/>
      <c r="Z158" s="106"/>
      <c r="AA158" s="106"/>
      <c r="AB158" s="106"/>
      <c r="AC158" s="9"/>
      <c r="AD158" s="106"/>
      <c r="AE158" s="106"/>
      <c r="AF158" s="106"/>
      <c r="AG158" s="106"/>
      <c r="AH158" s="106"/>
      <c r="AI158" s="106"/>
      <c r="AJ158" s="9"/>
      <c r="AK158" s="106"/>
      <c r="AL158" s="106"/>
      <c r="AM158" s="106"/>
      <c r="AN158" s="106"/>
      <c r="AO158" s="106"/>
      <c r="AP158" s="106"/>
      <c r="AQ158" s="9"/>
      <c r="AR158" s="106"/>
      <c r="AS158" s="106"/>
      <c r="AT158" s="106"/>
      <c r="AU158" s="106"/>
      <c r="AV158" s="106"/>
      <c r="AW158" s="106"/>
      <c r="AX158" s="9"/>
    </row>
    <row r="159" spans="1:50" ht="13.05" hidden="1" customHeight="1" thickBot="1" x14ac:dyDescent="0.3">
      <c r="A159" t="str">
        <f>Nutrients!B158</f>
        <v>Copper sulfate</v>
      </c>
      <c r="B159" s="106"/>
      <c r="C159" s="106"/>
      <c r="D159" s="106"/>
      <c r="E159" s="106"/>
      <c r="F159" s="106"/>
      <c r="G159" s="106"/>
      <c r="H159" s="106"/>
      <c r="I159" s="106"/>
      <c r="J159" s="106"/>
      <c r="K159" s="106"/>
      <c r="L159" s="106"/>
      <c r="M159" s="106"/>
      <c r="N159" s="106"/>
      <c r="O159" s="29"/>
      <c r="P159" s="106"/>
      <c r="Q159" s="106"/>
      <c r="R159" s="106"/>
      <c r="S159" s="106"/>
      <c r="T159" s="106"/>
      <c r="U159" s="106"/>
      <c r="V159" s="9"/>
      <c r="W159" s="106"/>
      <c r="X159" s="106"/>
      <c r="Y159" s="106"/>
      <c r="Z159" s="106"/>
      <c r="AA159" s="106"/>
      <c r="AB159" s="106"/>
      <c r="AC159" s="9"/>
      <c r="AD159" s="106"/>
      <c r="AE159" s="106"/>
      <c r="AF159" s="106"/>
      <c r="AG159" s="106"/>
      <c r="AH159" s="106"/>
      <c r="AI159" s="106"/>
      <c r="AJ159" s="9"/>
      <c r="AK159" s="106"/>
      <c r="AL159" s="106"/>
      <c r="AM159" s="106"/>
      <c r="AN159" s="106"/>
      <c r="AO159" s="106"/>
      <c r="AP159" s="106"/>
      <c r="AQ159" s="9"/>
      <c r="AR159" s="106"/>
      <c r="AS159" s="106"/>
      <c r="AT159" s="106"/>
      <c r="AU159" s="106"/>
      <c r="AV159" s="106"/>
      <c r="AW159" s="106"/>
      <c r="AX159" s="9"/>
    </row>
    <row r="160" spans="1:50" ht="13.05" hidden="1" customHeight="1" thickBot="1" x14ac:dyDescent="0.3">
      <c r="A160" t="str">
        <f>Nutrients!B159</f>
        <v>Potassium chloride</v>
      </c>
      <c r="B160" s="106"/>
      <c r="C160" s="106"/>
      <c r="D160" s="106"/>
      <c r="E160" s="106"/>
      <c r="F160" s="106"/>
      <c r="G160" s="106"/>
      <c r="H160" s="106"/>
      <c r="I160" s="106"/>
      <c r="J160" s="106"/>
      <c r="K160" s="106"/>
      <c r="L160" s="106"/>
      <c r="M160" s="106"/>
      <c r="N160" s="106"/>
      <c r="O160" s="29"/>
      <c r="P160" s="106"/>
      <c r="Q160" s="106"/>
      <c r="R160" s="106"/>
      <c r="S160" s="106"/>
      <c r="T160" s="106"/>
      <c r="U160" s="106"/>
      <c r="V160" s="9"/>
      <c r="W160" s="106"/>
      <c r="X160" s="106"/>
      <c r="Y160" s="106"/>
      <c r="Z160" s="106"/>
      <c r="AA160" s="106"/>
      <c r="AB160" s="106"/>
      <c r="AC160" s="9"/>
      <c r="AD160" s="106"/>
      <c r="AE160" s="106"/>
      <c r="AF160" s="106"/>
      <c r="AG160" s="106"/>
      <c r="AH160" s="106"/>
      <c r="AI160" s="106"/>
      <c r="AJ160" s="9"/>
      <c r="AK160" s="106"/>
      <c r="AL160" s="106"/>
      <c r="AM160" s="106"/>
      <c r="AN160" s="106"/>
      <c r="AO160" s="106"/>
      <c r="AP160" s="106"/>
      <c r="AQ160" s="9"/>
      <c r="AR160" s="106"/>
      <c r="AS160" s="106"/>
      <c r="AT160" s="106"/>
      <c r="AU160" s="106"/>
      <c r="AV160" s="106"/>
      <c r="AW160" s="106"/>
      <c r="AX160" s="9"/>
    </row>
    <row r="161" spans="1:50" ht="13.05" hidden="1" customHeight="1" thickBot="1" x14ac:dyDescent="0.3">
      <c r="A161" t="str">
        <f>Nutrients!B160</f>
        <v>Calcium chloride</v>
      </c>
      <c r="B161" s="106"/>
      <c r="C161" s="106"/>
      <c r="D161" s="106"/>
      <c r="E161" s="106"/>
      <c r="F161" s="106"/>
      <c r="G161" s="106"/>
      <c r="H161" s="106"/>
      <c r="I161" s="106"/>
      <c r="J161" s="106"/>
      <c r="K161" s="106"/>
      <c r="L161" s="106"/>
      <c r="M161" s="106"/>
      <c r="N161" s="106"/>
      <c r="O161" s="29"/>
      <c r="P161" s="106"/>
      <c r="Q161" s="106"/>
      <c r="R161" s="106"/>
      <c r="S161" s="106"/>
      <c r="T161" s="106"/>
      <c r="U161" s="106"/>
      <c r="V161" s="9"/>
      <c r="W161" s="106"/>
      <c r="X161" s="106"/>
      <c r="Y161" s="106"/>
      <c r="Z161" s="106"/>
      <c r="AA161" s="106"/>
      <c r="AB161" s="106"/>
      <c r="AC161" s="9"/>
      <c r="AD161" s="106"/>
      <c r="AE161" s="106"/>
      <c r="AF161" s="106"/>
      <c r="AG161" s="106"/>
      <c r="AH161" s="106"/>
      <c r="AI161" s="106"/>
      <c r="AJ161" s="9"/>
      <c r="AK161" s="106"/>
      <c r="AL161" s="106"/>
      <c r="AM161" s="106"/>
      <c r="AN161" s="106"/>
      <c r="AO161" s="106"/>
      <c r="AP161" s="106"/>
      <c r="AQ161" s="9"/>
      <c r="AR161" s="106"/>
      <c r="AS161" s="106"/>
      <c r="AT161" s="106"/>
      <c r="AU161" s="106"/>
      <c r="AV161" s="106"/>
      <c r="AW161" s="106"/>
      <c r="AX161" s="9"/>
    </row>
    <row r="162" spans="1:50" ht="13.05" hidden="1" customHeight="1" thickBot="1" x14ac:dyDescent="0.3">
      <c r="A162" t="str">
        <f>Nutrients!B161</f>
        <v>Acidifier</v>
      </c>
      <c r="B162" s="106"/>
      <c r="C162" s="106"/>
      <c r="D162" s="106"/>
      <c r="E162" s="106"/>
      <c r="F162" s="106"/>
      <c r="G162" s="106"/>
      <c r="H162" s="106"/>
      <c r="I162" s="106"/>
      <c r="J162" s="106"/>
      <c r="K162" s="106"/>
      <c r="L162" s="106"/>
      <c r="M162" s="106"/>
      <c r="N162" s="106"/>
      <c r="O162" s="29"/>
      <c r="P162" s="106"/>
      <c r="Q162" s="106"/>
      <c r="R162" s="106"/>
      <c r="S162" s="106"/>
      <c r="T162" s="106"/>
      <c r="U162" s="106"/>
      <c r="V162" s="9"/>
      <c r="W162" s="106"/>
      <c r="X162" s="106"/>
      <c r="Y162" s="106"/>
      <c r="Z162" s="106"/>
      <c r="AA162" s="106"/>
      <c r="AB162" s="106"/>
      <c r="AC162" s="9"/>
      <c r="AD162" s="106"/>
      <c r="AE162" s="106"/>
      <c r="AF162" s="106"/>
      <c r="AG162" s="106"/>
      <c r="AH162" s="106"/>
      <c r="AI162" s="106"/>
      <c r="AJ162" s="9"/>
      <c r="AK162" s="106"/>
      <c r="AL162" s="106"/>
      <c r="AM162" s="106"/>
      <c r="AN162" s="106"/>
      <c r="AO162" s="106"/>
      <c r="AP162" s="106"/>
      <c r="AQ162" s="9"/>
      <c r="AR162" s="106"/>
      <c r="AS162" s="106"/>
      <c r="AT162" s="106"/>
      <c r="AU162" s="106"/>
      <c r="AV162" s="106"/>
      <c r="AW162" s="106"/>
      <c r="AX162" s="9"/>
    </row>
    <row r="163" spans="1:50" ht="13.05" hidden="1" customHeight="1" thickBot="1" x14ac:dyDescent="0.3">
      <c r="A163" t="str">
        <f>Nutrients!B162</f>
        <v>Vitamin E, 20,000 IU</v>
      </c>
      <c r="B163" s="106"/>
      <c r="C163" s="106"/>
      <c r="D163" s="106"/>
      <c r="E163" s="106"/>
      <c r="F163" s="106"/>
      <c r="G163" s="106"/>
      <c r="H163" s="106"/>
      <c r="I163" s="106"/>
      <c r="J163" s="106"/>
      <c r="K163" s="106"/>
      <c r="L163" s="106"/>
      <c r="M163" s="106"/>
      <c r="N163" s="106"/>
      <c r="O163" s="29"/>
      <c r="P163" s="106"/>
      <c r="Q163" s="106"/>
      <c r="R163" s="106"/>
      <c r="S163" s="106"/>
      <c r="T163" s="106"/>
      <c r="U163" s="106"/>
      <c r="V163" s="9"/>
      <c r="W163" s="106"/>
      <c r="X163" s="106"/>
      <c r="Y163" s="106"/>
      <c r="Z163" s="106"/>
      <c r="AA163" s="106"/>
      <c r="AB163" s="106"/>
      <c r="AC163" s="9"/>
      <c r="AD163" s="106"/>
      <c r="AE163" s="106"/>
      <c r="AF163" s="106"/>
      <c r="AG163" s="106"/>
      <c r="AH163" s="106"/>
      <c r="AI163" s="106"/>
      <c r="AJ163" s="9"/>
      <c r="AK163" s="106"/>
      <c r="AL163" s="106"/>
      <c r="AM163" s="106"/>
      <c r="AN163" s="106"/>
      <c r="AO163" s="106"/>
      <c r="AP163" s="106"/>
      <c r="AQ163" s="9"/>
      <c r="AR163" s="106"/>
      <c r="AS163" s="106"/>
      <c r="AT163" s="106"/>
      <c r="AU163" s="106"/>
      <c r="AV163" s="106"/>
      <c r="AW163" s="106"/>
      <c r="AX163" s="9"/>
    </row>
    <row r="164" spans="1:50" ht="13.05" hidden="1" customHeight="1" thickBot="1" x14ac:dyDescent="0.3">
      <c r="A164" t="str">
        <f>Nutrients!B163</f>
        <v>Other ingredient</v>
      </c>
      <c r="B164" s="106"/>
      <c r="C164" s="106"/>
      <c r="D164" s="106"/>
      <c r="E164" s="106"/>
      <c r="F164" s="106"/>
      <c r="G164" s="106"/>
      <c r="H164" s="106"/>
      <c r="I164" s="106"/>
      <c r="J164" s="106"/>
      <c r="K164" s="106"/>
      <c r="L164" s="106"/>
      <c r="M164" s="106"/>
      <c r="N164" s="106"/>
      <c r="O164" s="29"/>
      <c r="P164" s="106"/>
      <c r="Q164" s="106"/>
      <c r="R164" s="106"/>
      <c r="S164" s="106"/>
      <c r="T164" s="106"/>
      <c r="U164" s="106"/>
      <c r="V164" s="9"/>
      <c r="W164" s="106"/>
      <c r="X164" s="106"/>
      <c r="Y164" s="106"/>
      <c r="Z164" s="106"/>
      <c r="AA164" s="106"/>
      <c r="AB164" s="106"/>
      <c r="AC164" s="9"/>
      <c r="AD164" s="106"/>
      <c r="AE164" s="106"/>
      <c r="AF164" s="106"/>
      <c r="AG164" s="106"/>
      <c r="AH164" s="106"/>
      <c r="AI164" s="106"/>
      <c r="AJ164" s="9"/>
      <c r="AK164" s="106"/>
      <c r="AL164" s="106"/>
      <c r="AM164" s="106"/>
      <c r="AN164" s="106"/>
      <c r="AO164" s="106"/>
      <c r="AP164" s="106"/>
      <c r="AQ164" s="9"/>
      <c r="AR164" s="106"/>
      <c r="AS164" s="106"/>
      <c r="AT164" s="106"/>
      <c r="AU164" s="106"/>
      <c r="AV164" s="106"/>
      <c r="AW164" s="106"/>
      <c r="AX164" s="9"/>
    </row>
    <row r="165" spans="1:50" ht="13.05" hidden="1" customHeight="1" thickBot="1" x14ac:dyDescent="0.3">
      <c r="A165" t="str">
        <f>Nutrients!B164</f>
        <v>DPS 50</v>
      </c>
      <c r="B165" s="106"/>
      <c r="C165" s="106"/>
      <c r="D165" s="106"/>
      <c r="E165" s="106"/>
      <c r="F165" s="106"/>
      <c r="G165" s="106"/>
      <c r="H165" s="106"/>
      <c r="I165" s="106"/>
      <c r="J165" s="106"/>
      <c r="K165" s="106"/>
      <c r="L165" s="106"/>
      <c r="M165" s="106"/>
      <c r="N165" s="106"/>
      <c r="O165" s="29"/>
      <c r="P165" s="106"/>
      <c r="Q165" s="106"/>
      <c r="R165" s="106"/>
      <c r="S165" s="106"/>
      <c r="T165" s="106"/>
      <c r="U165" s="106"/>
      <c r="V165" s="9"/>
      <c r="W165" s="106"/>
      <c r="X165" s="106"/>
      <c r="Y165" s="106"/>
      <c r="Z165" s="106"/>
      <c r="AA165" s="106"/>
      <c r="AB165" s="106"/>
      <c r="AC165" s="9"/>
      <c r="AD165" s="106"/>
      <c r="AE165" s="106"/>
      <c r="AF165" s="106"/>
      <c r="AG165" s="106"/>
      <c r="AH165" s="106"/>
      <c r="AI165" s="106"/>
      <c r="AJ165" s="9"/>
      <c r="AK165" s="106"/>
      <c r="AL165" s="106"/>
      <c r="AM165" s="106"/>
      <c r="AN165" s="106"/>
      <c r="AO165" s="106"/>
      <c r="AP165" s="106"/>
      <c r="AQ165" s="9"/>
      <c r="AR165" s="106"/>
      <c r="AS165" s="106"/>
      <c r="AT165" s="106"/>
      <c r="AU165" s="106"/>
      <c r="AV165" s="106"/>
      <c r="AW165" s="106"/>
      <c r="AX165" s="9"/>
    </row>
    <row r="166" spans="1:50" ht="13.05" hidden="1" customHeight="1" thickBot="1" x14ac:dyDescent="0.3">
      <c r="A166" t="str">
        <f>Nutrients!B165</f>
        <v>PEP2+</v>
      </c>
      <c r="B166" s="106"/>
      <c r="C166" s="106"/>
      <c r="D166" s="106"/>
      <c r="E166" s="106"/>
      <c r="F166" s="106"/>
      <c r="G166" s="106"/>
      <c r="H166" s="106"/>
      <c r="I166" s="106"/>
      <c r="J166" s="106"/>
      <c r="K166" s="106"/>
      <c r="L166" s="106"/>
      <c r="M166" s="106"/>
      <c r="N166" s="106"/>
      <c r="O166" s="29"/>
      <c r="P166" s="106"/>
      <c r="Q166" s="106"/>
      <c r="R166" s="106"/>
      <c r="S166" s="106"/>
      <c r="T166" s="106"/>
      <c r="U166" s="106"/>
      <c r="V166" s="9"/>
      <c r="W166" s="106"/>
      <c r="X166" s="106"/>
      <c r="Y166" s="106"/>
      <c r="Z166" s="106"/>
      <c r="AA166" s="106"/>
      <c r="AB166" s="106"/>
      <c r="AC166" s="9"/>
      <c r="AD166" s="106"/>
      <c r="AE166" s="106"/>
      <c r="AF166" s="106"/>
      <c r="AG166" s="106"/>
      <c r="AH166" s="106"/>
      <c r="AI166" s="106"/>
      <c r="AJ166" s="9"/>
      <c r="AK166" s="106"/>
      <c r="AL166" s="106"/>
      <c r="AM166" s="106"/>
      <c r="AN166" s="106"/>
      <c r="AO166" s="106"/>
      <c r="AP166" s="106"/>
      <c r="AQ166" s="9"/>
      <c r="AR166" s="106"/>
      <c r="AS166" s="106"/>
      <c r="AT166" s="106"/>
      <c r="AU166" s="106"/>
      <c r="AV166" s="106"/>
      <c r="AW166" s="106"/>
      <c r="AX166" s="9"/>
    </row>
    <row r="167" spans="1:50" ht="13.05" hidden="1" customHeight="1" thickBot="1" x14ac:dyDescent="0.3">
      <c r="A167" t="str">
        <f>Nutrients!B166</f>
        <v>PEP NS</v>
      </c>
      <c r="B167" s="106"/>
      <c r="C167" s="106"/>
      <c r="D167" s="106"/>
      <c r="E167" s="106"/>
      <c r="F167" s="106"/>
      <c r="G167" s="106"/>
      <c r="H167" s="106"/>
      <c r="I167" s="106"/>
      <c r="J167" s="106"/>
      <c r="K167" s="106"/>
      <c r="L167" s="106"/>
      <c r="M167" s="106"/>
      <c r="N167" s="106"/>
      <c r="O167" s="29"/>
      <c r="P167" s="106"/>
      <c r="Q167" s="106"/>
      <c r="R167" s="106"/>
      <c r="S167" s="106"/>
      <c r="T167" s="106"/>
      <c r="U167" s="106"/>
      <c r="V167" s="9"/>
      <c r="W167" s="106"/>
      <c r="X167" s="106"/>
      <c r="Y167" s="106"/>
      <c r="Z167" s="106"/>
      <c r="AA167" s="106"/>
      <c r="AB167" s="106"/>
      <c r="AC167" s="9"/>
      <c r="AD167" s="106"/>
      <c r="AE167" s="106"/>
      <c r="AF167" s="106"/>
      <c r="AG167" s="106"/>
      <c r="AH167" s="106"/>
      <c r="AI167" s="106"/>
      <c r="AJ167" s="9"/>
      <c r="AK167" s="106"/>
      <c r="AL167" s="106"/>
      <c r="AM167" s="106"/>
      <c r="AN167" s="106"/>
      <c r="AO167" s="106"/>
      <c r="AP167" s="106"/>
      <c r="AQ167" s="9"/>
      <c r="AR167" s="106"/>
      <c r="AS167" s="106"/>
      <c r="AT167" s="106"/>
      <c r="AU167" s="106"/>
      <c r="AV167" s="106"/>
      <c r="AW167" s="106"/>
      <c r="AX167" s="9"/>
    </row>
    <row r="168" spans="1:50" ht="13.05" hidden="1" customHeight="1" thickBot="1" x14ac:dyDescent="0.3">
      <c r="A168" t="str">
        <f>Nutrients!B167</f>
        <v>Vitamin premix (2x) with phytase</v>
      </c>
      <c r="B168" s="106"/>
      <c r="C168" s="106"/>
      <c r="D168" s="106"/>
      <c r="E168" s="106"/>
      <c r="F168" s="106"/>
      <c r="G168" s="106"/>
      <c r="H168" s="106"/>
      <c r="I168" s="106"/>
      <c r="J168" s="106"/>
      <c r="K168" s="106"/>
      <c r="L168" s="106"/>
      <c r="M168" s="106"/>
      <c r="N168" s="106"/>
      <c r="O168" s="29"/>
      <c r="P168" s="106"/>
      <c r="Q168" s="106"/>
      <c r="R168" s="106"/>
      <c r="S168" s="106"/>
      <c r="T168" s="106"/>
      <c r="U168" s="106"/>
      <c r="V168" s="9"/>
      <c r="W168" s="106"/>
      <c r="X168" s="106"/>
      <c r="Y168" s="106"/>
      <c r="Z168" s="106"/>
      <c r="AA168" s="106"/>
      <c r="AB168" s="106"/>
      <c r="AC168" s="9"/>
      <c r="AD168" s="106"/>
      <c r="AE168" s="106"/>
      <c r="AF168" s="106"/>
      <c r="AG168" s="106"/>
      <c r="AH168" s="106"/>
      <c r="AI168" s="106"/>
      <c r="AJ168" s="9"/>
      <c r="AK168" s="106"/>
      <c r="AL168" s="106"/>
      <c r="AM168" s="106"/>
      <c r="AN168" s="106"/>
      <c r="AO168" s="106"/>
      <c r="AP168" s="106"/>
      <c r="AQ168" s="9"/>
      <c r="AR168" s="106"/>
      <c r="AS168" s="106"/>
      <c r="AT168" s="106"/>
      <c r="AU168" s="106"/>
      <c r="AV168" s="106"/>
      <c r="AW168" s="106"/>
      <c r="AX168" s="9"/>
    </row>
    <row r="169" spans="1:50" ht="13.05" hidden="1" customHeight="1" x14ac:dyDescent="0.25">
      <c r="A169" t="str">
        <f>Nutrients!B168</f>
        <v>Vitamin premix (2x) without phytase</v>
      </c>
      <c r="B169" s="106"/>
      <c r="C169" s="106"/>
      <c r="D169" s="106"/>
      <c r="E169" s="106"/>
      <c r="F169" s="106"/>
      <c r="G169" s="106"/>
      <c r="H169" s="106"/>
      <c r="I169" s="106"/>
      <c r="J169" s="106"/>
      <c r="K169" s="106"/>
      <c r="L169" s="106"/>
      <c r="M169" s="106"/>
      <c r="N169" s="106"/>
      <c r="O169" s="29"/>
      <c r="P169" s="106"/>
      <c r="Q169" s="106"/>
      <c r="R169" s="106"/>
      <c r="S169" s="106"/>
      <c r="T169" s="106"/>
      <c r="U169" s="106"/>
      <c r="V169" s="9"/>
      <c r="W169" s="106"/>
      <c r="X169" s="106"/>
      <c r="Y169" s="106"/>
      <c r="Z169" s="106"/>
      <c r="AA169" s="106"/>
      <c r="AB169" s="106"/>
      <c r="AC169" s="9"/>
      <c r="AD169" s="106"/>
      <c r="AE169" s="106"/>
      <c r="AF169" s="106"/>
      <c r="AG169" s="106"/>
      <c r="AH169" s="106"/>
      <c r="AI169" s="106"/>
      <c r="AJ169" s="9"/>
      <c r="AK169" s="106"/>
      <c r="AL169" s="106"/>
      <c r="AM169" s="106"/>
      <c r="AN169" s="106"/>
      <c r="AO169" s="106"/>
      <c r="AP169" s="106"/>
      <c r="AQ169" s="9"/>
      <c r="AR169" s="106"/>
      <c r="AS169" s="106"/>
      <c r="AT169" s="106"/>
      <c r="AU169" s="106"/>
      <c r="AV169" s="106"/>
      <c r="AW169" s="106"/>
      <c r="AX169" s="9"/>
    </row>
    <row r="170" spans="1:50" hidden="1" x14ac:dyDescent="0.25">
      <c r="A170" t="str">
        <f>Nutrients!B169</f>
        <v>Corn DDGS, 10.5% Oil</v>
      </c>
      <c r="B170" s="106"/>
      <c r="C170" s="106"/>
      <c r="D170" s="106"/>
      <c r="E170" s="106"/>
      <c r="F170" s="106"/>
      <c r="G170" s="106"/>
      <c r="H170" s="106"/>
      <c r="I170" s="106"/>
      <c r="J170" s="106"/>
      <c r="K170" s="106"/>
      <c r="L170" s="106"/>
      <c r="M170" s="106"/>
      <c r="N170" s="106"/>
      <c r="O170" s="29"/>
      <c r="P170" s="106"/>
      <c r="Q170" s="106"/>
      <c r="R170" s="106"/>
      <c r="S170" s="106"/>
      <c r="T170" s="106"/>
      <c r="U170" s="106"/>
      <c r="V170" s="9"/>
      <c r="W170" s="106"/>
      <c r="X170" s="106"/>
      <c r="Y170" s="106"/>
      <c r="Z170" s="106"/>
      <c r="AA170" s="106"/>
      <c r="AB170" s="106"/>
      <c r="AC170" s="9"/>
      <c r="AD170" s="106"/>
      <c r="AE170" s="106"/>
      <c r="AF170" s="106"/>
      <c r="AG170" s="106"/>
      <c r="AH170" s="106"/>
      <c r="AI170" s="106"/>
      <c r="AJ170" s="9"/>
      <c r="AK170" s="106"/>
      <c r="AL170" s="106"/>
      <c r="AM170" s="106"/>
      <c r="AN170" s="106"/>
      <c r="AO170" s="106"/>
      <c r="AP170" s="106"/>
      <c r="AQ170" s="9"/>
      <c r="AR170" s="106"/>
      <c r="AS170" s="106"/>
      <c r="AT170" s="106"/>
      <c r="AU170" s="106"/>
      <c r="AV170" s="106"/>
      <c r="AW170" s="106"/>
      <c r="AX170" s="9"/>
    </row>
    <row r="171" spans="1:50" hidden="1" x14ac:dyDescent="0.25">
      <c r="A171" t="str">
        <f>Nutrients!B170</f>
        <v>Corn DDGS, 7.5% Oil</v>
      </c>
      <c r="B171" s="106"/>
      <c r="C171" s="106"/>
      <c r="D171" s="106"/>
      <c r="E171" s="106"/>
      <c r="F171" s="106"/>
      <c r="G171" s="106"/>
      <c r="H171" s="106"/>
      <c r="I171" s="106"/>
      <c r="J171" s="106"/>
      <c r="K171" s="106"/>
      <c r="L171" s="106"/>
      <c r="M171" s="106"/>
      <c r="N171" s="106"/>
      <c r="O171" s="29"/>
      <c r="P171" s="106"/>
      <c r="Q171" s="106"/>
      <c r="R171" s="106"/>
      <c r="S171" s="106"/>
      <c r="T171" s="106"/>
      <c r="U171" s="106"/>
      <c r="V171" s="9"/>
      <c r="W171" s="106"/>
      <c r="X171" s="106"/>
      <c r="Y171" s="106"/>
      <c r="Z171" s="106"/>
      <c r="AA171" s="106"/>
      <c r="AB171" s="106"/>
      <c r="AC171" s="9"/>
      <c r="AD171" s="106"/>
      <c r="AE171" s="106"/>
      <c r="AF171" s="106"/>
      <c r="AG171" s="106"/>
      <c r="AH171" s="106"/>
      <c r="AI171" s="106"/>
      <c r="AJ171" s="9"/>
      <c r="AK171" s="106"/>
      <c r="AL171" s="106"/>
      <c r="AM171" s="106"/>
      <c r="AN171" s="106"/>
      <c r="AO171" s="106"/>
      <c r="AP171" s="106"/>
      <c r="AQ171" s="9"/>
      <c r="AR171" s="106"/>
      <c r="AS171" s="106"/>
      <c r="AT171" s="106"/>
      <c r="AU171" s="106"/>
      <c r="AV171" s="106"/>
      <c r="AW171" s="106"/>
      <c r="AX171" s="9"/>
    </row>
    <row r="172" spans="1:50" ht="12.75" hidden="1" customHeight="1" thickBot="1" x14ac:dyDescent="0.3">
      <c r="A172" t="str">
        <f>Nutrients!B171</f>
        <v>Corn DDGS, 4.5% Oil</v>
      </c>
      <c r="B172" s="106"/>
      <c r="C172" s="106"/>
      <c r="D172" s="106"/>
      <c r="E172" s="106"/>
      <c r="F172" s="106"/>
      <c r="G172" s="106"/>
      <c r="H172" s="106"/>
      <c r="I172" s="106"/>
      <c r="J172" s="106"/>
      <c r="K172" s="106"/>
      <c r="L172" s="106"/>
      <c r="M172" s="106"/>
      <c r="N172" s="106"/>
      <c r="O172" s="29"/>
      <c r="P172" s="106"/>
      <c r="Q172" s="106"/>
      <c r="R172" s="106"/>
      <c r="S172" s="106"/>
      <c r="T172" s="106"/>
      <c r="U172" s="106"/>
      <c r="V172" s="9"/>
      <c r="W172" s="106"/>
      <c r="X172" s="106"/>
      <c r="Y172" s="106"/>
      <c r="Z172" s="106"/>
      <c r="AA172" s="106"/>
      <c r="AB172" s="106"/>
      <c r="AC172" s="9"/>
      <c r="AD172" s="106"/>
      <c r="AE172" s="106"/>
      <c r="AF172" s="106"/>
      <c r="AG172" s="106"/>
      <c r="AH172" s="106"/>
      <c r="AI172" s="106"/>
      <c r="AJ172" s="9"/>
      <c r="AK172" s="106"/>
      <c r="AL172" s="106"/>
      <c r="AM172" s="106"/>
      <c r="AN172" s="106"/>
      <c r="AO172" s="106"/>
      <c r="AP172" s="106"/>
      <c r="AQ172" s="9"/>
      <c r="AR172" s="106"/>
      <c r="AS172" s="106"/>
      <c r="AT172" s="106"/>
      <c r="AU172" s="106"/>
      <c r="AV172" s="106"/>
      <c r="AW172" s="106"/>
      <c r="AX172" s="9"/>
    </row>
    <row r="173" spans="1:50" ht="13.05" hidden="1" customHeight="1" thickBot="1" x14ac:dyDescent="0.3">
      <c r="A173" t="str">
        <f>Nutrients!B172</f>
        <v>MEPRO Hubbard</v>
      </c>
      <c r="B173" s="106"/>
      <c r="C173" s="106"/>
      <c r="D173" s="106"/>
      <c r="E173" s="106"/>
      <c r="F173" s="106"/>
      <c r="G173" s="106"/>
      <c r="H173" s="106"/>
      <c r="I173" s="106"/>
      <c r="J173" s="106"/>
      <c r="K173" s="106"/>
      <c r="L173" s="106"/>
      <c r="M173" s="106"/>
      <c r="N173" s="106"/>
      <c r="O173" s="29"/>
      <c r="P173" s="106"/>
      <c r="Q173" s="106"/>
      <c r="R173" s="106"/>
      <c r="S173" s="106"/>
      <c r="T173" s="106"/>
      <c r="U173" s="106"/>
      <c r="V173" s="9"/>
      <c r="W173" s="106"/>
      <c r="X173" s="106"/>
      <c r="Y173" s="106"/>
      <c r="Z173" s="106"/>
      <c r="AA173" s="106"/>
      <c r="AB173" s="106"/>
      <c r="AC173" s="9"/>
      <c r="AD173" s="106"/>
      <c r="AE173" s="106"/>
      <c r="AF173" s="106"/>
      <c r="AG173" s="106"/>
      <c r="AH173" s="106"/>
      <c r="AI173" s="106"/>
      <c r="AJ173" s="9"/>
      <c r="AK173" s="106"/>
      <c r="AL173" s="106"/>
      <c r="AM173" s="106"/>
      <c r="AN173" s="106"/>
      <c r="AO173" s="106"/>
      <c r="AP173" s="106"/>
      <c r="AQ173" s="9"/>
      <c r="AR173" s="106"/>
      <c r="AS173" s="106"/>
      <c r="AT173" s="106"/>
      <c r="AU173" s="106"/>
      <c r="AV173" s="106"/>
      <c r="AW173" s="106"/>
      <c r="AX173" s="9"/>
    </row>
    <row r="174" spans="1:50" ht="13.05" hidden="1" customHeight="1" thickBot="1" x14ac:dyDescent="0.3">
      <c r="A174" t="str">
        <f>Nutrients!B173</f>
        <v>HP 300 Apr 2022 loadings</v>
      </c>
      <c r="B174" s="106"/>
      <c r="C174" s="106"/>
      <c r="D174" s="106"/>
      <c r="E174" s="106"/>
      <c r="F174" s="106"/>
      <c r="G174" s="106"/>
      <c r="H174" s="106"/>
      <c r="I174" s="106"/>
      <c r="J174" s="106"/>
      <c r="K174" s="106"/>
      <c r="L174" s="106"/>
      <c r="M174" s="106"/>
      <c r="N174" s="106"/>
      <c r="O174" s="29"/>
      <c r="P174" s="106"/>
      <c r="Q174" s="106"/>
      <c r="R174" s="106"/>
      <c r="S174" s="106"/>
      <c r="T174" s="106"/>
      <c r="U174" s="106"/>
      <c r="V174" s="9"/>
      <c r="W174" s="106"/>
      <c r="X174" s="106"/>
      <c r="Y174" s="106"/>
      <c r="Z174" s="106"/>
      <c r="AA174" s="106"/>
      <c r="AB174" s="106"/>
      <c r="AC174" s="9"/>
      <c r="AD174" s="106"/>
      <c r="AE174" s="106"/>
      <c r="AF174" s="106"/>
      <c r="AG174" s="106"/>
      <c r="AH174" s="106"/>
      <c r="AI174" s="106"/>
      <c r="AJ174" s="9"/>
      <c r="AK174" s="106"/>
      <c r="AL174" s="106"/>
      <c r="AM174" s="106"/>
      <c r="AN174" s="106"/>
      <c r="AO174" s="106"/>
      <c r="AP174" s="106"/>
      <c r="AQ174" s="9"/>
      <c r="AR174" s="106"/>
      <c r="AS174" s="106"/>
      <c r="AT174" s="106"/>
      <c r="AU174" s="106"/>
      <c r="AV174" s="106"/>
      <c r="AW174" s="106"/>
      <c r="AX174" s="9"/>
    </row>
    <row r="175" spans="1:50" ht="13.05" hidden="1" customHeight="1" thickBot="1" x14ac:dyDescent="0.3">
      <c r="A175" t="str">
        <f>Nutrients!B174</f>
        <v>Glycine</v>
      </c>
      <c r="B175" s="106"/>
      <c r="C175" s="106"/>
      <c r="D175" s="106"/>
      <c r="E175" s="106"/>
      <c r="F175" s="106"/>
      <c r="G175" s="106"/>
      <c r="H175" s="106"/>
      <c r="I175" s="106"/>
      <c r="J175" s="106"/>
      <c r="K175" s="106"/>
      <c r="L175" s="106"/>
      <c r="M175" s="106"/>
      <c r="N175" s="106"/>
      <c r="O175" s="29"/>
      <c r="P175" s="106"/>
      <c r="Q175" s="106"/>
      <c r="R175" s="106"/>
      <c r="S175" s="106"/>
      <c r="T175" s="106"/>
      <c r="U175" s="106"/>
      <c r="V175" s="9"/>
      <c r="W175" s="106"/>
      <c r="X175" s="106"/>
      <c r="Y175" s="106"/>
      <c r="Z175" s="106"/>
      <c r="AA175" s="106"/>
      <c r="AB175" s="106"/>
      <c r="AC175" s="9"/>
      <c r="AD175" s="106"/>
      <c r="AE175" s="106"/>
      <c r="AF175" s="106"/>
      <c r="AG175" s="106"/>
      <c r="AH175" s="106"/>
      <c r="AI175" s="106"/>
      <c r="AJ175" s="9"/>
      <c r="AK175" s="106"/>
      <c r="AL175" s="106"/>
      <c r="AM175" s="106"/>
      <c r="AN175" s="106"/>
      <c r="AO175" s="106"/>
      <c r="AP175" s="106"/>
      <c r="AQ175" s="9"/>
      <c r="AR175" s="106"/>
      <c r="AS175" s="106"/>
      <c r="AT175" s="106"/>
      <c r="AU175" s="106"/>
      <c r="AV175" s="106"/>
      <c r="AW175" s="106"/>
      <c r="AX175" s="9"/>
    </row>
    <row r="176" spans="1:50" ht="13.05" hidden="1" customHeight="1" thickBot="1" x14ac:dyDescent="0.3">
      <c r="A176" t="str">
        <f>Nutrients!B175</f>
        <v>Phase 2 supplement 2018</v>
      </c>
      <c r="B176" s="106"/>
      <c r="C176" s="106"/>
      <c r="D176" s="106"/>
      <c r="E176" s="106"/>
      <c r="F176" s="106"/>
      <c r="G176" s="106"/>
      <c r="H176" s="106"/>
      <c r="I176" s="106"/>
      <c r="J176" s="106"/>
      <c r="K176" s="106"/>
      <c r="L176" s="106"/>
      <c r="M176" s="106"/>
      <c r="N176" s="106"/>
      <c r="O176" s="29"/>
      <c r="P176" s="106"/>
      <c r="Q176" s="106"/>
      <c r="R176" s="106"/>
      <c r="S176" s="106"/>
      <c r="T176" s="106"/>
      <c r="U176" s="106"/>
      <c r="V176" s="9"/>
      <c r="W176" s="106"/>
      <c r="X176" s="106"/>
      <c r="Y176" s="106"/>
      <c r="Z176" s="106"/>
      <c r="AA176" s="106"/>
      <c r="AB176" s="106"/>
      <c r="AC176" s="9"/>
      <c r="AD176" s="106"/>
      <c r="AE176" s="106"/>
      <c r="AF176" s="106"/>
      <c r="AG176" s="106"/>
      <c r="AH176" s="106"/>
      <c r="AI176" s="106"/>
      <c r="AJ176" s="9"/>
      <c r="AK176" s="106"/>
      <c r="AL176" s="106"/>
      <c r="AM176" s="106"/>
      <c r="AN176" s="106"/>
      <c r="AO176" s="106"/>
      <c r="AP176" s="106"/>
      <c r="AQ176" s="9"/>
      <c r="AR176" s="106"/>
      <c r="AS176" s="106"/>
      <c r="AT176" s="106"/>
      <c r="AU176" s="106"/>
      <c r="AV176" s="106"/>
      <c r="AW176" s="106"/>
      <c r="AX176" s="9"/>
    </row>
    <row r="177" spans="1:50" ht="13.05" hidden="1" customHeight="1" thickBot="1" x14ac:dyDescent="0.3">
      <c r="A177" t="str">
        <f>Nutrients!B176</f>
        <v>Fermex 200</v>
      </c>
      <c r="B177" s="106"/>
      <c r="C177" s="106"/>
      <c r="D177" s="106"/>
      <c r="E177" s="106"/>
      <c r="F177" s="106"/>
      <c r="G177" s="106"/>
      <c r="H177" s="106"/>
      <c r="I177" s="106"/>
      <c r="J177" s="106"/>
      <c r="K177" s="106"/>
      <c r="L177" s="106"/>
      <c r="M177" s="106"/>
      <c r="N177" s="106"/>
      <c r="O177" s="29"/>
      <c r="P177" s="106"/>
      <c r="Q177" s="106"/>
      <c r="R177" s="106"/>
      <c r="S177" s="106"/>
      <c r="T177" s="106"/>
      <c r="U177" s="106"/>
      <c r="V177" s="9"/>
      <c r="W177" s="106"/>
      <c r="X177" s="106"/>
      <c r="Y177" s="106"/>
      <c r="Z177" s="106"/>
      <c r="AA177" s="106"/>
      <c r="AB177" s="106"/>
      <c r="AC177" s="9"/>
      <c r="AD177" s="106"/>
      <c r="AE177" s="106"/>
      <c r="AF177" s="106"/>
      <c r="AG177" s="106"/>
      <c r="AH177" s="106"/>
      <c r="AI177" s="106"/>
      <c r="AJ177" s="9"/>
      <c r="AK177" s="106"/>
      <c r="AL177" s="106"/>
      <c r="AM177" s="106"/>
      <c r="AN177" s="106"/>
      <c r="AO177" s="106"/>
      <c r="AP177" s="106"/>
      <c r="AQ177" s="9"/>
      <c r="AR177" s="106"/>
      <c r="AS177" s="106"/>
      <c r="AT177" s="106"/>
      <c r="AU177" s="106"/>
      <c r="AV177" s="106"/>
      <c r="AW177" s="106"/>
      <c r="AX177" s="9"/>
    </row>
    <row r="178" spans="1:50" ht="13.05" hidden="1" customHeight="1" thickBot="1" x14ac:dyDescent="0.3">
      <c r="A178" t="str">
        <f>Nutrients!B177</f>
        <v>Soybean meal with 88% NE of corn</v>
      </c>
      <c r="B178" s="106"/>
      <c r="C178" s="106"/>
      <c r="D178" s="106"/>
      <c r="E178" s="106"/>
      <c r="F178" s="106"/>
      <c r="G178" s="106"/>
      <c r="H178" s="106"/>
      <c r="I178" s="106"/>
      <c r="J178" s="106"/>
      <c r="K178" s="106"/>
      <c r="L178" s="106"/>
      <c r="M178" s="106"/>
      <c r="N178" s="106"/>
      <c r="O178" s="29"/>
      <c r="P178" s="106"/>
      <c r="Q178" s="106"/>
      <c r="R178" s="106"/>
      <c r="S178" s="106"/>
      <c r="T178" s="106"/>
      <c r="U178" s="106"/>
      <c r="V178" s="9"/>
      <c r="W178" s="106"/>
      <c r="X178" s="106"/>
      <c r="Y178" s="106"/>
      <c r="Z178" s="106"/>
      <c r="AA178" s="106"/>
      <c r="AB178" s="106"/>
      <c r="AC178" s="9"/>
      <c r="AD178" s="106"/>
      <c r="AE178" s="106"/>
      <c r="AF178" s="106"/>
      <c r="AG178" s="106"/>
      <c r="AH178" s="106"/>
      <c r="AI178" s="106"/>
      <c r="AJ178" s="9"/>
      <c r="AK178" s="106"/>
      <c r="AL178" s="106"/>
      <c r="AM178" s="106"/>
      <c r="AN178" s="106"/>
      <c r="AO178" s="106"/>
      <c r="AP178" s="106"/>
      <c r="AQ178" s="9"/>
      <c r="AR178" s="106"/>
      <c r="AS178" s="106"/>
      <c r="AT178" s="106"/>
      <c r="AU178" s="106"/>
      <c r="AV178" s="106"/>
      <c r="AW178" s="106"/>
      <c r="AX178" s="9"/>
    </row>
    <row r="179" spans="1:50" ht="13.05" hidden="1" customHeight="1" thickBot="1" x14ac:dyDescent="0.3">
      <c r="A179" t="str">
        <f>Nutrients!B178</f>
        <v>Blue Dye NFP</v>
      </c>
      <c r="B179" s="106"/>
      <c r="C179" s="106"/>
      <c r="D179" s="106"/>
      <c r="E179" s="106"/>
      <c r="F179" s="106"/>
      <c r="G179" s="106"/>
      <c r="H179" s="106"/>
      <c r="I179" s="106"/>
      <c r="J179" s="106"/>
      <c r="K179" s="106"/>
      <c r="L179" s="106"/>
      <c r="M179" s="106"/>
      <c r="N179" s="106"/>
      <c r="O179" s="29"/>
      <c r="P179" s="106"/>
      <c r="Q179" s="106"/>
      <c r="R179" s="106"/>
      <c r="S179" s="106"/>
      <c r="T179" s="106"/>
      <c r="U179" s="106"/>
      <c r="V179" s="9"/>
      <c r="W179" s="106"/>
      <c r="X179" s="106"/>
      <c r="Y179" s="106"/>
      <c r="Z179" s="106"/>
      <c r="AA179" s="106"/>
      <c r="AB179" s="106"/>
      <c r="AC179" s="9"/>
      <c r="AD179" s="106"/>
      <c r="AE179" s="106"/>
      <c r="AF179" s="106"/>
      <c r="AG179" s="106"/>
      <c r="AH179" s="106"/>
      <c r="AI179" s="106"/>
      <c r="AJ179" s="9"/>
      <c r="AK179" s="106"/>
      <c r="AL179" s="106"/>
      <c r="AM179" s="106"/>
      <c r="AN179" s="106"/>
      <c r="AO179" s="106"/>
      <c r="AP179" s="106"/>
      <c r="AQ179" s="9"/>
      <c r="AR179" s="106"/>
      <c r="AS179" s="106"/>
      <c r="AT179" s="106"/>
      <c r="AU179" s="106"/>
      <c r="AV179" s="106"/>
      <c r="AW179" s="106"/>
      <c r="AX179" s="9"/>
    </row>
    <row r="180" spans="1:50" ht="13.05" hidden="1" customHeight="1" thickBot="1" x14ac:dyDescent="0.3">
      <c r="A180" t="str">
        <f>Nutrients!B179</f>
        <v>HP 300 2022 NFP</v>
      </c>
      <c r="B180" s="106"/>
      <c r="C180" s="106"/>
      <c r="D180" s="106"/>
      <c r="E180" s="106"/>
      <c r="F180" s="106"/>
      <c r="G180" s="106"/>
      <c r="H180" s="106"/>
      <c r="I180" s="106"/>
      <c r="J180" s="106"/>
      <c r="K180" s="106"/>
      <c r="L180" s="106"/>
      <c r="M180" s="106"/>
      <c r="N180" s="106"/>
      <c r="O180" s="29"/>
      <c r="P180" s="106"/>
      <c r="Q180" s="106"/>
      <c r="R180" s="106"/>
      <c r="S180" s="106"/>
      <c r="T180" s="106"/>
      <c r="U180" s="106"/>
      <c r="V180" s="9"/>
      <c r="W180" s="106"/>
      <c r="X180" s="106"/>
      <c r="Y180" s="106"/>
      <c r="Z180" s="106"/>
      <c r="AA180" s="106"/>
      <c r="AB180" s="106"/>
      <c r="AC180" s="9"/>
      <c r="AD180" s="106"/>
      <c r="AE180" s="106"/>
      <c r="AF180" s="106"/>
      <c r="AG180" s="106"/>
      <c r="AH180" s="106"/>
      <c r="AI180" s="106"/>
      <c r="AJ180" s="9"/>
      <c r="AK180" s="106"/>
      <c r="AL180" s="106"/>
      <c r="AM180" s="106"/>
      <c r="AN180" s="106"/>
      <c r="AO180" s="106"/>
      <c r="AP180" s="106"/>
      <c r="AQ180" s="9"/>
      <c r="AR180" s="106"/>
      <c r="AS180" s="106"/>
      <c r="AT180" s="106"/>
      <c r="AU180" s="106"/>
      <c r="AV180" s="106"/>
      <c r="AW180" s="106"/>
      <c r="AX180" s="9"/>
    </row>
    <row r="181" spans="1:50" ht="13.05" hidden="1" customHeight="1" thickBot="1" x14ac:dyDescent="0.3">
      <c r="A181" t="str">
        <f>Nutrients!B180</f>
        <v>AX3 Digest NFP</v>
      </c>
      <c r="B181" s="106"/>
      <c r="C181" s="106"/>
      <c r="D181" s="106"/>
      <c r="E181" s="106"/>
      <c r="F181" s="106"/>
      <c r="G181" s="106"/>
      <c r="H181" s="106"/>
      <c r="I181" s="106"/>
      <c r="J181" s="106"/>
      <c r="K181" s="106"/>
      <c r="L181" s="106"/>
      <c r="M181" s="106"/>
      <c r="N181" s="106"/>
      <c r="O181" s="29"/>
      <c r="P181" s="106"/>
      <c r="Q181" s="106"/>
      <c r="R181" s="106"/>
      <c r="S181" s="106"/>
      <c r="T181" s="106"/>
      <c r="U181" s="106"/>
      <c r="V181" s="9"/>
      <c r="W181" s="106"/>
      <c r="X181" s="106"/>
      <c r="Y181" s="106"/>
      <c r="Z181" s="106"/>
      <c r="AA181" s="106"/>
      <c r="AB181" s="106"/>
      <c r="AC181" s="9"/>
      <c r="AD181" s="106"/>
      <c r="AE181" s="106"/>
      <c r="AF181" s="106"/>
      <c r="AG181" s="106"/>
      <c r="AH181" s="106"/>
      <c r="AI181" s="106"/>
      <c r="AJ181" s="9"/>
      <c r="AK181" s="106"/>
      <c r="AL181" s="106"/>
      <c r="AM181" s="106"/>
      <c r="AN181" s="106"/>
      <c r="AO181" s="106"/>
      <c r="AP181" s="106"/>
      <c r="AQ181" s="9"/>
      <c r="AR181" s="106"/>
      <c r="AS181" s="106"/>
      <c r="AT181" s="106"/>
      <c r="AU181" s="106"/>
      <c r="AV181" s="106"/>
      <c r="AW181" s="106"/>
      <c r="AX181" s="9"/>
    </row>
    <row r="182" spans="1:50" ht="13.05" hidden="1" customHeight="1" thickBot="1" x14ac:dyDescent="0.3">
      <c r="A182" t="str">
        <f>Nutrients!B181</f>
        <v>Phase 2 supplement 2018 NFP</v>
      </c>
      <c r="B182" s="106"/>
      <c r="C182" s="106"/>
      <c r="D182" s="106"/>
      <c r="E182" s="106"/>
      <c r="F182" s="106"/>
      <c r="G182" s="106"/>
      <c r="H182" s="106"/>
      <c r="I182" s="106"/>
      <c r="J182" s="106"/>
      <c r="K182" s="106"/>
      <c r="L182" s="106"/>
      <c r="M182" s="106"/>
      <c r="N182" s="106"/>
      <c r="O182" s="29"/>
      <c r="P182" s="106"/>
      <c r="Q182" s="106"/>
      <c r="R182" s="106"/>
      <c r="S182" s="106"/>
      <c r="T182" s="106"/>
      <c r="U182" s="106"/>
      <c r="V182" s="9"/>
      <c r="W182" s="106"/>
      <c r="X182" s="106"/>
      <c r="Y182" s="106"/>
      <c r="Z182" s="106"/>
      <c r="AA182" s="106"/>
      <c r="AB182" s="106"/>
      <c r="AC182" s="9"/>
      <c r="AD182" s="106"/>
      <c r="AE182" s="106"/>
      <c r="AF182" s="106"/>
      <c r="AG182" s="106"/>
      <c r="AH182" s="106"/>
      <c r="AI182" s="106"/>
      <c r="AJ182" s="9"/>
      <c r="AK182" s="106"/>
      <c r="AL182" s="106"/>
      <c r="AM182" s="106"/>
      <c r="AN182" s="106"/>
      <c r="AO182" s="106"/>
      <c r="AP182" s="106"/>
      <c r="AQ182" s="9"/>
      <c r="AR182" s="106"/>
      <c r="AS182" s="106"/>
      <c r="AT182" s="106"/>
      <c r="AU182" s="106"/>
      <c r="AV182" s="106"/>
      <c r="AW182" s="106"/>
      <c r="AX182" s="9"/>
    </row>
    <row r="183" spans="1:50" ht="13.05" hidden="1" customHeight="1" thickBot="1" x14ac:dyDescent="0.3">
      <c r="A183" t="str">
        <f>Nutrients!B182</f>
        <v>Femex 200 NFP</v>
      </c>
      <c r="B183" s="106"/>
      <c r="C183" s="106"/>
      <c r="D183" s="106"/>
      <c r="E183" s="106"/>
      <c r="F183" s="106"/>
      <c r="G183" s="106"/>
      <c r="H183" s="106"/>
      <c r="I183" s="106"/>
      <c r="J183" s="106"/>
      <c r="K183" s="106"/>
      <c r="L183" s="106"/>
      <c r="M183" s="106"/>
      <c r="N183" s="106"/>
      <c r="O183" s="29"/>
      <c r="P183" s="106"/>
      <c r="Q183" s="106"/>
      <c r="R183" s="106"/>
      <c r="S183" s="106"/>
      <c r="T183" s="106"/>
      <c r="U183" s="106"/>
      <c r="V183" s="9"/>
      <c r="W183" s="106"/>
      <c r="X183" s="106"/>
      <c r="Y183" s="106"/>
      <c r="Z183" s="106"/>
      <c r="AA183" s="106"/>
      <c r="AB183" s="106"/>
      <c r="AC183" s="9"/>
      <c r="AD183" s="106"/>
      <c r="AE183" s="106"/>
      <c r="AF183" s="106"/>
      <c r="AG183" s="106"/>
      <c r="AH183" s="106"/>
      <c r="AI183" s="106"/>
      <c r="AJ183" s="9"/>
      <c r="AK183" s="106"/>
      <c r="AL183" s="106"/>
      <c r="AM183" s="106"/>
      <c r="AN183" s="106"/>
      <c r="AO183" s="106"/>
      <c r="AP183" s="106"/>
      <c r="AQ183" s="9"/>
      <c r="AR183" s="106"/>
      <c r="AS183" s="106"/>
      <c r="AT183" s="106"/>
      <c r="AU183" s="106"/>
      <c r="AV183" s="106"/>
      <c r="AW183" s="106"/>
      <c r="AX183" s="9"/>
    </row>
    <row r="184" spans="1:50" ht="13.05" hidden="1" customHeight="1" thickBot="1" x14ac:dyDescent="0.3">
      <c r="A184" t="str">
        <f>Nutrients!B183</f>
        <v xml:space="preserve">NFP Soybean meal w/88% NE of corn </v>
      </c>
      <c r="B184" s="106"/>
      <c r="C184" s="106"/>
      <c r="D184" s="106"/>
      <c r="E184" s="106"/>
      <c r="F184" s="106"/>
      <c r="G184" s="106"/>
      <c r="H184" s="106"/>
      <c r="I184" s="106"/>
      <c r="J184" s="106"/>
      <c r="K184" s="106"/>
      <c r="L184" s="106"/>
      <c r="M184" s="106"/>
      <c r="N184" s="106"/>
      <c r="O184" s="29"/>
      <c r="P184" s="106"/>
      <c r="Q184" s="106"/>
      <c r="R184" s="106"/>
      <c r="S184" s="106"/>
      <c r="T184" s="106"/>
      <c r="U184" s="106"/>
      <c r="V184" s="9"/>
      <c r="W184" s="106"/>
      <c r="X184" s="106"/>
      <c r="Y184" s="106"/>
      <c r="Z184" s="106"/>
      <c r="AA184" s="106"/>
      <c r="AB184" s="106"/>
      <c r="AC184" s="9"/>
      <c r="AD184" s="106"/>
      <c r="AE184" s="106"/>
      <c r="AF184" s="106"/>
      <c r="AG184" s="106"/>
      <c r="AH184" s="106"/>
      <c r="AI184" s="106"/>
      <c r="AJ184" s="9"/>
      <c r="AK184" s="106"/>
      <c r="AL184" s="106"/>
      <c r="AM184" s="106"/>
      <c r="AN184" s="106"/>
      <c r="AO184" s="106"/>
      <c r="AP184" s="106"/>
      <c r="AQ184" s="9"/>
      <c r="AR184" s="106"/>
      <c r="AS184" s="106"/>
      <c r="AT184" s="106"/>
      <c r="AU184" s="106"/>
      <c r="AV184" s="106"/>
      <c r="AW184" s="106"/>
      <c r="AX184" s="9"/>
    </row>
    <row r="185" spans="1:50" ht="13.05" hidden="1" customHeight="1" thickBot="1" x14ac:dyDescent="0.3">
      <c r="A185" t="str">
        <f>Nutrients!B184</f>
        <v>AV-E Digest NFP</v>
      </c>
      <c r="B185" s="106"/>
      <c r="C185" s="106"/>
      <c r="D185" s="106"/>
      <c r="E185" s="106"/>
      <c r="F185" s="106"/>
      <c r="G185" s="106"/>
      <c r="H185" s="106"/>
      <c r="I185" s="106"/>
      <c r="J185" s="106"/>
      <c r="K185" s="106"/>
      <c r="L185" s="106"/>
      <c r="M185" s="106"/>
      <c r="N185" s="106"/>
      <c r="O185" s="29"/>
      <c r="P185" s="106"/>
      <c r="Q185" s="106"/>
      <c r="R185" s="106"/>
      <c r="S185" s="106"/>
      <c r="T185" s="106"/>
      <c r="U185" s="106"/>
      <c r="V185" s="9"/>
      <c r="W185" s="106"/>
      <c r="X185" s="106"/>
      <c r="Y185" s="106"/>
      <c r="Z185" s="106"/>
      <c r="AA185" s="106"/>
      <c r="AB185" s="106"/>
      <c r="AC185" s="9"/>
      <c r="AD185" s="106"/>
      <c r="AE185" s="106"/>
      <c r="AF185" s="106"/>
      <c r="AG185" s="106"/>
      <c r="AH185" s="106"/>
      <c r="AI185" s="106"/>
      <c r="AJ185" s="9"/>
      <c r="AK185" s="106"/>
      <c r="AL185" s="106"/>
      <c r="AM185" s="106"/>
      <c r="AN185" s="106"/>
      <c r="AO185" s="106"/>
      <c r="AP185" s="106"/>
      <c r="AQ185" s="9"/>
      <c r="AR185" s="106"/>
      <c r="AS185" s="106"/>
      <c r="AT185" s="106"/>
      <c r="AU185" s="106"/>
      <c r="AV185" s="106"/>
      <c r="AW185" s="106"/>
      <c r="AX185" s="9"/>
    </row>
    <row r="186" spans="1:50" ht="13.05" hidden="1" customHeight="1" thickBot="1" x14ac:dyDescent="0.3">
      <c r="A186" t="str">
        <f>Nutrients!B185</f>
        <v>QFP Cereal Blend NFP</v>
      </c>
      <c r="B186" s="106"/>
      <c r="C186" s="106"/>
      <c r="D186" s="106"/>
      <c r="E186" s="106"/>
      <c r="F186" s="106"/>
      <c r="G186" s="106"/>
      <c r="H186" s="106"/>
      <c r="I186" s="106"/>
      <c r="J186" s="106"/>
      <c r="K186" s="106"/>
      <c r="L186" s="106"/>
      <c r="M186" s="106"/>
      <c r="N186" s="106"/>
      <c r="O186" s="29"/>
      <c r="P186" s="106"/>
      <c r="Q186" s="106"/>
      <c r="R186" s="106"/>
      <c r="S186" s="106"/>
      <c r="T186" s="106"/>
      <c r="U186" s="106"/>
      <c r="V186" s="9"/>
      <c r="W186" s="106"/>
      <c r="X186" s="106"/>
      <c r="Y186" s="106"/>
      <c r="Z186" s="106"/>
      <c r="AA186" s="106"/>
      <c r="AB186" s="106"/>
      <c r="AC186" s="9"/>
      <c r="AD186" s="106"/>
      <c r="AE186" s="106"/>
      <c r="AF186" s="106"/>
      <c r="AG186" s="106"/>
      <c r="AH186" s="106"/>
      <c r="AI186" s="106"/>
      <c r="AJ186" s="9"/>
      <c r="AK186" s="106"/>
      <c r="AL186" s="106"/>
      <c r="AM186" s="106"/>
      <c r="AN186" s="106"/>
      <c r="AO186" s="106"/>
      <c r="AP186" s="106"/>
      <c r="AQ186" s="9"/>
      <c r="AR186" s="106"/>
      <c r="AS186" s="106"/>
      <c r="AT186" s="106"/>
      <c r="AU186" s="106"/>
      <c r="AV186" s="106"/>
      <c r="AW186" s="106"/>
      <c r="AX186" s="9"/>
    </row>
    <row r="187" spans="1:50" ht="13.05" hidden="1" customHeight="1" thickBot="1" x14ac:dyDescent="0.3">
      <c r="A187" t="str">
        <f>Nutrients!B186</f>
        <v>FXP Ani-Tek NFP</v>
      </c>
      <c r="B187" s="106"/>
      <c r="C187" s="106"/>
      <c r="D187" s="106"/>
      <c r="E187" s="106"/>
      <c r="F187" s="106"/>
      <c r="G187" s="106"/>
      <c r="H187" s="106"/>
      <c r="I187" s="106"/>
      <c r="J187" s="106"/>
      <c r="K187" s="106"/>
      <c r="L187" s="106"/>
      <c r="M187" s="106"/>
      <c r="N187" s="106"/>
      <c r="O187" s="29"/>
      <c r="P187" s="106"/>
      <c r="Q187" s="106"/>
      <c r="R187" s="106"/>
      <c r="S187" s="106"/>
      <c r="T187" s="106"/>
      <c r="U187" s="106"/>
      <c r="V187" s="9"/>
      <c r="W187" s="106"/>
      <c r="X187" s="106"/>
      <c r="Y187" s="106"/>
      <c r="Z187" s="106"/>
      <c r="AA187" s="106"/>
      <c r="AB187" s="106"/>
      <c r="AC187" s="9"/>
      <c r="AD187" s="106"/>
      <c r="AE187" s="106"/>
      <c r="AF187" s="106"/>
      <c r="AG187" s="106"/>
      <c r="AH187" s="106"/>
      <c r="AI187" s="106"/>
      <c r="AJ187" s="9"/>
      <c r="AK187" s="106"/>
      <c r="AL187" s="106"/>
      <c r="AM187" s="106"/>
      <c r="AN187" s="106"/>
      <c r="AO187" s="106"/>
      <c r="AP187" s="106"/>
      <c r="AQ187" s="9"/>
      <c r="AR187" s="106"/>
      <c r="AS187" s="106"/>
      <c r="AT187" s="106"/>
      <c r="AU187" s="106"/>
      <c r="AV187" s="106"/>
      <c r="AW187" s="106"/>
      <c r="AX187" s="9"/>
    </row>
    <row r="188" spans="1:50" ht="13.05" hidden="1" customHeight="1" thickBot="1" x14ac:dyDescent="0.3">
      <c r="A188" t="str">
        <f>Nutrients!B187</f>
        <v>NFP VTM Grower (2021)</v>
      </c>
      <c r="B188" s="106"/>
      <c r="C188" s="106"/>
      <c r="D188" s="106"/>
      <c r="E188" s="106"/>
      <c r="F188" s="106"/>
      <c r="G188" s="106"/>
      <c r="H188" s="106"/>
      <c r="I188" s="106"/>
      <c r="J188" s="106"/>
      <c r="K188" s="106"/>
      <c r="L188" s="106"/>
      <c r="M188" s="106"/>
      <c r="N188" s="106"/>
      <c r="O188" s="29"/>
      <c r="P188" s="106"/>
      <c r="Q188" s="106"/>
      <c r="R188" s="106"/>
      <c r="S188" s="106"/>
      <c r="T188" s="106"/>
      <c r="U188" s="106"/>
      <c r="V188" s="9"/>
      <c r="W188" s="106"/>
      <c r="X188" s="106"/>
      <c r="Y188" s="106"/>
      <c r="Z188" s="106"/>
      <c r="AA188" s="106"/>
      <c r="AB188" s="106"/>
      <c r="AC188" s="9"/>
      <c r="AD188" s="106"/>
      <c r="AE188" s="106"/>
      <c r="AF188" s="106"/>
      <c r="AG188" s="106"/>
      <c r="AH188" s="106"/>
      <c r="AI188" s="106"/>
      <c r="AJ188" s="9"/>
      <c r="AK188" s="106"/>
      <c r="AL188" s="106"/>
      <c r="AM188" s="106"/>
      <c r="AN188" s="106"/>
      <c r="AO188" s="106"/>
      <c r="AP188" s="106"/>
      <c r="AQ188" s="9"/>
      <c r="AR188" s="106"/>
      <c r="AS188" s="106"/>
      <c r="AT188" s="106"/>
      <c r="AU188" s="106"/>
      <c r="AV188" s="106"/>
      <c r="AW188" s="106"/>
      <c r="AX188" s="9"/>
    </row>
    <row r="189" spans="1:50" ht="13.05" hidden="1" customHeight="1" thickBot="1" x14ac:dyDescent="0.3">
      <c r="A189" t="str">
        <f>Nutrients!B188</f>
        <v>NFP VTM Sow (2021)</v>
      </c>
      <c r="B189" s="106"/>
      <c r="C189" s="106"/>
      <c r="D189" s="106"/>
      <c r="E189" s="106"/>
      <c r="F189" s="106"/>
      <c r="G189" s="106"/>
      <c r="H189" s="106"/>
      <c r="I189" s="106"/>
      <c r="J189" s="106"/>
      <c r="K189" s="106"/>
      <c r="L189" s="106"/>
      <c r="M189" s="106"/>
      <c r="N189" s="106"/>
      <c r="O189" s="29"/>
      <c r="P189" s="106"/>
      <c r="Q189" s="106"/>
      <c r="R189" s="106"/>
      <c r="S189" s="106"/>
      <c r="T189" s="106"/>
      <c r="U189" s="106"/>
      <c r="V189" s="9"/>
      <c r="W189" s="106"/>
      <c r="X189" s="106"/>
      <c r="Y189" s="106"/>
      <c r="Z189" s="106"/>
      <c r="AA189" s="106"/>
      <c r="AB189" s="106"/>
      <c r="AC189" s="9"/>
      <c r="AD189" s="106"/>
      <c r="AE189" s="106"/>
      <c r="AF189" s="106"/>
      <c r="AG189" s="106"/>
      <c r="AH189" s="106"/>
      <c r="AI189" s="106"/>
      <c r="AJ189" s="9"/>
      <c r="AK189" s="106"/>
      <c r="AL189" s="106"/>
      <c r="AM189" s="106"/>
      <c r="AN189" s="106"/>
      <c r="AO189" s="106"/>
      <c r="AP189" s="106"/>
      <c r="AQ189" s="9"/>
      <c r="AR189" s="106"/>
      <c r="AS189" s="106"/>
      <c r="AT189" s="106"/>
      <c r="AU189" s="106"/>
      <c r="AV189" s="106"/>
      <c r="AW189" s="106"/>
      <c r="AX189" s="9"/>
    </row>
    <row r="190" spans="1:50" ht="13.05" hidden="1" customHeight="1" thickBot="1" x14ac:dyDescent="0.3">
      <c r="A190" t="str">
        <f>Nutrients!B189</f>
        <v>VevoVitall NFP</v>
      </c>
      <c r="B190" s="106"/>
      <c r="C190" s="106"/>
      <c r="D190" s="106"/>
      <c r="E190" s="106"/>
      <c r="F190" s="106"/>
      <c r="G190" s="106"/>
      <c r="H190" s="106"/>
      <c r="I190" s="106"/>
      <c r="J190" s="106"/>
      <c r="K190" s="106"/>
      <c r="L190" s="106"/>
      <c r="M190" s="106"/>
      <c r="N190" s="106"/>
      <c r="O190" s="29"/>
      <c r="P190" s="106"/>
      <c r="Q190" s="106"/>
      <c r="R190" s="106"/>
      <c r="S190" s="106"/>
      <c r="T190" s="106"/>
      <c r="U190" s="106"/>
      <c r="V190" s="9"/>
      <c r="W190" s="106"/>
      <c r="X190" s="106"/>
      <c r="Y190" s="106"/>
      <c r="Z190" s="106"/>
      <c r="AA190" s="106"/>
      <c r="AB190" s="106"/>
      <c r="AC190" s="9"/>
      <c r="AD190" s="106"/>
      <c r="AE190" s="106"/>
      <c r="AF190" s="106"/>
      <c r="AG190" s="106"/>
      <c r="AH190" s="106"/>
      <c r="AI190" s="106"/>
      <c r="AJ190" s="9"/>
      <c r="AK190" s="106"/>
      <c r="AL190" s="106"/>
      <c r="AM190" s="106"/>
      <c r="AN190" s="106"/>
      <c r="AO190" s="106"/>
      <c r="AP190" s="106"/>
      <c r="AQ190" s="9"/>
      <c r="AR190" s="106"/>
      <c r="AS190" s="106"/>
      <c r="AT190" s="106"/>
      <c r="AU190" s="106"/>
      <c r="AV190" s="106"/>
      <c r="AW190" s="106"/>
      <c r="AX190" s="9"/>
    </row>
    <row r="191" spans="1:50" ht="13.05" hidden="1" customHeight="1" thickBot="1" x14ac:dyDescent="0.3">
      <c r="A191" t="str">
        <f>Nutrients!B190</f>
        <v>MEPRO NFP</v>
      </c>
      <c r="B191" s="106"/>
      <c r="C191" s="106"/>
      <c r="D191" s="106"/>
      <c r="E191" s="106"/>
      <c r="F191" s="106"/>
      <c r="G191" s="106"/>
      <c r="H191" s="106"/>
      <c r="I191" s="106"/>
      <c r="J191" s="106"/>
      <c r="K191" s="106"/>
      <c r="L191" s="106"/>
      <c r="M191" s="106"/>
      <c r="N191" s="106"/>
      <c r="O191" s="29"/>
      <c r="P191" s="106"/>
      <c r="Q191" s="106"/>
      <c r="R191" s="106"/>
      <c r="S191" s="106"/>
      <c r="T191" s="106"/>
      <c r="U191" s="106"/>
      <c r="V191" s="9"/>
      <c r="W191" s="106"/>
      <c r="X191" s="106"/>
      <c r="Y191" s="106"/>
      <c r="Z191" s="106"/>
      <c r="AA191" s="106"/>
      <c r="AB191" s="106"/>
      <c r="AC191" s="9"/>
      <c r="AD191" s="106"/>
      <c r="AE191" s="106"/>
      <c r="AF191" s="106"/>
      <c r="AG191" s="106"/>
      <c r="AH191" s="106"/>
      <c r="AI191" s="106"/>
      <c r="AJ191" s="9"/>
      <c r="AK191" s="106"/>
      <c r="AL191" s="106"/>
      <c r="AM191" s="106"/>
      <c r="AN191" s="106"/>
      <c r="AO191" s="106"/>
      <c r="AP191" s="106"/>
      <c r="AQ191" s="9"/>
      <c r="AR191" s="106"/>
      <c r="AS191" s="106"/>
      <c r="AT191" s="106"/>
      <c r="AU191" s="106"/>
      <c r="AV191" s="106"/>
      <c r="AW191" s="106"/>
      <c r="AX191" s="9"/>
    </row>
    <row r="192" spans="1:50" ht="13.05" hidden="1" customHeight="1" thickBot="1" x14ac:dyDescent="0.3">
      <c r="A192" t="str">
        <f>Nutrients!B191</f>
        <v>AlphaGal 280 P NFP</v>
      </c>
      <c r="B192" s="106"/>
      <c r="C192" s="106"/>
      <c r="D192" s="106"/>
      <c r="E192" s="106"/>
      <c r="F192" s="106"/>
      <c r="G192" s="106"/>
      <c r="H192" s="106"/>
      <c r="I192" s="106"/>
      <c r="J192" s="106"/>
      <c r="K192" s="106"/>
      <c r="L192" s="106"/>
      <c r="M192" s="106"/>
      <c r="N192" s="106"/>
      <c r="O192" s="29"/>
      <c r="P192" s="106"/>
      <c r="Q192" s="106"/>
      <c r="R192" s="106"/>
      <c r="S192" s="106"/>
      <c r="T192" s="106"/>
      <c r="U192" s="106"/>
      <c r="V192" s="9"/>
      <c r="W192" s="106"/>
      <c r="X192" s="106"/>
      <c r="Y192" s="106"/>
      <c r="Z192" s="106"/>
      <c r="AA192" s="106"/>
      <c r="AB192" s="106"/>
      <c r="AC192" s="9"/>
      <c r="AD192" s="106"/>
      <c r="AE192" s="106"/>
      <c r="AF192" s="106"/>
      <c r="AG192" s="106"/>
      <c r="AH192" s="106"/>
      <c r="AI192" s="106"/>
      <c r="AJ192" s="9"/>
      <c r="AK192" s="106"/>
      <c r="AL192" s="106"/>
      <c r="AM192" s="106"/>
      <c r="AN192" s="106"/>
      <c r="AO192" s="106"/>
      <c r="AP192" s="106"/>
      <c r="AQ192" s="9"/>
      <c r="AR192" s="106"/>
      <c r="AS192" s="106"/>
      <c r="AT192" s="106"/>
      <c r="AU192" s="106"/>
      <c r="AV192" s="106"/>
      <c r="AW192" s="106"/>
      <c r="AX192" s="9"/>
    </row>
    <row r="193" spans="1:50" ht="13.05" hidden="1" customHeight="1" thickBot="1" x14ac:dyDescent="0.3">
      <c r="A193" t="str">
        <f>Nutrients!B192</f>
        <v xml:space="preserve">NFP Custom Manganese </v>
      </c>
      <c r="B193" s="106"/>
      <c r="C193" s="106"/>
      <c r="D193" s="106"/>
      <c r="E193" s="106"/>
      <c r="F193" s="106"/>
      <c r="G193" s="106"/>
      <c r="H193" s="106"/>
      <c r="I193" s="106"/>
      <c r="J193" s="106"/>
      <c r="K193" s="106"/>
      <c r="L193" s="106"/>
      <c r="M193" s="106"/>
      <c r="N193" s="106"/>
      <c r="O193" s="29"/>
      <c r="P193" s="106"/>
      <c r="Q193" s="106"/>
      <c r="R193" s="106"/>
      <c r="S193" s="106"/>
      <c r="T193" s="106"/>
      <c r="U193" s="106"/>
      <c r="V193" s="9"/>
      <c r="W193" s="106"/>
      <c r="X193" s="106"/>
      <c r="Y193" s="106"/>
      <c r="Z193" s="106"/>
      <c r="AA193" s="106"/>
      <c r="AB193" s="106"/>
      <c r="AC193" s="9"/>
      <c r="AD193" s="106"/>
      <c r="AE193" s="106"/>
      <c r="AF193" s="106"/>
      <c r="AG193" s="106"/>
      <c r="AH193" s="106"/>
      <c r="AI193" s="106"/>
      <c r="AJ193" s="9"/>
      <c r="AK193" s="106"/>
      <c r="AL193" s="106"/>
      <c r="AM193" s="106"/>
      <c r="AN193" s="106"/>
      <c r="AO193" s="106"/>
      <c r="AP193" s="106"/>
      <c r="AQ193" s="9"/>
      <c r="AR193" s="106"/>
      <c r="AS193" s="106"/>
      <c r="AT193" s="106"/>
      <c r="AU193" s="106"/>
      <c r="AV193" s="106"/>
      <c r="AW193" s="106"/>
      <c r="AX193" s="9"/>
    </row>
    <row r="194" spans="1:50" ht="13.05" hidden="1" customHeight="1" thickBot="1" x14ac:dyDescent="0.3">
      <c r="A194" t="str">
        <f>Nutrients!B193</f>
        <v>Fat Build R2 All Veg 4000 NFP</v>
      </c>
      <c r="B194" s="106"/>
      <c r="C194" s="106"/>
      <c r="D194" s="106"/>
      <c r="E194" s="106"/>
      <c r="F194" s="106"/>
      <c r="G194" s="106"/>
      <c r="H194" s="106"/>
      <c r="I194" s="106"/>
      <c r="J194" s="106"/>
      <c r="K194" s="106"/>
      <c r="L194" s="106"/>
      <c r="M194" s="106"/>
      <c r="N194" s="106"/>
      <c r="O194" s="29"/>
      <c r="P194" s="106"/>
      <c r="Q194" s="106"/>
      <c r="R194" s="106"/>
      <c r="S194" s="106"/>
      <c r="T194" s="106"/>
      <c r="U194" s="106"/>
      <c r="V194" s="9"/>
      <c r="W194" s="106"/>
      <c r="X194" s="106"/>
      <c r="Y194" s="106"/>
      <c r="Z194" s="106"/>
      <c r="AA194" s="106"/>
      <c r="AB194" s="106"/>
      <c r="AC194" s="9"/>
      <c r="AD194" s="106"/>
      <c r="AE194" s="106"/>
      <c r="AF194" s="106"/>
      <c r="AG194" s="106"/>
      <c r="AH194" s="106"/>
      <c r="AI194" s="106"/>
      <c r="AJ194" s="9"/>
      <c r="AK194" s="106"/>
      <c r="AL194" s="106"/>
      <c r="AM194" s="106"/>
      <c r="AN194" s="106"/>
      <c r="AO194" s="106"/>
      <c r="AP194" s="106"/>
      <c r="AQ194" s="9"/>
      <c r="AR194" s="106"/>
      <c r="AS194" s="106"/>
      <c r="AT194" s="106"/>
      <c r="AU194" s="106"/>
      <c r="AV194" s="106"/>
      <c r="AW194" s="106"/>
      <c r="AX194" s="9"/>
    </row>
    <row r="195" spans="1:50" ht="13.05" hidden="1" customHeight="1" thickBot="1" x14ac:dyDescent="0.3">
      <c r="A195" t="str">
        <f>Nutrients!B194</f>
        <v>LipoVital GL 90 NFP</v>
      </c>
      <c r="B195" s="106"/>
      <c r="C195" s="106"/>
      <c r="D195" s="106"/>
      <c r="E195" s="106"/>
      <c r="F195" s="106"/>
      <c r="G195" s="106"/>
      <c r="H195" s="106"/>
      <c r="I195" s="106"/>
      <c r="J195" s="106"/>
      <c r="K195" s="106"/>
      <c r="L195" s="106"/>
      <c r="M195" s="106"/>
      <c r="N195" s="106"/>
      <c r="O195" s="29"/>
      <c r="P195" s="106"/>
      <c r="Q195" s="106"/>
      <c r="R195" s="106"/>
      <c r="S195" s="106"/>
      <c r="T195" s="106"/>
      <c r="U195" s="106"/>
      <c r="V195" s="9"/>
      <c r="W195" s="106"/>
      <c r="X195" s="106"/>
      <c r="Y195" s="106"/>
      <c r="Z195" s="106"/>
      <c r="AA195" s="106"/>
      <c r="AB195" s="106"/>
      <c r="AC195" s="9"/>
      <c r="AD195" s="106"/>
      <c r="AE195" s="106"/>
      <c r="AF195" s="106"/>
      <c r="AG195" s="106"/>
      <c r="AH195" s="106"/>
      <c r="AI195" s="106"/>
      <c r="AJ195" s="9"/>
      <c r="AK195" s="106"/>
      <c r="AL195" s="106"/>
      <c r="AM195" s="106"/>
      <c r="AN195" s="106"/>
      <c r="AO195" s="106"/>
      <c r="AP195" s="106"/>
      <c r="AQ195" s="9"/>
      <c r="AR195" s="106"/>
      <c r="AS195" s="106"/>
      <c r="AT195" s="106"/>
      <c r="AU195" s="106"/>
      <c r="AV195" s="106"/>
      <c r="AW195" s="106"/>
      <c r="AX195" s="9"/>
    </row>
    <row r="196" spans="1:50" ht="13.05" hidden="1" customHeight="1" thickBot="1" x14ac:dyDescent="0.3">
      <c r="A196" t="str">
        <f>Nutrients!B195</f>
        <v>NFP Custom Zinc</v>
      </c>
      <c r="B196" s="106"/>
      <c r="C196" s="106"/>
      <c r="D196" s="106"/>
      <c r="E196" s="106"/>
      <c r="F196" s="106"/>
      <c r="G196" s="106"/>
      <c r="H196" s="106"/>
      <c r="I196" s="106"/>
      <c r="J196" s="106"/>
      <c r="K196" s="106"/>
      <c r="L196" s="106"/>
      <c r="M196" s="106"/>
      <c r="N196" s="106"/>
      <c r="O196" s="29"/>
      <c r="P196" s="106"/>
      <c r="Q196" s="106"/>
      <c r="R196" s="106"/>
      <c r="S196" s="106"/>
      <c r="T196" s="106"/>
      <c r="U196" s="106"/>
      <c r="V196" s="9"/>
      <c r="W196" s="106"/>
      <c r="X196" s="106"/>
      <c r="Y196" s="106"/>
      <c r="Z196" s="106"/>
      <c r="AA196" s="106"/>
      <c r="AB196" s="106"/>
      <c r="AC196" s="9"/>
      <c r="AD196" s="106"/>
      <c r="AE196" s="106"/>
      <c r="AF196" s="106"/>
      <c r="AG196" s="106"/>
      <c r="AH196" s="106"/>
      <c r="AI196" s="106"/>
      <c r="AJ196" s="9"/>
      <c r="AK196" s="106"/>
      <c r="AL196" s="106"/>
      <c r="AM196" s="106"/>
      <c r="AN196" s="106"/>
      <c r="AO196" s="106"/>
      <c r="AP196" s="106"/>
      <c r="AQ196" s="9"/>
      <c r="AR196" s="106"/>
      <c r="AS196" s="106"/>
      <c r="AT196" s="106"/>
      <c r="AU196" s="106"/>
      <c r="AV196" s="106"/>
      <c r="AW196" s="106"/>
      <c r="AX196" s="9"/>
    </row>
    <row r="197" spans="1:50" ht="13.05" hidden="1" customHeight="1" thickBot="1" x14ac:dyDescent="0.3">
      <c r="A197" t="str">
        <f>Nutrients!B196</f>
        <v>THRPRO-L Threonine 80% NFP</v>
      </c>
      <c r="B197" s="106"/>
      <c r="C197" s="106"/>
      <c r="D197" s="106"/>
      <c r="E197" s="106"/>
      <c r="F197" s="106"/>
      <c r="G197" s="106"/>
      <c r="H197" s="106"/>
      <c r="I197" s="106"/>
      <c r="J197" s="106"/>
      <c r="K197" s="106"/>
      <c r="L197" s="106"/>
      <c r="M197" s="106"/>
      <c r="N197" s="106"/>
      <c r="O197" s="29"/>
      <c r="P197" s="106"/>
      <c r="Q197" s="106"/>
      <c r="R197" s="106"/>
      <c r="S197" s="106"/>
      <c r="T197" s="106"/>
      <c r="U197" s="106"/>
      <c r="V197" s="9"/>
      <c r="W197" s="106"/>
      <c r="X197" s="106"/>
      <c r="Y197" s="106"/>
      <c r="Z197" s="106"/>
      <c r="AA197" s="106"/>
      <c r="AB197" s="106"/>
      <c r="AC197" s="9"/>
      <c r="AD197" s="106"/>
      <c r="AE197" s="106"/>
      <c r="AF197" s="106"/>
      <c r="AG197" s="106"/>
      <c r="AH197" s="106"/>
      <c r="AI197" s="106"/>
      <c r="AJ197" s="9"/>
      <c r="AK197" s="106"/>
      <c r="AL197" s="106"/>
      <c r="AM197" s="106"/>
      <c r="AN197" s="106"/>
      <c r="AO197" s="106"/>
      <c r="AP197" s="106"/>
      <c r="AQ197" s="9"/>
      <c r="AR197" s="106"/>
      <c r="AS197" s="106"/>
      <c r="AT197" s="106"/>
      <c r="AU197" s="106"/>
      <c r="AV197" s="106"/>
      <c r="AW197" s="106"/>
      <c r="AX197" s="9"/>
    </row>
    <row r="198" spans="1:50" ht="13.05" hidden="1" customHeight="1" thickBot="1" x14ac:dyDescent="0.3">
      <c r="A198" t="str">
        <f>Nutrients!B197</f>
        <v>Copper Chloride Intellibond TBCC NFP</v>
      </c>
      <c r="B198" s="106"/>
      <c r="C198" s="106"/>
      <c r="D198" s="106"/>
      <c r="E198" s="106"/>
      <c r="F198" s="106"/>
      <c r="G198" s="106"/>
      <c r="H198" s="106"/>
      <c r="I198" s="106"/>
      <c r="J198" s="106"/>
      <c r="K198" s="106"/>
      <c r="L198" s="106"/>
      <c r="M198" s="106"/>
      <c r="N198" s="106"/>
      <c r="O198" s="29"/>
      <c r="P198" s="106"/>
      <c r="Q198" s="106"/>
      <c r="R198" s="106"/>
      <c r="S198" s="106"/>
      <c r="T198" s="106"/>
      <c r="U198" s="106"/>
      <c r="V198" s="9"/>
      <c r="W198" s="106"/>
      <c r="X198" s="106"/>
      <c r="Y198" s="106"/>
      <c r="Z198" s="106"/>
      <c r="AA198" s="106"/>
      <c r="AB198" s="106"/>
      <c r="AC198" s="9"/>
      <c r="AD198" s="106"/>
      <c r="AE198" s="106"/>
      <c r="AF198" s="106"/>
      <c r="AG198" s="106"/>
      <c r="AH198" s="106"/>
      <c r="AI198" s="106"/>
      <c r="AJ198" s="9"/>
      <c r="AK198" s="106"/>
      <c r="AL198" s="106"/>
      <c r="AM198" s="106"/>
      <c r="AN198" s="106"/>
      <c r="AO198" s="106"/>
      <c r="AP198" s="106"/>
      <c r="AQ198" s="9"/>
      <c r="AR198" s="106"/>
      <c r="AS198" s="106"/>
      <c r="AT198" s="106"/>
      <c r="AU198" s="106"/>
      <c r="AV198" s="106"/>
      <c r="AW198" s="106"/>
      <c r="AX198" s="9"/>
    </row>
    <row r="199" spans="1:50" ht="13.05" hidden="1" customHeight="1" thickBot="1" x14ac:dyDescent="0.3">
      <c r="A199" t="str">
        <f>Nutrients!B198</f>
        <v>DDGS 7.5% Oil Green Plains NFP</v>
      </c>
      <c r="B199" s="106"/>
      <c r="C199" s="106"/>
      <c r="D199" s="106"/>
      <c r="E199" s="106"/>
      <c r="F199" s="106"/>
      <c r="G199" s="106"/>
      <c r="H199" s="106"/>
      <c r="I199" s="106"/>
      <c r="J199" s="106"/>
      <c r="K199" s="106"/>
      <c r="L199" s="106"/>
      <c r="M199" s="106"/>
      <c r="N199" s="106"/>
      <c r="O199" s="29"/>
      <c r="P199" s="106"/>
      <c r="Q199" s="106"/>
      <c r="R199" s="106"/>
      <c r="S199" s="106"/>
      <c r="T199" s="106"/>
      <c r="U199" s="106"/>
      <c r="V199" s="9"/>
      <c r="W199" s="106"/>
      <c r="X199" s="106"/>
      <c r="Y199" s="106"/>
      <c r="Z199" s="106"/>
      <c r="AA199" s="106"/>
      <c r="AB199" s="106"/>
      <c r="AC199" s="9"/>
      <c r="AD199" s="106"/>
      <c r="AE199" s="106"/>
      <c r="AF199" s="106"/>
      <c r="AG199" s="106"/>
      <c r="AH199" s="106"/>
      <c r="AI199" s="106"/>
      <c r="AJ199" s="9"/>
      <c r="AK199" s="106"/>
      <c r="AL199" s="106"/>
      <c r="AM199" s="106"/>
      <c r="AN199" s="106"/>
      <c r="AO199" s="106"/>
      <c r="AP199" s="106"/>
      <c r="AQ199" s="9"/>
      <c r="AR199" s="106"/>
      <c r="AS199" s="106"/>
      <c r="AT199" s="106"/>
      <c r="AU199" s="106"/>
      <c r="AV199" s="106"/>
      <c r="AW199" s="106"/>
      <c r="AX199" s="9"/>
    </row>
    <row r="200" spans="1:50" ht="13.05" hidden="1" customHeight="1" thickBot="1" x14ac:dyDescent="0.3">
      <c r="A200" t="str">
        <f>Nutrients!B199</f>
        <v>NHF GF VTM 2#</v>
      </c>
      <c r="B200" s="106"/>
      <c r="C200" s="106"/>
      <c r="D200" s="106"/>
      <c r="E200" s="106"/>
      <c r="F200" s="106"/>
      <c r="G200" s="106"/>
      <c r="H200" s="106"/>
      <c r="I200" s="106"/>
      <c r="J200" s="106"/>
      <c r="K200" s="106"/>
      <c r="L200" s="106"/>
      <c r="M200" s="106"/>
      <c r="N200" s="106"/>
      <c r="O200" s="29"/>
      <c r="P200" s="106"/>
      <c r="Q200" s="106"/>
      <c r="R200" s="106"/>
      <c r="S200" s="106"/>
      <c r="T200" s="106"/>
      <c r="U200" s="106"/>
      <c r="V200" s="9"/>
      <c r="W200" s="106"/>
      <c r="X200" s="106"/>
      <c r="Y200" s="106"/>
      <c r="Z200" s="106"/>
      <c r="AA200" s="106"/>
      <c r="AB200" s="106"/>
      <c r="AC200" s="9"/>
      <c r="AD200" s="106"/>
      <c r="AE200" s="106"/>
      <c r="AF200" s="106"/>
      <c r="AG200" s="106"/>
      <c r="AH200" s="106"/>
      <c r="AI200" s="106"/>
      <c r="AJ200" s="9"/>
      <c r="AK200" s="106"/>
      <c r="AL200" s="106"/>
      <c r="AM200" s="106"/>
      <c r="AN200" s="106"/>
      <c r="AO200" s="106"/>
      <c r="AP200" s="106"/>
      <c r="AQ200" s="9"/>
      <c r="AR200" s="106"/>
      <c r="AS200" s="106"/>
      <c r="AT200" s="106"/>
      <c r="AU200" s="106"/>
      <c r="AV200" s="106"/>
      <c r="AW200" s="106"/>
      <c r="AX200" s="9"/>
    </row>
    <row r="201" spans="1:50" ht="13.05" hidden="1" customHeight="1" thickBot="1" x14ac:dyDescent="0.3">
      <c r="A201" t="str">
        <f>Nutrients!B200</f>
        <v xml:space="preserve">Hubbard Vit Premix </v>
      </c>
      <c r="B201" s="106"/>
      <c r="C201" s="106"/>
      <c r="D201" s="106"/>
      <c r="E201" s="106"/>
      <c r="F201" s="106"/>
      <c r="G201" s="106"/>
      <c r="H201" s="106"/>
      <c r="I201" s="106"/>
      <c r="J201" s="106"/>
      <c r="K201" s="106"/>
      <c r="L201" s="106"/>
      <c r="M201" s="106"/>
      <c r="N201" s="106"/>
      <c r="O201" s="29"/>
      <c r="P201" s="106"/>
      <c r="Q201" s="106"/>
      <c r="R201" s="106"/>
      <c r="S201" s="106"/>
      <c r="T201" s="106"/>
      <c r="U201" s="106"/>
      <c r="V201" s="9"/>
      <c r="W201" s="106"/>
      <c r="X201" s="106"/>
      <c r="Y201" s="106"/>
      <c r="Z201" s="106"/>
      <c r="AA201" s="106"/>
      <c r="AB201" s="106"/>
      <c r="AC201" s="9"/>
      <c r="AD201" s="106"/>
      <c r="AE201" s="106"/>
      <c r="AF201" s="106"/>
      <c r="AG201" s="106"/>
      <c r="AH201" s="106"/>
      <c r="AI201" s="106"/>
      <c r="AJ201" s="9"/>
      <c r="AK201" s="106"/>
      <c r="AL201" s="106"/>
      <c r="AM201" s="106"/>
      <c r="AN201" s="106"/>
      <c r="AO201" s="106"/>
      <c r="AP201" s="106"/>
      <c r="AQ201" s="9"/>
      <c r="AR201" s="106"/>
      <c r="AS201" s="106"/>
      <c r="AT201" s="106"/>
      <c r="AU201" s="106"/>
      <c r="AV201" s="106"/>
      <c r="AW201" s="106"/>
      <c r="AX201" s="9"/>
    </row>
    <row r="202" spans="1:50" ht="13.05" hidden="1" customHeight="1" thickBot="1" x14ac:dyDescent="0.3">
      <c r="A202" t="str">
        <f>Nutrients!B201</f>
        <v>Hubbard TMP</v>
      </c>
      <c r="B202" s="106"/>
      <c r="C202" s="106"/>
      <c r="D202" s="106"/>
      <c r="E202" s="106"/>
      <c r="F202" s="106"/>
      <c r="G202" s="106"/>
      <c r="H202" s="106"/>
      <c r="I202" s="106"/>
      <c r="J202" s="106"/>
      <c r="K202" s="106"/>
      <c r="L202" s="106"/>
      <c r="M202" s="106"/>
      <c r="N202" s="106"/>
      <c r="O202" s="29"/>
      <c r="P202" s="106"/>
      <c r="Q202" s="106"/>
      <c r="R202" s="106"/>
      <c r="S202" s="106"/>
      <c r="T202" s="106"/>
      <c r="U202" s="106"/>
      <c r="V202" s="9"/>
      <c r="W202" s="106"/>
      <c r="X202" s="106"/>
      <c r="Y202" s="106"/>
      <c r="Z202" s="106"/>
      <c r="AA202" s="106"/>
      <c r="AB202" s="106"/>
      <c r="AC202" s="9"/>
      <c r="AD202" s="106"/>
      <c r="AE202" s="106"/>
      <c r="AF202" s="106"/>
      <c r="AG202" s="106"/>
      <c r="AH202" s="106"/>
      <c r="AI202" s="106"/>
      <c r="AJ202" s="9"/>
      <c r="AK202" s="106"/>
      <c r="AL202" s="106"/>
      <c r="AM202" s="106"/>
      <c r="AN202" s="106"/>
      <c r="AO202" s="106"/>
      <c r="AP202" s="106"/>
      <c r="AQ202" s="9"/>
      <c r="AR202" s="106"/>
      <c r="AS202" s="106"/>
      <c r="AT202" s="106"/>
      <c r="AU202" s="106"/>
      <c r="AV202" s="106"/>
      <c r="AW202" s="106"/>
      <c r="AX202" s="9"/>
    </row>
    <row r="203" spans="1:50" ht="13.05" hidden="1" customHeight="1" thickBot="1" x14ac:dyDescent="0.3">
      <c r="A203" t="str">
        <f>Nutrients!B202</f>
        <v>Inorganic Se 600 ppm Hubbard</v>
      </c>
      <c r="B203" s="106"/>
      <c r="C203" s="106"/>
      <c r="D203" s="106"/>
      <c r="E203" s="106"/>
      <c r="F203" s="106"/>
      <c r="G203" s="106"/>
      <c r="H203" s="106"/>
      <c r="I203" s="106"/>
      <c r="J203" s="106"/>
      <c r="K203" s="106"/>
      <c r="L203" s="106"/>
      <c r="M203" s="106"/>
      <c r="N203" s="106"/>
      <c r="O203" s="29"/>
      <c r="P203" s="106"/>
      <c r="Q203" s="106"/>
      <c r="R203" s="106"/>
      <c r="S203" s="106"/>
      <c r="T203" s="106"/>
      <c r="U203" s="106"/>
      <c r="V203" s="9"/>
      <c r="W203" s="106"/>
      <c r="X203" s="106"/>
      <c r="Y203" s="106"/>
      <c r="Z203" s="106"/>
      <c r="AA203" s="106"/>
      <c r="AB203" s="106"/>
      <c r="AC203" s="9"/>
      <c r="AD203" s="106"/>
      <c r="AE203" s="106"/>
      <c r="AF203" s="106"/>
      <c r="AG203" s="106"/>
      <c r="AH203" s="106"/>
      <c r="AI203" s="106"/>
      <c r="AJ203" s="9"/>
      <c r="AK203" s="106"/>
      <c r="AL203" s="106"/>
      <c r="AM203" s="106"/>
      <c r="AN203" s="106"/>
      <c r="AO203" s="106"/>
      <c r="AP203" s="106"/>
      <c r="AQ203" s="9"/>
      <c r="AR203" s="106"/>
      <c r="AS203" s="106"/>
      <c r="AT203" s="106"/>
      <c r="AU203" s="106"/>
      <c r="AV203" s="106"/>
      <c r="AW203" s="106"/>
      <c r="AX203" s="9"/>
    </row>
    <row r="204" spans="1:50" ht="13.05" hidden="1" customHeight="1" thickBot="1" x14ac:dyDescent="0.3">
      <c r="A204" t="str">
        <f>Nutrients!B203</f>
        <v>Quantum Blue  5G Hubbard</v>
      </c>
      <c r="B204" s="106"/>
      <c r="C204" s="106"/>
      <c r="D204" s="106"/>
      <c r="E204" s="106"/>
      <c r="F204" s="106"/>
      <c r="G204" s="106"/>
      <c r="H204" s="106"/>
      <c r="I204" s="106"/>
      <c r="J204" s="106"/>
      <c r="K204" s="106"/>
      <c r="L204" s="106"/>
      <c r="M204" s="106"/>
      <c r="N204" s="106"/>
      <c r="O204" s="29"/>
      <c r="P204" s="106"/>
      <c r="Q204" s="106"/>
      <c r="R204" s="106"/>
      <c r="S204" s="106"/>
      <c r="T204" s="106"/>
      <c r="U204" s="106"/>
      <c r="V204" s="9"/>
      <c r="W204" s="106"/>
      <c r="X204" s="106"/>
      <c r="Y204" s="106"/>
      <c r="Z204" s="106"/>
      <c r="AA204" s="106"/>
      <c r="AB204" s="106"/>
      <c r="AC204" s="9"/>
      <c r="AD204" s="106"/>
      <c r="AE204" s="106"/>
      <c r="AF204" s="106"/>
      <c r="AG204" s="106"/>
      <c r="AH204" s="106"/>
      <c r="AI204" s="106"/>
      <c r="AJ204" s="9"/>
      <c r="AK204" s="106"/>
      <c r="AL204" s="106"/>
      <c r="AM204" s="106"/>
      <c r="AN204" s="106"/>
      <c r="AO204" s="106"/>
      <c r="AP204" s="106"/>
      <c r="AQ204" s="9"/>
      <c r="AR204" s="106"/>
      <c r="AS204" s="106"/>
      <c r="AT204" s="106"/>
      <c r="AU204" s="106"/>
      <c r="AV204" s="106"/>
      <c r="AW204" s="106"/>
      <c r="AX204" s="9"/>
    </row>
    <row r="205" spans="1:50" ht="13.05" hidden="1" customHeight="1" thickBot="1" x14ac:dyDescent="0.3">
      <c r="A205" t="str">
        <f>Nutrients!B204</f>
        <v>TASA Prime meal Hubbard</v>
      </c>
      <c r="B205" s="106"/>
      <c r="C205" s="106"/>
      <c r="D205" s="106"/>
      <c r="E205" s="106"/>
      <c r="F205" s="106"/>
      <c r="G205" s="106"/>
      <c r="H205" s="106"/>
      <c r="I205" s="106"/>
      <c r="J205" s="106"/>
      <c r="K205" s="106"/>
      <c r="L205" s="106"/>
      <c r="M205" s="106"/>
      <c r="N205" s="106"/>
      <c r="O205" s="29"/>
      <c r="P205" s="106"/>
      <c r="Q205" s="106"/>
      <c r="R205" s="106"/>
      <c r="S205" s="106"/>
      <c r="T205" s="106"/>
      <c r="U205" s="106"/>
      <c r="V205" s="9"/>
      <c r="W205" s="106"/>
      <c r="X205" s="106"/>
      <c r="Y205" s="106"/>
      <c r="Z205" s="106"/>
      <c r="AA205" s="106"/>
      <c r="AB205" s="106"/>
      <c r="AC205" s="9"/>
      <c r="AD205" s="106"/>
      <c r="AE205" s="106"/>
      <c r="AF205" s="106"/>
      <c r="AG205" s="106"/>
      <c r="AH205" s="106"/>
      <c r="AI205" s="106"/>
      <c r="AJ205" s="9"/>
      <c r="AK205" s="106"/>
      <c r="AL205" s="106"/>
      <c r="AM205" s="106"/>
      <c r="AN205" s="106"/>
      <c r="AO205" s="106"/>
      <c r="AP205" s="106"/>
      <c r="AQ205" s="9"/>
      <c r="AR205" s="106"/>
      <c r="AS205" s="106"/>
      <c r="AT205" s="106"/>
      <c r="AU205" s="106"/>
      <c r="AV205" s="106"/>
      <c r="AW205" s="106"/>
      <c r="AX205" s="9"/>
    </row>
    <row r="206" spans="1:50" ht="13.05" hidden="1" customHeight="1" thickBot="1" x14ac:dyDescent="0.3">
      <c r="A206" t="str">
        <f>Nutrients!B205</f>
        <v>TASA Swine Hubbard</v>
      </c>
      <c r="B206" s="106"/>
      <c r="C206" s="106"/>
      <c r="D206" s="106"/>
      <c r="E206" s="106"/>
      <c r="F206" s="106"/>
      <c r="G206" s="106"/>
      <c r="H206" s="106"/>
      <c r="I206" s="106"/>
      <c r="J206" s="106"/>
      <c r="K206" s="106"/>
      <c r="L206" s="106"/>
      <c r="M206" s="106"/>
      <c r="N206" s="106"/>
      <c r="O206" s="29"/>
      <c r="P206" s="106"/>
      <c r="Q206" s="106"/>
      <c r="R206" s="106"/>
      <c r="S206" s="106"/>
      <c r="T206" s="106"/>
      <c r="U206" s="106"/>
      <c r="V206" s="9"/>
      <c r="W206" s="106"/>
      <c r="X206" s="106"/>
      <c r="Y206" s="106"/>
      <c r="Z206" s="106"/>
      <c r="AA206" s="106"/>
      <c r="AB206" s="106"/>
      <c r="AC206" s="9"/>
      <c r="AD206" s="106"/>
      <c r="AE206" s="106"/>
      <c r="AF206" s="106"/>
      <c r="AG206" s="106"/>
      <c r="AH206" s="106"/>
      <c r="AI206" s="106"/>
      <c r="AJ206" s="9"/>
      <c r="AK206" s="106"/>
      <c r="AL206" s="106"/>
      <c r="AM206" s="106"/>
      <c r="AN206" s="106"/>
      <c r="AO206" s="106"/>
      <c r="AP206" s="106"/>
      <c r="AQ206" s="9"/>
      <c r="AR206" s="106"/>
      <c r="AS206" s="106"/>
      <c r="AT206" s="106"/>
      <c r="AU206" s="106"/>
      <c r="AV206" s="106"/>
      <c r="AW206" s="106"/>
      <c r="AX206" s="9"/>
    </row>
    <row r="207" spans="1:50" ht="13.05" hidden="1" customHeight="1" thickBot="1" x14ac:dyDescent="0.3">
      <c r="A207" t="str">
        <f>Nutrients!B206</f>
        <v>TASA fish solubles Hubbard</v>
      </c>
      <c r="B207" s="106"/>
      <c r="C207" s="106"/>
      <c r="D207" s="106"/>
      <c r="E207" s="106"/>
      <c r="F207" s="106"/>
      <c r="G207" s="106"/>
      <c r="H207" s="106"/>
      <c r="I207" s="106"/>
      <c r="J207" s="106"/>
      <c r="K207" s="106"/>
      <c r="L207" s="106"/>
      <c r="M207" s="106"/>
      <c r="N207" s="106"/>
      <c r="O207" s="29"/>
      <c r="P207" s="106"/>
      <c r="Q207" s="106"/>
      <c r="R207" s="106"/>
      <c r="S207" s="106"/>
      <c r="T207" s="106"/>
      <c r="U207" s="106"/>
      <c r="V207" s="9"/>
      <c r="W207" s="106"/>
      <c r="X207" s="106"/>
      <c r="Y207" s="106"/>
      <c r="Z207" s="106"/>
      <c r="AA207" s="106"/>
      <c r="AB207" s="106"/>
      <c r="AC207" s="9"/>
      <c r="AD207" s="106"/>
      <c r="AE207" s="106"/>
      <c r="AF207" s="106"/>
      <c r="AG207" s="106"/>
      <c r="AH207" s="106"/>
      <c r="AI207" s="106"/>
      <c r="AJ207" s="9"/>
      <c r="AK207" s="106"/>
      <c r="AL207" s="106"/>
      <c r="AM207" s="106"/>
      <c r="AN207" s="106"/>
      <c r="AO207" s="106"/>
      <c r="AP207" s="106"/>
      <c r="AQ207" s="9"/>
      <c r="AR207" s="106"/>
      <c r="AS207" s="106"/>
      <c r="AT207" s="106"/>
      <c r="AU207" s="106"/>
      <c r="AV207" s="106"/>
      <c r="AW207" s="106"/>
      <c r="AX207" s="9"/>
    </row>
    <row r="208" spans="1:50" ht="13.05" hidden="1" customHeight="1" thickBot="1" x14ac:dyDescent="0.3">
      <c r="A208" t="str">
        <f>Nutrients!B207</f>
        <v>Mepro + TASA additive Hubbard</v>
      </c>
      <c r="B208" s="106"/>
      <c r="C208" s="106"/>
      <c r="D208" s="106"/>
      <c r="E208" s="106"/>
      <c r="F208" s="106"/>
      <c r="G208" s="106"/>
      <c r="H208" s="106"/>
      <c r="I208" s="106"/>
      <c r="J208" s="106"/>
      <c r="K208" s="106"/>
      <c r="L208" s="106"/>
      <c r="M208" s="106"/>
      <c r="N208" s="106"/>
      <c r="O208" s="29"/>
      <c r="P208" s="106"/>
      <c r="Q208" s="106"/>
      <c r="R208" s="106"/>
      <c r="S208" s="106"/>
      <c r="T208" s="106"/>
      <c r="U208" s="106"/>
      <c r="V208" s="9"/>
      <c r="W208" s="106"/>
      <c r="X208" s="106"/>
      <c r="Y208" s="106"/>
      <c r="Z208" s="106"/>
      <c r="AA208" s="106"/>
      <c r="AB208" s="106"/>
      <c r="AC208" s="9"/>
      <c r="AD208" s="106"/>
      <c r="AE208" s="106"/>
      <c r="AF208" s="106"/>
      <c r="AG208" s="106"/>
      <c r="AH208" s="106"/>
      <c r="AI208" s="106"/>
      <c r="AJ208" s="9"/>
      <c r="AK208" s="106"/>
      <c r="AL208" s="106"/>
      <c r="AM208" s="106"/>
      <c r="AN208" s="106"/>
      <c r="AO208" s="106"/>
      <c r="AP208" s="106"/>
      <c r="AQ208" s="9"/>
      <c r="AR208" s="106"/>
      <c r="AS208" s="106"/>
      <c r="AT208" s="106"/>
      <c r="AU208" s="106"/>
      <c r="AV208" s="106"/>
      <c r="AW208" s="106"/>
      <c r="AX208" s="9"/>
    </row>
    <row r="209" spans="1:50" ht="13.05" hidden="1" customHeight="1" thickBot="1" x14ac:dyDescent="0.3">
      <c r="A209" t="str">
        <f>Nutrients!B208</f>
        <v>TASA Prime + TASA additive Hubbard</v>
      </c>
      <c r="B209" s="106"/>
      <c r="C209" s="106"/>
      <c r="D209" s="106"/>
      <c r="E209" s="106"/>
      <c r="F209" s="106"/>
      <c r="G209" s="106"/>
      <c r="H209" s="106"/>
      <c r="I209" s="106"/>
      <c r="J209" s="106"/>
      <c r="K209" s="106"/>
      <c r="L209" s="106"/>
      <c r="M209" s="106"/>
      <c r="N209" s="106"/>
      <c r="O209" s="29"/>
      <c r="P209" s="106"/>
      <c r="Q209" s="106"/>
      <c r="R209" s="106"/>
      <c r="S209" s="106"/>
      <c r="T209" s="106"/>
      <c r="U209" s="106"/>
      <c r="V209" s="9"/>
      <c r="W209" s="106"/>
      <c r="X209" s="106"/>
      <c r="Y209" s="106"/>
      <c r="Z209" s="106"/>
      <c r="AA209" s="106"/>
      <c r="AB209" s="106"/>
      <c r="AC209" s="9"/>
      <c r="AD209" s="106"/>
      <c r="AE209" s="106"/>
      <c r="AF209" s="106"/>
      <c r="AG209" s="106"/>
      <c r="AH209" s="106"/>
      <c r="AI209" s="106"/>
      <c r="AJ209" s="9"/>
      <c r="AK209" s="106"/>
      <c r="AL209" s="106"/>
      <c r="AM209" s="106"/>
      <c r="AN209" s="106"/>
      <c r="AO209" s="106"/>
      <c r="AP209" s="106"/>
      <c r="AQ209" s="9"/>
      <c r="AR209" s="106"/>
      <c r="AS209" s="106"/>
      <c r="AT209" s="106"/>
      <c r="AU209" s="106"/>
      <c r="AV209" s="106"/>
      <c r="AW209" s="106"/>
      <c r="AX209" s="9"/>
    </row>
    <row r="210" spans="1:50" ht="13.05" hidden="1" customHeight="1" thickBot="1" x14ac:dyDescent="0.3">
      <c r="A210" t="str">
        <f>Nutrients!B209</f>
        <v>NHF SOW VTM 4# 2022</v>
      </c>
      <c r="B210" s="106"/>
      <c r="C210" s="106"/>
      <c r="D210" s="106"/>
      <c r="E210" s="106"/>
      <c r="F210" s="106"/>
      <c r="G210" s="106"/>
      <c r="H210" s="106"/>
      <c r="I210" s="106"/>
      <c r="J210" s="106"/>
      <c r="K210" s="106"/>
      <c r="L210" s="106"/>
      <c r="M210" s="106"/>
      <c r="N210" s="106"/>
      <c r="O210" s="29"/>
      <c r="P210" s="106"/>
      <c r="Q210" s="106"/>
      <c r="R210" s="106"/>
      <c r="S210" s="106"/>
      <c r="T210" s="106"/>
      <c r="U210" s="106"/>
      <c r="V210" s="9"/>
      <c r="W210" s="106"/>
      <c r="X210" s="106"/>
      <c r="Y210" s="106"/>
      <c r="Z210" s="106"/>
      <c r="AA210" s="106"/>
      <c r="AB210" s="106"/>
      <c r="AC210" s="9"/>
      <c r="AD210" s="106"/>
      <c r="AE210" s="106"/>
      <c r="AF210" s="106"/>
      <c r="AG210" s="106"/>
      <c r="AH210" s="106"/>
      <c r="AI210" s="106"/>
      <c r="AJ210" s="9"/>
      <c r="AK210" s="106"/>
      <c r="AL210" s="106"/>
      <c r="AM210" s="106"/>
      <c r="AN210" s="106"/>
      <c r="AO210" s="106"/>
      <c r="AP210" s="106"/>
      <c r="AQ210" s="9"/>
      <c r="AR210" s="106"/>
      <c r="AS210" s="106"/>
      <c r="AT210" s="106"/>
      <c r="AU210" s="106"/>
      <c r="AV210" s="106"/>
      <c r="AW210" s="106"/>
      <c r="AX210" s="9"/>
    </row>
    <row r="211" spans="1:50" ht="13.05" hidden="1" customHeight="1" thickBot="1" x14ac:dyDescent="0.3">
      <c r="A211" t="str">
        <f>Nutrients!B210</f>
        <v xml:space="preserve">ThrPro </v>
      </c>
      <c r="B211" s="106"/>
      <c r="C211" s="106"/>
      <c r="D211" s="106"/>
      <c r="E211" s="106"/>
      <c r="F211" s="106"/>
      <c r="G211" s="106"/>
      <c r="H211" s="106"/>
      <c r="I211" s="106"/>
      <c r="J211" s="106"/>
      <c r="K211" s="106"/>
      <c r="L211" s="106"/>
      <c r="M211" s="106"/>
      <c r="N211" s="106"/>
      <c r="O211" s="29"/>
      <c r="P211" s="106"/>
      <c r="Q211" s="106"/>
      <c r="R211" s="106"/>
      <c r="S211" s="106"/>
      <c r="T211" s="106"/>
      <c r="U211" s="106"/>
      <c r="V211" s="9"/>
      <c r="W211" s="106"/>
      <c r="X211" s="106"/>
      <c r="Y211" s="106"/>
      <c r="Z211" s="106"/>
      <c r="AA211" s="106"/>
      <c r="AB211" s="106"/>
      <c r="AC211" s="9"/>
      <c r="AD211" s="106"/>
      <c r="AE211" s="106"/>
      <c r="AF211" s="106"/>
      <c r="AG211" s="106"/>
      <c r="AH211" s="106"/>
      <c r="AI211" s="106"/>
      <c r="AJ211" s="9"/>
      <c r="AK211" s="106"/>
      <c r="AL211" s="106"/>
      <c r="AM211" s="106"/>
      <c r="AN211" s="106"/>
      <c r="AO211" s="106"/>
      <c r="AP211" s="106"/>
      <c r="AQ211" s="9"/>
      <c r="AR211" s="106"/>
      <c r="AS211" s="106"/>
      <c r="AT211" s="106"/>
      <c r="AU211" s="106"/>
      <c r="AV211" s="106"/>
      <c r="AW211" s="106"/>
      <c r="AX211" s="9"/>
    </row>
    <row r="212" spans="1:50" ht="13.05" hidden="1" customHeight="1" thickBot="1" x14ac:dyDescent="0.3">
      <c r="A212" t="str">
        <f>Nutrients!B211</f>
        <v>NHF Optiphos Plus 2500 G</v>
      </c>
      <c r="B212" s="106"/>
      <c r="C212" s="106"/>
      <c r="D212" s="106"/>
      <c r="E212" s="106"/>
      <c r="F212" s="106"/>
      <c r="G212" s="106"/>
      <c r="H212" s="106"/>
      <c r="I212" s="106"/>
      <c r="J212" s="106"/>
      <c r="K212" s="106"/>
      <c r="L212" s="106"/>
      <c r="M212" s="106"/>
      <c r="N212" s="106"/>
      <c r="O212" s="29"/>
      <c r="P212" s="106"/>
      <c r="Q212" s="106"/>
      <c r="R212" s="106"/>
      <c r="S212" s="106"/>
      <c r="T212" s="106"/>
      <c r="U212" s="106"/>
      <c r="V212" s="9"/>
      <c r="W212" s="106"/>
      <c r="X212" s="106"/>
      <c r="Y212" s="106"/>
      <c r="Z212" s="106"/>
      <c r="AA212" s="106"/>
      <c r="AB212" s="106"/>
      <c r="AC212" s="9"/>
      <c r="AD212" s="106"/>
      <c r="AE212" s="106"/>
      <c r="AF212" s="106"/>
      <c r="AG212" s="106"/>
      <c r="AH212" s="106"/>
      <c r="AI212" s="106"/>
      <c r="AJ212" s="9"/>
      <c r="AK212" s="106"/>
      <c r="AL212" s="106"/>
      <c r="AM212" s="106"/>
      <c r="AN212" s="106"/>
      <c r="AO212" s="106"/>
      <c r="AP212" s="106"/>
      <c r="AQ212" s="9"/>
      <c r="AR212" s="106"/>
      <c r="AS212" s="106"/>
      <c r="AT212" s="106"/>
      <c r="AU212" s="106"/>
      <c r="AV212" s="106"/>
      <c r="AW212" s="106"/>
      <c r="AX212" s="9"/>
    </row>
    <row r="213" spans="1:50" ht="13.05" hidden="1" customHeight="1" thickBot="1" x14ac:dyDescent="0.3">
      <c r="A213" t="str">
        <f>Nutrients!B212</f>
        <v>NHF Corn DDGS, Valero, Aurora</v>
      </c>
      <c r="B213" s="106"/>
      <c r="C213" s="106"/>
      <c r="D213" s="106"/>
      <c r="E213" s="106"/>
      <c r="F213" s="106"/>
      <c r="G213" s="106"/>
      <c r="H213" s="106"/>
      <c r="I213" s="106"/>
      <c r="J213" s="106"/>
      <c r="K213" s="106"/>
      <c r="L213" s="106"/>
      <c r="M213" s="106"/>
      <c r="N213" s="106"/>
      <c r="O213" s="29"/>
      <c r="P213" s="106"/>
      <c r="Q213" s="106"/>
      <c r="R213" s="106"/>
      <c r="S213" s="106"/>
      <c r="T213" s="106"/>
      <c r="U213" s="106"/>
      <c r="V213" s="9"/>
      <c r="W213" s="106"/>
      <c r="X213" s="106"/>
      <c r="Y213" s="106"/>
      <c r="Z213" s="106"/>
      <c r="AA213" s="106"/>
      <c r="AB213" s="106"/>
      <c r="AC213" s="9"/>
      <c r="AD213" s="106"/>
      <c r="AE213" s="106"/>
      <c r="AF213" s="106"/>
      <c r="AG213" s="106"/>
      <c r="AH213" s="106"/>
      <c r="AI213" s="106"/>
      <c r="AJ213" s="9"/>
      <c r="AK213" s="106"/>
      <c r="AL213" s="106"/>
      <c r="AM213" s="106"/>
      <c r="AN213" s="106"/>
      <c r="AO213" s="106"/>
      <c r="AP213" s="106"/>
      <c r="AQ213" s="9"/>
      <c r="AR213" s="106"/>
      <c r="AS213" s="106"/>
      <c r="AT213" s="106"/>
      <c r="AU213" s="106"/>
      <c r="AV213" s="106"/>
      <c r="AW213" s="106"/>
      <c r="AX213" s="9"/>
    </row>
    <row r="214" spans="1:50" ht="13.05" hidden="1" customHeight="1" thickBot="1" x14ac:dyDescent="0.3">
      <c r="A214" t="str">
        <f>Nutrients!B213</f>
        <v>HP 300 Hubbard</v>
      </c>
      <c r="B214" s="106"/>
      <c r="C214" s="106"/>
      <c r="D214" s="106"/>
      <c r="E214" s="106"/>
      <c r="F214" s="106"/>
      <c r="G214" s="106"/>
      <c r="H214" s="106"/>
      <c r="I214" s="106"/>
      <c r="J214" s="106"/>
      <c r="K214" s="106"/>
      <c r="L214" s="106"/>
      <c r="M214" s="106"/>
      <c r="N214" s="106"/>
      <c r="O214" s="29"/>
      <c r="P214" s="106"/>
      <c r="Q214" s="106"/>
      <c r="R214" s="106"/>
      <c r="S214" s="106"/>
      <c r="T214" s="106"/>
      <c r="U214" s="106"/>
      <c r="V214" s="9"/>
      <c r="W214" s="106"/>
      <c r="X214" s="106"/>
      <c r="Y214" s="106"/>
      <c r="Z214" s="106"/>
      <c r="AA214" s="106"/>
      <c r="AB214" s="106"/>
      <c r="AC214" s="9"/>
      <c r="AD214" s="106"/>
      <c r="AE214" s="106"/>
      <c r="AF214" s="106"/>
      <c r="AG214" s="106"/>
      <c r="AH214" s="106"/>
      <c r="AI214" s="106"/>
      <c r="AJ214" s="9"/>
      <c r="AK214" s="106"/>
      <c r="AL214" s="106"/>
      <c r="AM214" s="106"/>
      <c r="AN214" s="106"/>
      <c r="AO214" s="106"/>
      <c r="AP214" s="106"/>
      <c r="AQ214" s="9"/>
      <c r="AR214" s="106"/>
      <c r="AS214" s="106"/>
      <c r="AT214" s="106"/>
      <c r="AU214" s="106"/>
      <c r="AV214" s="106"/>
      <c r="AW214" s="106"/>
      <c r="AX214" s="9"/>
    </row>
    <row r="215" spans="1:50" ht="13.05" hidden="1" customHeight="1" thickBot="1" x14ac:dyDescent="0.3">
      <c r="A215" t="str">
        <f>Nutrients!B214</f>
        <v>NHF Corn DDGS, Illuminate for Aurora</v>
      </c>
      <c r="B215" s="106"/>
      <c r="C215" s="106"/>
      <c r="D215" s="106"/>
      <c r="E215" s="106"/>
      <c r="F215" s="106"/>
      <c r="G215" s="106"/>
      <c r="H215" s="106"/>
      <c r="I215" s="106"/>
      <c r="J215" s="106"/>
      <c r="K215" s="106"/>
      <c r="L215" s="106"/>
      <c r="M215" s="106"/>
      <c r="N215" s="106"/>
      <c r="O215" s="29"/>
      <c r="P215" s="106"/>
      <c r="Q215" s="106"/>
      <c r="R215" s="106"/>
      <c r="S215" s="106"/>
      <c r="T215" s="106"/>
      <c r="U215" s="106"/>
      <c r="V215" s="9"/>
      <c r="W215" s="106"/>
      <c r="X215" s="106"/>
      <c r="Y215" s="106"/>
      <c r="Z215" s="106"/>
      <c r="AA215" s="106"/>
      <c r="AB215" s="106"/>
      <c r="AC215" s="9"/>
      <c r="AD215" s="106"/>
      <c r="AE215" s="106"/>
      <c r="AF215" s="106"/>
      <c r="AG215" s="106"/>
      <c r="AH215" s="106"/>
      <c r="AI215" s="106"/>
      <c r="AJ215" s="9"/>
      <c r="AK215" s="106"/>
      <c r="AL215" s="106"/>
      <c r="AM215" s="106"/>
      <c r="AN215" s="106"/>
      <c r="AO215" s="106"/>
      <c r="AP215" s="106"/>
      <c r="AQ215" s="9"/>
      <c r="AR215" s="106"/>
      <c r="AS215" s="106"/>
      <c r="AT215" s="106"/>
      <c r="AU215" s="106"/>
      <c r="AV215" s="106"/>
      <c r="AW215" s="106"/>
      <c r="AX215" s="9"/>
    </row>
    <row r="216" spans="1:50" ht="13.05" hidden="1" customHeight="1" thickBot="1" x14ac:dyDescent="0.3">
      <c r="A216" t="str">
        <f>Nutrients!B215</f>
        <v>NFP Corn DDGS, MO analysis</v>
      </c>
      <c r="B216" s="106"/>
      <c r="C216" s="106"/>
      <c r="D216" s="106"/>
      <c r="E216" s="106"/>
      <c r="F216" s="106"/>
      <c r="G216" s="106"/>
      <c r="H216" s="106"/>
      <c r="I216" s="106"/>
      <c r="J216" s="106"/>
      <c r="K216" s="106"/>
      <c r="L216" s="106"/>
      <c r="M216" s="106"/>
      <c r="N216" s="106"/>
      <c r="O216" s="29"/>
      <c r="P216" s="106"/>
      <c r="Q216" s="106"/>
      <c r="R216" s="106"/>
      <c r="S216" s="106"/>
      <c r="T216" s="106"/>
      <c r="U216" s="106"/>
      <c r="V216" s="9"/>
      <c r="W216" s="106"/>
      <c r="X216" s="106"/>
      <c r="Y216" s="106"/>
      <c r="Z216" s="106"/>
      <c r="AA216" s="106"/>
      <c r="AB216" s="106"/>
      <c r="AC216" s="9"/>
      <c r="AD216" s="106"/>
      <c r="AE216" s="106"/>
      <c r="AF216" s="106"/>
      <c r="AG216" s="106"/>
      <c r="AH216" s="106"/>
      <c r="AI216" s="106"/>
      <c r="AJ216" s="9"/>
      <c r="AK216" s="106"/>
      <c r="AL216" s="106"/>
      <c r="AM216" s="106"/>
      <c r="AN216" s="106"/>
      <c r="AO216" s="106"/>
      <c r="AP216" s="106"/>
      <c r="AQ216" s="9"/>
      <c r="AR216" s="106"/>
      <c r="AS216" s="106"/>
      <c r="AT216" s="106"/>
      <c r="AU216" s="106"/>
      <c r="AV216" s="106"/>
      <c r="AW216" s="106"/>
      <c r="AX216" s="9"/>
    </row>
    <row r="217" spans="1:50" ht="13.05" hidden="1" customHeight="1" thickBot="1" x14ac:dyDescent="0.3">
      <c r="A217" t="str">
        <f>Nutrients!B216</f>
        <v>NFP Smizyme 2500</v>
      </c>
      <c r="B217" s="106"/>
      <c r="C217" s="106"/>
      <c r="D217" s="106"/>
      <c r="E217" s="106"/>
      <c r="F217" s="106"/>
      <c r="G217" s="106"/>
      <c r="H217" s="106"/>
      <c r="I217" s="106"/>
      <c r="J217" s="106"/>
      <c r="K217" s="106"/>
      <c r="L217" s="106"/>
      <c r="M217" s="106"/>
      <c r="N217" s="106"/>
      <c r="O217" s="29"/>
      <c r="P217" s="106"/>
      <c r="Q217" s="106"/>
      <c r="R217" s="106"/>
      <c r="S217" s="106"/>
      <c r="T217" s="106"/>
      <c r="U217" s="106"/>
      <c r="V217" s="9"/>
      <c r="W217" s="106"/>
      <c r="X217" s="106"/>
      <c r="Y217" s="106"/>
      <c r="Z217" s="106"/>
      <c r="AA217" s="106"/>
      <c r="AB217" s="106"/>
      <c r="AC217" s="9"/>
      <c r="AD217" s="106"/>
      <c r="AE217" s="106"/>
      <c r="AF217" s="106"/>
      <c r="AG217" s="106"/>
      <c r="AH217" s="106"/>
      <c r="AI217" s="106"/>
      <c r="AJ217" s="9"/>
      <c r="AK217" s="106"/>
      <c r="AL217" s="106"/>
      <c r="AM217" s="106"/>
      <c r="AN217" s="106"/>
      <c r="AO217" s="106"/>
      <c r="AP217" s="106"/>
      <c r="AQ217" s="9"/>
      <c r="AR217" s="106"/>
      <c r="AS217" s="106"/>
      <c r="AT217" s="106"/>
      <c r="AU217" s="106"/>
      <c r="AV217" s="106"/>
      <c r="AW217" s="106"/>
      <c r="AX217" s="9"/>
    </row>
    <row r="218" spans="1:50" ht="13.05" hidden="1" customHeight="1" thickBot="1" x14ac:dyDescent="0.3">
      <c r="A218" t="str">
        <f>Nutrients!B217</f>
        <v>NHF HP300 2022 loadings</v>
      </c>
      <c r="B218" s="106"/>
      <c r="C218" s="106"/>
      <c r="D218" s="106"/>
      <c r="E218" s="106"/>
      <c r="F218" s="106"/>
      <c r="G218" s="106"/>
      <c r="H218" s="106"/>
      <c r="I218" s="106"/>
      <c r="J218" s="106"/>
      <c r="K218" s="106"/>
      <c r="L218" s="106"/>
      <c r="M218" s="106"/>
      <c r="N218" s="106"/>
      <c r="O218" s="29"/>
      <c r="P218" s="106"/>
      <c r="Q218" s="106"/>
      <c r="R218" s="106"/>
      <c r="S218" s="106"/>
      <c r="T218" s="106"/>
      <c r="U218" s="106"/>
      <c r="V218" s="9"/>
      <c r="W218" s="106"/>
      <c r="X218" s="106"/>
      <c r="Y218" s="106"/>
      <c r="Z218" s="106"/>
      <c r="AA218" s="106"/>
      <c r="AB218" s="106"/>
      <c r="AC218" s="9"/>
      <c r="AD218" s="106"/>
      <c r="AE218" s="106"/>
      <c r="AF218" s="106"/>
      <c r="AG218" s="106"/>
      <c r="AH218" s="106"/>
      <c r="AI218" s="106"/>
      <c r="AJ218" s="9"/>
      <c r="AK218" s="106"/>
      <c r="AL218" s="106"/>
      <c r="AM218" s="106"/>
      <c r="AN218" s="106"/>
      <c r="AO218" s="106"/>
      <c r="AP218" s="106"/>
      <c r="AQ218" s="9"/>
      <c r="AR218" s="106"/>
      <c r="AS218" s="106"/>
      <c r="AT218" s="106"/>
      <c r="AU218" s="106"/>
      <c r="AV218" s="106"/>
      <c r="AW218" s="106"/>
      <c r="AX218" s="9"/>
    </row>
    <row r="219" spans="1:50" ht="13.05" hidden="1" customHeight="1" thickBot="1" x14ac:dyDescent="0.3">
      <c r="A219" t="str">
        <f>Nutrients!B218</f>
        <v>NHF Liquid Lys 55%</v>
      </c>
      <c r="B219" s="106"/>
      <c r="C219" s="106"/>
      <c r="D219" s="106"/>
      <c r="E219" s="106"/>
      <c r="F219" s="106"/>
      <c r="G219" s="106"/>
      <c r="H219" s="106"/>
      <c r="I219" s="106"/>
      <c r="J219" s="106"/>
      <c r="K219" s="106"/>
      <c r="L219" s="106"/>
      <c r="M219" s="106"/>
      <c r="N219" s="106"/>
      <c r="O219" s="29"/>
      <c r="P219" s="106"/>
      <c r="Q219" s="106"/>
      <c r="R219" s="106"/>
      <c r="S219" s="106"/>
      <c r="T219" s="106"/>
      <c r="U219" s="106"/>
      <c r="V219" s="9"/>
      <c r="W219" s="106"/>
      <c r="X219" s="106"/>
      <c r="Y219" s="106"/>
      <c r="Z219" s="106"/>
      <c r="AA219" s="106"/>
      <c r="AB219" s="106"/>
      <c r="AC219" s="9"/>
      <c r="AD219" s="106"/>
      <c r="AE219" s="106"/>
      <c r="AF219" s="106"/>
      <c r="AG219" s="106"/>
      <c r="AH219" s="106"/>
      <c r="AI219" s="106"/>
      <c r="AJ219" s="9"/>
      <c r="AK219" s="106"/>
      <c r="AL219" s="106"/>
      <c r="AM219" s="106"/>
      <c r="AN219" s="106"/>
      <c r="AO219" s="106"/>
      <c r="AP219" s="106"/>
      <c r="AQ219" s="9"/>
      <c r="AR219" s="106"/>
      <c r="AS219" s="106"/>
      <c r="AT219" s="106"/>
      <c r="AU219" s="106"/>
      <c r="AV219" s="106"/>
      <c r="AW219" s="106"/>
      <c r="AX219" s="9"/>
    </row>
    <row r="220" spans="1:50" ht="13.8" thickBot="1" x14ac:dyDescent="0.3">
      <c r="A220" t="str">
        <f>Nutrients!B219</f>
        <v>Corn DDGS with varying energy</v>
      </c>
      <c r="B220" s="106"/>
      <c r="C220" s="106"/>
      <c r="D220" s="106"/>
      <c r="E220" s="106"/>
      <c r="F220" s="106"/>
      <c r="G220" s="106"/>
      <c r="H220" s="106"/>
      <c r="I220" s="106">
        <v>100</v>
      </c>
      <c r="J220" s="106">
        <v>100</v>
      </c>
      <c r="K220" s="106">
        <v>100</v>
      </c>
      <c r="L220" s="106">
        <v>100</v>
      </c>
      <c r="M220" s="106">
        <v>100</v>
      </c>
      <c r="N220" s="106"/>
      <c r="O220" s="29"/>
      <c r="P220" s="106">
        <v>200</v>
      </c>
      <c r="Q220" s="106">
        <v>200</v>
      </c>
      <c r="R220" s="106">
        <v>200</v>
      </c>
      <c r="S220" s="106">
        <v>200</v>
      </c>
      <c r="T220" s="106">
        <v>200</v>
      </c>
      <c r="U220" s="106"/>
      <c r="V220" s="9"/>
      <c r="W220" s="106">
        <v>300</v>
      </c>
      <c r="X220" s="106">
        <v>300</v>
      </c>
      <c r="Y220" s="106">
        <v>300</v>
      </c>
      <c r="Z220" s="106">
        <v>300</v>
      </c>
      <c r="AA220" s="106">
        <v>300</v>
      </c>
      <c r="AB220" s="106"/>
      <c r="AC220" s="9"/>
      <c r="AD220" s="106">
        <v>400</v>
      </c>
      <c r="AE220" s="106">
        <v>400</v>
      </c>
      <c r="AF220" s="106">
        <v>400</v>
      </c>
      <c r="AG220" s="106">
        <v>400</v>
      </c>
      <c r="AH220" s="106">
        <v>400</v>
      </c>
      <c r="AI220" s="106"/>
      <c r="AJ220" s="9"/>
      <c r="AK220" s="106">
        <v>500</v>
      </c>
      <c r="AL220" s="106">
        <v>500</v>
      </c>
      <c r="AM220" s="106">
        <v>500</v>
      </c>
      <c r="AN220" s="106">
        <v>500</v>
      </c>
      <c r="AO220" s="106">
        <v>500</v>
      </c>
      <c r="AP220" s="106"/>
      <c r="AQ220" s="9"/>
      <c r="AR220" s="106">
        <v>600</v>
      </c>
      <c r="AS220" s="106">
        <v>600</v>
      </c>
      <c r="AT220" s="106">
        <v>600</v>
      </c>
      <c r="AU220" s="106">
        <v>600</v>
      </c>
      <c r="AV220" s="106">
        <v>600</v>
      </c>
      <c r="AW220" s="106"/>
      <c r="AX220" s="9"/>
    </row>
    <row r="221" spans="1:50" ht="13.05" hidden="1" customHeight="1" x14ac:dyDescent="0.25">
      <c r="A221" t="str">
        <f>Nutrients!B220</f>
        <v>Other ingredient</v>
      </c>
      <c r="B221" s="99"/>
      <c r="C221" s="99"/>
      <c r="D221" s="99"/>
      <c r="E221" s="99"/>
      <c r="F221" s="99"/>
      <c r="G221" s="99"/>
      <c r="H221" s="99"/>
      <c r="I221" s="99"/>
      <c r="J221" s="99"/>
      <c r="K221" s="99"/>
      <c r="L221" s="99"/>
      <c r="M221" s="99"/>
      <c r="N221" s="99"/>
      <c r="O221" s="10"/>
      <c r="P221" s="99"/>
      <c r="Q221" s="99"/>
      <c r="R221" s="99"/>
      <c r="S221" s="99"/>
      <c r="T221" s="99"/>
      <c r="U221" s="99"/>
      <c r="W221" s="99"/>
      <c r="X221" s="99"/>
      <c r="Y221" s="99"/>
      <c r="Z221" s="99"/>
      <c r="AA221" s="99"/>
      <c r="AB221" s="99"/>
      <c r="AD221" s="99"/>
      <c r="AE221" s="99"/>
      <c r="AF221" s="99"/>
      <c r="AG221" s="99"/>
      <c r="AH221" s="99"/>
      <c r="AI221" s="99"/>
      <c r="AK221" s="99"/>
      <c r="AL221" s="99"/>
      <c r="AM221" s="99"/>
      <c r="AN221" s="99"/>
      <c r="AO221" s="99"/>
      <c r="AP221" s="99"/>
      <c r="AR221" s="99"/>
      <c r="AS221" s="99"/>
      <c r="AT221" s="99"/>
      <c r="AU221" s="99"/>
      <c r="AV221" s="99"/>
      <c r="AW221" s="99"/>
    </row>
    <row r="222" spans="1:50" ht="13.05" hidden="1" customHeight="1" x14ac:dyDescent="0.25">
      <c r="A222" t="str">
        <f>Nutrients!B221</f>
        <v>Other ingredient</v>
      </c>
      <c r="B222" s="99"/>
      <c r="C222" s="99"/>
      <c r="D222" s="99"/>
      <c r="E222" s="99"/>
      <c r="F222" s="99"/>
      <c r="G222" s="99"/>
      <c r="H222" s="99"/>
      <c r="I222" s="99"/>
      <c r="J222" s="99"/>
      <c r="K222" s="99"/>
      <c r="L222" s="99"/>
      <c r="M222" s="99"/>
      <c r="N222" s="99"/>
      <c r="O222" s="10"/>
      <c r="P222" s="99"/>
      <c r="Q222" s="99"/>
      <c r="R222" s="99"/>
      <c r="S222" s="99"/>
      <c r="T222" s="99"/>
      <c r="U222" s="99"/>
      <c r="W222" s="99"/>
      <c r="X222" s="99"/>
      <c r="Y222" s="99"/>
      <c r="Z222" s="99"/>
      <c r="AA222" s="99"/>
      <c r="AB222" s="99"/>
      <c r="AD222" s="99"/>
      <c r="AE222" s="99"/>
      <c r="AF222" s="99"/>
      <c r="AG222" s="99"/>
      <c r="AH222" s="99"/>
      <c r="AI222" s="99"/>
      <c r="AK222" s="99"/>
      <c r="AL222" s="99"/>
      <c r="AM222" s="99"/>
      <c r="AN222" s="99"/>
      <c r="AO222" s="99"/>
      <c r="AP222" s="99"/>
      <c r="AR222" s="99"/>
      <c r="AS222" s="99"/>
      <c r="AT222" s="99"/>
      <c r="AU222" s="99"/>
      <c r="AV222" s="99"/>
      <c r="AW222" s="99"/>
    </row>
    <row r="223" spans="1:50" ht="13.05" hidden="1" customHeight="1" x14ac:dyDescent="0.25">
      <c r="A223" t="str">
        <f>Nutrients!B222</f>
        <v>Other ingredient</v>
      </c>
      <c r="B223" s="99"/>
      <c r="C223" s="99"/>
      <c r="D223" s="99"/>
      <c r="E223" s="99"/>
      <c r="F223" s="99"/>
      <c r="G223" s="99"/>
      <c r="H223" s="99"/>
      <c r="I223" s="99"/>
      <c r="J223" s="99"/>
      <c r="K223" s="99"/>
      <c r="L223" s="99"/>
      <c r="M223" s="99"/>
      <c r="N223" s="99"/>
      <c r="O223" s="10"/>
      <c r="P223" s="99"/>
      <c r="Q223" s="99"/>
      <c r="R223" s="99"/>
      <c r="S223" s="99"/>
      <c r="T223" s="99"/>
      <c r="U223" s="99"/>
      <c r="W223" s="99"/>
      <c r="X223" s="99"/>
      <c r="Y223" s="99"/>
      <c r="Z223" s="99"/>
      <c r="AA223" s="99"/>
      <c r="AB223" s="99"/>
      <c r="AD223" s="99"/>
      <c r="AE223" s="99"/>
      <c r="AF223" s="99"/>
      <c r="AG223" s="99"/>
      <c r="AH223" s="99"/>
      <c r="AI223" s="99"/>
      <c r="AK223" s="99"/>
      <c r="AL223" s="99"/>
      <c r="AM223" s="99"/>
      <c r="AN223" s="99"/>
      <c r="AO223" s="99"/>
      <c r="AP223" s="99"/>
      <c r="AR223" s="99"/>
      <c r="AS223" s="99"/>
      <c r="AT223" s="99"/>
      <c r="AU223" s="99"/>
      <c r="AV223" s="99"/>
      <c r="AW223" s="99"/>
    </row>
    <row r="224" spans="1:50" ht="13.05" hidden="1" customHeight="1" x14ac:dyDescent="0.25">
      <c r="A224" t="str">
        <f>Nutrients!B223</f>
        <v>Other ingredient</v>
      </c>
      <c r="B224" s="99"/>
      <c r="C224" s="99"/>
      <c r="D224" s="99"/>
      <c r="E224" s="99"/>
      <c r="F224" s="99"/>
      <c r="G224" s="99"/>
      <c r="H224" s="99"/>
      <c r="I224" s="99"/>
      <c r="J224" s="99"/>
      <c r="K224" s="99"/>
      <c r="L224" s="99"/>
      <c r="M224" s="99"/>
      <c r="N224" s="99"/>
      <c r="O224" s="10"/>
      <c r="P224" s="99"/>
      <c r="Q224" s="99"/>
      <c r="R224" s="99"/>
      <c r="S224" s="99"/>
      <c r="T224" s="99"/>
      <c r="U224" s="99"/>
      <c r="W224" s="99"/>
      <c r="X224" s="99"/>
      <c r="Y224" s="99"/>
      <c r="Z224" s="99"/>
      <c r="AA224" s="99"/>
      <c r="AB224" s="99"/>
      <c r="AD224" s="99"/>
      <c r="AE224" s="99"/>
      <c r="AF224" s="99"/>
      <c r="AG224" s="99"/>
      <c r="AH224" s="99"/>
      <c r="AI224" s="99"/>
      <c r="AK224" s="99"/>
      <c r="AL224" s="99"/>
      <c r="AM224" s="99"/>
      <c r="AN224" s="99"/>
      <c r="AO224" s="99"/>
      <c r="AP224" s="99"/>
      <c r="AR224" s="99"/>
      <c r="AS224" s="99"/>
      <c r="AT224" s="99"/>
      <c r="AU224" s="99"/>
      <c r="AV224" s="99"/>
      <c r="AW224" s="99"/>
    </row>
    <row r="225" spans="1:50" ht="13.05" hidden="1" customHeight="1" x14ac:dyDescent="0.25">
      <c r="A225" t="str">
        <f>Nutrients!B224</f>
        <v>Other ingredient</v>
      </c>
      <c r="B225" s="99"/>
      <c r="C225" s="99"/>
      <c r="D225" s="99"/>
      <c r="E225" s="99"/>
      <c r="F225" s="99"/>
      <c r="G225" s="99"/>
      <c r="H225" s="99"/>
      <c r="I225" s="99"/>
      <c r="J225" s="99"/>
      <c r="K225" s="99"/>
      <c r="L225" s="99"/>
      <c r="M225" s="99"/>
      <c r="N225" s="99"/>
      <c r="O225" s="10"/>
      <c r="P225" s="99"/>
      <c r="Q225" s="99"/>
      <c r="R225" s="99"/>
      <c r="S225" s="99"/>
      <c r="T225" s="99"/>
      <c r="U225" s="99"/>
      <c r="W225" s="99"/>
      <c r="X225" s="99"/>
      <c r="Y225" s="99"/>
      <c r="Z225" s="99"/>
      <c r="AA225" s="99"/>
      <c r="AB225" s="99"/>
      <c r="AD225" s="99"/>
      <c r="AE225" s="99"/>
      <c r="AF225" s="99"/>
      <c r="AG225" s="99"/>
      <c r="AH225" s="99"/>
      <c r="AI225" s="99"/>
      <c r="AK225" s="99"/>
      <c r="AL225" s="99"/>
      <c r="AM225" s="99"/>
      <c r="AN225" s="99"/>
      <c r="AO225" s="99"/>
      <c r="AP225" s="99"/>
      <c r="AR225" s="99"/>
      <c r="AS225" s="99"/>
      <c r="AT225" s="99"/>
      <c r="AU225" s="99"/>
      <c r="AV225" s="99"/>
      <c r="AW225" s="99"/>
    </row>
    <row r="226" spans="1:50" ht="13.05" hidden="1" customHeight="1" x14ac:dyDescent="0.25">
      <c r="A226" t="str">
        <f>Nutrients!B225</f>
        <v>Other ingredient</v>
      </c>
      <c r="B226" s="99"/>
      <c r="C226" s="99"/>
      <c r="D226" s="99"/>
      <c r="E226" s="99"/>
      <c r="F226" s="99"/>
      <c r="G226" s="99"/>
      <c r="H226" s="99"/>
      <c r="I226" s="99"/>
      <c r="J226" s="99"/>
      <c r="K226" s="99"/>
      <c r="L226" s="99"/>
      <c r="M226" s="99"/>
      <c r="N226" s="99"/>
      <c r="O226" s="10"/>
      <c r="P226" s="99"/>
      <c r="Q226" s="99"/>
      <c r="R226" s="99"/>
      <c r="S226" s="99"/>
      <c r="T226" s="99"/>
      <c r="U226" s="99"/>
      <c r="W226" s="99"/>
      <c r="X226" s="99"/>
      <c r="Y226" s="99"/>
      <c r="Z226" s="99"/>
      <c r="AA226" s="99"/>
      <c r="AB226" s="99"/>
      <c r="AD226" s="99"/>
      <c r="AE226" s="99"/>
      <c r="AF226" s="99"/>
      <c r="AG226" s="99"/>
      <c r="AH226" s="99"/>
      <c r="AI226" s="99"/>
      <c r="AK226" s="99"/>
      <c r="AL226" s="99"/>
      <c r="AM226" s="99"/>
      <c r="AN226" s="99"/>
      <c r="AO226" s="99"/>
      <c r="AP226" s="99"/>
      <c r="AR226" s="99"/>
      <c r="AS226" s="99"/>
      <c r="AT226" s="99"/>
      <c r="AU226" s="99"/>
      <c r="AV226" s="99"/>
      <c r="AW226" s="99"/>
    </row>
    <row r="227" spans="1:50" ht="13.05" hidden="1" customHeight="1" x14ac:dyDescent="0.25">
      <c r="A227" t="str">
        <f>Nutrients!B226</f>
        <v>Other ingredient</v>
      </c>
      <c r="B227" s="99"/>
      <c r="C227" s="99"/>
      <c r="D227" s="99"/>
      <c r="E227" s="99"/>
      <c r="F227" s="99"/>
      <c r="G227" s="99"/>
      <c r="H227" s="99"/>
      <c r="I227" s="99"/>
      <c r="J227" s="99"/>
      <c r="K227" s="99"/>
      <c r="L227" s="99"/>
      <c r="M227" s="99"/>
      <c r="N227" s="99"/>
      <c r="O227" s="10"/>
      <c r="P227" s="99"/>
      <c r="Q227" s="99"/>
      <c r="R227" s="99"/>
      <c r="S227" s="99"/>
      <c r="T227" s="99"/>
      <c r="U227" s="99"/>
      <c r="W227" s="99"/>
      <c r="X227" s="99"/>
      <c r="Y227" s="99"/>
      <c r="Z227" s="99"/>
      <c r="AA227" s="99"/>
      <c r="AB227" s="99"/>
      <c r="AD227" s="99"/>
      <c r="AE227" s="99"/>
      <c r="AF227" s="99"/>
      <c r="AG227" s="99"/>
      <c r="AH227" s="99"/>
      <c r="AI227" s="99"/>
      <c r="AK227" s="99"/>
      <c r="AL227" s="99"/>
      <c r="AM227" s="99"/>
      <c r="AN227" s="99"/>
      <c r="AO227" s="99"/>
      <c r="AP227" s="99"/>
      <c r="AR227" s="99"/>
      <c r="AS227" s="99"/>
      <c r="AT227" s="99"/>
      <c r="AU227" s="99"/>
      <c r="AV227" s="99"/>
      <c r="AW227" s="99"/>
    </row>
    <row r="228" spans="1:50" ht="13.05" hidden="1" customHeight="1" x14ac:dyDescent="0.25">
      <c r="A228" t="str">
        <f>Nutrients!B227</f>
        <v>Other ingredient</v>
      </c>
      <c r="B228" s="99"/>
      <c r="C228" s="99"/>
      <c r="D228" s="99"/>
      <c r="E228" s="99"/>
      <c r="F228" s="99"/>
      <c r="G228" s="99"/>
      <c r="H228" s="99"/>
      <c r="I228" s="99"/>
      <c r="J228" s="99"/>
      <c r="K228" s="99"/>
      <c r="L228" s="99"/>
      <c r="M228" s="99"/>
      <c r="N228" s="99"/>
      <c r="O228" s="10"/>
      <c r="P228" s="99"/>
      <c r="Q228" s="99"/>
      <c r="R228" s="99"/>
      <c r="S228" s="99"/>
      <c r="T228" s="99"/>
      <c r="U228" s="99"/>
      <c r="W228" s="99"/>
      <c r="X228" s="99"/>
      <c r="Y228" s="99"/>
      <c r="Z228" s="99"/>
      <c r="AA228" s="99"/>
      <c r="AB228" s="99"/>
      <c r="AD228" s="99"/>
      <c r="AE228" s="99"/>
      <c r="AF228" s="99"/>
      <c r="AG228" s="99"/>
      <c r="AH228" s="99"/>
      <c r="AI228" s="99"/>
      <c r="AK228" s="99"/>
      <c r="AL228" s="99"/>
      <c r="AM228" s="99"/>
      <c r="AN228" s="99"/>
      <c r="AO228" s="99"/>
      <c r="AP228" s="99"/>
      <c r="AR228" s="99"/>
      <c r="AS228" s="99"/>
      <c r="AT228" s="99"/>
      <c r="AU228" s="99"/>
      <c r="AV228" s="99"/>
      <c r="AW228" s="99"/>
    </row>
    <row r="229" spans="1:50" ht="13.95" hidden="1" customHeight="1" x14ac:dyDescent="0.25">
      <c r="A229" t="str">
        <f>Nutrients!B228</f>
        <v>Other ingredient</v>
      </c>
      <c r="B229" s="99"/>
      <c r="C229" s="99"/>
      <c r="D229" s="99"/>
      <c r="E229" s="99"/>
      <c r="F229" s="99"/>
      <c r="G229" s="99"/>
      <c r="H229" s="99"/>
      <c r="I229" s="99"/>
      <c r="J229" s="99"/>
      <c r="K229" s="99"/>
      <c r="L229" s="99"/>
      <c r="M229" s="99"/>
      <c r="N229" s="99"/>
      <c r="O229" s="10"/>
      <c r="P229" s="99"/>
      <c r="Q229" s="99"/>
      <c r="R229" s="99"/>
      <c r="S229" s="99"/>
      <c r="T229" s="99"/>
      <c r="U229" s="99"/>
      <c r="W229" s="99"/>
      <c r="X229" s="99"/>
      <c r="Y229" s="99"/>
      <c r="Z229" s="99"/>
      <c r="AA229" s="99"/>
      <c r="AB229" s="99"/>
      <c r="AD229" s="99"/>
      <c r="AE229" s="99"/>
      <c r="AF229" s="99"/>
      <c r="AG229" s="99"/>
      <c r="AH229" s="99"/>
      <c r="AI229" s="99"/>
      <c r="AK229" s="99"/>
      <c r="AL229" s="99"/>
      <c r="AM229" s="99"/>
      <c r="AN229" s="99"/>
      <c r="AO229" s="99"/>
      <c r="AP229" s="99"/>
      <c r="AR229" s="99"/>
      <c r="AS229" s="99"/>
      <c r="AT229" s="99"/>
      <c r="AU229" s="99"/>
      <c r="AV229" s="99"/>
      <c r="AW229" s="99"/>
    </row>
    <row r="230" spans="1:50" x14ac:dyDescent="0.25">
      <c r="A230" s="1" t="s">
        <v>17</v>
      </c>
      <c r="B230" s="292">
        <f t="shared" ref="B230:G230" si="13">SUM(B7:B229)</f>
        <v>2000</v>
      </c>
      <c r="C230" s="292">
        <f t="shared" si="13"/>
        <v>2000</v>
      </c>
      <c r="D230" s="292">
        <f t="shared" si="13"/>
        <v>2000</v>
      </c>
      <c r="E230" s="292">
        <f t="shared" si="13"/>
        <v>2000</v>
      </c>
      <c r="F230" s="292">
        <f t="shared" si="13"/>
        <v>2000</v>
      </c>
      <c r="G230" s="292">
        <f t="shared" si="13"/>
        <v>1999.9999999999998</v>
      </c>
      <c r="H230" s="292"/>
      <c r="I230" s="292">
        <f t="shared" ref="I230:M230" si="14">SUM(I7:I229)</f>
        <v>1999.9999999999998</v>
      </c>
      <c r="J230" s="292">
        <f t="shared" si="14"/>
        <v>2000</v>
      </c>
      <c r="K230" s="292">
        <f t="shared" si="14"/>
        <v>2000.0000000000002</v>
      </c>
      <c r="L230" s="292">
        <f t="shared" si="14"/>
        <v>1999.9999999999998</v>
      </c>
      <c r="M230" s="292">
        <f t="shared" si="14"/>
        <v>2000</v>
      </c>
      <c r="N230" s="292">
        <f t="shared" ref="N230" si="15">SUM(N7:N229)</f>
        <v>1999.9999999999998</v>
      </c>
      <c r="O230" s="9"/>
      <c r="P230" s="292">
        <f t="shared" ref="P230:T230" si="16">SUM(P7:P229)</f>
        <v>2000</v>
      </c>
      <c r="Q230" s="292">
        <f t="shared" si="16"/>
        <v>2000</v>
      </c>
      <c r="R230" s="292">
        <f t="shared" si="16"/>
        <v>2000</v>
      </c>
      <c r="S230" s="292">
        <f t="shared" si="16"/>
        <v>2000.0000000000002</v>
      </c>
      <c r="T230" s="292">
        <f t="shared" si="16"/>
        <v>2000.0000000000002</v>
      </c>
      <c r="U230" s="292">
        <f t="shared" ref="U230" si="17">SUM(U7:U229)</f>
        <v>1999.9999999999998</v>
      </c>
      <c r="W230" s="292">
        <f t="shared" ref="W230:AA230" si="18">SUM(W7:W229)</f>
        <v>2000</v>
      </c>
      <c r="X230" s="292">
        <f t="shared" si="18"/>
        <v>1999.9999999999998</v>
      </c>
      <c r="Y230" s="292">
        <f t="shared" si="18"/>
        <v>1999.9999999999998</v>
      </c>
      <c r="Z230" s="292">
        <f t="shared" si="18"/>
        <v>2000</v>
      </c>
      <c r="AA230" s="292">
        <f t="shared" si="18"/>
        <v>2000</v>
      </c>
      <c r="AB230" s="292">
        <f t="shared" ref="AB230" si="19">SUM(AB7:AB229)</f>
        <v>1999.9999999999998</v>
      </c>
      <c r="AD230" s="292">
        <f t="shared" ref="AD230:AI230" si="20">SUM(AD7:AD229)</f>
        <v>1999.9999999999998</v>
      </c>
      <c r="AE230" s="292">
        <f t="shared" si="20"/>
        <v>1999.9999999999998</v>
      </c>
      <c r="AF230" s="292">
        <f t="shared" si="20"/>
        <v>2000</v>
      </c>
      <c r="AG230" s="292">
        <f t="shared" si="20"/>
        <v>1999.9999999999998</v>
      </c>
      <c r="AH230" s="292">
        <f t="shared" si="20"/>
        <v>1999.9999999999998</v>
      </c>
      <c r="AI230" s="292">
        <f t="shared" si="20"/>
        <v>1999.9999999999998</v>
      </c>
      <c r="AK230" s="292">
        <f t="shared" ref="AK230:AP230" si="21">SUM(AK7:AK229)</f>
        <v>2000</v>
      </c>
      <c r="AL230" s="292">
        <f t="shared" si="21"/>
        <v>2000</v>
      </c>
      <c r="AM230" s="292">
        <f t="shared" si="21"/>
        <v>2000.0000000000002</v>
      </c>
      <c r="AN230" s="292">
        <f t="shared" si="21"/>
        <v>2000.0000000000002</v>
      </c>
      <c r="AO230" s="292">
        <f t="shared" si="21"/>
        <v>1999.9999999999998</v>
      </c>
      <c r="AP230" s="292">
        <f t="shared" si="21"/>
        <v>1999.9999999999998</v>
      </c>
      <c r="AR230" s="292">
        <f t="shared" ref="AR230:AW230" si="22">SUM(AR7:AR229)</f>
        <v>2000</v>
      </c>
      <c r="AS230" s="292">
        <f t="shared" si="22"/>
        <v>2000.0000000000005</v>
      </c>
      <c r="AT230" s="292">
        <f t="shared" si="22"/>
        <v>2000</v>
      </c>
      <c r="AU230" s="292">
        <f t="shared" si="22"/>
        <v>2000.0000000000002</v>
      </c>
      <c r="AV230" s="292">
        <f t="shared" si="22"/>
        <v>2000.0000000000002</v>
      </c>
      <c r="AW230" s="292">
        <f t="shared" si="22"/>
        <v>1999.9999999999998</v>
      </c>
    </row>
    <row r="231" spans="1:50" x14ac:dyDescent="0.25">
      <c r="A231" s="9"/>
      <c r="B231" s="7"/>
      <c r="C231" s="7"/>
      <c r="D231" s="7"/>
      <c r="E231" s="7"/>
      <c r="F231" s="7"/>
      <c r="G231" s="7"/>
      <c r="H231" s="7"/>
      <c r="I231" s="7"/>
      <c r="J231" s="7"/>
      <c r="K231" s="7"/>
      <c r="L231" s="7"/>
      <c r="M231" s="7"/>
      <c r="N231" s="7"/>
      <c r="O231" s="7"/>
      <c r="P231" s="7"/>
      <c r="Q231" s="7"/>
      <c r="R231" s="7"/>
      <c r="S231" s="7"/>
      <c r="T231" s="7"/>
      <c r="U231" s="7"/>
      <c r="W231" s="7"/>
      <c r="X231" s="7"/>
      <c r="Y231" s="7"/>
      <c r="Z231" s="7"/>
      <c r="AA231" s="7"/>
      <c r="AB231" s="7"/>
      <c r="AD231" s="7"/>
      <c r="AE231" s="7"/>
      <c r="AF231" s="7"/>
      <c r="AG231" s="7"/>
      <c r="AH231" s="7"/>
      <c r="AI231" s="7"/>
      <c r="AK231" s="7"/>
      <c r="AL231" s="7"/>
      <c r="AM231" s="7"/>
      <c r="AN231" s="7"/>
      <c r="AO231" s="7"/>
      <c r="AP231" s="7"/>
      <c r="AR231" s="7"/>
      <c r="AS231" s="7"/>
      <c r="AT231" s="7"/>
      <c r="AU231" s="7"/>
      <c r="AV231" s="7"/>
      <c r="AW231" s="7"/>
    </row>
    <row r="232" spans="1:50" x14ac:dyDescent="0.25">
      <c r="A232" s="41" t="s">
        <v>348</v>
      </c>
      <c r="B232" s="33">
        <f t="shared" ref="B232:G232" si="23" xml:space="preserve">  0.0000415*((B5+B6)/2)^2 - 0.0236*((B5+B6)/2) + 6.096</f>
        <v>4.6920843750000003</v>
      </c>
      <c r="C232" s="33">
        <f t="shared" si="23"/>
        <v>4.1130093749999999</v>
      </c>
      <c r="D232" s="33">
        <f t="shared" si="23"/>
        <v>3.6054000000000004</v>
      </c>
      <c r="E232" s="33">
        <f t="shared" si="23"/>
        <v>3.1925999999999997</v>
      </c>
      <c r="F232" s="33">
        <f t="shared" si="23"/>
        <v>2.9125999999999999</v>
      </c>
      <c r="G232" s="33">
        <f t="shared" si="23"/>
        <v>2.7606093749999996</v>
      </c>
      <c r="H232" s="33"/>
      <c r="I232" s="33">
        <f t="shared" ref="I232:N232" si="24" xml:space="preserve">  0.0000415*((I5+I6)/2)^2 - 0.0236*((I5+I6)/2) + 6.096</f>
        <v>4.6920843750000003</v>
      </c>
      <c r="J232" s="33">
        <f t="shared" si="24"/>
        <v>4.1130093749999999</v>
      </c>
      <c r="K232" s="33">
        <f t="shared" si="24"/>
        <v>3.6054000000000004</v>
      </c>
      <c r="L232" s="33">
        <f t="shared" si="24"/>
        <v>3.1925999999999997</v>
      </c>
      <c r="M232" s="33">
        <f t="shared" si="24"/>
        <v>2.9125999999999999</v>
      </c>
      <c r="N232" s="33">
        <f t="shared" si="24"/>
        <v>2.7606093749999996</v>
      </c>
      <c r="O232" s="33"/>
      <c r="P232" s="33">
        <f t="shared" ref="P232:U232" si="25" xml:space="preserve">  0.0000415*((P5+P6)/2)^2 - 0.0236*((P5+P6)/2) + 6.096</f>
        <v>4.6920843750000003</v>
      </c>
      <c r="Q232" s="33">
        <f t="shared" si="25"/>
        <v>4.1130093749999999</v>
      </c>
      <c r="R232" s="33">
        <f t="shared" si="25"/>
        <v>3.6054000000000004</v>
      </c>
      <c r="S232" s="33">
        <f t="shared" si="25"/>
        <v>3.1925999999999997</v>
      </c>
      <c r="T232" s="33">
        <f t="shared" si="25"/>
        <v>2.9125999999999999</v>
      </c>
      <c r="U232" s="33">
        <f t="shared" si="25"/>
        <v>2.7606093749999996</v>
      </c>
      <c r="W232" s="33">
        <f t="shared" ref="W232:AB232" si="26" xml:space="preserve">  0.0000415*((W5+W6)/2)^2 - 0.0236*((W5+W6)/2) + 6.096</f>
        <v>4.6920843750000003</v>
      </c>
      <c r="X232" s="33">
        <f t="shared" si="26"/>
        <v>4.1130093749999999</v>
      </c>
      <c r="Y232" s="33">
        <f t="shared" si="26"/>
        <v>3.6054000000000004</v>
      </c>
      <c r="Z232" s="33">
        <f t="shared" si="26"/>
        <v>3.1925999999999997</v>
      </c>
      <c r="AA232" s="33">
        <f t="shared" si="26"/>
        <v>2.9125999999999999</v>
      </c>
      <c r="AB232" s="33">
        <f t="shared" si="26"/>
        <v>2.7606093749999996</v>
      </c>
      <c r="AD232" s="33">
        <f t="shared" ref="AD232:AI232" si="27" xml:space="preserve">  0.0000415*((AD5+AD6)/2)^2 - 0.0236*((AD5+AD6)/2) + 6.096</f>
        <v>4.6920843750000003</v>
      </c>
      <c r="AE232" s="33">
        <f t="shared" si="27"/>
        <v>4.1130093749999999</v>
      </c>
      <c r="AF232" s="33">
        <f t="shared" si="27"/>
        <v>3.6054000000000004</v>
      </c>
      <c r="AG232" s="33">
        <f t="shared" si="27"/>
        <v>3.1925999999999997</v>
      </c>
      <c r="AH232" s="33">
        <f t="shared" si="27"/>
        <v>2.9125999999999999</v>
      </c>
      <c r="AI232" s="33">
        <f t="shared" si="27"/>
        <v>2.7606093749999996</v>
      </c>
      <c r="AK232" s="33">
        <f t="shared" ref="AK232:AP232" si="28" xml:space="preserve">  0.0000415*((AK5+AK6)/2)^2 - 0.0236*((AK5+AK6)/2) + 6.096</f>
        <v>4.6920843750000003</v>
      </c>
      <c r="AL232" s="33">
        <f t="shared" si="28"/>
        <v>4.1130093749999999</v>
      </c>
      <c r="AM232" s="33">
        <f t="shared" si="28"/>
        <v>3.6054000000000004</v>
      </c>
      <c r="AN232" s="33">
        <f t="shared" si="28"/>
        <v>3.1925999999999997</v>
      </c>
      <c r="AO232" s="33">
        <f t="shared" si="28"/>
        <v>2.9125999999999999</v>
      </c>
      <c r="AP232" s="33">
        <f t="shared" si="28"/>
        <v>2.7606093749999996</v>
      </c>
      <c r="AR232" s="33">
        <f t="shared" ref="AR232:AW232" si="29" xml:space="preserve">  0.0000415*((AR5+AR6)/2)^2 - 0.0236*((AR5+AR6)/2) + 6.096</f>
        <v>4.6920843750000003</v>
      </c>
      <c r="AS232" s="33">
        <f t="shared" si="29"/>
        <v>4.1130093749999999</v>
      </c>
      <c r="AT232" s="33">
        <f t="shared" si="29"/>
        <v>3.6054000000000004</v>
      </c>
      <c r="AU232" s="33">
        <f t="shared" si="29"/>
        <v>3.1925999999999997</v>
      </c>
      <c r="AV232" s="33">
        <f t="shared" si="29"/>
        <v>2.9125999999999999</v>
      </c>
      <c r="AW232" s="33">
        <f t="shared" si="29"/>
        <v>2.7606093749999996</v>
      </c>
    </row>
    <row r="233" spans="1:50" x14ac:dyDescent="0.25">
      <c r="A233" s="40" t="s">
        <v>108</v>
      </c>
      <c r="B233" s="26">
        <f t="shared" ref="B233:G233" si="30">IF(B232="","",B250*2.2046*B232/10000)</f>
        <v>1.1871600863382354</v>
      </c>
      <c r="C233" s="26">
        <f t="shared" si="30"/>
        <v>1.0488451848987548</v>
      </c>
      <c r="D233" s="26">
        <f t="shared" si="30"/>
        <v>0.92572438073141317</v>
      </c>
      <c r="E233" s="26">
        <f t="shared" si="30"/>
        <v>0.8245835224120116</v>
      </c>
      <c r="F233" s="26">
        <f t="shared" si="30"/>
        <v>0.755458195622838</v>
      </c>
      <c r="G233" s="26">
        <f t="shared" si="30"/>
        <v>0.71736927197173905</v>
      </c>
      <c r="H233" s="26"/>
      <c r="I233" s="26">
        <f t="shared" ref="I233:N233" si="31">IF(I232="","",I250*2.2046*I232/10000)</f>
        <v>1.1868929212490253</v>
      </c>
      <c r="J233" s="26">
        <f t="shared" si="31"/>
        <v>1.0486771927133118</v>
      </c>
      <c r="K233" s="26">
        <f t="shared" si="31"/>
        <v>0.92577660455854782</v>
      </c>
      <c r="L233" s="26">
        <f t="shared" si="31"/>
        <v>0.82453604116359547</v>
      </c>
      <c r="M233" s="26">
        <f t="shared" si="31"/>
        <v>0.75539699821096873</v>
      </c>
      <c r="N233" s="26">
        <f t="shared" si="31"/>
        <v>0.71736927197173905</v>
      </c>
      <c r="O233" s="26"/>
      <c r="P233" s="26">
        <f t="shared" ref="P233:U233" si="32">IF(P232="","",P250*2.2046*P232/10000)</f>
        <v>1.1868149144022275</v>
      </c>
      <c r="Q233" s="26">
        <f t="shared" si="32"/>
        <v>1.0486435780127812</v>
      </c>
      <c r="R233" s="26">
        <f t="shared" si="32"/>
        <v>0.92579313629429338</v>
      </c>
      <c r="S233" s="26">
        <f t="shared" si="32"/>
        <v>0.82453465914546487</v>
      </c>
      <c r="T233" s="26">
        <f t="shared" si="32"/>
        <v>0.75539985165640922</v>
      </c>
      <c r="U233" s="26">
        <f t="shared" si="32"/>
        <v>0.71736927197173905</v>
      </c>
      <c r="W233" s="26">
        <f t="shared" ref="W233:AB233" si="33">IF(W232="","",W250*2.2046*W232/10000)</f>
        <v>1.1867681973321411</v>
      </c>
      <c r="X233" s="26">
        <f t="shared" si="33"/>
        <v>1.048642883489501</v>
      </c>
      <c r="Y233" s="26">
        <f t="shared" si="33"/>
        <v>0.92579233935054106</v>
      </c>
      <c r="Z233" s="26">
        <f t="shared" si="33"/>
        <v>0.82454715722237903</v>
      </c>
      <c r="AA233" s="26">
        <f t="shared" si="33"/>
        <v>0.75544780491577834</v>
      </c>
      <c r="AB233" s="26">
        <f t="shared" si="33"/>
        <v>0.71736927197173905</v>
      </c>
      <c r="AD233" s="26">
        <f t="shared" ref="AD233:AI233" si="34">IF(AD232="","",AD250*2.2046*AD232/10000)</f>
        <v>1.1867934270536604</v>
      </c>
      <c r="AE233" s="26">
        <f t="shared" si="34"/>
        <v>1.0486501603831129</v>
      </c>
      <c r="AF233" s="26">
        <f t="shared" si="34"/>
        <v>0.92580046069087951</v>
      </c>
      <c r="AG233" s="26">
        <f t="shared" si="34"/>
        <v>0.82462091832034234</v>
      </c>
      <c r="AH233" s="26">
        <f t="shared" si="34"/>
        <v>0.755347588025712</v>
      </c>
      <c r="AI233" s="26">
        <f t="shared" si="34"/>
        <v>0.71736927197173905</v>
      </c>
      <c r="AK233" s="26">
        <f t="shared" ref="AK233:AP233" si="35">IF(AK232="","",AK250*2.2046*AK232/10000)</f>
        <v>1.187104871528128</v>
      </c>
      <c r="AL233" s="26">
        <f t="shared" si="35"/>
        <v>1.0486686538270873</v>
      </c>
      <c r="AM233" s="26">
        <f t="shared" si="35"/>
        <v>0.92584310104345913</v>
      </c>
      <c r="AN233" s="26">
        <f t="shared" si="35"/>
        <v>0.82440536810936849</v>
      </c>
      <c r="AO233" s="26">
        <f t="shared" si="35"/>
        <v>0.75534871695340911</v>
      </c>
      <c r="AP233" s="26">
        <f t="shared" si="35"/>
        <v>0.71736927197173905</v>
      </c>
      <c r="AR233" s="26">
        <f t="shared" ref="AR233:AW233" si="36">IF(AR232="","",AR250*2.2046*AR232/10000)</f>
        <v>1.1869834142405142</v>
      </c>
      <c r="AS233" s="26">
        <f t="shared" si="36"/>
        <v>1.0486645999673345</v>
      </c>
      <c r="AT233" s="26">
        <f t="shared" si="36"/>
        <v>0.92563911107529262</v>
      </c>
      <c r="AU233" s="26">
        <f t="shared" si="36"/>
        <v>0.82438853097725295</v>
      </c>
      <c r="AV233" s="26">
        <f t="shared" si="36"/>
        <v>0.75536430203013782</v>
      </c>
      <c r="AW233" s="26">
        <f t="shared" si="36"/>
        <v>0.71736927197173905</v>
      </c>
    </row>
    <row r="234" spans="1:50" x14ac:dyDescent="0.25">
      <c r="A234" s="40"/>
      <c r="B234" s="26"/>
      <c r="C234" s="26"/>
      <c r="D234" s="26"/>
      <c r="E234" s="26"/>
      <c r="F234" s="26"/>
      <c r="G234" s="26"/>
      <c r="H234" s="26"/>
      <c r="I234" s="26"/>
      <c r="J234" s="26"/>
      <c r="K234" s="26"/>
      <c r="L234" s="26"/>
      <c r="M234" s="26"/>
      <c r="N234" s="26"/>
      <c r="O234" s="26"/>
      <c r="P234" s="26"/>
      <c r="Q234" s="26"/>
      <c r="R234" s="26"/>
      <c r="S234" s="26"/>
      <c r="T234" s="26"/>
      <c r="U234" s="26"/>
      <c r="W234" s="26"/>
      <c r="X234" s="26"/>
      <c r="Y234" s="26"/>
      <c r="Z234" s="26"/>
      <c r="AA234" s="26"/>
      <c r="AB234" s="26"/>
      <c r="AD234" s="26"/>
      <c r="AE234" s="26"/>
      <c r="AF234" s="26"/>
      <c r="AG234" s="26"/>
      <c r="AH234" s="26"/>
      <c r="AI234" s="26"/>
      <c r="AK234" s="26"/>
      <c r="AL234" s="26"/>
      <c r="AM234" s="26"/>
      <c r="AN234" s="26"/>
      <c r="AO234" s="26"/>
      <c r="AP234" s="26"/>
      <c r="AR234" s="26"/>
      <c r="AS234" s="26"/>
      <c r="AT234" s="26"/>
      <c r="AU234" s="26"/>
      <c r="AV234" s="26"/>
      <c r="AW234" s="26"/>
    </row>
    <row r="235" spans="1:50" x14ac:dyDescent="0.25">
      <c r="A235" s="44" t="s">
        <v>143</v>
      </c>
      <c r="B235" s="26"/>
      <c r="C235" s="26"/>
      <c r="D235" s="26"/>
      <c r="E235" s="26"/>
      <c r="F235" s="26"/>
      <c r="G235" s="26"/>
      <c r="H235" s="26"/>
      <c r="I235" s="26"/>
      <c r="J235" s="26"/>
      <c r="K235" s="26"/>
      <c r="L235" s="26"/>
      <c r="M235" s="26"/>
      <c r="N235" s="26"/>
      <c r="O235" s="26"/>
      <c r="P235" s="26"/>
      <c r="Q235" s="26"/>
      <c r="R235" s="26"/>
      <c r="S235" s="26"/>
      <c r="T235" s="26"/>
      <c r="U235" s="26"/>
      <c r="W235" s="26"/>
      <c r="X235" s="26"/>
      <c r="Y235" s="26"/>
      <c r="Z235" s="26"/>
      <c r="AA235" s="26"/>
      <c r="AB235" s="26"/>
      <c r="AD235" s="26"/>
      <c r="AE235" s="26"/>
      <c r="AF235" s="26"/>
      <c r="AG235" s="26"/>
      <c r="AH235" s="26"/>
      <c r="AI235" s="26"/>
      <c r="AK235" s="26"/>
      <c r="AL235" s="26"/>
      <c r="AM235" s="26"/>
      <c r="AN235" s="26"/>
      <c r="AO235" s="26"/>
      <c r="AP235" s="26"/>
      <c r="AR235" s="26"/>
      <c r="AS235" s="26"/>
      <c r="AT235" s="26"/>
      <c r="AU235" s="26"/>
      <c r="AV235" s="26"/>
      <c r="AW235" s="26"/>
    </row>
    <row r="236" spans="1:50" x14ac:dyDescent="0.25">
      <c r="A236" s="34" t="s">
        <v>381</v>
      </c>
      <c r="B236" s="27">
        <v>1.1861119527718891</v>
      </c>
      <c r="C236" s="27">
        <v>1.0487231011263827</v>
      </c>
      <c r="D236" s="27">
        <v>0.92692570857780632</v>
      </c>
      <c r="E236" s="27">
        <v>0.82606841929078001</v>
      </c>
      <c r="F236" s="27">
        <v>0.75673053182615369</v>
      </c>
      <c r="G236" s="27">
        <v>0.71839352504319809</v>
      </c>
      <c r="H236" s="223"/>
      <c r="I236" s="27">
        <v>1.1861119527718891</v>
      </c>
      <c r="J236" s="27">
        <v>1.0487231011263827</v>
      </c>
      <c r="K236" s="27">
        <v>0.92692570857780632</v>
      </c>
      <c r="L236" s="27">
        <v>0.82606841929078001</v>
      </c>
      <c r="M236" s="27">
        <v>0.75673053182615369</v>
      </c>
      <c r="N236" s="27">
        <v>0.71839352504319809</v>
      </c>
      <c r="O236" s="7"/>
      <c r="P236" s="27">
        <v>1.1861119527718891</v>
      </c>
      <c r="Q236" s="27">
        <v>1.0487231011263827</v>
      </c>
      <c r="R236" s="27">
        <v>0.92692570857780632</v>
      </c>
      <c r="S236" s="27">
        <v>0.82606841929078001</v>
      </c>
      <c r="T236" s="27">
        <v>0.75673053182615369</v>
      </c>
      <c r="U236" s="27">
        <v>0.71839352504319809</v>
      </c>
      <c r="V236" s="2"/>
      <c r="W236" s="27">
        <v>1.1861119527718891</v>
      </c>
      <c r="X236" s="27">
        <v>1.0487231011263827</v>
      </c>
      <c r="Y236" s="27">
        <v>0.92692570857780632</v>
      </c>
      <c r="Z236" s="27">
        <v>0.82606841929078001</v>
      </c>
      <c r="AA236" s="27">
        <v>0.75673053182615369</v>
      </c>
      <c r="AB236" s="27">
        <v>0.71839352504319809</v>
      </c>
      <c r="AC236" s="223"/>
      <c r="AD236" s="27">
        <v>1.1861119527718891</v>
      </c>
      <c r="AE236" s="27">
        <v>1.0487231011263827</v>
      </c>
      <c r="AF236" s="27">
        <v>0.92692570857780632</v>
      </c>
      <c r="AG236" s="27">
        <v>0.82606841929078001</v>
      </c>
      <c r="AH236" s="27">
        <v>0.75673053182615369</v>
      </c>
      <c r="AI236" s="27">
        <v>0.71839352504319809</v>
      </c>
      <c r="AJ236" s="7"/>
      <c r="AK236" s="27">
        <v>1.1861119527718891</v>
      </c>
      <c r="AL236" s="27">
        <v>1.0487231011263827</v>
      </c>
      <c r="AM236" s="27">
        <v>0.92692570857780632</v>
      </c>
      <c r="AN236" s="27">
        <v>0.82606841929078001</v>
      </c>
      <c r="AO236" s="27">
        <v>0.75673053182615369</v>
      </c>
      <c r="AP236" s="27">
        <v>0.71839352504319809</v>
      </c>
      <c r="AQ236" s="2"/>
      <c r="AR236" s="27">
        <v>1.1861119527718891</v>
      </c>
      <c r="AS236" s="27">
        <v>1.0487231011263827</v>
      </c>
      <c r="AT236" s="27">
        <v>0.92692570857780632</v>
      </c>
      <c r="AU236" s="27">
        <v>0.82606841929078001</v>
      </c>
      <c r="AV236" s="27">
        <v>0.75673053182615369</v>
      </c>
      <c r="AW236" s="27">
        <v>0.71839352504319809</v>
      </c>
      <c r="AX236" s="223"/>
    </row>
    <row r="237" spans="1:50" x14ac:dyDescent="0.25">
      <c r="A237" s="39" t="s">
        <v>382</v>
      </c>
      <c r="B237" s="49">
        <f>(SUMPRODUCT(B$9:B$229,Nutrients!$CY$8:$CY$228)+(IF($A$7=Nutrients!$B$8,Nutrients!$CY$8,Nutrients!$CY$9)*B$7)+(((IF($A$8=Nutrients!$B$79,Nutrients!$CY$79,(IF($A$8=Nutrients!$B$77,Nutrients!$CY$77,Nutrients!$CY$78)))))*B$8))/2000/B$236*100</f>
        <v>62.49349603537744</v>
      </c>
      <c r="C237" s="49">
        <f>(SUMPRODUCT(C$9:C$229,Nutrients!$CY$8:$CY$228)+(IF($A$7=Nutrients!$B$8,Nutrients!$CY$8,Nutrients!$CY$9)*C$7)+(((IF($A$8=Nutrients!$B$79,Nutrients!$CY$79,(IF($A$8=Nutrients!$B$77,Nutrients!$CY$77,Nutrients!$CY$78)))))*C$8))/2000/C$236*100</f>
        <v>61.913365044093091</v>
      </c>
      <c r="D237" s="49">
        <f>(SUMPRODUCT(D$9:D$229,Nutrients!$CY$8:$CY$228)+(IF($A$7=Nutrients!$B$8,Nutrients!$CY$8,Nutrients!$CY$9)*D$7)+(((IF($A$8=Nutrients!$B$79,Nutrients!$CY$79,(IF($A$8=Nutrients!$B$77,Nutrients!$CY$77,Nutrients!$CY$78)))))*D$8))/2000/D$236*100</f>
        <v>61.503659114241785</v>
      </c>
      <c r="E237" s="49">
        <f>(SUMPRODUCT(E$9:E$229,Nutrients!$CY$8:$CY$228)+(IF($A$7=Nutrients!$B$8,Nutrients!$CY$8,Nutrients!$CY$9)*E$7)+(((IF($A$8=Nutrients!$B$79,Nutrients!$CY$79,(IF($A$8=Nutrients!$B$77,Nutrients!$CY$77,Nutrients!$CY$78)))))*E$8))/2000/E$236*100</f>
        <v>60.930382267932259</v>
      </c>
      <c r="F237" s="49">
        <f>(SUMPRODUCT(F$9:F$229,Nutrients!$CY$8:$CY$228)+(IF($A$7=Nutrients!$B$8,Nutrients!$CY$8,Nutrients!$CY$9)*F$7)+(((IF($A$8=Nutrients!$B$79,Nutrients!$CY$79,(IF($A$8=Nutrients!$B$77,Nutrients!$CY$77,Nutrients!$CY$78)))))*F$8))/2000/F$236*100</f>
        <v>60.645226830458597</v>
      </c>
      <c r="G237" s="49">
        <f>(SUMPRODUCT(G$9:G$229,Nutrients!$CY$8:$CY$228)+(IF($A$7=Nutrients!$B$8,Nutrients!$CY$8,Nutrients!$CY$9)*G$7)+(((IF($A$8=Nutrients!$B$79,Nutrients!$CY$79,(IF($A$8=Nutrients!$B$77,Nutrients!$CY$77,Nutrients!$CY$78)))))*G$8))/2000/G$236*100</f>
        <v>60.73149438608624</v>
      </c>
      <c r="H237" s="224"/>
      <c r="I237" s="451">
        <f>(SUMPRODUCT(I$9:I$229,Nutrients!$CY$8:$CY$228)+(IF($A$7=Nutrients!$B$8,Nutrients!$CY$8,Nutrients!$CY$9)*I$7)+(((IF($A$8=Nutrients!$B$79,Nutrients!$CY$79,(IF($A$8=Nutrients!$B$77,Nutrients!$CY$77,Nutrients!$CY$78)))))*I$8))/2000/I$236*100</f>
        <v>62.411909631700603</v>
      </c>
      <c r="J237" s="451">
        <f>(SUMPRODUCT(J$9:J$229,Nutrients!$CY$8:$CY$228)+(IF($A$7=Nutrients!$B$8,Nutrients!$CY$8,Nutrients!$CY$9)*J$7)+(((IF($A$8=Nutrients!$B$79,Nutrients!$CY$79,(IF($A$8=Nutrients!$B$77,Nutrients!$CY$77,Nutrients!$CY$78)))))*J$8))/2000/J$236*100</f>
        <v>61.820436984860329</v>
      </c>
      <c r="K237" s="451">
        <f>(SUMPRODUCT(K$9:K$229,Nutrients!$CY$8:$CY$228)+(IF($A$7=Nutrients!$B$8,Nutrients!$CY$8,Nutrients!$CY$9)*K$7)+(((IF($A$8=Nutrients!$B$79,Nutrients!$CY$79,(IF($A$8=Nutrients!$B$77,Nutrients!$CY$77,Nutrients!$CY$78)))))*K$8))/2000/K$236*100</f>
        <v>61.399854609044311</v>
      </c>
      <c r="L237" s="451">
        <f>(SUMPRODUCT(L$9:L$229,Nutrients!$CY$8:$CY$228)+(IF($A$7=Nutrients!$B$8,Nutrients!$CY$8,Nutrients!$CY$9)*L$7)+(((IF($A$8=Nutrients!$B$79,Nutrients!$CY$79,(IF($A$8=Nutrients!$B$77,Nutrients!$CY$77,Nutrients!$CY$78)))))*L$8))/2000/L$236*100</f>
        <v>60.816120339580351</v>
      </c>
      <c r="M237" s="451">
        <f>(SUMPRODUCT(M$9:M$229,Nutrients!$CY$8:$CY$228)+(IF($A$7=Nutrients!$B$8,Nutrients!$CY$8,Nutrients!$CY$9)*M$7)+(((IF($A$8=Nutrients!$B$79,Nutrients!$CY$79,(IF($A$8=Nutrients!$B$77,Nutrients!$CY$77,Nutrients!$CY$78)))))*M$8))/2000/M$236*100</f>
        <v>60.518756831920541</v>
      </c>
      <c r="N237" s="451">
        <f>(SUMPRODUCT(N$9:N$229,Nutrients!$CY$8:$CY$228)+(IF($A$7=Nutrients!$B$8,Nutrients!$CY$8,Nutrients!$CY$9)*N$7)+(((IF($A$8=Nutrients!$B$79,Nutrients!$CY$79,(IF($A$8=Nutrients!$B$77,Nutrients!$CY$77,Nutrients!$CY$78)))))*N$8))/2000/N$236*100</f>
        <v>60.73149438608624</v>
      </c>
      <c r="O237" s="472"/>
      <c r="P237" s="451">
        <f>(SUMPRODUCT(P$9:P$229,Nutrients!$CY$8:$CY$228)+(IF($A$7=Nutrients!$B$8,Nutrients!$CY$8,Nutrients!$CY$9)*P$7)+(((IF($A$8=Nutrients!$B$79,Nutrients!$CY$79,(IF($A$8=Nutrients!$B$77,Nutrients!$CY$77,Nutrients!$CY$78)))))*P$8))/2000/P$236*100</f>
        <v>62.330236299733166</v>
      </c>
      <c r="Q237" s="451">
        <f>(SUMPRODUCT(Q$9:Q$229,Nutrients!$CY$8:$CY$228)+(IF($A$7=Nutrients!$B$8,Nutrients!$CY$8,Nutrients!$CY$9)*Q$7)+(((IF($A$8=Nutrients!$B$79,Nutrients!$CY$79,(IF($A$8=Nutrients!$B$77,Nutrients!$CY$77,Nutrients!$CY$78)))))*Q$8))/2000/Q$236*100</f>
        <v>61.727877541984874</v>
      </c>
      <c r="R237" s="451">
        <f>(SUMPRODUCT(R$9:R$229,Nutrients!$CY$8:$CY$228)+(IF($A$7=Nutrients!$B$8,Nutrients!$CY$8,Nutrients!$CY$9)*R$7)+(((IF($A$8=Nutrients!$B$79,Nutrients!$CY$79,(IF($A$8=Nutrients!$B$77,Nutrients!$CY$77,Nutrients!$CY$78)))))*R$8))/2000/R$236*100</f>
        <v>61.294814552587809</v>
      </c>
      <c r="S237" s="451">
        <f>(SUMPRODUCT(S$9:S$229,Nutrients!$CY$8:$CY$228)+(IF($A$7=Nutrients!$B$8,Nutrients!$CY$8,Nutrients!$CY$9)*S$7)+(((IF($A$8=Nutrients!$B$79,Nutrients!$CY$79,(IF($A$8=Nutrients!$B$77,Nutrients!$CY$77,Nutrients!$CY$78)))))*S$8))/2000/S$236*100</f>
        <v>60.698396125694309</v>
      </c>
      <c r="T237" s="451">
        <f>(SUMPRODUCT(T$9:T$229,Nutrients!$CY$8:$CY$228)+(IF($A$7=Nutrients!$B$8,Nutrients!$CY$8,Nutrients!$CY$9)*T$7)+(((IF($A$8=Nutrients!$B$79,Nutrients!$CY$79,(IF($A$8=Nutrients!$B$77,Nutrients!$CY$77,Nutrients!$CY$78)))))*T$8))/2000/T$236*100</f>
        <v>60.389863283251991</v>
      </c>
      <c r="U237" s="451">
        <f>(SUMPRODUCT(U$9:U$229,Nutrients!$CY$8:$CY$228)+(IF($A$7=Nutrients!$B$8,Nutrients!$CY$8,Nutrients!$CY$9)*U$7)+(((IF($A$8=Nutrients!$B$79,Nutrients!$CY$79,(IF($A$8=Nutrients!$B$77,Nutrients!$CY$77,Nutrients!$CY$78)))))*U$8))/2000/U$236*100</f>
        <v>60.73149438608624</v>
      </c>
      <c r="V237" s="9"/>
      <c r="W237" s="451">
        <f>(SUMPRODUCT(W$9:W$229,Nutrients!$CY$8:$CY$228)+(IF($A$7=Nutrients!$B$8,Nutrients!$CY$8,Nutrients!$CY$9)*W$7)+(((IF($A$8=Nutrients!$B$79,Nutrients!$CY$79,(IF($A$8=Nutrients!$B$77,Nutrients!$CY$77,Nutrients!$CY$78)))))*W$8))/2000/W$236*100</f>
        <v>62.248432920831334</v>
      </c>
      <c r="X237" s="451">
        <f>(SUMPRODUCT(X$9:X$229,Nutrients!$CY$8:$CY$228)+(IF($A$7=Nutrients!$B$8,Nutrients!$CY$8,Nutrients!$CY$9)*X$7)+(((IF($A$8=Nutrients!$B$79,Nutrients!$CY$79,(IF($A$8=Nutrients!$B$77,Nutrients!$CY$77,Nutrients!$CY$78)))))*X$8))/2000/X$236*100</f>
        <v>61.635141564125838</v>
      </c>
      <c r="Y237" s="451">
        <f>(SUMPRODUCT(Y$9:Y$229,Nutrients!$CY$8:$CY$228)+(IF($A$7=Nutrients!$B$8,Nutrients!$CY$8,Nutrients!$CY$9)*Y$7)+(((IF($A$8=Nutrients!$B$79,Nutrients!$CY$79,(IF($A$8=Nutrients!$B$77,Nutrients!$CY$77,Nutrients!$CY$78)))))*Y$8))/2000/Y$236*100</f>
        <v>61.190251229596591</v>
      </c>
      <c r="Z237" s="451">
        <f>(SUMPRODUCT(Z$9:Z$229,Nutrients!$CY$8:$CY$228)+(IF($A$7=Nutrients!$B$8,Nutrients!$CY$8,Nutrients!$CY$9)*Z$7)+(((IF($A$8=Nutrients!$B$79,Nutrients!$CY$79,(IF($A$8=Nutrients!$B$77,Nutrients!$CY$77,Nutrients!$CY$78)))))*Z$8))/2000/Z$236*100</f>
        <v>60.58132712587043</v>
      </c>
      <c r="AA237" s="451">
        <f>(SUMPRODUCT(AA$9:AA$229,Nutrients!$CY$8:$CY$228)+(IF($A$7=Nutrients!$B$8,Nutrients!$CY$8,Nutrients!$CY$9)*AA$7)+(((IF($A$8=Nutrients!$B$79,Nutrients!$CY$79,(IF($A$8=Nutrients!$B$77,Nutrients!$CY$77,Nutrients!$CY$78)))))*AA$8))/2000/AA$236*100</f>
        <v>60.26048967828892</v>
      </c>
      <c r="AB237" s="451">
        <f>(SUMPRODUCT(AB$9:AB$229,Nutrients!$CY$8:$CY$228)+(IF($A$7=Nutrients!$B$8,Nutrients!$CY$8,Nutrients!$CY$9)*AB$7)+(((IF($A$8=Nutrients!$B$79,Nutrients!$CY$79,(IF($A$8=Nutrients!$B$77,Nutrients!$CY$77,Nutrients!$CY$78)))))*AB$8))/2000/AB$236*100</f>
        <v>60.73149438608624</v>
      </c>
      <c r="AC237" s="9"/>
      <c r="AD237" s="451">
        <f>(SUMPRODUCT(AD$9:AD$229,Nutrients!$CY$8:$CY$228)+(IF($A$7=Nutrients!$B$8,Nutrients!$CY$8,Nutrients!$CY$9)*AD$7)+(((IF($A$8=Nutrients!$B$79,Nutrients!$CY$79,(IF($A$8=Nutrients!$B$77,Nutrients!$CY$77,Nutrients!$CY$78)))))*AD$8))/2000/AD$236*100</f>
        <v>62.166469930599398</v>
      </c>
      <c r="AE237" s="451">
        <f>(SUMPRODUCT(AE$9:AE$229,Nutrients!$CY$8:$CY$228)+(IF($A$7=Nutrients!$B$8,Nutrients!$CY$8,Nutrients!$CY$9)*AE$7)+(((IF($A$8=Nutrients!$B$79,Nutrients!$CY$79,(IF($A$8=Nutrients!$B$77,Nutrients!$CY$77,Nutrients!$CY$78)))))*AE$8))/2000/AE$236*100</f>
        <v>61.542520518326114</v>
      </c>
      <c r="AF237" s="451">
        <f>(SUMPRODUCT(AF$9:AF$229,Nutrients!$CY$8:$CY$228)+(IF($A$7=Nutrients!$B$8,Nutrients!$CY$8,Nutrients!$CY$9)*AF$7)+(((IF($A$8=Nutrients!$B$79,Nutrients!$CY$79,(IF($A$8=Nutrients!$B$77,Nutrients!$CY$77,Nutrients!$CY$78)))))*AF$8))/2000/AF$236*100</f>
        <v>61.086208673612852</v>
      </c>
      <c r="AG237" s="451">
        <f>(SUMPRODUCT(AG$9:AG$229,Nutrients!$CY$8:$CY$228)+(IF($A$7=Nutrients!$B$8,Nutrients!$CY$8,Nutrients!$CY$9)*AG$7)+(((IF($A$8=Nutrients!$B$79,Nutrients!$CY$79,(IF($A$8=Nutrients!$B$77,Nutrients!$CY$77,Nutrients!$CY$78)))))*AG$8))/2000/AG$236*100</f>
        <v>60.462426684824713</v>
      </c>
      <c r="AH237" s="451">
        <f>(SUMPRODUCT(AH$9:AH$229,Nutrients!$CY$8:$CY$228)+(IF($A$7=Nutrients!$B$8,Nutrients!$CY$8,Nutrients!$CY$9)*AH$7)+(((IF($A$8=Nutrients!$B$79,Nutrients!$CY$79,(IF($A$8=Nutrients!$B$77,Nutrients!$CY$77,Nutrients!$CY$78)))))*AH$8))/2000/AH$236*100</f>
        <v>60.115273177937389</v>
      </c>
      <c r="AI237" s="451">
        <f>(SUMPRODUCT(AI$9:AI$229,Nutrients!$CY$8:$CY$228)+(IF($A$7=Nutrients!$B$8,Nutrients!$CY$8,Nutrients!$CY$9)*AI$7)+(((IF($A$8=Nutrients!$B$79,Nutrients!$CY$79,(IF($A$8=Nutrients!$B$77,Nutrients!$CY$77,Nutrients!$CY$78)))))*AI$8))/2000/AI$236*100</f>
        <v>60.73149438608624</v>
      </c>
      <c r="AJ237" s="9"/>
      <c r="AK237" s="451">
        <f>(SUMPRODUCT(AK$9:AK$229,Nutrients!$CY$8:$CY$228)+(IF($A$7=Nutrients!$B$8,Nutrients!$CY$8,Nutrients!$CY$9)*AK$7)+(((IF($A$8=Nutrients!$B$79,Nutrients!$CY$79,(IF($A$8=Nutrients!$B$77,Nutrients!$CY$77,Nutrients!$CY$78)))))*AK$8))/2000/AK$236*100</f>
        <v>62.083387078659193</v>
      </c>
      <c r="AL237" s="451">
        <f>(SUMPRODUCT(AL$9:AL$229,Nutrients!$CY$8:$CY$228)+(IF($A$7=Nutrients!$B$8,Nutrients!$CY$8,Nutrients!$CY$9)*AL$7)+(((IF($A$8=Nutrients!$B$79,Nutrients!$CY$79,(IF($A$8=Nutrients!$B$77,Nutrients!$CY$77,Nutrients!$CY$78)))))*AL$8))/2000/AL$236*100</f>
        <v>61.449918163049169</v>
      </c>
      <c r="AM237" s="451">
        <f>(SUMPRODUCT(AM$9:AM$229,Nutrients!$CY$8:$CY$228)+(IF($A$7=Nutrients!$B$8,Nutrients!$CY$8,Nutrients!$CY$9)*AM$7)+(((IF($A$8=Nutrients!$B$79,Nutrients!$CY$79,(IF($A$8=Nutrients!$B$77,Nutrients!$CY$77,Nutrients!$CY$78)))))*AM$8))/2000/AM$236*100</f>
        <v>60.980616204523628</v>
      </c>
      <c r="AN237" s="451">
        <f>(SUMPRODUCT(AN$9:AN$229,Nutrients!$CY$8:$CY$228)+(IF($A$7=Nutrients!$B$8,Nutrients!$CY$8,Nutrients!$CY$9)*AN$7)+(((IF($A$8=Nutrients!$B$79,Nutrients!$CY$79,(IF($A$8=Nutrients!$B$77,Nutrients!$CY$77,Nutrients!$CY$78)))))*AN$8))/2000/AN$236*100</f>
        <v>60.331042838758265</v>
      </c>
      <c r="AO237" s="451">
        <f>(SUMPRODUCT(AO$9:AO$229,Nutrients!$CY$8:$CY$228)+(IF($A$7=Nutrients!$B$8,Nutrients!$CY$8,Nutrients!$CY$9)*AO$7)+(((IF($A$8=Nutrients!$B$79,Nutrients!$CY$79,(IF($A$8=Nutrients!$B$77,Nutrients!$CY$77,Nutrients!$CY$78)))))*AO$8))/2000/AO$236*100</f>
        <v>59.966057947304449</v>
      </c>
      <c r="AP237" s="451">
        <f>(SUMPRODUCT(AP$9:AP$229,Nutrients!$CY$8:$CY$228)+(IF($A$7=Nutrients!$B$8,Nutrients!$CY$8,Nutrients!$CY$9)*AP$7)+(((IF($A$8=Nutrients!$B$79,Nutrients!$CY$79,(IF($A$8=Nutrients!$B$77,Nutrients!$CY$77,Nutrients!$CY$78)))))*AP$8))/2000/AP$236*100</f>
        <v>60.73149438608624</v>
      </c>
      <c r="AQ237" s="9"/>
      <c r="AR237" s="451">
        <f>(SUMPRODUCT(AR$9:AR$229,Nutrients!$CY$8:$CY$228)+(IF($A$7=Nutrients!$B$8,Nutrients!$CY$8,Nutrients!$CY$9)*AR$7)+(((IF($A$8=Nutrients!$B$79,Nutrients!$CY$79,(IF($A$8=Nutrients!$B$77,Nutrients!$CY$77,Nutrients!$CY$78)))))*AR$8))/2000/AR$236*100</f>
        <v>62.001987450074466</v>
      </c>
      <c r="AS237" s="451">
        <f>(SUMPRODUCT(AS$9:AS$229,Nutrients!$CY$8:$CY$228)+(IF($A$7=Nutrients!$B$8,Nutrients!$CY$8,Nutrients!$CY$9)*AS$7)+(((IF($A$8=Nutrients!$B$79,Nutrients!$CY$79,(IF($A$8=Nutrients!$B$77,Nutrients!$CY$77,Nutrients!$CY$78)))))*AS$8))/2000/AS$236*100</f>
        <v>61.357305508500524</v>
      </c>
      <c r="AT237" s="451">
        <f>(SUMPRODUCT(AT$9:AT$229,Nutrients!$CY$8:$CY$228)+(IF($A$7=Nutrients!$B$8,Nutrients!$CY$8,Nutrients!$CY$9)*AT$7)+(((IF($A$8=Nutrients!$B$79,Nutrients!$CY$79,(IF($A$8=Nutrients!$B$77,Nutrients!$CY$77,Nutrients!$CY$78)))))*AT$8))/2000/AT$236*100</f>
        <v>60.872115949672043</v>
      </c>
      <c r="AU237" s="451">
        <f>(SUMPRODUCT(AU$9:AU$229,Nutrients!$CY$8:$CY$228)+(IF($A$7=Nutrients!$B$8,Nutrients!$CY$8,Nutrients!$CY$9)*AU$7)+(((IF($A$8=Nutrients!$B$79,Nutrients!$CY$79,(IF($A$8=Nutrients!$B$77,Nutrients!$CY$77,Nutrients!$CY$78)))))*AU$8))/2000/AU$236*100</f>
        <v>60.194401222778559</v>
      </c>
      <c r="AV237" s="451">
        <f>(SUMPRODUCT(AV$9:AV$229,Nutrients!$CY$8:$CY$228)+(IF($A$7=Nutrients!$B$8,Nutrients!$CY$8,Nutrients!$CY$9)*AV$7)+(((IF($A$8=Nutrients!$B$79,Nutrients!$CY$79,(IF($A$8=Nutrients!$B$77,Nutrients!$CY$77,Nutrients!$CY$78)))))*AV$8))/2000/AV$236*100</f>
        <v>59.816555205907648</v>
      </c>
      <c r="AW237" s="451">
        <f>(SUMPRODUCT(AW$9:AW$229,Nutrients!$CY$8:$CY$228)+(IF($A$7=Nutrients!$B$8,Nutrients!$CY$8,Nutrients!$CY$9)*AW$7)+(((IF($A$8=Nutrients!$B$79,Nutrients!$CY$79,(IF($A$8=Nutrients!$B$77,Nutrients!$CY$77,Nutrients!$CY$78)))))*AW$8))/2000/AW$236*100</f>
        <v>60.73149438608624</v>
      </c>
      <c r="AX237" s="13"/>
    </row>
    <row r="238" spans="1:50" x14ac:dyDescent="0.25">
      <c r="A238" s="39" t="s">
        <v>383</v>
      </c>
      <c r="B238" s="49">
        <f>(SUMPRODUCT(B$9:B$229,Nutrients!$CZ$8:$CZ$228)+(IF($A$7=Nutrients!$B$8,Nutrients!$CZ$8,Nutrients!$CZ$9)*B$7)+(((IF($A$8=Nutrients!$B$79,Nutrients!$CZ$79,(IF($A$8=Nutrients!$B$77,Nutrients!$CZ$77,Nutrients!$CZ$78)))))*B$8))/2000/B$236*100</f>
        <v>129.6913711527971</v>
      </c>
      <c r="C238" s="49">
        <f>(SUMPRODUCT(C$9:C$229,Nutrients!$CZ$8:$CZ$228)+(IF($A$7=Nutrients!$B$8,Nutrients!$CZ$8,Nutrients!$CZ$9)*C$7)+(((IF($A$8=Nutrients!$B$79,Nutrients!$CZ$79,(IF($A$8=Nutrients!$B$77,Nutrients!$CZ$77,Nutrients!$CZ$78)))))*C$8))/2000/C$236*100</f>
        <v>134.50017414165401</v>
      </c>
      <c r="D238" s="49">
        <f>(SUMPRODUCT(D$9:D$229,Nutrients!$CZ$8:$CZ$228)+(IF($A$7=Nutrients!$B$8,Nutrients!$CZ$8,Nutrients!$CZ$9)*D$7)+(((IF($A$8=Nutrients!$B$79,Nutrients!$CZ$79,(IF($A$8=Nutrients!$B$77,Nutrients!$CZ$77,Nutrients!$CZ$78)))))*D$8))/2000/D$236*100</f>
        <v>140.31419316632173</v>
      </c>
      <c r="E238" s="49">
        <f>(SUMPRODUCT(E$9:E$229,Nutrients!$CZ$8:$CZ$228)+(IF($A$7=Nutrients!$B$8,Nutrients!$CZ$8,Nutrients!$CZ$9)*E$7)+(((IF($A$8=Nutrients!$B$79,Nutrients!$CZ$79,(IF($A$8=Nutrients!$B$77,Nutrients!$CZ$77,Nutrients!$CZ$78)))))*E$8))/2000/E$236*100</f>
        <v>146.22101496424654</v>
      </c>
      <c r="F238" s="49">
        <f>(SUMPRODUCT(F$9:F$229,Nutrients!$CZ$8:$CZ$228)+(IF($A$7=Nutrients!$B$8,Nutrients!$CZ$8,Nutrients!$CZ$9)*F$7)+(((IF($A$8=Nutrients!$B$79,Nutrients!$CZ$79,(IF($A$8=Nutrients!$B$77,Nutrients!$CZ$77,Nutrients!$CZ$78)))))*F$8))/2000/F$236*100</f>
        <v>151.50724048169781</v>
      </c>
      <c r="G238" s="49">
        <f>(SUMPRODUCT(G$9:G$229,Nutrients!$CZ$8:$CZ$228)+(IF($A$7=Nutrients!$B$8,Nutrients!$CZ$8,Nutrients!$CZ$9)*G$7)+(((IF($A$8=Nutrients!$B$79,Nutrients!$CZ$79,(IF($A$8=Nutrients!$B$77,Nutrients!$CZ$77,Nutrients!$CZ$78)))))*G$8))/2000/G$236*100</f>
        <v>155.21195132466949</v>
      </c>
      <c r="H238" s="224"/>
      <c r="I238" s="451">
        <f>(SUMPRODUCT(I$9:I$229,Nutrients!$CZ$8:$CZ$228)+(IF($A$7=Nutrients!$B$8,Nutrients!$CZ$8,Nutrients!$CZ$9)*I$7)+(((IF($A$8=Nutrients!$B$79,Nutrients!$CZ$79,(IF($A$8=Nutrients!$B$77,Nutrients!$CZ$77,Nutrients!$CZ$78)))))*I$8))/2000/I$236*100</f>
        <v>134.56232551895525</v>
      </c>
      <c r="J238" s="451">
        <f>(SUMPRODUCT(J$9:J$229,Nutrients!$CZ$8:$CZ$228)+(IF($A$7=Nutrients!$B$8,Nutrients!$CZ$8,Nutrients!$CZ$9)*J$7)+(((IF($A$8=Nutrients!$B$79,Nutrients!$CZ$79,(IF($A$8=Nutrients!$B$77,Nutrients!$CZ$77,Nutrients!$CZ$78)))))*J$8))/2000/J$236*100</f>
        <v>140.00508375280262</v>
      </c>
      <c r="K238" s="451">
        <f>(SUMPRODUCT(K$9:K$229,Nutrients!$CZ$8:$CZ$228)+(IF($A$7=Nutrients!$B$8,Nutrients!$CZ$8,Nutrients!$CZ$9)*K$7)+(((IF($A$8=Nutrients!$B$79,Nutrients!$CZ$79,(IF($A$8=Nutrients!$B$77,Nutrients!$CZ$77,Nutrients!$CZ$78)))))*K$8))/2000/K$236*100</f>
        <v>146.55095606441481</v>
      </c>
      <c r="L238" s="451">
        <f>(SUMPRODUCT(L$9:L$229,Nutrients!$CZ$8:$CZ$228)+(IF($A$7=Nutrients!$B$8,Nutrients!$CZ$8,Nutrients!$CZ$9)*L$7)+(((IF($A$8=Nutrients!$B$79,Nutrients!$CZ$79,(IF($A$8=Nutrients!$B$77,Nutrients!$CZ$77,Nutrients!$CZ$78)))))*L$8))/2000/L$236*100</f>
        <v>153.23338373102735</v>
      </c>
      <c r="M238" s="451">
        <f>(SUMPRODUCT(M$9:M$229,Nutrients!$CZ$8:$CZ$228)+(IF($A$7=Nutrients!$B$8,Nutrients!$CZ$8,Nutrients!$CZ$9)*M$7)+(((IF($A$8=Nutrients!$B$79,Nutrients!$CZ$79,(IF($A$8=Nutrients!$B$77,Nutrients!$CZ$77,Nutrients!$CZ$78)))))*M$8))/2000/M$236*100</f>
        <v>159.15104950751015</v>
      </c>
      <c r="N238" s="451">
        <f>(SUMPRODUCT(N$9:N$229,Nutrients!$CZ$8:$CZ$228)+(IF($A$7=Nutrients!$B$8,Nutrients!$CZ$8,Nutrients!$CZ$9)*N$7)+(((IF($A$8=Nutrients!$B$79,Nutrients!$CZ$79,(IF($A$8=Nutrients!$B$77,Nutrients!$CZ$77,Nutrients!$CZ$78)))))*N$8))/2000/N$236*100</f>
        <v>155.21195132466949</v>
      </c>
      <c r="O238" s="472"/>
      <c r="P238" s="451">
        <f>(SUMPRODUCT(P$9:P$229,Nutrients!$CZ$8:$CZ$228)+(IF($A$7=Nutrients!$B$8,Nutrients!$CZ$8,Nutrients!$CZ$9)*P$7)+(((IF($A$8=Nutrients!$B$79,Nutrients!$CZ$79,(IF($A$8=Nutrients!$B$77,Nutrients!$CZ$77,Nutrients!$CZ$78)))))*P$8))/2000/P$236*100</f>
        <v>139.4327253106118</v>
      </c>
      <c r="Q238" s="451">
        <f>(SUMPRODUCT(Q$9:Q$229,Nutrients!$CZ$8:$CZ$228)+(IF($A$7=Nutrients!$B$8,Nutrients!$CZ$8,Nutrients!$CZ$9)*Q$7)+(((IF($A$8=Nutrients!$B$79,Nutrients!$CZ$79,(IF($A$8=Nutrients!$B$77,Nutrients!$CZ$77,Nutrients!$CZ$78)))))*Q$8))/2000/Q$236*100</f>
        <v>145.5123450176107</v>
      </c>
      <c r="R238" s="451">
        <f>(SUMPRODUCT(R$9:R$229,Nutrients!$CZ$8:$CZ$228)+(IF($A$7=Nutrients!$B$8,Nutrients!$CZ$8,Nutrients!$CZ$9)*R$7)+(((IF($A$8=Nutrients!$B$79,Nutrients!$CZ$79,(IF($A$8=Nutrients!$B$77,Nutrients!$CZ$77,Nutrients!$CZ$78)))))*R$8))/2000/R$236*100</f>
        <v>152.77983654334179</v>
      </c>
      <c r="S238" s="451">
        <f>(SUMPRODUCT(S$9:S$229,Nutrients!$CZ$8:$CZ$228)+(IF($A$7=Nutrients!$B$8,Nutrients!$CZ$8,Nutrients!$CZ$9)*S$7)+(((IF($A$8=Nutrients!$B$79,Nutrients!$CZ$79,(IF($A$8=Nutrients!$B$77,Nutrients!$CZ$77,Nutrients!$CZ$78)))))*S$8))/2000/S$236*100</f>
        <v>160.22366423100931</v>
      </c>
      <c r="T238" s="451">
        <f>(SUMPRODUCT(T$9:T$229,Nutrients!$CZ$8:$CZ$228)+(IF($A$7=Nutrients!$B$8,Nutrients!$CZ$8,Nutrients!$CZ$9)*T$7)+(((IF($A$8=Nutrients!$B$79,Nutrients!$CZ$79,(IF($A$8=Nutrients!$B$77,Nutrients!$CZ$77,Nutrients!$CZ$78)))))*T$8))/2000/T$236*100</f>
        <v>166.77939706391049</v>
      </c>
      <c r="U238" s="451">
        <f>(SUMPRODUCT(U$9:U$229,Nutrients!$CZ$8:$CZ$228)+(IF($A$7=Nutrients!$B$8,Nutrients!$CZ$8,Nutrients!$CZ$9)*U$7)+(((IF($A$8=Nutrients!$B$79,Nutrients!$CZ$79,(IF($A$8=Nutrients!$B$77,Nutrients!$CZ$77,Nutrients!$CZ$78)))))*U$8))/2000/U$236*100</f>
        <v>155.21195132466949</v>
      </c>
      <c r="V238" s="9"/>
      <c r="W238" s="451">
        <f>(SUMPRODUCT(W$9:W$229,Nutrients!$CZ$8:$CZ$228)+(IF($A$7=Nutrients!$B$8,Nutrients!$CZ$8,Nutrients!$CZ$9)*W$7)+(((IF($A$8=Nutrients!$B$79,Nutrients!$CZ$79,(IF($A$8=Nutrients!$B$77,Nutrients!$CZ$77,Nutrients!$CZ$78)))))*W$8))/2000/W$236*100</f>
        <v>144.30229544470393</v>
      </c>
      <c r="X238" s="451">
        <f>(SUMPRODUCT(X$9:X$229,Nutrients!$CZ$8:$CZ$228)+(IF($A$7=Nutrients!$B$8,Nutrients!$CZ$8,Nutrients!$CZ$9)*X$7)+(((IF($A$8=Nutrients!$B$79,Nutrients!$CZ$79,(IF($A$8=Nutrients!$B$77,Nutrients!$CZ$77,Nutrients!$CZ$78)))))*X$8))/2000/X$236*100</f>
        <v>151.01848004607058</v>
      </c>
      <c r="Y238" s="451">
        <f>(SUMPRODUCT(Y$9:Y$229,Nutrients!$CZ$8:$CZ$228)+(IF($A$7=Nutrients!$B$8,Nutrients!$CZ$8,Nutrients!$CZ$9)*Y$7)+(((IF($A$8=Nutrients!$B$79,Nutrients!$CZ$79,(IF($A$8=Nutrients!$B$77,Nutrients!$CZ$77,Nutrients!$CZ$78)))))*Y$8))/2000/Y$236*100</f>
        <v>159.01175842826166</v>
      </c>
      <c r="Z238" s="451">
        <f>(SUMPRODUCT(Z$9:Z$229,Nutrients!$CZ$8:$CZ$228)+(IF($A$7=Nutrients!$B$8,Nutrients!$CZ$8,Nutrients!$CZ$9)*Z$7)+(((IF($A$8=Nutrients!$B$79,Nutrients!$CZ$79,(IF($A$8=Nutrients!$B$77,Nutrients!$CZ$77,Nutrients!$CZ$78)))))*Z$8))/2000/Z$236*100</f>
        <v>167.21812478571871</v>
      </c>
      <c r="AA238" s="451">
        <f>(SUMPRODUCT(AA$9:AA$229,Nutrients!$CZ$8:$CZ$228)+(IF($A$7=Nutrients!$B$8,Nutrients!$CZ$8,Nutrients!$CZ$9)*AA$7)+(((IF($A$8=Nutrients!$B$79,Nutrients!$CZ$79,(IF($A$8=Nutrients!$B$77,Nutrients!$CZ$77,Nutrients!$CZ$78)))))*AA$8))/2000/AA$236*100</f>
        <v>174.40468201573708</v>
      </c>
      <c r="AB238" s="451">
        <f>(SUMPRODUCT(AB$9:AB$229,Nutrients!$CZ$8:$CZ$228)+(IF($A$7=Nutrients!$B$8,Nutrients!$CZ$8,Nutrients!$CZ$9)*AB$7)+(((IF($A$8=Nutrients!$B$79,Nutrients!$CZ$79,(IF($A$8=Nutrients!$B$77,Nutrients!$CZ$77,Nutrients!$CZ$78)))))*AB$8))/2000/AB$236*100</f>
        <v>155.21195132466949</v>
      </c>
      <c r="AC238" s="9"/>
      <c r="AD238" s="451">
        <f>(SUMPRODUCT(AD$9:AD$229,Nutrients!$CZ$8:$CZ$228)+(IF($A$7=Nutrients!$B$8,Nutrients!$CZ$8,Nutrients!$CZ$9)*AD$7)+(((IF($A$8=Nutrients!$B$79,Nutrients!$CZ$79,(IF($A$8=Nutrients!$B$77,Nutrients!$CZ$77,Nutrients!$CZ$78)))))*AD$8))/2000/AD$236*100</f>
        <v>149.17084730990732</v>
      </c>
      <c r="AE238" s="451">
        <f>(SUMPRODUCT(AE$9:AE$229,Nutrients!$CZ$8:$CZ$228)+(IF($A$7=Nutrients!$B$8,Nutrients!$CZ$8,Nutrients!$CZ$9)*AE$7)+(((IF($A$8=Nutrients!$B$79,Nutrients!$CZ$79,(IF($A$8=Nutrients!$B$77,Nutrients!$CZ$77,Nutrients!$CZ$78)))))*AE$8))/2000/AE$236*100</f>
        <v>156.52534830405881</v>
      </c>
      <c r="AF238" s="451">
        <f>(SUMPRODUCT(AF$9:AF$229,Nutrients!$CZ$8:$CZ$228)+(IF($A$7=Nutrients!$B$8,Nutrients!$CZ$8,Nutrients!$CZ$9)*AF$7)+(((IF($A$8=Nutrients!$B$79,Nutrients!$CZ$79,(IF($A$8=Nutrients!$B$77,Nutrients!$CZ$77,Nutrients!$CZ$78)))))*AF$8))/2000/AF$236*100</f>
        <v>165.2470026389943</v>
      </c>
      <c r="AG238" s="451">
        <f>(SUMPRODUCT(AG$9:AG$229,Nutrients!$CZ$8:$CZ$228)+(IF($A$7=Nutrients!$B$8,Nutrients!$CZ$8,Nutrients!$CZ$9)*AG$7)+(((IF($A$8=Nutrients!$B$79,Nutrients!$CZ$79,(IF($A$8=Nutrients!$B$77,Nutrients!$CZ$77,Nutrients!$CZ$78)))))*AG$8))/2000/AG$236*100</f>
        <v>174.20090133518505</v>
      </c>
      <c r="AH238" s="451">
        <f>(SUMPRODUCT(AH$9:AH$229,Nutrients!$CZ$8:$CZ$228)+(IF($A$7=Nutrients!$B$8,Nutrients!$CZ$8,Nutrients!$CZ$9)*AH$7)+(((IF($A$8=Nutrients!$B$79,Nutrients!$CZ$79,(IF($A$8=Nutrients!$B$77,Nutrients!$CZ$77,Nutrients!$CZ$78)))))*AH$8))/2000/AH$236*100</f>
        <v>181.92889439664049</v>
      </c>
      <c r="AI238" s="451">
        <f>(SUMPRODUCT(AI$9:AI$229,Nutrients!$CZ$8:$CZ$228)+(IF($A$7=Nutrients!$B$8,Nutrients!$CZ$8,Nutrients!$CZ$9)*AI$7)+(((IF($A$8=Nutrients!$B$79,Nutrients!$CZ$79,(IF($A$8=Nutrients!$B$77,Nutrients!$CZ$77,Nutrients!$CZ$78)))))*AI$8))/2000/AI$236*100</f>
        <v>155.21195132466949</v>
      </c>
      <c r="AJ238" s="9"/>
      <c r="AK238" s="451">
        <f>(SUMPRODUCT(AK$9:AK$229,Nutrients!$CZ$8:$CZ$228)+(IF($A$7=Nutrients!$B$8,Nutrients!$CZ$8,Nutrients!$CZ$9)*AK$7)+(((IF($A$8=Nutrients!$B$79,Nutrients!$CZ$79,(IF($A$8=Nutrients!$B$77,Nutrients!$CZ$77,Nutrients!$CZ$78)))))*AK$8))/2000/AK$236*100</f>
        <v>154.03225481802451</v>
      </c>
      <c r="AL238" s="451">
        <f>(SUMPRODUCT(AL$9:AL$229,Nutrients!$CZ$8:$CZ$228)+(IF($A$7=Nutrients!$B$8,Nutrients!$CZ$8,Nutrients!$CZ$9)*AL$7)+(((IF($A$8=Nutrients!$B$79,Nutrients!$CZ$79,(IF($A$8=Nutrients!$B$77,Nutrients!$CZ$77,Nutrients!$CZ$78)))))*AL$8))/2000/AL$236*100</f>
        <v>162.03233580156376</v>
      </c>
      <c r="AM238" s="451">
        <f>(SUMPRODUCT(AM$9:AM$229,Nutrients!$CZ$8:$CZ$228)+(IF($A$7=Nutrients!$B$8,Nutrients!$CZ$8,Nutrients!$CZ$9)*AM$7)+(((IF($A$8=Nutrients!$B$79,Nutrients!$CZ$79,(IF($A$8=Nutrients!$B$77,Nutrients!$CZ$77,Nutrients!$CZ$78)))))*AM$8))/2000/AM$236*100</f>
        <v>171.47235890320985</v>
      </c>
      <c r="AN238" s="451">
        <f>(SUMPRODUCT(AN$9:AN$229,Nutrients!$CZ$8:$CZ$228)+(IF($A$7=Nutrients!$B$8,Nutrients!$CZ$8,Nutrients!$CZ$9)*AN$7)+(((IF($A$8=Nutrients!$B$79,Nutrients!$CZ$79,(IF($A$8=Nutrients!$B$77,Nutrients!$CZ$77,Nutrients!$CZ$78)))))*AN$8))/2000/AN$236*100</f>
        <v>181.10403778046711</v>
      </c>
      <c r="AO238" s="451">
        <f>(SUMPRODUCT(AO$9:AO$229,Nutrients!$CZ$8:$CZ$228)+(IF($A$7=Nutrients!$B$8,Nutrients!$CZ$8,Nutrients!$CZ$9)*AO$7)+(((IF($A$8=Nutrients!$B$79,Nutrients!$CZ$79,(IF($A$8=Nutrients!$B$77,Nutrients!$CZ$77,Nutrients!$CZ$78)))))*AO$8))/2000/AO$236*100</f>
        <v>189.4275961660008</v>
      </c>
      <c r="AP238" s="451">
        <f>(SUMPRODUCT(AP$9:AP$229,Nutrients!$CZ$8:$CZ$228)+(IF($A$7=Nutrients!$B$8,Nutrients!$CZ$8,Nutrients!$CZ$9)*AP$7)+(((IF($A$8=Nutrients!$B$79,Nutrients!$CZ$79,(IF($A$8=Nutrients!$B$77,Nutrients!$CZ$77,Nutrients!$CZ$78)))))*AP$8))/2000/AP$236*100</f>
        <v>155.21195132466949</v>
      </c>
      <c r="AQ238" s="9"/>
      <c r="AR238" s="451">
        <f>(SUMPRODUCT(AR$9:AR$229,Nutrients!$CZ$8:$CZ$228)+(IF($A$7=Nutrients!$B$8,Nutrients!$CZ$8,Nutrients!$CZ$9)*AR$7)+(((IF($A$8=Nutrients!$B$79,Nutrients!$CZ$79,(IF($A$8=Nutrients!$B$77,Nutrients!$CZ$77,Nutrients!$CZ$78)))))*AR$8))/2000/AR$236*100</f>
        <v>158.90440074912598</v>
      </c>
      <c r="AS238" s="451">
        <f>(SUMPRODUCT(AS$9:AS$229,Nutrients!$CZ$8:$CZ$228)+(IF($A$7=Nutrients!$B$8,Nutrients!$CZ$8,Nutrients!$CZ$9)*AS$7)+(((IF($A$8=Nutrients!$B$79,Nutrients!$CZ$79,(IF($A$8=Nutrients!$B$77,Nutrients!$CZ$77,Nutrients!$CZ$78)))))*AS$8))/2000/AS$236*100</f>
        <v>167.53925759303195</v>
      </c>
      <c r="AT238" s="451">
        <f>(SUMPRODUCT(AT$9:AT$229,Nutrients!$CZ$8:$CZ$228)+(IF($A$7=Nutrients!$B$8,Nutrients!$CZ$8,Nutrients!$CZ$9)*AT$7)+(((IF($A$8=Nutrients!$B$79,Nutrients!$CZ$79,(IF($A$8=Nutrients!$B$77,Nutrients!$CZ$77,Nutrients!$CZ$78)))))*AT$8))/2000/AT$236*100</f>
        <v>177.67916443061296</v>
      </c>
      <c r="AU238" s="451">
        <f>(SUMPRODUCT(AU$9:AU$229,Nutrients!$CZ$8:$CZ$228)+(IF($A$7=Nutrients!$B$8,Nutrients!$CZ$8,Nutrients!$CZ$9)*AU$7)+(((IF($A$8=Nutrients!$B$79,Nutrients!$CZ$79,(IF($A$8=Nutrients!$B$77,Nutrients!$CZ$77,Nutrients!$CZ$78)))))*AU$8))/2000/AU$236*100</f>
        <v>187.97363134678471</v>
      </c>
      <c r="AV238" s="451">
        <f>(SUMPRODUCT(AV$9:AV$229,Nutrients!$CZ$8:$CZ$228)+(IF($A$7=Nutrients!$B$8,Nutrients!$CZ$8,Nutrients!$CZ$9)*AV$7)+(((IF($A$8=Nutrients!$B$79,Nutrients!$CZ$79,(IF($A$8=Nutrients!$B$77,Nutrients!$CZ$77,Nutrients!$CZ$78)))))*AV$8))/2000/AV$236*100</f>
        <v>196.92446370927058</v>
      </c>
      <c r="AW238" s="451">
        <f>(SUMPRODUCT(AW$9:AW$229,Nutrients!$CZ$8:$CZ$228)+(IF($A$7=Nutrients!$B$8,Nutrients!$CZ$8,Nutrients!$CZ$9)*AW$7)+(((IF($A$8=Nutrients!$B$79,Nutrients!$CZ$79,(IF($A$8=Nutrients!$B$77,Nutrients!$CZ$77,Nutrients!$CZ$78)))))*AW$8))/2000/AW$236*100</f>
        <v>155.21195132466949</v>
      </c>
      <c r="AX238" s="13"/>
    </row>
    <row r="239" spans="1:50" x14ac:dyDescent="0.25">
      <c r="A239" s="38" t="s">
        <v>384</v>
      </c>
      <c r="B239" s="49">
        <f>(SUMPRODUCT(B$9:B$229,Nutrients!$DB$8:$DB$228)+(IF($A$7=Nutrients!$B$8,Nutrients!$DB$8,Nutrients!$DB$9)*B$7)+(((IF($A$8=Nutrients!$B$79,Nutrients!$DB$79,(IF($A$8=Nutrients!$B$77,Nutrients!$DB$77,Nutrients!$DB$78)))))*B$8))/2000/B$236*100</f>
        <v>32.176483378772197</v>
      </c>
      <c r="C239" s="49">
        <f>(SUMPRODUCT(C$9:C$229,Nutrients!$DB$8:$DB$228)+(IF($A$7=Nutrients!$B$8,Nutrients!$DB$8,Nutrients!$DB$9)*C$7)+(((IF($A$8=Nutrients!$B$79,Nutrients!$DB$79,(IF($A$8=Nutrients!$B$77,Nutrients!$DB$77,Nutrients!$DB$78)))))*C$8))/2000/C$236*100</f>
        <v>31.3204641187241</v>
      </c>
      <c r="D239" s="49">
        <f>(SUMPRODUCT(D$9:D$229,Nutrients!$DB$8:$DB$228)+(IF($A$7=Nutrients!$B$8,Nutrients!$DB$8,Nutrients!$DB$9)*D$7)+(((IF($A$8=Nutrients!$B$79,Nutrients!$DB$79,(IF($A$8=Nutrients!$B$77,Nutrients!$DB$77,Nutrients!$DB$78)))))*D$8))/2000/D$236*100</f>
        <v>30.28033378224459</v>
      </c>
      <c r="E239" s="49">
        <f>(SUMPRODUCT(E$9:E$229,Nutrients!$DB$8:$DB$228)+(IF($A$7=Nutrients!$B$8,Nutrients!$DB$8,Nutrients!$DB$9)*E$7)+(((IF($A$8=Nutrients!$B$79,Nutrients!$DB$79,(IF($A$8=Nutrients!$B$77,Nutrients!$DB$77,Nutrients!$DB$78)))))*E$8))/2000/E$236*100</f>
        <v>30.221879794096772</v>
      </c>
      <c r="F239" s="49">
        <f>(SUMPRODUCT(F$9:F$229,Nutrients!$DB$8:$DB$228)+(IF($A$7=Nutrients!$B$8,Nutrients!$DB$8,Nutrients!$DB$9)*F$7)+(((IF($A$8=Nutrients!$B$79,Nutrients!$DB$79,(IF($A$8=Nutrients!$B$77,Nutrients!$DB$77,Nutrients!$DB$78)))))*F$8))/2000/F$236*100</f>
        <v>29.27572686201405</v>
      </c>
      <c r="G239" s="49">
        <f>(SUMPRODUCT(G$9:G$229,Nutrients!$DB$8:$DB$228)+(IF($A$7=Nutrients!$B$8,Nutrients!$DB$8,Nutrients!$DB$9)*G$7)+(((IF($A$8=Nutrients!$B$79,Nutrients!$DB$79,(IF($A$8=Nutrients!$B$77,Nutrients!$DB$77,Nutrients!$DB$78)))))*G$8))/2000/G$236*100</f>
        <v>29.609559948404552</v>
      </c>
      <c r="H239" s="224"/>
      <c r="I239" s="451">
        <f>(SUMPRODUCT(I$9:I$229,Nutrients!$DB$8:$DB$228)+(IF($A$7=Nutrients!$B$8,Nutrients!$DB$8,Nutrients!$DB$9)*I$7)+(((IF($A$8=Nutrients!$B$79,Nutrients!$DB$79,(IF($A$8=Nutrients!$B$77,Nutrients!$DB$77,Nutrients!$DB$78)))))*I$8))/2000/I$236*100</f>
        <v>32.0801604012985</v>
      </c>
      <c r="J239" s="451">
        <f>(SUMPRODUCT(J$9:J$229,Nutrients!$DB$8:$DB$228)+(IF($A$7=Nutrients!$B$8,Nutrients!$DB$8,Nutrients!$DB$9)*J$7)+(((IF($A$8=Nutrients!$B$79,Nutrients!$DB$79,(IF($A$8=Nutrients!$B$77,Nutrients!$DB$77,Nutrients!$DB$78)))))*J$8))/2000/J$236*100</f>
        <v>31.207642776712923</v>
      </c>
      <c r="K239" s="451">
        <f>(SUMPRODUCT(K$9:K$229,Nutrients!$DB$8:$DB$228)+(IF($A$7=Nutrients!$B$8,Nutrients!$DB$8,Nutrients!$DB$9)*K$7)+(((IF($A$8=Nutrients!$B$79,Nutrients!$DB$79,(IF($A$8=Nutrients!$B$77,Nutrients!$DB$77,Nutrients!$DB$78)))))*K$8))/2000/K$236*100</f>
        <v>30.153097805455591</v>
      </c>
      <c r="L239" s="451">
        <f>(SUMPRODUCT(L$9:L$229,Nutrients!$DB$8:$DB$228)+(IF($A$7=Nutrients!$B$8,Nutrients!$DB$8,Nutrients!$DB$9)*L$7)+(((IF($A$8=Nutrients!$B$79,Nutrients!$DB$79,(IF($A$8=Nutrients!$B$77,Nutrients!$DB$77,Nutrients!$DB$78)))))*L$8))/2000/L$236*100</f>
        <v>30.073693586144433</v>
      </c>
      <c r="M239" s="451">
        <f>(SUMPRODUCT(M$9:M$229,Nutrients!$DB$8:$DB$228)+(IF($A$7=Nutrients!$B$8,Nutrients!$DB$8,Nutrients!$DB$9)*M$7)+(((IF($A$8=Nutrients!$B$79,Nutrients!$DB$79,(IF($A$8=Nutrients!$B$77,Nutrients!$DB$77,Nutrients!$DB$78)))))*M$8))/2000/M$236*100</f>
        <v>29.113261808370495</v>
      </c>
      <c r="N239" s="451">
        <f>(SUMPRODUCT(N$9:N$229,Nutrients!$DB$8:$DB$228)+(IF($A$7=Nutrients!$B$8,Nutrients!$DB$8,Nutrients!$DB$9)*N$7)+(((IF($A$8=Nutrients!$B$79,Nutrients!$DB$79,(IF($A$8=Nutrients!$B$77,Nutrients!$DB$77,Nutrients!$DB$78)))))*N$8))/2000/N$236*100</f>
        <v>29.609559948404552</v>
      </c>
      <c r="O239" s="472"/>
      <c r="P239" s="451">
        <f>(SUMPRODUCT(P$9:P$229,Nutrients!$DB$8:$DB$228)+(IF($A$7=Nutrients!$B$8,Nutrients!$DB$8,Nutrients!$DB$9)*P$7)+(((IF($A$8=Nutrients!$B$79,Nutrients!$DB$79,(IF($A$8=Nutrients!$B$77,Nutrients!$DB$77,Nutrients!$DB$78)))))*P$8))/2000/P$236*100</f>
        <v>31.966405640194296</v>
      </c>
      <c r="Q239" s="451">
        <f>(SUMPRODUCT(Q$9:Q$229,Nutrients!$DB$8:$DB$228)+(IF($A$7=Nutrients!$B$8,Nutrients!$DB$8,Nutrients!$DB$9)*Q$7)+(((IF($A$8=Nutrients!$B$79,Nutrients!$DB$79,(IF($A$8=Nutrients!$B$77,Nutrients!$DB$77,Nutrients!$DB$78)))))*Q$8))/2000/Q$236*100</f>
        <v>31.078776028184059</v>
      </c>
      <c r="R239" s="451">
        <f>(SUMPRODUCT(R$9:R$229,Nutrients!$DB$8:$DB$228)+(IF($A$7=Nutrients!$B$8,Nutrients!$DB$8,Nutrients!$DB$9)*R$7)+(((IF($A$8=Nutrients!$B$79,Nutrients!$DB$79,(IF($A$8=Nutrients!$B$77,Nutrients!$DB$77,Nutrients!$DB$78)))))*R$8))/2000/R$236*100</f>
        <v>30.006940373496171</v>
      </c>
      <c r="S239" s="451">
        <f>(SUMPRODUCT(S$9:S$229,Nutrients!$DB$8:$DB$228)+(IF($A$7=Nutrients!$B$8,Nutrients!$DB$8,Nutrients!$DB$9)*S$7)+(((IF($A$8=Nutrients!$B$79,Nutrients!$DB$79,(IF($A$8=Nutrients!$B$77,Nutrients!$DB$77,Nutrients!$DB$78)))))*S$8))/2000/S$236*100</f>
        <v>29.909849199136662</v>
      </c>
      <c r="T239" s="451">
        <f>(SUMPRODUCT(T$9:T$229,Nutrients!$DB$8:$DB$228)+(IF($A$7=Nutrients!$B$8,Nutrients!$DB$8,Nutrients!$DB$9)*T$7)+(((IF($A$8=Nutrients!$B$79,Nutrients!$DB$79,(IF($A$8=Nutrients!$B$77,Nutrients!$DB$77,Nutrients!$DB$78)))))*T$8))/2000/T$236*100</f>
        <v>29.415789251911157</v>
      </c>
      <c r="U239" s="451">
        <f>(SUMPRODUCT(U$9:U$229,Nutrients!$DB$8:$DB$228)+(IF($A$7=Nutrients!$B$8,Nutrients!$DB$8,Nutrients!$DB$9)*U$7)+(((IF($A$8=Nutrients!$B$79,Nutrients!$DB$79,(IF($A$8=Nutrients!$B$77,Nutrients!$DB$77,Nutrients!$DB$78)))))*U$8))/2000/U$236*100</f>
        <v>29.609559948404552</v>
      </c>
      <c r="V239" s="9"/>
      <c r="W239" s="451">
        <f>(SUMPRODUCT(W$9:W$229,Nutrients!$DB$8:$DB$228)+(IF($A$7=Nutrients!$B$8,Nutrients!$DB$8,Nutrients!$DB$9)*W$7)+(((IF($A$8=Nutrients!$B$79,Nutrients!$DB$79,(IF($A$8=Nutrients!$B$77,Nutrients!$DB$77,Nutrients!$DB$78)))))*W$8))/2000/W$236*100</f>
        <v>31.852504772659273</v>
      </c>
      <c r="X239" s="451">
        <f>(SUMPRODUCT(X$9:X$229,Nutrients!$DB$8:$DB$228)+(IF($A$7=Nutrients!$B$8,Nutrients!$DB$8,Nutrients!$DB$9)*X$7)+(((IF($A$8=Nutrients!$B$79,Nutrients!$DB$79,(IF($A$8=Nutrients!$B$77,Nutrients!$DB$77,Nutrients!$DB$78)))))*X$8))/2000/X$236*100</f>
        <v>30.949710944365837</v>
      </c>
      <c r="Y239" s="451">
        <f>(SUMPRODUCT(Y$9:Y$229,Nutrients!$DB$8:$DB$228)+(IF($A$7=Nutrients!$B$8,Nutrients!$DB$8,Nutrients!$DB$9)*Y$7)+(((IF($A$8=Nutrients!$B$79,Nutrients!$DB$79,(IF($A$8=Nutrients!$B$77,Nutrients!$DB$77,Nutrients!$DB$78)))))*Y$8))/2000/Y$236*100</f>
        <v>29.861318546819405</v>
      </c>
      <c r="Z239" s="451">
        <f>(SUMPRODUCT(Z$9:Z$229,Nutrients!$DB$8:$DB$228)+(IF($A$7=Nutrients!$B$8,Nutrients!$DB$8,Nutrients!$DB$9)*Z$7)+(((IF($A$8=Nutrients!$B$79,Nutrients!$DB$79,(IF($A$8=Nutrients!$B$77,Nutrients!$DB$77,Nutrients!$DB$78)))))*Z$8))/2000/Z$236*100</f>
        <v>29.211961491766676</v>
      </c>
      <c r="AA239" s="451">
        <f>(SUMPRODUCT(AA$9:AA$229,Nutrients!$DB$8:$DB$228)+(IF($A$7=Nutrients!$B$8,Nutrients!$DB$8,Nutrients!$DB$9)*AA$7)+(((IF($A$8=Nutrients!$B$79,Nutrients!$DB$79,(IF($A$8=Nutrients!$B$77,Nutrients!$DB$77,Nutrients!$DB$78)))))*AA$8))/2000/AA$236*100</f>
        <v>30.347983729088213</v>
      </c>
      <c r="AB239" s="451">
        <f>(SUMPRODUCT(AB$9:AB$229,Nutrients!$DB$8:$DB$228)+(IF($A$7=Nutrients!$B$8,Nutrients!$DB$8,Nutrients!$DB$9)*AB$7)+(((IF($A$8=Nutrients!$B$79,Nutrients!$DB$79,(IF($A$8=Nutrients!$B$77,Nutrients!$DB$77,Nutrients!$DB$78)))))*AB$8))/2000/AB$236*100</f>
        <v>29.609559948404552</v>
      </c>
      <c r="AC239" s="9"/>
      <c r="AD239" s="451">
        <f>(SUMPRODUCT(AD$9:AD$229,Nutrients!$DB$8:$DB$228)+(IF($A$7=Nutrients!$B$8,Nutrients!$DB$8,Nutrients!$DB$9)*AD$7)+(((IF($A$8=Nutrients!$B$79,Nutrients!$DB$79,(IF($A$8=Nutrients!$B$77,Nutrients!$DB$77,Nutrients!$DB$78)))))*AD$8))/2000/AD$236*100</f>
        <v>31.738424583390419</v>
      </c>
      <c r="AE239" s="451">
        <f>(SUMPRODUCT(AE$9:AE$229,Nutrients!$DB$8:$DB$228)+(IF($A$7=Nutrients!$B$8,Nutrients!$DB$8,Nutrients!$DB$9)*AE$7)+(((IF($A$8=Nutrients!$B$79,Nutrients!$DB$79,(IF($A$8=Nutrients!$B$77,Nutrients!$DB$77,Nutrients!$DB$78)))))*AE$8))/2000/AE$236*100</f>
        <v>30.82077498556734</v>
      </c>
      <c r="AF239" s="451">
        <f>(SUMPRODUCT(AF$9:AF$229,Nutrients!$DB$8:$DB$228)+(IF($A$7=Nutrients!$B$8,Nutrients!$DB$8,Nutrients!$DB$9)*AF$7)+(((IF($A$8=Nutrients!$B$79,Nutrients!$DB$79,(IF($A$8=Nutrients!$B$77,Nutrients!$DB$77,Nutrients!$DB$78)))))*AF$8))/2000/AF$236*100</f>
        <v>28.687588705636323</v>
      </c>
      <c r="AG239" s="451">
        <f>(SUMPRODUCT(AG$9:AG$229,Nutrients!$DB$8:$DB$228)+(IF($A$7=Nutrients!$B$8,Nutrients!$DB$8,Nutrients!$DB$9)*AG$7)+(((IF($A$8=Nutrients!$B$79,Nutrients!$DB$79,(IF($A$8=Nutrients!$B$77,Nutrients!$DB$77,Nutrients!$DB$78)))))*AG$8))/2000/AG$236*100</f>
        <v>30.065476379038152</v>
      </c>
      <c r="AH239" s="451">
        <f>(SUMPRODUCT(AH$9:AH$229,Nutrients!$DB$8:$DB$228)+(IF($A$7=Nutrients!$B$8,Nutrients!$DB$8,Nutrients!$DB$9)*AH$7)+(((IF($A$8=Nutrients!$B$79,Nutrients!$DB$79,(IF($A$8=Nutrients!$B$77,Nutrients!$DB$77,Nutrients!$DB$78)))))*AH$8))/2000/AH$236*100</f>
        <v>31.262378871666812</v>
      </c>
      <c r="AI239" s="451">
        <f>(SUMPRODUCT(AI$9:AI$229,Nutrients!$DB$8:$DB$228)+(IF($A$7=Nutrients!$B$8,Nutrients!$DB$8,Nutrients!$DB$9)*AI$7)+(((IF($A$8=Nutrients!$B$79,Nutrients!$DB$79,(IF($A$8=Nutrients!$B$77,Nutrients!$DB$77,Nutrients!$DB$78)))))*AI$8))/2000/AI$236*100</f>
        <v>29.609559948404552</v>
      </c>
      <c r="AJ239" s="9"/>
      <c r="AK239" s="451">
        <f>(SUMPRODUCT(AK$9:AK$229,Nutrients!$DB$8:$DB$228)+(IF($A$7=Nutrients!$B$8,Nutrients!$DB$8,Nutrients!$DB$9)*AK$7)+(((IF($A$8=Nutrients!$B$79,Nutrients!$DB$79,(IF($A$8=Nutrients!$B$77,Nutrients!$DB$77,Nutrients!$DB$78)))))*AK$8))/2000/AK$236*100</f>
        <v>31.623086240686789</v>
      </c>
      <c r="AL239" s="451">
        <f>(SUMPRODUCT(AL$9:AL$229,Nutrients!$DB$8:$DB$228)+(IF($A$7=Nutrients!$B$8,Nutrients!$DB$8,Nutrients!$DB$9)*AL$7)+(((IF($A$8=Nutrients!$B$79,Nutrients!$DB$79,(IF($A$8=Nutrients!$B$77,Nutrients!$DB$77,Nutrients!$DB$78)))))*AL$8))/2000/AL$236*100</f>
        <v>30.691860025384344</v>
      </c>
      <c r="AM239" s="451">
        <f>(SUMPRODUCT(AM$9:AM$229,Nutrients!$DB$8:$DB$228)+(IF($A$7=Nutrients!$B$8,Nutrients!$DB$8,Nutrients!$DB$9)*AM$7)+(((IF($A$8=Nutrients!$B$79,Nutrients!$DB$79,(IF($A$8=Nutrients!$B$77,Nutrients!$DB$77,Nutrients!$DB$78)))))*AM$8))/2000/AM$236*100</f>
        <v>29.448650389782909</v>
      </c>
      <c r="AN239" s="451">
        <f>(SUMPRODUCT(AN$9:AN$229,Nutrients!$DB$8:$DB$228)+(IF($A$7=Nutrients!$B$8,Nutrients!$DB$8,Nutrients!$DB$9)*AN$7)+(((IF($A$8=Nutrients!$B$79,Nutrients!$DB$79,(IF($A$8=Nutrients!$B$77,Nutrients!$DB$77,Nutrients!$DB$78)))))*AN$8))/2000/AN$236*100</f>
        <v>30.904966285556849</v>
      </c>
      <c r="AO239" s="451">
        <f>(SUMPRODUCT(AO$9:AO$229,Nutrients!$DB$8:$DB$228)+(IF($A$7=Nutrients!$B$8,Nutrients!$DB$8,Nutrients!$DB$9)*AO$7)+(((IF($A$8=Nutrients!$B$79,Nutrients!$DB$79,(IF($A$8=Nutrients!$B$77,Nutrients!$DB$77,Nutrients!$DB$78)))))*AO$8))/2000/AO$236*100</f>
        <v>32.172281480746761</v>
      </c>
      <c r="AP239" s="451">
        <f>(SUMPRODUCT(AP$9:AP$229,Nutrients!$DB$8:$DB$228)+(IF($A$7=Nutrients!$B$8,Nutrients!$DB$8,Nutrients!$DB$9)*AP$7)+(((IF($A$8=Nutrients!$B$79,Nutrients!$DB$79,(IF($A$8=Nutrients!$B$77,Nutrients!$DB$77,Nutrients!$DB$78)))))*AP$8))/2000/AP$236*100</f>
        <v>29.609559948404552</v>
      </c>
      <c r="AQ239" s="9"/>
      <c r="AR239" s="451">
        <f>(SUMPRODUCT(AR$9:AR$229,Nutrients!$DB$8:$DB$228)+(IF($A$7=Nutrients!$B$8,Nutrients!$DB$8,Nutrients!$DB$9)*AR$7)+(((IF($A$8=Nutrients!$B$79,Nutrients!$DB$79,(IF($A$8=Nutrients!$B$77,Nutrients!$DB$77,Nutrients!$DB$78)))))*AR$8))/2000/AR$236*100</f>
        <v>31.509638982597028</v>
      </c>
      <c r="AS239" s="451">
        <f>(SUMPRODUCT(AS$9:AS$229,Nutrients!$DB$8:$DB$228)+(IF($A$7=Nutrients!$B$8,Nutrients!$DB$8,Nutrients!$DB$9)*AS$7)+(((IF($A$8=Nutrients!$B$79,Nutrients!$DB$79,(IF($A$8=Nutrients!$B$77,Nutrients!$DB$77,Nutrients!$DB$78)))))*AS$8))/2000/AS$236*100</f>
        <v>30.562933494072574</v>
      </c>
      <c r="AT239" s="451">
        <f>(SUMPRODUCT(AT$9:AT$229,Nutrients!$DB$8:$DB$228)+(IF($A$7=Nutrients!$B$8,Nutrients!$DB$8,Nutrients!$DB$9)*AT$7)+(((IF($A$8=Nutrients!$B$79,Nutrients!$DB$79,(IF($A$8=Nutrients!$B$77,Nutrients!$DB$77,Nutrients!$DB$78)))))*AT$8))/2000/AT$236*100</f>
        <v>30.206445205692571</v>
      </c>
      <c r="AU239" s="451">
        <f>(SUMPRODUCT(AU$9:AU$229,Nutrients!$DB$8:$DB$228)+(IF($A$7=Nutrients!$B$8,Nutrients!$DB$8,Nutrients!$DB$9)*AU$7)+(((IF($A$8=Nutrients!$B$79,Nutrients!$DB$79,(IF($A$8=Nutrients!$B$77,Nutrients!$DB$77,Nutrients!$DB$78)))))*AU$8))/2000/AU$236*100</f>
        <v>31.738549140136229</v>
      </c>
      <c r="AV239" s="451">
        <f>(SUMPRODUCT(AV$9:AV$229,Nutrients!$DB$8:$DB$228)+(IF($A$7=Nutrients!$B$8,Nutrients!$DB$8,Nutrients!$DB$9)*AV$7)+(((IF($A$8=Nutrients!$B$79,Nutrients!$DB$79,(IF($A$8=Nutrients!$B$77,Nutrients!$DB$77,Nutrients!$DB$78)))))*AV$8))/2000/AV$236*100</f>
        <v>33.081861074357569</v>
      </c>
      <c r="AW239" s="451">
        <f>(SUMPRODUCT(AW$9:AW$229,Nutrients!$DB$8:$DB$228)+(IF($A$7=Nutrients!$B$8,Nutrients!$DB$8,Nutrients!$DB$9)*AW$7)+(((IF($A$8=Nutrients!$B$79,Nutrients!$DB$79,(IF($A$8=Nutrients!$B$77,Nutrients!$DB$77,Nutrients!$DB$78)))))*AW$8))/2000/AW$236*100</f>
        <v>29.609559948404552</v>
      </c>
      <c r="AX239" s="13"/>
    </row>
    <row r="240" spans="1:50" x14ac:dyDescent="0.25">
      <c r="A240" s="38" t="s">
        <v>385</v>
      </c>
      <c r="B240" s="224">
        <f>(SUMPRODUCT(B$9:B$229,Nutrients!$DC$8:$DC$228)+(IF($A$7=Nutrients!$B$8,Nutrients!$DC$8,Nutrients!$DC$9)*B$7)+(((IF($A$8=Nutrients!$B$79,Nutrients!$DC$79,(IF($A$8=Nutrients!$B$77,Nutrients!$DC$77,Nutrients!$DC$78)))))*B$8))/2000/B$236*100</f>
        <v>55.994418242240393</v>
      </c>
      <c r="C240" s="224">
        <f>(SUMPRODUCT(C$9:C$229,Nutrients!$DC$8:$DC$228)+(IF($A$7=Nutrients!$B$8,Nutrients!$DC$8,Nutrients!$DC$9)*C$7)+(((IF($A$8=Nutrients!$B$79,Nutrients!$DC$79,(IF($A$8=Nutrients!$B$77,Nutrients!$DC$77,Nutrients!$DC$78)))))*C$8))/2000/C$236*100</f>
        <v>55.998321129822401</v>
      </c>
      <c r="D240" s="224">
        <f>(SUMPRODUCT(D$9:D$229,Nutrients!$DC$8:$DC$228)+(IF($A$7=Nutrients!$B$8,Nutrients!$DC$8,Nutrients!$DC$9)*D$7)+(((IF($A$8=Nutrients!$B$79,Nutrients!$DC$79,(IF($A$8=Nutrients!$B$77,Nutrients!$DC$77,Nutrients!$DC$78)))))*D$8))/2000/D$236*100</f>
        <v>56.000205781178344</v>
      </c>
      <c r="E240" s="224">
        <f>(SUMPRODUCT(E$9:E$229,Nutrients!$DC$8:$DC$228)+(IF($A$7=Nutrients!$B$8,Nutrients!$DC$8,Nutrients!$DC$9)*E$7)+(((IF($A$8=Nutrients!$B$79,Nutrients!$DC$79,(IF($A$8=Nutrients!$B$77,Nutrients!$DC$77,Nutrients!$DC$78)))))*E$8))/2000/E$236*100</f>
        <v>56.999140886022367</v>
      </c>
      <c r="F240" s="224">
        <f>(SUMPRODUCT(F$9:F$229,Nutrients!$DC$8:$DC$228)+(IF($A$7=Nutrients!$B$8,Nutrients!$DC$8,Nutrients!$DC$9)*F$7)+(((IF($A$8=Nutrients!$B$79,Nutrients!$DC$79,(IF($A$8=Nutrients!$B$77,Nutrients!$DC$77,Nutrients!$DC$78)))))*F$8))/2000/F$236*100</f>
        <v>57.001109458079327</v>
      </c>
      <c r="G240" s="224">
        <f>(SUMPRODUCT(G$9:G$229,Nutrients!$DC$8:$DC$228)+(IF($A$7=Nutrients!$B$8,Nutrients!$DC$8,Nutrients!$DC$9)*G$7)+(((IF($A$8=Nutrients!$B$79,Nutrients!$DC$79,(IF($A$8=Nutrients!$B$77,Nutrients!$DC$77,Nutrients!$DC$78)))))*G$8))/2000/G$236*100</f>
        <v>58.001701198028378</v>
      </c>
      <c r="H240" s="224"/>
      <c r="I240" s="225">
        <f>(SUMPRODUCT(I$9:I$229,Nutrients!$DC$8:$DC$228)+(IF($A$7=Nutrients!$B$8,Nutrients!$DC$8,Nutrients!$DC$9)*I$7)+(((IF($A$8=Nutrients!$B$79,Nutrients!$DC$79,(IF($A$8=Nutrients!$B$77,Nutrients!$DC$77,Nutrients!$DC$78)))))*I$8))/2000/I$236*100</f>
        <v>55.992162465524274</v>
      </c>
      <c r="J240" s="225">
        <f>(SUMPRODUCT(J$9:J$229,Nutrients!$DC$8:$DC$228)+(IF($A$7=Nutrients!$B$8,Nutrients!$DC$8,Nutrients!$DC$9)*J$7)+(((IF($A$8=Nutrients!$B$79,Nutrients!$DC$79,(IF($A$8=Nutrients!$B$77,Nutrients!$DC$77,Nutrients!$DC$78)))))*J$8))/2000/J$236*100</f>
        <v>55.991135702730375</v>
      </c>
      <c r="K240" s="225">
        <f>(SUMPRODUCT(K$9:K$229,Nutrients!$DC$8:$DC$228)+(IF($A$7=Nutrients!$B$8,Nutrients!$DC$8,Nutrients!$DC$9)*K$7)+(((IF($A$8=Nutrients!$B$79,Nutrients!$DC$79,(IF($A$8=Nutrients!$B$77,Nutrients!$DC$77,Nutrients!$DC$78)))))*K$8))/2000/K$236*100</f>
        <v>55.994027263406679</v>
      </c>
      <c r="L240" s="225">
        <f>(SUMPRODUCT(L$9:L$229,Nutrients!$DC$8:$DC$228)+(IF($A$7=Nutrients!$B$8,Nutrients!$DC$8,Nutrients!$DC$9)*L$7)+(((IF($A$8=Nutrients!$B$79,Nutrients!$DC$79,(IF($A$8=Nutrients!$B$77,Nutrients!$DC$77,Nutrients!$DC$78)))))*L$8))/2000/L$236*100</f>
        <v>56.989352384814687</v>
      </c>
      <c r="M240" s="225">
        <f>(SUMPRODUCT(M$9:M$229,Nutrients!$DC$8:$DC$228)+(IF($A$7=Nutrients!$B$8,Nutrients!$DC$8,Nutrients!$DC$9)*M$7)+(((IF($A$8=Nutrients!$B$79,Nutrients!$DC$79,(IF($A$8=Nutrients!$B$77,Nutrients!$DC$77,Nutrients!$DC$78)))))*M$8))/2000/M$236*100</f>
        <v>56.987715318820989</v>
      </c>
      <c r="N240" s="225">
        <f>(SUMPRODUCT(N$9:N$229,Nutrients!$DC$8:$DC$228)+(IF($A$7=Nutrients!$B$8,Nutrients!$DC$8,Nutrients!$DC$9)*N$7)+(((IF($A$8=Nutrients!$B$79,Nutrients!$DC$79,(IF($A$8=Nutrients!$B$77,Nutrients!$DC$77,Nutrients!$DC$78)))))*N$8))/2000/N$236*100</f>
        <v>58.001701198028378</v>
      </c>
      <c r="O240" s="472"/>
      <c r="P240" s="225">
        <f>(SUMPRODUCT(P$9:P$229,Nutrients!$DC$8:$DC$228)+(IF($A$7=Nutrients!$B$8,Nutrients!$DC$8,Nutrients!$DC$9)*P$7)+(((IF($A$8=Nutrients!$B$79,Nutrients!$DC$79,(IF($A$8=Nutrients!$B$77,Nutrients!$DC$77,Nutrients!$DC$78)))))*P$8))/2000/P$236*100</f>
        <v>55.972374501990672</v>
      </c>
      <c r="Q240" s="225">
        <f>(SUMPRODUCT(Q$9:Q$229,Nutrients!$DC$8:$DC$228)+(IF($A$7=Nutrients!$B$8,Nutrients!$DC$8,Nutrients!$DC$9)*Q$7)+(((IF($A$8=Nutrients!$B$79,Nutrients!$DC$79,(IF($A$8=Nutrients!$B$77,Nutrients!$DC$77,Nutrients!$DC$78)))))*Q$8))/2000/Q$236*100</f>
        <v>55.968330625301988</v>
      </c>
      <c r="R240" s="225">
        <f>(SUMPRODUCT(R$9:R$229,Nutrients!$DC$8:$DC$228)+(IF($A$7=Nutrients!$B$8,Nutrients!$DC$8,Nutrients!$DC$9)*R$7)+(((IF($A$8=Nutrients!$B$79,Nutrients!$DC$79,(IF($A$8=Nutrients!$B$77,Nutrients!$DC$77,Nutrients!$DC$78)))))*R$8))/2000/R$236*100</f>
        <v>55.967500214385367</v>
      </c>
      <c r="S240" s="225">
        <f>(SUMPRODUCT(S$9:S$229,Nutrients!$DC$8:$DC$228)+(IF($A$7=Nutrients!$B$8,Nutrients!$DC$8,Nutrients!$DC$9)*S$7)+(((IF($A$8=Nutrients!$B$79,Nutrients!$DC$79,(IF($A$8=Nutrients!$B$77,Nutrients!$DC$77,Nutrients!$DC$78)))))*S$8))/2000/S$236*100</f>
        <v>56.959906724477591</v>
      </c>
      <c r="T240" s="225">
        <f>(SUMPRODUCT(T$9:T$229,Nutrients!$DC$8:$DC$228)+(IF($A$7=Nutrients!$B$8,Nutrients!$DC$8,Nutrients!$DC$9)*T$7)+(((IF($A$8=Nutrients!$B$79,Nutrients!$DC$79,(IF($A$8=Nutrients!$B$77,Nutrients!$DC$77,Nutrients!$DC$78)))))*T$8))/2000/T$236*100</f>
        <v>57.436514448149346</v>
      </c>
      <c r="U240" s="225">
        <f>(SUMPRODUCT(U$9:U$229,Nutrients!$DC$8:$DC$228)+(IF($A$7=Nutrients!$B$8,Nutrients!$DC$8,Nutrients!$DC$9)*U$7)+(((IF($A$8=Nutrients!$B$79,Nutrients!$DC$79,(IF($A$8=Nutrients!$B$77,Nutrients!$DC$77,Nutrients!$DC$78)))))*U$8))/2000/U$236*100</f>
        <v>58.001701198028378</v>
      </c>
      <c r="V240" s="9"/>
      <c r="W240" s="225">
        <f>(SUMPRODUCT(W$9:W$229,Nutrients!$DC$8:$DC$228)+(IF($A$7=Nutrients!$B$8,Nutrients!$DC$8,Nutrients!$DC$9)*W$7)+(((IF($A$8=Nutrients!$B$79,Nutrients!$DC$79,(IF($A$8=Nutrients!$B$77,Nutrients!$DC$77,Nutrients!$DC$78)))))*W$8))/2000/W$236*100</f>
        <v>55.952290226303958</v>
      </c>
      <c r="X240" s="225">
        <f>(SUMPRODUCT(X$9:X$229,Nutrients!$DC$8:$DC$228)+(IF($A$7=Nutrients!$B$8,Nutrients!$DC$8,Nutrients!$DC$9)*X$7)+(((IF($A$8=Nutrients!$B$79,Nutrients!$DC$79,(IF($A$8=Nutrients!$B$77,Nutrients!$DC$77,Nutrients!$DC$78)))))*X$8))/2000/X$236*100</f>
        <v>55.945123312624347</v>
      </c>
      <c r="Y240" s="225">
        <f>(SUMPRODUCT(Y$9:Y$229,Nutrients!$DC$8:$DC$228)+(IF($A$7=Nutrients!$B$8,Nutrients!$DC$8,Nutrients!$DC$9)*Y$7)+(((IF($A$8=Nutrients!$B$79,Nutrients!$DC$79,(IF($A$8=Nutrients!$B$77,Nutrients!$DC$77,Nutrients!$DC$78)))))*Y$8))/2000/Y$236*100</f>
        <v>55.942059403345667</v>
      </c>
      <c r="Z240" s="225">
        <f>(SUMPRODUCT(Z$9:Z$229,Nutrients!$DC$8:$DC$228)+(IF($A$7=Nutrients!$B$8,Nutrients!$DC$8,Nutrients!$DC$9)*Z$7)+(((IF($A$8=Nutrients!$B$79,Nutrients!$DC$79,(IF($A$8=Nutrients!$B$77,Nutrients!$DC$77,Nutrients!$DC$78)))))*Z$8))/2000/Z$236*100</f>
        <v>56.39717452364318</v>
      </c>
      <c r="AA240" s="225">
        <f>(SUMPRODUCT(AA$9:AA$229,Nutrients!$DC$8:$DC$228)+(IF($A$7=Nutrients!$B$8,Nutrients!$DC$8,Nutrients!$DC$9)*AA$7)+(((IF($A$8=Nutrients!$B$79,Nutrients!$DC$79,(IF($A$8=Nutrients!$B$77,Nutrients!$DC$77,Nutrients!$DC$78)))))*AA$8))/2000/AA$236*100</f>
        <v>58.514426140508668</v>
      </c>
      <c r="AB240" s="225">
        <f>(SUMPRODUCT(AB$9:AB$229,Nutrients!$DC$8:$DC$228)+(IF($A$7=Nutrients!$B$8,Nutrients!$DC$8,Nutrients!$DC$9)*AB$7)+(((IF($A$8=Nutrients!$B$79,Nutrients!$DC$79,(IF($A$8=Nutrients!$B$77,Nutrients!$DC$77,Nutrients!$DC$78)))))*AB$8))/2000/AB$236*100</f>
        <v>58.001701198028378</v>
      </c>
      <c r="AC240" s="9"/>
      <c r="AD240" s="225">
        <f>(SUMPRODUCT(AD$9:AD$229,Nutrients!$DC$8:$DC$228)+(IF($A$7=Nutrients!$B$8,Nutrients!$DC$8,Nutrients!$DC$9)*AD$7)+(((IF($A$8=Nutrients!$B$79,Nutrients!$DC$79,(IF($A$8=Nutrients!$B$77,Nutrients!$DC$77,Nutrients!$DC$78)))))*AD$8))/2000/AD$236*100</f>
        <v>55.93184227594017</v>
      </c>
      <c r="AE240" s="225">
        <f>(SUMPRODUCT(AE$9:AE$229,Nutrients!$DC$8:$DC$228)+(IF($A$7=Nutrients!$B$8,Nutrients!$DC$8,Nutrients!$DC$9)*AE$7)+(((IF($A$8=Nutrients!$B$79,Nutrients!$DC$79,(IF($A$8=Nutrients!$B$77,Nutrients!$DC$77,Nutrients!$DC$78)))))*AE$8))/2000/AE$236*100</f>
        <v>55.922177872832059</v>
      </c>
      <c r="AF240" s="225">
        <f>(SUMPRODUCT(AF$9:AF$229,Nutrients!$DC$8:$DC$228)+(IF($A$7=Nutrients!$B$8,Nutrients!$DC$8,Nutrients!$DC$9)*AF$7)+(((IF($A$8=Nutrients!$B$79,Nutrients!$DC$79,(IF($A$8=Nutrients!$B$77,Nutrients!$DC$77,Nutrients!$DC$78)))))*AF$8))/2000/AF$236*100</f>
        <v>54.88911206975218</v>
      </c>
      <c r="AG240" s="225">
        <f>(SUMPRODUCT(AG$9:AG$229,Nutrients!$DC$8:$DC$228)+(IF($A$7=Nutrients!$B$8,Nutrients!$DC$8,Nutrients!$DC$9)*AG$7)+(((IF($A$8=Nutrients!$B$79,Nutrients!$DC$79,(IF($A$8=Nutrients!$B$77,Nutrients!$DC$77,Nutrients!$DC$78)))))*AG$8))/2000/AG$236*100</f>
        <v>57.383729581531064</v>
      </c>
      <c r="AH240" s="225">
        <f>(SUMPRODUCT(AH$9:AH$229,Nutrients!$DC$8:$DC$228)+(IF($A$7=Nutrients!$B$8,Nutrients!$DC$8,Nutrients!$DC$9)*AH$7)+(((IF($A$8=Nutrients!$B$79,Nutrients!$DC$79,(IF($A$8=Nutrients!$B$77,Nutrients!$DC$77,Nutrients!$DC$78)))))*AH$8))/2000/AH$236*100</f>
        <v>59.556239769771437</v>
      </c>
      <c r="AI240" s="225">
        <f>(SUMPRODUCT(AI$9:AI$229,Nutrients!$DC$8:$DC$228)+(IF($A$7=Nutrients!$B$8,Nutrients!$DC$8,Nutrients!$DC$9)*AI$7)+(((IF($A$8=Nutrients!$B$79,Nutrients!$DC$79,(IF($A$8=Nutrients!$B$77,Nutrients!$DC$77,Nutrients!$DC$78)))))*AI$8))/2000/AI$236*100</f>
        <v>58.001701198028378</v>
      </c>
      <c r="AJ240" s="9"/>
      <c r="AK240" s="225">
        <f>(SUMPRODUCT(AK$9:AK$229,Nutrients!$DC$8:$DC$228)+(IF($A$7=Nutrients!$B$8,Nutrients!$DC$8,Nutrients!$DC$9)*AK$7)+(((IF($A$8=Nutrients!$B$79,Nutrients!$DC$79,(IF($A$8=Nutrients!$B$77,Nutrients!$DC$77,Nutrients!$DC$78)))))*AK$8))/2000/AK$236*100</f>
        <v>55.90884271883948</v>
      </c>
      <c r="AL240" s="225">
        <f>(SUMPRODUCT(AL$9:AL$229,Nutrients!$DC$8:$DC$228)+(IF($A$7=Nutrients!$B$8,Nutrients!$DC$8,Nutrients!$DC$9)*AL$7)+(((IF($A$8=Nutrients!$B$79,Nutrients!$DC$79,(IF($A$8=Nutrients!$B$77,Nutrients!$DC$77,Nutrients!$DC$78)))))*AL$8))/2000/AL$236*100</f>
        <v>55.89927501942654</v>
      </c>
      <c r="AM240" s="225">
        <f>(SUMPRODUCT(AM$9:AM$229,Nutrients!$DC$8:$DC$228)+(IF($A$7=Nutrients!$B$8,Nutrients!$DC$8,Nutrients!$DC$9)*AM$7)+(((IF($A$8=Nutrients!$B$79,Nutrients!$DC$79,(IF($A$8=Nutrients!$B$77,Nutrients!$DC$77,Nutrients!$DC$78)))))*AM$8))/2000/AM$236*100</f>
        <v>55.769166093819024</v>
      </c>
      <c r="AN240" s="225">
        <f>(SUMPRODUCT(AN$9:AN$229,Nutrients!$DC$8:$DC$228)+(IF($A$7=Nutrients!$B$8,Nutrients!$DC$8,Nutrients!$DC$9)*AN$7)+(((IF($A$8=Nutrients!$B$79,Nutrients!$DC$79,(IF($A$8=Nutrients!$B$77,Nutrients!$DC$77,Nutrients!$DC$78)))))*AN$8))/2000/AN$236*100</f>
        <v>58.341841180628883</v>
      </c>
      <c r="AO240" s="225">
        <f>(SUMPRODUCT(AO$9:AO$229,Nutrients!$DC$8:$DC$228)+(IF($A$7=Nutrients!$B$8,Nutrients!$DC$8,Nutrients!$DC$9)*AO$7)+(((IF($A$8=Nutrients!$B$79,Nutrients!$DC$79,(IF($A$8=Nutrients!$B$77,Nutrients!$DC$77,Nutrients!$DC$78)))))*AO$8))/2000/AO$236*100</f>
        <v>60.588942285537208</v>
      </c>
      <c r="AP240" s="225">
        <f>(SUMPRODUCT(AP$9:AP$229,Nutrients!$DC$8:$DC$228)+(IF($A$7=Nutrients!$B$8,Nutrients!$DC$8,Nutrients!$DC$9)*AP$7)+(((IF($A$8=Nutrients!$B$79,Nutrients!$DC$79,(IF($A$8=Nutrients!$B$77,Nutrients!$DC$77,Nutrients!$DC$78)))))*AP$8))/2000/AP$236*100</f>
        <v>58.001701198028378</v>
      </c>
      <c r="AQ240" s="9"/>
      <c r="AR240" s="225">
        <f>(SUMPRODUCT(AR$9:AR$229,Nutrients!$DC$8:$DC$228)+(IF($A$7=Nutrients!$B$8,Nutrients!$DC$8,Nutrients!$DC$9)*AR$7)+(((IF($A$8=Nutrients!$B$79,Nutrients!$DC$79,(IF($A$8=Nutrients!$B$77,Nutrients!$DC$77,Nutrients!$DC$78)))))*AR$8))/2000/AR$236*100</f>
        <v>55.889678388911733</v>
      </c>
      <c r="AS240" s="225">
        <f>(SUMPRODUCT(AS$9:AS$229,Nutrients!$DC$8:$DC$228)+(IF($A$7=Nutrients!$B$8,Nutrients!$DC$8,Nutrients!$DC$9)*AS$7)+(((IF($A$8=Nutrients!$B$79,Nutrients!$DC$79,(IF($A$8=Nutrients!$B$77,Nutrients!$DC$77,Nutrients!$DC$78)))))*AS$8))/2000/AS$236*100</f>
        <v>55.876348699113656</v>
      </c>
      <c r="AT240" s="225">
        <f>(SUMPRODUCT(AT$9:AT$229,Nutrients!$DC$8:$DC$228)+(IF($A$7=Nutrients!$B$8,Nutrients!$DC$8,Nutrients!$DC$9)*AT$7)+(((IF($A$8=Nutrients!$B$79,Nutrients!$DC$79,(IF($A$8=Nutrients!$B$77,Nutrients!$DC$77,Nutrients!$DC$78)))))*AT$8))/2000/AT$236*100</f>
        <v>56.642594723262732</v>
      </c>
      <c r="AU240" s="225">
        <f>(SUMPRODUCT(AU$9:AU$229,Nutrients!$DC$8:$DC$228)+(IF($A$7=Nutrients!$B$8,Nutrients!$DC$8,Nutrients!$DC$9)*AU$7)+(((IF($A$8=Nutrients!$B$79,Nutrients!$DC$79,(IF($A$8=Nutrients!$B$77,Nutrients!$DC$77,Nutrients!$DC$78)))))*AU$8))/2000/AU$236*100</f>
        <v>59.287972942365933</v>
      </c>
      <c r="AV240" s="225">
        <f>(SUMPRODUCT(AV$9:AV$229,Nutrients!$DC$8:$DC$228)+(IF($A$7=Nutrients!$B$8,Nutrients!$DC$8,Nutrients!$DC$9)*AV$7)+(((IF($A$8=Nutrients!$B$79,Nutrients!$DC$79,(IF($A$8=Nutrients!$B$77,Nutrients!$DC$77,Nutrients!$DC$78)))))*AV$8))/2000/AV$236*100</f>
        <v>61.620989707556539</v>
      </c>
      <c r="AW240" s="225">
        <f>(SUMPRODUCT(AW$9:AW$229,Nutrients!$DC$8:$DC$228)+(IF($A$7=Nutrients!$B$8,Nutrients!$DC$8,Nutrients!$DC$9)*AW$7)+(((IF($A$8=Nutrients!$B$79,Nutrients!$DC$79,(IF($A$8=Nutrients!$B$77,Nutrients!$DC$77,Nutrients!$DC$78)))))*AW$8))/2000/AW$236*100</f>
        <v>58.001701198028378</v>
      </c>
      <c r="AX240" s="13"/>
    </row>
    <row r="241" spans="1:56" x14ac:dyDescent="0.25">
      <c r="A241" s="38" t="s">
        <v>386</v>
      </c>
      <c r="B241" s="224">
        <f>(SUMPRODUCT(B$9:B$229,Nutrients!$DF$8:$DF$228)+(IF($A$7=Nutrients!$B$8,Nutrients!$DF$8,Nutrients!$DF$9)*B$7)+(((IF($A$8=Nutrients!$B$79,Nutrients!$DF$79,(IF($A$8=Nutrients!$B$77,Nutrients!$DF$77,Nutrients!$DF$78)))))*B$8))/2000/B$236*100</f>
        <v>61.999249045260719</v>
      </c>
      <c r="C241" s="224">
        <f>(SUMPRODUCT(C$9:C$229,Nutrients!$DF$8:$DF$228)+(IF($A$7=Nutrients!$B$8,Nutrients!$DF$8,Nutrients!$DF$9)*C$7)+(((IF($A$8=Nutrients!$B$79,Nutrients!$DF$79,(IF($A$8=Nutrients!$B$77,Nutrients!$DF$77,Nutrients!$DF$78)))))*C$8))/2000/C$236*100</f>
        <v>61.999768297038216</v>
      </c>
      <c r="D241" s="224">
        <f>(SUMPRODUCT(D$9:D$229,Nutrients!$DF$8:$DF$228)+(IF($A$7=Nutrients!$B$8,Nutrients!$DF$8,Nutrients!$DF$9)*D$7)+(((IF($A$8=Nutrients!$B$79,Nutrients!$DF$79,(IF($A$8=Nutrients!$B$77,Nutrients!$DF$77,Nutrients!$DF$78)))))*D$8))/2000/D$236*100</f>
        <v>62.000000000000014</v>
      </c>
      <c r="E241" s="224">
        <f>(SUMPRODUCT(E$9:E$229,Nutrients!$DF$8:$DF$228)+(IF($A$7=Nutrients!$B$8,Nutrients!$DF$8,Nutrients!$DF$9)*E$7)+(((IF($A$8=Nutrients!$B$79,Nutrients!$DF$79,(IF($A$8=Nutrients!$B$77,Nutrients!$DF$77,Nutrients!$DF$78)))))*E$8))/2000/E$236*100</f>
        <v>62.999881259958023</v>
      </c>
      <c r="F241" s="224">
        <f>(SUMPRODUCT(F$9:F$229,Nutrients!$DF$8:$DF$228)+(IF($A$7=Nutrients!$B$8,Nutrients!$DF$8,Nutrients!$DF$9)*F$7)+(((IF($A$8=Nutrients!$B$79,Nutrients!$DF$79,(IF($A$8=Nutrients!$B$77,Nutrients!$DF$77,Nutrients!$DF$78)))))*F$8))/2000/F$236*100</f>
        <v>63.000153115971145</v>
      </c>
      <c r="G241" s="224">
        <f>(SUMPRODUCT(G$9:G$229,Nutrients!$DF$8:$DF$228)+(IF($A$7=Nutrients!$B$8,Nutrients!$DF$8,Nutrients!$DF$9)*G$7)+(((IF($A$8=Nutrients!$B$79,Nutrients!$DF$79,(IF($A$8=Nutrients!$B$77,Nutrients!$DF$77,Nutrients!$DF$78)))))*G$8))/2000/G$236*100</f>
        <v>63.99976486226322</v>
      </c>
      <c r="H241" s="224"/>
      <c r="I241" s="225">
        <f>(SUMPRODUCT(I$9:I$229,Nutrients!$DF$8:$DF$228)+(IF($A$7=Nutrients!$B$8,Nutrients!$DF$8,Nutrients!$DF$9)*I$7)+(((IF($A$8=Nutrients!$B$79,Nutrients!$DF$79,(IF($A$8=Nutrients!$B$77,Nutrients!$DF$77,Nutrients!$DF$78)))))*I$8))/2000/I$236*100</f>
        <v>61.997206440877704</v>
      </c>
      <c r="J241" s="225">
        <f>(SUMPRODUCT(J$9:J$229,Nutrients!$DF$8:$DF$228)+(IF($A$7=Nutrients!$B$8,Nutrients!$DF$8,Nutrients!$DF$9)*J$7)+(((IF($A$8=Nutrients!$B$79,Nutrients!$DF$79,(IF($A$8=Nutrients!$B$77,Nutrients!$DF$77,Nutrients!$DF$78)))))*J$8))/2000/J$236*100</f>
        <v>61.99674526748543</v>
      </c>
      <c r="K241" s="225">
        <f>(SUMPRODUCT(K$9:K$229,Nutrients!$DF$8:$DF$228)+(IF($A$7=Nutrients!$B$8,Nutrients!$DF$8,Nutrients!$DF$9)*K$7)+(((IF($A$8=Nutrients!$B$79,Nutrients!$DF$79,(IF($A$8=Nutrients!$B$77,Nutrients!$DF$77,Nutrients!$DF$78)))))*K$8))/2000/K$236*100</f>
        <v>61.998035431249157</v>
      </c>
      <c r="L241" s="225">
        <f>(SUMPRODUCT(L$9:L$229,Nutrients!$DF$8:$DF$228)+(IF($A$7=Nutrients!$B$8,Nutrients!$DF$8,Nutrients!$DF$9)*L$7)+(((IF($A$8=Nutrients!$B$79,Nutrients!$DF$79,(IF($A$8=Nutrients!$B$77,Nutrients!$DF$77,Nutrients!$DF$78)))))*L$8))/2000/L$236*100</f>
        <v>63.000094972668407</v>
      </c>
      <c r="M241" s="225">
        <f>(SUMPRODUCT(M$9:M$229,Nutrients!$DF$8:$DF$228)+(IF($A$7=Nutrients!$B$8,Nutrients!$DF$8,Nutrients!$DF$9)*M$7)+(((IF($A$8=Nutrients!$B$79,Nutrients!$DF$79,(IF($A$8=Nutrients!$B$77,Nutrients!$DF$77,Nutrients!$DF$78)))))*M$8))/2000/M$236*100</f>
        <v>62.998489718129889</v>
      </c>
      <c r="N241" s="225">
        <f>(SUMPRODUCT(N$9:N$229,Nutrients!$DF$8:$DF$228)+(IF($A$7=Nutrients!$B$8,Nutrients!$DF$8,Nutrients!$DF$9)*N$7)+(((IF($A$8=Nutrients!$B$79,Nutrients!$DF$79,(IF($A$8=Nutrients!$B$77,Nutrients!$DF$77,Nutrients!$DF$78)))))*N$8))/2000/N$236*100</f>
        <v>63.99976486226322</v>
      </c>
      <c r="O241" s="472"/>
      <c r="P241" s="225">
        <f>(SUMPRODUCT(P$9:P$229,Nutrients!$DF$8:$DF$228)+(IF($A$7=Nutrients!$B$8,Nutrients!$DF$8,Nutrients!$DF$9)*P$7)+(((IF($A$8=Nutrients!$B$79,Nutrients!$DF$79,(IF($A$8=Nutrients!$B$77,Nutrients!$DF$77,Nutrients!$DF$78)))))*P$8))/2000/P$236*100</f>
        <v>61.995068995581072</v>
      </c>
      <c r="Q241" s="225">
        <f>(SUMPRODUCT(Q$9:Q$229,Nutrients!$DF$8:$DF$228)+(IF($A$7=Nutrients!$B$8,Nutrients!$DF$8,Nutrients!$DF$9)*Q$7)+(((IF($A$8=Nutrients!$B$79,Nutrients!$DF$79,(IF($A$8=Nutrients!$B$77,Nutrients!$DF$77,Nutrients!$DF$78)))))*Q$8))/2000/Q$236*100</f>
        <v>61.99412440748948</v>
      </c>
      <c r="R241" s="225">
        <f>(SUMPRODUCT(R$9:R$229,Nutrients!$DF$8:$DF$228)+(IF($A$7=Nutrients!$B$8,Nutrients!$DF$8,Nutrients!$DF$9)*R$7)+(((IF($A$8=Nutrients!$B$79,Nutrients!$DF$79,(IF($A$8=Nutrients!$B$77,Nutrients!$DF$77,Nutrients!$DF$78)))))*R$8))/2000/R$236*100</f>
        <v>61.994722845535918</v>
      </c>
      <c r="S241" s="225">
        <f>(SUMPRODUCT(S$9:S$229,Nutrients!$DF$8:$DF$228)+(IF($A$7=Nutrients!$B$8,Nutrients!$DF$8,Nutrients!$DF$9)*S$7)+(((IF($A$8=Nutrients!$B$79,Nutrients!$DF$79,(IF($A$8=Nutrients!$B$77,Nutrients!$DF$77,Nutrients!$DF$78)))))*S$8))/2000/S$236*100</f>
        <v>62.996531246284569</v>
      </c>
      <c r="T241" s="225">
        <f>(SUMPRODUCT(T$9:T$229,Nutrients!$DF$8:$DF$228)+(IF($A$7=Nutrients!$B$8,Nutrients!$DF$8,Nutrients!$DF$9)*T$7)+(((IF($A$8=Nutrients!$B$79,Nutrients!$DF$79,(IF($A$8=Nutrients!$B$77,Nutrients!$DF$77,Nutrients!$DF$78)))))*T$8))/2000/T$236*100</f>
        <v>62.994182167193976</v>
      </c>
      <c r="U241" s="225">
        <f>(SUMPRODUCT(U$9:U$229,Nutrients!$DF$8:$DF$228)+(IF($A$7=Nutrients!$B$8,Nutrients!$DF$8,Nutrients!$DF$9)*U$7)+(((IF($A$8=Nutrients!$B$79,Nutrients!$DF$79,(IF($A$8=Nutrients!$B$77,Nutrients!$DF$77,Nutrients!$DF$78)))))*U$8))/2000/U$236*100</f>
        <v>63.99976486226322</v>
      </c>
      <c r="V241" s="9"/>
      <c r="W241" s="225">
        <f>(SUMPRODUCT(W$9:W$229,Nutrients!$DF$8:$DF$228)+(IF($A$7=Nutrients!$B$8,Nutrients!$DF$8,Nutrients!$DF$9)*W$7)+(((IF($A$8=Nutrients!$B$79,Nutrients!$DF$79,(IF($A$8=Nutrients!$B$77,Nutrients!$DF$77,Nutrients!$DF$78)))))*W$8))/2000/W$236*100</f>
        <v>61.99278966586467</v>
      </c>
      <c r="X241" s="225">
        <f>(SUMPRODUCT(X$9:X$229,Nutrients!$DF$8:$DF$228)+(IF($A$7=Nutrients!$B$8,Nutrients!$DF$8,Nutrients!$DF$9)*X$7)+(((IF($A$8=Nutrients!$B$79,Nutrients!$DF$79,(IF($A$8=Nutrients!$B$77,Nutrients!$DF$77,Nutrients!$DF$78)))))*X$8))/2000/X$236*100</f>
        <v>61.991310943463077</v>
      </c>
      <c r="Y241" s="225">
        <f>(SUMPRODUCT(Y$9:Y$229,Nutrients!$DF$8:$DF$228)+(IF($A$7=Nutrients!$B$8,Nutrients!$DF$8,Nutrients!$DF$9)*Y$7)+(((IF($A$8=Nutrients!$B$79,Nutrients!$DF$79,(IF($A$8=Nutrients!$B$77,Nutrients!$DF$77,Nutrients!$DF$78)))))*Y$8))/2000/Y$236*100</f>
        <v>61.991930387816588</v>
      </c>
      <c r="Z241" s="225">
        <f>(SUMPRODUCT(Z$9:Z$229,Nutrients!$DF$8:$DF$228)+(IF($A$7=Nutrients!$B$8,Nutrients!$DF$8,Nutrients!$DF$9)*Z$7)+(((IF($A$8=Nutrients!$B$79,Nutrients!$DF$79,(IF($A$8=Nutrients!$B$77,Nutrients!$DF$77,Nutrients!$DF$78)))))*Z$8))/2000/Z$236*100</f>
        <v>62.993682374637338</v>
      </c>
      <c r="AA241" s="225">
        <f>(SUMPRODUCT(AA$9:AA$229,Nutrients!$DF$8:$DF$228)+(IF($A$7=Nutrients!$B$8,Nutrients!$DF$8,Nutrients!$DF$9)*AA$7)+(((IF($A$8=Nutrients!$B$79,Nutrients!$DF$79,(IF($A$8=Nutrients!$B$77,Nutrients!$DF$77,Nutrients!$DF$78)))))*AA$8))/2000/AA$236*100</f>
        <v>62.9893508629753</v>
      </c>
      <c r="AB241" s="225">
        <f>(SUMPRODUCT(AB$9:AB$229,Nutrients!$DF$8:$DF$228)+(IF($A$7=Nutrients!$B$8,Nutrients!$DF$8,Nutrients!$DF$9)*AB$7)+(((IF($A$8=Nutrients!$B$79,Nutrients!$DF$79,(IF($A$8=Nutrients!$B$77,Nutrients!$DF$77,Nutrients!$DF$78)))))*AB$8))/2000/AB$236*100</f>
        <v>63.99976486226322</v>
      </c>
      <c r="AC241" s="9"/>
      <c r="AD241" s="225">
        <f>(SUMPRODUCT(AD$9:AD$229,Nutrients!$DF$8:$DF$228)+(IF($A$7=Nutrients!$B$8,Nutrients!$DF$8,Nutrients!$DF$9)*AD$7)+(((IF($A$8=Nutrients!$B$79,Nutrients!$DF$79,(IF($A$8=Nutrients!$B$77,Nutrients!$DF$77,Nutrients!$DF$78)))))*AD$8))/2000/AD$236*100</f>
        <v>61.990336196242033</v>
      </c>
      <c r="AE241" s="225">
        <f>(SUMPRODUCT(AE$9:AE$229,Nutrients!$DF$8:$DF$228)+(IF($A$7=Nutrients!$B$8,Nutrients!$DF$8,Nutrients!$DF$9)*AE$7)+(((IF($A$8=Nutrients!$B$79,Nutrients!$DF$79,(IF($A$8=Nutrients!$B$77,Nutrients!$DF$77,Nutrients!$DF$78)))))*AE$8))/2000/AE$236*100</f>
        <v>61.988622873154121</v>
      </c>
      <c r="AF241" s="225">
        <f>(SUMPRODUCT(AF$9:AF$229,Nutrients!$DF$8:$DF$228)+(IF($A$7=Nutrients!$B$8,Nutrients!$DF$8,Nutrients!$DF$9)*AF$7)+(((IF($A$8=Nutrients!$B$79,Nutrients!$DF$79,(IF($A$8=Nutrients!$B$77,Nutrients!$DF$77,Nutrients!$DF$78)))))*AF$8))/2000/AF$236*100</f>
        <v>61.989706099774075</v>
      </c>
      <c r="AG241" s="225">
        <f>(SUMPRODUCT(AG$9:AG$229,Nutrients!$DF$8:$DF$228)+(IF($A$7=Nutrients!$B$8,Nutrients!$DF$8,Nutrients!$DF$9)*AG$7)+(((IF($A$8=Nutrients!$B$79,Nutrients!$DF$79,(IF($A$8=Nutrients!$B$77,Nutrients!$DF$77,Nutrients!$DF$78)))))*AG$8))/2000/AG$236*100</f>
        <v>62.98883535534975</v>
      </c>
      <c r="AH241" s="225">
        <f>(SUMPRODUCT(AH$9:AH$229,Nutrients!$DF$8:$DF$228)+(IF($A$7=Nutrients!$B$8,Nutrients!$DF$8,Nutrients!$DF$9)*AH$7)+(((IF($A$8=Nutrients!$B$79,Nutrients!$DF$79,(IF($A$8=Nutrients!$B$77,Nutrients!$DF$77,Nutrients!$DF$78)))))*AH$8))/2000/AH$236*100</f>
        <v>62.967234568302835</v>
      </c>
      <c r="AI241" s="225">
        <f>(SUMPRODUCT(AI$9:AI$229,Nutrients!$DF$8:$DF$228)+(IF($A$7=Nutrients!$B$8,Nutrients!$DF$8,Nutrients!$DF$9)*AI$7)+(((IF($A$8=Nutrients!$B$79,Nutrients!$DF$79,(IF($A$8=Nutrients!$B$77,Nutrients!$DF$77,Nutrients!$DF$78)))))*AI$8))/2000/AI$236*100</f>
        <v>63.99976486226322</v>
      </c>
      <c r="AJ241" s="9"/>
      <c r="AK241" s="225">
        <f>(SUMPRODUCT(AK$9:AK$229,Nutrients!$DF$8:$DF$228)+(IF($A$7=Nutrients!$B$8,Nutrients!$DF$8,Nutrients!$DF$9)*AK$7)+(((IF($A$8=Nutrients!$B$79,Nutrients!$DF$79,(IF($A$8=Nutrients!$B$77,Nutrients!$DF$77,Nutrients!$DF$78)))))*AK$8))/2000/AK$236*100</f>
        <v>61.986660929816352</v>
      </c>
      <c r="AL241" s="225">
        <f>(SUMPRODUCT(AL$9:AL$229,Nutrients!$DF$8:$DF$228)+(IF($A$7=Nutrients!$B$8,Nutrients!$DF$8,Nutrients!$DF$9)*AL$7)+(((IF($A$8=Nutrients!$B$79,Nutrients!$DF$79,(IF($A$8=Nutrients!$B$77,Nutrients!$DF$77,Nutrients!$DF$78)))))*AL$8))/2000/AL$236*100</f>
        <v>61.985955194667476</v>
      </c>
      <c r="AM241" s="225">
        <f>(SUMPRODUCT(AM$9:AM$229,Nutrients!$DF$8:$DF$228)+(IF($A$7=Nutrients!$B$8,Nutrients!$DF$8,Nutrients!$DF$9)*AM$7)+(((IF($A$8=Nutrients!$B$79,Nutrients!$DF$79,(IF($A$8=Nutrients!$B$77,Nutrients!$DF$77,Nutrients!$DF$78)))))*AM$8))/2000/AM$236*100</f>
        <v>61.985790818224707</v>
      </c>
      <c r="AN241" s="225">
        <f>(SUMPRODUCT(AN$9:AN$229,Nutrients!$DF$8:$DF$228)+(IF($A$7=Nutrients!$B$8,Nutrients!$DF$8,Nutrients!$DF$9)*AN$7)+(((IF($A$8=Nutrients!$B$79,Nutrients!$DF$79,(IF($A$8=Nutrients!$B$77,Nutrients!$DF$77,Nutrients!$DF$78)))))*AN$8))/2000/AN$236*100</f>
        <v>62.970368632635335</v>
      </c>
      <c r="AO241" s="225">
        <f>(SUMPRODUCT(AO$9:AO$229,Nutrients!$DF$8:$DF$228)+(IF($A$7=Nutrients!$B$8,Nutrients!$DF$8,Nutrients!$DF$9)*AO$7)+(((IF($A$8=Nutrients!$B$79,Nutrients!$DF$79,(IF($A$8=Nutrients!$B$77,Nutrients!$DF$77,Nutrients!$DF$78)))))*AO$8))/2000/AO$236*100</f>
        <v>62.940755560057681</v>
      </c>
      <c r="AP241" s="225">
        <f>(SUMPRODUCT(AP$9:AP$229,Nutrients!$DF$8:$DF$228)+(IF($A$7=Nutrients!$B$8,Nutrients!$DF$8,Nutrients!$DF$9)*AP$7)+(((IF($A$8=Nutrients!$B$79,Nutrients!$DF$79,(IF($A$8=Nutrients!$B$77,Nutrients!$DF$77,Nutrients!$DF$78)))))*AP$8))/2000/AP$236*100</f>
        <v>63.99976486226322</v>
      </c>
      <c r="AQ241" s="9"/>
      <c r="AR241" s="225">
        <f>(SUMPRODUCT(AR$9:AR$229,Nutrients!$DF$8:$DF$228)+(IF($A$7=Nutrients!$B$8,Nutrients!$DF$8,Nutrients!$DF$9)*AR$7)+(((IF($A$8=Nutrients!$B$79,Nutrients!$DF$79,(IF($A$8=Nutrients!$B$77,Nutrients!$DF$77,Nutrients!$DF$78)))))*AR$8))/2000/AR$236*100</f>
        <v>61.984822101675306</v>
      </c>
      <c r="AS241" s="225">
        <f>(SUMPRODUCT(AS$9:AS$229,Nutrients!$DF$8:$DF$228)+(IF($A$7=Nutrients!$B$8,Nutrients!$DF$8,Nutrients!$DF$9)*AS$7)+(((IF($A$8=Nutrients!$B$79,Nutrients!$DF$79,(IF($A$8=Nutrients!$B$77,Nutrients!$DF$77,Nutrients!$DF$78)))))*AS$8))/2000/AS$236*100</f>
        <v>61.983276279420863</v>
      </c>
      <c r="AT241" s="225">
        <f>(SUMPRODUCT(AT$9:AT$229,Nutrients!$DF$8:$DF$228)+(IF($A$7=Nutrients!$B$8,Nutrients!$DF$8,Nutrients!$DF$9)*AT$7)+(((IF($A$8=Nutrients!$B$79,Nutrients!$DF$79,(IF($A$8=Nutrients!$B$77,Nutrients!$DF$77,Nutrients!$DF$78)))))*AT$8))/2000/AT$236*100</f>
        <v>61.97870307053752</v>
      </c>
      <c r="AU241" s="225">
        <f>(SUMPRODUCT(AU$9:AU$229,Nutrients!$DF$8:$DF$228)+(IF($A$7=Nutrients!$B$8,Nutrients!$DF$8,Nutrients!$DF$9)*AU$7)+(((IF($A$8=Nutrients!$B$79,Nutrients!$DF$79,(IF($A$8=Nutrients!$B$77,Nutrients!$DF$77,Nutrients!$DF$78)))))*AU$8))/2000/AU$236*100</f>
        <v>62.946165552990472</v>
      </c>
      <c r="AV241" s="225">
        <f>(SUMPRODUCT(AV$9:AV$229,Nutrients!$DF$8:$DF$228)+(IF($A$7=Nutrients!$B$8,Nutrients!$DF$8,Nutrients!$DF$9)*AV$7)+(((IF($A$8=Nutrients!$B$79,Nutrients!$DF$79,(IF($A$8=Nutrients!$B$77,Nutrients!$DF$77,Nutrients!$DF$78)))))*AV$8))/2000/AV$236*100</f>
        <v>62.913962870462846</v>
      </c>
      <c r="AW241" s="225">
        <f>(SUMPRODUCT(AW$9:AW$229,Nutrients!$DF$8:$DF$228)+(IF($A$7=Nutrients!$B$8,Nutrients!$DF$8,Nutrients!$DF$9)*AW$7)+(((IF($A$8=Nutrients!$B$79,Nutrients!$DF$79,(IF($A$8=Nutrients!$B$77,Nutrients!$DF$77,Nutrients!$DF$78)))))*AW$8))/2000/AW$236*100</f>
        <v>63.99976486226322</v>
      </c>
      <c r="AX241" s="13"/>
    </row>
    <row r="242" spans="1:56" x14ac:dyDescent="0.25">
      <c r="A242" s="38" t="s">
        <v>387</v>
      </c>
      <c r="B242" s="224">
        <f>(SUMPRODUCT(B$9:B$229,Nutrients!$DG$8:$DG$228)+(IF($A$7=Nutrients!$B$8,Nutrients!$DG$8,Nutrients!$DG$9)*B$7)+(((IF($A$8=Nutrients!$B$79,Nutrients!$DG$79,(IF($A$8=Nutrients!$B$77,Nutrients!$DG$77,Nutrients!$DG$78)))))*B$8))/2000/B$236*100</f>
        <v>18.999999999999996</v>
      </c>
      <c r="C242" s="224">
        <f>(SUMPRODUCT(C$9:C$229,Nutrients!$DG$8:$DG$228)+(IF($A$7=Nutrients!$B$8,Nutrients!$DG$8,Nutrients!$DG$9)*C$7)+(((IF($A$8=Nutrients!$B$79,Nutrients!$DG$79,(IF($A$8=Nutrients!$B$77,Nutrients!$DG$77,Nutrients!$DG$78)))))*C$8))/2000/C$236*100</f>
        <v>18.999999999999993</v>
      </c>
      <c r="D242" s="224">
        <f>(SUMPRODUCT(D$9:D$229,Nutrients!$DG$8:$DG$228)+(IF($A$7=Nutrients!$B$8,Nutrients!$DG$8,Nutrients!$DG$9)*D$7)+(((IF($A$8=Nutrients!$B$79,Nutrients!$DG$79,(IF($A$8=Nutrients!$B$77,Nutrients!$DG$77,Nutrients!$DG$78)))))*D$8))/2000/D$236*100</f>
        <v>19.034949922351728</v>
      </c>
      <c r="E242" s="224">
        <f>(SUMPRODUCT(E$9:E$229,Nutrients!$DG$8:$DG$228)+(IF($A$7=Nutrients!$B$8,Nutrients!$DG$8,Nutrients!$DG$9)*E$7)+(((IF($A$8=Nutrients!$B$79,Nutrients!$DG$79,(IF($A$8=Nutrients!$B$77,Nutrients!$DG$77,Nutrients!$DG$78)))))*E$8))/2000/E$236*100</f>
        <v>19</v>
      </c>
      <c r="F242" s="224">
        <f>(SUMPRODUCT(F$9:F$229,Nutrients!$DG$8:$DG$228)+(IF($A$7=Nutrients!$B$8,Nutrients!$DG$8,Nutrients!$DG$9)*F$7)+(((IF($A$8=Nutrients!$B$79,Nutrients!$DG$79,(IF($A$8=Nutrients!$B$77,Nutrients!$DG$77,Nutrients!$DG$78)))))*F$8))/2000/F$236*100</f>
        <v>19.000000000000043</v>
      </c>
      <c r="G242" s="224">
        <f>(SUMPRODUCT(G$9:G$229,Nutrients!$DG$8:$DG$228)+(IF($A$7=Nutrients!$B$8,Nutrients!$DG$8,Nutrients!$DG$9)*G$7)+(((IF($A$8=Nutrients!$B$79,Nutrients!$DG$79,(IF($A$8=Nutrients!$B$77,Nutrients!$DG$77,Nutrients!$DG$78)))))*G$8))/2000/G$236*100</f>
        <v>18.999963234918017</v>
      </c>
      <c r="H242" s="224"/>
      <c r="I242" s="225">
        <f>(SUMPRODUCT(I$9:I$229,Nutrients!$DG$8:$DG$228)+(IF($A$7=Nutrients!$B$8,Nutrients!$DG$8,Nutrients!$DG$9)*I$7)+(((IF($A$8=Nutrients!$B$79,Nutrients!$DG$79,(IF($A$8=Nutrients!$B$77,Nutrients!$DG$77,Nutrients!$DG$78)))))*I$8))/2000/I$236*100</f>
        <v>18.993171825041873</v>
      </c>
      <c r="J242" s="225">
        <f>(SUMPRODUCT(J$9:J$229,Nutrients!$DG$8:$DG$228)+(IF($A$7=Nutrients!$B$8,Nutrients!$DG$8,Nutrients!$DG$9)*J$7)+(((IF($A$8=Nutrients!$B$79,Nutrients!$DG$79,(IF($A$8=Nutrients!$B$77,Nutrients!$DG$77,Nutrients!$DG$78)))))*J$8))/2000/J$236*100</f>
        <v>18.992237601614914</v>
      </c>
      <c r="K242" s="225">
        <f>(SUMPRODUCT(K$9:K$229,Nutrients!$DG$8:$DG$228)+(IF($A$7=Nutrients!$B$8,Nutrients!$DG$8,Nutrients!$DG$9)*K$7)+(((IF($A$8=Nutrients!$B$79,Nutrients!$DG$79,(IF($A$8=Nutrients!$B$77,Nutrients!$DG$77,Nutrients!$DG$78)))))*K$8))/2000/K$236*100</f>
        <v>19.026248607115352</v>
      </c>
      <c r="L242" s="225">
        <f>(SUMPRODUCT(L$9:L$229,Nutrients!$DG$8:$DG$228)+(IF($A$7=Nutrients!$B$8,Nutrients!$DG$8,Nutrients!$DG$9)*L$7)+(((IF($A$8=Nutrients!$B$79,Nutrients!$DG$79,(IF($A$8=Nutrients!$B$77,Nutrients!$DG$77,Nutrients!$DG$78)))))*L$8))/2000/L$236*100</f>
        <v>18.990370963224979</v>
      </c>
      <c r="M242" s="225">
        <f>(SUMPRODUCT(M$9:M$229,Nutrients!$DG$8:$DG$228)+(IF($A$7=Nutrients!$B$8,Nutrients!$DG$8,Nutrients!$DG$9)*M$7)+(((IF($A$8=Nutrients!$B$79,Nutrients!$DG$79,(IF($A$8=Nutrients!$B$77,Nutrients!$DG$77,Nutrients!$DG$78)))))*M$8))/2000/M$236*100</f>
        <v>18.989383057992594</v>
      </c>
      <c r="N242" s="225">
        <f>(SUMPRODUCT(N$9:N$229,Nutrients!$DG$8:$DG$228)+(IF($A$7=Nutrients!$B$8,Nutrients!$DG$8,Nutrients!$DG$9)*N$7)+(((IF($A$8=Nutrients!$B$79,Nutrients!$DG$79,(IF($A$8=Nutrients!$B$77,Nutrients!$DG$77,Nutrients!$DG$78)))))*N$8))/2000/N$236*100</f>
        <v>18.999963234918017</v>
      </c>
      <c r="O242" s="472"/>
      <c r="P242" s="225">
        <f>(SUMPRODUCT(P$9:P$229,Nutrients!$DG$8:$DG$228)+(IF($A$7=Nutrients!$B$8,Nutrients!$DG$8,Nutrients!$DG$9)*P$7)+(((IF($A$8=Nutrients!$B$79,Nutrients!$DG$79,(IF($A$8=Nutrients!$B$77,Nutrients!$DG$77,Nutrients!$DG$78)))))*P$8))/2000/P$236*100</f>
        <v>19.027649815152849</v>
      </c>
      <c r="Q242" s="225">
        <f>(SUMPRODUCT(Q$9:Q$229,Nutrients!$DG$8:$DG$228)+(IF($A$7=Nutrients!$B$8,Nutrients!$DG$8,Nutrients!$DG$9)*Q$7)+(((IF($A$8=Nutrients!$B$79,Nutrients!$DG$79,(IF($A$8=Nutrients!$B$77,Nutrients!$DG$77,Nutrients!$DG$78)))))*Q$8))/2000/Q$236*100</f>
        <v>19.031221084062206</v>
      </c>
      <c r="R242" s="225">
        <f>(SUMPRODUCT(R$9:R$229,Nutrients!$DG$8:$DG$228)+(IF($A$7=Nutrients!$B$8,Nutrients!$DG$8,Nutrients!$DG$9)*R$7)+(((IF($A$8=Nutrients!$B$79,Nutrients!$DG$79,(IF($A$8=Nutrients!$B$77,Nutrients!$DG$77,Nutrients!$DG$78)))))*R$8))/2000/R$236*100</f>
        <v>19.070335150710036</v>
      </c>
      <c r="S242" s="225">
        <f>(SUMPRODUCT(S$9:S$229,Nutrients!$DG$8:$DG$228)+(IF($A$7=Nutrients!$B$8,Nutrients!$DG$8,Nutrients!$DG$9)*S$7)+(((IF($A$8=Nutrients!$B$79,Nutrients!$DG$79,(IF($A$8=Nutrients!$B$77,Nutrients!$DG$77,Nutrients!$DG$78)))))*S$8))/2000/S$236*100</f>
        <v>19.039848707860809</v>
      </c>
      <c r="T242" s="225">
        <f>(SUMPRODUCT(T$9:T$229,Nutrients!$DG$8:$DG$228)+(IF($A$7=Nutrients!$B$8,Nutrients!$DG$8,Nutrients!$DG$9)*T$7)+(((IF($A$8=Nutrients!$B$79,Nutrients!$DG$79,(IF($A$8=Nutrients!$B$77,Nutrients!$DG$77,Nutrients!$DG$78)))))*T$8))/2000/T$236*100</f>
        <v>19.043371125566264</v>
      </c>
      <c r="U242" s="225">
        <f>(SUMPRODUCT(U$9:U$229,Nutrients!$DG$8:$DG$228)+(IF($A$7=Nutrients!$B$8,Nutrients!$DG$8,Nutrients!$DG$9)*U$7)+(((IF($A$8=Nutrients!$B$79,Nutrients!$DG$79,(IF($A$8=Nutrients!$B$77,Nutrients!$DG$77,Nutrients!$DG$78)))))*U$8))/2000/U$236*100</f>
        <v>18.999963234918017</v>
      </c>
      <c r="V242" s="9"/>
      <c r="W242" s="225">
        <f>(SUMPRODUCT(W$9:W$229,Nutrients!$DG$8:$DG$228)+(IF($A$7=Nutrients!$B$8,Nutrients!$DG$8,Nutrients!$DG$9)*W$7)+(((IF($A$8=Nutrients!$B$79,Nutrients!$DG$79,(IF($A$8=Nutrients!$B$77,Nutrients!$DG$77,Nutrients!$DG$78)))))*W$8))/2000/W$236*100</f>
        <v>19.062119904714191</v>
      </c>
      <c r="X242" s="225">
        <f>(SUMPRODUCT(X$9:X$229,Nutrients!$DG$8:$DG$228)+(IF($A$7=Nutrients!$B$8,Nutrients!$DG$8,Nutrients!$DG$9)*X$7)+(((IF($A$8=Nutrients!$B$79,Nutrients!$DG$79,(IF($A$8=Nutrients!$B$77,Nutrients!$DG$77,Nutrients!$DG$78)))))*X$8))/2000/X$236*100</f>
        <v>19.070193841739965</v>
      </c>
      <c r="Y242" s="225">
        <f>(SUMPRODUCT(Y$9:Y$229,Nutrients!$DG$8:$DG$228)+(IF($A$7=Nutrients!$B$8,Nutrients!$DG$8,Nutrients!$DG$9)*Y$7)+(((IF($A$8=Nutrients!$B$79,Nutrients!$DG$79,(IF($A$8=Nutrients!$B$77,Nutrients!$DG$77,Nutrients!$DG$78)))))*Y$8))/2000/Y$236*100</f>
        <v>19.114450656589934</v>
      </c>
      <c r="Z242" s="225">
        <f>(SUMPRODUCT(Z$9:Z$229,Nutrients!$DG$8:$DG$228)+(IF($A$7=Nutrients!$B$8,Nutrients!$DG$8,Nutrients!$DG$9)*Z$7)+(((IF($A$8=Nutrients!$B$79,Nutrients!$DG$79,(IF($A$8=Nutrients!$B$77,Nutrients!$DG$77,Nutrients!$DG$78)))))*Z$8))/2000/Z$236*100</f>
        <v>19.089366257750381</v>
      </c>
      <c r="AA242" s="225">
        <f>(SUMPRODUCT(AA$9:AA$229,Nutrients!$DG$8:$DG$228)+(IF($A$7=Nutrients!$B$8,Nutrients!$DG$8,Nutrients!$DG$9)*AA$7)+(((IF($A$8=Nutrients!$B$79,Nutrients!$DG$79,(IF($A$8=Nutrients!$B$77,Nutrients!$DG$77,Nutrients!$DG$78)))))*AA$8))/2000/AA$236*100</f>
        <v>19.097330028987773</v>
      </c>
      <c r="AB242" s="225">
        <f>(SUMPRODUCT(AB$9:AB$229,Nutrients!$DG$8:$DG$228)+(IF($A$7=Nutrients!$B$8,Nutrients!$DG$8,Nutrients!$DG$9)*AB$7)+(((IF($A$8=Nutrients!$B$79,Nutrients!$DG$79,(IF($A$8=Nutrients!$B$77,Nutrients!$DG$77,Nutrients!$DG$78)))))*AB$8))/2000/AB$236*100</f>
        <v>18.999963234918017</v>
      </c>
      <c r="AC242" s="9"/>
      <c r="AD242" s="225">
        <f>(SUMPRODUCT(AD$9:AD$229,Nutrients!$DG$8:$DG$228)+(IF($A$7=Nutrients!$B$8,Nutrients!$DG$8,Nutrients!$DG$9)*AD$7)+(((IF($A$8=Nutrients!$B$79,Nutrients!$DG$79,(IF($A$8=Nutrients!$B$77,Nutrients!$DG$77,Nutrients!$DG$78)))))*AD$8))/2000/AD$236*100</f>
        <v>19.096580297643765</v>
      </c>
      <c r="AE242" s="225">
        <f>(SUMPRODUCT(AE$9:AE$229,Nutrients!$DG$8:$DG$228)+(IF($A$7=Nutrients!$B$8,Nutrients!$DG$8,Nutrients!$DG$9)*AE$7)+(((IF($A$8=Nutrients!$B$79,Nutrients!$DG$79,(IF($A$8=Nutrients!$B$77,Nutrients!$DG$77,Nutrients!$DG$78)))))*AE$8))/2000/AE$236*100</f>
        <v>19.109173581715648</v>
      </c>
      <c r="AF242" s="225">
        <f>(SUMPRODUCT(AF$9:AF$229,Nutrients!$DG$8:$DG$228)+(IF($A$7=Nutrients!$B$8,Nutrients!$DG$8,Nutrients!$DG$9)*AF$7)+(((IF($A$8=Nutrients!$B$79,Nutrients!$DG$79,(IF($A$8=Nutrients!$B$77,Nutrients!$DG$77,Nutrients!$DG$78)))))*AF$8))/2000/AF$236*100</f>
        <v>19.093349216619409</v>
      </c>
      <c r="AG242" s="225">
        <f>(SUMPRODUCT(AG$9:AG$229,Nutrients!$DG$8:$DG$228)+(IF($A$7=Nutrients!$B$8,Nutrients!$DG$8,Nutrients!$DG$9)*AG$7)+(((IF($A$8=Nutrients!$B$79,Nutrients!$DG$79,(IF($A$8=Nutrients!$B$77,Nutrients!$DG$77,Nutrients!$DG$78)))))*AG$8))/2000/AG$236*100</f>
        <v>19.138772544792058</v>
      </c>
      <c r="AH242" s="225">
        <f>(SUMPRODUCT(AH$9:AH$229,Nutrients!$DG$8:$DG$228)+(IF($A$7=Nutrients!$B$8,Nutrients!$DG$8,Nutrients!$DG$9)*AH$7)+(((IF($A$8=Nutrients!$B$79,Nutrients!$DG$79,(IF($A$8=Nutrients!$B$77,Nutrients!$DG$77,Nutrients!$DG$78)))))*AH$8))/2000/AH$236*100</f>
        <v>19.095908187686035</v>
      </c>
      <c r="AI242" s="225">
        <f>(SUMPRODUCT(AI$9:AI$229,Nutrients!$DG$8:$DG$228)+(IF($A$7=Nutrients!$B$8,Nutrients!$DG$8,Nutrients!$DG$9)*AI$7)+(((IF($A$8=Nutrients!$B$79,Nutrients!$DG$79,(IF($A$8=Nutrients!$B$77,Nutrients!$DG$77,Nutrients!$DG$78)))))*AI$8))/2000/AI$236*100</f>
        <v>18.999963234918017</v>
      </c>
      <c r="AJ242" s="9"/>
      <c r="AK242" s="225">
        <f>(SUMPRODUCT(AK$9:AK$229,Nutrients!$DG$8:$DG$228)+(IF($A$7=Nutrients!$B$8,Nutrients!$DG$8,Nutrients!$DG$9)*AK$7)+(((IF($A$8=Nutrients!$B$79,Nutrients!$DG$79,(IF($A$8=Nutrients!$B$77,Nutrients!$DG$77,Nutrients!$DG$78)))))*AK$8))/2000/AK$236*100</f>
        <v>19.130972657266341</v>
      </c>
      <c r="AL242" s="225">
        <f>(SUMPRODUCT(AL$9:AL$229,Nutrients!$DG$8:$DG$228)+(IF($A$7=Nutrients!$B$8,Nutrients!$DG$8,Nutrients!$DG$9)*AL$7)+(((IF($A$8=Nutrients!$B$79,Nutrients!$DG$79,(IF($A$8=Nutrients!$B$77,Nutrients!$DG$77,Nutrients!$DG$78)))))*AL$8))/2000/AL$236*100</f>
        <v>19.148154457169095</v>
      </c>
      <c r="AM242" s="225">
        <f>(SUMPRODUCT(AM$9:AM$229,Nutrients!$DG$8:$DG$228)+(IF($A$7=Nutrients!$B$8,Nutrients!$DG$8,Nutrients!$DG$9)*AM$7)+(((IF($A$8=Nutrients!$B$79,Nutrients!$DG$79,(IF($A$8=Nutrients!$B$77,Nutrients!$DG$77,Nutrients!$DG$78)))))*AM$8))/2000/AM$236*100</f>
        <v>19.137402200304017</v>
      </c>
      <c r="AN242" s="225">
        <f>(SUMPRODUCT(AN$9:AN$229,Nutrients!$DG$8:$DG$228)+(IF($A$7=Nutrients!$B$8,Nutrients!$DG$8,Nutrients!$DG$9)*AN$7)+(((IF($A$8=Nutrients!$B$79,Nutrients!$DG$79,(IF($A$8=Nutrients!$B$77,Nutrients!$DG$77,Nutrients!$DG$78)))))*AN$8))/2000/AN$236*100</f>
        <v>19.117938801808453</v>
      </c>
      <c r="AO242" s="225">
        <f>(SUMPRODUCT(AO$9:AO$229,Nutrients!$DG$8:$DG$228)+(IF($A$7=Nutrients!$B$8,Nutrients!$DG$8,Nutrients!$DG$9)*AO$7)+(((IF($A$8=Nutrients!$B$79,Nutrients!$DG$79,(IF($A$8=Nutrients!$B$77,Nutrients!$DG$77,Nutrients!$DG$78)))))*AO$8))/2000/AO$236*100</f>
        <v>18.99838846318892</v>
      </c>
      <c r="AP242" s="225">
        <f>(SUMPRODUCT(AP$9:AP$229,Nutrients!$DG$8:$DG$228)+(IF($A$7=Nutrients!$B$8,Nutrients!$DG$8,Nutrients!$DG$9)*AP$7)+(((IF($A$8=Nutrients!$B$79,Nutrients!$DG$79,(IF($A$8=Nutrients!$B$77,Nutrients!$DG$77,Nutrients!$DG$78)))))*AP$8))/2000/AP$236*100</f>
        <v>18.999963234918017</v>
      </c>
      <c r="AQ242" s="9"/>
      <c r="AR242" s="225">
        <f>(SUMPRODUCT(AR$9:AR$229,Nutrients!$DG$8:$DG$228)+(IF($A$7=Nutrients!$B$8,Nutrients!$DG$8,Nutrients!$DG$9)*AR$7)+(((IF($A$8=Nutrients!$B$79,Nutrients!$DG$79,(IF($A$8=Nutrients!$B$77,Nutrients!$DG$77,Nutrients!$DG$78)))))*AR$8))/2000/AR$236*100</f>
        <v>18.998939159421898</v>
      </c>
      <c r="AS242" s="225">
        <f>(SUMPRODUCT(AS$9:AS$229,Nutrients!$DG$8:$DG$228)+(IF($A$7=Nutrients!$B$8,Nutrients!$DG$8,Nutrients!$DG$9)*AS$7)+(((IF($A$8=Nutrients!$B$79,Nutrients!$DG$79,(IF($A$8=Nutrients!$B$77,Nutrients!$DG$77,Nutrients!$DG$78)))))*AS$8))/2000/AS$236*100</f>
        <v>18.998797299999527</v>
      </c>
      <c r="AT242" s="225">
        <f>(SUMPRODUCT(AT$9:AT$229,Nutrients!$DG$8:$DG$228)+(IF($A$7=Nutrients!$B$8,Nutrients!$DG$8,Nutrients!$DG$9)*AT$7)+(((IF($A$8=Nutrients!$B$79,Nutrients!$DG$79,(IF($A$8=Nutrients!$B$77,Nutrients!$DG$77,Nutrients!$DG$78)))))*AT$8))/2000/AT$236*100</f>
        <v>18.998599119055552</v>
      </c>
      <c r="AU242" s="225">
        <f>(SUMPRODUCT(AU$9:AU$229,Nutrients!$DG$8:$DG$228)+(IF($A$7=Nutrients!$B$8,Nutrients!$DG$8,Nutrients!$DG$9)*AU$7)+(((IF($A$8=Nutrients!$B$79,Nutrients!$DG$79,(IF($A$8=Nutrients!$B$77,Nutrients!$DG$77,Nutrients!$DG$78)))))*AU$8))/2000/AU$236*100</f>
        <v>18.998224591125833</v>
      </c>
      <c r="AV242" s="225">
        <f>(SUMPRODUCT(AV$9:AV$229,Nutrients!$DG$8:$DG$228)+(IF($A$7=Nutrients!$B$8,Nutrients!$DG$8,Nutrients!$DG$9)*AV$7)+(((IF($A$8=Nutrients!$B$79,Nutrients!$DG$79,(IF($A$8=Nutrients!$B$77,Nutrients!$DG$77,Nutrients!$DG$78)))))*AV$8))/2000/AV$236*100</f>
        <v>19.146462233224966</v>
      </c>
      <c r="AW242" s="225">
        <f>(SUMPRODUCT(AW$9:AW$229,Nutrients!$DG$8:$DG$228)+(IF($A$7=Nutrients!$B$8,Nutrients!$DG$8,Nutrients!$DG$9)*AW$7)+(((IF($A$8=Nutrients!$B$79,Nutrients!$DG$79,(IF($A$8=Nutrients!$B$77,Nutrients!$DG$77,Nutrients!$DG$78)))))*AW$8))/2000/AW$236*100</f>
        <v>18.999963234918017</v>
      </c>
      <c r="AX242" s="13"/>
    </row>
    <row r="243" spans="1:56" x14ac:dyDescent="0.25">
      <c r="A243" s="38" t="s">
        <v>388</v>
      </c>
      <c r="B243" s="224">
        <f>(SUMPRODUCT(B$9:B$229,Nutrients!$DH$8:$DH$228)+(IF($A$7=Nutrients!$B$8,Nutrients!$DH$8,Nutrients!$DH$9)*B$7)+(((IF($A$8=Nutrients!$B$79,Nutrients!$DH$79,(IF($A$8=Nutrients!$B$77,Nutrients!$DH$77,Nutrients!$DH$78)))))*B$8))/2000/B$236*100</f>
        <v>67.993447185961713</v>
      </c>
      <c r="C243" s="224">
        <f>(SUMPRODUCT(C$9:C$229,Nutrients!$DH$8:$DH$228)+(IF($A$7=Nutrients!$B$8,Nutrients!$DH$8,Nutrients!$DH$9)*C$7)+(((IF($A$8=Nutrients!$B$79,Nutrients!$DH$79,(IF($A$8=Nutrients!$B$77,Nutrients!$DH$77,Nutrients!$DH$78)))))*C$8))/2000/C$236*100</f>
        <v>68.398027542407448</v>
      </c>
      <c r="D243" s="224">
        <f>(SUMPRODUCT(D$9:D$229,Nutrients!$DH$8:$DH$228)+(IF($A$7=Nutrients!$B$8,Nutrients!$DH$8,Nutrients!$DH$9)*D$7)+(((IF($A$8=Nutrients!$B$79,Nutrients!$DH$79,(IF($A$8=Nutrients!$B$77,Nutrients!$DH$77,Nutrients!$DH$78)))))*D$8))/2000/D$236*100</f>
        <v>69.100266999000937</v>
      </c>
      <c r="E243" s="224">
        <f>(SUMPRODUCT(E$9:E$229,Nutrients!$DH$8:$DH$228)+(IF($A$7=Nutrients!$B$8,Nutrients!$DH$8,Nutrients!$DH$9)*E$7)+(((IF($A$8=Nutrients!$B$79,Nutrients!$DH$79,(IF($A$8=Nutrients!$B$77,Nutrients!$DH$77,Nutrients!$DH$78)))))*E$8))/2000/E$236*100</f>
        <v>69.699001665042786</v>
      </c>
      <c r="F243" s="224">
        <f>(SUMPRODUCT(F$9:F$229,Nutrients!$DH$8:$DH$228)+(IF($A$7=Nutrients!$B$8,Nutrients!$DH$8,Nutrients!$DH$9)*F$7)+(((IF($A$8=Nutrients!$B$79,Nutrients!$DH$79,(IF($A$8=Nutrients!$B$77,Nutrients!$DH$77,Nutrients!$DH$78)))))*F$8))/2000/F$236*100</f>
        <v>70.40130835469482</v>
      </c>
      <c r="G243" s="224">
        <f>(SUMPRODUCT(G$9:G$229,Nutrients!$DH$8:$DH$228)+(IF($A$7=Nutrients!$B$8,Nutrients!$DH$8,Nutrients!$DH$9)*G$7)+(((IF($A$8=Nutrients!$B$79,Nutrients!$DH$79,(IF($A$8=Nutrients!$B$77,Nutrients!$DH$77,Nutrients!$DH$78)))))*G$8))/2000/G$236*100</f>
        <v>71.102510214887189</v>
      </c>
      <c r="H243" s="224"/>
      <c r="I243" s="225">
        <f>(SUMPRODUCT(I$9:I$229,Nutrients!$DH$8:$DH$228)+(IF($A$7=Nutrients!$B$8,Nutrients!$DH$8,Nutrients!$DH$9)*I$7)+(((IF($A$8=Nutrients!$B$79,Nutrients!$DH$79,(IF($A$8=Nutrients!$B$77,Nutrients!$DH$77,Nutrients!$DH$78)))))*I$8))/2000/I$236*100</f>
        <v>68.99664679497559</v>
      </c>
      <c r="J243" s="225">
        <f>(SUMPRODUCT(J$9:J$229,Nutrients!$DH$8:$DH$228)+(IF($A$7=Nutrients!$B$8,Nutrients!$DH$8,Nutrients!$DH$9)*J$7)+(((IF($A$8=Nutrients!$B$79,Nutrients!$DH$79,(IF($A$8=Nutrients!$B$77,Nutrients!$DH$77,Nutrients!$DH$78)))))*J$8))/2000/J$236*100</f>
        <v>69.531456841090204</v>
      </c>
      <c r="K243" s="225">
        <f>(SUMPRODUCT(K$9:K$229,Nutrients!$DH$8:$DH$228)+(IF($A$7=Nutrients!$B$8,Nutrients!$DH$8,Nutrients!$DH$9)*K$7)+(((IF($A$8=Nutrients!$B$79,Nutrients!$DH$79,(IF($A$8=Nutrients!$B$77,Nutrients!$DH$77,Nutrients!$DH$78)))))*K$8))/2000/K$236*100</f>
        <v>70.385069095769481</v>
      </c>
      <c r="L243" s="225">
        <f>(SUMPRODUCT(L$9:L$229,Nutrients!$DH$8:$DH$228)+(IF($A$7=Nutrients!$B$8,Nutrients!$DH$8,Nutrients!$DH$9)*L$7)+(((IF($A$8=Nutrients!$B$79,Nutrients!$DH$79,(IF($A$8=Nutrients!$B$77,Nutrients!$DH$77,Nutrients!$DH$78)))))*L$8))/2000/L$236*100</f>
        <v>71.144724169438206</v>
      </c>
      <c r="M243" s="225">
        <f>(SUMPRODUCT(M$9:M$229,Nutrients!$DH$8:$DH$228)+(IF($A$7=Nutrients!$B$8,Nutrients!$DH$8,Nutrients!$DH$9)*M$7)+(((IF($A$8=Nutrients!$B$79,Nutrients!$DH$79,(IF($A$8=Nutrients!$B$77,Nutrients!$DH$77,Nutrients!$DH$78)))))*M$8))/2000/M$236*100</f>
        <v>71.976319383478256</v>
      </c>
      <c r="N243" s="225">
        <f>(SUMPRODUCT(N$9:N$229,Nutrients!$DH$8:$DH$228)+(IF($A$7=Nutrients!$B$8,Nutrients!$DH$8,Nutrients!$DH$9)*N$7)+(((IF($A$8=Nutrients!$B$79,Nutrients!$DH$79,(IF($A$8=Nutrients!$B$77,Nutrients!$DH$77,Nutrients!$DH$78)))))*N$8))/2000/N$236*100</f>
        <v>71.102510214887189</v>
      </c>
      <c r="O243" s="472"/>
      <c r="P243" s="225">
        <f>(SUMPRODUCT(P$9:P$229,Nutrients!$DH$8:$DH$228)+(IF($A$7=Nutrients!$B$8,Nutrients!$DH$8,Nutrients!$DH$9)*P$7)+(((IF($A$8=Nutrients!$B$79,Nutrients!$DH$79,(IF($A$8=Nutrients!$B$77,Nutrients!$DH$77,Nutrients!$DH$78)))))*P$8))/2000/P$236*100</f>
        <v>69.999687369182922</v>
      </c>
      <c r="Q243" s="225">
        <f>(SUMPRODUCT(Q$9:Q$229,Nutrients!$DH$8:$DH$228)+(IF($A$7=Nutrients!$B$8,Nutrients!$DH$8,Nutrients!$DH$9)*Q$7)+(((IF($A$8=Nutrients!$B$79,Nutrients!$DH$79,(IF($A$8=Nutrients!$B$77,Nutrients!$DH$77,Nutrients!$DH$78)))))*Q$8))/2000/Q$236*100</f>
        <v>70.665560521273761</v>
      </c>
      <c r="R243" s="225">
        <f>(SUMPRODUCT(R$9:R$229,Nutrients!$DH$8:$DH$228)+(IF($A$7=Nutrients!$B$8,Nutrients!$DH$8,Nutrients!$DH$9)*R$7)+(((IF($A$8=Nutrients!$B$79,Nutrients!$DH$79,(IF($A$8=Nutrients!$B$77,Nutrients!$DH$77,Nutrients!$DH$78)))))*R$8))/2000/R$236*100</f>
        <v>71.667610758631966</v>
      </c>
      <c r="S243" s="225">
        <f>(SUMPRODUCT(S$9:S$229,Nutrients!$DH$8:$DH$228)+(IF($A$7=Nutrients!$B$8,Nutrients!$DH$8,Nutrients!$DH$9)*S$7)+(((IF($A$8=Nutrients!$B$79,Nutrients!$DH$79,(IF($A$8=Nutrients!$B$77,Nutrients!$DH$77,Nutrients!$DH$78)))))*S$8))/2000/S$236*100</f>
        <v>72.58411244240726</v>
      </c>
      <c r="T243" s="225">
        <f>(SUMPRODUCT(T$9:T$229,Nutrients!$DH$8:$DH$228)+(IF($A$7=Nutrients!$B$8,Nutrients!$DH$8,Nutrients!$DH$9)*T$7)+(((IF($A$8=Nutrients!$B$79,Nutrients!$DH$79,(IF($A$8=Nutrients!$B$77,Nutrients!$DH$77,Nutrients!$DH$78)))))*T$8))/2000/T$236*100</f>
        <v>73.546896541268609</v>
      </c>
      <c r="U243" s="225">
        <f>(SUMPRODUCT(U$9:U$229,Nutrients!$DH$8:$DH$228)+(IF($A$7=Nutrients!$B$8,Nutrients!$DH$8,Nutrients!$DH$9)*U$7)+(((IF($A$8=Nutrients!$B$79,Nutrients!$DH$79,(IF($A$8=Nutrients!$B$77,Nutrients!$DH$77,Nutrients!$DH$78)))))*U$8))/2000/U$236*100</f>
        <v>71.102510214887189</v>
      </c>
      <c r="V243" s="9"/>
      <c r="W243" s="225">
        <f>(SUMPRODUCT(W$9:W$229,Nutrients!$DH$8:$DH$228)+(IF($A$7=Nutrients!$B$8,Nutrients!$DH$8,Nutrients!$DH$9)*W$7)+(((IF($A$8=Nutrients!$B$79,Nutrients!$DH$79,(IF($A$8=Nutrients!$B$77,Nutrients!$DH$77,Nutrients!$DH$78)))))*W$8))/2000/W$236*100</f>
        <v>71.00249002327341</v>
      </c>
      <c r="X243" s="225">
        <f>(SUMPRODUCT(X$9:X$229,Nutrients!$DH$8:$DH$228)+(IF($A$7=Nutrients!$B$8,Nutrients!$DH$8,Nutrients!$DH$9)*X$7)+(((IF($A$8=Nutrients!$B$79,Nutrients!$DH$79,(IF($A$8=Nutrients!$B$77,Nutrients!$DH$77,Nutrients!$DH$78)))))*X$8))/2000/X$236*100</f>
        <v>71.799341231722508</v>
      </c>
      <c r="Y243" s="225">
        <f>(SUMPRODUCT(Y$9:Y$229,Nutrients!$DH$8:$DH$228)+(IF($A$7=Nutrients!$B$8,Nutrients!$DH$8,Nutrients!$DH$9)*Y$7)+(((IF($A$8=Nutrients!$B$79,Nutrients!$DH$79,(IF($A$8=Nutrients!$B$77,Nutrients!$DH$77,Nutrients!$DH$78)))))*Y$8))/2000/Y$236*100</f>
        <v>72.951024602621061</v>
      </c>
      <c r="Z243" s="225">
        <f>(SUMPRODUCT(Z$9:Z$229,Nutrients!$DH$8:$DH$228)+(IF($A$7=Nutrients!$B$8,Nutrients!$DH$8,Nutrients!$DH$9)*Z$7)+(((IF($A$8=Nutrients!$B$79,Nutrients!$DH$79,(IF($A$8=Nutrients!$B$77,Nutrients!$DH$77,Nutrients!$DH$78)))))*Z$8))/2000/Z$236*100</f>
        <v>74.024699425726041</v>
      </c>
      <c r="AA243" s="225">
        <f>(SUMPRODUCT(AA$9:AA$229,Nutrients!$DH$8:$DH$228)+(IF($A$7=Nutrients!$B$8,Nutrients!$DH$8,Nutrients!$DH$9)*AA$7)+(((IF($A$8=Nutrients!$B$79,Nutrients!$DH$79,(IF($A$8=Nutrients!$B$77,Nutrients!$DH$77,Nutrients!$DH$78)))))*AA$8))/2000/AA$236*100</f>
        <v>75.116595438835375</v>
      </c>
      <c r="AB243" s="225">
        <f>(SUMPRODUCT(AB$9:AB$229,Nutrients!$DH$8:$DH$228)+(IF($A$7=Nutrients!$B$8,Nutrients!$DH$8,Nutrients!$DH$9)*AB$7)+(((IF($A$8=Nutrients!$B$79,Nutrients!$DH$79,(IF($A$8=Nutrients!$B$77,Nutrients!$DH$77,Nutrients!$DH$78)))))*AB$8))/2000/AB$236*100</f>
        <v>71.102510214887189</v>
      </c>
      <c r="AC243" s="9"/>
      <c r="AD243" s="225">
        <f>(SUMPRODUCT(AD$9:AD$229,Nutrients!$DH$8:$DH$228)+(IF($A$7=Nutrients!$B$8,Nutrients!$DH$8,Nutrients!$DH$9)*AD$7)+(((IF($A$8=Nutrients!$B$79,Nutrients!$DH$79,(IF($A$8=Nutrients!$B$77,Nutrients!$DH$77,Nutrients!$DH$78)))))*AD$8))/2000/AD$236*100</f>
        <v>72.005000669355596</v>
      </c>
      <c r="AE243" s="225">
        <f>(SUMPRODUCT(AE$9:AE$229,Nutrients!$DH$8:$DH$228)+(IF($A$7=Nutrients!$B$8,Nutrients!$DH$8,Nutrients!$DH$9)*AE$7)+(((IF($A$8=Nutrients!$B$79,Nutrients!$DH$79,(IF($A$8=Nutrients!$B$77,Nutrients!$DH$77,Nutrients!$DH$78)))))*AE$8))/2000/AE$236*100</f>
        <v>72.93333220971121</v>
      </c>
      <c r="AF243" s="225">
        <f>(SUMPRODUCT(AF$9:AF$229,Nutrients!$DH$8:$DH$228)+(IF($A$7=Nutrients!$B$8,Nutrients!$DH$8,Nutrients!$DH$9)*AF$7)+(((IF($A$8=Nutrients!$B$79,Nutrients!$DH$79,(IF($A$8=Nutrients!$B$77,Nutrients!$DH$77,Nutrients!$DH$78)))))*AF$8))/2000/AF$236*100</f>
        <v>74.235391186848361</v>
      </c>
      <c r="AG243" s="225">
        <f>(SUMPRODUCT(AG$9:AG$229,Nutrients!$DH$8:$DH$228)+(IF($A$7=Nutrients!$B$8,Nutrients!$DH$8,Nutrients!$DH$9)*AG$7)+(((IF($A$8=Nutrients!$B$79,Nutrients!$DH$79,(IF($A$8=Nutrients!$B$77,Nutrients!$DH$77,Nutrients!$DH$78)))))*AG$8))/2000/AG$236*100</f>
        <v>75.461935797886809</v>
      </c>
      <c r="AH243" s="225">
        <f>(SUMPRODUCT(AH$9:AH$229,Nutrients!$DH$8:$DH$228)+(IF($A$7=Nutrients!$B$8,Nutrients!$DH$8,Nutrients!$DH$9)*AH$7)+(((IF($A$8=Nutrients!$B$79,Nutrients!$DH$79,(IF($A$8=Nutrients!$B$77,Nutrients!$DH$77,Nutrients!$DH$78)))))*AH$8))/2000/AH$236*100</f>
        <v>76.657309850615462</v>
      </c>
      <c r="AI243" s="225">
        <f>(SUMPRODUCT(AI$9:AI$229,Nutrients!$DH$8:$DH$228)+(IF($A$7=Nutrients!$B$8,Nutrients!$DH$8,Nutrients!$DH$9)*AI$7)+(((IF($A$8=Nutrients!$B$79,Nutrients!$DH$79,(IF($A$8=Nutrients!$B$77,Nutrients!$DH$77,Nutrients!$DH$78)))))*AI$8))/2000/AI$236*100</f>
        <v>71.102510214887189</v>
      </c>
      <c r="AJ243" s="9"/>
      <c r="AK243" s="225">
        <f>(SUMPRODUCT(AK$9:AK$229,Nutrients!$DH$8:$DH$228)+(IF($A$7=Nutrients!$B$8,Nutrients!$DH$8,Nutrients!$DH$9)*AK$7)+(((IF($A$8=Nutrients!$B$79,Nutrients!$DH$79,(IF($A$8=Nutrients!$B$77,Nutrients!$DH$77,Nutrients!$DH$78)))))*AK$8))/2000/AK$236*100</f>
        <v>73.005462534897902</v>
      </c>
      <c r="AL243" s="225">
        <f>(SUMPRODUCT(AL$9:AL$229,Nutrients!$DH$8:$DH$228)+(IF($A$7=Nutrients!$B$8,Nutrients!$DH$8,Nutrients!$DH$9)*AL$7)+(((IF($A$8=Nutrients!$B$79,Nutrients!$DH$79,(IF($A$8=Nutrients!$B$77,Nutrients!$DH$77,Nutrients!$DH$78)))))*AL$8))/2000/AL$236*100</f>
        <v>74.067357381903577</v>
      </c>
      <c r="AM243" s="225">
        <f>(SUMPRODUCT(AM$9:AM$229,Nutrients!$DH$8:$DH$228)+(IF($A$7=Nutrients!$B$8,Nutrients!$DH$8,Nutrients!$DH$9)*AM$7)+(((IF($A$8=Nutrients!$B$79,Nutrients!$DH$79,(IF($A$8=Nutrients!$B$77,Nutrients!$DH$77,Nutrients!$DH$78)))))*AM$8))/2000/AM$236*100</f>
        <v>75.516922213983719</v>
      </c>
      <c r="AN243" s="225">
        <f>(SUMPRODUCT(AN$9:AN$229,Nutrients!$DH$8:$DH$228)+(IF($A$7=Nutrients!$B$8,Nutrients!$DH$8,Nutrients!$DH$9)*AN$7)+(((IF($A$8=Nutrients!$B$79,Nutrients!$DH$79,(IF($A$8=Nutrients!$B$77,Nutrients!$DH$77,Nutrients!$DH$78)))))*AN$8))/2000/AN$236*100</f>
        <v>76.876333852522947</v>
      </c>
      <c r="AO243" s="225">
        <f>(SUMPRODUCT(AO$9:AO$229,Nutrients!$DH$8:$DH$228)+(IF($A$7=Nutrients!$B$8,Nutrients!$DH$8,Nutrients!$DH$9)*AO$7)+(((IF($A$8=Nutrients!$B$79,Nutrients!$DH$79,(IF($A$8=Nutrients!$B$77,Nutrients!$DH$77,Nutrients!$DH$78)))))*AO$8))/2000/AO$236*100</f>
        <v>78.190708608396434</v>
      </c>
      <c r="AP243" s="225">
        <f>(SUMPRODUCT(AP$9:AP$229,Nutrients!$DH$8:$DH$228)+(IF($A$7=Nutrients!$B$8,Nutrients!$DH$8,Nutrients!$DH$9)*AP$7)+(((IF($A$8=Nutrients!$B$79,Nutrients!$DH$79,(IF($A$8=Nutrients!$B$77,Nutrients!$DH$77,Nutrients!$DH$78)))))*AP$8))/2000/AP$236*100</f>
        <v>71.102510214887189</v>
      </c>
      <c r="AQ243" s="9"/>
      <c r="AR243" s="225">
        <f>(SUMPRODUCT(AR$9:AR$229,Nutrients!$DH$8:$DH$228)+(IF($A$7=Nutrients!$B$8,Nutrients!$DH$8,Nutrients!$DH$9)*AR$7)+(((IF($A$8=Nutrients!$B$79,Nutrients!$DH$79,(IF($A$8=Nutrients!$B$77,Nutrients!$DH$77,Nutrients!$DH$78)))))*AR$8))/2000/AR$236*100</f>
        <v>74.009003847866126</v>
      </c>
      <c r="AS243" s="225">
        <f>(SUMPRODUCT(AS$9:AS$229,Nutrients!$DH$8:$DH$228)+(IF($A$7=Nutrients!$B$8,Nutrients!$DH$8,Nutrients!$DH$9)*AS$7)+(((IF($A$8=Nutrients!$B$79,Nutrients!$DH$79,(IF($A$8=Nutrients!$B$77,Nutrients!$DH$77,Nutrients!$DH$78)))))*AS$8))/2000/AS$236*100</f>
        <v>75.201363711637796</v>
      </c>
      <c r="AT243" s="225">
        <f>(SUMPRODUCT(AT$9:AT$229,Nutrients!$DH$8:$DH$228)+(IF($A$7=Nutrients!$B$8,Nutrients!$DH$8,Nutrients!$DH$9)*AT$7)+(((IF($A$8=Nutrients!$B$79,Nutrients!$DH$79,(IF($A$8=Nutrients!$B$77,Nutrients!$DH$77,Nutrients!$DH$78)))))*AT$8))/2000/AT$236*100</f>
        <v>76.79313346382871</v>
      </c>
      <c r="AU243" s="225">
        <f>(SUMPRODUCT(AU$9:AU$229,Nutrients!$DH$8:$DH$228)+(IF($A$7=Nutrients!$B$8,Nutrients!$DH$8,Nutrients!$DH$9)*AU$7)+(((IF($A$8=Nutrients!$B$79,Nutrients!$DH$79,(IF($A$8=Nutrients!$B$77,Nutrients!$DH$77,Nutrients!$DH$78)))))*AU$8))/2000/AU$236*100</f>
        <v>78.281112847411123</v>
      </c>
      <c r="AV243" s="225">
        <f>(SUMPRODUCT(AV$9:AV$229,Nutrients!$DH$8:$DH$228)+(IF($A$7=Nutrients!$B$8,Nutrients!$DH$8,Nutrients!$DH$9)*AV$7)+(((IF($A$8=Nutrients!$B$79,Nutrients!$DH$79,(IF($A$8=Nutrients!$B$77,Nutrients!$DH$77,Nutrients!$DH$78)))))*AV$8))/2000/AV$236*100</f>
        <v>79.723581366892262</v>
      </c>
      <c r="AW243" s="225">
        <f>(SUMPRODUCT(AW$9:AW$229,Nutrients!$DH$8:$DH$228)+(IF($A$7=Nutrients!$B$8,Nutrients!$DH$8,Nutrients!$DH$9)*AW$7)+(((IF($A$8=Nutrients!$B$79,Nutrients!$DH$79,(IF($A$8=Nutrients!$B$77,Nutrients!$DH$77,Nutrients!$DH$78)))))*AW$8))/2000/AW$236*100</f>
        <v>71.102510214887189</v>
      </c>
      <c r="AX243" s="13"/>
    </row>
    <row r="244" spans="1:56" x14ac:dyDescent="0.25">
      <c r="A244" s="38" t="s">
        <v>394</v>
      </c>
      <c r="B244" s="49">
        <f>(SUMPRODUCT(B$9:B$229,Nutrients!$CX$8:$CX$228)+(IF($A$7=Nutrients!$B$8,Nutrients!$CX$8,Nutrients!$CX$9)*B$7)+(((IF($A$8=Nutrients!$B$79,Nutrients!$CX$79,(IF($A$8=Nutrients!$B$77,Nutrients!$CX$77,Nutrients!$CX$78)))))*B$8))/2000/B$236*100</f>
        <v>41.164178486168282</v>
      </c>
      <c r="C244" s="49">
        <f>(SUMPRODUCT(C$9:C$229,Nutrients!$CX$8:$CX$228)+(IF($A$7=Nutrients!$B$8,Nutrients!$CX$8,Nutrients!$CX$9)*C$7)+(((IF($A$8=Nutrients!$B$79,Nutrients!$CX$79,(IF($A$8=Nutrients!$B$77,Nutrients!$CX$77,Nutrients!$CX$78)))))*C$8))/2000/C$236*100</f>
        <v>41.586004986324909</v>
      </c>
      <c r="D244" s="49">
        <f>(SUMPRODUCT(D$9:D$229,Nutrients!$CX$8:$CX$228)+(IF($A$7=Nutrients!$B$8,Nutrients!$CX$8,Nutrients!$CX$9)*D$7)+(((IF($A$8=Nutrients!$B$79,Nutrients!$CX$79,(IF($A$8=Nutrients!$B$77,Nutrients!$CX$77,Nutrients!$CX$78)))))*D$8))/2000/D$236*100</f>
        <v>42.207205920724832</v>
      </c>
      <c r="E244" s="49">
        <f>(SUMPRODUCT(E$9:E$229,Nutrients!$CX$8:$CX$228)+(IF($A$7=Nutrients!$B$8,Nutrients!$CX$8,Nutrients!$CX$9)*E$7)+(((IF($A$8=Nutrients!$B$79,Nutrients!$CX$79,(IF($A$8=Nutrients!$B$77,Nutrients!$CX$77,Nutrients!$CX$78)))))*E$8))/2000/E$236*100</f>
        <v>42.778460155865318</v>
      </c>
      <c r="F244" s="49">
        <f>(SUMPRODUCT(F$9:F$229,Nutrients!$CX$8:$CX$228)+(IF($A$7=Nutrients!$B$8,Nutrients!$CX$8,Nutrients!$CX$9)*F$7)+(((IF($A$8=Nutrients!$B$79,Nutrients!$CX$79,(IF($A$8=Nutrients!$B$77,Nutrients!$CX$77,Nutrients!$CX$78)))))*F$8))/2000/F$236*100</f>
        <v>43.376570604149812</v>
      </c>
      <c r="G244" s="49">
        <f>(SUMPRODUCT(G$9:G$229,Nutrients!$CX$8:$CX$228)+(IF($A$7=Nutrients!$B$8,Nutrients!$CX$8,Nutrients!$CX$9)*G$7)+(((IF($A$8=Nutrients!$B$79,Nutrients!$CX$79,(IF($A$8=Nutrients!$B$77,Nutrients!$CX$77,Nutrients!$CX$78)))))*G$8))/2000/G$236*100</f>
        <v>43.904809548771325</v>
      </c>
      <c r="H244" s="224"/>
      <c r="I244" s="451">
        <f>(SUMPRODUCT(I$9:I$229,Nutrients!$CX$8:$CX$228)+(IF($A$7=Nutrients!$B$8,Nutrients!$CX$8,Nutrients!$CX$9)*I$7)+(((IF($A$8=Nutrients!$B$79,Nutrients!$CX$79,(IF($A$8=Nutrients!$B$77,Nutrients!$CX$77,Nutrients!$CX$78)))))*I$8))/2000/I$236*100</f>
        <v>41.485269296890401</v>
      </c>
      <c r="J244" s="451">
        <f>(SUMPRODUCT(J$9:J$229,Nutrients!$CX$8:$CX$228)+(IF($A$7=Nutrients!$B$8,Nutrients!$CX$8,Nutrients!$CX$9)*J$7)+(((IF($A$8=Nutrients!$B$79,Nutrients!$CX$79,(IF($A$8=Nutrients!$B$77,Nutrients!$CX$77,Nutrients!$CX$78)))))*J$8))/2000/J$236*100</f>
        <v>41.94835417078032</v>
      </c>
      <c r="K244" s="451">
        <f>(SUMPRODUCT(K$9:K$229,Nutrients!$CX$8:$CX$228)+(IF($A$7=Nutrients!$B$8,Nutrients!$CX$8,Nutrients!$CX$9)*K$7)+(((IF($A$8=Nutrients!$B$79,Nutrients!$CX$79,(IF($A$8=Nutrients!$B$77,Nutrients!$CX$77,Nutrients!$CX$78)))))*K$8))/2000/K$236*100</f>
        <v>42.618814292605087</v>
      </c>
      <c r="L244" s="451">
        <f>(SUMPRODUCT(L$9:L$229,Nutrients!$CX$8:$CX$228)+(IF($A$7=Nutrients!$B$8,Nutrients!$CX$8,Nutrients!$CX$9)*L$7)+(((IF($A$8=Nutrients!$B$79,Nutrients!$CX$79,(IF($A$8=Nutrients!$B$77,Nutrients!$CX$77,Nutrients!$CX$78)))))*L$8))/2000/L$236*100</f>
        <v>43.243058632815298</v>
      </c>
      <c r="M244" s="451">
        <f>(SUMPRODUCT(M$9:M$229,Nutrients!$CX$8:$CX$228)+(IF($A$7=Nutrients!$B$8,Nutrients!$CX$8,Nutrients!$CX$9)*M$7)+(((IF($A$8=Nutrients!$B$79,Nutrients!$CX$79,(IF($A$8=Nutrients!$B$77,Nutrients!$CX$77,Nutrients!$CX$78)))))*M$8))/2000/M$236*100</f>
        <v>43.881593771041416</v>
      </c>
      <c r="N244" s="451">
        <f>(SUMPRODUCT(N$9:N$229,Nutrients!$CX$8:$CX$228)+(IF($A$7=Nutrients!$B$8,Nutrients!$CX$8,Nutrients!$CX$9)*N$7)+(((IF($A$8=Nutrients!$B$79,Nutrients!$CX$79,(IF($A$8=Nutrients!$B$77,Nutrients!$CX$77,Nutrients!$CX$78)))))*N$8))/2000/N$236*100</f>
        <v>43.904809548771325</v>
      </c>
      <c r="O244" s="472"/>
      <c r="P244" s="451">
        <f>(SUMPRODUCT(P$9:P$229,Nutrients!$CX$8:$CX$228)+(IF($A$7=Nutrients!$B$8,Nutrients!$CX$8,Nutrients!$CX$9)*P$7)+(((IF($A$8=Nutrients!$B$79,Nutrients!$CX$79,(IF($A$8=Nutrients!$B$77,Nutrients!$CX$77,Nutrients!$CX$78)))))*P$8))/2000/P$236*100</f>
        <v>41.80625281794692</v>
      </c>
      <c r="Q244" s="451">
        <f>(SUMPRODUCT(Q$9:Q$229,Nutrients!$CX$8:$CX$228)+(IF($A$7=Nutrients!$B$8,Nutrients!$CX$8,Nutrients!$CX$9)*Q$7)+(((IF($A$8=Nutrients!$B$79,Nutrients!$CX$79,(IF($A$8=Nutrients!$B$77,Nutrients!$CX$77,Nutrients!$CX$78)))))*Q$8))/2000/Q$236*100</f>
        <v>42.311158313287315</v>
      </c>
      <c r="R244" s="451">
        <f>(SUMPRODUCT(R$9:R$229,Nutrients!$CX$8:$CX$228)+(IF($A$7=Nutrients!$B$8,Nutrients!$CX$8,Nutrients!$CX$9)*R$7)+(((IF($A$8=Nutrients!$B$79,Nutrients!$CX$79,(IF($A$8=Nutrients!$B$77,Nutrients!$CX$77,Nutrients!$CX$78)))))*R$8))/2000/R$236*100</f>
        <v>43.028897707759164</v>
      </c>
      <c r="S244" s="451">
        <f>(SUMPRODUCT(S$9:S$229,Nutrients!$CX$8:$CX$228)+(IF($A$7=Nutrients!$B$8,Nutrients!$CX$8,Nutrients!$CX$9)*S$7)+(((IF($A$8=Nutrients!$B$79,Nutrients!$CX$79,(IF($A$8=Nutrients!$B$77,Nutrients!$CX$77,Nutrients!$CX$78)))))*S$8))/2000/S$236*100</f>
        <v>43.703383846657339</v>
      </c>
      <c r="T244" s="451">
        <f>(SUMPRODUCT(T$9:T$229,Nutrients!$CX$8:$CX$228)+(IF($A$7=Nutrients!$B$8,Nutrients!$CX$8,Nutrients!$CX$9)*T$7)+(((IF($A$8=Nutrients!$B$79,Nutrients!$CX$79,(IF($A$8=Nutrients!$B$77,Nutrients!$CX$77,Nutrients!$CX$78)))))*T$8))/2000/T$236*100</f>
        <v>44.383625715152384</v>
      </c>
      <c r="U244" s="451">
        <f>(SUMPRODUCT(U$9:U$229,Nutrients!$CX$8:$CX$228)+(IF($A$7=Nutrients!$B$8,Nutrients!$CX$8,Nutrients!$CX$9)*U$7)+(((IF($A$8=Nutrients!$B$79,Nutrients!$CX$79,(IF($A$8=Nutrients!$B$77,Nutrients!$CX$77,Nutrients!$CX$78)))))*U$8))/2000/U$236*100</f>
        <v>43.904809548771325</v>
      </c>
      <c r="V244" s="9"/>
      <c r="W244" s="451">
        <f>(SUMPRODUCT(W$9:W$229,Nutrients!$CX$8:$CX$228)+(IF($A$7=Nutrients!$B$8,Nutrients!$CX$8,Nutrients!$CX$9)*W$7)+(((IF($A$8=Nutrients!$B$79,Nutrients!$CX$79,(IF($A$8=Nutrients!$B$77,Nutrients!$CX$77,Nutrients!$CX$78)))))*W$8))/2000/W$236*100</f>
        <v>42.127075830933961</v>
      </c>
      <c r="X244" s="451">
        <f>(SUMPRODUCT(X$9:X$229,Nutrients!$CX$8:$CX$228)+(IF($A$7=Nutrients!$B$8,Nutrients!$CX$8,Nutrients!$CX$9)*X$7)+(((IF($A$8=Nutrients!$B$79,Nutrients!$CX$79,(IF($A$8=Nutrients!$B$77,Nutrients!$CX$77,Nutrients!$CX$78)))))*X$8))/2000/X$236*100</f>
        <v>42.673744570693529</v>
      </c>
      <c r="Y244" s="451">
        <f>(SUMPRODUCT(Y$9:Y$229,Nutrients!$CX$8:$CX$228)+(IF($A$7=Nutrients!$B$8,Nutrients!$CX$8,Nutrients!$CX$9)*Y$7)+(((IF($A$8=Nutrients!$B$79,Nutrients!$CX$79,(IF($A$8=Nutrients!$B$77,Nutrients!$CX$77,Nutrients!$CX$78)))))*Y$8))/2000/Y$236*100</f>
        <v>43.439569522543906</v>
      </c>
      <c r="Z244" s="451">
        <f>(SUMPRODUCT(Z$9:Z$229,Nutrients!$CX$8:$CX$228)+(IF($A$7=Nutrients!$B$8,Nutrients!$CX$8,Nutrients!$CX$9)*Z$7)+(((IF($A$8=Nutrients!$B$79,Nutrients!$CX$79,(IF($A$8=Nutrients!$B$77,Nutrients!$CX$77,Nutrients!$CX$78)))))*Z$8))/2000/Z$236*100</f>
        <v>44.164517746568727</v>
      </c>
      <c r="AA244" s="451">
        <f>(SUMPRODUCT(AA$9:AA$229,Nutrients!$CX$8:$CX$228)+(IF($A$7=Nutrients!$B$8,Nutrients!$CX$8,Nutrients!$CX$9)*AA$7)+(((IF($A$8=Nutrients!$B$79,Nutrients!$CX$79,(IF($A$8=Nutrients!$B$77,Nutrients!$CX$77,Nutrients!$CX$78)))))*AA$8))/2000/AA$236*100</f>
        <v>44.885065158490953</v>
      </c>
      <c r="AB244" s="451">
        <f>(SUMPRODUCT(AB$9:AB$229,Nutrients!$CX$8:$CX$228)+(IF($A$7=Nutrients!$B$8,Nutrients!$CX$8,Nutrients!$CX$9)*AB$7)+(((IF($A$8=Nutrients!$B$79,Nutrients!$CX$79,(IF($A$8=Nutrients!$B$77,Nutrients!$CX$77,Nutrients!$CX$78)))))*AB$8))/2000/AB$236*100</f>
        <v>43.904809548771325</v>
      </c>
      <c r="AC244" s="9"/>
      <c r="AD244" s="451">
        <f>(SUMPRODUCT(AD$9:AD$229,Nutrients!$CX$8:$CX$228)+(IF($A$7=Nutrients!$B$8,Nutrients!$CX$8,Nutrients!$CX$9)*AD$7)+(((IF($A$8=Nutrients!$B$79,Nutrients!$CX$79,(IF($A$8=Nutrients!$B$77,Nutrients!$CX$77,Nutrients!$CX$78)))))*AD$8))/2000/AD$236*100</f>
        <v>42.447701846532482</v>
      </c>
      <c r="AE244" s="451">
        <f>(SUMPRODUCT(AE$9:AE$229,Nutrients!$CX$8:$CX$228)+(IF($A$7=Nutrients!$B$8,Nutrients!$CX$8,Nutrients!$CX$9)*AE$7)+(((IF($A$8=Nutrients!$B$79,Nutrients!$CX$79,(IF($A$8=Nutrients!$B$77,Nutrients!$CX$77,Nutrients!$CX$78)))))*AE$8))/2000/AE$236*100</f>
        <v>43.03647268090883</v>
      </c>
      <c r="AF244" s="451">
        <f>(SUMPRODUCT(AF$9:AF$229,Nutrients!$CX$8:$CX$228)+(IF($A$7=Nutrients!$B$8,Nutrients!$CX$8,Nutrients!$CX$9)*AF$7)+(((IF($A$8=Nutrients!$B$79,Nutrients!$CX$79,(IF($A$8=Nutrients!$B$77,Nutrients!$CX$77,Nutrients!$CX$78)))))*AF$8))/2000/AF$236*100</f>
        <v>43.85088408455988</v>
      </c>
      <c r="AG244" s="451">
        <f>(SUMPRODUCT(AG$9:AG$229,Nutrients!$CX$8:$CX$228)+(IF($A$7=Nutrients!$B$8,Nutrients!$CX$8,Nutrients!$CX$9)*AG$7)+(((IF($A$8=Nutrients!$B$79,Nutrients!$CX$79,(IF($A$8=Nutrients!$B$77,Nutrients!$CX$77,Nutrients!$CX$78)))))*AG$8))/2000/AG$236*100</f>
        <v>44.623391223377936</v>
      </c>
      <c r="AH244" s="451">
        <f>(SUMPRODUCT(AH$9:AH$229,Nutrients!$CX$8:$CX$228)+(IF($A$7=Nutrients!$B$8,Nutrients!$CX$8,Nutrients!$CX$9)*AH$7)+(((IF($A$8=Nutrients!$B$79,Nutrients!$CX$79,(IF($A$8=Nutrients!$B$77,Nutrients!$CX$77,Nutrients!$CX$78)))))*AH$8))/2000/AH$236*100</f>
        <v>45.366950795617122</v>
      </c>
      <c r="AI244" s="451">
        <f>(SUMPRODUCT(AI$9:AI$229,Nutrients!$CX$8:$CX$228)+(IF($A$7=Nutrients!$B$8,Nutrients!$CX$8,Nutrients!$CX$9)*AI$7)+(((IF($A$8=Nutrients!$B$79,Nutrients!$CX$79,(IF($A$8=Nutrients!$B$77,Nutrients!$CX$77,Nutrients!$CX$78)))))*AI$8))/2000/AI$236*100</f>
        <v>43.904809548771325</v>
      </c>
      <c r="AJ244" s="9"/>
      <c r="AK244" s="451">
        <f>(SUMPRODUCT(AK$9:AK$229,Nutrients!$CX$8:$CX$228)+(IF($A$7=Nutrients!$B$8,Nutrients!$CX$8,Nutrients!$CX$9)*AK$7)+(((IF($A$8=Nutrients!$B$79,Nutrients!$CX$79,(IF($A$8=Nutrients!$B$77,Nutrients!$CX$77,Nutrients!$CX$78)))))*AK$8))/2000/AK$236*100</f>
        <v>42.766945693134005</v>
      </c>
      <c r="AL244" s="451">
        <f>(SUMPRODUCT(AL$9:AL$229,Nutrients!$CX$8:$CX$228)+(IF($A$7=Nutrients!$B$8,Nutrients!$CX$8,Nutrients!$CX$9)*AL$7)+(((IF($A$8=Nutrients!$B$79,Nutrients!$CX$79,(IF($A$8=Nutrients!$B$77,Nutrients!$CX$77,Nutrients!$CX$78)))))*AL$8))/2000/AL$236*100</f>
        <v>43.399223859562774</v>
      </c>
      <c r="AM244" s="451">
        <f>(SUMPRODUCT(AM$9:AM$229,Nutrients!$CX$8:$CX$228)+(IF($A$7=Nutrients!$B$8,Nutrients!$CX$8,Nutrients!$CX$9)*AM$7)+(((IF($A$8=Nutrients!$B$79,Nutrients!$CX$79,(IF($A$8=Nutrients!$B$77,Nutrients!$CX$77,Nutrients!$CX$78)))))*AM$8))/2000/AM$236*100</f>
        <v>44.260285694443887</v>
      </c>
      <c r="AN244" s="451">
        <f>(SUMPRODUCT(AN$9:AN$229,Nutrients!$CX$8:$CX$228)+(IF($A$7=Nutrients!$B$8,Nutrients!$CX$8,Nutrients!$CX$9)*AN$7)+(((IF($A$8=Nutrients!$B$79,Nutrients!$CX$79,(IF($A$8=Nutrients!$B$77,Nutrients!$CX$77,Nutrients!$CX$78)))))*AN$8))/2000/AN$236*100</f>
        <v>45.066857284013508</v>
      </c>
      <c r="AO244" s="451">
        <f>(SUMPRODUCT(AO$9:AO$229,Nutrients!$CX$8:$CX$228)+(IF($A$7=Nutrients!$B$8,Nutrients!$CX$8,Nutrients!$CX$9)*AO$7)+(((IF($A$8=Nutrients!$B$79,Nutrients!$CX$79,(IF($A$8=Nutrients!$B$77,Nutrients!$CX$77,Nutrients!$CX$78)))))*AO$8))/2000/AO$236*100</f>
        <v>45.843901072438165</v>
      </c>
      <c r="AP244" s="451">
        <f>(SUMPRODUCT(AP$9:AP$229,Nutrients!$CX$8:$CX$228)+(IF($A$7=Nutrients!$B$8,Nutrients!$CX$8,Nutrients!$CX$9)*AP$7)+(((IF($A$8=Nutrients!$B$79,Nutrients!$CX$79,(IF($A$8=Nutrients!$B$77,Nutrients!$CX$77,Nutrients!$CX$78)))))*AP$8))/2000/AP$236*100</f>
        <v>43.904809548771325</v>
      </c>
      <c r="AQ244" s="9"/>
      <c r="AR244" s="451">
        <f>(SUMPRODUCT(AR$9:AR$229,Nutrients!$CX$8:$CX$228)+(IF($A$7=Nutrients!$B$8,Nutrients!$CX$8,Nutrients!$CX$9)*AR$7)+(((IF($A$8=Nutrients!$B$79,Nutrients!$CX$79,(IF($A$8=Nutrients!$B$77,Nutrients!$CX$77,Nutrients!$CX$78)))))*AR$8))/2000/AR$236*100</f>
        <v>43.088267027625129</v>
      </c>
      <c r="AS244" s="451">
        <f>(SUMPRODUCT(AS$9:AS$229,Nutrients!$CX$8:$CX$228)+(IF($A$7=Nutrients!$B$8,Nutrients!$CX$8,Nutrients!$CX$9)*AS$7)+(((IF($A$8=Nutrients!$B$79,Nutrients!$CX$79,(IF($A$8=Nutrients!$B$77,Nutrients!$CX$77,Nutrients!$CX$78)))))*AS$8))/2000/AS$236*100</f>
        <v>43.761962326527517</v>
      </c>
      <c r="AT244" s="451">
        <f>(SUMPRODUCT(AT$9:AT$229,Nutrients!$CX$8:$CX$228)+(IF($A$7=Nutrients!$B$8,Nutrients!$CX$8,Nutrients!$CX$9)*AT$7)+(((IF($A$8=Nutrients!$B$79,Nutrients!$CX$79,(IF($A$8=Nutrients!$B$77,Nutrients!$CX$77,Nutrients!$CX$78)))))*AT$8))/2000/AT$236*100</f>
        <v>44.666098422503509</v>
      </c>
      <c r="AU244" s="451">
        <f>(SUMPRODUCT(AU$9:AU$229,Nutrients!$CX$8:$CX$228)+(IF($A$7=Nutrients!$B$8,Nutrients!$CX$8,Nutrients!$CX$9)*AU$7)+(((IF($A$8=Nutrients!$B$79,Nutrients!$CX$79,(IF($A$8=Nutrients!$B$77,Nutrients!$CX$77,Nutrients!$CX$78)))))*AU$8))/2000/AU$236*100</f>
        <v>45.503834037519717</v>
      </c>
      <c r="AV244" s="451">
        <f>(SUMPRODUCT(AV$9:AV$229,Nutrients!$CX$8:$CX$228)+(IF($A$7=Nutrients!$B$8,Nutrients!$CX$8,Nutrients!$CX$9)*AV$7)+(((IF($A$8=Nutrients!$B$79,Nutrients!$CX$79,(IF($A$8=Nutrients!$B$77,Nutrients!$CX$77,Nutrients!$CX$78)))))*AV$8))/2000/AV$236*100</f>
        <v>46.320496494314902</v>
      </c>
      <c r="AW244" s="451">
        <f>(SUMPRODUCT(AW$9:AW$229,Nutrients!$CX$8:$CX$228)+(IF($A$7=Nutrients!$B$8,Nutrients!$CX$8,Nutrients!$CX$9)*AW$7)+(((IF($A$8=Nutrients!$B$79,Nutrients!$CX$79,(IF($A$8=Nutrients!$B$77,Nutrients!$CX$77,Nutrients!$CX$78)))))*AW$8))/2000/AW$236*100</f>
        <v>43.904809548771325</v>
      </c>
      <c r="AX244" s="13"/>
    </row>
    <row r="245" spans="1:56" x14ac:dyDescent="0.25">
      <c r="A245" s="5" t="s">
        <v>389</v>
      </c>
      <c r="B245" s="26">
        <f>(SUMPRODUCT(B$9:B$229,Nutrients!$AJ$8:$AJ$228)+(IF($A7=Nutrients!$B$8,Nutrients!$AJ$8,Nutrients!$AJ$9)*B$7)+(((IF($A8=Nutrients!$B$79,Nutrients!$AJ$79,(IF($A8=Nutrients!$B$77,Nutrients!$AJ$77,Nutrients!$AJ$78)))))*B$8))/2000</f>
        <v>1.3298660823074164</v>
      </c>
      <c r="C245" s="26">
        <f>(SUMPRODUCT(C$9:C$229,Nutrients!$AJ$8:$AJ$228)+(IF($A7=Nutrients!$B$8,Nutrients!$AJ$8,Nutrients!$AJ$9)*C$7)+(((IF($A8=Nutrients!$B$79,Nutrients!$AJ$79,(IF($A8=Nutrients!$B$77,Nutrients!$AJ$77,Nutrients!$AJ$78)))))*C$8))/2000</f>
        <v>1.17824480201899</v>
      </c>
      <c r="D245" s="26">
        <f>(SUMPRODUCT(D$9:D$229,Nutrients!$AJ$8:$AJ$228)+(IF($A7=Nutrients!$B$8,Nutrients!$AJ$8,Nutrients!$AJ$9)*D$7)+(((IF($A8=Nutrients!$B$79,Nutrients!$AJ$79,(IF($A8=Nutrients!$B$77,Nutrients!$AJ$77,Nutrients!$AJ$78)))))*D$8))/2000</f>
        <v>1.0441938280699909</v>
      </c>
      <c r="E245" s="26">
        <f>(SUMPRODUCT(E$9:E$229,Nutrients!$AJ$8:$AJ$228)+(IF($A7=Nutrients!$B$8,Nutrients!$AJ$8,Nutrients!$AJ$9)*E$7)+(((IF($A8=Nutrients!$B$79,Nutrients!$AJ$79,(IF($A8=Nutrients!$B$77,Nutrients!$AJ$77,Nutrients!$AJ$78)))))*E$8))/2000</f>
        <v>0.93300397092782039</v>
      </c>
      <c r="F245" s="26">
        <f>(SUMPRODUCT(F$9:F$229,Nutrients!$AJ$8:$AJ$228)+(IF($A7=Nutrients!$B$8,Nutrients!$AJ$8,Nutrients!$AJ$9)*F$7)+(((IF($A8=Nutrients!$B$79,Nutrients!$AJ$79,(IF($A8=Nutrients!$B$77,Nutrients!$AJ$77,Nutrients!$AJ$78)))))*F$8))/2000</f>
        <v>0.85681025979312531</v>
      </c>
      <c r="G245" s="26">
        <f>(SUMPRODUCT(G$9:G$229,Nutrients!$AJ$8:$AJ$228)+(IF($A7=Nutrients!$B$8,Nutrients!$AJ$8,Nutrients!$AJ$9)*G$7)+(((IF($A8=Nutrients!$B$79,Nutrients!$AJ$79,(IF($A8=Nutrients!$B$77,Nutrients!$AJ$77,Nutrients!$AJ$78)))))*G$8))/2000</f>
        <v>0.81496876682859276</v>
      </c>
      <c r="H245" s="26"/>
      <c r="I245" s="26">
        <f>(SUMPRODUCT(I$9:I$229,Nutrients!$AJ$8:$AJ$228)+(IF($A7=Nutrients!$B$8,Nutrients!$AJ$8,Nutrients!$AJ$9)*I$7)+(((IF($A8=Nutrients!$B$79,Nutrients!$AJ$79,(IF($A8=Nutrients!$B$77,Nutrients!$AJ$77,Nutrients!$AJ$78)))))*I$8))/2000</f>
        <v>1.338116533166849</v>
      </c>
      <c r="J245" s="26">
        <f>(SUMPRODUCT(J$9:J$229,Nutrients!$AJ$8:$AJ$228)+(IF($A7=Nutrients!$B$8,Nutrients!$AJ$8,Nutrients!$AJ$9)*J$7)+(((IF($A8=Nutrients!$B$79,Nutrients!$AJ$79,(IF($A8=Nutrients!$B$77,Nutrients!$AJ$77,Nutrients!$AJ$78)))))*J$8))/2000</f>
        <v>1.1864922408253746</v>
      </c>
      <c r="K245" s="26">
        <f>(SUMPRODUCT(K$9:K$229,Nutrients!$AJ$8:$AJ$228)+(IF($A7=Nutrients!$B$8,Nutrients!$AJ$8,Nutrients!$AJ$9)*K$7)+(((IF($A8=Nutrients!$B$79,Nutrients!$AJ$79,(IF($A8=Nutrients!$B$77,Nutrients!$AJ$77,Nutrients!$AJ$78)))))*K$8))/2000</f>
        <v>1.0524467034693956</v>
      </c>
      <c r="L245" s="26">
        <f>(SUMPRODUCT(L$9:L$229,Nutrients!$AJ$8:$AJ$228)+(IF($A7=Nutrients!$B$8,Nutrients!$AJ$8,Nutrients!$AJ$9)*L$7)+(((IF($A8=Nutrients!$B$79,Nutrients!$AJ$79,(IF($A8=Nutrients!$B$77,Nutrients!$AJ$77,Nutrients!$AJ$78)))))*L$8))/2000</f>
        <v>0.94126489477896202</v>
      </c>
      <c r="M245" s="26">
        <f>(SUMPRODUCT(M$9:M$229,Nutrients!$AJ$8:$AJ$228)+(IF($A7=Nutrients!$B$8,Nutrients!$AJ$8,Nutrients!$AJ$9)*M$7)+(((IF($A8=Nutrients!$B$79,Nutrients!$AJ$79,(IF($A8=Nutrients!$B$77,Nutrients!$AJ$77,Nutrients!$AJ$78)))))*M$8))/2000</f>
        <v>0.86506540064979298</v>
      </c>
      <c r="N245" s="26">
        <f>(SUMPRODUCT(N$9:N$229,Nutrients!$AJ$8:$AJ$228)+(IF($A7=Nutrients!$B$8,Nutrients!$AJ$8,Nutrients!$AJ$9)*N$7)+(((IF($A8=Nutrients!$B$79,Nutrients!$AJ$79,(IF($A8=Nutrients!$B$77,Nutrients!$AJ$77,Nutrients!$AJ$78)))))*N$8))/2000</f>
        <v>0.81496876682859276</v>
      </c>
      <c r="O245" s="26"/>
      <c r="P245" s="26">
        <f>(SUMPRODUCT(P$9:P$229,Nutrients!$AJ$8:$AJ$228)+(IF($A7=Nutrients!$B$8,Nutrients!$AJ$8,Nutrients!$AJ$9)*P$7)+(((IF($A8=Nutrients!$B$79,Nutrients!$AJ$79,(IF($A8=Nutrients!$B$77,Nutrients!$AJ$77,Nutrients!$AJ$78)))))*P$8))/2000</f>
        <v>1.3463665307782089</v>
      </c>
      <c r="Q245" s="26">
        <f>(SUMPRODUCT(Q$9:Q$229,Nutrients!$AJ$8:$AJ$228)+(IF($A7=Nutrients!$B$8,Nutrients!$AJ$8,Nutrients!$AJ$9)*Q$7)+(((IF($A8=Nutrients!$B$79,Nutrients!$AJ$79,(IF($A8=Nutrients!$B$77,Nutrients!$AJ$77,Nutrients!$AJ$78)))))*Q$8))/2000</f>
        <v>1.1947413789885906</v>
      </c>
      <c r="R245" s="26">
        <f>(SUMPRODUCT(R$9:R$229,Nutrients!$AJ$8:$AJ$228)+(IF($A7=Nutrients!$B$8,Nutrients!$AJ$8,Nutrients!$AJ$9)*R$7)+(((IF($A8=Nutrients!$B$79,Nutrients!$AJ$79,(IF($A8=Nutrients!$B$77,Nutrients!$AJ$77,Nutrients!$AJ$78)))))*R$8))/2000</f>
        <v>1.0606945443862597</v>
      </c>
      <c r="S245" s="26">
        <f>(SUMPRODUCT(S$9:S$229,Nutrients!$AJ$8:$AJ$228)+(IF($A7=Nutrients!$B$8,Nutrients!$AJ$8,Nutrients!$AJ$9)*S$7)+(((IF($A8=Nutrients!$B$79,Nutrients!$AJ$79,(IF($A8=Nutrients!$B$77,Nutrients!$AJ$77,Nutrients!$AJ$78)))))*S$8))/2000</f>
        <v>0.94951324594482345</v>
      </c>
      <c r="T245" s="26">
        <f>(SUMPRODUCT(T$9:T$229,Nutrients!$AJ$8:$AJ$228)+(IF($A7=Nutrients!$B$8,Nutrients!$AJ$8,Nutrients!$AJ$9)*T$7)+(((IF($A8=Nutrients!$B$79,Nutrients!$AJ$79,(IF($A8=Nutrients!$B$77,Nutrients!$AJ$77,Nutrients!$AJ$78)))))*T$8))/2000</f>
        <v>0.87331247951362045</v>
      </c>
      <c r="U245" s="26">
        <f>(SUMPRODUCT(U$9:U$229,Nutrients!$AJ$8:$AJ$228)+(IF($A7=Nutrients!$B$8,Nutrients!$AJ$8,Nutrients!$AJ$9)*U$7)+(((IF($A8=Nutrients!$B$79,Nutrients!$AJ$79,(IF($A8=Nutrients!$B$77,Nutrients!$AJ$77,Nutrients!$AJ$78)))))*U$8))/2000</f>
        <v>0.81496876682859276</v>
      </c>
      <c r="W245" s="26">
        <f>(SUMPRODUCT(W$9:W$229,Nutrients!$AJ$8:$AJ$228)+(IF($A7=Nutrients!$B$8,Nutrients!$AJ$8,Nutrients!$AJ$9)*W$7)+(((IF($A8=Nutrients!$B$79,Nutrients!$AJ$79,(IF($A8=Nutrients!$B$77,Nutrients!$AJ$77,Nutrients!$AJ$78)))))*W$8))/2000</f>
        <v>1.3546158503189207</v>
      </c>
      <c r="X245" s="26">
        <f>(SUMPRODUCT(X$9:X$229,Nutrients!$AJ$8:$AJ$228)+(IF($A7=Nutrients!$B$8,Nutrients!$AJ$8,Nutrients!$AJ$9)*X$7)+(((IF($A8=Nutrients!$B$79,Nutrients!$AJ$79,(IF($A8=Nutrients!$B$77,Nutrients!$AJ$77,Nutrients!$AJ$78)))))*X$8))/2000</f>
        <v>1.2029897033085672</v>
      </c>
      <c r="Y245" s="26">
        <f>(SUMPRODUCT(Y$9:Y$229,Nutrients!$AJ$8:$AJ$228)+(IF($A7=Nutrients!$B$8,Nutrients!$AJ$8,Nutrients!$AJ$9)*Y$7)+(((IF($A8=Nutrients!$B$79,Nutrients!$AJ$79,(IF($A8=Nutrients!$B$77,Nutrients!$AJ$77,Nutrients!$AJ$78)))))*Y$8))/2000</f>
        <v>1.0689443278419617</v>
      </c>
      <c r="Z245" s="26">
        <f>(SUMPRODUCT(Z$9:Z$229,Nutrients!$AJ$8:$AJ$228)+(IF($A7=Nutrients!$B$8,Nutrients!$AJ$8,Nutrients!$AJ$9)*Z$7)+(((IF($A8=Nutrients!$B$79,Nutrients!$AJ$79,(IF($A8=Nutrients!$B$77,Nutrients!$AJ$77,Nutrients!$AJ$78)))))*Z$8))/2000</f>
        <v>0.95776397640612843</v>
      </c>
      <c r="AA245" s="26">
        <f>(SUMPRODUCT(AA$9:AA$229,Nutrients!$AJ$8:$AJ$228)+(IF($A7=Nutrients!$B$8,Nutrients!$AJ$8,Nutrients!$AJ$9)*AA$7)+(((IF($A8=Nutrients!$B$79,Nutrients!$AJ$79,(IF($A8=Nutrients!$B$77,Nutrients!$AJ$77,Nutrients!$AJ$78)))))*AA$8))/2000</f>
        <v>0.88155796145962095</v>
      </c>
      <c r="AB245" s="26">
        <f>(SUMPRODUCT(AB$9:AB$229,Nutrients!$AJ$8:$AJ$228)+(IF($A7=Nutrients!$B$8,Nutrients!$AJ$8,Nutrients!$AJ$9)*AB$7)+(((IF($A8=Nutrients!$B$79,Nutrients!$AJ$79,(IF($A8=Nutrients!$B$77,Nutrients!$AJ$77,Nutrients!$AJ$78)))))*AB$8))/2000</f>
        <v>0.81496876682859276</v>
      </c>
      <c r="AD245" s="26">
        <f>(SUMPRODUCT(AD$9:AD$229,Nutrients!$AJ$8:$AJ$228)+(IF($A7=Nutrients!$B$8,Nutrients!$AJ$8,Nutrients!$AJ$9)*AD$7)+(((IF($A8=Nutrients!$B$79,Nutrients!$AJ$79,(IF($A8=Nutrients!$B$77,Nutrients!$AJ$77,Nutrients!$AJ$78)))))*AD$8))/2000</f>
        <v>1.3628643376388767</v>
      </c>
      <c r="AE245" s="26">
        <f>(SUMPRODUCT(AE$9:AE$229,Nutrients!$AJ$8:$AJ$228)+(IF($A7=Nutrients!$B$8,Nutrients!$AJ$8,Nutrients!$AJ$9)*AE$7)+(((IF($A8=Nutrients!$B$79,Nutrients!$AJ$79,(IF($A8=Nutrients!$B$77,Nutrients!$AJ$77,Nutrients!$AJ$78)))))*AE$8))/2000</f>
        <v>1.2112385574763826</v>
      </c>
      <c r="AF245" s="26">
        <f>(SUMPRODUCT(AF$9:AF$229,Nutrients!$AJ$8:$AJ$228)+(IF($A7=Nutrients!$B$8,Nutrients!$AJ$8,Nutrients!$AJ$9)*AF$7)+(((IF($A8=Nutrients!$B$79,Nutrients!$AJ$79,(IF($A8=Nutrients!$B$77,Nutrients!$AJ$77,Nutrients!$AJ$78)))))*AF$8))/2000</f>
        <v>1.0771962332593292</v>
      </c>
      <c r="AG245" s="26">
        <f>(SUMPRODUCT(AG$9:AG$229,Nutrients!$AJ$8:$AJ$228)+(IF($A7=Nutrients!$B$8,Nutrients!$AJ$8,Nutrients!$AJ$9)*AG$7)+(((IF($A8=Nutrients!$B$79,Nutrients!$AJ$79,(IF($A8=Nutrients!$B$77,Nutrients!$AJ$77,Nutrients!$AJ$78)))))*AG$8))/2000</f>
        <v>0.96600805630846975</v>
      </c>
      <c r="AH245" s="26">
        <f>(SUMPRODUCT(AH$9:AH$229,Nutrients!$AJ$8:$AJ$228)+(IF($A7=Nutrients!$B$8,Nutrients!$AJ$8,Nutrients!$AJ$9)*AH$7)+(((IF($A8=Nutrients!$B$79,Nutrients!$AJ$79,(IF($A8=Nutrients!$B$77,Nutrients!$AJ$77,Nutrients!$AJ$78)))))*AH$8))/2000</f>
        <v>0.88975074166548562</v>
      </c>
      <c r="AI245" s="26">
        <f>(SUMPRODUCT(AI$9:AI$229,Nutrients!$AJ$8:$AJ$228)+(IF($A7=Nutrients!$B$8,Nutrients!$AJ$8,Nutrients!$AJ$9)*AI$7)+(((IF($A8=Nutrients!$B$79,Nutrients!$AJ$79,(IF($A8=Nutrients!$B$77,Nutrients!$AJ$77,Nutrients!$AJ$78)))))*AI$8))/2000</f>
        <v>0.81496876682859276</v>
      </c>
      <c r="AK245" s="26">
        <f>(SUMPRODUCT(AK$9:AK$229,Nutrients!$AJ$8:$AJ$228)+(IF($A7=Nutrients!$B$8,Nutrients!$AJ$8,Nutrients!$AJ$9)*AK$7)+(((IF($A8=Nutrients!$B$79,Nutrients!$AJ$79,(IF($A8=Nutrients!$B$77,Nutrients!$AJ$77,Nutrients!$AJ$78)))))*AK$8))/2000</f>
        <v>1.371106985948803</v>
      </c>
      <c r="AL245" s="26">
        <f>(SUMPRODUCT(AL$9:AL$229,Nutrients!$AJ$8:$AJ$228)+(IF($A7=Nutrients!$B$8,Nutrients!$AJ$8,Nutrients!$AJ$9)*AL$7)+(((IF($A8=Nutrients!$B$79,Nutrients!$AJ$79,(IF($A8=Nutrients!$B$77,Nutrients!$AJ$77,Nutrients!$AJ$78)))))*AL$8))/2000</f>
        <v>1.2194874978093035</v>
      </c>
      <c r="AM245" s="26">
        <f>(SUMPRODUCT(AM$9:AM$229,Nutrients!$AJ$8:$AJ$228)+(IF($A7=Nutrients!$B$8,Nutrients!$AJ$8,Nutrients!$AJ$9)*AM$7)+(((IF($A8=Nutrients!$B$79,Nutrients!$AJ$79,(IF($A8=Nutrients!$B$77,Nutrients!$AJ$77,Nutrients!$AJ$78)))))*AM$8))/2000</f>
        <v>1.0854418232685645</v>
      </c>
      <c r="AN245" s="26">
        <f>(SUMPRODUCT(AN$9:AN$229,Nutrients!$AJ$8:$AJ$228)+(IF($A7=Nutrients!$B$8,Nutrients!$AJ$8,Nutrients!$AJ$9)*AN$7)+(((IF($A8=Nutrients!$B$79,Nutrients!$AJ$79,(IF($A8=Nutrients!$B$77,Nutrients!$AJ$77,Nutrients!$AJ$78)))))*AN$8))/2000</f>
        <v>0.97420680490552014</v>
      </c>
      <c r="AO245" s="26">
        <f>(SUMPRODUCT(AO$9:AO$229,Nutrients!$AJ$8:$AJ$228)+(IF($A7=Nutrients!$B$8,Nutrients!$AJ$8,Nutrients!$AJ$9)*AO$7)+(((IF($A8=Nutrients!$B$79,Nutrients!$AJ$79,(IF($A8=Nutrients!$B$77,Nutrients!$AJ$77,Nutrients!$AJ$78)))))*AO$8))/2000</f>
        <v>0.89793022000707667</v>
      </c>
      <c r="AP245" s="26">
        <f>(SUMPRODUCT(AP$9:AP$229,Nutrients!$AJ$8:$AJ$228)+(IF($A7=Nutrients!$B$8,Nutrients!$AJ$8,Nutrients!$AJ$9)*AP$7)+(((IF($A8=Nutrients!$B$79,Nutrients!$AJ$79,(IF($A8=Nutrients!$B$77,Nutrients!$AJ$77,Nutrients!$AJ$78)))))*AP$8))/2000</f>
        <v>0.81496876682859276</v>
      </c>
      <c r="AR245" s="26">
        <f>(SUMPRODUCT(AR$9:AR$229,Nutrients!$AJ$8:$AJ$228)+(IF($A7=Nutrients!$B$8,Nutrients!$AJ$8,Nutrients!$AJ$9)*AR$7)+(((IF($A8=Nutrients!$B$79,Nutrients!$AJ$79,(IF($A8=Nutrients!$B$77,Nutrients!$AJ$77,Nutrients!$AJ$78)))))*AR$8))/2000</f>
        <v>1.3793584106620853</v>
      </c>
      <c r="AS245" s="26">
        <f>(SUMPRODUCT(AS$9:AS$229,Nutrients!$AJ$8:$AJ$228)+(IF($A7=Nutrients!$B$8,Nutrients!$AJ$8,Nutrients!$AJ$9)*AS$7)+(((IF($A8=Nutrients!$B$79,Nutrients!$AJ$79,(IF($A8=Nutrients!$B$77,Nutrients!$AJ$77,Nutrients!$AJ$78)))))*AS$8))/2000</f>
        <v>1.2277363906615926</v>
      </c>
      <c r="AT245" s="26">
        <f>(SUMPRODUCT(AT$9:AT$229,Nutrients!$AJ$8:$AJ$228)+(IF($A7=Nutrients!$B$8,Nutrients!$AJ$8,Nutrients!$AJ$9)*AT$7)+(((IF($A8=Nutrients!$B$79,Nutrients!$AJ$79,(IF($A8=Nutrients!$B$77,Nutrients!$AJ$77,Nutrients!$AJ$78)))))*AT$8))/2000</f>
        <v>1.0936755649659267</v>
      </c>
      <c r="AU245" s="26">
        <f>(SUMPRODUCT(AU$9:AU$229,Nutrients!$AJ$8:$AJ$228)+(IF($A7=Nutrients!$B$8,Nutrients!$AJ$8,Nutrients!$AJ$9)*AU$7)+(((IF($A8=Nutrients!$B$79,Nutrients!$AJ$79,(IF($A8=Nutrients!$B$77,Nutrients!$AJ$77,Nutrients!$AJ$78)))))*AU$8))/2000</f>
        <v>0.98238646082932224</v>
      </c>
      <c r="AV245" s="26">
        <f>(SUMPRODUCT(AV$9:AV$229,Nutrients!$AJ$8:$AJ$228)+(IF($A7=Nutrients!$B$8,Nutrients!$AJ$8,Nutrients!$AJ$9)*AV$7)+(((IF($A8=Nutrients!$B$79,Nutrients!$AJ$79,(IF($A8=Nutrients!$B$77,Nutrients!$AJ$77,Nutrients!$AJ$78)))))*AV$8))/2000</f>
        <v>0.9061087419377849</v>
      </c>
      <c r="AW245" s="26">
        <f>(SUMPRODUCT(AW$9:AW$229,Nutrients!$AJ$8:$AJ$228)+(IF($A7=Nutrients!$B$8,Nutrients!$AJ$8,Nutrients!$AJ$9)*AW$7)+(((IF($A8=Nutrients!$B$79,Nutrients!$AJ$79,(IF($A8=Nutrients!$B$77,Nutrients!$AJ$77,Nutrients!$AJ$78)))))*AW$8))/2000</f>
        <v>0.81496876682859276</v>
      </c>
    </row>
    <row r="246" spans="1:56" x14ac:dyDescent="0.25">
      <c r="A246" s="3" t="s">
        <v>18</v>
      </c>
      <c r="B246" s="21">
        <f>(SUMPRODUCT(B$9:B$229,Nutrients!$E$8:$E$228)+(IF($A$7=Nutrients!$B$8,Nutrients!$E$8,Nutrients!$E$9)*B$7)+(((IF($A$8=Nutrients!$B$79,Nutrients!$E$79,(IF($A$8=Nutrients!$B$77,Nutrients!$E$77,Nutrients!$E$78)))))*B$8))/2000/2.2046</f>
        <v>1491.8402434475765</v>
      </c>
      <c r="C246" s="21">
        <f>(SUMPRODUCT(C$9:C$229,Nutrients!$E$8:$E$228)+(IF($A$7=Nutrients!$B$8,Nutrients!$E$8,Nutrients!$E$9)*C$7)+(((IF($A$8=Nutrients!$B$79,Nutrients!$E$79,(IF($A$8=Nutrients!$B$77,Nutrients!$E$77,Nutrients!$E$78)))))*C$8))/2000/2.2046</f>
        <v>1497.3394897230346</v>
      </c>
      <c r="D246" s="21">
        <f>(SUMPRODUCT(D$9:D$229,Nutrients!$E$8:$E$228)+(IF($A$7=Nutrients!$B$8,Nutrients!$E$8,Nutrients!$E$9)*D$7)+(((IF($A$8=Nutrients!$B$79,Nutrients!$E$79,(IF($A$8=Nutrients!$B$77,Nutrients!$E$77,Nutrients!$E$78)))))*D$8))/2000/2.2046</f>
        <v>1502.2809065274494</v>
      </c>
      <c r="E246" s="21">
        <f>(SUMPRODUCT(E$9:E$229,Nutrients!$E$8:$E$228)+(IF($A$7=Nutrients!$B$8,Nutrients!$E$8,Nutrients!$E$9)*E$7)+(((IF($A$8=Nutrients!$B$79,Nutrients!$E$79,(IF($A$8=Nutrients!$B$77,Nutrients!$E$77,Nutrients!$E$78)))))*E$8))/2000/2.2046</f>
        <v>1506.6896352343656</v>
      </c>
      <c r="F246" s="21">
        <f>(SUMPRODUCT(F$9:F$229,Nutrients!$E$8:$E$228)+(IF($A$7=Nutrients!$B$8,Nutrients!$E$8,Nutrients!$E$9)*F$7)+(((IF($A$8=Nutrients!$B$79,Nutrients!$E$79,(IF($A$8=Nutrients!$B$77,Nutrients!$E$77,Nutrients!$E$78)))))*F$8))/2000/2.2046</f>
        <v>1510.1029910587361</v>
      </c>
      <c r="G246" s="21">
        <f>(SUMPRODUCT(G$9:G$229,Nutrients!$E$8:$E$228)+(IF($A$7=Nutrients!$B$8,Nutrients!$E$8,Nutrients!$E$9)*G$7)+(((IF($A$8=Nutrients!$B$79,Nutrients!$E$79,(IF($A$8=Nutrients!$B$77,Nutrients!$E$77,Nutrients!$E$78)))))*G$8))/2000/2.2046</f>
        <v>1511.4146927250044</v>
      </c>
      <c r="H246" s="226"/>
      <c r="I246" s="21">
        <f>(SUMPRODUCT(I$9:I$229,Nutrients!$E$8:$E$228)+(IF($A$7=Nutrients!$B$8,Nutrients!$E$8,Nutrients!$E$9)*I$7)+(((IF($A$8=Nutrients!$B$79,Nutrients!$E$79,(IF($A$8=Nutrients!$B$77,Nutrients!$E$77,Nutrients!$E$78)))))*I$8))/2000/2.2046</f>
        <v>1505.2558249199296</v>
      </c>
      <c r="J246" s="21">
        <f>(SUMPRODUCT(J$9:J$229,Nutrients!$E$8:$E$228)+(IF($A$7=Nutrients!$B$8,Nutrients!$E$8,Nutrients!$E$9)*J$7)+(((IF($A$8=Nutrients!$B$79,Nutrients!$E$79,(IF($A$8=Nutrients!$B$77,Nutrients!$E$77,Nutrients!$E$78)))))*J$8))/2000/2.2046</f>
        <v>1510.8275881781256</v>
      </c>
      <c r="K246" s="21">
        <f>(SUMPRODUCT(K$9:K$229,Nutrients!$E$8:$E$228)+(IF($A$7=Nutrients!$B$8,Nutrients!$E$8,Nutrients!$E$9)*K$7)+(((IF($A$8=Nutrients!$B$79,Nutrients!$E$79,(IF($A$8=Nutrients!$B$77,Nutrients!$E$77,Nutrients!$E$78)))))*K$8))/2000/2.2046</f>
        <v>1516.0728536674958</v>
      </c>
      <c r="L246" s="21">
        <f>(SUMPRODUCT(L$9:L$229,Nutrients!$E$8:$E$228)+(IF($A$7=Nutrients!$B$8,Nutrients!$E$8,Nutrients!$E$9)*L$7)+(((IF($A$8=Nutrients!$B$79,Nutrients!$E$79,(IF($A$8=Nutrients!$B$77,Nutrients!$E$77,Nutrients!$E$78)))))*L$8))/2000/2.2046</f>
        <v>1520.3577165723336</v>
      </c>
      <c r="M246" s="21">
        <f>(SUMPRODUCT(M$9:M$229,Nutrients!$E$8:$E$228)+(IF($A$7=Nutrients!$B$8,Nutrients!$E$8,Nutrients!$E$9)*M$7)+(((IF($A$8=Nutrients!$B$79,Nutrients!$E$79,(IF($A$8=Nutrients!$B$77,Nutrients!$E$77,Nutrients!$E$78)))))*M$8))/2000/2.2046</f>
        <v>1523.7195863660886</v>
      </c>
      <c r="N246" s="21">
        <f>(SUMPRODUCT(N$9:N$229,Nutrients!$E$8:$E$228)+(IF($A$7=Nutrients!$B$8,Nutrients!$E$8,Nutrients!$E$9)*N$7)+(((IF($A$8=Nutrients!$B$79,Nutrients!$E$79,(IF($A$8=Nutrients!$B$77,Nutrients!$E$77,Nutrients!$E$78)))))*N$8))/2000/2.2046</f>
        <v>1511.4146927250044</v>
      </c>
      <c r="O246" s="234"/>
      <c r="P246" s="21">
        <f>(SUMPRODUCT(P$9:P$229,Nutrients!$E$8:$E$228)+(IF($A$7=Nutrients!$B$8,Nutrients!$E$8,Nutrients!$E$9)*P$7)+(((IF($A$8=Nutrients!$B$79,Nutrients!$E$79,(IF($A$8=Nutrients!$B$77,Nutrients!$E$77,Nutrients!$E$78)))))*P$8))/2000/2.2046</f>
        <v>1518.8787010253898</v>
      </c>
      <c r="Q246" s="21">
        <f>(SUMPRODUCT(Q$9:Q$229,Nutrients!$E$8:$E$228)+(IF($A$7=Nutrients!$B$8,Nutrients!$E$8,Nutrients!$E$9)*Q$7)+(((IF($A$8=Nutrients!$B$79,Nutrients!$E$79,(IF($A$8=Nutrients!$B$77,Nutrients!$E$77,Nutrients!$E$78)))))*Q$8))/2000/2.2046</f>
        <v>1524.4910800631349</v>
      </c>
      <c r="R246" s="21">
        <f>(SUMPRODUCT(R$9:R$229,Nutrients!$E$8:$E$228)+(IF($A$7=Nutrients!$B$8,Nutrients!$E$8,Nutrients!$E$9)*R$7)+(((IF($A$8=Nutrients!$B$79,Nutrients!$E$79,(IF($A$8=Nutrients!$B$77,Nutrients!$E$77,Nutrients!$E$78)))))*R$8))/2000/2.2046</f>
        <v>1529.797650789141</v>
      </c>
      <c r="S246" s="21">
        <f>(SUMPRODUCT(S$9:S$229,Nutrients!$E$8:$E$228)+(IF($A$7=Nutrients!$B$8,Nutrients!$E$8,Nutrients!$E$9)*S$7)+(((IF($A$8=Nutrients!$B$79,Nutrients!$E$79,(IF($A$8=Nutrients!$B$77,Nutrients!$E$77,Nutrients!$E$78)))))*S$8))/2000/2.2046</f>
        <v>1534.0584003592417</v>
      </c>
      <c r="T246" s="21">
        <f>(SUMPRODUCT(T$9:T$229,Nutrients!$E$8:$E$228)+(IF($A$7=Nutrients!$B$8,Nutrients!$E$8,Nutrients!$E$9)*T$7)+(((IF($A$8=Nutrients!$B$79,Nutrients!$E$79,(IF($A$8=Nutrients!$B$77,Nutrients!$E$77,Nutrients!$E$78)))))*T$8))/2000/2.2046</f>
        <v>1537.4341227125128</v>
      </c>
      <c r="U246" s="21">
        <f>(SUMPRODUCT(U$9:U$229,Nutrients!$E$8:$E$228)+(IF($A$7=Nutrients!$B$8,Nutrients!$E$8,Nutrients!$E$9)*U$7)+(((IF($A$8=Nutrients!$B$79,Nutrients!$E$79,(IF($A$8=Nutrients!$B$77,Nutrients!$E$77,Nutrients!$E$78)))))*U$8))/2000/2.2046</f>
        <v>1511.4146927250044</v>
      </c>
      <c r="W246" s="21">
        <f>(SUMPRODUCT(W$9:W$229,Nutrients!$E$8:$E$228)+(IF($A$7=Nutrients!$B$8,Nutrients!$E$8,Nutrients!$E$9)*W$7)+(((IF($A$8=Nutrients!$B$79,Nutrients!$E$79,(IF($A$8=Nutrients!$B$77,Nutrients!$E$77,Nutrients!$E$78)))))*W$8))/2000/2.2046</f>
        <v>1532.5336213770972</v>
      </c>
      <c r="X246" s="21">
        <f>(SUMPRODUCT(X$9:X$229,Nutrients!$E$8:$E$228)+(IF($A$7=Nutrients!$B$8,Nutrients!$E$8,Nutrients!$E$9)*X$7)+(((IF($A$8=Nutrients!$B$79,Nutrients!$E$79,(IF($A$8=Nutrients!$B$77,Nutrients!$E$77,Nutrients!$E$78)))))*X$8))/2000/2.2046</f>
        <v>1538.1930325322051</v>
      </c>
      <c r="Y246" s="21">
        <f>(SUMPRODUCT(Y$9:Y$229,Nutrients!$E$8:$E$228)+(IF($A$7=Nutrients!$B$8,Nutrients!$E$8,Nutrients!$E$9)*Y$7)+(((IF($A$8=Nutrients!$B$79,Nutrients!$E$79,(IF($A$8=Nutrients!$B$77,Nutrients!$E$77,Nutrients!$E$78)))))*Y$8))/2000/2.2046</f>
        <v>1543.504347902001</v>
      </c>
      <c r="Z246" s="21">
        <f>(SUMPRODUCT(Z$9:Z$229,Nutrients!$E$8:$E$228)+(IF($A$7=Nutrients!$B$8,Nutrients!$E$8,Nutrients!$E$9)*Z$7)+(((IF($A$8=Nutrients!$B$79,Nutrients!$E$79,(IF($A$8=Nutrients!$B$77,Nutrients!$E$77,Nutrients!$E$78)))))*Z$8))/2000/2.2046</f>
        <v>1547.7764106693176</v>
      </c>
      <c r="AA246" s="21">
        <f>(SUMPRODUCT(AA$9:AA$229,Nutrients!$E$8:$E$228)+(IF($A$7=Nutrients!$B$8,Nutrients!$E$8,Nutrients!$E$9)*AA$7)+(((IF($A$8=Nutrients!$B$79,Nutrients!$E$79,(IF($A$8=Nutrients!$B$77,Nutrients!$E$77,Nutrients!$E$78)))))*AA$8))/2000/2.2046</f>
        <v>1551.2373010471624</v>
      </c>
      <c r="AB246" s="21">
        <f>(SUMPRODUCT(AB$9:AB$229,Nutrients!$E$8:$E$228)+(IF($A$7=Nutrients!$B$8,Nutrients!$E$8,Nutrients!$E$9)*AB$7)+(((IF($A$8=Nutrients!$B$79,Nutrients!$E$79,(IF($A$8=Nutrients!$B$77,Nutrients!$E$77,Nutrients!$E$78)))))*AB$8))/2000/2.2046</f>
        <v>1511.4146927250044</v>
      </c>
      <c r="AD246" s="21">
        <f>(SUMPRODUCT(AD$9:AD$229,Nutrients!$E$8:$E$228)+(IF($A$7=Nutrients!$B$8,Nutrients!$E$8,Nutrients!$E$9)*AD$7)+(((IF($A$8=Nutrients!$B$79,Nutrients!$E$79,(IF($A$8=Nutrients!$B$77,Nutrients!$E$77,Nutrients!$E$78)))))*AD$8))/2000/2.2046</f>
        <v>1546.2647210193622</v>
      </c>
      <c r="AE246" s="21">
        <f>(SUMPRODUCT(AE$9:AE$229,Nutrients!$E$8:$E$228)+(IF($A$7=Nutrients!$B$8,Nutrients!$E$8,Nutrients!$E$9)*AE$7)+(((IF($A$8=Nutrients!$B$79,Nutrients!$E$79,(IF($A$8=Nutrients!$B$77,Nutrients!$E$77,Nutrients!$E$78)))))*AE$8))/2000/2.2046</f>
        <v>1551.9067956872489</v>
      </c>
      <c r="AF246" s="21">
        <f>(SUMPRODUCT(AF$9:AF$229,Nutrients!$E$8:$E$228)+(IF($A$7=Nutrients!$B$8,Nutrients!$E$8,Nutrients!$E$9)*AF$7)+(((IF($A$8=Nutrients!$B$79,Nutrients!$E$79,(IF($A$8=Nutrients!$B$77,Nutrients!$E$77,Nutrients!$E$78)))))*AF$8))/2000/2.2046</f>
        <v>1557.2004131042156</v>
      </c>
      <c r="AG246" s="21">
        <f>(SUMPRODUCT(AG$9:AG$229,Nutrients!$E$8:$E$228)+(IF($A$7=Nutrients!$B$8,Nutrients!$E$8,Nutrients!$E$9)*AG$7)+(((IF($A$8=Nutrients!$B$79,Nutrients!$E$79,(IF($A$8=Nutrients!$B$77,Nutrients!$E$77,Nutrients!$E$78)))))*AG$8))/2000/2.2046</f>
        <v>1561.6089965269193</v>
      </c>
      <c r="AH246" s="21">
        <f>(SUMPRODUCT(AH$9:AH$229,Nutrients!$E$8:$E$228)+(IF($A$7=Nutrients!$B$8,Nutrients!$E$8,Nutrients!$E$9)*AH$7)+(((IF($A$8=Nutrients!$B$79,Nutrients!$E$79,(IF($A$8=Nutrients!$B$77,Nutrients!$E$77,Nutrients!$E$78)))))*AH$8))/2000/2.2046</f>
        <v>1564.5957706149304</v>
      </c>
      <c r="AI246" s="21">
        <f>(SUMPRODUCT(AI$9:AI$229,Nutrients!$E$8:$E$228)+(IF($A$7=Nutrients!$B$8,Nutrients!$E$8,Nutrients!$E$9)*AI$7)+(((IF($A$8=Nutrients!$B$79,Nutrients!$E$79,(IF($A$8=Nutrients!$B$77,Nutrients!$E$77,Nutrients!$E$78)))))*AI$8))/2000/2.2046</f>
        <v>1511.4146927250044</v>
      </c>
      <c r="AK246" s="21">
        <f>(SUMPRODUCT(AK$9:AK$229,Nutrients!$E$8:$E$228)+(IF($A$7=Nutrients!$B$8,Nutrients!$E$8,Nutrients!$E$9)*AK$7)+(((IF($A$8=Nutrients!$B$79,Nutrients!$E$79,(IF($A$8=Nutrients!$B$77,Nutrients!$E$77,Nutrients!$E$78)))))*AK$8))/2000/2.2046</f>
        <v>1560.2901855671428</v>
      </c>
      <c r="AL246" s="21">
        <f>(SUMPRODUCT(AL$9:AL$229,Nutrients!$E$8:$E$228)+(IF($A$7=Nutrients!$B$8,Nutrients!$E$8,Nutrients!$E$9)*AL$7)+(((IF($A$8=Nutrients!$B$79,Nutrients!$E$79,(IF($A$8=Nutrients!$B$77,Nutrients!$E$77,Nutrients!$E$78)))))*AL$8))/2000/2.2046</f>
        <v>1565.6349119649267</v>
      </c>
      <c r="AM246" s="21">
        <f>(SUMPRODUCT(AM$9:AM$229,Nutrients!$E$8:$E$228)+(IF($A$7=Nutrients!$B$8,Nutrients!$E$8,Nutrients!$E$9)*AM$7)+(((IF($A$8=Nutrients!$B$79,Nutrients!$E$79,(IF($A$8=Nutrients!$B$77,Nutrients!$E$77,Nutrients!$E$78)))))*AM$8))/2000/2.2046</f>
        <v>1570.9800594779867</v>
      </c>
      <c r="AN246" s="21">
        <f>(SUMPRODUCT(AN$9:AN$229,Nutrients!$E$8:$E$228)+(IF($A$7=Nutrients!$B$8,Nutrients!$E$8,Nutrients!$E$9)*AN$7)+(((IF($A$8=Nutrients!$B$79,Nutrients!$E$79,(IF($A$8=Nutrients!$B$77,Nutrients!$E$77,Nutrients!$E$78)))))*AN$8))/2000/2.2046</f>
        <v>1574.8167666409322</v>
      </c>
      <c r="AO246" s="21">
        <f>(SUMPRODUCT(AO$9:AO$229,Nutrients!$E$8:$E$228)+(IF($A$7=Nutrients!$B$8,Nutrients!$E$8,Nutrients!$E$9)*AO$7)+(((IF($A$8=Nutrients!$B$79,Nutrients!$E$79,(IF($A$8=Nutrients!$B$77,Nutrients!$E$77,Nutrients!$E$78)))))*AO$8))/2000/2.2046</f>
        <v>1578.0854277061721</v>
      </c>
      <c r="AP246" s="21">
        <f>(SUMPRODUCT(AP$9:AP$229,Nutrients!$E$8:$E$228)+(IF($A$7=Nutrients!$B$8,Nutrients!$E$8,Nutrients!$E$9)*AP$7)+(((IF($A$8=Nutrients!$B$79,Nutrients!$E$79,(IF($A$8=Nutrients!$B$77,Nutrients!$E$77,Nutrients!$E$78)))))*AP$8))/2000/2.2046</f>
        <v>1511.4146927250044</v>
      </c>
      <c r="AR246" s="21">
        <f>(SUMPRODUCT(AR$9:AR$229,Nutrients!$E$8:$E$228)+(IF($A$7=Nutrients!$B$8,Nutrients!$E$8,Nutrients!$E$9)*AR$7)+(((IF($A$8=Nutrients!$B$79,Nutrients!$E$79,(IF($A$8=Nutrients!$B$77,Nutrients!$E$77,Nutrients!$E$78)))))*AR$8))/2000/2.2046</f>
        <v>1573.8635204264267</v>
      </c>
      <c r="AS246" s="21">
        <f>(SUMPRODUCT(AS$9:AS$229,Nutrients!$E$8:$E$228)+(IF($A$7=Nutrients!$B$8,Nutrients!$E$8,Nutrients!$E$9)*AS$7)+(((IF($A$8=Nutrients!$B$79,Nutrients!$E$79,(IF($A$8=Nutrients!$B$77,Nutrients!$E$77,Nutrients!$E$78)))))*AS$8))/2000/2.2046</f>
        <v>1579.3278967971946</v>
      </c>
      <c r="AT246" s="21">
        <f>(SUMPRODUCT(AT$9:AT$229,Nutrients!$E$8:$E$228)+(IF($A$7=Nutrients!$B$8,Nutrients!$E$8,Nutrients!$E$9)*AT$7)+(((IF($A$8=Nutrients!$B$79,Nutrients!$E$79,(IF($A$8=Nutrients!$B$77,Nutrients!$E$77,Nutrients!$E$78)))))*AT$8))/2000/2.2046</f>
        <v>1584.3606368891599</v>
      </c>
      <c r="AU246" s="21">
        <f>(SUMPRODUCT(AU$9:AU$229,Nutrients!$E$8:$E$228)+(IF($A$7=Nutrients!$B$8,Nutrients!$E$8,Nutrients!$E$9)*AU$7)+(((IF($A$8=Nutrients!$B$79,Nutrients!$E$79,(IF($A$8=Nutrients!$B$77,Nutrients!$E$77,Nutrients!$E$78)))))*AU$8))/2000/2.2046</f>
        <v>1588.2769988753703</v>
      </c>
      <c r="AV246" s="21">
        <f>(SUMPRODUCT(AV$9:AV$229,Nutrients!$E$8:$E$228)+(IF($A$7=Nutrients!$B$8,Nutrients!$E$8,Nutrients!$E$9)*AV$7)+(((IF($A$8=Nutrients!$B$79,Nutrients!$E$79,(IF($A$8=Nutrients!$B$77,Nutrients!$E$77,Nutrients!$E$78)))))*AV$8))/2000/2.2046</f>
        <v>1591.6036975788595</v>
      </c>
      <c r="AW246" s="21">
        <f>(SUMPRODUCT(AW$9:AW$229,Nutrients!$E$8:$E$228)+(IF($A$7=Nutrients!$B$8,Nutrients!$E$8,Nutrients!$E$9)*AW$7)+(((IF($A$8=Nutrients!$B$79,Nutrients!$E$79,(IF($A$8=Nutrients!$B$77,Nutrients!$E$77,Nutrients!$E$78)))))*AW$8))/2000/2.2046</f>
        <v>1511.4146927250044</v>
      </c>
    </row>
    <row r="247" spans="1:56" x14ac:dyDescent="0.25">
      <c r="A247" s="5" t="s">
        <v>32</v>
      </c>
      <c r="B247" s="21">
        <f>(SUMPRODUCT(B$9:B$229,Nutrients!$DY$8:$DY$228)+(IF($A$7=Nutrients!$B$8,Nutrients!$DY$8,Nutrients!$DY$9)*B$7)+(((IF($A$8=Nutrients!$B$79,Nutrients!$DY$79,(IF($A$8=Nutrients!$B$77,Nutrients!$DY$77,Nutrients!$DY$78)))))*B$8))/2000/2.2046</f>
        <v>1084.249548676868</v>
      </c>
      <c r="C247" s="21">
        <f>(SUMPRODUCT(C$9:C$229,Nutrients!$DY$8:$DY$228)+(IF($A$7=Nutrients!$B$8,Nutrients!$DY$8,Nutrients!$DY$9)*C$7)+(((IF($A$8=Nutrients!$B$79,Nutrients!$DY$79,(IF($A$8=Nutrients!$B$77,Nutrients!$DY$77,Nutrients!$DY$78)))))*C$8))/2000/2.2046</f>
        <v>1102.8575690313603</v>
      </c>
      <c r="D247" s="21">
        <f>(SUMPRODUCT(D$9:D$229,Nutrients!$DY$8:$DY$228)+(IF($A$7=Nutrients!$B$8,Nutrients!$DY$8,Nutrients!$DY$9)*D$7)+(((IF($A$8=Nutrients!$B$79,Nutrients!$DY$79,(IF($A$8=Nutrients!$B$77,Nutrients!$DY$77,Nutrients!$DY$78)))))*D$8))/2000/2.2046</f>
        <v>1119.0569124625506</v>
      </c>
      <c r="E247" s="21">
        <f>(SUMPRODUCT(E$9:E$229,Nutrients!$DY$8:$DY$228)+(IF($A$7=Nutrients!$B$8,Nutrients!$DY$8,Nutrients!$DY$9)*E$7)+(((IF($A$8=Nutrients!$B$79,Nutrients!$DY$79,(IF($A$8=Nutrients!$B$77,Nutrients!$DY$77,Nutrients!$DY$78)))))*E$8))/2000/2.2046</f>
        <v>1132.8948287435808</v>
      </c>
      <c r="F247" s="21">
        <f>(SUMPRODUCT(F$9:F$229,Nutrients!$DY$8:$DY$228)+(IF($A$7=Nutrients!$B$8,Nutrients!$DY$8,Nutrients!$DY$9)*F$7)+(((IF($A$8=Nutrients!$B$79,Nutrients!$DY$79,(IF($A$8=Nutrients!$B$77,Nutrients!$DY$77,Nutrients!$DY$78)))))*F$8))/2000/2.2046</f>
        <v>1142.4960914643329</v>
      </c>
      <c r="G247" s="21">
        <f>(SUMPRODUCT(G$9:G$229,Nutrients!$DY$8:$DY$228)+(IF($A$7=Nutrients!$B$8,Nutrients!$DY$8,Nutrients!$DY$9)*G$7)+(((IF($A$8=Nutrients!$B$79,Nutrients!$DY$79,(IF($A$8=Nutrients!$B$77,Nutrients!$DY$77,Nutrients!$DY$78)))))*G$8))/2000/2.2046</f>
        <v>1147.04091606665</v>
      </c>
      <c r="H247" s="226"/>
      <c r="I247" s="21">
        <f>(SUMPRODUCT(I$9:I$229,Nutrients!$DY$8:$DY$228)+(IF($A$7=Nutrients!$B$8,Nutrients!$DY$8,Nutrients!$DY$9)*I$7)+(((IF($A$8=Nutrients!$B$79,Nutrients!$DY$79,(IF($A$8=Nutrients!$B$77,Nutrients!$DY$77,Nutrients!$DY$78)))))*I$8))/2000/2.2046</f>
        <v>1038.6173558042069</v>
      </c>
      <c r="J247" s="21">
        <f>(SUMPRODUCT(J$9:J$229,Nutrients!$DY$8:$DY$228)+(IF($A$7=Nutrients!$B$8,Nutrients!$DY$8,Nutrients!$DY$9)*J$7)+(((IF($A$8=Nutrients!$B$79,Nutrients!$DY$79,(IF($A$8=Nutrients!$B$77,Nutrients!$DY$77,Nutrients!$DY$78)))))*J$8))/2000/2.2046</f>
        <v>1057.2973324167847</v>
      </c>
      <c r="K247" s="21">
        <f>(SUMPRODUCT(K$9:K$229,Nutrients!$DY$8:$DY$228)+(IF($A$7=Nutrients!$B$8,Nutrients!$DY$8,Nutrients!$DY$9)*K$7)+(((IF($A$8=Nutrients!$B$79,Nutrients!$DY$79,(IF($A$8=Nutrients!$B$77,Nutrients!$DY$77,Nutrients!$DY$78)))))*K$8))/2000/2.2046</f>
        <v>1073.747451947004</v>
      </c>
      <c r="L247" s="21">
        <f>(SUMPRODUCT(L$9:L$229,Nutrients!$DY$8:$DY$228)+(IF($A$7=Nutrients!$B$8,Nutrients!$DY$8,Nutrients!$DY$9)*L$7)+(((IF($A$8=Nutrients!$B$79,Nutrients!$DY$79,(IF($A$8=Nutrients!$B$77,Nutrients!$DY$77,Nutrients!$DY$78)))))*L$8))/2000/2.2046</f>
        <v>1087.4546661752524</v>
      </c>
      <c r="M247" s="21">
        <f>(SUMPRODUCT(M$9:M$229,Nutrients!$DY$8:$DY$228)+(IF($A$7=Nutrients!$B$8,Nutrients!$DY$8,Nutrients!$DY$9)*M$7)+(((IF($A$8=Nutrients!$B$79,Nutrients!$DY$79,(IF($A$8=Nutrients!$B$77,Nutrients!$DY$77,Nutrients!$DY$78)))))*M$8))/2000/2.2046</f>
        <v>1097.0269850793527</v>
      </c>
      <c r="N247" s="21">
        <f>(SUMPRODUCT(N$9:N$229,Nutrients!$DY$8:$DY$228)+(IF($A$7=Nutrients!$B$8,Nutrients!$DY$8,Nutrients!$DY$9)*N$7)+(((IF($A$8=Nutrients!$B$79,Nutrients!$DY$79,(IF($A$8=Nutrients!$B$77,Nutrients!$DY$77,Nutrients!$DY$78)))))*N$8))/2000/2.2046</f>
        <v>1147.04091606665</v>
      </c>
      <c r="O247" s="234"/>
      <c r="P247" s="21">
        <f>(SUMPRODUCT(P$9:P$229,Nutrients!$DY$8:$DY$228)+(IF($A$7=Nutrients!$B$8,Nutrients!$DY$8,Nutrients!$DY$9)*P$7)+(((IF($A$8=Nutrients!$B$79,Nutrients!$DY$79,(IF($A$8=Nutrients!$B$77,Nutrients!$DY$77,Nutrients!$DY$78)))))*P$8))/2000/2.2046</f>
        <v>993.16695188644837</v>
      </c>
      <c r="Q247" s="21">
        <f>(SUMPRODUCT(Q$9:Q$229,Nutrients!$DY$8:$DY$228)+(IF($A$7=Nutrients!$B$8,Nutrients!$DY$8,Nutrients!$DY$9)*Q$7)+(((IF($A$8=Nutrients!$B$79,Nutrients!$DY$79,(IF($A$8=Nutrients!$B$77,Nutrients!$DY$77,Nutrients!$DY$78)))))*Q$8))/2000/2.2046</f>
        <v>1011.8848734893444</v>
      </c>
      <c r="R247" s="21">
        <f>(SUMPRODUCT(R$9:R$229,Nutrients!$DY$8:$DY$228)+(IF($A$7=Nutrients!$B$8,Nutrients!$DY$8,Nutrients!$DY$9)*R$7)+(((IF($A$8=Nutrients!$B$79,Nutrients!$DY$79,(IF($A$8=Nutrients!$B$77,Nutrients!$DY$77,Nutrients!$DY$78)))))*R$8))/2000/2.2046</f>
        <v>1028.3922669814685</v>
      </c>
      <c r="S247" s="21">
        <f>(SUMPRODUCT(S$9:S$229,Nutrients!$DY$8:$DY$228)+(IF($A$7=Nutrients!$B$8,Nutrients!$DY$8,Nutrients!$DY$9)*S$7)+(((IF($A$8=Nutrients!$B$79,Nutrients!$DY$79,(IF($A$8=Nutrients!$B$77,Nutrients!$DY$77,Nutrients!$DY$78)))))*S$8))/2000/2.2046</f>
        <v>1042.0769535058707</v>
      </c>
      <c r="T247" s="21">
        <f>(SUMPRODUCT(T$9:T$229,Nutrients!$DY$8:$DY$228)+(IF($A$7=Nutrients!$B$8,Nutrients!$DY$8,Nutrients!$DY$9)*T$7)+(((IF($A$8=Nutrients!$B$79,Nutrients!$DY$79,(IF($A$8=Nutrients!$B$77,Nutrients!$DY$77,Nutrients!$DY$78)))))*T$8))/2000/2.2046</f>
        <v>1051.6556630842906</v>
      </c>
      <c r="U247" s="21">
        <f>(SUMPRODUCT(U$9:U$229,Nutrients!$DY$8:$DY$228)+(IF($A$7=Nutrients!$B$8,Nutrients!$DY$8,Nutrients!$DY$9)*U$7)+(((IF($A$8=Nutrients!$B$79,Nutrients!$DY$79,(IF($A$8=Nutrients!$B$77,Nutrients!$DY$77,Nutrients!$DY$78)))))*U$8))/2000/2.2046</f>
        <v>1147.04091606665</v>
      </c>
      <c r="W247" s="21">
        <f>(SUMPRODUCT(W$9:W$229,Nutrients!$DY$8:$DY$228)+(IF($A$7=Nutrients!$B$8,Nutrients!$DY$8,Nutrients!$DY$9)*W$7)+(((IF($A$8=Nutrients!$B$79,Nutrients!$DY$79,(IF($A$8=Nutrients!$B$77,Nutrients!$DY$77,Nutrients!$DY$78)))))*W$8))/2000/2.2046</f>
        <v>947.74648506769665</v>
      </c>
      <c r="X247" s="21">
        <f>(SUMPRODUCT(X$9:X$229,Nutrients!$DY$8:$DY$228)+(IF($A$7=Nutrients!$B$8,Nutrients!$DY$8,Nutrients!$DY$9)*X$7)+(((IF($A$8=Nutrients!$B$79,Nutrients!$DY$79,(IF($A$8=Nutrients!$B$77,Nutrients!$DY$77,Nutrients!$DY$78)))))*X$8))/2000/2.2046</f>
        <v>966.50834607684783</v>
      </c>
      <c r="Y247" s="21">
        <f>(SUMPRODUCT(Y$9:Y$229,Nutrients!$DY$8:$DY$228)+(IF($A$7=Nutrients!$B$8,Nutrients!$DY$8,Nutrients!$DY$9)*Y$7)+(((IF($A$8=Nutrients!$B$79,Nutrients!$DY$79,(IF($A$8=Nutrients!$B$77,Nutrients!$DY$77,Nutrients!$DY$78)))))*Y$8))/2000/2.2046</f>
        <v>983.01581962126204</v>
      </c>
      <c r="Z247" s="21">
        <f>(SUMPRODUCT(Z$9:Z$229,Nutrients!$DY$8:$DY$228)+(IF($A$7=Nutrients!$B$8,Nutrients!$DY$8,Nutrients!$DY$9)*Z$7)+(((IF($A$8=Nutrients!$B$79,Nutrients!$DY$79,(IF($A$8=Nutrients!$B$77,Nutrients!$DY$77,Nutrients!$DY$78)))))*Z$8))/2000/2.2046</f>
        <v>996.71901277139671</v>
      </c>
      <c r="AA247" s="21">
        <f>(SUMPRODUCT(AA$9:AA$229,Nutrients!$DY$8:$DY$228)+(IF($A$7=Nutrients!$B$8,Nutrients!$DY$8,Nutrients!$DY$9)*AA$7)+(((IF($A$8=Nutrients!$B$79,Nutrients!$DY$79,(IF($A$8=Nutrients!$B$77,Nutrients!$DY$77,Nutrients!$DY$78)))))*AA$8))/2000/2.2046</f>
        <v>1006.3542330267044</v>
      </c>
      <c r="AB247" s="21">
        <f>(SUMPRODUCT(AB$9:AB$229,Nutrients!$DY$8:$DY$228)+(IF($A$7=Nutrients!$B$8,Nutrients!$DY$8,Nutrients!$DY$9)*AB$7)+(((IF($A$8=Nutrients!$B$79,Nutrients!$DY$79,(IF($A$8=Nutrients!$B$77,Nutrients!$DY$77,Nutrients!$DY$78)))))*AB$8))/2000/2.2046</f>
        <v>1147.04091606665</v>
      </c>
      <c r="AD247" s="21">
        <f>(SUMPRODUCT(AD$9:AD$229,Nutrients!$DY$8:$DY$228)+(IF($A$7=Nutrients!$B$8,Nutrients!$DY$8,Nutrients!$DY$9)*AD$7)+(((IF($A$8=Nutrients!$B$79,Nutrients!$DY$79,(IF($A$8=Nutrients!$B$77,Nutrients!$DY$77,Nutrients!$DY$78)))))*AD$8))/2000/2.2046</f>
        <v>902.39501188726808</v>
      </c>
      <c r="AE247" s="21">
        <f>(SUMPRODUCT(AE$9:AE$229,Nutrients!$DY$8:$DY$228)+(IF($A$7=Nutrients!$B$8,Nutrients!$DY$8,Nutrients!$DY$9)*AE$7)+(((IF($A$8=Nutrients!$B$79,Nutrients!$DY$79,(IF($A$8=Nutrients!$B$77,Nutrients!$DY$77,Nutrients!$DY$78)))))*AE$8))/2000/2.2046</f>
        <v>921.14067641202178</v>
      </c>
      <c r="AF247" s="21">
        <f>(SUMPRODUCT(AF$9:AF$229,Nutrients!$DY$8:$DY$228)+(IF($A$7=Nutrients!$B$8,Nutrients!$DY$8,Nutrients!$DY$9)*AF$7)+(((IF($A$8=Nutrients!$B$79,Nutrients!$DY$79,(IF($A$8=Nutrients!$B$77,Nutrients!$DY$77,Nutrients!$DY$78)))))*AF$8))/2000/2.2046</f>
        <v>937.65017786849273</v>
      </c>
      <c r="AG247" s="21">
        <f>(SUMPRODUCT(AG$9:AG$229,Nutrients!$DY$8:$DY$228)+(IF($A$7=Nutrients!$B$8,Nutrients!$DY$8,Nutrients!$DY$9)*AG$7)+(((IF($A$8=Nutrients!$B$79,Nutrients!$DY$79,(IF($A$8=Nutrients!$B$77,Nutrients!$DY$77,Nutrients!$DY$78)))))*AG$8))/2000/2.2046</f>
        <v>951.44723277162814</v>
      </c>
      <c r="AH247" s="21">
        <f>(SUMPRODUCT(AH$9:AH$229,Nutrients!$DY$8:$DY$228)+(IF($A$7=Nutrients!$B$8,Nutrients!$DY$8,Nutrients!$DY$9)*AH$7)+(((IF($A$8=Nutrients!$B$79,Nutrients!$DY$79,(IF($A$8=Nutrients!$B$77,Nutrients!$DY$77,Nutrients!$DY$78)))))*AH$8))/2000/2.2046</f>
        <v>960.81188296684763</v>
      </c>
      <c r="AI247" s="21">
        <f>(SUMPRODUCT(AI$9:AI$229,Nutrients!$DY$8:$DY$228)+(IF($A$7=Nutrients!$B$8,Nutrients!$DY$8,Nutrients!$DY$9)*AI$7)+(((IF($A$8=Nutrients!$B$79,Nutrients!$DY$79,(IF($A$8=Nutrients!$B$77,Nutrients!$DY$77,Nutrients!$DY$78)))))*AI$8))/2000/2.2046</f>
        <v>1147.04091606665</v>
      </c>
      <c r="AK247" s="21">
        <f>(SUMPRODUCT(AK$9:AK$229,Nutrients!$DY$8:$DY$228)+(IF($A$7=Nutrients!$B$8,Nutrients!$DY$8,Nutrients!$DY$9)*AK$7)+(((IF($A$8=Nutrients!$B$79,Nutrients!$DY$79,(IF($A$8=Nutrients!$B$77,Nutrients!$DY$77,Nutrients!$DY$78)))))*AK$8))/2000/2.2046</f>
        <v>857.31745878406525</v>
      </c>
      <c r="AL247" s="21">
        <f>(SUMPRODUCT(AL$9:AL$229,Nutrients!$DY$8:$DY$228)+(IF($A$7=Nutrients!$B$8,Nutrients!$DY$8,Nutrients!$DY$9)*AL$7)+(((IF($A$8=Nutrients!$B$79,Nutrients!$DY$79,(IF($A$8=Nutrients!$B$77,Nutrients!$DY$77,Nutrients!$DY$78)))))*AL$8))/2000/2.2046</f>
        <v>875.78532789640929</v>
      </c>
      <c r="AM247" s="21">
        <f>(SUMPRODUCT(AM$9:AM$229,Nutrients!$DY$8:$DY$228)+(IF($A$7=Nutrients!$B$8,Nutrients!$DY$8,Nutrients!$DY$9)*AM$7)+(((IF($A$8=Nutrients!$B$79,Nutrients!$DY$79,(IF($A$8=Nutrients!$B$77,Nutrients!$DY$77,Nutrients!$DY$78)))))*AM$8))/2000/2.2046</f>
        <v>892.32785140024976</v>
      </c>
      <c r="AN247" s="21">
        <f>(SUMPRODUCT(AN$9:AN$229,Nutrients!$DY$8:$DY$228)+(IF($A$7=Nutrients!$B$8,Nutrients!$DY$8,Nutrients!$DY$9)*AN$7)+(((IF($A$8=Nutrients!$B$79,Nutrients!$DY$79,(IF($A$8=Nutrients!$B$77,Nutrients!$DY$77,Nutrients!$DY$78)))))*AN$8))/2000/2.2046</f>
        <v>905.75680549656568</v>
      </c>
      <c r="AO247" s="21">
        <f>(SUMPRODUCT(AO$9:AO$229,Nutrients!$DY$8:$DY$228)+(IF($A$7=Nutrients!$B$8,Nutrients!$DY$8,Nutrients!$DY$9)*AO$7)+(((IF($A$8=Nutrients!$B$79,Nutrients!$DY$79,(IF($A$8=Nutrients!$B$77,Nutrients!$DY$77,Nutrients!$DY$78)))))*AO$8))/2000/2.2046</f>
        <v>915.42357418314293</v>
      </c>
      <c r="AP247" s="21">
        <f>(SUMPRODUCT(AP$9:AP$229,Nutrients!$DY$8:$DY$228)+(IF($A$7=Nutrients!$B$8,Nutrients!$DY$8,Nutrients!$DY$9)*AP$7)+(((IF($A$8=Nutrients!$B$79,Nutrients!$DY$79,(IF($A$8=Nutrients!$B$77,Nutrients!$DY$77,Nutrients!$DY$78)))))*AP$8))/2000/2.2046</f>
        <v>1147.04091606665</v>
      </c>
      <c r="AR247" s="21">
        <f>(SUMPRODUCT(AR$9:AR$229,Nutrients!$DY$8:$DY$228)+(IF($A$7=Nutrients!$B$8,Nutrients!$DY$8,Nutrients!$DY$9)*AR$7)+(((IF($A$8=Nutrients!$B$79,Nutrients!$DY$79,(IF($A$8=Nutrients!$B$77,Nutrients!$DY$77,Nutrients!$DY$78)))))*AR$8))/2000/2.2046</f>
        <v>811.82544080313357</v>
      </c>
      <c r="AS247" s="21">
        <f>(SUMPRODUCT(AS$9:AS$229,Nutrients!$DY$8:$DY$228)+(IF($A$7=Nutrients!$B$8,Nutrients!$DY$8,Nutrients!$DY$9)*AS$7)+(((IF($A$8=Nutrients!$B$79,Nutrients!$DY$79,(IF($A$8=Nutrients!$B$77,Nutrients!$DY$77,Nutrients!$DY$78)))))*AS$8))/2000/2.2046</f>
        <v>830.40509184369205</v>
      </c>
      <c r="AT247" s="21">
        <f>(SUMPRODUCT(AT$9:AT$229,Nutrients!$DY$8:$DY$228)+(IF($A$7=Nutrients!$B$8,Nutrients!$DY$8,Nutrients!$DY$9)*AT$7)+(((IF($A$8=Nutrients!$B$79,Nutrients!$DY$79,(IF($A$8=Nutrients!$B$77,Nutrients!$DY$77,Nutrients!$DY$78)))))*AT$8))/2000/2.2046</f>
        <v>846.69424338374745</v>
      </c>
      <c r="AU247" s="21">
        <f>(SUMPRODUCT(AU$9:AU$229,Nutrients!$DY$8:$DY$228)+(IF($A$7=Nutrients!$B$8,Nutrients!$DY$8,Nutrients!$DY$9)*AU$7)+(((IF($A$8=Nutrients!$B$79,Nutrients!$DY$79,(IF($A$8=Nutrients!$B$77,Nutrients!$DY$77,Nutrients!$DY$78)))))*AU$8))/2000/2.2046</f>
        <v>860.34297657559421</v>
      </c>
      <c r="AV247" s="21">
        <f>(SUMPRODUCT(AV$9:AV$229,Nutrients!$DY$8:$DY$228)+(IF($A$7=Nutrients!$B$8,Nutrients!$DY$8,Nutrients!$DY$9)*AV$7)+(((IF($A$8=Nutrients!$B$79,Nutrients!$DY$79,(IF($A$8=Nutrients!$B$77,Nutrients!$DY$77,Nutrients!$DY$78)))))*AV$8))/2000/2.2046</f>
        <v>870.05758755754562</v>
      </c>
      <c r="AW247" s="21">
        <f>(SUMPRODUCT(AW$9:AW$229,Nutrients!$DY$8:$DY$228)+(IF($A$7=Nutrients!$B$8,Nutrients!$DY$8,Nutrients!$DY$9)*AW$7)+(((IF($A$8=Nutrients!$B$79,Nutrients!$DY$79,(IF($A$8=Nutrients!$B$77,Nutrients!$DY$77,Nutrients!$DY$78)))))*AW$8))/2000/2.2046</f>
        <v>1147.04091606665</v>
      </c>
    </row>
    <row r="248" spans="1:56" x14ac:dyDescent="0.25">
      <c r="A248" s="5" t="s">
        <v>31</v>
      </c>
      <c r="B248" s="21">
        <f>(SUMPRODUCT(B$9:B$229,Nutrients!$DZ$8:$DZ$228)+(IF($A$7=Nutrients!$B$8,Nutrients!$DZ$8,Nutrients!$DZ$9)*B$7)+(((IF($A$8=Nutrients!$B$79,Nutrients!$DZ$79,(IF($A$8=Nutrients!$B$77,Nutrients!$DZ$77,Nutrients!$DZ$78)))))*B$8))/2000/2.2046</f>
        <v>1125.1001476776023</v>
      </c>
      <c r="C248" s="21">
        <f>(SUMPRODUCT(C$9:C$229,Nutrients!$DZ$8:$DZ$228)+(IF($A$7=Nutrients!$B$8,Nutrients!$DZ$8,Nutrients!$DZ$9)*C$7)+(((IF($A$8=Nutrients!$B$79,Nutrients!$DZ$79,(IF($A$8=Nutrients!$B$77,Nutrients!$DZ$77,Nutrients!$DZ$78)))))*C$8))/2000/2.2046</f>
        <v>1142.795652894368</v>
      </c>
      <c r="D248" s="21">
        <f>(SUMPRODUCT(D$9:D$229,Nutrients!$DZ$8:$DZ$228)+(IF($A$7=Nutrients!$B$8,Nutrients!$DZ$8,Nutrients!$DZ$9)*D$7)+(((IF($A$8=Nutrients!$B$79,Nutrients!$DZ$79,(IF($A$8=Nutrients!$B$77,Nutrients!$DZ$77,Nutrients!$DZ$78)))))*D$8))/2000/2.2046</f>
        <v>1158.2172951602411</v>
      </c>
      <c r="E248" s="21">
        <f>(SUMPRODUCT(E$9:E$229,Nutrients!$DZ$8:$DZ$228)+(IF($A$7=Nutrients!$B$8,Nutrients!$DZ$8,Nutrients!$DZ$9)*E$7)+(((IF($A$8=Nutrients!$B$79,Nutrients!$DZ$79,(IF($A$8=Nutrients!$B$77,Nutrients!$DZ$77,Nutrients!$DZ$78)))))*E$8))/2000/2.2046</f>
        <v>1171.3956144840422</v>
      </c>
      <c r="F248" s="21">
        <f>(SUMPRODUCT(F$9:F$229,Nutrients!$DZ$8:$DZ$228)+(IF($A$7=Nutrients!$B$8,Nutrients!$DZ$8,Nutrients!$DZ$9)*F$7)+(((IF($A$8=Nutrients!$B$79,Nutrients!$DZ$79,(IF($A$8=Nutrients!$B$77,Nutrients!$DZ$77,Nutrients!$DZ$78)))))*F$8))/2000/2.2046</f>
        <v>1180.5769470002078</v>
      </c>
      <c r="G248" s="21">
        <f>(SUMPRODUCT(G$9:G$229,Nutrients!$DZ$8:$DZ$228)+(IF($A$7=Nutrients!$B$8,Nutrients!$DZ$8,Nutrients!$DZ$9)*G$7)+(((IF($A$8=Nutrients!$B$79,Nutrients!$DZ$79,(IF($A$8=Nutrients!$B$77,Nutrients!$DZ$77,Nutrients!$DZ$78)))))*G$8))/2000/2.2046</f>
        <v>1184.8954698199086</v>
      </c>
      <c r="H248" s="226"/>
      <c r="I248" s="21">
        <f>(SUMPRODUCT(I$9:I$229,Nutrients!$DZ$8:$DZ$228)+(IF($A$7=Nutrients!$B$8,Nutrients!$DZ$8,Nutrients!$DZ$9)*I$7)+(((IF($A$8=Nutrients!$B$79,Nutrients!$DZ$79,(IF($A$8=Nutrients!$B$77,Nutrients!$DZ$77,Nutrients!$DZ$78)))))*I$8))/2000/2.2046</f>
        <v>1077.2086704521087</v>
      </c>
      <c r="J248" s="21">
        <f>(SUMPRODUCT(J$9:J$229,Nutrients!$DZ$8:$DZ$228)+(IF($A$7=Nutrients!$B$8,Nutrients!$DZ$8,Nutrients!$DZ$9)*J$7)+(((IF($A$8=Nutrients!$B$79,Nutrients!$DZ$79,(IF($A$8=Nutrients!$B$77,Nutrients!$DZ$77,Nutrients!$DZ$78)))))*J$8))/2000/2.2046</f>
        <v>1094.973811109528</v>
      </c>
      <c r="K248" s="21">
        <f>(SUMPRODUCT(K$9:K$229,Nutrients!$DZ$8:$DZ$228)+(IF($A$7=Nutrients!$B$8,Nutrients!$DZ$8,Nutrients!$DZ$9)*K$7)+(((IF($A$8=Nutrients!$B$79,Nutrients!$DZ$79,(IF($A$8=Nutrients!$B$77,Nutrients!$DZ$77,Nutrients!$DZ$78)))))*K$8))/2000/2.2046</f>
        <v>1110.6504184245086</v>
      </c>
      <c r="L248" s="21">
        <f>(SUMPRODUCT(L$9:L$229,Nutrients!$DZ$8:$DZ$228)+(IF($A$7=Nutrients!$B$8,Nutrients!$DZ$8,Nutrients!$DZ$9)*L$7)+(((IF($A$8=Nutrients!$B$79,Nutrients!$DZ$79,(IF($A$8=Nutrients!$B$77,Nutrients!$DZ$77,Nutrients!$DZ$78)))))*L$8))/2000/2.2046</f>
        <v>1123.7042371092468</v>
      </c>
      <c r="M248" s="21">
        <f>(SUMPRODUCT(M$9:M$229,Nutrients!$DZ$8:$DZ$228)+(IF($A$7=Nutrients!$B$8,Nutrients!$DZ$8,Nutrients!$DZ$9)*M$7)+(((IF($A$8=Nutrients!$B$79,Nutrients!$DZ$79,(IF($A$8=Nutrients!$B$77,Nutrients!$DZ$77,Nutrients!$DZ$78)))))*M$8))/2000/2.2046</f>
        <v>1132.8521699528465</v>
      </c>
      <c r="N248" s="21">
        <f>(SUMPRODUCT(N$9:N$229,Nutrients!$DZ$8:$DZ$228)+(IF($A$7=Nutrients!$B$8,Nutrients!$DZ$8,Nutrients!$DZ$9)*N$7)+(((IF($A$8=Nutrients!$B$79,Nutrients!$DZ$79,(IF($A$8=Nutrients!$B$77,Nutrients!$DZ$77,Nutrients!$DZ$78)))))*N$8))/2000/2.2046</f>
        <v>1184.8954698199086</v>
      </c>
      <c r="O248" s="234"/>
      <c r="P248" s="21">
        <f>(SUMPRODUCT(P$9:P$229,Nutrients!$DZ$8:$DZ$228)+(IF($A$7=Nutrients!$B$8,Nutrients!$DZ$8,Nutrients!$DZ$9)*P$7)+(((IF($A$8=Nutrients!$B$79,Nutrients!$DZ$79,(IF($A$8=Nutrients!$B$77,Nutrients!$DZ$77,Nutrients!$DZ$78)))))*P$8))/2000/2.2046</f>
        <v>1029.4986329492795</v>
      </c>
      <c r="Q248" s="21">
        <f>(SUMPRODUCT(Q$9:Q$229,Nutrients!$DZ$8:$DZ$228)+(IF($A$7=Nutrients!$B$8,Nutrients!$DZ$8,Nutrients!$DZ$9)*Q$7)+(((IF($A$8=Nutrients!$B$79,Nutrients!$DZ$79,(IF($A$8=Nutrients!$B$77,Nutrients!$DZ$77,Nutrients!$DZ$78)))))*Q$8))/2000/2.2046</f>
        <v>1047.3010563835023</v>
      </c>
      <c r="R248" s="21">
        <f>(SUMPRODUCT(R$9:R$229,Nutrients!$DZ$8:$DZ$228)+(IF($A$7=Nutrients!$B$8,Nutrients!$DZ$8,Nutrients!$DZ$9)*R$7)+(((IF($A$8=Nutrients!$B$79,Nutrients!$DZ$79,(IF($A$8=Nutrients!$B$77,Nutrients!$DZ$77,Nutrients!$DZ$78)))))*R$8))/2000/2.2046</f>
        <v>1063.0339381189124</v>
      </c>
      <c r="S248" s="21">
        <f>(SUMPRODUCT(S$9:S$229,Nutrients!$DZ$8:$DZ$228)+(IF($A$7=Nutrients!$B$8,Nutrients!$DZ$8,Nutrients!$DZ$9)*S$7)+(((IF($A$8=Nutrients!$B$79,Nutrients!$DZ$79,(IF($A$8=Nutrients!$B$77,Nutrients!$DZ$77,Nutrients!$DZ$78)))))*S$8))/2000/2.2046</f>
        <v>1076.0656222518332</v>
      </c>
      <c r="T248" s="21">
        <f>(SUMPRODUCT(T$9:T$229,Nutrients!$DZ$8:$DZ$228)+(IF($A$7=Nutrients!$B$8,Nutrients!$DZ$8,Nutrients!$DZ$9)*T$7)+(((IF($A$8=Nutrients!$B$79,Nutrients!$DZ$79,(IF($A$8=Nutrients!$B$77,Nutrients!$DZ$77,Nutrients!$DZ$78)))))*T$8))/2000/2.2046</f>
        <v>1085.2189654481281</v>
      </c>
      <c r="U248" s="21">
        <f>(SUMPRODUCT(U$9:U$229,Nutrients!$DZ$8:$DZ$228)+(IF($A$7=Nutrients!$B$8,Nutrients!$DZ$8,Nutrients!$DZ$9)*U$7)+(((IF($A$8=Nutrients!$B$79,Nutrients!$DZ$79,(IF($A$8=Nutrients!$B$77,Nutrients!$DZ$77,Nutrients!$DZ$78)))))*U$8))/2000/2.2046</f>
        <v>1184.8954698199086</v>
      </c>
      <c r="W248" s="21">
        <f>(SUMPRODUCT(W$9:W$229,Nutrients!$DZ$8:$DZ$228)+(IF($A$7=Nutrients!$B$8,Nutrients!$DZ$8,Nutrients!$DZ$9)*W$7)+(((IF($A$8=Nutrients!$B$79,Nutrients!$DZ$79,(IF($A$8=Nutrients!$B$77,Nutrients!$DZ$77,Nutrients!$DZ$78)))))*W$8))/2000/2.2046</f>
        <v>981.81801008514276</v>
      </c>
      <c r="X248" s="21">
        <f>(SUMPRODUCT(X$9:X$229,Nutrients!$DZ$8:$DZ$228)+(IF($A$7=Nutrients!$B$8,Nutrients!$DZ$8,Nutrients!$DZ$9)*X$7)+(((IF($A$8=Nutrients!$B$79,Nutrients!$DZ$79,(IF($A$8=Nutrients!$B$77,Nutrients!$DZ$77,Nutrients!$DZ$78)))))*X$8))/2000/2.2046</f>
        <v>999.66360609794742</v>
      </c>
      <c r="Y248" s="21">
        <f>(SUMPRODUCT(Y$9:Y$229,Nutrients!$DZ$8:$DZ$228)+(IF($A$7=Nutrients!$B$8,Nutrients!$DZ$8,Nutrients!$DZ$9)*Y$7)+(((IF($A$8=Nutrients!$B$79,Nutrients!$DZ$79,(IF($A$8=Nutrients!$B$77,Nutrients!$DZ$77,Nutrients!$DZ$78)))))*Y$8))/2000/2.2046</f>
        <v>1015.3976921645282</v>
      </c>
      <c r="Z248" s="21">
        <f>(SUMPRODUCT(Z$9:Z$229,Nutrients!$DZ$8:$DZ$228)+(IF($A$7=Nutrients!$B$8,Nutrients!$DZ$8,Nutrients!$DZ$9)*Z$7)+(((IF($A$8=Nutrients!$B$79,Nutrients!$DZ$79,(IF($A$8=Nutrients!$B$77,Nutrients!$DZ$77,Nutrients!$DZ$78)))))*Z$8))/2000/2.2046</f>
        <v>1028.4486126006059</v>
      </c>
      <c r="AA248" s="21">
        <f>(SUMPRODUCT(AA$9:AA$229,Nutrients!$DZ$8:$DZ$228)+(IF($A$7=Nutrients!$B$8,Nutrients!$DZ$8,Nutrients!$DZ$9)*AA$7)+(((IF($A$8=Nutrients!$B$79,Nutrients!$DZ$79,(IF($A$8=Nutrients!$B$77,Nutrients!$DZ$77,Nutrients!$DZ$78)))))*AA$8))/2000/2.2046</f>
        <v>1037.6544224394975</v>
      </c>
      <c r="AB248" s="21">
        <f>(SUMPRODUCT(AB$9:AB$229,Nutrients!$DZ$8:$DZ$228)+(IF($A$7=Nutrients!$B$8,Nutrients!$DZ$8,Nutrients!$DZ$9)*AB$7)+(((IF($A$8=Nutrients!$B$79,Nutrients!$DZ$79,(IF($A$8=Nutrients!$B$77,Nutrients!$DZ$77,Nutrients!$DZ$78)))))*AB$8))/2000/2.2046</f>
        <v>1184.8954698199086</v>
      </c>
      <c r="AD248" s="21">
        <f>(SUMPRODUCT(AD$9:AD$229,Nutrients!$DZ$8:$DZ$228)+(IF($A$7=Nutrients!$B$8,Nutrients!$DZ$8,Nutrients!$DZ$9)*AD$7)+(((IF($A$8=Nutrients!$B$79,Nutrients!$DZ$79,(IF($A$8=Nutrients!$B$77,Nutrients!$DZ$77,Nutrients!$DZ$78)))))*AD$8))/2000/2.2046</f>
        <v>934.20573962479409</v>
      </c>
      <c r="AE248" s="21">
        <f>(SUMPRODUCT(AE$9:AE$229,Nutrients!$DZ$8:$DZ$228)+(IF($A$7=Nutrients!$B$8,Nutrients!$DZ$8,Nutrients!$DZ$9)*AE$7)+(((IF($A$8=Nutrients!$B$79,Nutrients!$DZ$79,(IF($A$8=Nutrients!$B$77,Nutrients!$DZ$77,Nutrients!$DZ$78)))))*AE$8))/2000/2.2046</f>
        <v>952.03542181319847</v>
      </c>
      <c r="AF248" s="21">
        <f>(SUMPRODUCT(AF$9:AF$229,Nutrients!$DZ$8:$DZ$228)+(IF($A$7=Nutrients!$B$8,Nutrients!$DZ$8,Nutrients!$DZ$9)*AF$7)+(((IF($A$8=Nutrients!$B$79,Nutrients!$DZ$79,(IF($A$8=Nutrients!$B$77,Nutrients!$DZ$77,Nutrients!$DZ$78)))))*AF$8))/2000/2.2046</f>
        <v>967.77388681057232</v>
      </c>
      <c r="AG248" s="21">
        <f>(SUMPRODUCT(AG$9:AG$229,Nutrients!$DZ$8:$DZ$228)+(IF($A$7=Nutrients!$B$8,Nutrients!$DZ$8,Nutrients!$DZ$9)*AG$7)+(((IF($A$8=Nutrients!$B$79,Nutrients!$DZ$79,(IF($A$8=Nutrients!$B$77,Nutrients!$DZ$77,Nutrients!$DZ$78)))))*AG$8))/2000/2.2046</f>
        <v>980.91263936093003</v>
      </c>
      <c r="AH248" s="21">
        <f>(SUMPRODUCT(AH$9:AH$229,Nutrients!$DZ$8:$DZ$228)+(IF($A$7=Nutrients!$B$8,Nutrients!$DZ$8,Nutrients!$DZ$9)*AH$7)+(((IF($A$8=Nutrients!$B$79,Nutrients!$DZ$79,(IF($A$8=Nutrients!$B$77,Nutrients!$DZ$77,Nutrients!$DZ$78)))))*AH$8))/2000/2.2046</f>
        <v>989.80835220313941</v>
      </c>
      <c r="AI248" s="21">
        <f>(SUMPRODUCT(AI$9:AI$229,Nutrients!$DZ$8:$DZ$228)+(IF($A$7=Nutrients!$B$8,Nutrients!$DZ$8,Nutrients!$DZ$9)*AI$7)+(((IF($A$8=Nutrients!$B$79,Nutrients!$DZ$79,(IF($A$8=Nutrients!$B$77,Nutrients!$DZ$77,Nutrients!$DZ$78)))))*AI$8))/2000/2.2046</f>
        <v>1184.8954698199086</v>
      </c>
      <c r="AK248" s="21">
        <f>(SUMPRODUCT(AK$9:AK$229,Nutrients!$DZ$8:$DZ$228)+(IF($A$7=Nutrients!$B$8,Nutrients!$DZ$8,Nutrients!$DZ$9)*AK$7)+(((IF($A$8=Nutrients!$B$79,Nutrients!$DZ$79,(IF($A$8=Nutrients!$B$77,Nutrients!$DZ$77,Nutrients!$DZ$78)))))*AK$8))/2000/2.2046</f>
        <v>886.8628902252035</v>
      </c>
      <c r="AL248" s="21">
        <f>(SUMPRODUCT(AL$9:AL$229,Nutrients!$DZ$8:$DZ$228)+(IF($A$7=Nutrients!$B$8,Nutrients!$DZ$8,Nutrients!$DZ$9)*AL$7)+(((IF($A$8=Nutrients!$B$79,Nutrients!$DZ$79,(IF($A$8=Nutrients!$B$77,Nutrients!$DZ$77,Nutrients!$DZ$78)))))*AL$8))/2000/2.2046</f>
        <v>904.41962506875143</v>
      </c>
      <c r="AM248" s="21">
        <f>(SUMPRODUCT(AM$9:AM$229,Nutrients!$DZ$8:$DZ$228)+(IF($A$7=Nutrients!$B$8,Nutrients!$DZ$8,Nutrients!$DZ$9)*AM$7)+(((IF($A$8=Nutrients!$B$79,Nutrients!$DZ$79,(IF($A$8=Nutrients!$B$77,Nutrients!$DZ$77,Nutrients!$DZ$78)))))*AM$8))/2000/2.2046</f>
        <v>920.18853065510416</v>
      </c>
      <c r="AN248" s="21">
        <f>(SUMPRODUCT(AN$9:AN$229,Nutrients!$DZ$8:$DZ$228)+(IF($A$7=Nutrients!$B$8,Nutrients!$DZ$8,Nutrients!$DZ$9)*AN$7)+(((IF($A$8=Nutrients!$B$79,Nutrients!$DZ$79,(IF($A$8=Nutrients!$B$77,Nutrients!$DZ$77,Nutrients!$DZ$78)))))*AN$8))/2000/2.2046</f>
        <v>932.92309061532683</v>
      </c>
      <c r="AO248" s="21">
        <f>(SUMPRODUCT(AO$9:AO$229,Nutrients!$DZ$8:$DZ$228)+(IF($A$7=Nutrients!$B$8,Nutrients!$DZ$8,Nutrients!$DZ$9)*AO$7)+(((IF($A$8=Nutrients!$B$79,Nutrients!$DZ$79,(IF($A$8=Nutrients!$B$77,Nutrients!$DZ$77,Nutrients!$DZ$78)))))*AO$8))/2000/2.2046</f>
        <v>942.10607402155676</v>
      </c>
      <c r="AP248" s="21">
        <f>(SUMPRODUCT(AP$9:AP$229,Nutrients!$DZ$8:$DZ$228)+(IF($A$7=Nutrients!$B$8,Nutrients!$DZ$8,Nutrients!$DZ$9)*AP$7)+(((IF($A$8=Nutrients!$B$79,Nutrients!$DZ$79,(IF($A$8=Nutrients!$B$77,Nutrients!$DZ$77,Nutrients!$DZ$78)))))*AP$8))/2000/2.2046</f>
        <v>1184.8954698199086</v>
      </c>
      <c r="AR248" s="21">
        <f>(SUMPRODUCT(AR$9:AR$229,Nutrients!$DZ$8:$DZ$228)+(IF($A$7=Nutrients!$B$8,Nutrients!$DZ$8,Nutrients!$DZ$9)*AR$7)+(((IF($A$8=Nutrients!$B$79,Nutrients!$DZ$79,(IF($A$8=Nutrients!$B$77,Nutrients!$DZ$77,Nutrients!$DZ$78)))))*AR$8))/2000/2.2046</f>
        <v>839.11233825571094</v>
      </c>
      <c r="AS248" s="21">
        <f>(SUMPRODUCT(AS$9:AS$229,Nutrients!$DZ$8:$DZ$228)+(IF($A$7=Nutrients!$B$8,Nutrients!$DZ$8,Nutrients!$DZ$9)*AS$7)+(((IF($A$8=Nutrients!$B$79,Nutrients!$DZ$79,(IF($A$8=Nutrients!$B$77,Nutrients!$DZ$77,Nutrients!$DZ$78)))))*AS$8))/2000/2.2046</f>
        <v>856.778904202891</v>
      </c>
      <c r="AT248" s="21">
        <f>(SUMPRODUCT(AT$9:AT$229,Nutrients!$DZ$8:$DZ$228)+(IF($A$7=Nutrients!$B$8,Nutrients!$DZ$8,Nutrients!$DZ$9)*AT$7)+(((IF($A$8=Nutrients!$B$79,Nutrients!$DZ$79,(IF($A$8=Nutrients!$B$77,Nutrients!$DZ$77,Nutrients!$DZ$78)))))*AT$8))/2000/2.2046</f>
        <v>872.28276370687195</v>
      </c>
      <c r="AU248" s="21">
        <f>(SUMPRODUCT(AU$9:AU$229,Nutrients!$DZ$8:$DZ$228)+(IF($A$7=Nutrients!$B$8,Nutrients!$DZ$8,Nutrients!$DZ$9)*AU$7)+(((IF($A$8=Nutrients!$B$79,Nutrients!$DZ$79,(IF($A$8=Nutrients!$B$77,Nutrients!$DZ$77,Nutrients!$DZ$78)))))*AU$8))/2000/2.2046</f>
        <v>885.19542912537258</v>
      </c>
      <c r="AV248" s="21">
        <f>(SUMPRODUCT(AV$9:AV$229,Nutrients!$DZ$8:$DZ$228)+(IF($A$7=Nutrients!$B$8,Nutrients!$DZ$8,Nutrients!$DZ$9)*AV$7)+(((IF($A$8=Nutrients!$B$79,Nutrients!$DZ$79,(IF($A$8=Nutrients!$B$77,Nutrients!$DZ$77,Nutrients!$DZ$78)))))*AV$8))/2000/2.2046</f>
        <v>894.42538107379312</v>
      </c>
      <c r="AW248" s="21">
        <f>(SUMPRODUCT(AW$9:AW$229,Nutrients!$DZ$8:$DZ$228)+(IF($A$7=Nutrients!$B$8,Nutrients!$DZ$8,Nutrients!$DZ$9)*AW$7)+(((IF($A$8=Nutrients!$B$79,Nutrients!$DZ$79,(IF($A$8=Nutrients!$B$77,Nutrients!$DZ$77,Nutrients!$DZ$78)))))*AW$8))/2000/2.2046</f>
        <v>1184.8954698199086</v>
      </c>
    </row>
    <row r="249" spans="1:56" x14ac:dyDescent="0.25">
      <c r="A249" s="5" t="s">
        <v>61</v>
      </c>
      <c r="B249" s="21">
        <f>(SUMPRODUCT(B$9:B$229,Nutrients!$D$8:$D$228)+(IF($A$7=Nutrients!$B$8,Nutrients!$D$8,Nutrients!$D$9)*B$7)+(((IF($A$8=Nutrients!$B$79,Nutrients!$D$79,(IF($A$8=Nutrients!$B$77,Nutrients!$D$77,Nutrients!$D$78)))))*B$8))/2000/2.2046</f>
        <v>1555.1808706013358</v>
      </c>
      <c r="C249" s="21">
        <f>(SUMPRODUCT(C$9:C$229,Nutrients!$D$8:$D$228)+(IF($A$7=Nutrients!$B$8,Nutrients!$D$8,Nutrients!$D$9)*C$7)+(((IF($A$8=Nutrients!$B$79,Nutrients!$D$79,(IF($A$8=Nutrients!$B$77,Nutrients!$D$77,Nutrients!$D$78)))))*C$8))/2000/2.2046</f>
        <v>1553.9515936192374</v>
      </c>
      <c r="D249" s="21">
        <f>(SUMPRODUCT(D$9:D$229,Nutrients!$D$8:$D$228)+(IF($A$7=Nutrients!$B$8,Nutrients!$D$8,Nutrients!$D$9)*D$7)+(((IF($A$8=Nutrients!$B$79,Nutrients!$D$79,(IF($A$8=Nutrients!$B$77,Nutrients!$D$77,Nutrients!$D$78)))))*D$8))/2000/2.2046</f>
        <v>1553.0837722463236</v>
      </c>
      <c r="E249" s="21">
        <f>(SUMPRODUCT(E$9:E$229,Nutrients!$D$8:$D$228)+(IF($A$7=Nutrients!$B$8,Nutrients!$D$8,Nutrients!$D$9)*E$7)+(((IF($A$8=Nutrients!$B$79,Nutrients!$D$79,(IF($A$8=Nutrients!$B$77,Nutrients!$D$77,Nutrients!$D$78)))))*E$8))/2000/2.2046</f>
        <v>1552.6251876342408</v>
      </c>
      <c r="F249" s="21">
        <f>(SUMPRODUCT(F$9:F$229,Nutrients!$D$8:$D$228)+(IF($A$7=Nutrients!$B$8,Nutrients!$D$8,Nutrients!$D$9)*F$7)+(((IF($A$8=Nutrients!$B$79,Nutrients!$D$79,(IF($A$8=Nutrients!$B$77,Nutrients!$D$77,Nutrients!$D$78)))))*F$8))/2000/2.2046</f>
        <v>1552.7788119489294</v>
      </c>
      <c r="G249" s="21">
        <f>(SUMPRODUCT(G$9:G$229,Nutrients!$D$8:$D$228)+(IF($A$7=Nutrients!$B$8,Nutrients!$D$8,Nutrients!$D$9)*G$7)+(((IF($A$8=Nutrients!$B$79,Nutrients!$D$79,(IF($A$8=Nutrients!$B$77,Nutrients!$D$77,Nutrients!$D$78)))))*G$8))/2000/2.2046</f>
        <v>1552.432918309064</v>
      </c>
      <c r="H249" s="226"/>
      <c r="I249" s="21">
        <f>(SUMPRODUCT(I$9:I$229,Nutrients!$D$8:$D$228)+(IF($A$7=Nutrients!$B$8,Nutrients!$D$8,Nutrients!$D$9)*I$7)+(((IF($A$8=Nutrients!$B$79,Nutrients!$D$79,(IF($A$8=Nutrients!$B$77,Nutrients!$D$77,Nutrients!$D$78)))))*I$8))/2000/2.2046</f>
        <v>1571.9826958957058</v>
      </c>
      <c r="J249" s="21">
        <f>(SUMPRODUCT(J$9:J$229,Nutrients!$D$8:$D$228)+(IF($A$7=Nutrients!$B$8,Nutrients!$D$8,Nutrients!$D$9)*J$7)+(((IF($A$8=Nutrients!$B$79,Nutrients!$D$79,(IF($A$8=Nutrients!$B$77,Nutrients!$D$77,Nutrients!$D$78)))))*J$8))/2000/2.2046</f>
        <v>1570.8284111716903</v>
      </c>
      <c r="K249" s="21">
        <f>(SUMPRODUCT(K$9:K$229,Nutrients!$D$8:$D$228)+(IF($A$7=Nutrients!$B$8,Nutrients!$D$8,Nutrients!$D$9)*K$7)+(((IF($A$8=Nutrients!$B$79,Nutrients!$D$79,(IF($A$8=Nutrients!$B$77,Nutrients!$D$77,Nutrients!$D$78)))))*K$8))/2000/2.2046</f>
        <v>1570.2687972059139</v>
      </c>
      <c r="L249" s="21">
        <f>(SUMPRODUCT(L$9:L$229,Nutrients!$D$8:$D$228)+(IF($A$7=Nutrients!$B$8,Nutrients!$D$8,Nutrients!$D$9)*L$7)+(((IF($A$8=Nutrients!$B$79,Nutrients!$D$79,(IF($A$8=Nutrients!$B$77,Nutrients!$D$77,Nutrients!$D$78)))))*L$8))/2000/2.2046</f>
        <v>1569.6810361860703</v>
      </c>
      <c r="M249" s="21">
        <f>(SUMPRODUCT(M$9:M$229,Nutrients!$D$8:$D$228)+(IF($A$7=Nutrients!$B$8,Nutrients!$D$8,Nutrients!$D$9)*M$7)+(((IF($A$8=Nutrients!$B$79,Nutrients!$D$79,(IF($A$8=Nutrients!$B$77,Nutrients!$D$77,Nutrients!$D$78)))))*M$8))/2000/2.2046</f>
        <v>1569.7840891897256</v>
      </c>
      <c r="N249" s="21">
        <f>(SUMPRODUCT(N$9:N$229,Nutrients!$D$8:$D$228)+(IF($A$7=Nutrients!$B$8,Nutrients!$D$8,Nutrients!$D$9)*N$7)+(((IF($A$8=Nutrients!$B$79,Nutrients!$D$79,(IF($A$8=Nutrients!$B$77,Nutrients!$D$77,Nutrients!$D$78)))))*N$8))/2000/2.2046</f>
        <v>1552.432918309064</v>
      </c>
      <c r="O249" s="234"/>
      <c r="P249" s="21">
        <f>(SUMPRODUCT(P$9:P$229,Nutrients!$D$8:$D$228)+(IF($A$7=Nutrients!$B$8,Nutrients!$D$8,Nutrients!$D$9)*P$7)+(((IF($A$8=Nutrients!$B$79,Nutrients!$D$79,(IF($A$8=Nutrients!$B$77,Nutrients!$D$77,Nutrients!$D$78)))))*P$8))/2000/2.2046</f>
        <v>1588.9966750937635</v>
      </c>
      <c r="Q249" s="21">
        <f>(SUMPRODUCT(Q$9:Q$229,Nutrients!$D$8:$D$228)+(IF($A$7=Nutrients!$B$8,Nutrients!$D$8,Nutrients!$D$9)*Q$7)+(((IF($A$8=Nutrients!$B$79,Nutrients!$D$79,(IF($A$8=Nutrients!$B$77,Nutrients!$D$77,Nutrients!$D$78)))))*Q$8))/2000/2.2046</f>
        <v>1587.884127208165</v>
      </c>
      <c r="R249" s="21">
        <f>(SUMPRODUCT(R$9:R$229,Nutrients!$D$8:$D$228)+(IF($A$7=Nutrients!$B$8,Nutrients!$D$8,Nutrients!$D$9)*R$7)+(((IF($A$8=Nutrients!$B$79,Nutrients!$D$79,(IF($A$8=Nutrients!$B$77,Nutrients!$D$77,Nutrients!$D$78)))))*R$8))/2000/2.2046</f>
        <v>1587.3875105991794</v>
      </c>
      <c r="S249" s="21">
        <f>(SUMPRODUCT(S$9:S$229,Nutrients!$D$8:$D$228)+(IF($A$7=Nutrients!$B$8,Nutrients!$D$8,Nutrients!$D$9)*S$7)+(((IF($A$8=Nutrients!$B$79,Nutrients!$D$79,(IF($A$8=Nutrients!$B$77,Nutrients!$D$77,Nutrients!$D$78)))))*S$8))/2000/2.2046</f>
        <v>1586.7749706789477</v>
      </c>
      <c r="T249" s="21">
        <f>(SUMPRODUCT(T$9:T$229,Nutrients!$D$8:$D$228)+(IF($A$7=Nutrients!$B$8,Nutrients!$D$8,Nutrients!$D$9)*T$7)+(((IF($A$8=Nutrients!$B$79,Nutrients!$D$79,(IF($A$8=Nutrients!$B$77,Nutrients!$D$77,Nutrients!$D$78)))))*T$8))/2000/2.2046</f>
        <v>1586.8955571741392</v>
      </c>
      <c r="U249" s="21">
        <f>(SUMPRODUCT(U$9:U$229,Nutrients!$D$8:$D$228)+(IF($A$7=Nutrients!$B$8,Nutrients!$D$8,Nutrients!$D$9)*U$7)+(((IF($A$8=Nutrients!$B$79,Nutrients!$D$79,(IF($A$8=Nutrients!$B$77,Nutrients!$D$77,Nutrients!$D$78)))))*U$8))/2000/2.2046</f>
        <v>1552.432918309064</v>
      </c>
      <c r="W249" s="21">
        <f>(SUMPRODUCT(W$9:W$229,Nutrients!$D$8:$D$228)+(IF($A$7=Nutrients!$B$8,Nutrients!$D$8,Nutrients!$D$9)*W$7)+(((IF($A$8=Nutrients!$B$79,Nutrients!$D$79,(IF($A$8=Nutrients!$B$77,Nutrients!$D$77,Nutrients!$D$78)))))*W$8))/2000/2.2046</f>
        <v>1606.0435830092476</v>
      </c>
      <c r="X249" s="21">
        <f>(SUMPRODUCT(X$9:X$229,Nutrients!$D$8:$D$228)+(IF($A$7=Nutrients!$B$8,Nutrients!$D$8,Nutrients!$D$9)*X$7)+(((IF($A$8=Nutrients!$B$79,Nutrients!$D$79,(IF($A$8=Nutrients!$B$77,Nutrients!$D$77,Nutrients!$D$78)))))*X$8))/2000/2.2046</f>
        <v>1604.979365400811</v>
      </c>
      <c r="Y249" s="21">
        <f>(SUMPRODUCT(Y$9:Y$229,Nutrients!$D$8:$D$228)+(IF($A$7=Nutrients!$B$8,Nutrients!$D$8,Nutrients!$D$9)*Y$7)+(((IF($A$8=Nutrients!$B$79,Nutrients!$D$79,(IF($A$8=Nutrients!$B$77,Nutrients!$D$77,Nutrients!$D$78)))))*Y$8))/2000/2.2046</f>
        <v>1604.4870960900796</v>
      </c>
      <c r="Z249" s="21">
        <f>(SUMPRODUCT(Z$9:Z$229,Nutrients!$D$8:$D$228)+(IF($A$7=Nutrients!$B$8,Nutrients!$D$8,Nutrients!$D$9)*Z$7)+(((IF($A$8=Nutrients!$B$79,Nutrients!$D$79,(IF($A$8=Nutrients!$B$77,Nutrients!$D$77,Nutrients!$D$78)))))*Z$8))/2000/2.2046</f>
        <v>1603.8821849729513</v>
      </c>
      <c r="AA249" s="21">
        <f>(SUMPRODUCT(AA$9:AA$229,Nutrients!$D$8:$D$228)+(IF($A$7=Nutrients!$B$8,Nutrients!$D$8,Nutrients!$D$9)*AA$7)+(((IF($A$8=Nutrients!$B$79,Nutrients!$D$79,(IF($A$8=Nutrients!$B$77,Nutrients!$D$77,Nutrients!$D$78)))))*AA$8))/2000/2.2046</f>
        <v>1604.1018999949974</v>
      </c>
      <c r="AB249" s="21">
        <f>(SUMPRODUCT(AB$9:AB$229,Nutrients!$D$8:$D$228)+(IF($A$7=Nutrients!$B$8,Nutrients!$D$8,Nutrients!$D$9)*AB$7)+(((IF($A$8=Nutrients!$B$79,Nutrients!$D$79,(IF($A$8=Nutrients!$B$77,Nutrients!$D$77,Nutrients!$D$78)))))*AB$8))/2000/2.2046</f>
        <v>1552.432918309064</v>
      </c>
      <c r="AD249" s="21">
        <f>(SUMPRODUCT(AD$9:AD$229,Nutrients!$D$8:$D$228)+(IF($A$7=Nutrients!$B$8,Nutrients!$D$8,Nutrients!$D$9)*AD$7)+(((IF($A$8=Nutrients!$B$79,Nutrients!$D$79,(IF($A$8=Nutrients!$B$77,Nutrients!$D$77,Nutrients!$D$78)))))*AD$8))/2000/2.2046</f>
        <v>1623.1685087299797</v>
      </c>
      <c r="AE249" s="21">
        <f>(SUMPRODUCT(AE$9:AE$229,Nutrients!$D$8:$D$228)+(IF($A$7=Nutrients!$B$8,Nutrients!$D$8,Nutrients!$D$9)*AE$7)+(((IF($A$8=Nutrients!$B$79,Nutrients!$D$79,(IF($A$8=Nutrients!$B$77,Nutrients!$D$77,Nutrients!$D$78)))))*AE$8))/2000/2.2046</f>
        <v>1622.0864761202338</v>
      </c>
      <c r="AF249" s="21">
        <f>(SUMPRODUCT(AF$9:AF$229,Nutrients!$D$8:$D$228)+(IF($A$7=Nutrients!$B$8,Nutrients!$D$8,Nutrients!$D$9)*AF$7)+(((IF($A$8=Nutrients!$B$79,Nutrients!$D$79,(IF($A$8=Nutrients!$B$77,Nutrients!$D$77,Nutrients!$D$78)))))*AF$8))/2000/2.2046</f>
        <v>1621.5665678859446</v>
      </c>
      <c r="AG249" s="21">
        <f>(SUMPRODUCT(AG$9:AG$229,Nutrients!$D$8:$D$228)+(IF($A$7=Nutrients!$B$8,Nutrients!$D$8,Nutrients!$D$9)*AG$7)+(((IF($A$8=Nutrients!$B$79,Nutrients!$D$79,(IF($A$8=Nutrients!$B$77,Nutrients!$D$77,Nutrients!$D$78)))))*AG$8))/2000/2.2046</f>
        <v>1621.1190111628171</v>
      </c>
      <c r="AH249" s="21">
        <f>(SUMPRODUCT(AH$9:AH$229,Nutrients!$D$8:$D$228)+(IF($A$7=Nutrients!$B$8,Nutrients!$D$8,Nutrients!$D$9)*AH$7)+(((IF($A$8=Nutrients!$B$79,Nutrients!$D$79,(IF($A$8=Nutrients!$B$77,Nutrients!$D$77,Nutrients!$D$78)))))*AH$8))/2000/2.2046</f>
        <v>1620.8717647241701</v>
      </c>
      <c r="AI249" s="21">
        <f>(SUMPRODUCT(AI$9:AI$229,Nutrients!$D$8:$D$228)+(IF($A$7=Nutrients!$B$8,Nutrients!$D$8,Nutrients!$D$9)*AI$7)+(((IF($A$8=Nutrients!$B$79,Nutrients!$D$79,(IF($A$8=Nutrients!$B$77,Nutrients!$D$77,Nutrients!$D$78)))))*AI$8))/2000/2.2046</f>
        <v>1552.432918309064</v>
      </c>
      <c r="AK249" s="21">
        <f>(SUMPRODUCT(AK$9:AK$229,Nutrients!$D$8:$D$228)+(IF($A$7=Nutrients!$B$8,Nutrients!$D$8,Nutrients!$D$9)*AK$7)+(((IF($A$8=Nutrients!$B$79,Nutrients!$D$79,(IF($A$8=Nutrients!$B$77,Nutrients!$D$77,Nutrients!$D$78)))))*AK$8))/2000/2.2046</f>
        <v>1640.5957922104913</v>
      </c>
      <c r="AL249" s="21">
        <f>(SUMPRODUCT(AL$9:AL$229,Nutrients!$D$8:$D$228)+(IF($A$7=Nutrients!$B$8,Nutrients!$D$8,Nutrients!$D$9)*AL$7)+(((IF($A$8=Nutrients!$B$79,Nutrients!$D$79,(IF($A$8=Nutrients!$B$77,Nutrients!$D$77,Nutrients!$D$78)))))*AL$8))/2000/2.2046</f>
        <v>1639.2082040545863</v>
      </c>
      <c r="AM249" s="21">
        <f>(SUMPRODUCT(AM$9:AM$229,Nutrients!$D$8:$D$228)+(IF($A$7=Nutrients!$B$8,Nutrients!$D$8,Nutrients!$D$9)*AM$7)+(((IF($A$8=Nutrients!$B$79,Nutrients!$D$79,(IF($A$8=Nutrients!$B$77,Nutrients!$D$77,Nutrients!$D$78)))))*AM$8))/2000/2.2046</f>
        <v>1638.7488613033747</v>
      </c>
      <c r="AN249" s="21">
        <f>(SUMPRODUCT(AN$9:AN$229,Nutrients!$D$8:$D$228)+(IF($A$7=Nutrients!$B$8,Nutrients!$D$8,Nutrients!$D$9)*AN$7)+(((IF($A$8=Nutrients!$B$79,Nutrients!$D$79,(IF($A$8=Nutrients!$B$77,Nutrients!$D$77,Nutrients!$D$78)))))*AN$8))/2000/2.2046</f>
        <v>1637.732864389018</v>
      </c>
      <c r="AO249" s="21">
        <f>(SUMPRODUCT(AO$9:AO$229,Nutrients!$D$8:$D$228)+(IF($A$7=Nutrients!$B$8,Nutrients!$D$8,Nutrients!$D$9)*AO$7)+(((IF($A$8=Nutrients!$B$79,Nutrients!$D$79,(IF($A$8=Nutrients!$B$77,Nutrients!$D$77,Nutrients!$D$78)))))*AO$8))/2000/2.2046</f>
        <v>1637.779060233664</v>
      </c>
      <c r="AP249" s="21">
        <f>(SUMPRODUCT(AP$9:AP$229,Nutrients!$D$8:$D$228)+(IF($A$7=Nutrients!$B$8,Nutrients!$D$8,Nutrients!$D$9)*AP$7)+(((IF($A$8=Nutrients!$B$79,Nutrients!$D$79,(IF($A$8=Nutrients!$B$77,Nutrients!$D$77,Nutrients!$D$78)))))*AP$8))/2000/2.2046</f>
        <v>1552.432918309064</v>
      </c>
      <c r="AR249" s="21">
        <f>(SUMPRODUCT(AR$9:AR$229,Nutrients!$D$8:$D$228)+(IF($A$7=Nutrients!$B$8,Nutrients!$D$8,Nutrients!$D$9)*AR$7)+(((IF($A$8=Nutrients!$B$79,Nutrients!$D$79,(IF($A$8=Nutrients!$B$77,Nutrients!$D$77,Nutrients!$D$78)))))*AR$8))/2000/2.2046</f>
        <v>1657.5561653554539</v>
      </c>
      <c r="AS249" s="21">
        <f>(SUMPRODUCT(AS$9:AS$229,Nutrients!$D$8:$D$228)+(IF($A$7=Nutrients!$B$8,Nutrients!$D$8,Nutrients!$D$9)*AS$7)+(((IF($A$8=Nutrients!$B$79,Nutrients!$D$79,(IF($A$8=Nutrients!$B$77,Nutrients!$D$77,Nutrients!$D$78)))))*AS$8))/2000/2.2046</f>
        <v>1656.2915297967309</v>
      </c>
      <c r="AT249" s="21">
        <f>(SUMPRODUCT(AT$9:AT$229,Nutrients!$D$8:$D$228)+(IF($A$7=Nutrients!$B$8,Nutrients!$D$8,Nutrients!$D$9)*AT$7)+(((IF($A$8=Nutrients!$B$79,Nutrients!$D$79,(IF($A$8=Nutrients!$B$77,Nutrients!$D$77,Nutrients!$D$78)))))*AT$8))/2000/2.2046</f>
        <v>1655.5257427728238</v>
      </c>
      <c r="AU249" s="21">
        <f>(SUMPRODUCT(AU$9:AU$229,Nutrients!$D$8:$D$228)+(IF($A$7=Nutrients!$B$8,Nutrients!$D$8,Nutrients!$D$9)*AU$7)+(((IF($A$8=Nutrients!$B$79,Nutrients!$D$79,(IF($A$8=Nutrients!$B$77,Nutrients!$D$77,Nutrients!$D$78)))))*AU$8))/2000/2.2046</f>
        <v>1654.6097471928861</v>
      </c>
      <c r="AV249" s="21">
        <f>(SUMPRODUCT(AV$9:AV$229,Nutrients!$D$8:$D$228)+(IF($A$7=Nutrients!$B$8,Nutrients!$D$8,Nutrients!$D$9)*AV$7)+(((IF($A$8=Nutrients!$B$79,Nutrients!$D$79,(IF($A$8=Nutrients!$B$77,Nutrients!$D$77,Nutrients!$D$78)))))*AV$8))/2000/2.2046</f>
        <v>1654.7182945912173</v>
      </c>
      <c r="AW249" s="21">
        <f>(SUMPRODUCT(AW$9:AW$229,Nutrients!$D$8:$D$228)+(IF($A$7=Nutrients!$B$8,Nutrients!$D$8,Nutrients!$D$9)*AW$7)+(((IF($A$8=Nutrients!$B$79,Nutrients!$D$79,(IF($A$8=Nutrients!$B$77,Nutrients!$D$77,Nutrients!$D$78)))))*AW$8))/2000/2.2046</f>
        <v>1552.432918309064</v>
      </c>
    </row>
    <row r="250" spans="1:56" x14ac:dyDescent="0.25">
      <c r="A250" s="5" t="s">
        <v>30</v>
      </c>
      <c r="B250" s="21">
        <f>(SUMPRODUCT(B$9:B$229,Nutrients!$F$8:$F$228)+(IF($A$7=Nutrients!$B$8,Nutrients!$F$8,Nutrients!$F$9)*B$7)+(((IF($A$8=Nutrients!$B$79,Nutrients!$F$79,(IF($A$8=Nutrients!$B$77,Nutrients!$F$77,Nutrients!$F$78)))))*B$8))/2000/2.2046</f>
        <v>1147.6611237487589</v>
      </c>
      <c r="C250" s="21">
        <f>(SUMPRODUCT(C$9:C$229,Nutrients!$F$8:$F$228)+(IF($A$7=Nutrients!$B$8,Nutrients!$F$8,Nutrients!$F$9)*C$7)+(((IF($A$8=Nutrients!$B$79,Nutrients!$F$79,(IF($A$8=Nutrients!$B$77,Nutrients!$F$77,Nutrients!$F$78)))))*C$8))/2000/2.2046</f>
        <v>1156.7030647238309</v>
      </c>
      <c r="D250" s="21">
        <f>(SUMPRODUCT(D$9:D$229,Nutrients!$F$8:$F$228)+(IF($A$7=Nutrients!$B$8,Nutrients!$F$8,Nutrients!$F$9)*D$7)+(((IF($A$8=Nutrients!$B$79,Nutrients!$F$79,(IF($A$8=Nutrients!$B$77,Nutrients!$F$77,Nutrients!$F$78)))))*D$8))/2000/2.2046</f>
        <v>1164.6580809828592</v>
      </c>
      <c r="E250" s="21">
        <f>(SUMPRODUCT(E$9:E$229,Nutrients!$F$8:$F$228)+(IF($A$7=Nutrients!$B$8,Nutrients!$F$8,Nutrients!$F$9)*E$7)+(((IF($A$8=Nutrients!$B$79,Nutrients!$F$79,(IF($A$8=Nutrients!$B$77,Nutrients!$F$77,Nutrients!$F$78)))))*E$8))/2000/2.2046</f>
        <v>1171.5486817586343</v>
      </c>
      <c r="F250" s="21">
        <f>(SUMPRODUCT(F$9:F$229,Nutrients!$F$8:$F$228)+(IF($A$7=Nutrients!$B$8,Nutrients!$F$8,Nutrients!$F$9)*F$7)+(((IF($A$8=Nutrients!$B$79,Nutrients!$F$79,(IF($A$8=Nutrients!$B$77,Nutrients!$F$77,Nutrients!$F$78)))))*F$8))/2000/2.2046</f>
        <v>1176.5212854349088</v>
      </c>
      <c r="G250" s="21">
        <f>(SUMPRODUCT(G$9:G$229,Nutrients!$F$8:$F$228)+(IF($A$7=Nutrients!$B$8,Nutrients!$F$8,Nutrients!$F$9)*G$7)+(((IF($A$8=Nutrients!$B$79,Nutrients!$F$79,(IF($A$8=Nutrients!$B$77,Nutrients!$F$77,Nutrients!$F$78)))))*G$8))/2000/2.2046</f>
        <v>1178.7128237398681</v>
      </c>
      <c r="H250" s="226"/>
      <c r="I250" s="21">
        <f>(SUMPRODUCT(I$9:I$229,Nutrients!$F$8:$F$228)+(IF($A$7=Nutrients!$B$8,Nutrients!$F$8,Nutrients!$F$9)*I$7)+(((IF($A$8=Nutrients!$B$79,Nutrients!$F$79,(IF($A$8=Nutrients!$B$77,Nutrients!$F$77,Nutrients!$F$78)))))*I$8))/2000/2.2046</f>
        <v>1147.4028477251309</v>
      </c>
      <c r="J250" s="21">
        <f>(SUMPRODUCT(J$9:J$229,Nutrients!$F$8:$F$228)+(IF($A$7=Nutrients!$B$8,Nutrients!$F$8,Nutrients!$F$9)*J$7)+(((IF($A$8=Nutrients!$B$79,Nutrients!$F$79,(IF($A$8=Nutrients!$B$77,Nutrients!$F$77,Nutrients!$F$78)))))*J$8))/2000/2.2046</f>
        <v>1156.5177970803795</v>
      </c>
      <c r="K250" s="21">
        <f>(SUMPRODUCT(K$9:K$229,Nutrients!$F$8:$F$228)+(IF($A$7=Nutrients!$B$8,Nutrients!$F$8,Nutrients!$F$9)*K$7)+(((IF($A$8=Nutrients!$B$79,Nutrients!$F$79,(IF($A$8=Nutrients!$B$77,Nutrients!$F$77,Nutrients!$F$78)))))*K$8))/2000/2.2046</f>
        <v>1164.7237840188366</v>
      </c>
      <c r="L250" s="21">
        <f>(SUMPRODUCT(L$9:L$229,Nutrients!$F$8:$F$228)+(IF($A$7=Nutrients!$B$8,Nutrients!$F$8,Nutrients!$F$9)*L$7)+(((IF($A$8=Nutrients!$B$79,Nutrients!$F$79,(IF($A$8=Nutrients!$B$77,Nutrients!$F$77,Nutrients!$F$78)))))*L$8))/2000/2.2046</f>
        <v>1171.4812215287386</v>
      </c>
      <c r="M250" s="21">
        <f>(SUMPRODUCT(M$9:M$229,Nutrients!$F$8:$F$228)+(IF($A$7=Nutrients!$B$8,Nutrients!$F$8,Nutrients!$F$9)*M$7)+(((IF($A$8=Nutrients!$B$79,Nutrients!$F$79,(IF($A$8=Nutrients!$B$77,Nutrients!$F$77,Nutrients!$F$78)))))*M$8))/2000/2.2046</f>
        <v>1176.4259789598518</v>
      </c>
      <c r="N250" s="21">
        <f>(SUMPRODUCT(N$9:N$229,Nutrients!$F$8:$F$228)+(IF($A$7=Nutrients!$B$8,Nutrients!$F$8,Nutrients!$F$9)*N$7)+(((IF($A$8=Nutrients!$B$79,Nutrients!$F$79,(IF($A$8=Nutrients!$B$77,Nutrients!$F$77,Nutrients!$F$78)))))*N$8))/2000/2.2046</f>
        <v>1178.7128237398681</v>
      </c>
      <c r="O250" s="234"/>
      <c r="P250" s="21">
        <f>(SUMPRODUCT(P$9:P$229,Nutrients!$F$8:$F$228)+(IF($A$7=Nutrients!$B$8,Nutrients!$F$8,Nutrients!$F$9)*P$7)+(((IF($A$8=Nutrients!$B$79,Nutrients!$F$79,(IF($A$8=Nutrients!$B$77,Nutrients!$F$77,Nutrients!$F$78)))))*P$8))/2000/2.2046</f>
        <v>1147.327436307171</v>
      </c>
      <c r="Q250" s="21">
        <f>(SUMPRODUCT(Q$9:Q$229,Nutrients!$F$8:$F$228)+(IF($A$7=Nutrients!$B$8,Nutrients!$F$8,Nutrients!$F$9)*Q$7)+(((IF($A$8=Nutrients!$B$79,Nutrients!$F$79,(IF($A$8=Nutrients!$B$77,Nutrients!$F$77,Nutrients!$F$78)))))*Q$8))/2000/2.2046</f>
        <v>1156.4807256157981</v>
      </c>
      <c r="R250" s="21">
        <f>(SUMPRODUCT(R$9:R$229,Nutrients!$F$8:$F$228)+(IF($A$7=Nutrients!$B$8,Nutrients!$F$8,Nutrients!$F$9)*R$7)+(((IF($A$8=Nutrients!$B$79,Nutrients!$F$79,(IF($A$8=Nutrients!$B$77,Nutrients!$F$77,Nutrients!$F$78)))))*R$8))/2000/2.2046</f>
        <v>1164.7445826712537</v>
      </c>
      <c r="S250" s="21">
        <f>(SUMPRODUCT(S$9:S$229,Nutrients!$F$8:$F$228)+(IF($A$7=Nutrients!$B$8,Nutrients!$F$8,Nutrients!$F$9)*S$7)+(((IF($A$8=Nutrients!$B$79,Nutrients!$F$79,(IF($A$8=Nutrients!$B$77,Nutrients!$F$77,Nutrients!$F$78)))))*S$8))/2000/2.2046</f>
        <v>1171.4792579902066</v>
      </c>
      <c r="T250" s="21">
        <f>(SUMPRODUCT(T$9:T$229,Nutrients!$F$8:$F$228)+(IF($A$7=Nutrients!$B$8,Nutrients!$F$8,Nutrients!$F$9)*T$7)+(((IF($A$8=Nutrients!$B$79,Nutrients!$F$79,(IF($A$8=Nutrients!$B$77,Nutrients!$F$77,Nutrients!$F$78)))))*T$8))/2000/2.2046</f>
        <v>1176.4304228050798</v>
      </c>
      <c r="U250" s="21">
        <f>(SUMPRODUCT(U$9:U$229,Nutrients!$F$8:$F$228)+(IF($A$7=Nutrients!$B$8,Nutrients!$F$8,Nutrients!$F$9)*U$7)+(((IF($A$8=Nutrients!$B$79,Nutrients!$F$79,(IF($A$8=Nutrients!$B$77,Nutrients!$F$77,Nutrients!$F$78)))))*U$8))/2000/2.2046</f>
        <v>1178.7128237398681</v>
      </c>
      <c r="W250" s="21">
        <f>(SUMPRODUCT(W$9:W$229,Nutrients!$F$8:$F$228)+(IF($A$7=Nutrients!$B$8,Nutrients!$F$8,Nutrients!$F$9)*W$7)+(((IF($A$8=Nutrients!$B$79,Nutrients!$F$79,(IF($A$8=Nutrients!$B$77,Nutrients!$F$77,Nutrients!$F$78)))))*W$8))/2000/2.2046</f>
        <v>1147.2822735984762</v>
      </c>
      <c r="X250" s="21">
        <f>(SUMPRODUCT(X$9:X$229,Nutrients!$F$8:$F$228)+(IF($A$7=Nutrients!$B$8,Nutrients!$F$8,Nutrients!$F$9)*X$7)+(((IF($A$8=Nutrients!$B$79,Nutrients!$F$79,(IF($A$8=Nutrients!$B$77,Nutrients!$F$77,Nutrients!$F$78)))))*X$8))/2000/2.2046</f>
        <v>1156.4799596712921</v>
      </c>
      <c r="Y250" s="21">
        <f>(SUMPRODUCT(Y$9:Y$229,Nutrients!$F$8:$F$228)+(IF($A$7=Nutrients!$B$8,Nutrients!$F$8,Nutrients!$F$9)*Y$7)+(((IF($A$8=Nutrients!$B$79,Nutrients!$F$79,(IF($A$8=Nutrients!$B$77,Nutrients!$F$77,Nutrients!$F$78)))))*Y$8))/2000/2.2046</f>
        <v>1164.7435800326707</v>
      </c>
      <c r="Z250" s="21">
        <f>(SUMPRODUCT(Z$9:Z$229,Nutrients!$F$8:$F$228)+(IF($A$7=Nutrients!$B$8,Nutrients!$F$8,Nutrients!$F$9)*Z$7)+(((IF($A$8=Nutrients!$B$79,Nutrients!$F$79,(IF($A$8=Nutrients!$B$77,Nutrients!$F$77,Nutrients!$F$78)))))*Z$8))/2000/2.2046</f>
        <v>1171.4970149610115</v>
      </c>
      <c r="AA250" s="21">
        <f>(SUMPRODUCT(AA$9:AA$229,Nutrients!$F$8:$F$228)+(IF($A$7=Nutrients!$B$8,Nutrients!$F$8,Nutrients!$F$9)*AA$7)+(((IF($A$8=Nutrients!$B$79,Nutrients!$F$79,(IF($A$8=Nutrients!$B$77,Nutrients!$F$77,Nutrients!$F$78)))))*AA$8))/2000/2.2046</f>
        <v>1176.5051033508475</v>
      </c>
      <c r="AB250" s="21">
        <f>(SUMPRODUCT(AB$9:AB$229,Nutrients!$F$8:$F$228)+(IF($A$7=Nutrients!$B$8,Nutrients!$F$8,Nutrients!$F$9)*AB$7)+(((IF($A$8=Nutrients!$B$79,Nutrients!$F$79,(IF($A$8=Nutrients!$B$77,Nutrients!$F$77,Nutrients!$F$78)))))*AB$8))/2000/2.2046</f>
        <v>1178.7128237398681</v>
      </c>
      <c r="AD250" s="21">
        <f>(SUMPRODUCT(AD$9:AD$229,Nutrients!$F$8:$F$228)+(IF($A$7=Nutrients!$B$8,Nutrients!$F$8,Nutrients!$F$9)*AD$7)+(((IF($A$8=Nutrients!$B$79,Nutrients!$F$79,(IF($A$8=Nutrients!$B$77,Nutrients!$F$77,Nutrients!$F$78)))))*AD$8))/2000/2.2046</f>
        <v>1147.3066638815424</v>
      </c>
      <c r="AE250" s="21">
        <f>(SUMPRODUCT(AE$9:AE$229,Nutrients!$F$8:$F$228)+(IF($A$7=Nutrients!$B$8,Nutrients!$F$8,Nutrients!$F$9)*AE$7)+(((IF($A$8=Nutrients!$B$79,Nutrients!$F$79,(IF($A$8=Nutrients!$B$77,Nutrients!$F$77,Nutrients!$F$78)))))*AE$8))/2000/2.2046</f>
        <v>1156.4879848834626</v>
      </c>
      <c r="AF250" s="21">
        <f>(SUMPRODUCT(AF$9:AF$229,Nutrients!$F$8:$F$228)+(IF($A$7=Nutrients!$B$8,Nutrients!$F$8,Nutrients!$F$9)*AF$7)+(((IF($A$8=Nutrients!$B$79,Nutrients!$F$79,(IF($A$8=Nutrients!$B$77,Nutrients!$F$77,Nutrients!$F$78)))))*AF$8))/2000/2.2046</f>
        <v>1164.7537975281266</v>
      </c>
      <c r="AG250" s="21">
        <f>(SUMPRODUCT(AG$9:AG$229,Nutrients!$F$8:$F$228)+(IF($A$7=Nutrients!$B$8,Nutrients!$F$8,Nutrients!$F$9)*AG$7)+(((IF($A$8=Nutrients!$B$79,Nutrients!$F$79,(IF($A$8=Nutrients!$B$77,Nutrients!$F$77,Nutrients!$F$78)))))*AG$8))/2000/2.2046</f>
        <v>1171.6018129769009</v>
      </c>
      <c r="AH250" s="21">
        <f>(SUMPRODUCT(AH$9:AH$229,Nutrients!$F$8:$F$228)+(IF($A$7=Nutrients!$B$8,Nutrients!$F$8,Nutrients!$F$9)*AH$7)+(((IF($A$8=Nutrients!$B$79,Nutrients!$F$79,(IF($A$8=Nutrients!$B$77,Nutrients!$F$77,Nutrients!$F$78)))))*AH$8))/2000/2.2046</f>
        <v>1176.3490294542294</v>
      </c>
      <c r="AI250" s="21">
        <f>(SUMPRODUCT(AI$9:AI$229,Nutrients!$F$8:$F$228)+(IF($A$7=Nutrients!$B$8,Nutrients!$F$8,Nutrients!$F$9)*AI$7)+(((IF($A$8=Nutrients!$B$79,Nutrients!$F$79,(IF($A$8=Nutrients!$B$77,Nutrients!$F$77,Nutrients!$F$78)))))*AI$8))/2000/2.2046</f>
        <v>1178.7128237398681</v>
      </c>
      <c r="AK250" s="21">
        <f>(SUMPRODUCT(AK$9:AK$229,Nutrients!$F$8:$F$228)+(IF($A$7=Nutrients!$B$8,Nutrients!$F$8,Nutrients!$F$9)*AK$7)+(((IF($A$8=Nutrients!$B$79,Nutrients!$F$79,(IF($A$8=Nutrients!$B$77,Nutrients!$F$77,Nutrients!$F$78)))))*AK$8))/2000/2.2046</f>
        <v>1147.6077460352183</v>
      </c>
      <c r="AL250" s="21">
        <f>(SUMPRODUCT(AL$9:AL$229,Nutrients!$F$8:$F$228)+(IF($A$7=Nutrients!$B$8,Nutrients!$F$8,Nutrients!$F$9)*AL$7)+(((IF($A$8=Nutrients!$B$79,Nutrients!$F$79,(IF($A$8=Nutrients!$B$77,Nutrients!$F$77,Nutrients!$F$78)))))*AL$8))/2000/2.2046</f>
        <v>1156.5083800987243</v>
      </c>
      <c r="AM250" s="21">
        <f>(SUMPRODUCT(AM$9:AM$229,Nutrients!$F$8:$F$228)+(IF($A$7=Nutrients!$B$8,Nutrients!$F$8,Nutrients!$F$9)*AM$7)+(((IF($A$8=Nutrients!$B$79,Nutrients!$F$79,(IF($A$8=Nutrients!$B$77,Nutrients!$F$77,Nutrients!$F$78)))))*AM$8))/2000/2.2046</f>
        <v>1164.807443550897</v>
      </c>
      <c r="AN250" s="21">
        <f>(SUMPRODUCT(AN$9:AN$229,Nutrients!$F$8:$F$228)+(IF($A$7=Nutrients!$B$8,Nutrients!$F$8,Nutrients!$F$9)*AN$7)+(((IF($A$8=Nutrients!$B$79,Nutrients!$F$79,(IF($A$8=Nutrients!$B$77,Nutrients!$F$77,Nutrients!$F$78)))))*AN$8))/2000/2.2046</f>
        <v>1171.2955643572575</v>
      </c>
      <c r="AO250" s="21">
        <f>(SUMPRODUCT(AO$9:AO$229,Nutrients!$F$8:$F$228)+(IF($A$7=Nutrients!$B$8,Nutrients!$F$8,Nutrients!$F$9)*AO$7)+(((IF($A$8=Nutrients!$B$79,Nutrients!$F$79,(IF($A$8=Nutrients!$B$77,Nutrients!$F$77,Nutrients!$F$78)))))*AO$8))/2000/2.2046</f>
        <v>1176.3507876024273</v>
      </c>
      <c r="AP250" s="21">
        <f>(SUMPRODUCT(AP$9:AP$229,Nutrients!$F$8:$F$228)+(IF($A$7=Nutrients!$B$8,Nutrients!$F$8,Nutrients!$F$9)*AP$7)+(((IF($A$8=Nutrients!$B$79,Nutrients!$F$79,(IF($A$8=Nutrients!$B$77,Nutrients!$F$77,Nutrients!$F$78)))))*AP$8))/2000/2.2046</f>
        <v>1178.7128237398681</v>
      </c>
      <c r="AR250" s="21">
        <f>(SUMPRODUCT(AR$9:AR$229,Nutrients!$F$8:$F$228)+(IF($A$7=Nutrients!$B$8,Nutrients!$F$8,Nutrients!$F$9)*AR$7)+(((IF($A$8=Nutrients!$B$79,Nutrients!$F$79,(IF($A$8=Nutrients!$B$77,Nutrients!$F$77,Nutrients!$F$78)))))*AR$8))/2000/2.2046</f>
        <v>1147.4903298511717</v>
      </c>
      <c r="AS250" s="21">
        <f>(SUMPRODUCT(AS$9:AS$229,Nutrients!$F$8:$F$228)+(IF($A$7=Nutrients!$B$8,Nutrients!$F$8,Nutrients!$F$9)*AS$7)+(((IF($A$8=Nutrients!$B$79,Nutrients!$F$79,(IF($A$8=Nutrients!$B$77,Nutrients!$F$77,Nutrients!$F$78)))))*AS$8))/2000/2.2046</f>
        <v>1156.5039093607475</v>
      </c>
      <c r="AT250" s="21">
        <f>(SUMPRODUCT(AT$9:AT$229,Nutrients!$F$8:$F$228)+(IF($A$7=Nutrients!$B$8,Nutrients!$F$8,Nutrients!$F$9)*AT$7)+(((IF($A$8=Nutrients!$B$79,Nutrients!$F$79,(IF($A$8=Nutrients!$B$77,Nutrients!$F$77,Nutrients!$F$78)))))*AT$8))/2000/2.2046</f>
        <v>1164.5508028381646</v>
      </c>
      <c r="AU250" s="21">
        <f>(SUMPRODUCT(AU$9:AU$229,Nutrients!$F$8:$F$228)+(IF($A$7=Nutrients!$B$8,Nutrients!$F$8,Nutrients!$F$9)*AU$7)+(((IF($A$8=Nutrients!$B$79,Nutrients!$F$79,(IF($A$8=Nutrients!$B$77,Nutrients!$F$77,Nutrients!$F$78)))))*AU$8))/2000/2.2046</f>
        <v>1171.2716425598915</v>
      </c>
      <c r="AV250" s="21">
        <f>(SUMPRODUCT(AV$9:AV$229,Nutrients!$F$8:$F$228)+(IF($A$7=Nutrients!$B$8,Nutrients!$F$8,Nutrients!$F$9)*AV$7)+(((IF($A$8=Nutrients!$B$79,Nutrients!$F$79,(IF($A$8=Nutrients!$B$77,Nutrients!$F$77,Nutrients!$F$78)))))*AV$8))/2000/2.2046</f>
        <v>1176.3750591962928</v>
      </c>
      <c r="AW250" s="21">
        <f>(SUMPRODUCT(AW$9:AW$229,Nutrients!$F$8:$F$228)+(IF($A$7=Nutrients!$B$8,Nutrients!$F$8,Nutrients!$F$9)*AW$7)+(((IF($A$8=Nutrients!$B$79,Nutrients!$F$79,(IF($A$8=Nutrients!$B$77,Nutrients!$F$77,Nutrients!$F$78)))))*AW$8))/2000/2.2046</f>
        <v>1178.7128237398681</v>
      </c>
      <c r="AY250" s="21"/>
      <c r="AZ250" s="21"/>
      <c r="BA250" s="21"/>
      <c r="BB250" s="21"/>
      <c r="BC250" s="21"/>
      <c r="BD250" s="21"/>
    </row>
    <row r="251" spans="1:56" x14ac:dyDescent="0.25">
      <c r="A251" s="38" t="s">
        <v>29</v>
      </c>
      <c r="B251" s="21">
        <f t="shared" ref="B251:G251" si="37">B250*2.20462</f>
        <v>2530.1566666389886</v>
      </c>
      <c r="C251" s="21">
        <f t="shared" si="37"/>
        <v>2550.090710551452</v>
      </c>
      <c r="D251" s="21">
        <f t="shared" si="37"/>
        <v>2567.6284984964309</v>
      </c>
      <c r="E251" s="21">
        <f t="shared" si="37"/>
        <v>2582.8196547787202</v>
      </c>
      <c r="F251" s="21">
        <f t="shared" si="37"/>
        <v>2593.7823562955086</v>
      </c>
      <c r="G251" s="21">
        <f t="shared" si="37"/>
        <v>2598.6138654733877</v>
      </c>
      <c r="H251" s="226"/>
      <c r="I251" s="21">
        <f t="shared" ref="I251:N251" si="38">I250*2.20462</f>
        <v>2529.5872661517778</v>
      </c>
      <c r="J251" s="21">
        <f t="shared" si="38"/>
        <v>2549.6822657993462</v>
      </c>
      <c r="K251" s="21">
        <f t="shared" si="38"/>
        <v>2567.7733487236073</v>
      </c>
      <c r="L251" s="21">
        <f t="shared" si="38"/>
        <v>2582.6709306066873</v>
      </c>
      <c r="M251" s="21">
        <f t="shared" si="38"/>
        <v>2593.5722417344682</v>
      </c>
      <c r="N251" s="21">
        <f t="shared" si="38"/>
        <v>2598.6138654733877</v>
      </c>
      <c r="O251" s="234"/>
      <c r="P251" s="21">
        <f t="shared" ref="P251:U251" si="39">P250*2.20462</f>
        <v>2529.4210126315152</v>
      </c>
      <c r="Q251" s="21">
        <f t="shared" si="39"/>
        <v>2549.6005373071007</v>
      </c>
      <c r="R251" s="21">
        <f t="shared" si="39"/>
        <v>2567.8192018486993</v>
      </c>
      <c r="S251" s="21">
        <f t="shared" si="39"/>
        <v>2582.666601750369</v>
      </c>
      <c r="T251" s="21">
        <f t="shared" si="39"/>
        <v>2593.5820387245349</v>
      </c>
      <c r="U251" s="21">
        <f t="shared" si="39"/>
        <v>2598.6138654733877</v>
      </c>
      <c r="W251" s="21">
        <f t="shared" ref="W251:AB251" si="40">W250*2.20462</f>
        <v>2529.3214460206723</v>
      </c>
      <c r="X251" s="21">
        <f t="shared" si="40"/>
        <v>2549.5988486905239</v>
      </c>
      <c r="Y251" s="21">
        <f t="shared" si="40"/>
        <v>2567.8169914116261</v>
      </c>
      <c r="Z251" s="21">
        <f t="shared" si="40"/>
        <v>2582.705749123345</v>
      </c>
      <c r="AA251" s="21">
        <f t="shared" si="40"/>
        <v>2593.7466809493453</v>
      </c>
      <c r="AB251" s="21">
        <f t="shared" si="40"/>
        <v>2598.6138654733877</v>
      </c>
      <c r="AD251" s="21">
        <f t="shared" ref="AD251:AI251" si="41">AD250*2.20462</f>
        <v>2529.3752173265257</v>
      </c>
      <c r="AE251" s="21">
        <f t="shared" si="41"/>
        <v>2549.6165412337791</v>
      </c>
      <c r="AF251" s="21">
        <f t="shared" si="41"/>
        <v>2567.8395171064581</v>
      </c>
      <c r="AG251" s="21">
        <f t="shared" si="41"/>
        <v>2582.9367889251348</v>
      </c>
      <c r="AH251" s="21">
        <f t="shared" si="41"/>
        <v>2593.402597315383</v>
      </c>
      <c r="AI251" s="21">
        <f t="shared" si="41"/>
        <v>2598.6138654733877</v>
      </c>
      <c r="AK251" s="21">
        <f t="shared" ref="AK251:AP251" si="42">AK250*2.20462</f>
        <v>2530.0389890641627</v>
      </c>
      <c r="AL251" s="21">
        <f t="shared" si="42"/>
        <v>2549.6615049332495</v>
      </c>
      <c r="AM251" s="21">
        <f t="shared" si="42"/>
        <v>2567.9577862011784</v>
      </c>
      <c r="AN251" s="21">
        <f t="shared" si="42"/>
        <v>2582.2616270932967</v>
      </c>
      <c r="AO251" s="21">
        <f t="shared" si="42"/>
        <v>2593.406473364063</v>
      </c>
      <c r="AP251" s="21">
        <f t="shared" si="42"/>
        <v>2598.6138654733877</v>
      </c>
      <c r="AR251" s="21">
        <f t="shared" ref="AR251:AW251" si="43">AR250*2.20462</f>
        <v>2529.7801309964898</v>
      </c>
      <c r="AS251" s="21">
        <f t="shared" si="43"/>
        <v>2549.6516486548908</v>
      </c>
      <c r="AT251" s="21">
        <f t="shared" si="43"/>
        <v>2567.3919909530741</v>
      </c>
      <c r="AU251" s="21">
        <f t="shared" si="43"/>
        <v>2582.2088886203878</v>
      </c>
      <c r="AV251" s="21">
        <f t="shared" si="43"/>
        <v>2593.4599830053307</v>
      </c>
      <c r="AW251" s="21">
        <f t="shared" si="43"/>
        <v>2598.6138654733877</v>
      </c>
    </row>
    <row r="252" spans="1:56" x14ac:dyDescent="0.25">
      <c r="A252" s="38" t="s">
        <v>390</v>
      </c>
      <c r="B252" s="23">
        <f t="shared" ref="B252:G252" si="44">IF(B$5="","",B236/(B250*2.2046)*10000)</f>
        <v>4.6879417735209223</v>
      </c>
      <c r="C252" s="23">
        <f t="shared" si="44"/>
        <v>4.112530627795425</v>
      </c>
      <c r="D252" s="23">
        <f t="shared" si="44"/>
        <v>3.6100787872368278</v>
      </c>
      <c r="E252" s="23">
        <f t="shared" si="44"/>
        <v>3.198349183249853</v>
      </c>
      <c r="F252" s="23">
        <f t="shared" si="44"/>
        <v>2.9175053758993537</v>
      </c>
      <c r="G252" s="23">
        <f t="shared" si="44"/>
        <v>2.7645509469935567</v>
      </c>
      <c r="H252" s="227"/>
      <c r="I252" s="23">
        <f t="shared" ref="I252:N252" si="45">IF(I$5="","",I236/(I250*2.2046)*10000)</f>
        <v>4.6889970114111419</v>
      </c>
      <c r="J252" s="23">
        <f t="shared" si="45"/>
        <v>4.1131894320610893</v>
      </c>
      <c r="K252" s="23">
        <f t="shared" si="45"/>
        <v>3.6098751396942146</v>
      </c>
      <c r="L252" s="23">
        <f t="shared" si="45"/>
        <v>3.1985333615083036</v>
      </c>
      <c r="M252" s="23">
        <f t="shared" si="45"/>
        <v>2.9177417334418672</v>
      </c>
      <c r="N252" s="23">
        <f t="shared" si="45"/>
        <v>2.7645509469935567</v>
      </c>
      <c r="O252" s="198"/>
      <c r="P252" s="23">
        <f t="shared" ref="P252:U252" si="46">IF(P$5="","",P236/(P250*2.2046)*10000)</f>
        <v>4.6893052093172063</v>
      </c>
      <c r="Q252" s="23">
        <f t="shared" si="46"/>
        <v>4.1133212820374618</v>
      </c>
      <c r="R252" s="23">
        <f t="shared" si="46"/>
        <v>3.6098106787476545</v>
      </c>
      <c r="S252" s="23">
        <f t="shared" si="46"/>
        <v>3.1985387226305413</v>
      </c>
      <c r="T252" s="23">
        <f t="shared" si="46"/>
        <v>2.9177307119718114</v>
      </c>
      <c r="U252" s="23">
        <f t="shared" si="46"/>
        <v>2.7645509469935567</v>
      </c>
      <c r="W252" s="23">
        <f t="shared" ref="W252:AB252" si="47">IF(W$5="","",W236/(W250*2.2046)*10000)</f>
        <v>4.6894898035796846</v>
      </c>
      <c r="X252" s="23">
        <f t="shared" si="47"/>
        <v>4.113324006317991</v>
      </c>
      <c r="Y252" s="23">
        <f t="shared" si="47"/>
        <v>3.609813786157325</v>
      </c>
      <c r="Z252" s="23">
        <f t="shared" si="47"/>
        <v>3.1984902407667466</v>
      </c>
      <c r="AA252" s="23">
        <f t="shared" si="47"/>
        <v>2.9175455043417271</v>
      </c>
      <c r="AB252" s="23">
        <f t="shared" si="47"/>
        <v>2.7645509469935567</v>
      </c>
      <c r="AD252" s="23">
        <f t="shared" ref="AD252:AI252" si="48">IF(AD$5="","",AD236/(AD250*2.2046)*10000)</f>
        <v>4.6893901109801854</v>
      </c>
      <c r="AE252" s="23">
        <f t="shared" si="48"/>
        <v>4.1132954627461533</v>
      </c>
      <c r="AF252" s="23">
        <f t="shared" si="48"/>
        <v>3.6097821200180644</v>
      </c>
      <c r="AG252" s="23">
        <f t="shared" si="48"/>
        <v>3.1982041406366841</v>
      </c>
      <c r="AH252" s="23">
        <f t="shared" si="48"/>
        <v>2.9179325941288754</v>
      </c>
      <c r="AI252" s="23">
        <f t="shared" si="48"/>
        <v>2.7645509469935567</v>
      </c>
      <c r="AK252" s="23">
        <f t="shared" ref="AK252:AP252" si="49">IF(AK$5="","",AK236/(AK250*2.2046)*10000)</f>
        <v>4.6881598198123902</v>
      </c>
      <c r="AL252" s="23">
        <f t="shared" si="49"/>
        <v>4.1132229241049796</v>
      </c>
      <c r="AM252" s="23">
        <f t="shared" si="49"/>
        <v>3.6096158689738429</v>
      </c>
      <c r="AN252" s="23">
        <f t="shared" si="49"/>
        <v>3.1990403476822946</v>
      </c>
      <c r="AO252" s="23">
        <f t="shared" si="49"/>
        <v>2.9179282330505418</v>
      </c>
      <c r="AP252" s="23">
        <f t="shared" si="49"/>
        <v>2.7645509469935567</v>
      </c>
      <c r="AR252" s="23">
        <f t="shared" ref="AR252:AW252" si="50">IF(AR$5="","",AR236/(AR250*2.2046)*10000)</f>
        <v>4.6886395326447534</v>
      </c>
      <c r="AS252" s="23">
        <f t="shared" si="50"/>
        <v>4.1132388247359986</v>
      </c>
      <c r="AT252" s="23">
        <f t="shared" si="50"/>
        <v>3.6104113468414001</v>
      </c>
      <c r="AU252" s="23">
        <f t="shared" si="50"/>
        <v>3.1991056841868102</v>
      </c>
      <c r="AV252" s="23">
        <f t="shared" si="50"/>
        <v>2.9178680288083259</v>
      </c>
      <c r="AW252" s="23">
        <f t="shared" si="50"/>
        <v>2.7645509469935567</v>
      </c>
    </row>
    <row r="253" spans="1:56" x14ac:dyDescent="0.25">
      <c r="A253" s="51" t="s">
        <v>155</v>
      </c>
      <c r="B253" s="22">
        <f>(SUMPRODUCT(B$9:B$229,Nutrients!$I$8:$I$228)+(IF($A$7=Nutrients!$B$8,Nutrients!$I$8,Nutrients!$I$9)*B$7)+(((IF($A$8=Nutrients!$B$79,Nutrients!$I$79,(IF($A$8=Nutrients!$B$77,Nutrients!$I$77,Nutrients!$I$78)))))*B$8))/2000</f>
        <v>20.659564989031431</v>
      </c>
      <c r="C253" s="22">
        <f>(SUMPRODUCT(C$9:C$229,Nutrients!$I$8:$I$228)+(IF($A$7=Nutrients!$B$8,Nutrients!$I$8,Nutrients!$I$9)*C$7)+(((IF($A$8=Nutrients!$B$79,Nutrients!$I$79,(IF($A$8=Nutrients!$B$77,Nutrients!$I$77,Nutrients!$I$78)))))*C$8))/2000</f>
        <v>18.474711094282195</v>
      </c>
      <c r="D253" s="22">
        <f>(SUMPRODUCT(D$9:D$229,Nutrients!$I$8:$I$228)+(IF($A$7=Nutrients!$B$8,Nutrients!$I$8,Nutrients!$I$9)*D$7)+(((IF($A$8=Nutrients!$B$79,Nutrients!$I$79,(IF($A$8=Nutrients!$B$77,Nutrients!$I$77,Nutrients!$I$78)))))*D$8))/2000</f>
        <v>16.586100942528425</v>
      </c>
      <c r="E253" s="22">
        <f>(SUMPRODUCT(E$9:E$229,Nutrients!$I$8:$I$228)+(IF($A$7=Nutrients!$B$8,Nutrients!$I$8,Nutrients!$I$9)*E$7)+(((IF($A$8=Nutrients!$B$79,Nutrients!$I$79,(IF($A$8=Nutrients!$B$77,Nutrients!$I$77,Nutrients!$I$78)))))*E$8))/2000</f>
        <v>15.008183180211585</v>
      </c>
      <c r="F253" s="22">
        <f>(SUMPRODUCT(F$9:F$229,Nutrients!$I$8:$I$228)+(IF($A$7=Nutrients!$B$8,Nutrients!$I$8,Nutrients!$I$9)*F$7)+(((IF($A$8=Nutrients!$B$79,Nutrients!$I$79,(IF($A$8=Nutrients!$B$77,Nutrients!$I$77,Nutrients!$I$78)))))*F$8))/2000</f>
        <v>13.947394938936968</v>
      </c>
      <c r="G253" s="22">
        <f>(SUMPRODUCT(G$9:G$229,Nutrients!$I$8:$I$228)+(IF($A$7=Nutrients!$B$8,Nutrients!$I$8,Nutrients!$I$9)*G$7)+(((IF($A$8=Nutrients!$B$79,Nutrients!$I$79,(IF($A$8=Nutrients!$B$77,Nutrients!$I$77,Nutrients!$I$78)))))*G$8))/2000</f>
        <v>13.408858132850794</v>
      </c>
      <c r="H253" s="228"/>
      <c r="I253" s="22">
        <f>(SUMPRODUCT(I$9:I$229,Nutrients!$I$8:$I$228)+(IF($A$7=Nutrients!$B$8,Nutrients!$I$8,Nutrients!$I$9)*I$7)+(((IF($A$8=Nutrients!$B$79,Nutrients!$I$79,(IF($A$8=Nutrients!$B$77,Nutrients!$I$77,Nutrients!$I$78)))))*I$8))/2000</f>
        <v>21.003742377828754</v>
      </c>
      <c r="J253" s="22">
        <f>(SUMPRODUCT(J$9:J$229,Nutrients!$I$8:$I$228)+(IF($A$7=Nutrients!$B$8,Nutrients!$I$8,Nutrients!$I$9)*J$7)+(((IF($A$8=Nutrients!$B$79,Nutrients!$I$79,(IF($A$8=Nutrients!$B$77,Nutrients!$I$77,Nutrients!$I$78)))))*J$8))/2000</f>
        <v>18.818519491121346</v>
      </c>
      <c r="K253" s="22">
        <f>(SUMPRODUCT(K$9:K$229,Nutrients!$I$8:$I$228)+(IF($A$7=Nutrients!$B$8,Nutrients!$I$8,Nutrients!$I$9)*K$7)+(((IF($A$8=Nutrients!$B$79,Nutrients!$I$79,(IF($A$8=Nutrients!$B$77,Nutrients!$I$77,Nutrients!$I$78)))))*K$8))/2000</f>
        <v>16.930534068935788</v>
      </c>
      <c r="L253" s="22">
        <f>(SUMPRODUCT(L$9:L$229,Nutrients!$I$8:$I$228)+(IF($A$7=Nutrients!$B$8,Nutrients!$I$8,Nutrients!$I$9)*L$7)+(((IF($A$8=Nutrients!$B$79,Nutrients!$I$79,(IF($A$8=Nutrients!$B$77,Nutrients!$I$77,Nutrients!$I$78)))))*L$8))/2000</f>
        <v>15.353511313488179</v>
      </c>
      <c r="M253" s="22">
        <f>(SUMPRODUCT(M$9:M$229,Nutrients!$I$8:$I$228)+(IF($A$7=Nutrients!$B$8,Nutrients!$I$8,Nutrients!$I$9)*M$7)+(((IF($A$8=Nutrients!$B$79,Nutrients!$I$79,(IF($A$8=Nutrients!$B$77,Nutrients!$I$77,Nutrients!$I$78)))))*M$8))/2000</f>
        <v>14.292057789687002</v>
      </c>
      <c r="N253" s="22">
        <f>(SUMPRODUCT(N$9:N$229,Nutrients!$I$8:$I$228)+(IF($A$7=Nutrients!$B$8,Nutrients!$I$8,Nutrients!$I$9)*N$7)+(((IF($A$8=Nutrients!$B$79,Nutrients!$I$79,(IF($A$8=Nutrients!$B$77,Nutrients!$I$77,Nutrients!$I$78)))))*N$8))/2000</f>
        <v>13.408858132850794</v>
      </c>
      <c r="O253" s="235"/>
      <c r="P253" s="22">
        <f>(SUMPRODUCT(P$9:P$229,Nutrients!$I$8:$I$228)+(IF($A$7=Nutrients!$B$8,Nutrients!$I$8,Nutrients!$I$9)*P$7)+(((IF($A$8=Nutrients!$B$79,Nutrients!$I$79,(IF($A$8=Nutrients!$B$77,Nutrients!$I$77,Nutrients!$I$78)))))*P$8))/2000</f>
        <v>21.348174047382926</v>
      </c>
      <c r="Q253" s="22">
        <f>(SUMPRODUCT(Q$9:Q$229,Nutrients!$I$8:$I$228)+(IF($A$7=Nutrients!$B$8,Nutrients!$I$8,Nutrients!$I$9)*Q$7)+(((IF($A$8=Nutrients!$B$79,Nutrients!$I$79,(IF($A$8=Nutrients!$B$77,Nutrients!$I$77,Nutrients!$I$78)))))*Q$8))/2000</f>
        <v>19.162851453804464</v>
      </c>
      <c r="R253" s="22">
        <f>(SUMPRODUCT(R$9:R$229,Nutrients!$I$8:$I$228)+(IF($A$7=Nutrients!$B$8,Nutrients!$I$8,Nutrients!$I$9)*R$7)+(((IF($A$8=Nutrients!$B$79,Nutrients!$I$79,(IF($A$8=Nutrients!$B$77,Nutrients!$I$77,Nutrients!$I$78)))))*R$8))/2000</f>
        <v>17.274715534610298</v>
      </c>
      <c r="S253" s="22">
        <f>(SUMPRODUCT(S$9:S$229,Nutrients!$I$8:$I$228)+(IF($A$7=Nutrients!$B$8,Nutrients!$I$8,Nutrients!$I$9)*S$7)+(((IF($A$8=Nutrients!$B$79,Nutrients!$I$79,(IF($A$8=Nutrients!$B$77,Nutrients!$I$77,Nutrients!$I$78)))))*S$8))/2000</f>
        <v>15.697751974509528</v>
      </c>
      <c r="T253" s="22">
        <f>(SUMPRODUCT(T$9:T$229,Nutrients!$I$8:$I$228)+(IF($A$7=Nutrients!$B$8,Nutrients!$I$8,Nutrients!$I$9)*T$7)+(((IF($A$8=Nutrients!$B$79,Nutrients!$I$79,(IF($A$8=Nutrients!$B$77,Nutrients!$I$77,Nutrients!$I$78)))))*T$8))/2000</f>
        <v>14.638312320799214</v>
      </c>
      <c r="U253" s="22">
        <f>(SUMPRODUCT(U$9:U$229,Nutrients!$I$8:$I$228)+(IF($A$7=Nutrients!$B$8,Nutrients!$I$8,Nutrients!$I$9)*U$7)+(((IF($A$8=Nutrients!$B$79,Nutrients!$I$79,(IF($A$8=Nutrients!$B$77,Nutrients!$I$77,Nutrients!$I$78)))))*U$8))/2000</f>
        <v>13.408858132850794</v>
      </c>
      <c r="W253" s="22">
        <f>(SUMPRODUCT(W$9:W$229,Nutrients!$I$8:$I$228)+(IF($A$7=Nutrients!$B$8,Nutrients!$I$8,Nutrients!$I$9)*W$7)+(((IF($A$8=Nutrients!$B$79,Nutrients!$I$79,(IF($A$8=Nutrients!$B$77,Nutrients!$I$77,Nutrients!$I$78)))))*W$8))/2000</f>
        <v>21.692527052153018</v>
      </c>
      <c r="X253" s="22">
        <f>(SUMPRODUCT(X$9:X$229,Nutrients!$I$8:$I$228)+(IF($A$7=Nutrients!$B$8,Nutrients!$I$8,Nutrients!$I$9)*X$7)+(((IF($A$8=Nutrients!$B$79,Nutrients!$I$79,(IF($A$8=Nutrients!$B$77,Nutrients!$I$77,Nutrients!$I$78)))))*X$8))/2000</f>
        <v>19.507089000363152</v>
      </c>
      <c r="Y253" s="22">
        <f>(SUMPRODUCT(Y$9:Y$229,Nutrients!$I$8:$I$228)+(IF($A$7=Nutrients!$B$8,Nutrients!$I$8,Nutrients!$I$9)*Y$7)+(((IF($A$8=Nutrients!$B$79,Nutrients!$I$79,(IF($A$8=Nutrients!$B$77,Nutrients!$I$77,Nutrients!$I$78)))))*Y$8))/2000</f>
        <v>17.619122359395547</v>
      </c>
      <c r="Z253" s="22">
        <f>(SUMPRODUCT(Z$9:Z$229,Nutrients!$I$8:$I$228)+(IF($A$7=Nutrients!$B$8,Nutrients!$I$8,Nutrients!$I$9)*Z$7)+(((IF($A$8=Nutrients!$B$79,Nutrients!$I$79,(IF($A$8=Nutrients!$B$77,Nutrients!$I$77,Nutrients!$I$78)))))*Z$8))/2000</f>
        <v>16.039649759560476</v>
      </c>
      <c r="AA253" s="22">
        <f>(SUMPRODUCT(AA$9:AA$229,Nutrients!$I$8:$I$228)+(IF($A$7=Nutrients!$B$8,Nutrients!$I$8,Nutrients!$I$9)*AA$7)+(((IF($A$8=Nutrients!$B$79,Nutrients!$I$79,(IF($A$8=Nutrients!$B$77,Nutrients!$I$77,Nutrients!$I$78)))))*AA$8))/2000</f>
        <v>14.98720876597322</v>
      </c>
      <c r="AB253" s="22">
        <f>(SUMPRODUCT(AB$9:AB$229,Nutrients!$I$8:$I$228)+(IF($A$7=Nutrients!$B$8,Nutrients!$I$8,Nutrients!$I$9)*AB$7)+(((IF($A$8=Nutrients!$B$79,Nutrients!$I$79,(IF($A$8=Nutrients!$B$77,Nutrients!$I$77,Nutrients!$I$78)))))*AB$8))/2000</f>
        <v>13.408858132850794</v>
      </c>
      <c r="AD253" s="22">
        <f>(SUMPRODUCT(AD$9:AD$229,Nutrients!$I$8:$I$228)+(IF($A$7=Nutrients!$B$8,Nutrients!$I$8,Nutrients!$I$9)*AD$7)+(((IF($A$8=Nutrients!$B$79,Nutrients!$I$79,(IF($A$8=Nutrients!$B$77,Nutrients!$I$77,Nutrients!$I$78)))))*AD$8))/2000</f>
        <v>22.036783508773972</v>
      </c>
      <c r="AE253" s="22">
        <f>(SUMPRODUCT(AE$9:AE$229,Nutrients!$I$8:$I$228)+(IF($A$7=Nutrients!$B$8,Nutrients!$I$8,Nutrients!$I$9)*AE$7)+(((IF($A$8=Nutrients!$B$79,Nutrients!$I$79,(IF($A$8=Nutrients!$B$77,Nutrients!$I$77,Nutrients!$I$78)))))*AE$8))/2000</f>
        <v>19.851388015982483</v>
      </c>
      <c r="AF253" s="22">
        <f>(SUMPRODUCT(AF$9:AF$229,Nutrients!$I$8:$I$228)+(IF($A$7=Nutrients!$B$8,Nutrients!$I$8,Nutrients!$I$9)*AF$7)+(((IF($A$8=Nutrients!$B$79,Nutrients!$I$79,(IF($A$8=Nutrients!$B$77,Nutrients!$I$77,Nutrients!$I$78)))))*AF$8))/2000</f>
        <v>17.957593404928456</v>
      </c>
      <c r="AG253" s="22">
        <f>(SUMPRODUCT(AG$9:AG$229,Nutrients!$I$8:$I$228)+(IF($A$7=Nutrients!$B$8,Nutrients!$I$8,Nutrients!$I$9)*AG$7)+(((IF($A$8=Nutrients!$B$79,Nutrients!$I$79,(IF($A$8=Nutrients!$B$77,Nutrients!$I$77,Nutrients!$I$78)))))*AG$8))/2000</f>
        <v>16.388383549910856</v>
      </c>
      <c r="AH253" s="22">
        <f>(SUMPRODUCT(AH$9:AH$229,Nutrients!$I$8:$I$228)+(IF($A$7=Nutrients!$B$8,Nutrients!$I$8,Nutrients!$I$9)*AH$7)+(((IF($A$8=Nutrients!$B$79,Nutrients!$I$79,(IF($A$8=Nutrients!$B$77,Nutrients!$I$77,Nutrients!$I$78)))))*AH$8))/2000</f>
        <v>15.32963081706551</v>
      </c>
      <c r="AI253" s="22">
        <f>(SUMPRODUCT(AI$9:AI$229,Nutrients!$I$8:$I$228)+(IF($A$7=Nutrients!$B$8,Nutrients!$I$8,Nutrients!$I$9)*AI$7)+(((IF($A$8=Nutrients!$B$79,Nutrients!$I$79,(IF($A$8=Nutrients!$B$77,Nutrients!$I$77,Nutrients!$I$78)))))*AI$8))/2000</f>
        <v>13.408858132850794</v>
      </c>
      <c r="AK253" s="22">
        <f>(SUMPRODUCT(AK$9:AK$229,Nutrients!$I$8:$I$228)+(IF($A$7=Nutrients!$B$8,Nutrients!$I$8,Nutrients!$I$9)*AK$7)+(((IF($A$8=Nutrients!$B$79,Nutrients!$I$79,(IF($A$8=Nutrients!$B$77,Nutrients!$I$77,Nutrients!$I$78)))))*AK$8))/2000</f>
        <v>22.380362566270655</v>
      </c>
      <c r="AL253" s="22">
        <f>(SUMPRODUCT(AL$9:AL$229,Nutrients!$I$8:$I$228)+(IF($A$7=Nutrients!$B$8,Nutrients!$I$8,Nutrients!$I$9)*AL$7)+(((IF($A$8=Nutrients!$B$79,Nutrients!$I$79,(IF($A$8=Nutrients!$B$77,Nutrients!$I$77,Nutrients!$I$78)))))*AL$8))/2000</f>
        <v>20.195697027845554</v>
      </c>
      <c r="AM253" s="22">
        <f>(SUMPRODUCT(AM$9:AM$229,Nutrients!$I$8:$I$228)+(IF($A$7=Nutrients!$B$8,Nutrients!$I$8,Nutrients!$I$9)*AM$7)+(((IF($A$8=Nutrients!$B$79,Nutrients!$I$79,(IF($A$8=Nutrients!$B$77,Nutrients!$I$77,Nutrients!$I$78)))))*AM$8))/2000</f>
        <v>18.306502386806542</v>
      </c>
      <c r="AN253" s="22">
        <f>(SUMPRODUCT(AN$9:AN$229,Nutrients!$I$8:$I$228)+(IF($A$7=Nutrients!$B$8,Nutrients!$I$8,Nutrients!$I$9)*AN$7)+(((IF($A$8=Nutrients!$B$79,Nutrients!$I$79,(IF($A$8=Nutrients!$B$77,Nutrients!$I$77,Nutrients!$I$78)))))*AN$8))/2000</f>
        <v>16.731356114471531</v>
      </c>
      <c r="AO253" s="22">
        <f>(SUMPRODUCT(AO$9:AO$229,Nutrients!$I$8:$I$228)+(IF($A$7=Nutrients!$B$8,Nutrients!$I$8,Nutrients!$I$9)*AO$7)+(((IF($A$8=Nutrients!$B$79,Nutrients!$I$79,(IF($A$8=Nutrients!$B$77,Nutrients!$I$77,Nutrients!$I$78)))))*AO$8))/2000</f>
        <v>15.669874990169923</v>
      </c>
      <c r="AP253" s="22">
        <f>(SUMPRODUCT(AP$9:AP$229,Nutrients!$I$8:$I$228)+(IF($A$7=Nutrients!$B$8,Nutrients!$I$8,Nutrients!$I$9)*AP$7)+(((IF($A$8=Nutrients!$B$79,Nutrients!$I$79,(IF($A$8=Nutrients!$B$77,Nutrients!$I$77,Nutrients!$I$78)))))*AP$8))/2000</f>
        <v>13.408858132850794</v>
      </c>
      <c r="AR253" s="22">
        <f>(SUMPRODUCT(AR$9:AR$229,Nutrients!$I$8:$I$228)+(IF($A$7=Nutrients!$B$8,Nutrients!$I$8,Nutrients!$I$9)*AR$7)+(((IF($A$8=Nutrients!$B$79,Nutrients!$I$79,(IF($A$8=Nutrients!$B$77,Nutrients!$I$77,Nutrients!$I$78)))))*AR$8))/2000</f>
        <v>22.723231489073456</v>
      </c>
      <c r="AS253" s="22">
        <f>(SUMPRODUCT(AS$9:AS$229,Nutrients!$I$8:$I$228)+(IF($A$7=Nutrients!$B$8,Nutrients!$I$8,Nutrients!$I$9)*AS$7)+(((IF($A$8=Nutrients!$B$79,Nutrients!$I$79,(IF($A$8=Nutrients!$B$77,Nutrients!$I$77,Nutrients!$I$78)))))*AS$8))/2000</f>
        <v>20.538272285696181</v>
      </c>
      <c r="AT253" s="22">
        <f>(SUMPRODUCT(AT$9:AT$229,Nutrients!$I$8:$I$228)+(IF($A$7=Nutrients!$B$8,Nutrients!$I$8,Nutrients!$I$9)*AT$7)+(((IF($A$8=Nutrients!$B$79,Nutrients!$I$79,(IF($A$8=Nutrients!$B$77,Nutrients!$I$77,Nutrients!$I$78)))))*AT$8))/2000</f>
        <v>18.65255517479471</v>
      </c>
      <c r="AU253" s="22">
        <f>(SUMPRODUCT(AU$9:AU$229,Nutrients!$I$8:$I$228)+(IF($A$7=Nutrients!$B$8,Nutrients!$I$8,Nutrients!$I$9)*AU$7)+(((IF($A$8=Nutrients!$B$79,Nutrients!$I$79,(IF($A$8=Nutrients!$B$77,Nutrients!$I$77,Nutrients!$I$78)))))*AU$8))/2000</f>
        <v>17.071401278099408</v>
      </c>
      <c r="AV253" s="22">
        <f>(SUMPRODUCT(AV$9:AV$229,Nutrients!$I$8:$I$228)+(IF($A$7=Nutrients!$B$8,Nutrients!$I$8,Nutrients!$I$9)*AV$7)+(((IF($A$8=Nutrients!$B$79,Nutrients!$I$79,(IF($A$8=Nutrients!$B$77,Nutrients!$I$77,Nutrients!$I$78)))))*AV$8))/2000</f>
        <v>16.011634493989035</v>
      </c>
      <c r="AW253" s="22">
        <f>(SUMPRODUCT(AW$9:AW$229,Nutrients!$I$8:$I$228)+(IF($A$7=Nutrients!$B$8,Nutrients!$I$8,Nutrients!$I$9)*AW$7)+(((IF($A$8=Nutrients!$B$79,Nutrients!$I$79,(IF($A$8=Nutrients!$B$77,Nutrients!$I$77,Nutrients!$I$78)))))*AW$8))/2000</f>
        <v>13.408858132850794</v>
      </c>
    </row>
    <row r="254" spans="1:56" x14ac:dyDescent="0.25">
      <c r="A254" s="41" t="s">
        <v>144</v>
      </c>
      <c r="B254" s="23">
        <f>(SUMPRODUCT(B$9:B$229,Nutrients!$BS$8:$BS$228)+(IF($A$7=Nutrients!$B$8,Nutrients!$BS$8,Nutrients!$BS$9)*B$7)+(((IF($A$8=Nutrients!$B$79,Nutrients!$BS$79,(IF($A$8=Nutrients!$B$77,Nutrients!$BS$77,Nutrients!$BS$78)))))*B$8))/2000</f>
        <v>0.6959867621315019</v>
      </c>
      <c r="C254" s="23">
        <f>(SUMPRODUCT(C$9:C$229,Nutrients!$BS$8:$BS$228)+(IF($A$7=Nutrients!$B$8,Nutrients!$BS$8,Nutrients!$BS$9)*C$7)+(((IF($A$8=Nutrients!$B$79,Nutrients!$BS$79,(IF($A$8=Nutrients!$B$77,Nutrients!$BS$77,Nutrients!$BS$78)))))*C$8))/2000</f>
        <v>0.62662783783950593</v>
      </c>
      <c r="D254" s="23">
        <f>(SUMPRODUCT(D$9:D$229,Nutrients!$BS$8:$BS$228)+(IF($A$7=Nutrients!$B$8,Nutrients!$BS$8,Nutrients!$BS$9)*D$7)+(((IF($A$8=Nutrients!$B$79,Nutrients!$BS$79,(IF($A$8=Nutrients!$B$77,Nutrients!$BS$77,Nutrients!$BS$78)))))*D$8))/2000</f>
        <v>0.57472596332038417</v>
      </c>
      <c r="E254" s="23">
        <f>(SUMPRODUCT(E$9:E$229,Nutrients!$BS$8:$BS$228)+(IF($A$7=Nutrients!$B$8,Nutrients!$BS$8,Nutrients!$BS$9)*E$7)+(((IF($A$8=Nutrients!$B$79,Nutrients!$BS$79,(IF($A$8=Nutrients!$B$77,Nutrients!$BS$77,Nutrients!$BS$78)))))*E$8))/2000</f>
        <v>0.52452097205568682</v>
      </c>
      <c r="F254" s="23">
        <f>(SUMPRODUCT(F$9:F$229,Nutrients!$BS$8:$BS$228)+(IF($A$7=Nutrients!$B$8,Nutrients!$BS$8,Nutrients!$BS$9)*F$7)+(((IF($A$8=Nutrients!$B$79,Nutrients!$BS$79,(IF($A$8=Nutrients!$B$77,Nutrients!$BS$77,Nutrients!$BS$78)))))*F$8))/2000</f>
        <v>0.48152514697950427</v>
      </c>
      <c r="G254" s="23">
        <f>(SUMPRODUCT(G$9:G$229,Nutrients!$BS$8:$BS$228)+(IF($A$7=Nutrients!$B$8,Nutrients!$BS$8,Nutrients!$BS$9)*G$7)+(((IF($A$8=Nutrients!$B$79,Nutrients!$BS$79,(IF($A$8=Nutrients!$B$77,Nutrients!$BS$77,Nutrients!$BS$78)))))*G$8))/2000</f>
        <v>0.46528542953652235</v>
      </c>
      <c r="H254" s="227"/>
      <c r="I254" s="23">
        <f>(SUMPRODUCT(I$9:I$229,Nutrients!$BS$8:$BS$228)+(IF($A$7=Nutrients!$B$8,Nutrients!$BS$8,Nutrients!$BS$9)*I$7)+(((IF($A$8=Nutrients!$B$79,Nutrients!$BS$79,(IF($A$8=Nutrients!$B$77,Nutrients!$BS$77,Nutrients!$BS$78)))))*I$8))/2000</f>
        <v>0.69674290441449904</v>
      </c>
      <c r="J254" s="23">
        <f>(SUMPRODUCT(J$9:J$229,Nutrients!$BS$8:$BS$228)+(IF($A$7=Nutrients!$B$8,Nutrients!$BS$8,Nutrients!$BS$9)*J$7)+(((IF($A$8=Nutrients!$B$79,Nutrients!$BS$79,(IF($A$8=Nutrients!$B$77,Nutrients!$BS$77,Nutrients!$BS$78)))))*J$8))/2000</f>
        <v>0.62811810771969523</v>
      </c>
      <c r="K254" s="23">
        <f>(SUMPRODUCT(K$9:K$229,Nutrients!$BS$8:$BS$228)+(IF($A$7=Nutrients!$B$8,Nutrients!$BS$8,Nutrients!$BS$9)*K$7)+(((IF($A$8=Nutrients!$B$79,Nutrients!$BS$79,(IF($A$8=Nutrients!$B$77,Nutrients!$BS$77,Nutrients!$BS$78)))))*K$8))/2000</f>
        <v>0.57280634336655667</v>
      </c>
      <c r="L254" s="23">
        <f>(SUMPRODUCT(L$9:L$229,Nutrients!$BS$8:$BS$228)+(IF($A$7=Nutrients!$B$8,Nutrients!$BS$8,Nutrients!$BS$9)*L$7)+(((IF($A$8=Nutrients!$B$79,Nutrients!$BS$79,(IF($A$8=Nutrients!$B$77,Nutrients!$BS$77,Nutrients!$BS$78)))))*L$8))/2000</f>
        <v>0.52052566642903431</v>
      </c>
      <c r="M254" s="23">
        <f>(SUMPRODUCT(M$9:M$229,Nutrients!$BS$8:$BS$228)+(IF($A$7=Nutrients!$B$8,Nutrients!$BS$8,Nutrients!$BS$9)*M$7)+(((IF($A$8=Nutrients!$B$79,Nutrients!$BS$79,(IF($A$8=Nutrients!$B$77,Nutrients!$BS$77,Nutrients!$BS$78)))))*M$8))/2000</f>
        <v>0.47971582994932327</v>
      </c>
      <c r="N254" s="23">
        <f>(SUMPRODUCT(N$9:N$229,Nutrients!$BS$8:$BS$228)+(IF($A$7=Nutrients!$B$8,Nutrients!$BS$8,Nutrients!$BS$9)*N$7)+(((IF($A$8=Nutrients!$B$79,Nutrients!$BS$79,(IF($A$8=Nutrients!$B$77,Nutrients!$BS$77,Nutrients!$BS$78)))))*N$8))/2000</f>
        <v>0.46528542953652235</v>
      </c>
      <c r="O254" s="198"/>
      <c r="P254" s="23">
        <f>(SUMPRODUCT(P$9:P$229,Nutrients!$BS$8:$BS$228)+(IF($A$7=Nutrients!$B$8,Nutrients!$BS$8,Nutrients!$BS$9)*P$7)+(((IF($A$8=Nutrients!$B$79,Nutrients!$BS$79,(IF($A$8=Nutrients!$B$77,Nutrients!$BS$77,Nutrients!$BS$78)))))*P$8))/2000</f>
        <v>0.69656298153138019</v>
      </c>
      <c r="Q254" s="23">
        <f>(SUMPRODUCT(Q$9:Q$229,Nutrients!$BS$8:$BS$228)+(IF($A$7=Nutrients!$B$8,Nutrients!$BS$8,Nutrients!$BS$9)*Q$7)+(((IF($A$8=Nutrients!$B$79,Nutrients!$BS$79,(IF($A$8=Nutrients!$B$77,Nutrients!$BS$77,Nutrients!$BS$78)))))*Q$8))/2000</f>
        <v>0.62793824958166999</v>
      </c>
      <c r="R254" s="23">
        <f>(SUMPRODUCT(R$9:R$229,Nutrients!$BS$8:$BS$228)+(IF($A$7=Nutrients!$B$8,Nutrients!$BS$8,Nutrients!$BS$9)*R$7)+(((IF($A$8=Nutrients!$B$79,Nutrients!$BS$79,(IF($A$8=Nutrients!$B$77,Nutrients!$BS$77,Nutrients!$BS$78)))))*R$8))/2000</f>
        <v>0.57262658295442315</v>
      </c>
      <c r="S254" s="23">
        <f>(SUMPRODUCT(S$9:S$229,Nutrients!$BS$8:$BS$228)+(IF($A$7=Nutrients!$B$8,Nutrients!$BS$8,Nutrients!$BS$9)*S$7)+(((IF($A$8=Nutrients!$B$79,Nutrients!$BS$79,(IF($A$8=Nutrients!$B$77,Nutrients!$BS$77,Nutrients!$BS$78)))))*S$8))/2000</f>
        <v>0.52034586757814305</v>
      </c>
      <c r="T254" s="23">
        <f>(SUMPRODUCT(T$9:T$229,Nutrients!$BS$8:$BS$228)+(IF($A$7=Nutrients!$B$8,Nutrients!$BS$8,Nutrients!$BS$9)*T$7)+(((IF($A$8=Nutrients!$B$79,Nutrients!$BS$79,(IF($A$8=Nutrients!$B$77,Nutrients!$BS$77,Nutrients!$BS$78)))))*T$8))/2000</f>
        <v>0.47953612694518505</v>
      </c>
      <c r="U254" s="23">
        <f>(SUMPRODUCT(U$9:U$229,Nutrients!$BS$8:$BS$228)+(IF($A$7=Nutrients!$B$8,Nutrients!$BS$8,Nutrients!$BS$9)*U$7)+(((IF($A$8=Nutrients!$B$79,Nutrients!$BS$79,(IF($A$8=Nutrients!$B$77,Nutrients!$BS$77,Nutrients!$BS$78)))))*U$8))/2000</f>
        <v>0.46528542953652235</v>
      </c>
      <c r="W254" s="23">
        <f>(SUMPRODUCT(W$9:W$229,Nutrients!$BS$8:$BS$228)+(IF($A$7=Nutrients!$B$8,Nutrients!$BS$8,Nutrients!$BS$9)*W$7)+(((IF($A$8=Nutrients!$B$79,Nutrients!$BS$79,(IF($A$8=Nutrients!$B$77,Nutrients!$BS$77,Nutrients!$BS$78)))))*W$8))/2000</f>
        <v>0.69638310972958339</v>
      </c>
      <c r="X254" s="23">
        <f>(SUMPRODUCT(X$9:X$229,Nutrients!$BS$8:$BS$228)+(IF($A$7=Nutrients!$B$8,Nutrients!$BS$8,Nutrients!$BS$9)*X$7)+(((IF($A$8=Nutrients!$B$79,Nutrients!$BS$79,(IF($A$8=Nutrients!$B$77,Nutrients!$BS$77,Nutrients!$BS$78)))))*X$8))/2000</f>
        <v>0.62775845275316855</v>
      </c>
      <c r="Y254" s="23">
        <f>(SUMPRODUCT(Y$9:Y$229,Nutrients!$BS$8:$BS$228)+(IF($A$7=Nutrients!$B$8,Nutrients!$BS$8,Nutrients!$BS$9)*Y$7)+(((IF($A$8=Nutrients!$B$79,Nutrients!$BS$79,(IF($A$8=Nutrients!$B$77,Nutrients!$BS$77,Nutrients!$BS$78)))))*Y$8))/2000</f>
        <v>0.5716766762043638</v>
      </c>
      <c r="Z254" s="23">
        <f>(SUMPRODUCT(Z$9:Z$229,Nutrients!$BS$8:$BS$228)+(IF($A$7=Nutrients!$B$8,Nutrients!$BS$8,Nutrients!$BS$9)*Z$7)+(((IF($A$8=Nutrients!$B$79,Nutrients!$BS$79,(IF($A$8=Nutrients!$B$77,Nutrients!$BS$77,Nutrients!$BS$78)))))*Z$8))/2000</f>
        <v>0.51939588948699522</v>
      </c>
      <c r="AA254" s="23">
        <f>(SUMPRODUCT(AA$9:AA$229,Nutrients!$BS$8:$BS$228)+(IF($A$7=Nutrients!$B$8,Nutrients!$BS$8,Nutrients!$BS$9)*AA$7)+(((IF($A$8=Nutrients!$B$79,Nutrients!$BS$79,(IF($A$8=Nutrients!$B$77,Nutrients!$BS$77,Nutrients!$BS$78)))))*AA$8))/2000</f>
        <v>0.47858654424219005</v>
      </c>
      <c r="AB254" s="23">
        <f>(SUMPRODUCT(AB$9:AB$229,Nutrients!$BS$8:$BS$228)+(IF($A$7=Nutrients!$B$8,Nutrients!$BS$8,Nutrients!$BS$9)*AB$7)+(((IF($A$8=Nutrients!$B$79,Nutrients!$BS$79,(IF($A$8=Nutrients!$B$77,Nutrients!$BS$77,Nutrients!$BS$78)))))*AB$8))/2000</f>
        <v>0.46528542953652235</v>
      </c>
      <c r="AD254" s="23">
        <f>(SUMPRODUCT(AD$9:AD$229,Nutrients!$BS$8:$BS$228)+(IF($A$7=Nutrients!$B$8,Nutrients!$BS$8,Nutrients!$BS$9)*AD$7)+(((IF($A$8=Nutrients!$B$79,Nutrients!$BS$79,(IF($A$8=Nutrients!$B$77,Nutrients!$BS$77,Nutrients!$BS$78)))))*AD$8))/2000</f>
        <v>0.69581830062175032</v>
      </c>
      <c r="AE254" s="23">
        <f>(SUMPRODUCT(AE$9:AE$229,Nutrients!$BS$8:$BS$228)+(IF($A$7=Nutrients!$B$8,Nutrients!$BS$8,Nutrients!$BS$9)*AE$7)+(((IF($A$8=Nutrients!$B$79,Nutrients!$BS$79,(IF($A$8=Nutrients!$B$77,Nutrients!$BS$77,Nutrients!$BS$78)))))*AE$8))/2000</f>
        <v>0.62719361600946355</v>
      </c>
      <c r="AF254" s="23">
        <f>(SUMPRODUCT(AF$9:AF$229,Nutrients!$BS$8:$BS$228)+(IF($A$7=Nutrients!$B$8,Nutrients!$BS$8,Nutrients!$BS$9)*AF$7)+(((IF($A$8=Nutrients!$B$79,Nutrients!$BS$79,(IF($A$8=Nutrients!$B$77,Nutrients!$BS$77,Nutrients!$BS$78)))))*AF$8))/2000</f>
        <v>0.57111160959985907</v>
      </c>
      <c r="AG254" s="23">
        <f>(SUMPRODUCT(AG$9:AG$229,Nutrients!$BS$8:$BS$228)+(IF($A$7=Nutrients!$B$8,Nutrients!$BS$8,Nutrients!$BS$9)*AG$7)+(((IF($A$8=Nutrients!$B$79,Nutrients!$BS$79,(IF($A$8=Nutrients!$B$77,Nutrients!$BS$77,Nutrients!$BS$78)))))*AG$8))/2000</f>
        <v>0.51883141240462238</v>
      </c>
      <c r="AH254" s="23">
        <f>(SUMPRODUCT(AH$9:AH$229,Nutrients!$BS$8:$BS$228)+(IF($A$7=Nutrients!$B$8,Nutrients!$BS$8,Nutrients!$BS$9)*AH$7)+(((IF($A$8=Nutrients!$B$79,Nutrients!$BS$79,(IF($A$8=Nutrients!$B$77,Nutrients!$BS$77,Nutrients!$BS$78)))))*AH$8))/2000</f>
        <v>0.49697596858666282</v>
      </c>
      <c r="AI254" s="23">
        <f>(SUMPRODUCT(AI$9:AI$229,Nutrients!$BS$8:$BS$228)+(IF($A$7=Nutrients!$B$8,Nutrients!$BS$8,Nutrients!$BS$9)*AI$7)+(((IF($A$8=Nutrients!$B$79,Nutrients!$BS$79,(IF($A$8=Nutrients!$B$77,Nutrients!$BS$77,Nutrients!$BS$78)))))*AI$8))/2000</f>
        <v>0.46528542953652235</v>
      </c>
      <c r="AK254" s="23">
        <f>(SUMPRODUCT(AK$9:AK$229,Nutrients!$BS$8:$BS$228)+(IF($A$7=Nutrients!$B$8,Nutrients!$BS$8,Nutrients!$BS$9)*AK$7)+(((IF($A$8=Nutrients!$B$79,Nutrients!$BS$79,(IF($A$8=Nutrients!$B$77,Nutrients!$BS$77,Nutrients!$BS$78)))))*AK$8))/2000</f>
        <v>0.69506143138600607</v>
      </c>
      <c r="AL254" s="23">
        <f>(SUMPRODUCT(AL$9:AL$229,Nutrients!$BS$8:$BS$228)+(IF($A$7=Nutrients!$B$8,Nutrients!$BS$8,Nutrients!$BS$9)*AL$7)+(((IF($A$8=Nutrients!$B$79,Nutrients!$BS$79,(IF($A$8=Nutrients!$B$77,Nutrients!$BS$77,Nutrients!$BS$78)))))*AL$8))/2000</f>
        <v>0.62643627277465364</v>
      </c>
      <c r="AM254" s="23">
        <f>(SUMPRODUCT(AM$9:AM$229,Nutrients!$BS$8:$BS$228)+(IF($A$7=Nutrients!$B$8,Nutrients!$BS$8,Nutrients!$BS$9)*AM$7)+(((IF($A$8=Nutrients!$B$79,Nutrients!$BS$79,(IF($A$8=Nutrients!$B$77,Nutrients!$BS$77,Nutrients!$BS$78)))))*AM$8))/2000</f>
        <v>0.57035451875610033</v>
      </c>
      <c r="AN254" s="23">
        <f>(SUMPRODUCT(AN$9:AN$229,Nutrients!$BS$8:$BS$228)+(IF($A$7=Nutrients!$B$8,Nutrients!$BS$8,Nutrients!$BS$9)*AN$7)+(((IF($A$8=Nutrients!$B$79,Nutrients!$BS$79,(IF($A$8=Nutrients!$B$77,Nutrients!$BS$77,Nutrients!$BS$78)))))*AN$8))/2000</f>
        <v>0.53636170353388057</v>
      </c>
      <c r="AO254" s="23">
        <f>(SUMPRODUCT(AO$9:AO$229,Nutrients!$BS$8:$BS$228)+(IF($A$7=Nutrients!$B$8,Nutrients!$BS$8,Nutrients!$BS$9)*AO$7)+(((IF($A$8=Nutrients!$B$79,Nutrients!$BS$79,(IF($A$8=Nutrients!$B$77,Nutrients!$BS$77,Nutrients!$BS$78)))))*AO$8))/2000</f>
        <v>0.51847303091793406</v>
      </c>
      <c r="AP254" s="23">
        <f>(SUMPRODUCT(AP$9:AP$229,Nutrients!$BS$8:$BS$228)+(IF($A$7=Nutrients!$B$8,Nutrients!$BS$8,Nutrients!$BS$9)*AP$7)+(((IF($A$8=Nutrients!$B$79,Nutrients!$BS$79,(IF($A$8=Nutrients!$B$77,Nutrients!$BS$77,Nutrients!$BS$78)))))*AP$8))/2000</f>
        <v>0.46528542953652235</v>
      </c>
      <c r="AR254" s="23">
        <f>(SUMPRODUCT(AR$9:AR$229,Nutrients!$BS$8:$BS$228)+(IF($A$7=Nutrients!$B$8,Nutrients!$BS$8,Nutrients!$BS$9)*AR$7)+(((IF($A$8=Nutrients!$B$79,Nutrients!$BS$79,(IF($A$8=Nutrients!$B$77,Nutrients!$BS$77,Nutrients!$BS$78)))))*AR$8))/2000</f>
        <v>0.69488140099454243</v>
      </c>
      <c r="AS254" s="23">
        <f>(SUMPRODUCT(AS$9:AS$229,Nutrients!$BS$8:$BS$228)+(IF($A$7=Nutrients!$B$8,Nutrients!$BS$8,Nutrients!$BS$9)*AS$7)+(((IF($A$8=Nutrients!$B$79,Nutrients!$BS$79,(IF($A$8=Nutrients!$B$77,Nutrients!$BS$77,Nutrients!$BS$78)))))*AS$8))/2000</f>
        <v>0.62625643311671819</v>
      </c>
      <c r="AT254" s="23">
        <f>(SUMPRODUCT(AT$9:AT$229,Nutrients!$BS$8:$BS$228)+(IF($A$7=Nutrients!$B$8,Nutrients!$BS$8,Nutrients!$BS$9)*AT$7)+(((IF($A$8=Nutrients!$B$79,Nutrients!$BS$79,(IF($A$8=Nutrients!$B$77,Nutrients!$BS$77,Nutrients!$BS$78)))))*AT$8))/2000</f>
        <v>0.57620130315289597</v>
      </c>
      <c r="AU254" s="23">
        <f>(SUMPRODUCT(AU$9:AU$229,Nutrients!$BS$8:$BS$228)+(IF($A$7=Nutrients!$B$8,Nutrients!$BS$8,Nutrients!$BS$9)*AU$7)+(((IF($A$8=Nutrients!$B$79,Nutrients!$BS$79,(IF($A$8=Nutrients!$B$77,Nutrients!$BS$77,Nutrients!$BS$78)))))*AU$8))/2000</f>
        <v>0.55810225983282347</v>
      </c>
      <c r="AV254" s="23">
        <f>(SUMPRODUCT(AV$9:AV$229,Nutrients!$BS$8:$BS$228)+(IF($A$7=Nutrients!$B$8,Nutrients!$BS$8,Nutrients!$BS$9)*AV$7)+(((IF($A$8=Nutrients!$B$79,Nutrients!$BS$79,(IF($A$8=Nutrients!$B$77,Nutrients!$BS$77,Nutrients!$BS$78)))))*AV$8))/2000</f>
        <v>0.53996746183626676</v>
      </c>
      <c r="AW254" s="23">
        <f>(SUMPRODUCT(AW$9:AW$229,Nutrients!$BS$8:$BS$228)+(IF($A$7=Nutrients!$B$8,Nutrients!$BS$8,Nutrients!$BS$9)*AW$7)+(((IF($A$8=Nutrients!$B$79,Nutrients!$BS$79,(IF($A$8=Nutrients!$B$77,Nutrients!$BS$77,Nutrients!$BS$78)))))*AW$8))/2000</f>
        <v>0.46528542953652235</v>
      </c>
    </row>
    <row r="255" spans="1:56" x14ac:dyDescent="0.25">
      <c r="A255" s="41" t="s">
        <v>145</v>
      </c>
      <c r="B255" s="23">
        <f>(SUMPRODUCT(B$9:B$229,Nutrients!$BX$8:$BX$228)+(IF($A$7=Nutrients!$B$8,Nutrients!$BX$8,Nutrients!$BX$9)*B$7)+(((IF($A$8=Nutrients!$B$79,Nutrients!$BX$79,(IF($A$8=Nutrients!$B$77,Nutrients!$BX$77,Nutrients!$BX$78)))))*B$8))/2000</f>
        <v>0.5346695452711987</v>
      </c>
      <c r="C255" s="23">
        <f>(SUMPRODUCT(C$9:C$229,Nutrients!$BX$8:$BX$228)+(IF($A$7=Nutrients!$B$8,Nutrients!$BX$8,Nutrients!$BX$9)*C$7)+(((IF($A$8=Nutrients!$B$79,Nutrients!$BX$79,(IF($A$8=Nutrients!$B$77,Nutrients!$BX$77,Nutrients!$BX$78)))))*C$8))/2000</f>
        <v>0.48121097221673825</v>
      </c>
      <c r="D255" s="23">
        <f>(SUMPRODUCT(D$9:D$229,Nutrients!$BX$8:$BX$228)+(IF($A$7=Nutrients!$B$8,Nutrients!$BX$8,Nutrients!$BX$9)*D$7)+(((IF($A$8=Nutrients!$B$79,Nutrients!$BX$79,(IF($A$8=Nutrients!$B$77,Nutrients!$BX$77,Nutrients!$BX$78)))))*D$8))/2000</f>
        <v>0.42976285680817727</v>
      </c>
      <c r="E255" s="23">
        <f>(SUMPRODUCT(E$9:E$229,Nutrients!$BX$8:$BX$228)+(IF($A$7=Nutrients!$B$8,Nutrients!$BX$8,Nutrients!$BX$9)*E$7)+(((IF($A$8=Nutrients!$B$79,Nutrients!$BX$79,(IF($A$8=Nutrients!$B$77,Nutrients!$BX$77,Nutrients!$BX$78)))))*E$8))/2000</f>
        <v>0.3909770634935561</v>
      </c>
      <c r="F255" s="23">
        <f>(SUMPRODUCT(F$9:F$229,Nutrients!$BX$8:$BX$228)+(IF($A$7=Nutrients!$B$8,Nutrients!$BX$8,Nutrients!$BX$9)*F$7)+(((IF($A$8=Nutrients!$B$79,Nutrients!$BX$79,(IF($A$8=Nutrients!$B$77,Nutrients!$BX$77,Nutrients!$BX$78)))))*F$8))/2000</f>
        <v>0.36342201195104268</v>
      </c>
      <c r="G255" s="23">
        <f>(SUMPRODUCT(G$9:G$229,Nutrients!$BX$8:$BX$228)+(IF($A$7=Nutrients!$B$8,Nutrients!$BX$8,Nutrients!$BX$9)*G$7)+(((IF($A$8=Nutrients!$B$79,Nutrients!$BX$79,(IF($A$8=Nutrients!$B$77,Nutrients!$BX$77,Nutrients!$BX$78)))))*G$8))/2000</f>
        <v>0.35071811324744068</v>
      </c>
      <c r="H255" s="227"/>
      <c r="I255" s="23">
        <f>(SUMPRODUCT(I$9:I$229,Nutrients!$BX$8:$BX$228)+(IF($A$7=Nutrients!$B$8,Nutrients!$BX$8,Nutrients!$BX$9)*I$7)+(((IF($A$8=Nutrients!$B$79,Nutrients!$BX$79,(IF($A$8=Nutrients!$B$77,Nutrients!$BX$77,Nutrients!$BX$78)))))*I$8))/2000</f>
        <v>0.53450166864639903</v>
      </c>
      <c r="J255" s="23">
        <f>(SUMPRODUCT(J$9:J$229,Nutrients!$BX$8:$BX$228)+(IF($A$7=Nutrients!$B$8,Nutrients!$BX$8,Nutrients!$BX$9)*J$7)+(((IF($A$8=Nutrients!$B$79,Nutrients!$BX$79,(IF($A$8=Nutrients!$B$77,Nutrients!$BX$77,Nutrients!$BX$78)))))*J$8))/2000</f>
        <v>0.48102845472648448</v>
      </c>
      <c r="K255" s="23">
        <f>(SUMPRODUCT(K$9:K$229,Nutrients!$BX$8:$BX$228)+(IF($A$7=Nutrients!$B$8,Nutrients!$BX$8,Nutrients!$BX$9)*K$7)+(((IF($A$8=Nutrients!$B$79,Nutrients!$BX$79,(IF($A$8=Nutrients!$B$77,Nutrients!$BX$77,Nutrients!$BX$78)))))*K$8))/2000</f>
        <v>0.4270394386275293</v>
      </c>
      <c r="L255" s="23">
        <f>(SUMPRODUCT(L$9:L$229,Nutrients!$BX$8:$BX$228)+(IF($A$7=Nutrients!$B$8,Nutrients!$BX$8,Nutrients!$BX$9)*L$7)+(((IF($A$8=Nutrients!$B$79,Nutrients!$BX$79,(IF($A$8=Nutrients!$B$77,Nutrients!$BX$77,Nutrients!$BX$78)))))*L$8))/2000</f>
        <v>0.387667940289663</v>
      </c>
      <c r="M255" s="23">
        <f>(SUMPRODUCT(M$9:M$229,Nutrients!$BX$8:$BX$228)+(IF($A$7=Nutrients!$B$8,Nutrients!$BX$8,Nutrients!$BX$9)*M$7)+(((IF($A$8=Nutrients!$B$79,Nutrients!$BX$79,(IF($A$8=Nutrients!$B$77,Nutrients!$BX$77,Nutrients!$BX$78)))))*M$8))/2000</f>
        <v>0.36134985960540678</v>
      </c>
      <c r="N255" s="23">
        <f>(SUMPRODUCT(N$9:N$229,Nutrients!$BX$8:$BX$228)+(IF($A$7=Nutrients!$B$8,Nutrients!$BX$8,Nutrients!$BX$9)*N$7)+(((IF($A$8=Nutrients!$B$79,Nutrients!$BX$79,(IF($A$8=Nutrients!$B$77,Nutrients!$BX$77,Nutrients!$BX$78)))))*N$8))/2000</f>
        <v>0.35071811324744068</v>
      </c>
      <c r="O255" s="198"/>
      <c r="P255" s="23">
        <f>(SUMPRODUCT(P$9:P$229,Nutrients!$BX$8:$BX$228)+(IF($A$7=Nutrients!$B$8,Nutrients!$BX$8,Nutrients!$BX$9)*P$7)+(((IF($A$8=Nutrients!$B$79,Nutrients!$BX$79,(IF($A$8=Nutrients!$B$77,Nutrients!$BX$77,Nutrients!$BX$78)))))*P$8))/2000</f>
        <v>0.53325651276949138</v>
      </c>
      <c r="Q255" s="23">
        <f>(SUMPRODUCT(Q$9:Q$229,Nutrients!$BX$8:$BX$228)+(IF($A$7=Nutrients!$B$8,Nutrients!$BX$8,Nutrients!$BX$9)*Q$7)+(((IF($A$8=Nutrients!$B$79,Nutrients!$BX$79,(IF($A$8=Nutrients!$B$77,Nutrients!$BX$77,Nutrients!$BX$78)))))*Q$8))/2000</f>
        <v>0.47977901249519955</v>
      </c>
      <c r="R255" s="23">
        <f>(SUMPRODUCT(R$9:R$229,Nutrients!$BX$8:$BX$228)+(IF($A$7=Nutrients!$B$8,Nutrients!$BX$8,Nutrients!$BX$9)*R$7)+(((IF($A$8=Nutrients!$B$79,Nutrients!$BX$79,(IF($A$8=Nutrients!$B$77,Nutrients!$BX$77,Nutrients!$BX$78)))))*R$8))/2000</f>
        <v>0.42578352659627206</v>
      </c>
      <c r="S255" s="23">
        <f>(SUMPRODUCT(S$9:S$229,Nutrients!$BX$8:$BX$228)+(IF($A$7=Nutrients!$B$8,Nutrients!$BX$8,Nutrients!$BX$9)*S$7)+(((IF($A$8=Nutrients!$B$79,Nutrients!$BX$79,(IF($A$8=Nutrients!$B$77,Nutrients!$BX$77,Nutrients!$BX$78)))))*S$8))/2000</f>
        <v>0.38641457304023824</v>
      </c>
      <c r="T255" s="23">
        <f>(SUMPRODUCT(T$9:T$229,Nutrients!$BX$8:$BX$228)+(IF($A$7=Nutrients!$B$8,Nutrients!$BX$8,Nutrients!$BX$9)*T$7)+(((IF($A$8=Nutrients!$B$79,Nutrients!$BX$79,(IF($A$8=Nutrients!$B$77,Nutrients!$BX$77,Nutrients!$BX$78)))))*T$8))/2000</f>
        <v>0.36009014696163977</v>
      </c>
      <c r="U255" s="23">
        <f>(SUMPRODUCT(U$9:U$229,Nutrients!$BX$8:$BX$228)+(IF($A$7=Nutrients!$B$8,Nutrients!$BX$8,Nutrients!$BX$9)*U$7)+(((IF($A$8=Nutrients!$B$79,Nutrients!$BX$79,(IF($A$8=Nutrients!$B$77,Nutrients!$BX$77,Nutrients!$BX$78)))))*U$8))/2000</f>
        <v>0.35071811324744068</v>
      </c>
      <c r="W255" s="23">
        <f>(SUMPRODUCT(W$9:W$229,Nutrients!$BX$8:$BX$228)+(IF($A$7=Nutrients!$B$8,Nutrients!$BX$8,Nutrients!$BX$9)*W$7)+(((IF($A$8=Nutrients!$B$79,Nutrients!$BX$79,(IF($A$8=Nutrients!$B$77,Nutrients!$BX$77,Nutrients!$BX$78)))))*W$8))/2000</f>
        <v>0.53200797512823772</v>
      </c>
      <c r="X255" s="23">
        <f>(SUMPRODUCT(X$9:X$229,Nutrients!$BX$8:$BX$228)+(IF($A$7=Nutrients!$B$8,Nutrients!$BX$8,Nutrients!$BX$9)*X$7)+(((IF($A$8=Nutrients!$B$79,Nutrients!$BX$79,(IF($A$8=Nutrients!$B$77,Nutrients!$BX$77,Nutrients!$BX$78)))))*X$8))/2000</f>
        <v>0.47852551135639965</v>
      </c>
      <c r="Y255" s="23">
        <f>(SUMPRODUCT(Y$9:Y$229,Nutrients!$BX$8:$BX$228)+(IF($A$7=Nutrients!$B$8,Nutrients!$BX$8,Nutrients!$BX$9)*Y$7)+(((IF($A$8=Nutrients!$B$79,Nutrients!$BX$79,(IF($A$8=Nutrients!$B$77,Nutrients!$BX$77,Nutrients!$BX$78)))))*Y$8))/2000</f>
        <v>0.42453690265371458</v>
      </c>
      <c r="Z255" s="23">
        <f>(SUMPRODUCT(Z$9:Z$229,Nutrients!$BX$8:$BX$228)+(IF($A$7=Nutrients!$B$8,Nutrients!$BX$8,Nutrients!$BX$9)*Z$7)+(((IF($A$8=Nutrients!$B$79,Nutrients!$BX$79,(IF($A$8=Nutrients!$B$77,Nutrients!$BX$77,Nutrients!$BX$78)))))*Z$8))/2000</f>
        <v>0.38517267213028716</v>
      </c>
      <c r="AA255" s="23">
        <f>(SUMPRODUCT(AA$9:AA$229,Nutrients!$BX$8:$BX$228)+(IF($A$7=Nutrients!$B$8,Nutrients!$BX$8,Nutrients!$BX$9)*AA$7)+(((IF($A$8=Nutrients!$B$79,Nutrients!$BX$79,(IF($A$8=Nutrients!$B$77,Nutrients!$BX$77,Nutrients!$BX$78)))))*AA$8))/2000</f>
        <v>0.35882206995636079</v>
      </c>
      <c r="AB255" s="23">
        <f>(SUMPRODUCT(AB$9:AB$229,Nutrients!$BX$8:$BX$228)+(IF($A$7=Nutrients!$B$8,Nutrients!$BX$8,Nutrients!$BX$9)*AB$7)+(((IF($A$8=Nutrients!$B$79,Nutrients!$BX$79,(IF($A$8=Nutrients!$B$77,Nutrients!$BX$77,Nutrients!$BX$78)))))*AB$8))/2000</f>
        <v>0.35071811324744068</v>
      </c>
      <c r="AD255" s="23">
        <f>(SUMPRODUCT(AD$9:AD$229,Nutrients!$BX$8:$BX$228)+(IF($A$7=Nutrients!$B$8,Nutrients!$BX$8,Nutrients!$BX$9)*AD$7)+(((IF($A$8=Nutrients!$B$79,Nutrients!$BX$79,(IF($A$8=Nutrients!$B$77,Nutrients!$BX$77,Nutrients!$BX$78)))))*AD$8))/2000</f>
        <v>0.53075508692466766</v>
      </c>
      <c r="AE255" s="23">
        <f>(SUMPRODUCT(AE$9:AE$229,Nutrients!$BX$8:$BX$228)+(IF($A$7=Nutrients!$B$8,Nutrients!$BX$8,Nutrients!$BX$9)*AE$7)+(((IF($A$8=Nutrients!$B$79,Nutrients!$BX$79,(IF($A$8=Nutrients!$B$77,Nutrients!$BX$77,Nutrients!$BX$78)))))*AE$8))/2000</f>
        <v>0.47727445274538483</v>
      </c>
      <c r="AF255" s="23">
        <f>(SUMPRODUCT(AF$9:AF$229,Nutrients!$BX$8:$BX$228)+(IF($A$7=Nutrients!$B$8,Nutrients!$BX$8,Nutrients!$BX$9)*AF$7)+(((IF($A$8=Nutrients!$B$79,Nutrients!$BX$79,(IF($A$8=Nutrients!$B$77,Nutrients!$BX$77,Nutrients!$BX$78)))))*AF$8))/2000</f>
        <v>0.4233010616413011</v>
      </c>
      <c r="AG255" s="23">
        <f>(SUMPRODUCT(AG$9:AG$229,Nutrients!$BX$8:$BX$228)+(IF($A$7=Nutrients!$B$8,Nutrients!$BX$8,Nutrients!$BX$9)*AG$7)+(((IF($A$8=Nutrients!$B$79,Nutrients!$BX$79,(IF($A$8=Nutrients!$B$77,Nutrients!$BX$77,Nutrients!$BX$78)))))*AG$8))/2000</f>
        <v>0.38389780266593476</v>
      </c>
      <c r="AH255" s="23">
        <f>(SUMPRODUCT(AH$9:AH$229,Nutrients!$BX$8:$BX$228)+(IF($A$7=Nutrients!$B$8,Nutrients!$BX$8,Nutrients!$BX$9)*AH$7)+(((IF($A$8=Nutrients!$B$79,Nutrients!$BX$79,(IF($A$8=Nutrients!$B$77,Nutrients!$BX$77,Nutrients!$BX$78)))))*AH$8))/2000</f>
        <v>0.36922162898605482</v>
      </c>
      <c r="AI255" s="23">
        <f>(SUMPRODUCT(AI$9:AI$229,Nutrients!$BX$8:$BX$228)+(IF($A$7=Nutrients!$B$8,Nutrients!$BX$8,Nutrients!$BX$9)*AI$7)+(((IF($A$8=Nutrients!$B$79,Nutrients!$BX$79,(IF($A$8=Nutrients!$B$77,Nutrients!$BX$77,Nutrients!$BX$78)))))*AI$8))/2000</f>
        <v>0.35071811324744068</v>
      </c>
      <c r="AK255" s="23">
        <f>(SUMPRODUCT(AK$9:AK$229,Nutrients!$BX$8:$BX$228)+(IF($A$7=Nutrients!$B$8,Nutrients!$BX$8,Nutrients!$BX$9)*AK$7)+(((IF($A$8=Nutrients!$B$79,Nutrients!$BX$79,(IF($A$8=Nutrients!$B$77,Nutrients!$BX$77,Nutrients!$BX$78)))))*AK$8))/2000</f>
        <v>0.52947297763174184</v>
      </c>
      <c r="AL255" s="23">
        <f>(SUMPRODUCT(AL$9:AL$229,Nutrients!$BX$8:$BX$228)+(IF($A$7=Nutrients!$B$8,Nutrients!$BX$8,Nutrients!$BX$9)*AL$7)+(((IF($A$8=Nutrients!$B$79,Nutrients!$BX$79,(IF($A$8=Nutrients!$B$77,Nutrients!$BX$77,Nutrients!$BX$78)))))*AL$8))/2000</f>
        <v>0.4760237238684763</v>
      </c>
      <c r="AM255" s="23">
        <f>(SUMPRODUCT(AM$9:AM$229,Nutrients!$BX$8:$BX$228)+(IF($A$7=Nutrients!$B$8,Nutrients!$BX$8,Nutrients!$BX$9)*AM$7)+(((IF($A$8=Nutrients!$B$79,Nutrients!$BX$79,(IF($A$8=Nutrients!$B$77,Nutrients!$BX$77,Nutrients!$BX$78)))))*AM$8))/2000</f>
        <v>0.42203362358339697</v>
      </c>
      <c r="AN255" s="23">
        <f>(SUMPRODUCT(AN$9:AN$229,Nutrients!$BX$8:$BX$228)+(IF($A$7=Nutrients!$B$8,Nutrients!$BX$8,Nutrients!$BX$9)*AN$7)+(((IF($A$8=Nutrients!$B$79,Nutrients!$BX$79,(IF($A$8=Nutrients!$B$77,Nutrients!$BX$77,Nutrients!$BX$78)))))*AN$8))/2000</f>
        <v>0.39380428584002719</v>
      </c>
      <c r="AO255" s="23">
        <f>(SUMPRODUCT(AO$9:AO$229,Nutrients!$BX$8:$BX$228)+(IF($A$7=Nutrients!$B$8,Nutrients!$BX$8,Nutrients!$BX$9)*AO$7)+(((IF($A$8=Nutrients!$B$79,Nutrients!$BX$79,(IF($A$8=Nutrients!$B$77,Nutrients!$BX$77,Nutrients!$BX$78)))))*AO$8))/2000</f>
        <v>0.3818198565876384</v>
      </c>
      <c r="AP255" s="23">
        <f>(SUMPRODUCT(AP$9:AP$229,Nutrients!$BX$8:$BX$228)+(IF($A$7=Nutrients!$B$8,Nutrients!$BX$8,Nutrients!$BX$9)*AP$7)+(((IF($A$8=Nutrients!$B$79,Nutrients!$BX$79,(IF($A$8=Nutrients!$B$77,Nutrients!$BX$77,Nutrients!$BX$78)))))*AP$8))/2000</f>
        <v>0.35071811324744068</v>
      </c>
      <c r="AR255" s="23">
        <f>(SUMPRODUCT(AR$9:AR$229,Nutrients!$BX$8:$BX$228)+(IF($A$7=Nutrients!$B$8,Nutrients!$BX$8,Nutrients!$BX$9)*AR$7)+(((IF($A$8=Nutrients!$B$79,Nutrients!$BX$79,(IF($A$8=Nutrients!$B$77,Nutrients!$BX$77,Nutrients!$BX$78)))))*AR$8))/2000</f>
        <v>0.52823493918782216</v>
      </c>
      <c r="AS255" s="23">
        <f>(SUMPRODUCT(AS$9:AS$229,Nutrients!$BX$8:$BX$228)+(IF($A$7=Nutrients!$B$8,Nutrients!$BX$8,Nutrients!$BX$9)*AS$7)+(((IF($A$8=Nutrients!$B$79,Nutrients!$BX$79,(IF($A$8=Nutrients!$B$77,Nutrients!$BX$77,Nutrients!$BX$78)))))*AS$8))/2000</f>
        <v>0.47477305818982823</v>
      </c>
      <c r="AT255" s="23">
        <f>(SUMPRODUCT(AT$9:AT$229,Nutrients!$BX$8:$BX$228)+(IF($A$7=Nutrients!$B$8,Nutrients!$BX$8,Nutrients!$BX$9)*AT$7)+(((IF($A$8=Nutrients!$B$79,Nutrients!$BX$79,(IF($A$8=Nutrients!$B$77,Nutrients!$BX$77,Nutrients!$BX$78)))))*AT$8))/2000</f>
        <v>0.42446001255490406</v>
      </c>
      <c r="AU255" s="23">
        <f>(SUMPRODUCT(AU$9:AU$229,Nutrients!$BX$8:$BX$228)+(IF($A$7=Nutrients!$B$8,Nutrients!$BX$8,Nutrients!$BX$9)*AU$7)+(((IF($A$8=Nutrients!$B$79,Nutrients!$BX$79,(IF($A$8=Nutrients!$B$77,Nutrients!$BX$77,Nutrients!$BX$78)))))*AU$8))/2000</f>
        <v>0.40640352560061455</v>
      </c>
      <c r="AV255" s="23">
        <f>(SUMPRODUCT(AV$9:AV$229,Nutrients!$BX$8:$BX$228)+(IF($A$7=Nutrients!$B$8,Nutrients!$BX$8,Nutrients!$BX$9)*AV$7)+(((IF($A$8=Nutrients!$B$79,Nutrients!$BX$79,(IF($A$8=Nutrients!$B$77,Nutrients!$BX$77,Nutrients!$BX$78)))))*AV$8))/2000</f>
        <v>0.39441331284495029</v>
      </c>
      <c r="AW255" s="23">
        <f>(SUMPRODUCT(AW$9:AW$229,Nutrients!$BX$8:$BX$228)+(IF($A$7=Nutrients!$B$8,Nutrients!$BX$8,Nutrients!$BX$9)*AW$7)+(((IF($A$8=Nutrients!$B$79,Nutrients!$BX$79,(IF($A$8=Nutrients!$B$77,Nutrients!$BX$77,Nutrients!$BX$78)))))*AW$8))/2000</f>
        <v>0.35071811324744068</v>
      </c>
    </row>
    <row r="256" spans="1:56" x14ac:dyDescent="0.25">
      <c r="A256" s="48" t="s">
        <v>156</v>
      </c>
      <c r="B256" s="23">
        <f>(SUMPRODUCT(B$9:B$229,Nutrients!$EB$8:$EB$228)+(IF($A$7=Nutrients!$B$8,Nutrients!$EB$8,Nutrients!$EB$9)*B$7)+(((IF($A$8=Nutrients!$B$79,Nutrients!$EB$79,(IF($A$8=Nutrients!$B$77,Nutrients!$EB$77,Nutrients!$EB$78)))))*B$8))/2000</f>
        <v>0.21736490825429733</v>
      </c>
      <c r="C256" s="23">
        <f>(SUMPRODUCT(C$9:C$229,Nutrients!$EB$8:$EB$228)+(IF($A$7=Nutrients!$B$8,Nutrients!$EB$8,Nutrients!$EB$9)*C$7)+(((IF($A$8=Nutrients!$B$79,Nutrients!$EB$79,(IF($A$8=Nutrients!$B$77,Nutrients!$EB$77,Nutrients!$EB$78)))))*C$8))/2000</f>
        <v>0.18121360963694014</v>
      </c>
      <c r="D256" s="23">
        <f>(SUMPRODUCT(D$9:D$229,Nutrients!$EB$8:$EB$228)+(IF($A$7=Nutrients!$B$8,Nutrients!$EB$8,Nutrients!$EB$9)*D$7)+(((IF($A$8=Nutrients!$B$79,Nutrients!$EB$79,(IF($A$8=Nutrients!$B$77,Nutrients!$EB$77,Nutrients!$EB$78)))))*D$8))/2000</f>
        <v>0.1446187906188299</v>
      </c>
      <c r="E256" s="23">
        <f>(SUMPRODUCT(E$9:E$229,Nutrients!$EB$8:$EB$228)+(IF($A$7=Nutrients!$B$8,Nutrients!$EB$8,Nutrients!$EB$9)*E$7)+(((IF($A$8=Nutrients!$B$79,Nutrients!$EB$79,(IF($A$8=Nutrients!$B$77,Nutrients!$EB$77,Nutrients!$EB$78)))))*E$8))/2000</f>
        <v>0.11837941481999412</v>
      </c>
      <c r="F256" s="23">
        <f>(SUMPRODUCT(F$9:F$229,Nutrients!$EB$8:$EB$228)+(IF($A$7=Nutrients!$B$8,Nutrients!$EB$8,Nutrients!$EB$9)*F$7)+(((IF($A$8=Nutrients!$B$79,Nutrients!$EB$79,(IF($A$8=Nutrients!$B$77,Nutrients!$EB$77,Nutrients!$EB$78)))))*F$8))/2000</f>
        <v>9.9071678699147347E-2</v>
      </c>
      <c r="G256" s="23">
        <f>(SUMPRODUCT(G$9:G$229,Nutrients!$EB$8:$EB$228)+(IF($A$7=Nutrients!$B$8,Nutrients!$EB$8,Nutrients!$EB$9)*G$7)+(((IF($A$8=Nutrients!$B$79,Nutrients!$EB$79,(IF($A$8=Nutrients!$B$77,Nutrients!$EB$77,Nutrients!$EB$78)))))*G$8))/2000</f>
        <v>9.0636415067427589E-2</v>
      </c>
      <c r="H256" s="227"/>
      <c r="I256" s="23">
        <f>(SUMPRODUCT(I$9:I$229,Nutrients!$EB$8:$EB$228)+(IF($A$7=Nutrients!$B$8,Nutrients!$EB$8,Nutrients!$EB$9)*I$7)+(((IF($A$8=Nutrients!$B$79,Nutrients!$EB$79,(IF($A$8=Nutrients!$B$77,Nutrients!$EB$77,Nutrients!$EB$78)))))*I$8))/2000</f>
        <v>0.20032876812813466</v>
      </c>
      <c r="J256" s="23">
        <f>(SUMPRODUCT(J$9:J$229,Nutrients!$EB$8:$EB$228)+(IF($A$7=Nutrients!$B$8,Nutrients!$EB$8,Nutrients!$EB$9)*J$7)+(((IF($A$8=Nutrients!$B$79,Nutrients!$EB$79,(IF($A$8=Nutrients!$B$77,Nutrients!$EB$77,Nutrients!$EB$78)))))*J$8))/2000</f>
        <v>0.16417568719866785</v>
      </c>
      <c r="K256" s="23">
        <f>(SUMPRODUCT(K$9:K$229,Nutrients!$EB$8:$EB$228)+(IF($A$7=Nutrients!$B$8,Nutrients!$EB$8,Nutrients!$EB$9)*K$7)+(((IF($A$8=Nutrients!$B$79,Nutrients!$EB$79,(IF($A$8=Nutrients!$B$77,Nutrients!$EB$77,Nutrients!$EB$78)))))*K$8))/2000</f>
        <v>0.12501672494352439</v>
      </c>
      <c r="L256" s="23">
        <f>(SUMPRODUCT(L$9:L$229,Nutrients!$EB$8:$EB$228)+(IF($A$7=Nutrients!$B$8,Nutrients!$EB$8,Nutrients!$EB$9)*L$7)+(((IF($A$8=Nutrients!$B$79,Nutrients!$EB$79,(IF($A$8=Nutrients!$B$77,Nutrients!$EB$77,Nutrients!$EB$78)))))*L$8))/2000</f>
        <v>9.8157072418378358E-2</v>
      </c>
      <c r="M256" s="23">
        <f>(SUMPRODUCT(M$9:M$229,Nutrients!$EB$8:$EB$228)+(IF($A$7=Nutrients!$B$8,Nutrients!$EB$8,Nutrients!$EB$9)*M$7)+(((IF($A$8=Nutrients!$B$79,Nutrients!$EB$79,(IF($A$8=Nutrients!$B$77,Nutrients!$EB$77,Nutrients!$EB$78)))))*M$8))/2000</f>
        <v>8.0111141837727329E-2</v>
      </c>
      <c r="N256" s="23">
        <f>(SUMPRODUCT(N$9:N$229,Nutrients!$EB$8:$EB$228)+(IF($A$7=Nutrients!$B$8,Nutrients!$EB$8,Nutrients!$EB$9)*N$7)+(((IF($A$8=Nutrients!$B$79,Nutrients!$EB$79,(IF($A$8=Nutrients!$B$77,Nutrients!$EB$77,Nutrients!$EB$78)))))*N$8))/2000</f>
        <v>9.0636415067427589E-2</v>
      </c>
      <c r="O256" s="198"/>
      <c r="P256" s="23">
        <f>(SUMPRODUCT(P$9:P$229,Nutrients!$EB$8:$EB$228)+(IF($A$7=Nutrients!$B$8,Nutrients!$EB$8,Nutrients!$EB$9)*P$7)+(((IF($A$8=Nutrients!$B$79,Nutrients!$EB$79,(IF($A$8=Nutrients!$B$77,Nutrients!$EB$77,Nutrients!$EB$78)))))*P$8))/2000</f>
        <v>0.18221735980300099</v>
      </c>
      <c r="Q256" s="23">
        <f>(SUMPRODUCT(Q$9:Q$229,Nutrients!$EB$8:$EB$228)+(IF($A$7=Nutrients!$B$8,Nutrients!$EB$8,Nutrients!$EB$9)*Q$7)+(((IF($A$8=Nutrients!$B$79,Nutrients!$EB$79,(IF($A$8=Nutrients!$B$77,Nutrients!$EB$77,Nutrients!$EB$78)))))*Q$8))/2000</f>
        <v>0.14606377031514869</v>
      </c>
      <c r="R256" s="23">
        <f>(SUMPRODUCT(R$9:R$229,Nutrients!$EB$8:$EB$228)+(IF($A$7=Nutrients!$B$8,Nutrients!$EB$8,Nutrients!$EB$9)*R$7)+(((IF($A$8=Nutrients!$B$79,Nutrients!$EB$79,(IF($A$8=Nutrients!$B$77,Nutrients!$EB$77,Nutrients!$EB$78)))))*R$8))/2000</f>
        <v>0.10690404044474559</v>
      </c>
      <c r="S256" s="23">
        <f>(SUMPRODUCT(S$9:S$229,Nutrients!$EB$8:$EB$228)+(IF($A$7=Nutrients!$B$8,Nutrients!$EB$8,Nutrients!$EB$9)*S$7)+(((IF($A$8=Nutrients!$B$79,Nutrients!$EB$79,(IF($A$8=Nutrients!$B$77,Nutrients!$EB$77,Nutrients!$EB$78)))))*S$8))/2000</f>
        <v>8.0044689847537889E-2</v>
      </c>
      <c r="T256" s="23">
        <f>(SUMPRODUCT(T$9:T$229,Nutrients!$EB$8:$EB$228)+(IF($A$7=Nutrients!$B$8,Nutrients!$EB$8,Nutrients!$EB$9)*T$7)+(((IF($A$8=Nutrients!$B$79,Nutrients!$EB$79,(IF($A$8=Nutrients!$B$77,Nutrients!$EB$77,Nutrients!$EB$78)))))*T$8))/2000</f>
        <v>6.1998006411845524E-2</v>
      </c>
      <c r="U256" s="23">
        <f>(SUMPRODUCT(U$9:U$229,Nutrients!$EB$8:$EB$228)+(IF($A$7=Nutrients!$B$8,Nutrients!$EB$8,Nutrients!$EB$9)*U$7)+(((IF($A$8=Nutrients!$B$79,Nutrients!$EB$79,(IF($A$8=Nutrients!$B$77,Nutrients!$EB$77,Nutrients!$EB$78)))))*U$8))/2000</f>
        <v>9.0636415067427589E-2</v>
      </c>
      <c r="W256" s="23">
        <f>(SUMPRODUCT(W$9:W$229,Nutrients!$EB$8:$EB$228)+(IF($A$7=Nutrients!$B$8,Nutrients!$EB$8,Nutrients!$EB$9)*W$7)+(((IF($A$8=Nutrients!$B$79,Nutrients!$EB$79,(IF($A$8=Nutrients!$B$77,Nutrients!$EB$77,Nutrients!$EB$78)))))*W$8))/2000</f>
        <v>0.16410555024538293</v>
      </c>
      <c r="X256" s="23">
        <f>(SUMPRODUCT(X$9:X$229,Nutrients!$EB$8:$EB$228)+(IF($A$7=Nutrients!$B$8,Nutrients!$EB$8,Nutrients!$EB$9)*X$7)+(((IF($A$8=Nutrients!$B$79,Nutrients!$EB$79,(IF($A$8=Nutrients!$B$77,Nutrients!$EB$77,Nutrients!$EB$78)))))*X$8))/2000</f>
        <v>0.12795137185888245</v>
      </c>
      <c r="Y256" s="23">
        <f>(SUMPRODUCT(Y$9:Y$229,Nutrients!$EB$8:$EB$228)+(IF($A$7=Nutrients!$B$8,Nutrients!$EB$8,Nutrients!$EB$9)*Y$7)+(((IF($A$8=Nutrients!$B$79,Nutrients!$EB$79,(IF($A$8=Nutrients!$B$77,Nutrients!$EB$77,Nutrients!$EB$78)))))*Y$8))/2000</f>
        <v>8.8792505397998461E-2</v>
      </c>
      <c r="Z256" s="23">
        <f>(SUMPRODUCT(Z$9:Z$229,Nutrients!$EB$8:$EB$228)+(IF($A$7=Nutrients!$B$8,Nutrients!$EB$8,Nutrients!$EB$9)*Z$7)+(((IF($A$8=Nutrients!$B$79,Nutrients!$EB$79,(IF($A$8=Nutrients!$B$77,Nutrients!$EB$77,Nutrients!$EB$78)))))*Z$8))/2000</f>
        <v>6.1933715169259072E-2</v>
      </c>
      <c r="AA256" s="23">
        <f>(SUMPRODUCT(AA$9:AA$229,Nutrients!$EB$8:$EB$228)+(IF($A$7=Nutrients!$B$8,Nutrients!$EB$8,Nutrients!$EB$9)*AA$7)+(((IF($A$8=Nutrients!$B$79,Nutrients!$EB$79,(IF($A$8=Nutrients!$B$77,Nutrients!$EB$77,Nutrients!$EB$78)))))*AA$8))/2000</f>
        <v>4.3883926047100688E-2</v>
      </c>
      <c r="AB256" s="23">
        <f>(SUMPRODUCT(AB$9:AB$229,Nutrients!$EB$8:$EB$228)+(IF($A$7=Nutrients!$B$8,Nutrients!$EB$8,Nutrients!$EB$9)*AB$7)+(((IF($A$8=Nutrients!$B$79,Nutrients!$EB$79,(IF($A$8=Nutrients!$B$77,Nutrients!$EB$77,Nutrients!$EB$78)))))*AB$8))/2000</f>
        <v>9.0636415067427589E-2</v>
      </c>
      <c r="AD256" s="23">
        <f>(SUMPRODUCT(AD$9:AD$229,Nutrients!$EB$8:$EB$228)+(IF($A$7=Nutrients!$B$8,Nutrients!$EB$8,Nutrients!$EB$9)*AD$7)+(((IF($A$8=Nutrients!$B$79,Nutrients!$EB$79,(IF($A$8=Nutrients!$B$77,Nutrients!$EB$77,Nutrients!$EB$78)))))*AD$8))/2000</f>
        <v>0.14599324824055099</v>
      </c>
      <c r="AE256" s="23">
        <f>(SUMPRODUCT(AE$9:AE$229,Nutrients!$EB$8:$EB$228)+(IF($A$7=Nutrients!$B$8,Nutrients!$EB$8,Nutrients!$EB$9)*AE$7)+(((IF($A$8=Nutrients!$B$79,Nutrients!$EB$79,(IF($A$8=Nutrients!$B$77,Nutrients!$EB$77,Nutrients!$EB$78)))))*AE$8))/2000</f>
        <v>0.10983928692771132</v>
      </c>
      <c r="AF256" s="23">
        <f>(SUMPRODUCT(AF$9:AF$229,Nutrients!$EB$8:$EB$228)+(IF($A$7=Nutrients!$B$8,Nutrients!$EB$8,Nutrients!$EB$9)*AF$7)+(((IF($A$8=Nutrients!$B$79,Nutrients!$EB$79,(IF($A$8=Nutrients!$B$77,Nutrients!$EB$77,Nutrients!$EB$78)))))*AF$8))/2000</f>
        <v>7.0682225972554191E-2</v>
      </c>
      <c r="AG256" s="23">
        <f>(SUMPRODUCT(AG$9:AG$229,Nutrients!$EB$8:$EB$228)+(IF($A$7=Nutrients!$B$8,Nutrients!$EB$8,Nutrients!$EB$9)*AG$7)+(((IF($A$8=Nutrients!$B$79,Nutrients!$EB$79,(IF($A$8=Nutrients!$B$77,Nutrients!$EB$77,Nutrients!$EB$78)))))*AG$8))/2000</f>
        <v>4.3818805177893598E-2</v>
      </c>
      <c r="AH256" s="23">
        <f>(SUMPRODUCT(AH$9:AH$229,Nutrients!$EB$8:$EB$228)+(IF($A$7=Nutrients!$B$8,Nutrients!$EB$8,Nutrients!$EB$9)*AH$7)+(((IF($A$8=Nutrients!$B$79,Nutrients!$EB$79,(IF($A$8=Nutrients!$B$77,Nutrients!$EB$77,Nutrients!$EB$78)))))*AH$8))/2000</f>
        <v>3.7664280280643996E-2</v>
      </c>
      <c r="AI256" s="23">
        <f>(SUMPRODUCT(AI$9:AI$229,Nutrients!$EB$8:$EB$228)+(IF($A$7=Nutrients!$B$8,Nutrients!$EB$8,Nutrients!$EB$9)*AI$7)+(((IF($A$8=Nutrients!$B$79,Nutrients!$EB$79,(IF($A$8=Nutrients!$B$77,Nutrients!$EB$77,Nutrients!$EB$78)))))*AI$8))/2000</f>
        <v>9.0636415067427589E-2</v>
      </c>
      <c r="AK256" s="23">
        <f>(SUMPRODUCT(AK$9:AK$229,Nutrients!$EB$8:$EB$228)+(IF($A$7=Nutrients!$B$8,Nutrients!$EB$8,Nutrients!$EB$9)*AK$7)+(((IF($A$8=Nutrients!$B$79,Nutrients!$EB$79,(IF($A$8=Nutrients!$B$77,Nutrients!$EB$77,Nutrients!$EB$78)))))*AK$8))/2000</f>
        <v>0.12787749113777752</v>
      </c>
      <c r="AL256" s="23">
        <f>(SUMPRODUCT(AL$9:AL$229,Nutrients!$EB$8:$EB$228)+(IF($A$7=Nutrients!$B$8,Nutrients!$EB$8,Nutrients!$EB$9)*AL$7)+(((IF($A$8=Nutrients!$B$79,Nutrients!$EB$79,(IF($A$8=Nutrients!$B$77,Nutrients!$EB$77,Nutrients!$EB$78)))))*AL$8))/2000</f>
        <v>9.1727252982731253E-2</v>
      </c>
      <c r="AM256" s="23">
        <f>(SUMPRODUCT(AM$9:AM$229,Nutrients!$EB$8:$EB$228)+(IF($A$7=Nutrients!$B$8,Nutrients!$EB$8,Nutrients!$EB$9)*AM$7)+(((IF($A$8=Nutrients!$B$79,Nutrients!$EB$79,(IF($A$8=Nutrients!$B$77,Nutrients!$EB$77,Nutrients!$EB$78)))))*AM$8))/2000</f>
        <v>5.2568209551707296E-2</v>
      </c>
      <c r="AN256" s="23">
        <f>(SUMPRODUCT(AN$9:AN$229,Nutrients!$EB$8:$EB$228)+(IF($A$7=Nutrients!$B$8,Nutrients!$EB$8,Nutrients!$EB$9)*AN$7)+(((IF($A$8=Nutrients!$B$79,Nutrients!$EB$79,(IF($A$8=Nutrients!$B$77,Nutrients!$EB$77,Nutrients!$EB$78)))))*AN$8))/2000</f>
        <v>3.7080067628940186E-2</v>
      </c>
      <c r="AO256" s="23">
        <f>(SUMPRODUCT(AO$9:AO$229,Nutrients!$EB$8:$EB$228)+(IF($A$7=Nutrients!$B$8,Nutrients!$EB$8,Nutrients!$EB$9)*AO$7)+(((IF($A$8=Nutrients!$B$79,Nutrients!$EB$79,(IF($A$8=Nutrients!$B$77,Nutrients!$EB$77,Nutrients!$EB$78)))))*AO$8))/2000</f>
        <v>3.3701143823074049E-2</v>
      </c>
      <c r="AP256" s="23">
        <f>(SUMPRODUCT(AP$9:AP$229,Nutrients!$EB$8:$EB$228)+(IF($A$7=Nutrients!$B$8,Nutrients!$EB$8,Nutrients!$EB$9)*AP$7)+(((IF($A$8=Nutrients!$B$79,Nutrients!$EB$79,(IF($A$8=Nutrients!$B$77,Nutrients!$EB$77,Nutrients!$EB$78)))))*AP$8))/2000</f>
        <v>9.0636415067427589E-2</v>
      </c>
      <c r="AR256" s="23">
        <f>(SUMPRODUCT(AR$9:AR$229,Nutrients!$EB$8:$EB$228)+(IF($A$7=Nutrients!$B$8,Nutrients!$EB$8,Nutrients!$EB$9)*AR$7)+(((IF($A$8=Nutrients!$B$79,Nutrients!$EB$79,(IF($A$8=Nutrients!$B$77,Nutrients!$EB$77,Nutrients!$EB$78)))))*AR$8))/2000</f>
        <v>0.1097669272669074</v>
      </c>
      <c r="AS256" s="23">
        <f>(SUMPRODUCT(AS$9:AS$229,Nutrients!$EB$8:$EB$228)+(IF($A$7=Nutrients!$B$8,Nutrients!$EB$8,Nutrients!$EB$9)*AS$7)+(((IF($A$8=Nutrients!$B$79,Nutrients!$EB$79,(IF($A$8=Nutrients!$B$77,Nutrients!$EB$77,Nutrients!$EB$78)))))*AS$8))/2000</f>
        <v>7.3615190942195E-2</v>
      </c>
      <c r="AT256" s="23">
        <f>(SUMPRODUCT(AT$9:AT$229,Nutrients!$EB$8:$EB$228)+(IF($A$7=Nutrients!$B$8,Nutrients!$EB$8,Nutrients!$EB$9)*AT$7)+(((IF($A$8=Nutrients!$B$79,Nutrients!$EB$79,(IF($A$8=Nutrients!$B$77,Nutrients!$EB$77,Nutrients!$EB$78)))))*AT$8))/2000</f>
        <v>3.8198301972294811E-2</v>
      </c>
      <c r="AU256" s="23">
        <f>(SUMPRODUCT(AU$9:AU$229,Nutrients!$EB$8:$EB$228)+(IF($A$7=Nutrients!$B$8,Nutrients!$EB$8,Nutrients!$EB$9)*AU$7)+(((IF($A$8=Nutrients!$B$79,Nutrients!$EB$79,(IF($A$8=Nutrients!$B$77,Nutrients!$EB$77,Nutrients!$EB$78)))))*AU$8))/2000</f>
        <v>3.3117036251500136E-2</v>
      </c>
      <c r="AV256" s="23">
        <f>(SUMPRODUCT(AV$9:AV$229,Nutrients!$EB$8:$EB$228)+(IF($A$7=Nutrients!$B$8,Nutrients!$EB$8,Nutrients!$EB$9)*AV$7)+(((IF($A$8=Nutrients!$B$79,Nutrients!$EB$79,(IF($A$8=Nutrients!$B$77,Nutrients!$EB$77,Nutrients!$EB$78)))))*AV$8))/2000</f>
        <v>2.9737441431680514E-2</v>
      </c>
      <c r="AW256" s="23">
        <f>(SUMPRODUCT(AW$9:AW$229,Nutrients!$EB$8:$EB$228)+(IF($A$7=Nutrients!$B$8,Nutrients!$EB$8,Nutrients!$EB$9)*AW$7)+(((IF($A$8=Nutrients!$B$79,Nutrients!$EB$79,(IF($A$8=Nutrients!$B$77,Nutrients!$EB$77,Nutrients!$EB$78)))))*AW$8))/2000</f>
        <v>9.0636415067427589E-2</v>
      </c>
    </row>
    <row r="257" spans="1:59" x14ac:dyDescent="0.25">
      <c r="A257" s="48" t="s">
        <v>146</v>
      </c>
      <c r="B257" s="23">
        <f>IF((SUMPRODUCT(B$9:B$229,Nutrients!$EE$8:$EE$228))=0,B256,IF((SUMPRODUCT(B$9:B$229,Nutrients!$EE$8:$EE$228))&gt;(1500*907),B256+0.14,B256+0.00000000006666*((SUMPRODUCT(B$9:B$229,Nutrients!$EE$8:$EE$228)/907))^3-0.00000023623322*((SUMPRODUCT(B$9:B$229,Nutrients!$EE$8:$EE$228)/907))^2+0.00029262722672*((SUMPRODUCT(B$9:B$229,Nutrients!$EE$8:$EE$228)/907))+0.007028328))</f>
        <v>0.32997934872513002</v>
      </c>
      <c r="C257" s="23">
        <f>IF((SUMPRODUCT(C$9:C$229,Nutrients!$EE$8:$EE$228))=0,C256,IF((SUMPRODUCT(C$9:C$229,Nutrients!$EE$8:$EE$228))&gt;(1500*907),C256+0.14,C256+0.00000000006666*((SUMPRODUCT(C$9:C$229,Nutrients!$EE$8:$EE$228)/907))^3-0.00000023623322*((SUMPRODUCT(C$9:C$229,Nutrients!$EE$8:$EE$228)/907))^2+0.00029262722672*((SUMPRODUCT(C$9:C$229,Nutrients!$EE$8:$EE$228)/907))+0.007028328))</f>
        <v>0.2938280501077728</v>
      </c>
      <c r="D257" s="23">
        <f>IF((SUMPRODUCT(D$9:D$229,Nutrients!$EE$8:$EE$228))=0,D256,IF((SUMPRODUCT(D$9:D$229,Nutrients!$EE$8:$EE$228))&gt;(1500*907),D256+0.14,D256+0.00000000006666*((SUMPRODUCT(D$9:D$229,Nutrients!$EE$8:$EE$228)/907))^3-0.00000023623322*((SUMPRODUCT(D$9:D$229,Nutrients!$EE$8:$EE$228)/907))^2+0.00029262722672*((SUMPRODUCT(D$9:D$229,Nutrients!$EE$8:$EE$228)/907))+0.007028328))</f>
        <v>0.25723323108966256</v>
      </c>
      <c r="E257" s="23">
        <f>IF((SUMPRODUCT(E$9:E$229,Nutrients!$EE$8:$EE$228))=0,E256,IF((SUMPRODUCT(E$9:E$229,Nutrients!$EE$8:$EE$228))&gt;(1500*907),E256+0.14,E256+0.00000000006666*((SUMPRODUCT(E$9:E$229,Nutrients!$EE$8:$EE$228)/907))^3-0.00000023623322*((SUMPRODUCT(E$9:E$229,Nutrients!$EE$8:$EE$228)/907))^2+0.00029262722672*((SUMPRODUCT(E$9:E$229,Nutrients!$EE$8:$EE$228)/907))+0.007028328))</f>
        <v>0.23099385529082681</v>
      </c>
      <c r="F257" s="23">
        <f>IF((SUMPRODUCT(F$9:F$229,Nutrients!$EE$8:$EE$228))=0,F256,IF((SUMPRODUCT(F$9:F$229,Nutrients!$EE$8:$EE$228))&gt;(1500*907),F256+0.14,F256+0.00000000006666*((SUMPRODUCT(F$9:F$229,Nutrients!$EE$8:$EE$228)/907))^3-0.00000023623322*((SUMPRODUCT(F$9:F$229,Nutrients!$EE$8:$EE$228)/907))^2+0.00029262722672*((SUMPRODUCT(F$9:F$229,Nutrients!$EE$8:$EE$228)/907))+0.007028328))</f>
        <v>0.21168611916998004</v>
      </c>
      <c r="G257" s="23">
        <f>IF((SUMPRODUCT(G$9:G$229,Nutrients!$EE$8:$EE$228))=0,G256,IF((SUMPRODUCT(G$9:G$229,Nutrients!$EE$8:$EE$228))&gt;(1500*907),G256+0.14,G256+0.00000000006666*((SUMPRODUCT(G$9:G$229,Nutrients!$EE$8:$EE$228)/907))^3-0.00000023623322*((SUMPRODUCT(G$9:G$229,Nutrients!$EE$8:$EE$228)/907))^2+0.00029262722672*((SUMPRODUCT(G$9:G$229,Nutrients!$EE$8:$EE$228)/907))+0.007028328))</f>
        <v>0.20325085553826028</v>
      </c>
      <c r="H257" s="227"/>
      <c r="I257" s="23">
        <f>IF((SUMPRODUCT(I$9:I$229,Nutrients!$EE$8:$EE$228))=0,I256,IF((SUMPRODUCT(I$9:I$229,Nutrients!$EE$8:$EE$228))&gt;(1500*907),I256+0.14,I256+0.00000000006666*((SUMPRODUCT(I$9:I$229,Nutrients!$EE$8:$EE$228)/907))^3-0.00000023623322*((SUMPRODUCT(I$9:I$229,Nutrients!$EE$8:$EE$228)/907))^2+0.00029262722672*((SUMPRODUCT(I$9:I$229,Nutrients!$EE$8:$EE$228)/907))+0.007028328))</f>
        <v>0.31294320859896729</v>
      </c>
      <c r="J257" s="23">
        <f>IF((SUMPRODUCT(J$9:J$229,Nutrients!$EE$8:$EE$228))=0,J256,IF((SUMPRODUCT(J$9:J$229,Nutrients!$EE$8:$EE$228))&gt;(1500*907),J256+0.14,J256+0.00000000006666*((SUMPRODUCT(J$9:J$229,Nutrients!$EE$8:$EE$228)/907))^3-0.00000023623322*((SUMPRODUCT(J$9:J$229,Nutrients!$EE$8:$EE$228)/907))^2+0.00029262722672*((SUMPRODUCT(J$9:J$229,Nutrients!$EE$8:$EE$228)/907))+0.007028328))</f>
        <v>0.27679012766950051</v>
      </c>
      <c r="K257" s="23">
        <f>IF((SUMPRODUCT(K$9:K$229,Nutrients!$EE$8:$EE$228))=0,K256,IF((SUMPRODUCT(K$9:K$229,Nutrients!$EE$8:$EE$228))&gt;(1500*907),K256+0.14,K256+0.00000000006666*((SUMPRODUCT(K$9:K$229,Nutrients!$EE$8:$EE$228)/907))^3-0.00000023623322*((SUMPRODUCT(K$9:K$229,Nutrients!$EE$8:$EE$228)/907))^2+0.00029262722672*((SUMPRODUCT(K$9:K$229,Nutrients!$EE$8:$EE$228)/907))+0.007028328))</f>
        <v>0.23763116541435705</v>
      </c>
      <c r="L257" s="23">
        <f>IF((SUMPRODUCT(L$9:L$229,Nutrients!$EE$8:$EE$228))=0,L256,IF((SUMPRODUCT(L$9:L$229,Nutrients!$EE$8:$EE$228))&gt;(1500*907),L256+0.14,L256+0.00000000006666*((SUMPRODUCT(L$9:L$229,Nutrients!$EE$8:$EE$228)/907))^3-0.00000023623322*((SUMPRODUCT(L$9:L$229,Nutrients!$EE$8:$EE$228)/907))^2+0.00029262722672*((SUMPRODUCT(L$9:L$229,Nutrients!$EE$8:$EE$228)/907))+0.007028328))</f>
        <v>0.21077151288921106</v>
      </c>
      <c r="M257" s="23">
        <f>IF((SUMPRODUCT(M$9:M$229,Nutrients!$EE$8:$EE$228))=0,M256,IF((SUMPRODUCT(M$9:M$229,Nutrients!$EE$8:$EE$228))&gt;(1500*907),M256+0.14,M256+0.00000000006666*((SUMPRODUCT(M$9:M$229,Nutrients!$EE$8:$EE$228)/907))^3-0.00000023623322*((SUMPRODUCT(M$9:M$229,Nutrients!$EE$8:$EE$228)/907))^2+0.00029262722672*((SUMPRODUCT(M$9:M$229,Nutrients!$EE$8:$EE$228)/907))+0.007028328))</f>
        <v>0.19272558230856002</v>
      </c>
      <c r="N257" s="23">
        <f>IF((SUMPRODUCT(N$9:N$229,Nutrients!$EE$8:$EE$228))=0,N256,IF((SUMPRODUCT(N$9:N$229,Nutrients!$EE$8:$EE$228))&gt;(1500*907),N256+0.14,N256+0.00000000006666*((SUMPRODUCT(N$9:N$229,Nutrients!$EE$8:$EE$228)/907))^3-0.00000023623322*((SUMPRODUCT(N$9:N$229,Nutrients!$EE$8:$EE$228)/907))^2+0.00029262722672*((SUMPRODUCT(N$9:N$229,Nutrients!$EE$8:$EE$228)/907))+0.007028328))</f>
        <v>0.20325085553826028</v>
      </c>
      <c r="O257" s="198"/>
      <c r="P257" s="23">
        <f>IF((SUMPRODUCT(P$9:P$229,Nutrients!$EE$8:$EE$228))=0,P256,IF((SUMPRODUCT(P$9:P$229,Nutrients!$EE$8:$EE$228))&gt;(1500*907),P256+0.14,P256+0.00000000006666*((SUMPRODUCT(P$9:P$229,Nutrients!$EE$8:$EE$228)/907))^3-0.00000023623322*((SUMPRODUCT(P$9:P$229,Nutrients!$EE$8:$EE$228)/907))^2+0.00029262722672*((SUMPRODUCT(P$9:P$229,Nutrients!$EE$8:$EE$228)/907))+0.007028328))</f>
        <v>0.29483180027383371</v>
      </c>
      <c r="Q257" s="23">
        <f>IF((SUMPRODUCT(Q$9:Q$229,Nutrients!$EE$8:$EE$228))=0,Q256,IF((SUMPRODUCT(Q$9:Q$229,Nutrients!$EE$8:$EE$228))&gt;(1500*907),Q256+0.14,Q256+0.00000000006666*((SUMPRODUCT(Q$9:Q$229,Nutrients!$EE$8:$EE$228)/907))^3-0.00000023623322*((SUMPRODUCT(Q$9:Q$229,Nutrients!$EE$8:$EE$228)/907))^2+0.00029262722672*((SUMPRODUCT(Q$9:Q$229,Nutrients!$EE$8:$EE$228)/907))+0.007028328))</f>
        <v>0.25867821078598141</v>
      </c>
      <c r="R257" s="23">
        <f>IF((SUMPRODUCT(R$9:R$229,Nutrients!$EE$8:$EE$228))=0,R256,IF((SUMPRODUCT(R$9:R$229,Nutrients!$EE$8:$EE$228))&gt;(1500*907),R256+0.14,R256+0.00000000006666*((SUMPRODUCT(R$9:R$229,Nutrients!$EE$8:$EE$228)/907))^3-0.00000023623322*((SUMPRODUCT(R$9:R$229,Nutrients!$EE$8:$EE$228)/907))^2+0.00029262722672*((SUMPRODUCT(R$9:R$229,Nutrients!$EE$8:$EE$228)/907))+0.007028328))</f>
        <v>0.21951848091557827</v>
      </c>
      <c r="S257" s="23">
        <f>IF((SUMPRODUCT(S$9:S$229,Nutrients!$EE$8:$EE$228))=0,S256,IF((SUMPRODUCT(S$9:S$229,Nutrients!$EE$8:$EE$228))&gt;(1500*907),S256+0.14,S256+0.00000000006666*((SUMPRODUCT(S$9:S$229,Nutrients!$EE$8:$EE$228)/907))^3-0.00000023623322*((SUMPRODUCT(S$9:S$229,Nutrients!$EE$8:$EE$228)/907))^2+0.00029262722672*((SUMPRODUCT(S$9:S$229,Nutrients!$EE$8:$EE$228)/907))+0.007028328))</f>
        <v>0.19265913031837059</v>
      </c>
      <c r="T257" s="23">
        <f>IF((SUMPRODUCT(T$9:T$229,Nutrients!$EE$8:$EE$228))=0,T256,IF((SUMPRODUCT(T$9:T$229,Nutrients!$EE$8:$EE$228))&gt;(1500*907),T256+0.14,T256+0.00000000006666*((SUMPRODUCT(T$9:T$229,Nutrients!$EE$8:$EE$228)/907))^3-0.00000023623322*((SUMPRODUCT(T$9:T$229,Nutrients!$EE$8:$EE$228)/907))^2+0.00029262722672*((SUMPRODUCT(T$9:T$229,Nutrients!$EE$8:$EE$228)/907))+0.007028328))</f>
        <v>0.17461244688267821</v>
      </c>
      <c r="U257" s="23">
        <f>IF((SUMPRODUCT(U$9:U$229,Nutrients!$EE$8:$EE$228))=0,U256,IF((SUMPRODUCT(U$9:U$229,Nutrients!$EE$8:$EE$228))&gt;(1500*907),U256+0.14,U256+0.00000000006666*((SUMPRODUCT(U$9:U$229,Nutrients!$EE$8:$EE$228)/907))^3-0.00000023623322*((SUMPRODUCT(U$9:U$229,Nutrients!$EE$8:$EE$228)/907))^2+0.00029262722672*((SUMPRODUCT(U$9:U$229,Nutrients!$EE$8:$EE$228)/907))+0.007028328))</f>
        <v>0.20325085553826028</v>
      </c>
      <c r="W257" s="23">
        <f>IF((SUMPRODUCT(W$9:W$229,Nutrients!$EE$8:$EE$228))=0,W256,IF((SUMPRODUCT(W$9:W$229,Nutrients!$EE$8:$EE$228))&gt;(1500*907),W256+0.14,W256+0.00000000006666*((SUMPRODUCT(W$9:W$229,Nutrients!$EE$8:$EE$228)/907))^3-0.00000023623322*((SUMPRODUCT(W$9:W$229,Nutrients!$EE$8:$EE$228)/907))^2+0.00029262722672*((SUMPRODUCT(W$9:W$229,Nutrients!$EE$8:$EE$228)/907))+0.007028328))</f>
        <v>0.27671999071621556</v>
      </c>
      <c r="X257" s="23">
        <f>IF((SUMPRODUCT(X$9:X$229,Nutrients!$EE$8:$EE$228))=0,X256,IF((SUMPRODUCT(X$9:X$229,Nutrients!$EE$8:$EE$228))&gt;(1500*907),X256+0.14,X256+0.00000000006666*((SUMPRODUCT(X$9:X$229,Nutrients!$EE$8:$EE$228)/907))^3-0.00000023623322*((SUMPRODUCT(X$9:X$229,Nutrients!$EE$8:$EE$228)/907))^2+0.00029262722672*((SUMPRODUCT(X$9:X$229,Nutrients!$EE$8:$EE$228)/907))+0.007028328))</f>
        <v>0.24056581232971511</v>
      </c>
      <c r="Y257" s="23">
        <f>IF((SUMPRODUCT(Y$9:Y$229,Nutrients!$EE$8:$EE$228))=0,Y256,IF((SUMPRODUCT(Y$9:Y$229,Nutrients!$EE$8:$EE$228))&gt;(1500*907),Y256+0.14,Y256+0.00000000006666*((SUMPRODUCT(Y$9:Y$229,Nutrients!$EE$8:$EE$228)/907))^3-0.00000023623322*((SUMPRODUCT(Y$9:Y$229,Nutrients!$EE$8:$EE$228)/907))^2+0.00029262722672*((SUMPRODUCT(Y$9:Y$229,Nutrients!$EE$8:$EE$228)/907))+0.007028328))</f>
        <v>0.20140694586883115</v>
      </c>
      <c r="Z257" s="23">
        <f>IF((SUMPRODUCT(Z$9:Z$229,Nutrients!$EE$8:$EE$228))=0,Z256,IF((SUMPRODUCT(Z$9:Z$229,Nutrients!$EE$8:$EE$228))&gt;(1500*907),Z256+0.14,Z256+0.00000000006666*((SUMPRODUCT(Z$9:Z$229,Nutrients!$EE$8:$EE$228)/907))^3-0.00000023623322*((SUMPRODUCT(Z$9:Z$229,Nutrients!$EE$8:$EE$228)/907))^2+0.00029262722672*((SUMPRODUCT(Z$9:Z$229,Nutrients!$EE$8:$EE$228)/907))+0.007028328))</f>
        <v>0.17454815564009177</v>
      </c>
      <c r="AA257" s="23">
        <f>IF((SUMPRODUCT(AA$9:AA$229,Nutrients!$EE$8:$EE$228))=0,AA256,IF((SUMPRODUCT(AA$9:AA$229,Nutrients!$EE$8:$EE$228))&gt;(1500*907),AA256+0.14,AA256+0.00000000006666*((SUMPRODUCT(AA$9:AA$229,Nutrients!$EE$8:$EE$228)/907))^3-0.00000023623322*((SUMPRODUCT(AA$9:AA$229,Nutrients!$EE$8:$EE$228)/907))^2+0.00029262722672*((SUMPRODUCT(AA$9:AA$229,Nutrients!$EE$8:$EE$228)/907))+0.007028328))</f>
        <v>0.15649836651793339</v>
      </c>
      <c r="AB257" s="23">
        <f>IF((SUMPRODUCT(AB$9:AB$229,Nutrients!$EE$8:$EE$228))=0,AB256,IF((SUMPRODUCT(AB$9:AB$229,Nutrients!$EE$8:$EE$228))&gt;(1500*907),AB256+0.14,AB256+0.00000000006666*((SUMPRODUCT(AB$9:AB$229,Nutrients!$EE$8:$EE$228)/907))^3-0.00000023623322*((SUMPRODUCT(AB$9:AB$229,Nutrients!$EE$8:$EE$228)/907))^2+0.00029262722672*((SUMPRODUCT(AB$9:AB$229,Nutrients!$EE$8:$EE$228)/907))+0.007028328))</f>
        <v>0.20325085553826028</v>
      </c>
      <c r="AD257" s="23">
        <f>IF((SUMPRODUCT(AD$9:AD$229,Nutrients!$EE$8:$EE$228))=0,AD256,IF((SUMPRODUCT(AD$9:AD$229,Nutrients!$EE$8:$EE$228))&gt;(1500*907),AD256+0.14,AD256+0.00000000006666*((SUMPRODUCT(AD$9:AD$229,Nutrients!$EE$8:$EE$228)/907))^3-0.00000023623322*((SUMPRODUCT(AD$9:AD$229,Nutrients!$EE$8:$EE$228)/907))^2+0.00029262722672*((SUMPRODUCT(AD$9:AD$229,Nutrients!$EE$8:$EE$228)/907))+0.007028328))</f>
        <v>0.25860768871138362</v>
      </c>
      <c r="AE257" s="23">
        <f>IF((SUMPRODUCT(AE$9:AE$229,Nutrients!$EE$8:$EE$228))=0,AE256,IF((SUMPRODUCT(AE$9:AE$229,Nutrients!$EE$8:$EE$228))&gt;(1500*907),AE256+0.14,AE256+0.00000000006666*((SUMPRODUCT(AE$9:AE$229,Nutrients!$EE$8:$EE$228)/907))^3-0.00000023623322*((SUMPRODUCT(AE$9:AE$229,Nutrients!$EE$8:$EE$228)/907))^2+0.00029262722672*((SUMPRODUCT(AE$9:AE$229,Nutrients!$EE$8:$EE$228)/907))+0.007028328))</f>
        <v>0.22245372739854399</v>
      </c>
      <c r="AF257" s="23">
        <f>IF((SUMPRODUCT(AF$9:AF$229,Nutrients!$EE$8:$EE$228))=0,AF256,IF((SUMPRODUCT(AF$9:AF$229,Nutrients!$EE$8:$EE$228))&gt;(1500*907),AF256+0.14,AF256+0.00000000006666*((SUMPRODUCT(AF$9:AF$229,Nutrients!$EE$8:$EE$228)/907))^3-0.00000023623322*((SUMPRODUCT(AF$9:AF$229,Nutrients!$EE$8:$EE$228)/907))^2+0.00029262722672*((SUMPRODUCT(AF$9:AF$229,Nutrients!$EE$8:$EE$228)/907))+0.007028328))</f>
        <v>0.18329666644338688</v>
      </c>
      <c r="AG257" s="23">
        <f>IF((SUMPRODUCT(AG$9:AG$229,Nutrients!$EE$8:$EE$228))=0,AG256,IF((SUMPRODUCT(AG$9:AG$229,Nutrients!$EE$8:$EE$228))&gt;(1500*907),AG256+0.14,AG256+0.00000000006666*((SUMPRODUCT(AG$9:AG$229,Nutrients!$EE$8:$EE$228)/907))^3-0.00000023623322*((SUMPRODUCT(AG$9:AG$229,Nutrients!$EE$8:$EE$228)/907))^2+0.00029262722672*((SUMPRODUCT(AG$9:AG$229,Nutrients!$EE$8:$EE$228)/907))+0.007028328))</f>
        <v>0.15643324564872627</v>
      </c>
      <c r="AH257" s="23">
        <f>IF((SUMPRODUCT(AH$9:AH$229,Nutrients!$EE$8:$EE$228))=0,AH256,IF((SUMPRODUCT(AH$9:AH$229,Nutrients!$EE$8:$EE$228))&gt;(1500*907),AH256+0.14,AH256+0.00000000006666*((SUMPRODUCT(AH$9:AH$229,Nutrients!$EE$8:$EE$228)/907))^3-0.00000023623322*((SUMPRODUCT(AH$9:AH$229,Nutrients!$EE$8:$EE$228)/907))^2+0.00029262722672*((SUMPRODUCT(AH$9:AH$229,Nutrients!$EE$8:$EE$228)/907))+0.007028328))</f>
        <v>0.15027872075147666</v>
      </c>
      <c r="AI257" s="23">
        <f>IF((SUMPRODUCT(AI$9:AI$229,Nutrients!$EE$8:$EE$228))=0,AI256,IF((SUMPRODUCT(AI$9:AI$229,Nutrients!$EE$8:$EE$228))&gt;(1500*907),AI256+0.14,AI256+0.00000000006666*((SUMPRODUCT(AI$9:AI$229,Nutrients!$EE$8:$EE$228)/907))^3-0.00000023623322*((SUMPRODUCT(AI$9:AI$229,Nutrients!$EE$8:$EE$228)/907))^2+0.00029262722672*((SUMPRODUCT(AI$9:AI$229,Nutrients!$EE$8:$EE$228)/907))+0.007028328))</f>
        <v>0.20325085553826028</v>
      </c>
      <c r="AK257" s="23">
        <f>IF((SUMPRODUCT(AK$9:AK$229,Nutrients!$EE$8:$EE$228))=0,AK256,IF((SUMPRODUCT(AK$9:AK$229,Nutrients!$EE$8:$EE$228))&gt;(1500*907),AK256+0.14,AK256+0.00000000006666*((SUMPRODUCT(AK$9:AK$229,Nutrients!$EE$8:$EE$228)/907))^3-0.00000023623322*((SUMPRODUCT(AK$9:AK$229,Nutrients!$EE$8:$EE$228)/907))^2+0.00029262722672*((SUMPRODUCT(AK$9:AK$229,Nutrients!$EE$8:$EE$228)/907))+0.007028328))</f>
        <v>0.24049193160861018</v>
      </c>
      <c r="AL257" s="23">
        <f>IF((SUMPRODUCT(AL$9:AL$229,Nutrients!$EE$8:$EE$228))=0,AL256,IF((SUMPRODUCT(AL$9:AL$229,Nutrients!$EE$8:$EE$228))&gt;(1500*907),AL256+0.14,AL256+0.00000000006666*((SUMPRODUCT(AL$9:AL$229,Nutrients!$EE$8:$EE$228)/907))^3-0.00000023623322*((SUMPRODUCT(AL$9:AL$229,Nutrients!$EE$8:$EE$228)/907))^2+0.00029262722672*((SUMPRODUCT(AL$9:AL$229,Nutrients!$EE$8:$EE$228)/907))+0.007028328))</f>
        <v>0.20434169345356393</v>
      </c>
      <c r="AM257" s="23">
        <f>IF((SUMPRODUCT(AM$9:AM$229,Nutrients!$EE$8:$EE$228))=0,AM256,IF((SUMPRODUCT(AM$9:AM$229,Nutrients!$EE$8:$EE$228))&gt;(1500*907),AM256+0.14,AM256+0.00000000006666*((SUMPRODUCT(AM$9:AM$229,Nutrients!$EE$8:$EE$228)/907))^3-0.00000023623322*((SUMPRODUCT(AM$9:AM$229,Nutrients!$EE$8:$EE$228)/907))^2+0.00029262722672*((SUMPRODUCT(AM$9:AM$229,Nutrients!$EE$8:$EE$228)/907))+0.007028328))</f>
        <v>0.16518265002253998</v>
      </c>
      <c r="AN257" s="23">
        <f>IF((SUMPRODUCT(AN$9:AN$229,Nutrients!$EE$8:$EE$228))=0,AN256,IF((SUMPRODUCT(AN$9:AN$229,Nutrients!$EE$8:$EE$228))&gt;(1500*907),AN256+0.14,AN256+0.00000000006666*((SUMPRODUCT(AN$9:AN$229,Nutrients!$EE$8:$EE$228)/907))^3-0.00000023623322*((SUMPRODUCT(AN$9:AN$229,Nutrients!$EE$8:$EE$228)/907))^2+0.00029262722672*((SUMPRODUCT(AN$9:AN$229,Nutrients!$EE$8:$EE$228)/907))+0.007028328))</f>
        <v>0.14969450809977289</v>
      </c>
      <c r="AO257" s="23">
        <f>IF((SUMPRODUCT(AO$9:AO$229,Nutrients!$EE$8:$EE$228))=0,AO256,IF((SUMPRODUCT(AO$9:AO$229,Nutrients!$EE$8:$EE$228))&gt;(1500*907),AO256+0.14,AO256+0.00000000006666*((SUMPRODUCT(AO$9:AO$229,Nutrients!$EE$8:$EE$228)/907))^3-0.00000023623322*((SUMPRODUCT(AO$9:AO$229,Nutrients!$EE$8:$EE$228)/907))^2+0.00029262722672*((SUMPRODUCT(AO$9:AO$229,Nutrients!$EE$8:$EE$228)/907))+0.007028328))</f>
        <v>0.14631558429390673</v>
      </c>
      <c r="AP257" s="23">
        <f>IF((SUMPRODUCT(AP$9:AP$229,Nutrients!$EE$8:$EE$228))=0,AP256,IF((SUMPRODUCT(AP$9:AP$229,Nutrients!$EE$8:$EE$228))&gt;(1500*907),AP256+0.14,AP256+0.00000000006666*((SUMPRODUCT(AP$9:AP$229,Nutrients!$EE$8:$EE$228)/907))^3-0.00000023623322*((SUMPRODUCT(AP$9:AP$229,Nutrients!$EE$8:$EE$228)/907))^2+0.00029262722672*((SUMPRODUCT(AP$9:AP$229,Nutrients!$EE$8:$EE$228)/907))+0.007028328))</f>
        <v>0.20325085553826028</v>
      </c>
      <c r="AR257" s="23">
        <f>IF((SUMPRODUCT(AR$9:AR$229,Nutrients!$EE$8:$EE$228))=0,AR256,IF((SUMPRODUCT(AR$9:AR$229,Nutrients!$EE$8:$EE$228))&gt;(1500*907),AR256+0.14,AR256+0.00000000006666*((SUMPRODUCT(AR$9:AR$229,Nutrients!$EE$8:$EE$228)/907))^3-0.00000023623322*((SUMPRODUCT(AR$9:AR$229,Nutrients!$EE$8:$EE$228)/907))^2+0.00029262722672*((SUMPRODUCT(AR$9:AR$229,Nutrients!$EE$8:$EE$228)/907))+0.007028328))</f>
        <v>0.22238136773774009</v>
      </c>
      <c r="AS257" s="23">
        <f>IF((SUMPRODUCT(AS$9:AS$229,Nutrients!$EE$8:$EE$228))=0,AS256,IF((SUMPRODUCT(AS$9:AS$229,Nutrients!$EE$8:$EE$228))&gt;(1500*907),AS256+0.14,AS256+0.00000000006666*((SUMPRODUCT(AS$9:AS$229,Nutrients!$EE$8:$EE$228)/907))^3-0.00000023623322*((SUMPRODUCT(AS$9:AS$229,Nutrients!$EE$8:$EE$228)/907))^2+0.00029262722672*((SUMPRODUCT(AS$9:AS$229,Nutrients!$EE$8:$EE$228)/907))+0.007028328))</f>
        <v>0.1862296314130277</v>
      </c>
      <c r="AT257" s="23">
        <f>IF((SUMPRODUCT(AT$9:AT$229,Nutrients!$EE$8:$EE$228))=0,AT256,IF((SUMPRODUCT(AT$9:AT$229,Nutrients!$EE$8:$EE$228))&gt;(1500*907),AT256+0.14,AT256+0.00000000006666*((SUMPRODUCT(AT$9:AT$229,Nutrients!$EE$8:$EE$228)/907))^3-0.00000023623322*((SUMPRODUCT(AT$9:AT$229,Nutrients!$EE$8:$EE$228)/907))^2+0.00029262722672*((SUMPRODUCT(AT$9:AT$229,Nutrients!$EE$8:$EE$228)/907))+0.007028328))</f>
        <v>0.15081274244312751</v>
      </c>
      <c r="AU257" s="23">
        <f>IF((SUMPRODUCT(AU$9:AU$229,Nutrients!$EE$8:$EE$228))=0,AU256,IF((SUMPRODUCT(AU$9:AU$229,Nutrients!$EE$8:$EE$228))&gt;(1500*907),AU256+0.14,AU256+0.00000000006666*((SUMPRODUCT(AU$9:AU$229,Nutrients!$EE$8:$EE$228)/907))^3-0.00000023623322*((SUMPRODUCT(AU$9:AU$229,Nutrients!$EE$8:$EE$228)/907))^2+0.00029262722672*((SUMPRODUCT(AU$9:AU$229,Nutrients!$EE$8:$EE$228)/907))+0.007028328))</f>
        <v>0.1457314767223328</v>
      </c>
      <c r="AV257" s="23">
        <f>IF((SUMPRODUCT(AV$9:AV$229,Nutrients!$EE$8:$EE$228))=0,AV256,IF((SUMPRODUCT(AV$9:AV$229,Nutrients!$EE$8:$EE$228))&gt;(1500*907),AV256+0.14,AV256+0.00000000006666*((SUMPRODUCT(AV$9:AV$229,Nutrients!$EE$8:$EE$228)/907))^3-0.00000023623322*((SUMPRODUCT(AV$9:AV$229,Nutrients!$EE$8:$EE$228)/907))^2+0.00029262722672*((SUMPRODUCT(AV$9:AV$229,Nutrients!$EE$8:$EE$228)/907))+0.007028328))</f>
        <v>0.14235188190251322</v>
      </c>
      <c r="AW257" s="23">
        <f>IF((SUMPRODUCT(AW$9:AW$229,Nutrients!$EE$8:$EE$228))=0,AW256,IF((SUMPRODUCT(AW$9:AW$229,Nutrients!$EE$8:$EE$228))&gt;(1500*907),AW256+0.14,AW256+0.00000000006666*((SUMPRODUCT(AW$9:AW$229,Nutrients!$EE$8:$EE$228)/907))^3-0.00000023623322*((SUMPRODUCT(AW$9:AW$229,Nutrients!$EE$8:$EE$228)/907))^2+0.00029262722672*((SUMPRODUCT(AW$9:AW$229,Nutrients!$EE$8:$EE$228)/907))+0.007028328))</f>
        <v>0.20325085553826028</v>
      </c>
    </row>
    <row r="258" spans="1:59" x14ac:dyDescent="0.25">
      <c r="A258" t="s">
        <v>28</v>
      </c>
      <c r="B258" s="23">
        <f t="shared" ref="B258:G258" si="51">IF(B$5="","",(B257)/(B246*2.2046)*10000)</f>
        <v>1.0033088419067715</v>
      </c>
      <c r="C258" s="23">
        <f t="shared" si="51"/>
        <v>0.89010895745377694</v>
      </c>
      <c r="D258" s="23">
        <f t="shared" si="51"/>
        <v>0.77668715413339373</v>
      </c>
      <c r="E258" s="23">
        <f t="shared" si="51"/>
        <v>0.69541943453482424</v>
      </c>
      <c r="F258" s="23">
        <f t="shared" si="51"/>
        <v>0.63585195401614236</v>
      </c>
      <c r="G258" s="23">
        <f t="shared" si="51"/>
        <v>0.60998469661164556</v>
      </c>
      <c r="H258" s="227"/>
      <c r="I258" s="23">
        <f t="shared" ref="I258:N258" si="52">IF(I$5="","",(I257)/(I246*2.2046)*10000)</f>
        <v>0.94302978854330266</v>
      </c>
      <c r="J258" s="23">
        <f t="shared" si="52"/>
        <v>0.8310093042883554</v>
      </c>
      <c r="K258" s="23">
        <f t="shared" si="52"/>
        <v>0.71097367964041902</v>
      </c>
      <c r="L258" s="23">
        <f t="shared" si="52"/>
        <v>0.62883445148104844</v>
      </c>
      <c r="M258" s="23">
        <f t="shared" si="52"/>
        <v>0.57372597585416241</v>
      </c>
      <c r="N258" s="23">
        <f t="shared" si="52"/>
        <v>0.60998469661164556</v>
      </c>
      <c r="O258" s="198"/>
      <c r="P258" s="23">
        <f t="shared" ref="P258:U258" si="53">IF(P$5="","",(P257)/(P246*2.2046)*10000)</f>
        <v>0.88048392023312938</v>
      </c>
      <c r="Q258" s="23">
        <f t="shared" si="53"/>
        <v>0.76967106088733794</v>
      </c>
      <c r="R258" s="23">
        <f t="shared" si="53"/>
        <v>0.65088954538218047</v>
      </c>
      <c r="S258" s="23">
        <f t="shared" si="53"/>
        <v>0.56966285127162175</v>
      </c>
      <c r="T258" s="23">
        <f t="shared" si="53"/>
        <v>0.51516800075999702</v>
      </c>
      <c r="U258" s="23">
        <f t="shared" si="53"/>
        <v>0.60998469661164556</v>
      </c>
      <c r="W258" s="23">
        <f t="shared" ref="W258:AB258" si="54">IF(W$5="","",(W257)/(W246*2.2046)*10000)</f>
        <v>0.81903171735349201</v>
      </c>
      <c r="X258" s="23">
        <f t="shared" si="54"/>
        <v>0.70940339956122989</v>
      </c>
      <c r="Y258" s="23">
        <f t="shared" si="54"/>
        <v>0.59188425004749656</v>
      </c>
      <c r="Z258" s="23">
        <f t="shared" si="54"/>
        <v>0.51153721860401025</v>
      </c>
      <c r="AA258" s="23">
        <f t="shared" si="54"/>
        <v>0.45761659630429302</v>
      </c>
      <c r="AB258" s="23">
        <f t="shared" si="54"/>
        <v>0.60998469661164556</v>
      </c>
      <c r="AD258" s="23">
        <f t="shared" ref="AD258:AI258" si="55">IF(AD$5="","",(AD257)/(AD246*2.2046)*10000)</f>
        <v>0.7586261038797022</v>
      </c>
      <c r="AE258" s="23">
        <f t="shared" si="55"/>
        <v>0.65019593377556328</v>
      </c>
      <c r="AF258" s="23">
        <f t="shared" si="55"/>
        <v>0.53392499630836199</v>
      </c>
      <c r="AG258" s="23">
        <f t="shared" si="55"/>
        <v>0.45438810164298332</v>
      </c>
      <c r="AH258" s="23">
        <f t="shared" si="55"/>
        <v>0.43567790380288546</v>
      </c>
      <c r="AI258" s="23">
        <f t="shared" si="55"/>
        <v>0.60998469661164556</v>
      </c>
      <c r="AK258" s="23">
        <f t="shared" ref="AK258:AP258" si="56">IF(AK$5="","",(AK257)/(AK246*2.2046)*10000)</f>
        <v>0.69914190052454295</v>
      </c>
      <c r="AL258" s="23">
        <f t="shared" si="56"/>
        <v>0.59202042189890325</v>
      </c>
      <c r="AM258" s="23">
        <f t="shared" si="56"/>
        <v>0.47694022646098433</v>
      </c>
      <c r="AN258" s="23">
        <f t="shared" si="56"/>
        <v>0.43116751664028624</v>
      </c>
      <c r="AO258" s="23">
        <f t="shared" si="56"/>
        <v>0.42056223632993189</v>
      </c>
      <c r="AP258" s="23">
        <f t="shared" si="56"/>
        <v>0.60998469661164556</v>
      </c>
      <c r="AR258" s="23">
        <f t="shared" ref="AR258:AW258" si="57">IF(AR$5="","",(AR257)/(AR246*2.2046)*10000)</f>
        <v>0.64091660667815353</v>
      </c>
      <c r="AS258" s="23">
        <f t="shared" si="57"/>
        <v>0.53486807163997718</v>
      </c>
      <c r="AT258" s="23">
        <f t="shared" si="57"/>
        <v>0.43177171675165033</v>
      </c>
      <c r="AU258" s="23">
        <f t="shared" si="57"/>
        <v>0.41619543851599911</v>
      </c>
      <c r="AV258" s="23">
        <f t="shared" si="57"/>
        <v>0.40569389319367288</v>
      </c>
      <c r="AW258" s="23">
        <f t="shared" si="57"/>
        <v>0.60998469661164556</v>
      </c>
    </row>
    <row r="259" spans="1:59" x14ac:dyDescent="0.25">
      <c r="A259" s="34" t="s">
        <v>346</v>
      </c>
      <c r="B259" s="227">
        <f>((SUMPRODUCT(B$9:B$229,Nutrients!$DR$8:$DR$228)+(IF($A$7=Nutrients!$B$8,Nutrients!$DR$8,Nutrients!$DR$9)*B$7)+(((IF($A$8=Nutrients!$B$79,Nutrients!$DR$79,(IF($A$8=Nutrients!$B$77,Nutrients!$DR$77,Nutrients!$DR$78)))))*B$8))/2000)</f>
        <v>0.28998961246592625</v>
      </c>
      <c r="C259" s="227">
        <f>((SUMPRODUCT(C$9:C$229,Nutrients!$DR$8:$DR$228)+(IF($A$7=Nutrients!$B$8,Nutrients!$DR$8,Nutrients!$DR$9)*C$7)+(((IF($A$8=Nutrients!$B$79,Nutrients!$DR$79,(IF($A$8=Nutrients!$B$77,Nutrients!$DR$77,Nutrients!$DR$78)))))*C$8))/2000)</f>
        <v>0.25045553392749997</v>
      </c>
      <c r="D259" s="227">
        <f>((SUMPRODUCT(D$9:D$229,Nutrients!$DR$8:$DR$228)+(IF($A$7=Nutrients!$B$8,Nutrients!$DR$8,Nutrients!$DR$9)*D$7)+(((IF($A$8=Nutrients!$B$79,Nutrients!$DR$79,(IF($A$8=Nutrients!$B$77,Nutrients!$DR$77,Nutrients!$DR$78)))))*D$8))/2000)</f>
        <v>0.21159356316179678</v>
      </c>
      <c r="E259" s="227">
        <f>((SUMPRODUCT(E$9:E$229,Nutrients!$DR$8:$DR$228)+(IF($A$7=Nutrients!$B$8,Nutrients!$DR$8,Nutrients!$DR$9)*E$7)+(((IF($A$8=Nutrients!$B$79,Nutrients!$DR$79,(IF($A$8=Nutrients!$B$77,Nutrients!$DR$77,Nutrients!$DR$78)))))*E$8))/2000)</f>
        <v>0.18289955187368459</v>
      </c>
      <c r="F259" s="227">
        <f>((SUMPRODUCT(F$9:F$229,Nutrients!$DR$8:$DR$228)+(IF($A$7=Nutrients!$B$8,Nutrients!$DR$8,Nutrients!$DR$9)*F$7)+(((IF($A$8=Nutrients!$B$79,Nutrients!$DR$79,(IF($A$8=Nutrients!$B$77,Nutrients!$DR$77,Nutrients!$DR$78)))))*F$8))/2000)</f>
        <v>0.16219699119534683</v>
      </c>
      <c r="G259" s="227">
        <f>((SUMPRODUCT(G$9:G$229,Nutrients!$DR$8:$DR$228)+(IF($A$7=Nutrients!$B$8,Nutrients!$DR$8,Nutrients!$DR$9)*G$7)+(((IF($A$8=Nutrients!$B$79,Nutrients!$DR$79,(IF($A$8=Nutrients!$B$77,Nutrients!$DR$77,Nutrients!$DR$78)))))*G$8))/2000)</f>
        <v>0.15287313523350393</v>
      </c>
      <c r="H259" s="227"/>
      <c r="I259" s="227">
        <f>((SUMPRODUCT(I$9:I$229,Nutrients!$DR$8:$DR$228)+(IF($A$7=Nutrients!$B$8,Nutrients!$DR$8,Nutrients!$DR$9)*I$7)+(((IF($A$8=Nutrients!$B$79,Nutrients!$DR$79,(IF($A$8=Nutrients!$B$77,Nutrients!$DR$77,Nutrients!$DR$78)))))*I$8))/2000)</f>
        <v>0.29063539005684463</v>
      </c>
      <c r="J259" s="227">
        <f>((SUMPRODUCT(J$9:J$229,Nutrients!$DR$8:$DR$228)+(IF($A$7=Nutrients!$B$8,Nutrients!$DR$8,Nutrients!$DR$9)*J$7)+(((IF($A$8=Nutrients!$B$79,Nutrients!$DR$79,(IF($A$8=Nutrients!$B$77,Nutrients!$DR$77,Nutrients!$DR$78)))))*J$8))/2000)</f>
        <v>0.25109670299693432</v>
      </c>
      <c r="K259" s="227">
        <f>((SUMPRODUCT(K$9:K$229,Nutrients!$DR$8:$DR$228)+(IF($A$7=Nutrients!$B$8,Nutrients!$DR$8,Nutrients!$DR$9)*K$7)+(((IF($A$8=Nutrients!$B$79,Nutrients!$DR$79,(IF($A$8=Nutrients!$B$77,Nutrients!$DR$77,Nutrients!$DR$78)))))*K$8))/2000)</f>
        <v>0.2099760712944779</v>
      </c>
      <c r="L259" s="227">
        <f>((SUMPRODUCT(L$9:L$229,Nutrients!$DR$8:$DR$228)+(IF($A$7=Nutrients!$B$8,Nutrients!$DR$8,Nutrients!$DR$9)*L$7)+(((IF($A$8=Nutrients!$B$79,Nutrients!$DR$79,(IF($A$8=Nutrients!$B$77,Nutrients!$DR$77,Nutrients!$DR$78)))))*L$8))/2000)</f>
        <v>0.18074246472987032</v>
      </c>
      <c r="M259" s="227">
        <f>((SUMPRODUCT(M$9:M$229,Nutrients!$DR$8:$DR$228)+(IF($A$7=Nutrients!$B$8,Nutrients!$DR$8,Nutrients!$DR$9)*M$7)+(((IF($A$8=Nutrients!$B$79,Nutrients!$DR$79,(IF($A$8=Nutrients!$B$77,Nutrients!$DR$77,Nutrients!$DR$78)))))*M$8))/2000)</f>
        <v>0.16114825179142095</v>
      </c>
      <c r="N259" s="227">
        <f>((SUMPRODUCT(N$9:N$229,Nutrients!$DR$8:$DR$228)+(IF($A$7=Nutrients!$B$8,Nutrients!$DR$8,Nutrients!$DR$9)*N$7)+(((IF($A$8=Nutrients!$B$79,Nutrients!$DR$79,(IF($A$8=Nutrients!$B$77,Nutrients!$DR$77,Nutrients!$DR$78)))))*N$8))/2000)</f>
        <v>0.15287313523350393</v>
      </c>
      <c r="O259" s="198"/>
      <c r="P259" s="227">
        <f>((SUMPRODUCT(P$9:P$229,Nutrients!$DR$8:$DR$228)+(IF($A$7=Nutrients!$B$8,Nutrients!$DR$8,Nutrients!$DR$9)*P$7)+(((IF($A$8=Nutrients!$B$79,Nutrients!$DR$79,(IF($A$8=Nutrients!$B$77,Nutrients!$DR$77,Nutrients!$DR$78)))))*P$8))/2000)</f>
        <v>0.29033124916612574</v>
      </c>
      <c r="Q259" s="227">
        <f>((SUMPRODUCT(Q$9:Q$229,Nutrients!$DR$8:$DR$228)+(IF($A$7=Nutrients!$B$8,Nutrients!$DR$8,Nutrients!$DR$9)*Q$7)+(((IF($A$8=Nutrients!$B$79,Nutrients!$DR$79,(IF($A$8=Nutrients!$B$77,Nutrients!$DR$77,Nutrients!$DR$78)))))*Q$8))/2000)</f>
        <v>0.2507912471276364</v>
      </c>
      <c r="R259" s="227">
        <f>((SUMPRODUCT(R$9:R$229,Nutrients!$DR$8:$DR$228)+(IF($A$7=Nutrients!$B$8,Nutrients!$DR$8,Nutrients!$DR$9)*R$7)+(((IF($A$8=Nutrients!$B$79,Nutrients!$DR$79,(IF($A$8=Nutrients!$B$77,Nutrients!$DR$77,Nutrients!$DR$78)))))*R$8))/2000)</f>
        <v>0.20966863060366833</v>
      </c>
      <c r="S259" s="227">
        <f>((SUMPRODUCT(S$9:S$229,Nutrients!$DR$8:$DR$228)+(IF($A$7=Nutrients!$B$8,Nutrients!$DR$8,Nutrients!$DR$9)*S$7)+(((IF($A$8=Nutrients!$B$79,Nutrients!$DR$79,(IF($A$8=Nutrients!$B$77,Nutrients!$DR$77,Nutrients!$DR$78)))))*S$8))/2000)</f>
        <v>0.18043580473363321</v>
      </c>
      <c r="T259" s="227">
        <f>((SUMPRODUCT(T$9:T$229,Nutrients!$DR$8:$DR$228)+(IF($A$7=Nutrients!$B$8,Nutrients!$DR$8,Nutrients!$DR$9)*T$7)+(((IF($A$8=Nutrients!$B$79,Nutrients!$DR$79,(IF($A$8=Nutrients!$B$77,Nutrients!$DR$77,Nutrients!$DR$78)))))*T$8))/2000)</f>
        <v>0.16083964513914442</v>
      </c>
      <c r="U259" s="227">
        <f>((SUMPRODUCT(U$9:U$229,Nutrients!$DR$8:$DR$228)+(IF($A$7=Nutrients!$B$8,Nutrients!$DR$8,Nutrients!$DR$9)*U$7)+(((IF($A$8=Nutrients!$B$79,Nutrients!$DR$79,(IF($A$8=Nutrients!$B$77,Nutrients!$DR$77,Nutrients!$DR$78)))))*U$8))/2000)</f>
        <v>0.15287313523350393</v>
      </c>
      <c r="W259" s="227">
        <f>((SUMPRODUCT(W$9:W$229,Nutrients!$DR$8:$DR$228)+(IF($A$7=Nutrients!$B$8,Nutrients!$DR$8,Nutrients!$DR$9)*W$7)+(((IF($A$8=Nutrients!$B$79,Nutrients!$DR$79,(IF($A$8=Nutrients!$B$77,Nutrients!$DR$77,Nutrients!$DR$78)))))*W$8))/2000)</f>
        <v>0.29002607080923326</v>
      </c>
      <c r="X259" s="227">
        <f>((SUMPRODUCT(X$9:X$229,Nutrients!$DR$8:$DR$228)+(IF($A$7=Nutrients!$B$8,Nutrients!$DR$8,Nutrients!$DR$9)*X$7)+(((IF($A$8=Nutrients!$B$79,Nutrients!$DR$79,(IF($A$8=Nutrients!$B$77,Nutrients!$DR$77,Nutrients!$DR$78)))))*X$8))/2000)</f>
        <v>0.25048454605647996</v>
      </c>
      <c r="Y259" s="227">
        <f>((SUMPRODUCT(Y$9:Y$229,Nutrients!$DR$8:$DR$228)+(IF($A$7=Nutrients!$B$8,Nutrients!$DR$8,Nutrients!$DR$9)*Y$7)+(((IF($A$8=Nutrients!$B$79,Nutrients!$DR$79,(IF($A$8=Nutrients!$B$77,Nutrients!$DR$77,Nutrients!$DR$78)))))*Y$8))/2000)</f>
        <v>0.20936416204908243</v>
      </c>
      <c r="Z259" s="227">
        <f>((SUMPRODUCT(Z$9:Z$229,Nutrients!$DR$8:$DR$228)+(IF($A$7=Nutrients!$B$8,Nutrients!$DR$8,Nutrients!$DR$9)*Z$7)+(((IF($A$8=Nutrients!$B$79,Nutrients!$DR$79,(IF($A$8=Nutrients!$B$77,Nutrients!$DR$77,Nutrients!$DR$78)))))*Z$8))/2000)</f>
        <v>0.18013278512287215</v>
      </c>
      <c r="AA259" s="227">
        <f>((SUMPRODUCT(AA$9:AA$229,Nutrients!$DR$8:$DR$228)+(IF($A$7=Nutrients!$B$8,Nutrients!$DR$8,Nutrients!$DR$9)*AA$7)+(((IF($A$8=Nutrients!$B$79,Nutrients!$DR$79,(IF($A$8=Nutrients!$B$77,Nutrients!$DR$77,Nutrients!$DR$78)))))*AA$8))/2000)</f>
        <v>0.16052859516000723</v>
      </c>
      <c r="AB259" s="227">
        <f>((SUMPRODUCT(AB$9:AB$229,Nutrients!$DR$8:$DR$228)+(IF($A$7=Nutrients!$B$8,Nutrients!$DR$8,Nutrients!$DR$9)*AB$7)+(((IF($A$8=Nutrients!$B$79,Nutrients!$DR$79,(IF($A$8=Nutrients!$B$77,Nutrients!$DR$77,Nutrients!$DR$78)))))*AB$8))/2000)</f>
        <v>0.15287313523350393</v>
      </c>
      <c r="AD259" s="227">
        <f>((SUMPRODUCT(AD$9:AD$229,Nutrients!$DR$8:$DR$228)+(IF($A$7=Nutrients!$B$8,Nutrients!$DR$8,Nutrients!$DR$9)*AD$7)+(((IF($A$8=Nutrients!$B$79,Nutrients!$DR$79,(IF($A$8=Nutrients!$B$77,Nutrients!$DR$77,Nutrients!$DR$78)))))*AD$8))/2000)</f>
        <v>0.2897196191323918</v>
      </c>
      <c r="AE259" s="227">
        <f>((SUMPRODUCT(AE$9:AE$229,Nutrients!$DR$8:$DR$228)+(IF($A$7=Nutrients!$B$8,Nutrients!$DR$8,Nutrients!$DR$9)*AE$7)+(((IF($A$8=Nutrients!$B$79,Nutrients!$DR$79,(IF($A$8=Nutrients!$B$77,Nutrients!$DR$77,Nutrients!$DR$78)))))*AE$8))/2000)</f>
        <v>0.25017865566664527</v>
      </c>
      <c r="AF259" s="227">
        <f>((SUMPRODUCT(AF$9:AF$229,Nutrients!$DR$8:$DR$228)+(IF($A$7=Nutrients!$B$8,Nutrients!$DR$8,Nutrients!$DR$9)*AF$7)+(((IF($A$8=Nutrients!$B$79,Nutrients!$DR$79,(IF($A$8=Nutrients!$B$77,Nutrients!$DR$77,Nutrients!$DR$78)))))*AF$8))/2000)</f>
        <v>0.20906294015242968</v>
      </c>
      <c r="AG259" s="227">
        <f>((SUMPRODUCT(AG$9:AG$229,Nutrients!$DR$8:$DR$228)+(IF($A$7=Nutrients!$B$8,Nutrients!$DR$8,Nutrients!$DR$9)*AG$7)+(((IF($A$8=Nutrients!$B$79,Nutrients!$DR$79,(IF($A$8=Nutrients!$B$77,Nutrients!$DR$77,Nutrients!$DR$78)))))*AG$8))/2000)</f>
        <v>0.17981958997954944</v>
      </c>
      <c r="AH259" s="227">
        <f>((SUMPRODUCT(AH$9:AH$229,Nutrients!$DR$8:$DR$228)+(IF($A$7=Nutrients!$B$8,Nutrients!$DR$8,Nutrients!$DR$9)*AH$7)+(((IF($A$8=Nutrients!$B$79,Nutrients!$DR$79,(IF($A$8=Nutrients!$B$77,Nutrients!$DR$77,Nutrients!$DR$78)))))*AH$8))/2000)</f>
        <v>0.1706672322404624</v>
      </c>
      <c r="AI259" s="227">
        <f>((SUMPRODUCT(AI$9:AI$229,Nutrients!$DR$8:$DR$228)+(IF($A$7=Nutrients!$B$8,Nutrients!$DR$8,Nutrients!$DR$9)*AI$7)+(((IF($A$8=Nutrients!$B$79,Nutrients!$DR$79,(IF($A$8=Nutrients!$B$77,Nutrients!$DR$77,Nutrients!$DR$78)))))*AI$8))/2000)</f>
        <v>0.15287313523350393</v>
      </c>
      <c r="AK259" s="227">
        <f>((SUMPRODUCT(AK$9:AK$229,Nutrients!$DR$8:$DR$228)+(IF($A$7=Nutrients!$B$8,Nutrients!$DR$8,Nutrients!$DR$9)*AK$7)+(((IF($A$8=Nutrients!$B$79,Nutrients!$DR$79,(IF($A$8=Nutrients!$B$77,Nutrients!$DR$77,Nutrients!$DR$78)))))*AK$8))/2000)</f>
        <v>0.28940423361449769</v>
      </c>
      <c r="AL259" s="227">
        <f>((SUMPRODUCT(AL$9:AL$229,Nutrients!$DR$8:$DR$228)+(IF($A$7=Nutrients!$B$8,Nutrients!$DR$8,Nutrients!$DR$9)*AL$7)+(((IF($A$8=Nutrients!$B$79,Nutrients!$DR$79,(IF($A$8=Nutrients!$B$77,Nutrients!$DR$77,Nutrients!$DR$78)))))*AL$8))/2000)</f>
        <v>0.24987289711172081</v>
      </c>
      <c r="AM259" s="227">
        <f>((SUMPRODUCT(AM$9:AM$229,Nutrients!$DR$8:$DR$228)+(IF($A$7=Nutrients!$B$8,Nutrients!$DR$8,Nutrients!$DR$9)*AM$7)+(((IF($A$8=Nutrients!$B$79,Nutrients!$DR$79,(IF($A$8=Nutrients!$B$77,Nutrients!$DR$77,Nutrients!$DR$78)))))*AM$8))/2000)</f>
        <v>0.20875205551292406</v>
      </c>
      <c r="AN259" s="227">
        <f>((SUMPRODUCT(AN$9:AN$229,Nutrients!$DR$8:$DR$228)+(IF($A$7=Nutrients!$B$8,Nutrients!$DR$8,Nutrients!$DR$9)*AN$7)+(((IF($A$8=Nutrients!$B$79,Nutrients!$DR$79,(IF($A$8=Nutrients!$B$77,Nutrients!$DR$77,Nutrients!$DR$78)))))*AN$8))/2000)</f>
        <v>0.1895058823612876</v>
      </c>
      <c r="AO259" s="227">
        <f>((SUMPRODUCT(AO$9:AO$229,Nutrients!$DR$8:$DR$228)+(IF($A$7=Nutrients!$B$8,Nutrients!$DR$8,Nutrients!$DR$9)*AO$7)+(((IF($A$8=Nutrients!$B$79,Nutrients!$DR$79,(IF($A$8=Nutrients!$B$77,Nutrients!$DR$77,Nutrients!$DR$78)))))*AO$8))/2000)</f>
        <v>0.18278496498648283</v>
      </c>
      <c r="AP259" s="227">
        <f>((SUMPRODUCT(AP$9:AP$229,Nutrients!$DR$8:$DR$228)+(IF($A$7=Nutrients!$B$8,Nutrients!$DR$8,Nutrients!$DR$9)*AP$7)+(((IF($A$8=Nutrients!$B$79,Nutrients!$DR$79,(IF($A$8=Nutrients!$B$77,Nutrients!$DR$77,Nutrients!$DR$78)))))*AP$8))/2000)</f>
        <v>0.15287313523350393</v>
      </c>
      <c r="AR259" s="227">
        <f>((SUMPRODUCT(AR$9:AR$229,Nutrients!$DR$8:$DR$228)+(IF($A$7=Nutrients!$B$8,Nutrients!$DR$8,Nutrients!$DR$9)*AR$7)+(((IF($A$8=Nutrients!$B$79,Nutrients!$DR$79,(IF($A$8=Nutrients!$B$77,Nutrients!$DR$77,Nutrients!$DR$78)))))*AR$8))/2000)</f>
        <v>0.28910227622777618</v>
      </c>
      <c r="AS259" s="227">
        <f>((SUMPRODUCT(AS$9:AS$229,Nutrients!$DR$8:$DR$228)+(IF($A$7=Nutrients!$B$8,Nutrients!$DR$8,Nutrients!$DR$9)*AS$7)+(((IF($A$8=Nutrients!$B$79,Nutrients!$DR$79,(IF($A$8=Nutrients!$B$77,Nutrients!$DR$77,Nutrients!$DR$78)))))*AS$8))/2000)</f>
        <v>0.24956706591016301</v>
      </c>
      <c r="AT259" s="227">
        <f>((SUMPRODUCT(AT$9:AT$229,Nutrients!$DR$8:$DR$228)+(IF($A$7=Nutrients!$B$8,Nutrients!$DR$8,Nutrients!$DR$9)*AT$7)+(((IF($A$8=Nutrients!$B$79,Nutrients!$DR$79,(IF($A$8=Nutrients!$B$77,Nutrients!$DR$77,Nutrients!$DR$78)))))*AT$8))/2000)</f>
        <v>0.21173528142680961</v>
      </c>
      <c r="AU259" s="227">
        <f>((SUMPRODUCT(AU$9:AU$229,Nutrients!$DR$8:$DR$228)+(IF($A$7=Nutrients!$B$8,Nutrients!$DR$8,Nutrients!$DR$9)*AU$7)+(((IF($A$8=Nutrients!$B$79,Nutrients!$DR$79,(IF($A$8=Nutrients!$B$77,Nutrients!$DR$77,Nutrients!$DR$78)))))*AU$8))/2000)</f>
        <v>0.20162388681282672</v>
      </c>
      <c r="AV259" s="227">
        <f>((SUMPRODUCT(AV$9:AV$229,Nutrients!$DR$8:$DR$228)+(IF($A$7=Nutrients!$B$8,Nutrients!$DR$8,Nutrients!$DR$9)*AV$7)+(((IF($A$8=Nutrients!$B$79,Nutrients!$DR$79,(IF($A$8=Nutrients!$B$77,Nutrients!$DR$77,Nutrients!$DR$78)))))*AV$8))/2000)</f>
        <v>0.19490123439834847</v>
      </c>
      <c r="AW259" s="227">
        <f>((SUMPRODUCT(AW$9:AW$229,Nutrients!$DR$8:$DR$228)+(IF($A$7=Nutrients!$B$8,Nutrients!$DR$8,Nutrients!$DR$9)*AW$7)+(((IF($A$8=Nutrients!$B$79,Nutrients!$DR$79,(IF($A$8=Nutrients!$B$77,Nutrients!$DR$77,Nutrients!$DR$78)))))*AW$8))/2000)</f>
        <v>0.15287313523350393</v>
      </c>
    </row>
    <row r="260" spans="1:59" x14ac:dyDescent="0.25">
      <c r="A260" s="15" t="s">
        <v>347</v>
      </c>
      <c r="B260" s="227">
        <f t="shared" ref="B260:G260" si="58">B259+0.11</f>
        <v>0.39998961246592624</v>
      </c>
      <c r="C260" s="227">
        <f t="shared" si="58"/>
        <v>0.36045553392749996</v>
      </c>
      <c r="D260" s="227">
        <f t="shared" si="58"/>
        <v>0.32159356316179677</v>
      </c>
      <c r="E260" s="227">
        <f t="shared" si="58"/>
        <v>0.2928995518736846</v>
      </c>
      <c r="F260" s="227">
        <f t="shared" si="58"/>
        <v>0.27219699119534685</v>
      </c>
      <c r="G260" s="227">
        <f t="shared" si="58"/>
        <v>0.26287313523350392</v>
      </c>
      <c r="H260" s="227"/>
      <c r="I260" s="232">
        <f t="shared" ref="I260:N260" si="59">I259+0.11</f>
        <v>0.40063539005684462</v>
      </c>
      <c r="J260" s="232">
        <f t="shared" si="59"/>
        <v>0.3610967029969343</v>
      </c>
      <c r="K260" s="232">
        <f t="shared" si="59"/>
        <v>0.31997607129447792</v>
      </c>
      <c r="L260" s="232">
        <f t="shared" si="59"/>
        <v>0.29074246472987031</v>
      </c>
      <c r="M260" s="232">
        <f t="shared" si="59"/>
        <v>0.27114825179142094</v>
      </c>
      <c r="N260" s="232">
        <f t="shared" si="59"/>
        <v>0.26287313523350392</v>
      </c>
      <c r="O260" s="238"/>
      <c r="P260" s="232">
        <f t="shared" ref="P260:U260" si="60">P259+0.11</f>
        <v>0.40033124916612572</v>
      </c>
      <c r="Q260" s="232">
        <f t="shared" si="60"/>
        <v>0.36079124712763638</v>
      </c>
      <c r="R260" s="232">
        <f t="shared" si="60"/>
        <v>0.31966863060366835</v>
      </c>
      <c r="S260" s="232">
        <f t="shared" si="60"/>
        <v>0.29043580473363323</v>
      </c>
      <c r="T260" s="232">
        <f t="shared" si="60"/>
        <v>0.27083964513914444</v>
      </c>
      <c r="U260" s="232">
        <f t="shared" si="60"/>
        <v>0.26287313523350392</v>
      </c>
      <c r="V260" s="382"/>
      <c r="W260" s="232">
        <f t="shared" ref="W260:AB260" si="61">W259+0.11</f>
        <v>0.40002607080923325</v>
      </c>
      <c r="X260" s="232">
        <f t="shared" si="61"/>
        <v>0.36048454605647995</v>
      </c>
      <c r="Y260" s="232">
        <f t="shared" si="61"/>
        <v>0.31936416204908241</v>
      </c>
      <c r="Z260" s="232">
        <f t="shared" si="61"/>
        <v>0.29013278512287216</v>
      </c>
      <c r="AA260" s="232">
        <f t="shared" si="61"/>
        <v>0.27052859516000721</v>
      </c>
      <c r="AB260" s="232">
        <f t="shared" si="61"/>
        <v>0.26287313523350392</v>
      </c>
      <c r="AC260" s="382"/>
      <c r="AD260" s="232">
        <f t="shared" ref="AD260:AI260" si="62">AD259+0.11</f>
        <v>0.39971961913239179</v>
      </c>
      <c r="AE260" s="232">
        <f t="shared" si="62"/>
        <v>0.36017865566664525</v>
      </c>
      <c r="AF260" s="232">
        <f t="shared" si="62"/>
        <v>0.3190629401524297</v>
      </c>
      <c r="AG260" s="232">
        <f t="shared" si="62"/>
        <v>0.28981958997954943</v>
      </c>
      <c r="AH260" s="232">
        <f t="shared" si="62"/>
        <v>0.28066723224046242</v>
      </c>
      <c r="AI260" s="232">
        <f t="shared" si="62"/>
        <v>0.26287313523350392</v>
      </c>
      <c r="AJ260" s="382"/>
      <c r="AK260" s="232">
        <f t="shared" ref="AK260:AP260" si="63">AK259+0.11</f>
        <v>0.39940423361449767</v>
      </c>
      <c r="AL260" s="232">
        <f t="shared" si="63"/>
        <v>0.35987289711172082</v>
      </c>
      <c r="AM260" s="232">
        <f t="shared" si="63"/>
        <v>0.31875205551292407</v>
      </c>
      <c r="AN260" s="232">
        <f t="shared" si="63"/>
        <v>0.29950588236128761</v>
      </c>
      <c r="AO260" s="232">
        <f t="shared" si="63"/>
        <v>0.29278496498648282</v>
      </c>
      <c r="AP260" s="232">
        <f t="shared" si="63"/>
        <v>0.26287313523350392</v>
      </c>
      <c r="AQ260" s="382"/>
      <c r="AR260" s="232">
        <f t="shared" ref="AR260:AW260" si="64">AR259+0.11</f>
        <v>0.39910227622777616</v>
      </c>
      <c r="AS260" s="232">
        <f t="shared" si="64"/>
        <v>0.35956706591016302</v>
      </c>
      <c r="AT260" s="232">
        <f t="shared" si="64"/>
        <v>0.32173528142680963</v>
      </c>
      <c r="AU260" s="232">
        <f t="shared" si="64"/>
        <v>0.31162388681282671</v>
      </c>
      <c r="AV260" s="232">
        <f t="shared" si="64"/>
        <v>0.30490123439834849</v>
      </c>
      <c r="AW260" s="232">
        <f t="shared" si="64"/>
        <v>0.26287313523350392</v>
      </c>
      <c r="AX260" s="332"/>
    </row>
    <row r="261" spans="1:59" x14ac:dyDescent="0.25">
      <c r="A261" s="34" t="s">
        <v>142</v>
      </c>
      <c r="B261" s="227">
        <f t="shared" ref="B261:G261" si="65">B254/B255</f>
        <v>1.3017138684764227</v>
      </c>
      <c r="C261" s="227">
        <f t="shared" si="65"/>
        <v>1.3021894221424188</v>
      </c>
      <c r="D261" s="227">
        <f t="shared" si="65"/>
        <v>1.3373095283032115</v>
      </c>
      <c r="E261" s="227">
        <f t="shared" si="65"/>
        <v>1.3415645597438779</v>
      </c>
      <c r="F261" s="227">
        <f t="shared" si="65"/>
        <v>1.3249751835185248</v>
      </c>
      <c r="G261" s="227">
        <f t="shared" si="65"/>
        <v>1.3266649538806439</v>
      </c>
      <c r="H261" s="227"/>
      <c r="I261" s="232">
        <f t="shared" ref="I261:N261" si="66">I254/I255</f>
        <v>1.3035373793667819</v>
      </c>
      <c r="J261" s="232">
        <f t="shared" si="66"/>
        <v>1.3057816051169919</v>
      </c>
      <c r="K261" s="232">
        <f t="shared" si="66"/>
        <v>1.3413429570053543</v>
      </c>
      <c r="L261" s="232">
        <f t="shared" si="66"/>
        <v>1.3427101194906674</v>
      </c>
      <c r="M261" s="232">
        <f t="shared" si="66"/>
        <v>1.3275661168740231</v>
      </c>
      <c r="N261" s="232">
        <f t="shared" si="66"/>
        <v>1.3266649538806439</v>
      </c>
      <c r="O261" s="238"/>
      <c r="P261" s="232">
        <f t="shared" ref="P261:U261" si="67">P254/P255</f>
        <v>1.30624373983498</v>
      </c>
      <c r="Q261" s="232">
        <f t="shared" si="67"/>
        <v>1.3088072492290455</v>
      </c>
      <c r="R261" s="232">
        <f t="shared" si="67"/>
        <v>1.3448772608278659</v>
      </c>
      <c r="S261" s="232">
        <f t="shared" si="67"/>
        <v>1.3466000091149726</v>
      </c>
      <c r="T261" s="232">
        <f t="shared" si="67"/>
        <v>1.3317113255983364</v>
      </c>
      <c r="U261" s="232">
        <f t="shared" si="67"/>
        <v>1.3266649538806439</v>
      </c>
      <c r="V261" s="382"/>
      <c r="W261" s="232">
        <f t="shared" ref="W261:AB261" si="68">W254/W255</f>
        <v>1.3089711851814325</v>
      </c>
      <c r="X261" s="232">
        <f t="shared" si="68"/>
        <v>1.3118599486446652</v>
      </c>
      <c r="Y261" s="232">
        <f t="shared" si="68"/>
        <v>1.3465888892835964</v>
      </c>
      <c r="Z261" s="232">
        <f t="shared" si="68"/>
        <v>1.3484754424927274</v>
      </c>
      <c r="AA261" s="232">
        <f t="shared" si="68"/>
        <v>1.3337712039295542</v>
      </c>
      <c r="AB261" s="232">
        <f t="shared" si="68"/>
        <v>1.3266649538806439</v>
      </c>
      <c r="AC261" s="382"/>
      <c r="AD261" s="232">
        <f t="shared" ref="AD261:AI261" si="69">AD254/AD255</f>
        <v>1.3109969508789856</v>
      </c>
      <c r="AE261" s="232">
        <f t="shared" si="69"/>
        <v>1.3141152064639363</v>
      </c>
      <c r="AF261" s="232">
        <f t="shared" si="69"/>
        <v>1.3491853939261091</v>
      </c>
      <c r="AG261" s="232">
        <f t="shared" si="69"/>
        <v>1.3514831520307136</v>
      </c>
      <c r="AH261" s="232">
        <f t="shared" si="69"/>
        <v>1.346009901834416</v>
      </c>
      <c r="AI261" s="232">
        <f t="shared" si="69"/>
        <v>1.3266649538806439</v>
      </c>
      <c r="AJ261" s="382"/>
      <c r="AK261" s="232">
        <f t="shared" ref="AK261:AP261" si="70">AK254/AK255</f>
        <v>1.3127420298103183</v>
      </c>
      <c r="AL261" s="232">
        <f t="shared" si="70"/>
        <v>1.3159770014902363</v>
      </c>
      <c r="AM261" s="232">
        <f t="shared" si="70"/>
        <v>1.3514433137183299</v>
      </c>
      <c r="AN261" s="232">
        <f t="shared" si="70"/>
        <v>1.362000676020483</v>
      </c>
      <c r="AO261" s="232">
        <f t="shared" si="70"/>
        <v>1.3578996010096973</v>
      </c>
      <c r="AP261" s="232">
        <f t="shared" si="70"/>
        <v>1.3266649538806439</v>
      </c>
      <c r="AQ261" s="382"/>
      <c r="AR261" s="232">
        <f t="shared" ref="AR261:AW261" si="71">AR254/AR255</f>
        <v>1.3154779236355407</v>
      </c>
      <c r="AS261" s="232">
        <f t="shared" si="71"/>
        <v>1.3190648085728622</v>
      </c>
      <c r="AT261" s="232">
        <f t="shared" si="71"/>
        <v>1.3574925460813911</v>
      </c>
      <c r="AU261" s="232">
        <f t="shared" si="71"/>
        <v>1.3732712062672605</v>
      </c>
      <c r="AV261" s="232">
        <f t="shared" si="71"/>
        <v>1.3690396450906208</v>
      </c>
      <c r="AW261" s="232">
        <f t="shared" si="71"/>
        <v>1.3266649538806439</v>
      </c>
      <c r="AX261" s="332"/>
    </row>
    <row r="262" spans="1:59" x14ac:dyDescent="0.25">
      <c r="A262" s="34" t="s">
        <v>477</v>
      </c>
      <c r="B262" s="227">
        <f t="shared" ref="B262:G262" si="72">B254/B260</f>
        <v>1.7400120914159756</v>
      </c>
      <c r="C262" s="227">
        <f t="shared" si="72"/>
        <v>1.7384331182595809</v>
      </c>
      <c r="D262" s="227">
        <f t="shared" si="72"/>
        <v>1.7871189885452841</v>
      </c>
      <c r="E262" s="227">
        <f t="shared" si="72"/>
        <v>1.7907878953733971</v>
      </c>
      <c r="F262" s="227">
        <f t="shared" si="72"/>
        <v>1.7690318502967193</v>
      </c>
      <c r="G262" s="227">
        <f t="shared" si="72"/>
        <v>1.7699999245766229</v>
      </c>
      <c r="H262" s="227"/>
      <c r="I262" s="232">
        <f t="shared" ref="I262:N262" si="73">I254/I260</f>
        <v>1.7390947522525178</v>
      </c>
      <c r="J262" s="232">
        <f t="shared" si="73"/>
        <v>1.7394733945411514</v>
      </c>
      <c r="K262" s="232">
        <f t="shared" si="73"/>
        <v>1.7901536857091915</v>
      </c>
      <c r="L262" s="232">
        <f t="shared" si="73"/>
        <v>1.7903324404732424</v>
      </c>
      <c r="M262" s="232">
        <f t="shared" si="73"/>
        <v>1.7692012645478592</v>
      </c>
      <c r="N262" s="232">
        <f t="shared" si="73"/>
        <v>1.7699999245766229</v>
      </c>
      <c r="O262" s="238"/>
      <c r="P262" s="232">
        <f t="shared" ref="P262:U262" si="74">P254/P260</f>
        <v>1.7399665476584543</v>
      </c>
      <c r="Q262" s="232">
        <f t="shared" si="74"/>
        <v>1.7404475706682694</v>
      </c>
      <c r="R262" s="232">
        <f t="shared" si="74"/>
        <v>1.7913130289733596</v>
      </c>
      <c r="S262" s="232">
        <f t="shared" si="74"/>
        <v>1.7916037179209594</v>
      </c>
      <c r="T262" s="232">
        <f t="shared" si="74"/>
        <v>1.7705536672772642</v>
      </c>
      <c r="U262" s="232">
        <f t="shared" si="74"/>
        <v>1.7699999245766229</v>
      </c>
      <c r="V262" s="382"/>
      <c r="W262" s="232">
        <f t="shared" ref="W262:AB262" si="75">W254/W260</f>
        <v>1.7408443112740986</v>
      </c>
      <c r="X262" s="232">
        <f t="shared" si="75"/>
        <v>1.7414295831001108</v>
      </c>
      <c r="Y262" s="232">
        <f t="shared" si="75"/>
        <v>1.7900464239206151</v>
      </c>
      <c r="Z262" s="232">
        <f t="shared" si="75"/>
        <v>1.7902006119957432</v>
      </c>
      <c r="AA262" s="232">
        <f t="shared" si="75"/>
        <v>1.7690793239772846</v>
      </c>
      <c r="AB262" s="232">
        <f t="shared" si="75"/>
        <v>1.7699999245766229</v>
      </c>
      <c r="AC262" s="382"/>
      <c r="AD262" s="232">
        <f t="shared" ref="AD262:AI262" si="76">AD254/AD260</f>
        <v>1.7407659452194344</v>
      </c>
      <c r="AE262" s="232">
        <f t="shared" si="76"/>
        <v>1.7413403213708134</v>
      </c>
      <c r="AF262" s="232">
        <f t="shared" si="76"/>
        <v>1.789965357076617</v>
      </c>
      <c r="AG262" s="232">
        <f t="shared" si="76"/>
        <v>1.7901875178321547</v>
      </c>
      <c r="AH262" s="232">
        <f t="shared" si="76"/>
        <v>1.770694657226239</v>
      </c>
      <c r="AI262" s="232">
        <f t="shared" si="76"/>
        <v>1.7699999245766229</v>
      </c>
      <c r="AJ262" s="382"/>
      <c r="AK262" s="232">
        <f t="shared" ref="AK262:AP262" si="77">AK254/AK260</f>
        <v>1.7402455279351765</v>
      </c>
      <c r="AL262" s="232">
        <f t="shared" si="77"/>
        <v>1.7407153408948701</v>
      </c>
      <c r="AM262" s="232">
        <f t="shared" si="77"/>
        <v>1.7893359709894476</v>
      </c>
      <c r="AN262" s="232">
        <f t="shared" si="77"/>
        <v>1.7908219341310927</v>
      </c>
      <c r="AO262" s="232">
        <f t="shared" si="77"/>
        <v>1.7708321564321812</v>
      </c>
      <c r="AP262" s="232">
        <f t="shared" si="77"/>
        <v>1.7699999245766229</v>
      </c>
      <c r="AQ262" s="382"/>
      <c r="AR262" s="232">
        <f t="shared" ref="AR262:AW262" si="78">AR254/AR260</f>
        <v>1.741111094535474</v>
      </c>
      <c r="AS262" s="232">
        <f t="shared" si="78"/>
        <v>1.7416957571781251</v>
      </c>
      <c r="AT262" s="232">
        <f t="shared" si="78"/>
        <v>1.7909173672144312</v>
      </c>
      <c r="AU262" s="232">
        <f t="shared" si="78"/>
        <v>1.7909482663247864</v>
      </c>
      <c r="AV262" s="232">
        <f t="shared" si="78"/>
        <v>1.7709585954998401</v>
      </c>
      <c r="AW262" s="232">
        <f t="shared" si="78"/>
        <v>1.7699999245766229</v>
      </c>
      <c r="AX262" s="332"/>
    </row>
    <row r="263" spans="1:59" x14ac:dyDescent="0.25">
      <c r="A263" t="s">
        <v>20</v>
      </c>
      <c r="B263" s="24">
        <f>(SUMPRODUCT(B$9:B$229,Nutrients!$DX$8:$DX$228)+(IF($A$7=Nutrients!$B$8,Nutrients!$DX$8,Nutrients!$DX$9)*B$7)+(((IF($A$8=Nutrients!$B$79,Nutrients!$DX$79,(IF($A$8=Nutrients!$B$77,Nutrients!$DX$77,Nutrients!$DX$78)))))*B$8))</f>
        <v>219.06090724554412</v>
      </c>
      <c r="C263" s="24">
        <f>(SUMPRODUCT(C$9:C$229,Nutrients!$DX$8:$DX$228)+(IF($A$7=Nutrients!$B$8,Nutrients!$DX$8,Nutrients!$DX$9)*C$7)+(((IF($A$8=Nutrients!$B$79,Nutrients!$DX$79,(IF($A$8=Nutrients!$B$77,Nutrients!$DX$77,Nutrients!$DX$78)))))*C$8))</f>
        <v>210.20700601537649</v>
      </c>
      <c r="D263" s="24">
        <f>(SUMPRODUCT(D$9:D$229,Nutrients!$DX$8:$DX$228)+(IF($A$7=Nutrients!$B$8,Nutrients!$DX$8,Nutrients!$DX$9)*D$7)+(((IF($A$8=Nutrients!$B$79,Nutrients!$DX$79,(IF($A$8=Nutrients!$B$77,Nutrients!$DX$77,Nutrients!$DX$78)))))*D$8))</f>
        <v>201.64110105420281</v>
      </c>
      <c r="E263" s="24">
        <f>(SUMPRODUCT(E$9:E$229,Nutrients!$DX$8:$DX$228)+(IF($A$7=Nutrients!$B$8,Nutrients!$DX$8,Nutrients!$DX$9)*E$7)+(((IF($A$8=Nutrients!$B$79,Nutrients!$DX$79,(IF($A$8=Nutrients!$B$77,Nutrients!$DX$77,Nutrients!$DX$78)))))*E$8))</f>
        <v>194.82283976807454</v>
      </c>
      <c r="F263" s="24">
        <f>(SUMPRODUCT(F$9:F$229,Nutrients!$DX$8:$DX$228)+(IF($A$7=Nutrients!$B$8,Nutrients!$DX$8,Nutrients!$DX$9)*F$7)+(((IF($A$8=Nutrients!$B$79,Nutrients!$DX$79,(IF($A$8=Nutrients!$B$77,Nutrients!$DX$77,Nutrients!$DX$78)))))*F$8))</f>
        <v>189.69608954240206</v>
      </c>
      <c r="G263" s="24">
        <f>(SUMPRODUCT(G$9:G$229,Nutrients!$DX$8:$DX$228)+(IF($A$7=Nutrients!$B$8,Nutrients!$DX$8,Nutrients!$DX$9)*G$7)+(((IF($A$8=Nutrients!$B$79,Nutrients!$DX$79,(IF($A$8=Nutrients!$B$77,Nutrients!$DX$77,Nutrients!$DX$78)))))*G$8))</f>
        <v>187.52702006837634</v>
      </c>
      <c r="H263" s="229"/>
      <c r="I263" s="24">
        <f>(SUMPRODUCT(I$9:I$229,Nutrients!$DX$8:$DX$228)+(IF($A$7=Nutrients!$B$8,Nutrients!$DX$8,Nutrients!$DX$9)*I$7)+(((IF($A$8=Nutrients!$B$79,Nutrients!$DX$79,(IF($A$8=Nutrients!$B$77,Nutrients!$DX$77,Nutrients!$DX$78)))))*I$8))</f>
        <v>221.12341011021954</v>
      </c>
      <c r="J263" s="24">
        <f>(SUMPRODUCT(J$9:J$229,Nutrients!$DX$8:$DX$228)+(IF($A$7=Nutrients!$B$8,Nutrients!$DX$8,Nutrients!$DX$9)*J$7)+(((IF($A$8=Nutrients!$B$79,Nutrients!$DX$79,(IF($A$8=Nutrients!$B$77,Nutrients!$DX$77,Nutrients!$DX$78)))))*J$8))</f>
        <v>212.29854094844274</v>
      </c>
      <c r="K263" s="24">
        <f>(SUMPRODUCT(K$9:K$229,Nutrients!$DX$8:$DX$228)+(IF($A$7=Nutrients!$B$8,Nutrients!$DX$8,Nutrients!$DX$9)*K$7)+(((IF($A$8=Nutrients!$B$79,Nutrients!$DX$79,(IF($A$8=Nutrients!$B$77,Nutrients!$DX$77,Nutrients!$DX$78)))))*K$8))</f>
        <v>203.69694872551875</v>
      </c>
      <c r="L263" s="24">
        <f>(SUMPRODUCT(L$9:L$229,Nutrients!$DX$8:$DX$228)+(IF($A$7=Nutrients!$B$8,Nutrients!$DX$8,Nutrients!$DX$9)*L$7)+(((IF($A$8=Nutrients!$B$79,Nutrients!$DX$79,(IF($A$8=Nutrients!$B$77,Nutrients!$DX$77,Nutrients!$DX$78)))))*L$8))</f>
        <v>196.79554869619744</v>
      </c>
      <c r="M263" s="24">
        <f>(SUMPRODUCT(M$9:M$229,Nutrients!$DX$8:$DX$228)+(IF($A$7=Nutrients!$B$8,Nutrients!$DX$8,Nutrients!$DX$9)*M$7)+(((IF($A$8=Nutrients!$B$79,Nutrients!$DX$79,(IF($A$8=Nutrients!$B$77,Nutrients!$DX$77,Nutrients!$DX$78)))))*M$8))</f>
        <v>191.72160983318818</v>
      </c>
      <c r="N263" s="24">
        <f>(SUMPRODUCT(N$9:N$229,Nutrients!$DX$8:$DX$228)+(IF($A$7=Nutrients!$B$8,Nutrients!$DX$8,Nutrients!$DX$9)*N$7)+(((IF($A$8=Nutrients!$B$79,Nutrients!$DX$79,(IF($A$8=Nutrients!$B$77,Nutrients!$DX$77,Nutrients!$DX$78)))))*N$8))</f>
        <v>187.52702006837634</v>
      </c>
      <c r="O263" s="236"/>
      <c r="P263" s="24">
        <f>(SUMPRODUCT(P$9:P$229,Nutrients!$DX$8:$DX$228)+(IF($A$7=Nutrients!$B$8,Nutrients!$DX$8,Nutrients!$DX$9)*P$7)+(((IF($A$8=Nutrients!$B$79,Nutrients!$DX$79,(IF($A$8=Nutrients!$B$77,Nutrients!$DX$77,Nutrients!$DX$78)))))*P$8))</f>
        <v>223.23155012037256</v>
      </c>
      <c r="Q263" s="24">
        <f>(SUMPRODUCT(Q$9:Q$229,Nutrients!$DX$8:$DX$228)+(IF($A$7=Nutrients!$B$8,Nutrients!$DX$8,Nutrients!$DX$9)*Q$7)+(((IF($A$8=Nutrients!$B$79,Nutrients!$DX$79,(IF($A$8=Nutrients!$B$77,Nutrients!$DX$77,Nutrients!$DX$78)))))*Q$8))</f>
        <v>214.41900462645975</v>
      </c>
      <c r="R263" s="24">
        <f>(SUMPRODUCT(R$9:R$229,Nutrients!$DX$8:$DX$228)+(IF($A$7=Nutrients!$B$8,Nutrients!$DX$8,Nutrients!$DX$9)*R$7)+(((IF($A$8=Nutrients!$B$79,Nutrients!$DX$79,(IF($A$8=Nutrients!$B$77,Nutrients!$DX$77,Nutrients!$DX$78)))))*R$8))</f>
        <v>205.83601368074918</v>
      </c>
      <c r="S263" s="24">
        <f>(SUMPRODUCT(S$9:S$229,Nutrients!$DX$8:$DX$228)+(IF($A$7=Nutrients!$B$8,Nutrients!$DX$8,Nutrients!$DX$9)*S$7)+(((IF($A$8=Nutrients!$B$79,Nutrients!$DX$79,(IF($A$8=Nutrients!$B$77,Nutrients!$DX$77,Nutrients!$DX$78)))))*S$8))</f>
        <v>198.92729716675862</v>
      </c>
      <c r="T263" s="24">
        <f>(SUMPRODUCT(T$9:T$229,Nutrients!$DX$8:$DX$228)+(IF($A$7=Nutrients!$B$8,Nutrients!$DX$8,Nutrients!$DX$9)*T$7)+(((IF($A$8=Nutrients!$B$79,Nutrients!$DX$79,(IF($A$8=Nutrients!$B$77,Nutrients!$DX$77,Nutrients!$DX$78)))))*T$8))</f>
        <v>193.93421060165059</v>
      </c>
      <c r="U263" s="24">
        <f>(SUMPRODUCT(U$9:U$229,Nutrients!$DX$8:$DX$228)+(IF($A$7=Nutrients!$B$8,Nutrients!$DX$8,Nutrients!$DX$9)*U$7)+(((IF($A$8=Nutrients!$B$79,Nutrients!$DX$79,(IF($A$8=Nutrients!$B$77,Nutrients!$DX$77,Nutrients!$DX$78)))))*U$8))</f>
        <v>187.52702006837634</v>
      </c>
      <c r="W263" s="24">
        <f>(SUMPRODUCT(W$9:W$229,Nutrients!$DX$8:$DX$228)+(IF($A$7=Nutrients!$B$8,Nutrients!$DX$8,Nutrients!$DX$9)*W$7)+(((IF($A$8=Nutrients!$B$79,Nutrients!$DX$79,(IF($A$8=Nutrients!$B$77,Nutrients!$DX$77,Nutrients!$DX$78)))))*W$8))</f>
        <v>225.34941301783888</v>
      </c>
      <c r="X263" s="24">
        <f>(SUMPRODUCT(X$9:X$229,Nutrients!$DX$8:$DX$228)+(IF($A$7=Nutrients!$B$8,Nutrients!$DX$8,Nutrients!$DX$9)*X$7)+(((IF($A$8=Nutrients!$B$79,Nutrients!$DX$79,(IF($A$8=Nutrients!$B$77,Nutrients!$DX$77,Nutrients!$DX$78)))))*X$8))</f>
        <v>216.55113804143812</v>
      </c>
      <c r="Y263" s="24">
        <f>(SUMPRODUCT(Y$9:Y$229,Nutrients!$DX$8:$DX$228)+(IF($A$7=Nutrients!$B$8,Nutrients!$DX$8,Nutrients!$DX$9)*Y$7)+(((IF($A$8=Nutrients!$B$79,Nutrients!$DX$79,(IF($A$8=Nutrients!$B$77,Nutrients!$DX$77,Nutrients!$DX$78)))))*Y$8))</f>
        <v>207.9614844790747</v>
      </c>
      <c r="Z263" s="24">
        <f>(SUMPRODUCT(Z$9:Z$229,Nutrients!$DX$8:$DX$228)+(IF($A$7=Nutrients!$B$8,Nutrients!$DX$8,Nutrients!$DX$9)*Z$7)+(((IF($A$8=Nutrients!$B$79,Nutrients!$DX$79,(IF($A$8=Nutrients!$B$77,Nutrients!$DX$77,Nutrients!$DX$78)))))*Z$8))</f>
        <v>200.96333027121486</v>
      </c>
      <c r="AA263" s="24">
        <f>(SUMPRODUCT(AA$9:AA$229,Nutrients!$DX$8:$DX$228)+(IF($A$7=Nutrients!$B$8,Nutrients!$DX$8,Nutrients!$DX$9)*AA$7)+(((IF($A$8=Nutrients!$B$79,Nutrients!$DX$79,(IF($A$8=Nutrients!$B$77,Nutrients!$DX$77,Nutrients!$DX$78)))))*AA$8))</f>
        <v>196.26586095243016</v>
      </c>
      <c r="AB263" s="24">
        <f>(SUMPRODUCT(AB$9:AB$229,Nutrients!$DX$8:$DX$228)+(IF($A$7=Nutrients!$B$8,Nutrients!$DX$8,Nutrients!$DX$9)*AB$7)+(((IF($A$8=Nutrients!$B$79,Nutrients!$DX$79,(IF($A$8=Nutrients!$B$77,Nutrients!$DX$77,Nutrients!$DX$78)))))*AB$8))</f>
        <v>187.52702006837634</v>
      </c>
      <c r="AD263" s="24">
        <f>(SUMPRODUCT(AD$9:AD$229,Nutrients!$DX$8:$DX$228)+(IF($A$7=Nutrients!$B$8,Nutrients!$DX$8,Nutrients!$DX$9)*AD$7)+(((IF($A$8=Nutrients!$B$79,Nutrients!$DX$79,(IF($A$8=Nutrients!$B$77,Nutrients!$DX$77,Nutrients!$DX$78)))))*AD$8))</f>
        <v>227.48633916835263</v>
      </c>
      <c r="AE263" s="24">
        <f>(SUMPRODUCT(AE$9:AE$229,Nutrients!$DX$8:$DX$228)+(IF($A$7=Nutrients!$B$8,Nutrients!$DX$8,Nutrients!$DX$9)*AE$7)+(((IF($A$8=Nutrients!$B$79,Nutrients!$DX$79,(IF($A$8=Nutrients!$B$77,Nutrients!$DX$77,Nutrients!$DX$78)))))*AE$8))</f>
        <v>218.68280394303346</v>
      </c>
      <c r="AF263" s="24">
        <f>(SUMPRODUCT(AF$9:AF$229,Nutrients!$DX$8:$DX$228)+(IF($A$7=Nutrients!$B$8,Nutrients!$DX$8,Nutrients!$DX$9)*AF$7)+(((IF($A$8=Nutrients!$B$79,Nutrients!$DX$79,(IF($A$8=Nutrients!$B$77,Nutrients!$DX$77,Nutrients!$DX$78)))))*AF$8))</f>
        <v>209.843696131456</v>
      </c>
      <c r="AG263" s="24">
        <f>(SUMPRODUCT(AG$9:AG$229,Nutrients!$DX$8:$DX$228)+(IF($A$7=Nutrients!$B$8,Nutrients!$DX$8,Nutrients!$DX$9)*AG$7)+(((IF($A$8=Nutrients!$B$79,Nutrients!$DX$79,(IF($A$8=Nutrients!$B$77,Nutrients!$DX$77,Nutrients!$DX$78)))))*AG$8))</f>
        <v>203.30795459277886</v>
      </c>
      <c r="AH263" s="24">
        <f>(SUMPRODUCT(AH$9:AH$229,Nutrients!$DX$8:$DX$228)+(IF($A$7=Nutrients!$B$8,Nutrients!$DX$8,Nutrients!$DX$9)*AH$7)+(((IF($A$8=Nutrients!$B$79,Nutrients!$DX$79,(IF($A$8=Nutrients!$B$77,Nutrients!$DX$77,Nutrients!$DX$78)))))*AH$8))</f>
        <v>199.06270951004774</v>
      </c>
      <c r="AI263" s="24">
        <f>(SUMPRODUCT(AI$9:AI$229,Nutrients!$DX$8:$DX$228)+(IF($A$7=Nutrients!$B$8,Nutrients!$DX$8,Nutrients!$DX$9)*AI$7)+(((IF($A$8=Nutrients!$B$79,Nutrients!$DX$79,(IF($A$8=Nutrients!$B$77,Nutrients!$DX$77,Nutrients!$DX$78)))))*AI$8))</f>
        <v>187.52702006837634</v>
      </c>
      <c r="AK263" s="24">
        <f>(SUMPRODUCT(AK$9:AK$229,Nutrients!$DX$8:$DX$228)+(IF($A$7=Nutrients!$B$8,Nutrients!$DX$8,Nutrients!$DX$9)*AK$7)+(((IF($A$8=Nutrients!$B$79,Nutrients!$DX$79,(IF($A$8=Nutrients!$B$77,Nutrients!$DX$77,Nutrients!$DX$78)))))*AK$8))</f>
        <v>229.71055616173334</v>
      </c>
      <c r="AL263" s="24">
        <f>(SUMPRODUCT(AL$9:AL$229,Nutrients!$DX$8:$DX$228)+(IF($A$7=Nutrients!$B$8,Nutrients!$DX$8,Nutrients!$DX$9)*AL$7)+(((IF($A$8=Nutrients!$B$79,Nutrients!$DX$79,(IF($A$8=Nutrients!$B$77,Nutrients!$DX$77,Nutrients!$DX$78)))))*AL$8))</f>
        <v>220.81679931906831</v>
      </c>
      <c r="AM263" s="24">
        <f>(SUMPRODUCT(AM$9:AM$229,Nutrients!$DX$8:$DX$228)+(IF($A$7=Nutrients!$B$8,Nutrients!$DX$8,Nutrients!$DX$9)*AM$7)+(((IF($A$8=Nutrients!$B$79,Nutrients!$DX$79,(IF($A$8=Nutrients!$B$77,Nutrients!$DX$77,Nutrients!$DX$78)))))*AM$8))</f>
        <v>212.17023195836035</v>
      </c>
      <c r="AN263" s="24">
        <f>(SUMPRODUCT(AN$9:AN$229,Nutrients!$DX$8:$DX$228)+(IF($A$7=Nutrients!$B$8,Nutrients!$DX$8,Nutrients!$DX$9)*AN$7)+(((IF($A$8=Nutrients!$B$79,Nutrients!$DX$79,(IF($A$8=Nutrients!$B$77,Nutrients!$DX$77,Nutrients!$DX$78)))))*AN$8))</f>
        <v>206.01965830470911</v>
      </c>
      <c r="AO263" s="24">
        <f>(SUMPRODUCT(AO$9:AO$229,Nutrients!$DX$8:$DX$228)+(IF($A$7=Nutrients!$B$8,Nutrients!$DX$8,Nutrients!$DX$9)*AO$7)+(((IF($A$8=Nutrients!$B$79,Nutrients!$DX$79,(IF($A$8=Nutrients!$B$77,Nutrients!$DX$77,Nutrients!$DX$78)))))*AO$8))</f>
        <v>201.9606867839482</v>
      </c>
      <c r="AP263" s="24">
        <f>(SUMPRODUCT(AP$9:AP$229,Nutrients!$DX$8:$DX$228)+(IF($A$7=Nutrients!$B$8,Nutrients!$DX$8,Nutrients!$DX$9)*AP$7)+(((IF($A$8=Nutrients!$B$79,Nutrients!$DX$79,(IF($A$8=Nutrients!$B$77,Nutrients!$DX$77,Nutrients!$DX$78)))))*AP$8))</f>
        <v>187.52702006837634</v>
      </c>
      <c r="AR263" s="24">
        <f>(SUMPRODUCT(AR$9:AR$229,Nutrients!$DX$8:$DX$228)+(IF($A$7=Nutrients!$B$8,Nutrients!$DX$8,Nutrients!$DX$9)*AR$7)+(((IF($A$8=Nutrients!$B$79,Nutrients!$DX$79,(IF($A$8=Nutrients!$B$77,Nutrients!$DX$77,Nutrients!$DX$78)))))*AR$8))</f>
        <v>231.66117750955806</v>
      </c>
      <c r="AS263" s="24">
        <f>(SUMPRODUCT(AS$9:AS$229,Nutrients!$DX$8:$DX$228)+(IF($A$7=Nutrients!$B$8,Nutrients!$DX$8,Nutrients!$DX$9)*AS$7)+(((IF($A$8=Nutrients!$B$79,Nutrients!$DX$79,(IF($A$8=Nutrients!$B$77,Nutrients!$DX$77,Nutrients!$DX$78)))))*AS$8))</f>
        <v>222.80373013763227</v>
      </c>
      <c r="AT263" s="24">
        <f>(SUMPRODUCT(AT$9:AT$229,Nutrients!$DX$8:$DX$228)+(IF($A$7=Nutrients!$B$8,Nutrients!$DX$8,Nutrients!$DX$9)*AT$7)+(((IF($A$8=Nutrients!$B$79,Nutrients!$DX$79,(IF($A$8=Nutrients!$B$77,Nutrients!$DX$77,Nutrients!$DX$78)))))*AT$8))</f>
        <v>214.45712763674561</v>
      </c>
      <c r="AU263" s="24">
        <f>(SUMPRODUCT(AU$9:AU$229,Nutrients!$DX$8:$DX$228)+(IF($A$7=Nutrients!$B$8,Nutrients!$DX$8,Nutrients!$DX$9)*AU$7)+(((IF($A$8=Nutrients!$B$79,Nutrients!$DX$79,(IF($A$8=Nutrients!$B$77,Nutrients!$DX$77,Nutrients!$DX$78)))))*AU$8))</f>
        <v>208.8931643521492</v>
      </c>
      <c r="AV263" s="24">
        <f>(SUMPRODUCT(AV$9:AV$229,Nutrients!$DX$8:$DX$228)+(IF($A$7=Nutrients!$B$8,Nutrients!$DX$8,Nutrients!$DX$9)*AV$7)+(((IF($A$8=Nutrients!$B$79,Nutrients!$DX$79,(IF($A$8=Nutrients!$B$77,Nutrients!$DX$77,Nutrients!$DX$78)))))*AV$8))</f>
        <v>205.00139313868357</v>
      </c>
      <c r="AW263" s="24">
        <f>(SUMPRODUCT(AW$9:AW$229,Nutrients!$DX$8:$DX$228)+(IF($A$7=Nutrients!$B$8,Nutrients!$DX$8,Nutrients!$DX$9)*AW$7)+(((IF($A$8=Nutrients!$B$79,Nutrients!$DX$79,(IF($A$8=Nutrients!$B$77,Nutrients!$DX$77,Nutrients!$DX$78)))))*AW$8))</f>
        <v>187.52702006837634</v>
      </c>
    </row>
    <row r="264" spans="1:59" x14ac:dyDescent="0.25">
      <c r="A264" t="s">
        <v>21</v>
      </c>
      <c r="B264" s="25">
        <f>IF(B$5="","",B263+Nutrients!$DV$5)</f>
        <v>231.06090724554412</v>
      </c>
      <c r="C264" s="25">
        <f>IF(C$5="","",C263+Nutrients!$DV$5)</f>
        <v>222.20700601537649</v>
      </c>
      <c r="D264" s="25">
        <f>IF(D$5="","",D263+Nutrients!$DV$5)</f>
        <v>213.64110105420281</v>
      </c>
      <c r="E264" s="25">
        <f>IF(E$5="","",E263+Nutrients!$DV$5)</f>
        <v>206.82283976807454</v>
      </c>
      <c r="F264" s="25">
        <f>IF(F$5="","",F263+Nutrients!$DV$5)</f>
        <v>201.69608954240206</v>
      </c>
      <c r="G264" s="25">
        <f>IF(G$5="","",G263+Nutrients!$DV$5)</f>
        <v>199.52702006837634</v>
      </c>
      <c r="H264" s="230"/>
      <c r="I264" s="25">
        <f>IF(I$5="","",I263+Nutrients!$DV$5)</f>
        <v>233.12341011021954</v>
      </c>
      <c r="J264" s="25">
        <f>IF(J$5="","",J263+Nutrients!$DV$5)</f>
        <v>224.29854094844274</v>
      </c>
      <c r="K264" s="25">
        <f>IF(K$5="","",K263+Nutrients!$DV$5)</f>
        <v>215.69694872551875</v>
      </c>
      <c r="L264" s="25">
        <f>IF(L$5="","",L263+Nutrients!$DV$5)</f>
        <v>208.79554869619744</v>
      </c>
      <c r="M264" s="25">
        <f>IF(M$5="","",M263+Nutrients!$DV$5)</f>
        <v>203.72160983318818</v>
      </c>
      <c r="N264" s="25">
        <f>IF(N$5="","",N263+Nutrients!$DV$5)</f>
        <v>199.52702006837634</v>
      </c>
      <c r="O264" s="199"/>
      <c r="P264" s="25">
        <f>IF(P$5="","",P263+Nutrients!$DV$5)</f>
        <v>235.23155012037256</v>
      </c>
      <c r="Q264" s="25">
        <f>IF(Q$5="","",Q263+Nutrients!$DV$5)</f>
        <v>226.41900462645975</v>
      </c>
      <c r="R264" s="25">
        <f>IF(R$5="","",R263+Nutrients!$DV$5)</f>
        <v>217.83601368074918</v>
      </c>
      <c r="S264" s="25">
        <f>IF(S$5="","",S263+Nutrients!$DV$5)</f>
        <v>210.92729716675862</v>
      </c>
      <c r="T264" s="25">
        <f>IF(T$5="","",T263+Nutrients!$DV$5)</f>
        <v>205.93421060165059</v>
      </c>
      <c r="U264" s="25">
        <f>IF(U$5="","",U263+Nutrients!$DV$5)</f>
        <v>199.52702006837634</v>
      </c>
      <c r="W264" s="25">
        <f>IF(W$5="","",W263+Nutrients!$DV$5)</f>
        <v>237.34941301783888</v>
      </c>
      <c r="X264" s="25">
        <f>IF(X$5="","",X263+Nutrients!$DV$5)</f>
        <v>228.55113804143812</v>
      </c>
      <c r="Y264" s="25">
        <f>IF(Y$5="","",Y263+Nutrients!$DV$5)</f>
        <v>219.9614844790747</v>
      </c>
      <c r="Z264" s="25">
        <f>IF(Z$5="","",Z263+Nutrients!$DV$5)</f>
        <v>212.96333027121486</v>
      </c>
      <c r="AA264" s="25">
        <f>IF(AA$5="","",AA263+Nutrients!$DV$5)</f>
        <v>208.26586095243016</v>
      </c>
      <c r="AB264" s="25">
        <f>IF(AB$5="","",AB263+Nutrients!$DV$5)</f>
        <v>199.52702006837634</v>
      </c>
      <c r="AD264" s="25">
        <f>IF(AD$5="","",AD263+Nutrients!$DV$5)</f>
        <v>239.48633916835263</v>
      </c>
      <c r="AE264" s="25">
        <f>IF(AE$5="","",AE263+Nutrients!$DV$5)</f>
        <v>230.68280394303346</v>
      </c>
      <c r="AF264" s="25">
        <f>IF(AF$5="","",AF263+Nutrients!$DV$5)</f>
        <v>221.843696131456</v>
      </c>
      <c r="AG264" s="25">
        <f>IF(AG$5="","",AG263+Nutrients!$DV$5)</f>
        <v>215.30795459277886</v>
      </c>
      <c r="AH264" s="25">
        <f>IF(AH$5="","",AH263+Nutrients!$DV$5)</f>
        <v>211.06270951004774</v>
      </c>
      <c r="AI264" s="25">
        <f>IF(AI$5="","",AI263+Nutrients!$DV$5)</f>
        <v>199.52702006837634</v>
      </c>
      <c r="AK264" s="25">
        <f>IF(AK$5="","",AK263+Nutrients!$DV$5)</f>
        <v>241.71055616173334</v>
      </c>
      <c r="AL264" s="25">
        <f>IF(AL$5="","",AL263+Nutrients!$DV$5)</f>
        <v>232.81679931906831</v>
      </c>
      <c r="AM264" s="25">
        <f>IF(AM$5="","",AM263+Nutrients!$DV$5)</f>
        <v>224.17023195836035</v>
      </c>
      <c r="AN264" s="25">
        <f>IF(AN$5="","",AN263+Nutrients!$DV$5)</f>
        <v>218.01965830470911</v>
      </c>
      <c r="AO264" s="25">
        <f>IF(AO$5="","",AO263+Nutrients!$DV$5)</f>
        <v>213.9606867839482</v>
      </c>
      <c r="AP264" s="25">
        <f>IF(AP$5="","",AP263+Nutrients!$DV$5)</f>
        <v>199.52702006837634</v>
      </c>
      <c r="AR264" s="25">
        <f>IF(AR$5="","",AR263+Nutrients!$DV$5)</f>
        <v>243.66117750955806</v>
      </c>
      <c r="AS264" s="25">
        <f>IF(AS$5="","",AS263+Nutrients!$DV$5)</f>
        <v>234.80373013763227</v>
      </c>
      <c r="AT264" s="25">
        <f>IF(AT$5="","",AT263+Nutrients!$DV$5)</f>
        <v>226.45712763674561</v>
      </c>
      <c r="AU264" s="25">
        <f>IF(AU$5="","",AU263+Nutrients!$DV$5)</f>
        <v>220.8931643521492</v>
      </c>
      <c r="AV264" s="25">
        <f>IF(AV$5="","",AV263+Nutrients!$DV$5)</f>
        <v>217.00139313868357</v>
      </c>
      <c r="AW264" s="25">
        <f>IF(AW$5="","",AW263+Nutrients!$DV$5)</f>
        <v>199.52702006837634</v>
      </c>
    </row>
    <row r="265" spans="1:59" x14ac:dyDescent="0.25">
      <c r="A265" s="34" t="s">
        <v>541</v>
      </c>
      <c r="B265" s="371">
        <v>64.919933148666814</v>
      </c>
      <c r="C265" s="371">
        <v>74.047956546633458</v>
      </c>
      <c r="D265" s="371">
        <v>95.803407561009578</v>
      </c>
      <c r="E265" s="371">
        <v>107.72572383590483</v>
      </c>
      <c r="F265" s="371">
        <v>119.6480401107998</v>
      </c>
      <c r="G265" s="371">
        <v>148.85493879698549</v>
      </c>
      <c r="H265" s="91">
        <f>SUM(B265:G265)</f>
        <v>611</v>
      </c>
      <c r="I265" s="371">
        <f>($B$265*$B$250/I250)-($B$265*$B$250/I250)/(I6-I5)*I268</f>
        <v>64.661847743707668</v>
      </c>
      <c r="J265" s="371">
        <f>($C$265*$C$250/J250)-($C$265*$C$250/J250)/(J6-J5)*J268</f>
        <v>73.839631445831316</v>
      </c>
      <c r="K265" s="371">
        <f>($D$265*$D$250/K250)-($D$265*$D$250/K250)/(K6-K5)*K268</f>
        <v>95.538431994731098</v>
      </c>
      <c r="L265" s="371">
        <f>($E$265*$E$250/L250)-($E$265*$E$250/L250)/(L6-L5)*L268</f>
        <v>107.36851717976371</v>
      </c>
      <c r="M265" s="371">
        <f>($F$265*$F$250/M250)-($F$265*$F$250/M250)/(M6-M5)*M268</f>
        <v>119.06602662228403</v>
      </c>
      <c r="N265" s="371">
        <f>($G$265*$G$250/N250)-($G$265*$G$250/N250)/(N6-N5)*N268</f>
        <v>148.85493879698549</v>
      </c>
      <c r="O265" s="91">
        <f>SUM(I265:N265)</f>
        <v>609.32939378330332</v>
      </c>
      <c r="P265" s="371">
        <f>($B$265*$B$250/P250)-($B$265*$B$250/P250)/(P6-P5)*P268</f>
        <v>64.39516783310323</v>
      </c>
      <c r="Q265" s="371">
        <f>($C$265*$C$250/Q250)-($C$265*$C$250/Q250)/(Q6-Q5)*Q268</f>
        <v>73.623174096984698</v>
      </c>
      <c r="R265" s="371">
        <f>($D$265*$D$250/R250)-($D$265*$D$250/R250)/(R6-R5)*R268</f>
        <v>95.276800183866698</v>
      </c>
      <c r="S265" s="371">
        <f>($E$265*$E$250/S250)-($E$265*$E$250/S250)/(S6-S5)*S268</f>
        <v>107.00781693180063</v>
      </c>
      <c r="T265" s="371">
        <f>($F$265*$F$250/T250)-($F$265*$F$250/T250)/(T6-T5)*T268</f>
        <v>118.4749320166067</v>
      </c>
      <c r="U265" s="371">
        <f>($G$265*$G$250/U250)-($G$265*$G$250/U250)/(U6-U5)*U268</f>
        <v>148.85493879698549</v>
      </c>
      <c r="V265" s="91">
        <f>SUM(P265:U265)</f>
        <v>607.63282985934745</v>
      </c>
      <c r="W265" s="371">
        <f>($B$265*$B$250/W250)-($B$265*$B$250/W250)/(W6-W5)*W268</f>
        <v>64.12699870145272</v>
      </c>
      <c r="X265" s="371">
        <f>($C$265*$C$250/X250)-($C$265*$C$250/X250)/(X6-X5)*X268</f>
        <v>73.40467201363505</v>
      </c>
      <c r="Y265" s="371">
        <f>($D$265*$D$250/Y250)-($D$265*$D$250/Y250)/(Y6-Y5)*Y268</f>
        <v>95.016608030100357</v>
      </c>
      <c r="Z265" s="371">
        <f>($E$265*$E$250/Z250)-($E$265*$E$250/Z250)/(Z6-Z5)*Z268</f>
        <v>106.64697445661967</v>
      </c>
      <c r="AA265" s="371">
        <f>($F$265*$F$250/AA250)-($F$265*$F$250/AA250)/(AA6-AA5)*AA268</f>
        <v>117.87476310098526</v>
      </c>
      <c r="AB265" s="371">
        <f>($G$265*$G$250/AB250)-($G$265*$G$250/AB250)/(AB6-AB5)*AB268</f>
        <v>148.85493879698549</v>
      </c>
      <c r="AC265" s="91">
        <f>SUM(W265:AB265)</f>
        <v>605.92495509977857</v>
      </c>
      <c r="AD265" s="371">
        <f>($B$265*$B$250/AD250)-($B$265*$B$250/AD250)/(AD6-AD5)*AD268</f>
        <v>63.855488888837613</v>
      </c>
      <c r="AE265" s="371">
        <f>($C$265*$C$250/AE250)-($C$265*$C$250/AE250)/(AE6-AE5)*AE268</f>
        <v>73.185681511568674</v>
      </c>
      <c r="AF265" s="371">
        <f>($D$265*$D$250/AF250)-($D$265*$D$250/AF250)/(AF6-AF5)*AF268</f>
        <v>94.753657163706094</v>
      </c>
      <c r="AG265" s="371">
        <f>($E$265*$E$250/AG250)-($E$265*$E$250/AG250)/(AG6-AG5)*AG268</f>
        <v>106.27685287565144</v>
      </c>
      <c r="AH265" s="371">
        <f>($F$265*$F$250/AH250)-($F$265*$F$250/AH250)/(AH6-AH5)*AH268</f>
        <v>117.29975771564472</v>
      </c>
      <c r="AI265" s="371">
        <f>($G$265*$G$250/AI250)-($G$265*$G$250/AI250)/(AI6-AI5)*AI268</f>
        <v>148.85493879698549</v>
      </c>
      <c r="AJ265" s="91">
        <f>SUM(AD265:AI265)</f>
        <v>604.22637695239405</v>
      </c>
      <c r="AK265" s="371">
        <f>($B$265*$B$250/AK250)-($B$265*$B$250/AK250)/(AK6-AK5)*AK268</f>
        <v>63.570827890920569</v>
      </c>
      <c r="AL265" s="371">
        <f>($C$265*$C$250/AL250)-($C$265*$C$250/AL250)/(AL6-AL5)*AL268</f>
        <v>72.966007793673185</v>
      </c>
      <c r="AM265" s="371">
        <f>($D$265*$D$250/AM250)-($D$265*$D$250/AM250)/(AM6-AM5)*AM268</f>
        <v>94.491449961372965</v>
      </c>
      <c r="AN265" s="371">
        <f>($E$265*$E$250/AN250)-($E$265*$E$250/AN250)/(AN6-AN5)*AN268</f>
        <v>105.93866721130277</v>
      </c>
      <c r="AO265" s="371">
        <f>($F$265*$F$250/AO250)-($F$265*$F$250/AO250)/(AO6-AO5)*AO268</f>
        <v>116.71933164459944</v>
      </c>
      <c r="AP265" s="371">
        <f>($G$265*$G$250/AP250)-($G$265*$G$250/AP250)/(AP6-AP5)*AP268</f>
        <v>148.85493879698549</v>
      </c>
      <c r="AQ265" s="91">
        <f>SUM(AK265:AP265)</f>
        <v>602.54122329885445</v>
      </c>
      <c r="AR265" s="371">
        <f>($B$265*$B$250/AR250)-($B$265*$B$250/AR250)/(AR6-AR5)*AR268</f>
        <v>63.304326350000231</v>
      </c>
      <c r="AS265" s="371">
        <f>($C$265*$C$250/AS250)-($C$265*$C$250/AS250)/(AS6-AS5)*AS268</f>
        <v>72.746447860413653</v>
      </c>
      <c r="AT265" s="371">
        <f>($D$265*$D$250/AT250)-($D$265*$D$250/AT250)/(AT6-AT5)*AT268</f>
        <v>94.250062723826375</v>
      </c>
      <c r="AU265" s="371">
        <f>($E$265*$E$250/AU250)-($E$265*$E$250/AU250)/(AU6-AU5)*AU268</f>
        <v>105.58373366139794</v>
      </c>
      <c r="AV265" s="371">
        <f>($F$265*$F$250/AV250)-($F$265*$F$250/AV250)/(AV6-AV5)*AV268</f>
        <v>116.13478502558662</v>
      </c>
      <c r="AW265" s="371">
        <f>($G$265*$G$250/AW250)-($G$265*$G$250/AW250)/(AW6-AW5)*AW268</f>
        <v>148.85493879698549</v>
      </c>
      <c r="AX265" s="91">
        <f>SUM(AR265:AW265)</f>
        <v>600.8742944182103</v>
      </c>
      <c r="AY265" s="91"/>
      <c r="AZ265" s="117"/>
      <c r="BA265" s="117"/>
      <c r="BB265" s="117"/>
      <c r="BC265" s="117"/>
      <c r="BD265" s="117"/>
      <c r="BE265" s="117"/>
    </row>
    <row r="266" spans="1:59" x14ac:dyDescent="0.25">
      <c r="A266" s="34" t="s">
        <v>111</v>
      </c>
      <c r="B266" s="25">
        <f t="shared" ref="B266:G266" si="79">IF(B$265="","",B265*B264/2000)</f>
        <v>7.5002293258255142</v>
      </c>
      <c r="C266" s="25">
        <f t="shared" si="79"/>
        <v>8.2269873628920589</v>
      </c>
      <c r="D266" s="25">
        <f t="shared" si="79"/>
        <v>10.233772738039312</v>
      </c>
      <c r="E266" s="25">
        <f t="shared" si="79"/>
        <v>11.140070059906597</v>
      </c>
      <c r="F266" s="25">
        <f t="shared" si="79"/>
        <v>12.066270905880396</v>
      </c>
      <c r="G266" s="25">
        <f t="shared" si="79"/>
        <v>14.85029118031153</v>
      </c>
      <c r="H266" s="230"/>
      <c r="I266" s="25">
        <f t="shared" ref="I266:N266" si="80">IF(I$265="","",I265*I264/2000)</f>
        <v>7.5370952250204679</v>
      </c>
      <c r="J266" s="25">
        <f t="shared" si="80"/>
        <v>8.2810607987353571</v>
      </c>
      <c r="K266" s="25">
        <f t="shared" si="80"/>
        <v>10.303674133641987</v>
      </c>
      <c r="L266" s="25">
        <f t="shared" si="80"/>
        <v>11.209034228622933</v>
      </c>
      <c r="M266" s="25">
        <f t="shared" si="80"/>
        <v>12.128161309966472</v>
      </c>
      <c r="N266" s="25">
        <f t="shared" si="80"/>
        <v>14.85029118031153</v>
      </c>
      <c r="O266" s="199"/>
      <c r="P266" s="25">
        <f t="shared" ref="P266:U266" si="81">IF(P$265="","",P265*P264/2000)</f>
        <v>7.573887574821212</v>
      </c>
      <c r="Q266" s="25">
        <f t="shared" si="81"/>
        <v>8.3348428982399145</v>
      </c>
      <c r="R266" s="25">
        <f t="shared" si="81"/>
        <v>10.377359174155396</v>
      </c>
      <c r="S266" s="25">
        <f t="shared" si="81"/>
        <v>11.285434800570009</v>
      </c>
      <c r="T266" s="25">
        <f t="shared" si="81"/>
        <v>12.19902080046206</v>
      </c>
      <c r="U266" s="25">
        <f t="shared" si="81"/>
        <v>14.85029118031153</v>
      </c>
      <c r="W266" s="25">
        <f t="shared" ref="W266:AB266" si="82">IF(W$265="","",W265*W264/2000)</f>
        <v>7.6102527501927595</v>
      </c>
      <c r="X266" s="25">
        <f t="shared" si="82"/>
        <v>8.3883606631373961</v>
      </c>
      <c r="Y266" s="25">
        <f t="shared" si="82"/>
        <v>10.449997076233622</v>
      </c>
      <c r="Z266" s="25">
        <f t="shared" si="82"/>
        <v>11.355947421815456</v>
      </c>
      <c r="AA266" s="25">
        <f t="shared" si="82"/>
        <v>12.274644510895222</v>
      </c>
      <c r="AB266" s="25">
        <f t="shared" si="82"/>
        <v>14.85029118031153</v>
      </c>
      <c r="AD266" s="25">
        <f t="shared" ref="AD266:AI266" si="83">IF(AD$265="","",AD265*AD264/2000)</f>
        <v>7.6462586348965687</v>
      </c>
      <c r="AE266" s="25">
        <f t="shared" si="83"/>
        <v>8.4413391097852415</v>
      </c>
      <c r="AF266" s="25">
        <f t="shared" si="83"/>
        <v>10.510250763584686</v>
      </c>
      <c r="AG266" s="25">
        <f t="shared" si="83"/>
        <v>11.4411259066071</v>
      </c>
      <c r="AH266" s="25">
        <f t="shared" si="83"/>
        <v>12.378802344168051</v>
      </c>
      <c r="AI266" s="25">
        <f t="shared" si="83"/>
        <v>14.85029118031153</v>
      </c>
      <c r="AK266" s="25">
        <f t="shared" ref="AK266:AP266" si="84">IF(AK$265="","",AK265*AK264/2000)</f>
        <v>7.6828700825881198</v>
      </c>
      <c r="AL266" s="25">
        <f t="shared" si="84"/>
        <v>8.4938561968065915</v>
      </c>
      <c r="AM266" s="25">
        <f t="shared" si="84"/>
        <v>10.591085127961389</v>
      </c>
      <c r="AN266" s="25">
        <f t="shared" si="84"/>
        <v>11.548356013332262</v>
      </c>
      <c r="AO266" s="25">
        <f t="shared" si="84"/>
        <v>12.486674179820957</v>
      </c>
      <c r="AP266" s="25">
        <f t="shared" si="84"/>
        <v>14.85029118031153</v>
      </c>
      <c r="AR266" s="25">
        <f t="shared" ref="AR266:AW266" si="85">IF(AR$265="","",AR265*AR264/2000)</f>
        <v>7.7124033499452</v>
      </c>
      <c r="AS266" s="25">
        <f t="shared" si="85"/>
        <v>8.540568655943952</v>
      </c>
      <c r="AT266" s="25">
        <f t="shared" si="85"/>
        <v>10.671799242010415</v>
      </c>
      <c r="AU266" s="25">
        <f t="shared" si="85"/>
        <v>11.661362516290362</v>
      </c>
      <c r="AV266" s="25">
        <f t="shared" si="85"/>
        <v>12.600705071206912</v>
      </c>
      <c r="AW266" s="25">
        <f t="shared" si="85"/>
        <v>14.85029118031153</v>
      </c>
      <c r="AZ266" s="369"/>
    </row>
    <row r="267" spans="1:59" x14ac:dyDescent="0.25">
      <c r="A267" s="34" t="s">
        <v>517</v>
      </c>
      <c r="B267" s="370">
        <f t="shared" ref="B267:G267" si="86">B342*0.00220462</f>
        <v>1.669925476729073</v>
      </c>
      <c r="C267" s="370">
        <f t="shared" si="86"/>
        <v>1.9189525389204525</v>
      </c>
      <c r="D267" s="370">
        <f t="shared" si="86"/>
        <v>2.0860530832674886</v>
      </c>
      <c r="E267" s="370">
        <f t="shared" si="86"/>
        <v>2.166293944697927</v>
      </c>
      <c r="F267" s="370">
        <f t="shared" si="86"/>
        <v>2.1531120876854954</v>
      </c>
      <c r="G267" s="370">
        <f t="shared" si="86"/>
        <v>2.0276943879552971</v>
      </c>
      <c r="H267" s="230"/>
      <c r="I267" s="370">
        <f t="shared" ref="I267:N267" si="87">I342*0.00220462</f>
        <v>1.6629124701852978</v>
      </c>
      <c r="J267" s="370">
        <f t="shared" si="87"/>
        <v>1.9132473031982666</v>
      </c>
      <c r="K267" s="370">
        <f t="shared" si="87"/>
        <v>2.080400780313989</v>
      </c>
      <c r="L267" s="370">
        <f t="shared" si="87"/>
        <v>2.1589864260295188</v>
      </c>
      <c r="M267" s="370">
        <f t="shared" si="87"/>
        <v>2.14246496436779</v>
      </c>
      <c r="N267" s="370">
        <f t="shared" si="87"/>
        <v>2.0276943879552971</v>
      </c>
      <c r="O267" s="94"/>
      <c r="P267" s="370">
        <f t="shared" ref="P267:U267" si="88">P342*0.00220462</f>
        <v>1.6559454057269123</v>
      </c>
      <c r="Q267" s="370">
        <f t="shared" si="88"/>
        <v>1.9075775620311994</v>
      </c>
      <c r="R267" s="370">
        <f t="shared" si="88"/>
        <v>2.0747406551115013</v>
      </c>
      <c r="S267" s="370">
        <f t="shared" si="88"/>
        <v>2.1517297907499815</v>
      </c>
      <c r="T267" s="370">
        <f t="shared" si="88"/>
        <v>2.1318369060974223</v>
      </c>
      <c r="U267" s="370">
        <f t="shared" si="88"/>
        <v>2.0276943879552971</v>
      </c>
      <c r="W267" s="370">
        <f t="shared" ref="W267:AB267" si="89">W342*0.00220462</f>
        <v>1.6489844257671697</v>
      </c>
      <c r="X267" s="370">
        <f t="shared" si="89"/>
        <v>1.9019149100730077</v>
      </c>
      <c r="Y267" s="370">
        <f t="shared" si="89"/>
        <v>2.0690729486326238</v>
      </c>
      <c r="Z267" s="370">
        <f t="shared" si="89"/>
        <v>2.1445064196202157</v>
      </c>
      <c r="AA267" s="370">
        <f t="shared" si="89"/>
        <v>2.1211721165973674</v>
      </c>
      <c r="AB267" s="370">
        <f t="shared" si="89"/>
        <v>2.0276943879552971</v>
      </c>
      <c r="AD267" s="370">
        <f t="shared" ref="AD267:AI267" si="90">AD342*0.00220462</f>
        <v>1.6420376336269249</v>
      </c>
      <c r="AE267" s="370">
        <f t="shared" si="90"/>
        <v>1.8962540252550233</v>
      </c>
      <c r="AF267" s="370">
        <f t="shared" si="90"/>
        <v>2.0633650549899287</v>
      </c>
      <c r="AG267" s="370">
        <f t="shared" si="90"/>
        <v>2.1372550188547921</v>
      </c>
      <c r="AH267" s="370">
        <f t="shared" si="90"/>
        <v>2.1105447980945446</v>
      </c>
      <c r="AI267" s="370">
        <f t="shared" si="90"/>
        <v>2.0276943879552971</v>
      </c>
      <c r="AK267" s="370">
        <f t="shared" ref="AK267:AP267" si="91">AK342*0.00220462</f>
        <v>1.6351465950415662</v>
      </c>
      <c r="AL267" s="370">
        <f t="shared" si="91"/>
        <v>1.8905955811153681</v>
      </c>
      <c r="AM267" s="370">
        <f t="shared" si="91"/>
        <v>2.0577499760104576</v>
      </c>
      <c r="AN267" s="370">
        <f t="shared" si="91"/>
        <v>2.1298971316510085</v>
      </c>
      <c r="AO267" s="370">
        <f t="shared" si="91"/>
        <v>2.1001044777411368</v>
      </c>
      <c r="AP267" s="370">
        <f t="shared" si="91"/>
        <v>2.0276943879552971</v>
      </c>
      <c r="AR267" s="370">
        <f t="shared" ref="AR267:AW267" si="92">AR342*0.00220462</f>
        <v>1.6281251388194953</v>
      </c>
      <c r="AS267" s="370">
        <f t="shared" si="92"/>
        <v>1.8848993573449198</v>
      </c>
      <c r="AT267" s="370">
        <f t="shared" si="92"/>
        <v>2.0520410379053153</v>
      </c>
      <c r="AU267" s="370">
        <f t="shared" si="92"/>
        <v>2.1227178379408125</v>
      </c>
      <c r="AV267" s="370">
        <f t="shared" si="92"/>
        <v>2.0896299772767546</v>
      </c>
      <c r="AW267" s="370">
        <f t="shared" si="92"/>
        <v>2.0276943879552971</v>
      </c>
      <c r="AZ267" s="375"/>
      <c r="BA267" s="378"/>
    </row>
    <row r="268" spans="1:59" x14ac:dyDescent="0.25">
      <c r="A268" s="302" t="s">
        <v>545</v>
      </c>
      <c r="B268" s="303"/>
      <c r="C268" s="303"/>
      <c r="D268" s="303"/>
      <c r="E268" s="303"/>
      <c r="F268" s="303"/>
      <c r="G268" s="303"/>
      <c r="H268" s="303"/>
      <c r="I268" s="304">
        <f>($B$6-$B$5)-(($B$6-$B$5)/$B$267)*I267</f>
        <v>0.14698573825756256</v>
      </c>
      <c r="J268" s="304">
        <f>($C$6-$C$5)-(($C$6-$C$5)/$C$267)*J267</f>
        <v>0.10405846222170823</v>
      </c>
      <c r="K268" s="304">
        <f>($D$6-$D$5)-(($D$6-$D$5)/$D$267)*K267</f>
        <v>0.10838272523048431</v>
      </c>
      <c r="L268" s="304">
        <f>($E$6-$E$5)-(($E$6-$E$5)/$E$267)*L267</f>
        <v>0.13493124857397021</v>
      </c>
      <c r="M268" s="304">
        <f>($F$6-$F$5)-(($F$6-$F$5)/$F$267)*M267</f>
        <v>0.19779970357512866</v>
      </c>
      <c r="N268" s="304">
        <f>($G$6-$G$5)-(($G$6-$G$5)/$G$267)*N267</f>
        <v>0</v>
      </c>
      <c r="O268" s="305"/>
      <c r="P268" s="304">
        <f>($B$6-$B$5)-(($B$6-$B$5)/$B$267)*P267</f>
        <v>0.29300857546891024</v>
      </c>
      <c r="Q268" s="304">
        <f>($C$6-$C$5)-(($C$6-$C$5)/$C$267)*Q267</f>
        <v>0.20746953509743093</v>
      </c>
      <c r="R268" s="304">
        <f>($D$6-$D$5)-(($D$6-$D$5)/$D$267)*R267</f>
        <v>0.2169154418308139</v>
      </c>
      <c r="S268" s="304">
        <f>($E$6-$E$5)-(($E$6-$E$5)/$E$267)*S267</f>
        <v>0.26892294988114429</v>
      </c>
      <c r="T268" s="304">
        <f>($F$6-$F$5)-(($F$6-$F$5)/$F$267)*T267</f>
        <v>0.39524522127304351</v>
      </c>
      <c r="U268" s="304">
        <f>($G$6-$G$5)-(($G$6-$G$5)/$G$267)*U267</f>
        <v>0</v>
      </c>
      <c r="V268" s="305"/>
      <c r="W268" s="304">
        <f>($B$6-$B$5)-(($B$6-$B$5)/$B$267)*W267</f>
        <v>0.43890388755684739</v>
      </c>
      <c r="X268" s="304">
        <f>($C$6-$C$5)-(($C$6-$C$5)/$C$267)*X267</f>
        <v>0.31075130706256715</v>
      </c>
      <c r="Y268" s="304">
        <f>($D$6-$D$5)-(($D$6-$D$5)/$D$267)*Y267</f>
        <v>0.32559352915924933</v>
      </c>
      <c r="Z268" s="304">
        <f>($E$6-$E$5)-(($E$6-$E$5)/$E$267)*Z267</f>
        <v>0.40230043814759142</v>
      </c>
      <c r="AA268" s="304">
        <f>($F$6-$F$5)-(($F$6-$F$5)/$F$267)*AA267</f>
        <v>0.59337312294711353</v>
      </c>
      <c r="AB268" s="304">
        <f>($G$6-$G$5)-(($G$6-$G$5)/$G$267)*AB267</f>
        <v>0</v>
      </c>
      <c r="AC268" s="305"/>
      <c r="AD268" s="304">
        <f>($B$6-$B$5)-(($B$6-$B$5)/$B$267)*AD267</f>
        <v>0.58450183686462509</v>
      </c>
      <c r="AE268" s="304">
        <f>($C$6-$C$5)-(($C$6-$C$5)/$C$267)*AE267</f>
        <v>0.41400084795059655</v>
      </c>
      <c r="AF268" s="304">
        <f>($D$6-$D$5)-(($D$6-$D$5)/$D$267)*AF267</f>
        <v>0.43504220404636129</v>
      </c>
      <c r="AG268" s="304">
        <f>($E$6-$E$5)-(($E$6-$E$5)/$E$267)*AG267</f>
        <v>0.53619548564419972</v>
      </c>
      <c r="AH268" s="304">
        <f>($F$6-$F$5)-(($F$6-$F$5)/$F$267)*AH267</f>
        <v>0.79080489742099047</v>
      </c>
      <c r="AI268" s="304">
        <f>($G$6-$G$5)-(($G$6-$G$5)/$G$267)*AI267</f>
        <v>0</v>
      </c>
      <c r="AJ268" s="305"/>
      <c r="AK268" s="304">
        <f>($B$6-$B$5)-(($B$6-$B$5)/$B$267)*AK267</f>
        <v>0.7289312463493971</v>
      </c>
      <c r="AL268" s="304">
        <f>($C$6-$C$5)-(($C$6-$C$5)/$C$267)*AL267</f>
        <v>0.51720587302086329</v>
      </c>
      <c r="AM268" s="304">
        <f>($D$6-$D$5)-(($D$6-$D$5)/$D$267)*AM267</f>
        <v>0.54271116078596293</v>
      </c>
      <c r="AN268" s="304">
        <f>($E$6-$E$5)-(($E$6-$E$5)/$E$267)*AN267</f>
        <v>0.67205677486198567</v>
      </c>
      <c r="AO268" s="304">
        <f>($F$6-$F$5)-(($F$6-$F$5)/$F$267)*AO267</f>
        <v>0.98476266512143695</v>
      </c>
      <c r="AP268" s="304">
        <f>($G$6-$G$5)-(($G$6-$G$5)/$G$267)*AP267</f>
        <v>0</v>
      </c>
      <c r="AQ268" s="305"/>
      <c r="AR268" s="304">
        <f>($B$6-$B$5)-(($B$6-$B$5)/$B$267)*AR267</f>
        <v>0.8760940815759426</v>
      </c>
      <c r="AS268" s="304">
        <f>($C$6-$C$5)-(($C$6-$C$5)/$C$267)*AS267</f>
        <v>0.62109996519984634</v>
      </c>
      <c r="AT268" s="304">
        <f>($D$6-$D$5)-(($D$6-$D$5)/$D$267)*AT267</f>
        <v>0.65217986320651988</v>
      </c>
      <c r="AU268" s="304">
        <f>($E$6-$E$5)-(($E$6-$E$5)/$E$267)*AU267</f>
        <v>0.80462038614415121</v>
      </c>
      <c r="AV268" s="304">
        <f>($F$6-$F$5)-(($F$6-$F$5)/$F$267)*AV267</f>
        <v>1.1793554227263954</v>
      </c>
      <c r="AW268" s="304">
        <f>($G$6-$G$5)-(($G$6-$G$5)/$G$267)*AW267</f>
        <v>0</v>
      </c>
      <c r="AX268" s="305"/>
    </row>
    <row r="269" spans="1:59" x14ac:dyDescent="0.25">
      <c r="A269" s="34" t="s">
        <v>543</v>
      </c>
      <c r="B269" s="371">
        <v>64.919933148666814</v>
      </c>
      <c r="C269" s="371">
        <v>74.047956546633458</v>
      </c>
      <c r="D269" s="371">
        <v>95.803407561009578</v>
      </c>
      <c r="E269" s="371">
        <v>107.72572383590483</v>
      </c>
      <c r="F269" s="371">
        <v>119.6480401107998</v>
      </c>
      <c r="G269" s="371">
        <v>148.85493879698549</v>
      </c>
      <c r="H269" s="91">
        <f>SUM(B269:G269)</f>
        <v>611</v>
      </c>
      <c r="I269" s="371">
        <f>($B$269*$B$250/I250)</f>
        <v>64.934546379077631</v>
      </c>
      <c r="J269" s="371">
        <f>($C$269*$C$250/J250)</f>
        <v>74.059818612609803</v>
      </c>
      <c r="K269" s="371">
        <f>($D$269*$D$250/K250)</f>
        <v>95.798003211222877</v>
      </c>
      <c r="L269" s="371">
        <f>($E$269*$E$250/L250)</f>
        <v>107.73192726619641</v>
      </c>
      <c r="M269" s="371">
        <f>($F$269*$F$250/M250)</f>
        <v>119.65773322635012</v>
      </c>
      <c r="N269" s="371">
        <f>($G$269*$G$250/N250)</f>
        <v>148.85493879698549</v>
      </c>
      <c r="O269" s="91">
        <f>SUM(I269:N269)</f>
        <v>611.03696749244227</v>
      </c>
      <c r="P269" s="371">
        <f>($B$269*$B$250/P250)</f>
        <v>64.938814390163273</v>
      </c>
      <c r="Q269" s="371">
        <f>($C$269*$C$250/Q250)</f>
        <v>74.062192630508932</v>
      </c>
      <c r="R269" s="371">
        <f>($D$269*$D$250/R250)</f>
        <v>95.796292562037905</v>
      </c>
      <c r="S269" s="371">
        <f>($E$269*$E$250/S250)</f>
        <v>107.73210783771644</v>
      </c>
      <c r="T269" s="371">
        <f>($F$269*$F$250/T250)</f>
        <v>119.65728123153896</v>
      </c>
      <c r="U269" s="371">
        <f>($G$269*$G$250/U250)</f>
        <v>148.85493879698549</v>
      </c>
      <c r="V269" s="91">
        <f>SUM(P269:U269)</f>
        <v>611.04162744895098</v>
      </c>
      <c r="W269" s="371">
        <f>($B$269*$B$250/W250)</f>
        <v>64.941370703308507</v>
      </c>
      <c r="X269" s="371">
        <f>($C$269*$C$250/X250)</f>
        <v>74.062241682400469</v>
      </c>
      <c r="Y269" s="371">
        <f>($D$269*$D$250/Y250)</f>
        <v>95.796375025732644</v>
      </c>
      <c r="Z269" s="371">
        <f>($E$269*$E$250/Z250)</f>
        <v>107.73047488785043</v>
      </c>
      <c r="AA269" s="371">
        <f>($F$269*$F$250/AA250)</f>
        <v>119.64968579396542</v>
      </c>
      <c r="AB269" s="371">
        <f>($G$269*$G$250/AB250)</f>
        <v>148.85493879698549</v>
      </c>
      <c r="AC269" s="91">
        <f>SUM(W269:AB269)</f>
        <v>611.03508689024306</v>
      </c>
      <c r="AD269" s="371">
        <f>($B$269*$B$250/AD250)</f>
        <v>64.939990132216209</v>
      </c>
      <c r="AE269" s="371">
        <f>($C$269*$C$250/AE250)</f>
        <v>74.061727742600752</v>
      </c>
      <c r="AF269" s="371">
        <f>($D$269*$D$250/AF250)</f>
        <v>95.795534677301418</v>
      </c>
      <c r="AG269" s="371">
        <f>($E$269*$E$250/AG250)</f>
        <v>107.72083855928383</v>
      </c>
      <c r="AH269" s="371">
        <f>($F$269*$F$250/AH250)</f>
        <v>119.66556049800599</v>
      </c>
      <c r="AI269" s="371">
        <f>($G$269*$G$250/AI250)</f>
        <v>148.85493879698549</v>
      </c>
      <c r="AJ269" s="91">
        <f>SUM(AD269:AI269)</f>
        <v>611.03859040639372</v>
      </c>
      <c r="AK269" s="371">
        <f>($B$269*$B$250/AK250)</f>
        <v>64.922952714896354</v>
      </c>
      <c r="AL269" s="371">
        <f>($C$269*$C$250/AL250)</f>
        <v>74.060421651865951</v>
      </c>
      <c r="AM269" s="371">
        <f>($D$269*$D$250/AM250)</f>
        <v>95.791122746846256</v>
      </c>
      <c r="AN269" s="371">
        <f>($E$269*$E$250/AN250)</f>
        <v>107.74900340436605</v>
      </c>
      <c r="AO269" s="371">
        <f>($F$269*$F$250/AO250)</f>
        <v>119.66538164847253</v>
      </c>
      <c r="AP269" s="371">
        <f>($G$269*$G$250/AP250)</f>
        <v>148.85493879698549</v>
      </c>
      <c r="AQ269" s="91">
        <f>SUM(AK269:AP269)</f>
        <v>611.04382096343261</v>
      </c>
      <c r="AR269" s="371">
        <f>($B$269*$B$250/AR250)</f>
        <v>64.92959591280966</v>
      </c>
      <c r="AS269" s="371">
        <f>($C$269*$C$250/AS250)</f>
        <v>74.060707949851619</v>
      </c>
      <c r="AT269" s="371">
        <f>($D$269*$D$250/AT250)</f>
        <v>95.812232948269212</v>
      </c>
      <c r="AU269" s="371">
        <f>($E$269*$E$250/AU250)</f>
        <v>107.75120404658445</v>
      </c>
      <c r="AV269" s="371">
        <f>($F$269*$F$250/AV250)</f>
        <v>119.66291264887889</v>
      </c>
      <c r="AW269" s="371">
        <f>($G$269*$G$250/AW250)</f>
        <v>148.85493879698549</v>
      </c>
      <c r="AX269" s="91">
        <f>SUM(AR269:AW269)</f>
        <v>611.07159230337925</v>
      </c>
      <c r="AY269" s="91"/>
      <c r="AZ269" s="117"/>
      <c r="BA269" s="117"/>
      <c r="BB269" s="117"/>
      <c r="BC269" s="117"/>
      <c r="BD269" s="117"/>
      <c r="BE269" s="117"/>
    </row>
    <row r="270" spans="1:59" x14ac:dyDescent="0.25">
      <c r="A270" s="34" t="s">
        <v>544</v>
      </c>
      <c r="B270" s="25">
        <f t="shared" ref="B270:G270" si="93">B269*B264/2000</f>
        <v>7.5002293258255142</v>
      </c>
      <c r="C270" s="25">
        <f t="shared" si="93"/>
        <v>8.2269873628920589</v>
      </c>
      <c r="D270" s="25">
        <f t="shared" si="93"/>
        <v>10.233772738039312</v>
      </c>
      <c r="E270" s="25">
        <f t="shared" si="93"/>
        <v>11.140070059906597</v>
      </c>
      <c r="F270" s="25">
        <f t="shared" si="93"/>
        <v>12.066270905880396</v>
      </c>
      <c r="G270" s="25">
        <f t="shared" si="93"/>
        <v>14.85029118031153</v>
      </c>
      <c r="H270" s="230"/>
      <c r="I270" s="25">
        <f t="shared" ref="I270:N270" si="94">I269*I264/2000</f>
        <v>7.5688814429253926</v>
      </c>
      <c r="J270" s="25">
        <f t="shared" si="94"/>
        <v>8.3057546288573505</v>
      </c>
      <c r="K270" s="25">
        <f t="shared" si="94"/>
        <v>10.331668493329111</v>
      </c>
      <c r="L270" s="25">
        <f t="shared" si="94"/>
        <v>11.246973432822157</v>
      </c>
      <c r="M270" s="25">
        <f t="shared" si="94"/>
        <v>12.188433020931109</v>
      </c>
      <c r="N270" s="25">
        <f t="shared" si="94"/>
        <v>14.85029118031153</v>
      </c>
      <c r="O270" s="199"/>
      <c r="P270" s="25">
        <f t="shared" ref="P270:U270" si="95">P269*P264/2000</f>
        <v>7.6378289859886319</v>
      </c>
      <c r="Q270" s="25">
        <f t="shared" si="95"/>
        <v>8.3845439679264775</v>
      </c>
      <c r="R270" s="25">
        <f t="shared" si="95"/>
        <v>10.43394124855457</v>
      </c>
      <c r="S270" s="25">
        <f t="shared" si="95"/>
        <v>11.36182116214365</v>
      </c>
      <c r="T270" s="25">
        <f t="shared" si="95"/>
        <v>12.320763876578338</v>
      </c>
      <c r="U270" s="25">
        <f t="shared" si="95"/>
        <v>14.85029118031153</v>
      </c>
      <c r="W270" s="25">
        <f t="shared" ref="W270:AB270" si="96">W269*W264/2000</f>
        <v>7.7068981085020765</v>
      </c>
      <c r="X270" s="25">
        <f t="shared" si="96"/>
        <v>8.4635048112063309</v>
      </c>
      <c r="Y270" s="25">
        <f t="shared" si="96"/>
        <v>10.535756429187154</v>
      </c>
      <c r="Z270" s="25">
        <f t="shared" si="96"/>
        <v>11.471320351908055</v>
      </c>
      <c r="AA270" s="25">
        <f t="shared" si="96"/>
        <v>12.459472412283979</v>
      </c>
      <c r="AB270" s="25">
        <f t="shared" si="96"/>
        <v>14.85029118031153</v>
      </c>
      <c r="AD270" s="25">
        <f t="shared" ref="AD270:AI270" si="97">AD269*AD264/2000</f>
        <v>7.7761202511967022</v>
      </c>
      <c r="AE270" s="25">
        <f t="shared" si="97"/>
        <v>8.5423835102643455</v>
      </c>
      <c r="AF270" s="25">
        <f t="shared" si="97"/>
        <v>10.625817742850806</v>
      </c>
      <c r="AG270" s="25">
        <f t="shared" si="97"/>
        <v>11.596576708609172</v>
      </c>
      <c r="AH270" s="25">
        <f t="shared" si="97"/>
        <v>12.62846871687384</v>
      </c>
      <c r="AI270" s="25">
        <f t="shared" si="97"/>
        <v>14.85029118031153</v>
      </c>
      <c r="AK270" s="25">
        <f t="shared" ref="AK270:AP270" si="98">AK269*AK264/2000</f>
        <v>7.8462815041897569</v>
      </c>
      <c r="AL270" s="25">
        <f t="shared" si="98"/>
        <v>8.6212551626040277</v>
      </c>
      <c r="AM270" s="25">
        <f t="shared" si="98"/>
        <v>10.736759102856148</v>
      </c>
      <c r="AN270" s="25">
        <f t="shared" si="98"/>
        <v>11.745700452446412</v>
      </c>
      <c r="AO270" s="25">
        <f t="shared" si="98"/>
        <v>12.801843620885228</v>
      </c>
      <c r="AP270" s="25">
        <f t="shared" si="98"/>
        <v>14.85029118031153</v>
      </c>
      <c r="AR270" s="25">
        <f t="shared" ref="AR270:AW270" si="99">AR269*AR264/2000</f>
        <v>7.9104108976674956</v>
      </c>
      <c r="AS270" s="25">
        <f t="shared" si="99"/>
        <v>8.6948652416294792</v>
      </c>
      <c r="AT270" s="25">
        <f t="shared" si="99"/>
        <v>10.848681532963903</v>
      </c>
      <c r="AU270" s="25">
        <f t="shared" si="99"/>
        <v>11.900752212302072</v>
      </c>
      <c r="AV270" s="25">
        <f t="shared" si="99"/>
        <v>12.98350937591966</v>
      </c>
      <c r="AW270" s="25">
        <f t="shared" si="99"/>
        <v>14.85029118031153</v>
      </c>
      <c r="AZ270" s="369"/>
    </row>
    <row r="271" spans="1:59" x14ac:dyDescent="0.25">
      <c r="A271" s="34"/>
      <c r="B271" s="379"/>
      <c r="C271" s="379"/>
      <c r="D271" s="379"/>
      <c r="E271" s="379"/>
      <c r="F271" s="379"/>
      <c r="G271" s="379"/>
      <c r="H271" s="379"/>
      <c r="I271" s="398"/>
      <c r="J271" s="398"/>
      <c r="K271" s="398"/>
      <c r="L271" s="398"/>
      <c r="M271" s="398"/>
      <c r="N271" s="398"/>
      <c r="P271" s="398"/>
      <c r="Q271" s="398"/>
      <c r="R271" s="398"/>
      <c r="S271" s="398"/>
      <c r="T271" s="398"/>
      <c r="U271" s="398"/>
      <c r="W271" s="398"/>
      <c r="X271" s="398"/>
      <c r="Y271" s="398"/>
      <c r="Z271" s="398"/>
      <c r="AA271" s="398"/>
      <c r="AB271" s="398"/>
      <c r="AD271" s="398"/>
      <c r="AE271" s="398"/>
      <c r="AF271" s="398"/>
      <c r="AG271" s="398"/>
      <c r="AH271" s="398"/>
      <c r="AI271" s="398"/>
      <c r="AK271" s="398"/>
      <c r="AL271" s="398"/>
      <c r="AM271" s="398"/>
      <c r="AN271" s="398"/>
      <c r="AO271" s="398"/>
      <c r="AP271" s="398"/>
      <c r="AR271" s="398"/>
      <c r="AS271" s="398"/>
      <c r="AT271" s="398"/>
      <c r="AU271" s="398"/>
      <c r="AV271" s="398"/>
      <c r="AW271" s="398"/>
      <c r="AY271" s="2"/>
      <c r="AZ271" s="13"/>
      <c r="BB271" s="379"/>
      <c r="BC271" s="379"/>
      <c r="BD271" s="379"/>
      <c r="BE271" s="379"/>
      <c r="BF271" s="379"/>
      <c r="BG271" s="379"/>
    </row>
    <row r="272" spans="1:59" x14ac:dyDescent="0.25">
      <c r="A272" s="17" t="s">
        <v>49</v>
      </c>
      <c r="B272" s="293"/>
      <c r="C272" s="293"/>
      <c r="D272" s="293"/>
      <c r="E272" s="293"/>
      <c r="F272" s="293"/>
      <c r="G272" s="293"/>
      <c r="H272" s="293"/>
      <c r="I272" s="293"/>
      <c r="J272" s="293"/>
      <c r="K272" s="293"/>
      <c r="L272" s="293"/>
      <c r="M272" s="293"/>
      <c r="N272" s="293"/>
      <c r="P272" s="293"/>
      <c r="Q272" s="293"/>
      <c r="R272" s="293"/>
      <c r="S272" s="293"/>
      <c r="T272" s="293"/>
      <c r="U272" s="293"/>
      <c r="W272" s="293"/>
      <c r="X272" s="293"/>
      <c r="Y272" s="293"/>
      <c r="Z272" s="293"/>
      <c r="AA272" s="293"/>
      <c r="AB272" s="293"/>
      <c r="AD272" s="293"/>
      <c r="AE272" s="293"/>
      <c r="AF272" s="293"/>
      <c r="AG272" s="293"/>
      <c r="AH272" s="293"/>
      <c r="AI272" s="293"/>
      <c r="AK272" s="293"/>
      <c r="AL272" s="293"/>
      <c r="AM272" s="293"/>
      <c r="AN272" s="293"/>
      <c r="AO272" s="293"/>
      <c r="AP272" s="293"/>
      <c r="AR272" s="293"/>
      <c r="AS272" s="293"/>
      <c r="AT272" s="293"/>
      <c r="AU272" s="293"/>
      <c r="AV272" s="293"/>
      <c r="AW272" s="293"/>
    </row>
    <row r="273" spans="1:53" x14ac:dyDescent="0.25">
      <c r="A273" s="42" t="s">
        <v>402</v>
      </c>
      <c r="B273" s="14">
        <v>0.56000000000000005</v>
      </c>
      <c r="C273" s="14">
        <v>0.56000000000000005</v>
      </c>
      <c r="D273" s="14">
        <v>0.56000000000000005</v>
      </c>
      <c r="E273" s="14">
        <v>0.56000000000000005</v>
      </c>
      <c r="F273" s="14">
        <v>0.56000000000000005</v>
      </c>
      <c r="G273" s="14">
        <v>0.56000000000000005</v>
      </c>
      <c r="H273" s="403"/>
      <c r="I273" s="14">
        <v>0.56000000000000005</v>
      </c>
      <c r="J273" s="14">
        <v>0.56000000000000005</v>
      </c>
      <c r="K273" s="14">
        <v>0.56000000000000005</v>
      </c>
      <c r="L273" s="14">
        <v>0.56000000000000005</v>
      </c>
      <c r="M273" s="14">
        <v>0.56000000000000005</v>
      </c>
      <c r="N273" s="14">
        <v>0.56000000000000005</v>
      </c>
      <c r="P273" s="14">
        <v>0.56000000000000005</v>
      </c>
      <c r="Q273" s="14">
        <v>0.56000000000000005</v>
      </c>
      <c r="R273" s="14">
        <v>0.56000000000000005</v>
      </c>
      <c r="S273" s="14">
        <v>0.56000000000000005</v>
      </c>
      <c r="T273" s="14">
        <v>0.56000000000000005</v>
      </c>
      <c r="U273" s="14">
        <v>0.56000000000000005</v>
      </c>
      <c r="W273" s="14">
        <v>0.56000000000000005</v>
      </c>
      <c r="X273" s="14">
        <v>0.56000000000000005</v>
      </c>
      <c r="Y273" s="14">
        <v>0.56000000000000005</v>
      </c>
      <c r="Z273" s="14">
        <v>0.56000000000000005</v>
      </c>
      <c r="AA273" s="14">
        <v>0.56000000000000005</v>
      </c>
      <c r="AB273" s="14">
        <v>0.56000000000000005</v>
      </c>
      <c r="AD273" s="14">
        <v>0.56000000000000005</v>
      </c>
      <c r="AE273" s="14">
        <v>0.56000000000000005</v>
      </c>
      <c r="AF273" s="14">
        <v>0.56000000000000005</v>
      </c>
      <c r="AG273" s="14">
        <v>0.56000000000000005</v>
      </c>
      <c r="AH273" s="14">
        <v>0.56000000000000005</v>
      </c>
      <c r="AI273" s="14">
        <v>0.56000000000000005</v>
      </c>
      <c r="AK273" s="14">
        <v>0.56000000000000005</v>
      </c>
      <c r="AL273" s="14">
        <v>0.56000000000000005</v>
      </c>
      <c r="AM273" s="14">
        <v>0.56000000000000005</v>
      </c>
      <c r="AN273" s="14">
        <v>0.56000000000000005</v>
      </c>
      <c r="AO273" s="14">
        <v>0.56000000000000005</v>
      </c>
      <c r="AP273" s="14">
        <v>0.56000000000000005</v>
      </c>
      <c r="AR273" s="14">
        <v>0.56000000000000005</v>
      </c>
      <c r="AS273" s="14">
        <v>0.56000000000000005</v>
      </c>
      <c r="AT273" s="14">
        <v>0.56000000000000005</v>
      </c>
      <c r="AU273" s="14">
        <v>0.56000000000000005</v>
      </c>
      <c r="AV273" s="14">
        <v>0.56000000000000005</v>
      </c>
      <c r="AW273" s="14">
        <v>0.56000000000000005</v>
      </c>
      <c r="BA273" s="2"/>
    </row>
    <row r="274" spans="1:53" x14ac:dyDescent="0.25">
      <c r="A274" s="42" t="s">
        <v>401</v>
      </c>
      <c r="B274" s="14"/>
      <c r="C274" s="14"/>
      <c r="D274" s="14"/>
      <c r="E274" s="14"/>
      <c r="F274" s="14"/>
      <c r="G274" s="14"/>
      <c r="H274" s="231"/>
      <c r="I274" s="14"/>
      <c r="J274" s="14"/>
      <c r="K274" s="14"/>
      <c r="L274" s="14"/>
      <c r="M274" s="14"/>
      <c r="N274" s="14"/>
      <c r="O274" s="200"/>
      <c r="P274" s="14"/>
      <c r="Q274" s="14"/>
      <c r="R274" s="14"/>
      <c r="S274" s="14"/>
      <c r="T274" s="14"/>
      <c r="U274" s="14"/>
      <c r="W274" s="14"/>
      <c r="X274" s="14"/>
      <c r="Y274" s="14"/>
      <c r="Z274" s="14"/>
      <c r="AA274" s="14"/>
      <c r="AB274" s="14"/>
      <c r="AD274" s="14"/>
      <c r="AE274" s="14"/>
      <c r="AF274" s="14"/>
      <c r="AG274" s="14"/>
      <c r="AH274" s="14"/>
      <c r="AI274" s="14"/>
      <c r="AK274" s="14"/>
      <c r="AL274" s="14"/>
      <c r="AM274" s="14"/>
      <c r="AN274" s="14"/>
      <c r="AO274" s="14"/>
      <c r="AP274" s="14"/>
      <c r="AR274" s="14"/>
      <c r="AS274" s="14"/>
      <c r="AT274" s="14"/>
      <c r="AU274" s="14"/>
      <c r="AV274" s="14"/>
      <c r="AW274" s="14"/>
    </row>
    <row r="275" spans="1:53" x14ac:dyDescent="0.25">
      <c r="A275" s="43" t="s">
        <v>400</v>
      </c>
      <c r="B275" s="14">
        <f t="shared" ref="B275:G275" si="100" xml:space="preserve"> 0.000000416*((B5+B6)/2)^2 - 0.000036654*((B5+B6)/2) + 0.280606061</f>
        <v>0.28002731600000003</v>
      </c>
      <c r="C275" s="14">
        <f t="shared" si="100"/>
        <v>0.281219626</v>
      </c>
      <c r="D275" s="14">
        <f t="shared" si="100"/>
        <v>0.28362810100000002</v>
      </c>
      <c r="E275" s="14">
        <f t="shared" si="100"/>
        <v>0.28748674100000005</v>
      </c>
      <c r="F275" s="14">
        <f t="shared" si="100"/>
        <v>0.29267658100000005</v>
      </c>
      <c r="G275" s="14">
        <f t="shared" si="100"/>
        <v>0.29964938600000002</v>
      </c>
      <c r="H275" s="231"/>
      <c r="I275" s="14">
        <f t="shared" ref="I275:N275" si="101" xml:space="preserve"> 0.000000416*((I5+I6)/2)^2 - 0.000036654*((I5+I6)/2) + 0.280606061</f>
        <v>0.28002731600000003</v>
      </c>
      <c r="J275" s="14">
        <f t="shared" si="101"/>
        <v>0.281219626</v>
      </c>
      <c r="K275" s="14">
        <f t="shared" si="101"/>
        <v>0.28362810100000002</v>
      </c>
      <c r="L275" s="14">
        <f t="shared" si="101"/>
        <v>0.28748674100000005</v>
      </c>
      <c r="M275" s="14">
        <f t="shared" si="101"/>
        <v>0.29267658100000005</v>
      </c>
      <c r="N275" s="14">
        <f t="shared" si="101"/>
        <v>0.29964938600000002</v>
      </c>
      <c r="O275" s="200"/>
      <c r="P275" s="14">
        <f t="shared" ref="P275:U275" si="102" xml:space="preserve"> 0.000000416*((P5+P6)/2)^2 - 0.000036654*((P5+P6)/2) + 0.280606061</f>
        <v>0.28002731600000003</v>
      </c>
      <c r="Q275" s="14">
        <f t="shared" si="102"/>
        <v>0.281219626</v>
      </c>
      <c r="R275" s="14">
        <f t="shared" si="102"/>
        <v>0.28362810100000002</v>
      </c>
      <c r="S275" s="14">
        <f t="shared" si="102"/>
        <v>0.28748674100000005</v>
      </c>
      <c r="T275" s="14">
        <f t="shared" si="102"/>
        <v>0.29267658100000005</v>
      </c>
      <c r="U275" s="14">
        <f t="shared" si="102"/>
        <v>0.29964938600000002</v>
      </c>
      <c r="W275" s="14">
        <f t="shared" ref="W275:AB275" si="103" xml:space="preserve"> 0.000000416*((W5+W6)/2)^2 - 0.000036654*((W5+W6)/2) + 0.280606061</f>
        <v>0.28002731600000003</v>
      </c>
      <c r="X275" s="14">
        <f t="shared" si="103"/>
        <v>0.281219626</v>
      </c>
      <c r="Y275" s="14">
        <f t="shared" si="103"/>
        <v>0.28362810100000002</v>
      </c>
      <c r="Z275" s="14">
        <f t="shared" si="103"/>
        <v>0.28748674100000005</v>
      </c>
      <c r="AA275" s="14">
        <f t="shared" si="103"/>
        <v>0.29267658100000005</v>
      </c>
      <c r="AB275" s="14">
        <f t="shared" si="103"/>
        <v>0.29964938600000002</v>
      </c>
      <c r="AD275" s="14">
        <f t="shared" ref="AD275:AI275" si="104" xml:space="preserve"> 0.000000416*((AD5+AD6)/2)^2 - 0.000036654*((AD5+AD6)/2) + 0.280606061</f>
        <v>0.28002731600000003</v>
      </c>
      <c r="AE275" s="14">
        <f t="shared" si="104"/>
        <v>0.281219626</v>
      </c>
      <c r="AF275" s="14">
        <f t="shared" si="104"/>
        <v>0.28362810100000002</v>
      </c>
      <c r="AG275" s="14">
        <f t="shared" si="104"/>
        <v>0.28748674100000005</v>
      </c>
      <c r="AH275" s="14">
        <f t="shared" si="104"/>
        <v>0.29267658100000005</v>
      </c>
      <c r="AI275" s="14">
        <f t="shared" si="104"/>
        <v>0.29964938600000002</v>
      </c>
      <c r="AK275" s="14">
        <f t="shared" ref="AK275:AP275" si="105" xml:space="preserve"> 0.000000416*((AK5+AK6)/2)^2 - 0.000036654*((AK5+AK6)/2) + 0.280606061</f>
        <v>0.28002731600000003</v>
      </c>
      <c r="AL275" s="14">
        <f t="shared" si="105"/>
        <v>0.281219626</v>
      </c>
      <c r="AM275" s="14">
        <f t="shared" si="105"/>
        <v>0.28362810100000002</v>
      </c>
      <c r="AN275" s="14">
        <f t="shared" si="105"/>
        <v>0.28748674100000005</v>
      </c>
      <c r="AO275" s="14">
        <f t="shared" si="105"/>
        <v>0.29267658100000005</v>
      </c>
      <c r="AP275" s="14">
        <f t="shared" si="105"/>
        <v>0.29964938600000002</v>
      </c>
      <c r="AR275" s="14">
        <f t="shared" ref="AR275:AW275" si="106" xml:space="preserve"> 0.000000416*((AR5+AR6)/2)^2 - 0.000036654*((AR5+AR6)/2) + 0.280606061</f>
        <v>0.28002731600000003</v>
      </c>
      <c r="AS275" s="14">
        <f t="shared" si="106"/>
        <v>0.281219626</v>
      </c>
      <c r="AT275" s="14">
        <f t="shared" si="106"/>
        <v>0.28362810100000002</v>
      </c>
      <c r="AU275" s="14">
        <f t="shared" si="106"/>
        <v>0.28748674100000005</v>
      </c>
      <c r="AV275" s="14">
        <f t="shared" si="106"/>
        <v>0.29267658100000005</v>
      </c>
      <c r="AW275" s="14">
        <f t="shared" si="106"/>
        <v>0.29964938600000002</v>
      </c>
    </row>
    <row r="276" spans="1:53" x14ac:dyDescent="0.25">
      <c r="A276" s="43" t="s">
        <v>399</v>
      </c>
      <c r="B276" s="14">
        <v>0.55900000000000005</v>
      </c>
      <c r="C276" s="14">
        <v>0.55900000000000005</v>
      </c>
      <c r="D276" s="14">
        <v>0.55900000000000005</v>
      </c>
      <c r="E276" s="14">
        <v>0.56899999999999995</v>
      </c>
      <c r="F276" s="14">
        <v>0.56899999999999995</v>
      </c>
      <c r="G276" s="14">
        <v>0.57899999999999996</v>
      </c>
      <c r="H276" s="231"/>
      <c r="I276" s="14">
        <v>0.55900000000000005</v>
      </c>
      <c r="J276" s="14">
        <v>0.55900000000000005</v>
      </c>
      <c r="K276" s="14">
        <v>0.55900000000000005</v>
      </c>
      <c r="L276" s="14">
        <v>0.56899999999999995</v>
      </c>
      <c r="M276" s="14">
        <v>0.56899999999999995</v>
      </c>
      <c r="N276" s="14">
        <v>0.57899999999999996</v>
      </c>
      <c r="O276" s="200"/>
      <c r="P276" s="14">
        <v>0.55900000000000005</v>
      </c>
      <c r="Q276" s="14">
        <v>0.55900000000000005</v>
      </c>
      <c r="R276" s="14">
        <v>0.55900000000000005</v>
      </c>
      <c r="S276" s="14">
        <v>0.56899999999999995</v>
      </c>
      <c r="T276" s="14">
        <v>0.56899999999999995</v>
      </c>
      <c r="U276" s="14">
        <v>0.57899999999999996</v>
      </c>
      <c r="W276" s="14">
        <v>0.55900000000000005</v>
      </c>
      <c r="X276" s="14">
        <v>0.55900000000000005</v>
      </c>
      <c r="Y276" s="14">
        <v>0.55900000000000005</v>
      </c>
      <c r="Z276" s="14">
        <v>0.56899999999999995</v>
      </c>
      <c r="AA276" s="14">
        <v>0.56899999999999995</v>
      </c>
      <c r="AB276" s="14">
        <v>0.57899999999999996</v>
      </c>
      <c r="AD276" s="14">
        <v>0.55900000000000005</v>
      </c>
      <c r="AE276" s="14">
        <v>0.55900000000000005</v>
      </c>
      <c r="AF276" s="14">
        <v>0.55900000000000005</v>
      </c>
      <c r="AG276" s="14">
        <v>0.56899999999999995</v>
      </c>
      <c r="AH276" s="14">
        <v>0.56899999999999995</v>
      </c>
      <c r="AI276" s="14">
        <v>0.57899999999999996</v>
      </c>
      <c r="AK276" s="14">
        <v>0.55900000000000005</v>
      </c>
      <c r="AL276" s="14">
        <v>0.55900000000000005</v>
      </c>
      <c r="AM276" s="14">
        <v>0.55900000000000005</v>
      </c>
      <c r="AN276" s="14">
        <v>0.56899999999999995</v>
      </c>
      <c r="AO276" s="14">
        <v>0.56899999999999995</v>
      </c>
      <c r="AP276" s="14">
        <v>0.57899999999999996</v>
      </c>
      <c r="AR276" s="14">
        <v>0.55900000000000005</v>
      </c>
      <c r="AS276" s="14">
        <v>0.55900000000000005</v>
      </c>
      <c r="AT276" s="14">
        <v>0.55900000000000005</v>
      </c>
      <c r="AU276" s="14">
        <v>0.56899999999999995</v>
      </c>
      <c r="AV276" s="14">
        <v>0.56899999999999995</v>
      </c>
      <c r="AW276" s="14">
        <v>0.57899999999999996</v>
      </c>
    </row>
    <row r="277" spans="1:53" x14ac:dyDescent="0.25">
      <c r="A277" s="43" t="s">
        <v>398</v>
      </c>
      <c r="B277" s="14">
        <v>0.61899999999999999</v>
      </c>
      <c r="C277" s="14">
        <v>0.61899999999999999</v>
      </c>
      <c r="D277" s="14">
        <v>0.61899999999999999</v>
      </c>
      <c r="E277" s="14">
        <v>0.629</v>
      </c>
      <c r="F277" s="14">
        <v>0.629</v>
      </c>
      <c r="G277" s="14">
        <v>0.63900000000000001</v>
      </c>
      <c r="H277" s="231"/>
      <c r="I277" s="14">
        <v>0.61899999999999999</v>
      </c>
      <c r="J277" s="14">
        <v>0.61899999999999999</v>
      </c>
      <c r="K277" s="14">
        <v>0.61899999999999999</v>
      </c>
      <c r="L277" s="14">
        <v>0.629</v>
      </c>
      <c r="M277" s="14">
        <v>0.629</v>
      </c>
      <c r="N277" s="14">
        <v>0.63900000000000001</v>
      </c>
      <c r="O277" s="200"/>
      <c r="P277" s="14">
        <v>0.61899999999999999</v>
      </c>
      <c r="Q277" s="14">
        <v>0.61899999999999999</v>
      </c>
      <c r="R277" s="14">
        <v>0.61899999999999999</v>
      </c>
      <c r="S277" s="14">
        <v>0.629</v>
      </c>
      <c r="T277" s="14">
        <v>0.629</v>
      </c>
      <c r="U277" s="14">
        <v>0.63900000000000001</v>
      </c>
      <c r="W277" s="14">
        <v>0.61899999999999999</v>
      </c>
      <c r="X277" s="14">
        <v>0.61899999999999999</v>
      </c>
      <c r="Y277" s="14">
        <v>0.61899999999999999</v>
      </c>
      <c r="Z277" s="14">
        <v>0.629</v>
      </c>
      <c r="AA277" s="14">
        <v>0.629</v>
      </c>
      <c r="AB277" s="14">
        <v>0.63900000000000001</v>
      </c>
      <c r="AD277" s="14">
        <v>0.61899999999999999</v>
      </c>
      <c r="AE277" s="14">
        <v>0.61899999999999999</v>
      </c>
      <c r="AF277" s="14">
        <v>0.61899999999999999</v>
      </c>
      <c r="AG277" s="14">
        <v>0.629</v>
      </c>
      <c r="AH277" s="14">
        <v>0.629</v>
      </c>
      <c r="AI277" s="14">
        <v>0.63900000000000001</v>
      </c>
      <c r="AK277" s="14">
        <v>0.61899999999999999</v>
      </c>
      <c r="AL277" s="14">
        <v>0.61899999999999999</v>
      </c>
      <c r="AM277" s="14">
        <v>0.61899999999999999</v>
      </c>
      <c r="AN277" s="14">
        <v>0.629</v>
      </c>
      <c r="AO277" s="14">
        <v>0.629</v>
      </c>
      <c r="AP277" s="14">
        <v>0.63900000000000001</v>
      </c>
      <c r="AR277" s="14">
        <v>0.61899999999999999</v>
      </c>
      <c r="AS277" s="14">
        <v>0.61899999999999999</v>
      </c>
      <c r="AT277" s="14">
        <v>0.61899999999999999</v>
      </c>
      <c r="AU277" s="14">
        <v>0.629</v>
      </c>
      <c r="AV277" s="14">
        <v>0.629</v>
      </c>
      <c r="AW277" s="14">
        <v>0.63900000000000001</v>
      </c>
    </row>
    <row r="278" spans="1:53" x14ac:dyDescent="0.25">
      <c r="A278" s="43" t="s">
        <v>397</v>
      </c>
      <c r="B278" s="14">
        <v>0.189</v>
      </c>
      <c r="C278" s="14">
        <v>0.189</v>
      </c>
      <c r="D278" s="14">
        <v>0.189</v>
      </c>
      <c r="E278" s="14">
        <v>0.189</v>
      </c>
      <c r="F278" s="14">
        <v>0.189</v>
      </c>
      <c r="G278" s="14">
        <v>0.189</v>
      </c>
      <c r="H278" s="231"/>
      <c r="I278" s="14">
        <v>0.189</v>
      </c>
      <c r="J278" s="14">
        <v>0.189</v>
      </c>
      <c r="K278" s="14">
        <v>0.189</v>
      </c>
      <c r="L278" s="14">
        <v>0.189</v>
      </c>
      <c r="M278" s="14">
        <v>0.189</v>
      </c>
      <c r="N278" s="14">
        <v>0.189</v>
      </c>
      <c r="O278" s="200"/>
      <c r="P278" s="14">
        <v>0.189</v>
      </c>
      <c r="Q278" s="14">
        <v>0.189</v>
      </c>
      <c r="R278" s="14">
        <v>0.189</v>
      </c>
      <c r="S278" s="14">
        <v>0.189</v>
      </c>
      <c r="T278" s="14">
        <v>0.189</v>
      </c>
      <c r="U278" s="14">
        <v>0.189</v>
      </c>
      <c r="W278" s="14">
        <v>0.189</v>
      </c>
      <c r="X278" s="14">
        <v>0.189</v>
      </c>
      <c r="Y278" s="14">
        <v>0.189</v>
      </c>
      <c r="Z278" s="14">
        <v>0.189</v>
      </c>
      <c r="AA278" s="14">
        <v>0.189</v>
      </c>
      <c r="AB278" s="14">
        <v>0.189</v>
      </c>
      <c r="AD278" s="14">
        <v>0.189</v>
      </c>
      <c r="AE278" s="14">
        <v>0.189</v>
      </c>
      <c r="AF278" s="14">
        <v>0.189</v>
      </c>
      <c r="AG278" s="14">
        <v>0.189</v>
      </c>
      <c r="AH278" s="14">
        <v>0.189</v>
      </c>
      <c r="AI278" s="14">
        <v>0.189</v>
      </c>
      <c r="AK278" s="14">
        <v>0.189</v>
      </c>
      <c r="AL278" s="14">
        <v>0.189</v>
      </c>
      <c r="AM278" s="14">
        <v>0.189</v>
      </c>
      <c r="AN278" s="14">
        <v>0.189</v>
      </c>
      <c r="AO278" s="14">
        <v>0.189</v>
      </c>
      <c r="AP278" s="14">
        <v>0.189</v>
      </c>
      <c r="AR278" s="14">
        <v>0.189</v>
      </c>
      <c r="AS278" s="14">
        <v>0.189</v>
      </c>
      <c r="AT278" s="14">
        <v>0.189</v>
      </c>
      <c r="AU278" s="14">
        <v>0.189</v>
      </c>
      <c r="AV278" s="14">
        <v>0.189</v>
      </c>
      <c r="AW278" s="14">
        <v>0.189</v>
      </c>
    </row>
    <row r="279" spans="1:53" x14ac:dyDescent="0.25">
      <c r="A279" s="43" t="s">
        <v>396</v>
      </c>
      <c r="B279" s="14">
        <v>0.67900000000000005</v>
      </c>
      <c r="C279" s="14">
        <v>0.67900000000000005</v>
      </c>
      <c r="D279" s="14">
        <v>0.67900000000000005</v>
      </c>
      <c r="E279" s="14">
        <v>0.67900000000000005</v>
      </c>
      <c r="F279" s="14">
        <v>0.67900000000000005</v>
      </c>
      <c r="G279" s="14">
        <v>0.67900000000000005</v>
      </c>
      <c r="H279" s="231"/>
      <c r="I279" s="14">
        <v>0.67900000000000005</v>
      </c>
      <c r="J279" s="14">
        <v>0.67900000000000005</v>
      </c>
      <c r="K279" s="14">
        <v>0.67900000000000005</v>
      </c>
      <c r="L279" s="14">
        <v>0.67900000000000005</v>
      </c>
      <c r="M279" s="14">
        <v>0.67900000000000005</v>
      </c>
      <c r="N279" s="14">
        <v>0.67900000000000005</v>
      </c>
      <c r="O279" s="200"/>
      <c r="P279" s="14">
        <v>0.67900000000000005</v>
      </c>
      <c r="Q279" s="14">
        <v>0.67900000000000005</v>
      </c>
      <c r="R279" s="14">
        <v>0.67900000000000005</v>
      </c>
      <c r="S279" s="14">
        <v>0.67900000000000005</v>
      </c>
      <c r="T279" s="14">
        <v>0.67900000000000005</v>
      </c>
      <c r="U279" s="14">
        <v>0.67900000000000005</v>
      </c>
      <c r="W279" s="14">
        <v>0.67900000000000005</v>
      </c>
      <c r="X279" s="14">
        <v>0.67900000000000005</v>
      </c>
      <c r="Y279" s="14">
        <v>0.67900000000000005</v>
      </c>
      <c r="Z279" s="14">
        <v>0.67900000000000005</v>
      </c>
      <c r="AA279" s="14">
        <v>0.67900000000000005</v>
      </c>
      <c r="AB279" s="14">
        <v>0.67900000000000005</v>
      </c>
      <c r="AD279" s="14">
        <v>0.67900000000000005</v>
      </c>
      <c r="AE279" s="14">
        <v>0.67900000000000005</v>
      </c>
      <c r="AF279" s="14">
        <v>0.67900000000000005</v>
      </c>
      <c r="AG279" s="14">
        <v>0.67900000000000005</v>
      </c>
      <c r="AH279" s="14">
        <v>0.67900000000000005</v>
      </c>
      <c r="AI279" s="14">
        <v>0.67900000000000005</v>
      </c>
      <c r="AK279" s="14">
        <v>0.67900000000000005</v>
      </c>
      <c r="AL279" s="14">
        <v>0.67900000000000005</v>
      </c>
      <c r="AM279" s="14">
        <v>0.67900000000000005</v>
      </c>
      <c r="AN279" s="14">
        <v>0.67900000000000005</v>
      </c>
      <c r="AO279" s="14">
        <v>0.67900000000000005</v>
      </c>
      <c r="AP279" s="14">
        <v>0.67900000000000005</v>
      </c>
      <c r="AR279" s="14">
        <v>0.67900000000000005</v>
      </c>
      <c r="AS279" s="14">
        <v>0.67900000000000005</v>
      </c>
      <c r="AT279" s="14">
        <v>0.67900000000000005</v>
      </c>
      <c r="AU279" s="14">
        <v>0.67900000000000005</v>
      </c>
      <c r="AV279" s="14">
        <v>0.67900000000000005</v>
      </c>
      <c r="AW279" s="14">
        <v>0.67900000000000005</v>
      </c>
    </row>
    <row r="280" spans="1:53" x14ac:dyDescent="0.25">
      <c r="A280" s="43" t="s">
        <v>395</v>
      </c>
      <c r="B280" s="14">
        <v>0.31</v>
      </c>
      <c r="C280" s="14">
        <v>0.31</v>
      </c>
      <c r="D280" s="14">
        <v>0.31</v>
      </c>
      <c r="E280" s="14">
        <v>0.31</v>
      </c>
      <c r="F280" s="14">
        <v>0.31</v>
      </c>
      <c r="G280" s="14">
        <v>0.31</v>
      </c>
      <c r="H280" s="231"/>
      <c r="I280" s="14">
        <v>0.31</v>
      </c>
      <c r="J280" s="14">
        <v>0.31</v>
      </c>
      <c r="K280" s="14">
        <v>0.31</v>
      </c>
      <c r="L280" s="14">
        <v>0.31</v>
      </c>
      <c r="M280" s="14">
        <v>0.31</v>
      </c>
      <c r="N280" s="14">
        <v>0.31</v>
      </c>
      <c r="O280" s="200"/>
      <c r="P280" s="14">
        <v>0.31</v>
      </c>
      <c r="Q280" s="14">
        <v>0.31</v>
      </c>
      <c r="R280" s="14">
        <v>0.31</v>
      </c>
      <c r="S280" s="14">
        <v>0.31</v>
      </c>
      <c r="T280" s="14">
        <v>0.31</v>
      </c>
      <c r="U280" s="14">
        <v>0.31</v>
      </c>
      <c r="W280" s="14">
        <v>0.31</v>
      </c>
      <c r="X280" s="14">
        <v>0.31</v>
      </c>
      <c r="Y280" s="14">
        <v>0.31</v>
      </c>
      <c r="Z280" s="14">
        <v>0.31</v>
      </c>
      <c r="AA280" s="14">
        <v>0.31</v>
      </c>
      <c r="AB280" s="14">
        <v>0.31</v>
      </c>
      <c r="AD280" s="14">
        <v>0.31</v>
      </c>
      <c r="AE280" s="14">
        <v>0.31</v>
      </c>
      <c r="AF280" s="14">
        <v>0.31</v>
      </c>
      <c r="AG280" s="14">
        <v>0.31</v>
      </c>
      <c r="AH280" s="14">
        <v>0.31</v>
      </c>
      <c r="AI280" s="14">
        <v>0.31</v>
      </c>
      <c r="AK280" s="14">
        <v>0.31</v>
      </c>
      <c r="AL280" s="14">
        <v>0.31</v>
      </c>
      <c r="AM280" s="14">
        <v>0.31</v>
      </c>
      <c r="AN280" s="14">
        <v>0.31</v>
      </c>
      <c r="AO280" s="14">
        <v>0.31</v>
      </c>
      <c r="AP280" s="14">
        <v>0.31</v>
      </c>
      <c r="AR280" s="14">
        <v>0.31</v>
      </c>
      <c r="AS280" s="14">
        <v>0.31</v>
      </c>
      <c r="AT280" s="14">
        <v>0.31</v>
      </c>
      <c r="AU280" s="14">
        <v>0.31</v>
      </c>
      <c r="AV280" s="14">
        <v>0.31</v>
      </c>
      <c r="AW280" s="14">
        <v>0.31</v>
      </c>
    </row>
    <row r="281" spans="1:53" x14ac:dyDescent="0.25">
      <c r="A281" s="50" t="s">
        <v>149</v>
      </c>
      <c r="B281" s="28">
        <f t="shared" ref="B281:G281" si="107">IF(AVERAGE(B5:B6)&lt;51,0.000025*((B6+B5)/2)^2 - 0.01005*((B6+B5)/2) + 1.5955,(0.00000649518*((B5+B6)/2)^2 - 0.00338103746*((B5+B6)/2) + 1.049852))</f>
        <v>0.85122563532500006</v>
      </c>
      <c r="C281" s="28">
        <f t="shared" si="107"/>
        <v>0.77153564522499996</v>
      </c>
      <c r="D281" s="28">
        <f t="shared" si="107"/>
        <v>0.70381228360000003</v>
      </c>
      <c r="E281" s="28">
        <f t="shared" si="107"/>
        <v>0.65170908920000004</v>
      </c>
      <c r="F281" s="28">
        <f t="shared" si="107"/>
        <v>0.62039047080000009</v>
      </c>
      <c r="G281" s="28">
        <f t="shared" si="107"/>
        <v>0.60988816362500009</v>
      </c>
      <c r="H281" s="28"/>
      <c r="I281" s="28">
        <f t="shared" ref="I281:N281" si="108">IF(AVERAGE(I5:I6)&lt;51,0.000025*((I6+I5)/2)^2 - 0.01005*((I6+I5)/2) + 1.5955,(0.00000649518*((I5+I6)/2)^2 - 0.00338103746*((I5+I6)/2) + 1.049852))</f>
        <v>0.85122563532500006</v>
      </c>
      <c r="J281" s="28">
        <f t="shared" si="108"/>
        <v>0.77153564522499996</v>
      </c>
      <c r="K281" s="28">
        <f t="shared" si="108"/>
        <v>0.70381228360000003</v>
      </c>
      <c r="L281" s="28">
        <f t="shared" si="108"/>
        <v>0.65170908920000004</v>
      </c>
      <c r="M281" s="28">
        <f t="shared" si="108"/>
        <v>0.62039047080000009</v>
      </c>
      <c r="N281" s="28">
        <f t="shared" si="108"/>
        <v>0.60988816362500009</v>
      </c>
      <c r="O281" s="200"/>
      <c r="P281" s="28">
        <f t="shared" ref="P281:U281" si="109">IF(AVERAGE(P5:P6)&lt;51,0.000025*((P6+P5)/2)^2 - 0.01005*((P6+P5)/2) + 1.5955,(0.00000649518*((P5+P6)/2)^2 - 0.00338103746*((P5+P6)/2) + 1.049852))</f>
        <v>0.85122563532500006</v>
      </c>
      <c r="Q281" s="28">
        <f t="shared" si="109"/>
        <v>0.77153564522499996</v>
      </c>
      <c r="R281" s="28">
        <f t="shared" si="109"/>
        <v>0.70381228360000003</v>
      </c>
      <c r="S281" s="28">
        <f t="shared" si="109"/>
        <v>0.65170908920000004</v>
      </c>
      <c r="T281" s="28">
        <f t="shared" si="109"/>
        <v>0.62039047080000009</v>
      </c>
      <c r="U281" s="28">
        <f t="shared" si="109"/>
        <v>0.60988816362500009</v>
      </c>
      <c r="W281" s="28">
        <f t="shared" ref="W281:AB281" si="110">IF(AVERAGE(W5:W6)&lt;51,0.000025*((W6+W5)/2)^2 - 0.01005*((W6+W5)/2) + 1.5955,(0.00000649518*((W5+W6)/2)^2 - 0.00338103746*((W5+W6)/2) + 1.049852))</f>
        <v>0.85122563532500006</v>
      </c>
      <c r="X281" s="28">
        <f t="shared" si="110"/>
        <v>0.77153564522499996</v>
      </c>
      <c r="Y281" s="28">
        <f t="shared" si="110"/>
        <v>0.70381228360000003</v>
      </c>
      <c r="Z281" s="28">
        <f t="shared" si="110"/>
        <v>0.65170908920000004</v>
      </c>
      <c r="AA281" s="28">
        <f t="shared" si="110"/>
        <v>0.62039047080000009</v>
      </c>
      <c r="AB281" s="28">
        <f t="shared" si="110"/>
        <v>0.60988816362500009</v>
      </c>
      <c r="AD281" s="28">
        <f t="shared" ref="AD281:AI281" si="111">IF(AVERAGE(AD5:AD6)&lt;51,0.000025*((AD6+AD5)/2)^2 - 0.01005*((AD6+AD5)/2) + 1.5955,(0.00000649518*((AD5+AD6)/2)^2 - 0.00338103746*((AD5+AD6)/2) + 1.049852))</f>
        <v>0.85122563532500006</v>
      </c>
      <c r="AE281" s="28">
        <f t="shared" si="111"/>
        <v>0.77153564522499996</v>
      </c>
      <c r="AF281" s="28">
        <f t="shared" si="111"/>
        <v>0.70381228360000003</v>
      </c>
      <c r="AG281" s="28">
        <f t="shared" si="111"/>
        <v>0.65170908920000004</v>
      </c>
      <c r="AH281" s="28">
        <f t="shared" si="111"/>
        <v>0.62039047080000009</v>
      </c>
      <c r="AI281" s="28">
        <f t="shared" si="111"/>
        <v>0.60988816362500009</v>
      </c>
      <c r="AK281" s="28">
        <f t="shared" ref="AK281:AP281" si="112">IF(AVERAGE(AK5:AK6)&lt;51,0.000025*((AK6+AK5)/2)^2 - 0.01005*((AK6+AK5)/2) + 1.5955,(0.00000649518*((AK5+AK6)/2)^2 - 0.00338103746*((AK5+AK6)/2) + 1.049852))</f>
        <v>0.85122563532500006</v>
      </c>
      <c r="AL281" s="28">
        <f t="shared" si="112"/>
        <v>0.77153564522499996</v>
      </c>
      <c r="AM281" s="28">
        <f t="shared" si="112"/>
        <v>0.70381228360000003</v>
      </c>
      <c r="AN281" s="28">
        <f t="shared" si="112"/>
        <v>0.65170908920000004</v>
      </c>
      <c r="AO281" s="28">
        <f t="shared" si="112"/>
        <v>0.62039047080000009</v>
      </c>
      <c r="AP281" s="28">
        <f t="shared" si="112"/>
        <v>0.60988816362500009</v>
      </c>
      <c r="AR281" s="28">
        <f t="shared" ref="AR281:AW281" si="113">IF(AVERAGE(AR5:AR6)&lt;51,0.000025*((AR6+AR5)/2)^2 - 0.01005*((AR6+AR5)/2) + 1.5955,(0.00000649518*((AR5+AR6)/2)^2 - 0.00338103746*((AR5+AR6)/2) + 1.049852))</f>
        <v>0.85122563532500006</v>
      </c>
      <c r="AS281" s="28">
        <f t="shared" si="113"/>
        <v>0.77153564522499996</v>
      </c>
      <c r="AT281" s="28">
        <f t="shared" si="113"/>
        <v>0.70381228360000003</v>
      </c>
      <c r="AU281" s="28">
        <f t="shared" si="113"/>
        <v>0.65170908920000004</v>
      </c>
      <c r="AV281" s="28">
        <f t="shared" si="113"/>
        <v>0.62039047080000009</v>
      </c>
      <c r="AW281" s="28">
        <f t="shared" si="113"/>
        <v>0.60988816362500009</v>
      </c>
    </row>
    <row r="282" spans="1:53" x14ac:dyDescent="0.25">
      <c r="A282" s="50" t="s">
        <v>150</v>
      </c>
      <c r="B282" s="28">
        <f t="shared" ref="B282:G282" si="114">IF(AVERAGE(B5:B6)&lt;51,0.000025*((B6+B5)/2)^2 - 0.01005*((B6+B5)/2) + 1.5955,0.00000649518*((B6+B5)/2)^2 - 0.00338103746*((B6+B5)/2) + 1.3529)</f>
        <v>1.154273635325</v>
      </c>
      <c r="C282" s="28">
        <f t="shared" si="114"/>
        <v>1.0745836452249999</v>
      </c>
      <c r="D282" s="28">
        <f t="shared" si="114"/>
        <v>1.0068602836</v>
      </c>
      <c r="E282" s="28">
        <f t="shared" si="114"/>
        <v>0.95475708920000002</v>
      </c>
      <c r="F282" s="28">
        <f t="shared" si="114"/>
        <v>0.92343847080000008</v>
      </c>
      <c r="G282" s="28">
        <f t="shared" si="114"/>
        <v>0.91293616362500007</v>
      </c>
      <c r="H282" s="28"/>
      <c r="I282" s="28">
        <f t="shared" ref="I282:N282" si="115">IF(AVERAGE(I5:I6)&lt;51,0.000025*((I6+I5)/2)^2 - 0.01005*((I6+I5)/2) + 1.5955,0.00000649518*((I6+I5)/2)^2 - 0.00338103746*((I6+I5)/2) + 1.3529)</f>
        <v>1.154273635325</v>
      </c>
      <c r="J282" s="28">
        <f t="shared" si="115"/>
        <v>1.0745836452249999</v>
      </c>
      <c r="K282" s="28">
        <f t="shared" si="115"/>
        <v>1.0068602836</v>
      </c>
      <c r="L282" s="28">
        <f t="shared" si="115"/>
        <v>0.95475708920000002</v>
      </c>
      <c r="M282" s="28">
        <f t="shared" si="115"/>
        <v>0.92343847080000008</v>
      </c>
      <c r="N282" s="28">
        <f t="shared" si="115"/>
        <v>0.91293616362500007</v>
      </c>
      <c r="O282" s="28"/>
      <c r="P282" s="28">
        <f t="shared" ref="P282:U282" si="116">IF(AVERAGE(P5:P6)&lt;51,0.000025*((P6+P5)/2)^2 - 0.01005*((P6+P5)/2) + 1.5955,0.00000649518*((P6+P5)/2)^2 - 0.00338103746*((P6+P5)/2) + 1.3529)</f>
        <v>1.154273635325</v>
      </c>
      <c r="Q282" s="28">
        <f t="shared" si="116"/>
        <v>1.0745836452249999</v>
      </c>
      <c r="R282" s="28">
        <f t="shared" si="116"/>
        <v>1.0068602836</v>
      </c>
      <c r="S282" s="28">
        <f t="shared" si="116"/>
        <v>0.95475708920000002</v>
      </c>
      <c r="T282" s="28">
        <f t="shared" si="116"/>
        <v>0.92343847080000008</v>
      </c>
      <c r="U282" s="28">
        <f t="shared" si="116"/>
        <v>0.91293616362500007</v>
      </c>
      <c r="W282" s="28">
        <f t="shared" ref="W282:AB282" si="117">IF(AVERAGE(W5:W6)&lt;51,0.000025*((W6+W5)/2)^2 - 0.01005*((W6+W5)/2) + 1.5955,0.00000649518*((W6+W5)/2)^2 - 0.00338103746*((W6+W5)/2) + 1.3529)</f>
        <v>1.154273635325</v>
      </c>
      <c r="X282" s="28">
        <f t="shared" si="117"/>
        <v>1.0745836452249999</v>
      </c>
      <c r="Y282" s="28">
        <f t="shared" si="117"/>
        <v>1.0068602836</v>
      </c>
      <c r="Z282" s="28">
        <f t="shared" si="117"/>
        <v>0.95475708920000002</v>
      </c>
      <c r="AA282" s="28">
        <f t="shared" si="117"/>
        <v>0.92343847080000008</v>
      </c>
      <c r="AB282" s="28">
        <f t="shared" si="117"/>
        <v>0.91293616362500007</v>
      </c>
      <c r="AD282" s="28">
        <f t="shared" ref="AD282:AI282" si="118">IF(AVERAGE(AD5:AD6)&lt;51,0.000025*((AD6+AD5)/2)^2 - 0.01005*((AD6+AD5)/2) + 1.5955,0.00000649518*((AD6+AD5)/2)^2 - 0.00338103746*((AD6+AD5)/2) + 1.3529)</f>
        <v>1.154273635325</v>
      </c>
      <c r="AE282" s="28">
        <f t="shared" si="118"/>
        <v>1.0745836452249999</v>
      </c>
      <c r="AF282" s="28">
        <f t="shared" si="118"/>
        <v>1.0068602836</v>
      </c>
      <c r="AG282" s="28">
        <f t="shared" si="118"/>
        <v>0.95475708920000002</v>
      </c>
      <c r="AH282" s="28">
        <f t="shared" si="118"/>
        <v>0.92343847080000008</v>
      </c>
      <c r="AI282" s="28">
        <f t="shared" si="118"/>
        <v>0.91293616362500007</v>
      </c>
      <c r="AK282" s="28">
        <f t="shared" ref="AK282:AP282" si="119">IF(AVERAGE(AK5:AK6)&lt;51,0.000025*((AK6+AK5)/2)^2 - 0.01005*((AK6+AK5)/2) + 1.5955,0.00000649518*((AK6+AK5)/2)^2 - 0.00338103746*((AK6+AK5)/2) + 1.3529)</f>
        <v>1.154273635325</v>
      </c>
      <c r="AL282" s="28">
        <f t="shared" si="119"/>
        <v>1.0745836452249999</v>
      </c>
      <c r="AM282" s="28">
        <f t="shared" si="119"/>
        <v>1.0068602836</v>
      </c>
      <c r="AN282" s="28">
        <f t="shared" si="119"/>
        <v>0.95475708920000002</v>
      </c>
      <c r="AO282" s="28">
        <f t="shared" si="119"/>
        <v>0.92343847080000008</v>
      </c>
      <c r="AP282" s="28">
        <f t="shared" si="119"/>
        <v>0.91293616362500007</v>
      </c>
      <c r="AR282" s="28">
        <f t="shared" ref="AR282:AW282" si="120">IF(AVERAGE(AR5:AR6)&lt;51,0.000025*((AR6+AR5)/2)^2 - 0.01005*((AR6+AR5)/2) + 1.5955,0.00000649518*((AR6+AR5)/2)^2 - 0.00338103746*((AR6+AR5)/2) + 1.3529)</f>
        <v>1.154273635325</v>
      </c>
      <c r="AS282" s="28">
        <f t="shared" si="120"/>
        <v>1.0745836452249999</v>
      </c>
      <c r="AT282" s="28">
        <f t="shared" si="120"/>
        <v>1.0068602836</v>
      </c>
      <c r="AU282" s="28">
        <f t="shared" si="120"/>
        <v>0.95475708920000002</v>
      </c>
      <c r="AV282" s="28">
        <f t="shared" si="120"/>
        <v>0.92343847080000008</v>
      </c>
      <c r="AW282" s="28">
        <f t="shared" si="120"/>
        <v>0.91293616362500007</v>
      </c>
    </row>
    <row r="283" spans="1:53" x14ac:dyDescent="0.25">
      <c r="A283" s="15" t="s">
        <v>51</v>
      </c>
      <c r="B283" s="28">
        <f t="shared" ref="B283:G283" si="121">B281*(B246*2.2046)/10000</f>
        <v>0.27996053561020928</v>
      </c>
      <c r="C283" s="28">
        <f t="shared" si="121"/>
        <v>0.25468658901444263</v>
      </c>
      <c r="D283" s="28">
        <f t="shared" si="121"/>
        <v>0.23309759512248635</v>
      </c>
      <c r="E283" s="28">
        <f t="shared" si="121"/>
        <v>0.21647481730659451</v>
      </c>
      <c r="F283" s="28">
        <f t="shared" si="121"/>
        <v>0.20653872384003844</v>
      </c>
      <c r="G283" s="28">
        <f t="shared" si="121"/>
        <v>0.20321869012127139</v>
      </c>
      <c r="H283" s="28"/>
      <c r="I283" s="28">
        <f t="shared" ref="I283:N283" si="122">I281*(I246*2.2046)/10000</f>
        <v>0.28247811977581866</v>
      </c>
      <c r="J283" s="28">
        <f t="shared" si="122"/>
        <v>0.25698081675063461</v>
      </c>
      <c r="K283" s="28">
        <f t="shared" si="122"/>
        <v>0.23523758751434365</v>
      </c>
      <c r="L283" s="28">
        <f t="shared" si="122"/>
        <v>0.21843858963327417</v>
      </c>
      <c r="M283" s="28">
        <f t="shared" si="122"/>
        <v>0.20840108305293892</v>
      </c>
      <c r="N283" s="28">
        <f t="shared" si="122"/>
        <v>0.20321869012127139</v>
      </c>
      <c r="O283" s="28"/>
      <c r="P283" s="28">
        <f t="shared" ref="P283:U283" si="123">P281*(P246*2.2046)/10000</f>
        <v>0.28503460510176915</v>
      </c>
      <c r="Q283" s="28">
        <f t="shared" si="123"/>
        <v>0.25930487763736321</v>
      </c>
      <c r="R283" s="28">
        <f t="shared" si="123"/>
        <v>0.23736716074442257</v>
      </c>
      <c r="S283" s="28">
        <f t="shared" si="123"/>
        <v>0.22040704614242446</v>
      </c>
      <c r="T283" s="28">
        <f t="shared" si="123"/>
        <v>0.21027683778743048</v>
      </c>
      <c r="U283" s="28">
        <f t="shared" si="123"/>
        <v>0.20321869012127139</v>
      </c>
      <c r="W283" s="28">
        <f t="shared" ref="W283:AB283" si="124">W281*(W246*2.2046)/10000</f>
        <v>0.28759710388953769</v>
      </c>
      <c r="X283" s="28">
        <f t="shared" si="124"/>
        <v>0.26163548039053774</v>
      </c>
      <c r="Y283" s="28">
        <f t="shared" si="124"/>
        <v>0.23949392553268395</v>
      </c>
      <c r="Z283" s="28">
        <f t="shared" si="124"/>
        <v>0.22237799205340611</v>
      </c>
      <c r="AA283" s="28">
        <f t="shared" si="124"/>
        <v>0.21216471620039634</v>
      </c>
      <c r="AB283" s="28">
        <f t="shared" si="124"/>
        <v>0.20321869012127139</v>
      </c>
      <c r="AD283" s="28">
        <f t="shared" ref="AD283:AI283" si="125">AD281*(AD246*2.2046)/10000</f>
        <v>0.29017389857465892</v>
      </c>
      <c r="AE283" s="28">
        <f t="shared" si="125"/>
        <v>0.26396809205574945</v>
      </c>
      <c r="AF283" s="28">
        <f t="shared" si="125"/>
        <v>0.24161904064757719</v>
      </c>
      <c r="AG283" s="28">
        <f t="shared" si="125"/>
        <v>0.22436539969621266</v>
      </c>
      <c r="AH283" s="28">
        <f t="shared" si="125"/>
        <v>0.21399177122466886</v>
      </c>
      <c r="AI283" s="28">
        <f t="shared" si="125"/>
        <v>0.20321869012127139</v>
      </c>
      <c r="AK283" s="28">
        <f t="shared" ref="AK283:AP283" si="126">AK281*(AK246*2.2046)/10000</f>
        <v>0.2928059341322361</v>
      </c>
      <c r="AL283" s="28">
        <f t="shared" si="126"/>
        <v>0.26630314508303732</v>
      </c>
      <c r="AM283" s="28">
        <f t="shared" si="126"/>
        <v>0.24375712442232803</v>
      </c>
      <c r="AN283" s="28">
        <f t="shared" si="126"/>
        <v>0.22626303644607565</v>
      </c>
      <c r="AO283" s="28">
        <f t="shared" si="126"/>
        <v>0.21583676893486567</v>
      </c>
      <c r="AP283" s="28">
        <f t="shared" si="126"/>
        <v>0.20321869012127139</v>
      </c>
      <c r="AR283" s="28">
        <f t="shared" ref="AR283:AW283" si="127">AR281*(AR246*2.2046)/10000</f>
        <v>0.29535312248830309</v>
      </c>
      <c r="AS283" s="28">
        <f t="shared" si="127"/>
        <v>0.26863222250622204</v>
      </c>
      <c r="AT283" s="28">
        <f t="shared" si="127"/>
        <v>0.24583328767671192</v>
      </c>
      <c r="AU283" s="28">
        <f t="shared" si="127"/>
        <v>0.22819694588947678</v>
      </c>
      <c r="AV283" s="28">
        <f t="shared" si="127"/>
        <v>0.21768568005189659</v>
      </c>
      <c r="AW283" s="28">
        <f t="shared" si="127"/>
        <v>0.20321869012127139</v>
      </c>
    </row>
    <row r="284" spans="1:53" x14ac:dyDescent="0.25">
      <c r="A284" s="15" t="s">
        <v>375</v>
      </c>
      <c r="B284" s="28">
        <f t="shared" ref="B284:G284" si="128" xml:space="preserve"> -0.096629122*LN(AVERAGE(B5:B6)/2.2046) + 0.7201091526</f>
        <v>0.38948473530861316</v>
      </c>
      <c r="C284" s="28">
        <f t="shared" si="128"/>
        <v>0.34911934963648045</v>
      </c>
      <c r="D284" s="28">
        <f t="shared" si="128"/>
        <v>0.31899235830889017</v>
      </c>
      <c r="E284" s="28">
        <f t="shared" si="128"/>
        <v>0.29470806575817415</v>
      </c>
      <c r="F284" s="28">
        <f t="shared" si="128"/>
        <v>0.27531743264453717</v>
      </c>
      <c r="G284" s="28">
        <f t="shared" si="128"/>
        <v>0.25825045546730907</v>
      </c>
      <c r="H284" s="28"/>
      <c r="I284" s="28">
        <f t="shared" ref="I284:N284" si="129" xml:space="preserve"> -0.096629122*LN(AVERAGE(I5:I6)/2.2046) + 0.7201091526</f>
        <v>0.38948473530861316</v>
      </c>
      <c r="J284" s="28">
        <f t="shared" si="129"/>
        <v>0.34911934963648045</v>
      </c>
      <c r="K284" s="28">
        <f t="shared" si="129"/>
        <v>0.31899235830889017</v>
      </c>
      <c r="L284" s="28">
        <f t="shared" si="129"/>
        <v>0.29470806575817415</v>
      </c>
      <c r="M284" s="28">
        <f t="shared" si="129"/>
        <v>0.27531743264453717</v>
      </c>
      <c r="N284" s="28">
        <f t="shared" si="129"/>
        <v>0.25825045546730907</v>
      </c>
      <c r="O284" s="28"/>
      <c r="P284" s="28">
        <f t="shared" ref="P284:U284" si="130" xml:space="preserve"> -0.096629122*LN(AVERAGE(P5:P6)/2.2046) + 0.7201091526</f>
        <v>0.38948473530861316</v>
      </c>
      <c r="Q284" s="28">
        <f t="shared" si="130"/>
        <v>0.34911934963648045</v>
      </c>
      <c r="R284" s="28">
        <f t="shared" si="130"/>
        <v>0.31899235830889017</v>
      </c>
      <c r="S284" s="28">
        <f t="shared" si="130"/>
        <v>0.29470806575817415</v>
      </c>
      <c r="T284" s="28">
        <f t="shared" si="130"/>
        <v>0.27531743264453717</v>
      </c>
      <c r="U284" s="28">
        <f t="shared" si="130"/>
        <v>0.25825045546730907</v>
      </c>
      <c r="W284" s="28">
        <f t="shared" ref="W284:AB284" si="131" xml:space="preserve"> -0.096629122*LN(AVERAGE(W5:W6)/2.2046) + 0.7201091526</f>
        <v>0.38948473530861316</v>
      </c>
      <c r="X284" s="28">
        <f t="shared" si="131"/>
        <v>0.34911934963648045</v>
      </c>
      <c r="Y284" s="28">
        <f t="shared" si="131"/>
        <v>0.31899235830889017</v>
      </c>
      <c r="Z284" s="28">
        <f t="shared" si="131"/>
        <v>0.29470806575817415</v>
      </c>
      <c r="AA284" s="28">
        <f t="shared" si="131"/>
        <v>0.27531743264453717</v>
      </c>
      <c r="AB284" s="28">
        <f t="shared" si="131"/>
        <v>0.25825045546730907</v>
      </c>
      <c r="AD284" s="28">
        <f t="shared" ref="AD284:AI284" si="132" xml:space="preserve"> -0.096629122*LN(AVERAGE(AD5:AD6)/2.2046) + 0.7201091526</f>
        <v>0.38948473530861316</v>
      </c>
      <c r="AE284" s="28">
        <f t="shared" si="132"/>
        <v>0.34911934963648045</v>
      </c>
      <c r="AF284" s="28">
        <f t="shared" si="132"/>
        <v>0.31899235830889017</v>
      </c>
      <c r="AG284" s="28">
        <f t="shared" si="132"/>
        <v>0.29470806575817415</v>
      </c>
      <c r="AH284" s="28">
        <f t="shared" si="132"/>
        <v>0.27531743264453717</v>
      </c>
      <c r="AI284" s="28">
        <f t="shared" si="132"/>
        <v>0.25825045546730907</v>
      </c>
      <c r="AK284" s="28">
        <f t="shared" ref="AK284:AP284" si="133" xml:space="preserve"> -0.096629122*LN(AVERAGE(AK5:AK6)/2.2046) + 0.7201091526</f>
        <v>0.38948473530861316</v>
      </c>
      <c r="AL284" s="28">
        <f t="shared" si="133"/>
        <v>0.34911934963648045</v>
      </c>
      <c r="AM284" s="28">
        <f t="shared" si="133"/>
        <v>0.31899235830889017</v>
      </c>
      <c r="AN284" s="28">
        <f t="shared" si="133"/>
        <v>0.29470806575817415</v>
      </c>
      <c r="AO284" s="28">
        <f t="shared" si="133"/>
        <v>0.27531743264453717</v>
      </c>
      <c r="AP284" s="28">
        <f t="shared" si="133"/>
        <v>0.25825045546730907</v>
      </c>
      <c r="AR284" s="28">
        <f t="shared" ref="AR284:AW284" si="134" xml:space="preserve"> -0.096629122*LN(AVERAGE(AR5:AR6)/2.2046) + 0.7201091526</f>
        <v>0.38948473530861316</v>
      </c>
      <c r="AS284" s="28">
        <f t="shared" si="134"/>
        <v>0.34911934963648045</v>
      </c>
      <c r="AT284" s="28">
        <f t="shared" si="134"/>
        <v>0.31899235830889017</v>
      </c>
      <c r="AU284" s="28">
        <f t="shared" si="134"/>
        <v>0.29470806575817415</v>
      </c>
      <c r="AV284" s="28">
        <f t="shared" si="134"/>
        <v>0.27531743264453717</v>
      </c>
      <c r="AW284" s="28">
        <f t="shared" si="134"/>
        <v>0.25825045546730907</v>
      </c>
    </row>
    <row r="285" spans="1:53" x14ac:dyDescent="0.25">
      <c r="A285" s="50" t="s">
        <v>154</v>
      </c>
      <c r="B285" s="26">
        <v>1</v>
      </c>
      <c r="C285" s="26">
        <v>1</v>
      </c>
      <c r="D285" s="26">
        <v>1</v>
      </c>
      <c r="E285" s="26">
        <v>1</v>
      </c>
      <c r="F285" s="26">
        <v>1</v>
      </c>
      <c r="G285" s="26">
        <v>1</v>
      </c>
      <c r="H285" s="26"/>
      <c r="I285" s="26">
        <v>1</v>
      </c>
      <c r="J285" s="26">
        <v>1</v>
      </c>
      <c r="K285" s="26">
        <v>1</v>
      </c>
      <c r="L285" s="26">
        <v>1</v>
      </c>
      <c r="M285" s="26">
        <v>1</v>
      </c>
      <c r="N285" s="26">
        <v>1</v>
      </c>
      <c r="O285" s="28"/>
      <c r="P285" s="26">
        <v>1</v>
      </c>
      <c r="Q285" s="26">
        <v>1</v>
      </c>
      <c r="R285" s="26">
        <v>1</v>
      </c>
      <c r="S285" s="26">
        <v>1</v>
      </c>
      <c r="T285" s="26">
        <v>1</v>
      </c>
      <c r="U285" s="26">
        <v>1</v>
      </c>
      <c r="W285" s="26">
        <v>1</v>
      </c>
      <c r="X285" s="26">
        <v>1</v>
      </c>
      <c r="Y285" s="26">
        <v>1</v>
      </c>
      <c r="Z285" s="26">
        <v>1</v>
      </c>
      <c r="AA285" s="26">
        <v>1</v>
      </c>
      <c r="AB285" s="26">
        <v>1</v>
      </c>
      <c r="AD285" s="26">
        <v>1</v>
      </c>
      <c r="AE285" s="26">
        <v>1</v>
      </c>
      <c r="AF285" s="26">
        <v>1</v>
      </c>
      <c r="AG285" s="26">
        <v>1</v>
      </c>
      <c r="AH285" s="26">
        <v>1</v>
      </c>
      <c r="AI285" s="26">
        <v>1</v>
      </c>
      <c r="AK285" s="26">
        <v>1</v>
      </c>
      <c r="AL285" s="26">
        <v>1</v>
      </c>
      <c r="AM285" s="26">
        <v>1</v>
      </c>
      <c r="AN285" s="26">
        <v>1</v>
      </c>
      <c r="AO285" s="26">
        <v>1</v>
      </c>
      <c r="AP285" s="26">
        <v>1</v>
      </c>
      <c r="AR285" s="26">
        <v>1</v>
      </c>
      <c r="AS285" s="26">
        <v>1</v>
      </c>
      <c r="AT285" s="26">
        <v>1</v>
      </c>
      <c r="AU285" s="26">
        <v>1</v>
      </c>
      <c r="AV285" s="26">
        <v>1</v>
      </c>
      <c r="AW285" s="26">
        <v>1</v>
      </c>
    </row>
    <row r="286" spans="1:53" x14ac:dyDescent="0.25">
      <c r="A286" s="50" t="s">
        <v>153</v>
      </c>
      <c r="B286" s="26">
        <v>1.5</v>
      </c>
      <c r="C286" s="26">
        <v>1.5</v>
      </c>
      <c r="D286" s="26">
        <v>1.5</v>
      </c>
      <c r="E286" s="26">
        <v>1.5</v>
      </c>
      <c r="F286" s="26">
        <v>1.5</v>
      </c>
      <c r="G286" s="26">
        <v>1.5</v>
      </c>
      <c r="H286" s="26"/>
      <c r="I286" s="26">
        <v>1.5</v>
      </c>
      <c r="J286" s="26">
        <v>1.5</v>
      </c>
      <c r="K286" s="26">
        <v>1.5</v>
      </c>
      <c r="L286" s="26">
        <v>1.5</v>
      </c>
      <c r="M286" s="26">
        <v>1.5</v>
      </c>
      <c r="N286" s="26">
        <v>1.5</v>
      </c>
      <c r="O286" s="26"/>
      <c r="P286" s="26">
        <v>1.5</v>
      </c>
      <c r="Q286" s="26">
        <v>1.5</v>
      </c>
      <c r="R286" s="26">
        <v>1.5</v>
      </c>
      <c r="S286" s="26">
        <v>1.5</v>
      </c>
      <c r="T286" s="26">
        <v>1.5</v>
      </c>
      <c r="U286" s="26">
        <v>1.5</v>
      </c>
      <c r="W286" s="26">
        <v>1.5</v>
      </c>
      <c r="X286" s="26">
        <v>1.5</v>
      </c>
      <c r="Y286" s="26">
        <v>1.5</v>
      </c>
      <c r="Z286" s="26">
        <v>1.5</v>
      </c>
      <c r="AA286" s="26">
        <v>1.5</v>
      </c>
      <c r="AB286" s="26">
        <v>1.5</v>
      </c>
      <c r="AD286" s="26">
        <v>1.5</v>
      </c>
      <c r="AE286" s="26">
        <v>1.5</v>
      </c>
      <c r="AF286" s="26">
        <v>1.5</v>
      </c>
      <c r="AG286" s="26">
        <v>1.5</v>
      </c>
      <c r="AH286" s="26">
        <v>1.5</v>
      </c>
      <c r="AI286" s="26">
        <v>1.5</v>
      </c>
      <c r="AK286" s="26">
        <v>1.5</v>
      </c>
      <c r="AL286" s="26">
        <v>1.5</v>
      </c>
      <c r="AM286" s="26">
        <v>1.5</v>
      </c>
      <c r="AN286" s="26">
        <v>1.5</v>
      </c>
      <c r="AO286" s="26">
        <v>1.5</v>
      </c>
      <c r="AP286" s="26">
        <v>1.5</v>
      </c>
      <c r="AR286" s="26">
        <v>1.5</v>
      </c>
      <c r="AS286" s="26">
        <v>1.5</v>
      </c>
      <c r="AT286" s="26">
        <v>1.5</v>
      </c>
      <c r="AU286" s="26">
        <v>1.5</v>
      </c>
      <c r="AV286" s="26">
        <v>1.5</v>
      </c>
      <c r="AW286" s="26">
        <v>1.5</v>
      </c>
    </row>
    <row r="287" spans="1:53" x14ac:dyDescent="0.25">
      <c r="A287" s="50" t="s">
        <v>368</v>
      </c>
      <c r="B287" s="33">
        <f t="shared" ref="B287:G287" si="135">-0.12264*LN(AVERAGE(B5:B6)/2.2046) + 1.07262</f>
        <v>0.65299724345031629</v>
      </c>
      <c r="C287" s="33">
        <f t="shared" si="135"/>
        <v>0.60176619843647083</v>
      </c>
      <c r="D287" s="33">
        <f t="shared" si="135"/>
        <v>0.56352954534532851</v>
      </c>
      <c r="E287" s="33">
        <f t="shared" si="135"/>
        <v>0.53270834386095811</v>
      </c>
      <c r="F287" s="33">
        <f t="shared" si="135"/>
        <v>0.50809808976948001</v>
      </c>
      <c r="G287" s="33">
        <f t="shared" si="135"/>
        <v>0.48643697935376851</v>
      </c>
      <c r="H287" s="33"/>
      <c r="I287" s="33">
        <f t="shared" ref="I287:N287" si="136">-0.12264*LN(AVERAGE(I5:I6)/2.2046) + 1.07262</f>
        <v>0.65299724345031629</v>
      </c>
      <c r="J287" s="33">
        <f t="shared" si="136"/>
        <v>0.60176619843647083</v>
      </c>
      <c r="K287" s="33">
        <f t="shared" si="136"/>
        <v>0.56352954534532851</v>
      </c>
      <c r="L287" s="33">
        <f t="shared" si="136"/>
        <v>0.53270834386095811</v>
      </c>
      <c r="M287" s="33">
        <f t="shared" si="136"/>
        <v>0.50809808976948001</v>
      </c>
      <c r="N287" s="33">
        <f t="shared" si="136"/>
        <v>0.48643697935376851</v>
      </c>
      <c r="O287" s="26"/>
      <c r="P287" s="33">
        <f t="shared" ref="P287:U287" si="137">-0.12264*LN(AVERAGE(P5:P6)/2.2046) + 1.07262</f>
        <v>0.65299724345031629</v>
      </c>
      <c r="Q287" s="33">
        <f t="shared" si="137"/>
        <v>0.60176619843647083</v>
      </c>
      <c r="R287" s="33">
        <f t="shared" si="137"/>
        <v>0.56352954534532851</v>
      </c>
      <c r="S287" s="33">
        <f t="shared" si="137"/>
        <v>0.53270834386095811</v>
      </c>
      <c r="T287" s="33">
        <f t="shared" si="137"/>
        <v>0.50809808976948001</v>
      </c>
      <c r="U287" s="33">
        <f t="shared" si="137"/>
        <v>0.48643697935376851</v>
      </c>
      <c r="W287" s="33">
        <f t="shared" ref="W287:AB287" si="138">-0.12264*LN(AVERAGE(W5:W6)/2.2046) + 1.07262</f>
        <v>0.65299724345031629</v>
      </c>
      <c r="X287" s="33">
        <f t="shared" si="138"/>
        <v>0.60176619843647083</v>
      </c>
      <c r="Y287" s="33">
        <f t="shared" si="138"/>
        <v>0.56352954534532851</v>
      </c>
      <c r="Z287" s="33">
        <f t="shared" si="138"/>
        <v>0.53270834386095811</v>
      </c>
      <c r="AA287" s="33">
        <f t="shared" si="138"/>
        <v>0.50809808976948001</v>
      </c>
      <c r="AB287" s="33">
        <f t="shared" si="138"/>
        <v>0.48643697935376851</v>
      </c>
      <c r="AD287" s="33">
        <f t="shared" ref="AD287:AI287" si="139">-0.12264*LN(AVERAGE(AD5:AD6)/2.2046) + 1.07262</f>
        <v>0.65299724345031629</v>
      </c>
      <c r="AE287" s="33">
        <f t="shared" si="139"/>
        <v>0.60176619843647083</v>
      </c>
      <c r="AF287" s="33">
        <f t="shared" si="139"/>
        <v>0.56352954534532851</v>
      </c>
      <c r="AG287" s="33">
        <f t="shared" si="139"/>
        <v>0.53270834386095811</v>
      </c>
      <c r="AH287" s="33">
        <f t="shared" si="139"/>
        <v>0.50809808976948001</v>
      </c>
      <c r="AI287" s="33">
        <f t="shared" si="139"/>
        <v>0.48643697935376851</v>
      </c>
      <c r="AK287" s="33">
        <f t="shared" ref="AK287:AP287" si="140">-0.12264*LN(AVERAGE(AK5:AK6)/2.2046) + 1.07262</f>
        <v>0.65299724345031629</v>
      </c>
      <c r="AL287" s="33">
        <f t="shared" si="140"/>
        <v>0.60176619843647083</v>
      </c>
      <c r="AM287" s="33">
        <f t="shared" si="140"/>
        <v>0.56352954534532851</v>
      </c>
      <c r="AN287" s="33">
        <f t="shared" si="140"/>
        <v>0.53270834386095811</v>
      </c>
      <c r="AO287" s="33">
        <f t="shared" si="140"/>
        <v>0.50809808976948001</v>
      </c>
      <c r="AP287" s="33">
        <f t="shared" si="140"/>
        <v>0.48643697935376851</v>
      </c>
      <c r="AR287" s="33">
        <f t="shared" ref="AR287:AW287" si="141">-0.12264*LN(AVERAGE(AR5:AR6)/2.2046) + 1.07262</f>
        <v>0.65299724345031629</v>
      </c>
      <c r="AS287" s="33">
        <f t="shared" si="141"/>
        <v>0.60176619843647083</v>
      </c>
      <c r="AT287" s="33">
        <f t="shared" si="141"/>
        <v>0.56352954534532851</v>
      </c>
      <c r="AU287" s="33">
        <f t="shared" si="141"/>
        <v>0.53270834386095811</v>
      </c>
      <c r="AV287" s="33">
        <f t="shared" si="141"/>
        <v>0.50809808976948001</v>
      </c>
      <c r="AW287" s="33">
        <f t="shared" si="141"/>
        <v>0.48643697935376851</v>
      </c>
    </row>
    <row r="288" spans="1:53" x14ac:dyDescent="0.25">
      <c r="A288" s="50" t="s">
        <v>370</v>
      </c>
      <c r="B288" s="33">
        <v>0.4</v>
      </c>
      <c r="C288" s="33">
        <v>0.36</v>
      </c>
      <c r="D288" s="33">
        <v>0.32</v>
      </c>
      <c r="E288" s="33">
        <v>0.28999999999999998</v>
      </c>
      <c r="F288" s="33">
        <v>0.27</v>
      </c>
      <c r="G288" s="33">
        <v>0.26</v>
      </c>
      <c r="H288" s="33"/>
      <c r="I288" s="33">
        <v>0.4</v>
      </c>
      <c r="J288" s="33">
        <v>0.36</v>
      </c>
      <c r="K288" s="33">
        <v>0.32</v>
      </c>
      <c r="L288" s="33">
        <v>0.28999999999999998</v>
      </c>
      <c r="M288" s="33">
        <v>0.27</v>
      </c>
      <c r="N288" s="33">
        <v>0.26</v>
      </c>
      <c r="O288" s="33"/>
      <c r="P288" s="33">
        <v>0.4</v>
      </c>
      <c r="Q288" s="33">
        <v>0.36</v>
      </c>
      <c r="R288" s="33">
        <v>0.32</v>
      </c>
      <c r="S288" s="33">
        <v>0.28999999999999998</v>
      </c>
      <c r="T288" s="33">
        <v>0.27</v>
      </c>
      <c r="U288" s="33">
        <v>0.26</v>
      </c>
      <c r="W288" s="33">
        <v>0.4</v>
      </c>
      <c r="X288" s="33">
        <v>0.36</v>
      </c>
      <c r="Y288" s="33">
        <v>0.32</v>
      </c>
      <c r="Z288" s="33">
        <v>0.28999999999999998</v>
      </c>
      <c r="AA288" s="33">
        <v>0.27</v>
      </c>
      <c r="AB288" s="33">
        <v>0.26</v>
      </c>
      <c r="AD288" s="33">
        <v>0.4</v>
      </c>
      <c r="AE288" s="33">
        <v>0.36</v>
      </c>
      <c r="AF288" s="33">
        <v>0.32</v>
      </c>
      <c r="AG288" s="33">
        <v>0.28999999999999998</v>
      </c>
      <c r="AH288" s="33">
        <v>0.27</v>
      </c>
      <c r="AI288" s="33">
        <v>0.26</v>
      </c>
      <c r="AK288" s="33">
        <v>0.4</v>
      </c>
      <c r="AL288" s="33">
        <v>0.36</v>
      </c>
      <c r="AM288" s="33">
        <v>0.32</v>
      </c>
      <c r="AN288" s="33">
        <v>0.28999999999999998</v>
      </c>
      <c r="AO288" s="33">
        <v>0.27</v>
      </c>
      <c r="AP288" s="33">
        <v>0.26</v>
      </c>
      <c r="AR288" s="33">
        <v>0.4</v>
      </c>
      <c r="AS288" s="33">
        <v>0.36</v>
      </c>
      <c r="AT288" s="33">
        <v>0.32</v>
      </c>
      <c r="AU288" s="33">
        <v>0.28999999999999998</v>
      </c>
      <c r="AV288" s="33">
        <v>0.27</v>
      </c>
      <c r="AW288" s="33">
        <v>0.26</v>
      </c>
    </row>
    <row r="289" spans="1:49" x14ac:dyDescent="0.25">
      <c r="A289" s="50" t="s">
        <v>369</v>
      </c>
      <c r="B289" s="33">
        <v>1.74</v>
      </c>
      <c r="C289" s="33">
        <v>1.74</v>
      </c>
      <c r="D289" s="33">
        <v>1.79</v>
      </c>
      <c r="E289" s="33">
        <v>1.79</v>
      </c>
      <c r="F289" s="33">
        <v>1.77</v>
      </c>
      <c r="G289" s="33">
        <v>1.77</v>
      </c>
      <c r="H289" s="33"/>
      <c r="I289" s="33">
        <v>1.74</v>
      </c>
      <c r="J289" s="33">
        <v>1.74</v>
      </c>
      <c r="K289" s="33">
        <v>1.79</v>
      </c>
      <c r="L289" s="33">
        <v>1.79</v>
      </c>
      <c r="M289" s="33">
        <v>1.77</v>
      </c>
      <c r="N289" s="33">
        <v>1.77</v>
      </c>
      <c r="O289" s="33"/>
      <c r="P289" s="33">
        <v>1.74</v>
      </c>
      <c r="Q289" s="33">
        <v>1.74</v>
      </c>
      <c r="R289" s="33">
        <v>1.79</v>
      </c>
      <c r="S289" s="33">
        <v>1.79</v>
      </c>
      <c r="T289" s="33">
        <v>1.77</v>
      </c>
      <c r="U289" s="33">
        <v>1.77</v>
      </c>
      <c r="W289" s="33">
        <v>1.74</v>
      </c>
      <c r="X289" s="33">
        <v>1.74</v>
      </c>
      <c r="Y289" s="33">
        <v>1.79</v>
      </c>
      <c r="Z289" s="33">
        <v>1.79</v>
      </c>
      <c r="AA289" s="33">
        <v>1.77</v>
      </c>
      <c r="AB289" s="33">
        <v>1.77</v>
      </c>
      <c r="AD289" s="33">
        <v>1.74</v>
      </c>
      <c r="AE289" s="33">
        <v>1.74</v>
      </c>
      <c r="AF289" s="33">
        <v>1.79</v>
      </c>
      <c r="AG289" s="33">
        <v>1.79</v>
      </c>
      <c r="AH289" s="33">
        <v>1.77</v>
      </c>
      <c r="AI289" s="33">
        <v>1.77</v>
      </c>
      <c r="AK289" s="33">
        <v>1.74</v>
      </c>
      <c r="AL289" s="33">
        <v>1.74</v>
      </c>
      <c r="AM289" s="33">
        <v>1.79</v>
      </c>
      <c r="AN289" s="33">
        <v>1.79</v>
      </c>
      <c r="AO289" s="33">
        <v>1.77</v>
      </c>
      <c r="AP289" s="33">
        <v>1.77</v>
      </c>
      <c r="AR289" s="33">
        <v>1.74</v>
      </c>
      <c r="AS289" s="33">
        <v>1.74</v>
      </c>
      <c r="AT289" s="33">
        <v>1.79</v>
      </c>
      <c r="AU289" s="33">
        <v>1.79</v>
      </c>
      <c r="AV289" s="33">
        <v>1.77</v>
      </c>
      <c r="AW289" s="33">
        <v>1.77</v>
      </c>
    </row>
    <row r="290" spans="1:49" x14ac:dyDescent="0.25">
      <c r="A290" s="50" t="s">
        <v>152</v>
      </c>
      <c r="B290" s="26">
        <v>7.3</v>
      </c>
      <c r="C290" s="26">
        <v>8.3000000000000007</v>
      </c>
      <c r="D290" s="26">
        <v>9.3000000000000007</v>
      </c>
      <c r="E290" s="26">
        <v>10.3</v>
      </c>
      <c r="F290" s="26">
        <v>11.3</v>
      </c>
      <c r="G290" s="26">
        <v>11.3</v>
      </c>
      <c r="H290" s="26"/>
      <c r="I290" s="26">
        <v>7.3</v>
      </c>
      <c r="J290" s="26">
        <v>8.3000000000000007</v>
      </c>
      <c r="K290" s="26">
        <v>9.3000000000000007</v>
      </c>
      <c r="L290" s="26">
        <v>10.3</v>
      </c>
      <c r="M290" s="26">
        <v>11.3</v>
      </c>
      <c r="N290" s="26">
        <v>11.3</v>
      </c>
      <c r="O290" s="33"/>
      <c r="P290" s="26">
        <v>7.3</v>
      </c>
      <c r="Q290" s="26">
        <v>8.3000000000000007</v>
      </c>
      <c r="R290" s="26">
        <v>9.3000000000000007</v>
      </c>
      <c r="S290" s="26">
        <v>10.3</v>
      </c>
      <c r="T290" s="26">
        <v>11.3</v>
      </c>
      <c r="U290" s="26">
        <v>11.3</v>
      </c>
      <c r="W290" s="26">
        <v>7.3</v>
      </c>
      <c r="X290" s="26">
        <v>8.3000000000000007</v>
      </c>
      <c r="Y290" s="26">
        <v>9.3000000000000007</v>
      </c>
      <c r="Z290" s="26">
        <v>10.3</v>
      </c>
      <c r="AA290" s="26">
        <v>11.3</v>
      </c>
      <c r="AB290" s="26">
        <v>11.3</v>
      </c>
      <c r="AD290" s="26">
        <v>7.3</v>
      </c>
      <c r="AE290" s="26">
        <v>8.3000000000000007</v>
      </c>
      <c r="AF290" s="26">
        <v>9.3000000000000007</v>
      </c>
      <c r="AG290" s="26">
        <v>10.3</v>
      </c>
      <c r="AH290" s="26">
        <v>11.3</v>
      </c>
      <c r="AI290" s="26">
        <v>11.3</v>
      </c>
      <c r="AK290" s="26">
        <v>7.3</v>
      </c>
      <c r="AL290" s="26">
        <v>8.3000000000000007</v>
      </c>
      <c r="AM290" s="26">
        <v>9.3000000000000007</v>
      </c>
      <c r="AN290" s="26">
        <v>10.3</v>
      </c>
      <c r="AO290" s="26">
        <v>11.3</v>
      </c>
      <c r="AP290" s="26">
        <v>11.3</v>
      </c>
      <c r="AR290" s="26">
        <v>7.3</v>
      </c>
      <c r="AS290" s="26">
        <v>8.3000000000000007</v>
      </c>
      <c r="AT290" s="26">
        <v>9.3000000000000007</v>
      </c>
      <c r="AU290" s="26">
        <v>10.3</v>
      </c>
      <c r="AV290" s="26">
        <v>11.3</v>
      </c>
      <c r="AW290" s="26">
        <v>11.3</v>
      </c>
    </row>
    <row r="291" spans="1:49" x14ac:dyDescent="0.25">
      <c r="A291" s="15"/>
      <c r="B291" s="26"/>
      <c r="C291" s="26"/>
      <c r="D291" s="26"/>
      <c r="E291" s="26"/>
      <c r="F291" s="26"/>
      <c r="G291" s="26"/>
      <c r="H291" s="26"/>
      <c r="I291" s="26"/>
      <c r="J291" s="26"/>
      <c r="K291" s="26"/>
      <c r="L291" s="26"/>
      <c r="M291" s="26"/>
      <c r="N291" s="26"/>
      <c r="O291" s="26"/>
      <c r="P291" s="26"/>
      <c r="Q291" s="26"/>
      <c r="R291" s="26"/>
      <c r="S291" s="26"/>
      <c r="T291" s="26"/>
      <c r="U291" s="26"/>
      <c r="W291" s="26"/>
      <c r="X291" s="26"/>
      <c r="Y291" s="26"/>
      <c r="Z291" s="26"/>
      <c r="AA291" s="26"/>
      <c r="AB291" s="26"/>
      <c r="AD291" s="26"/>
      <c r="AE291" s="26"/>
      <c r="AF291" s="26"/>
      <c r="AG291" s="26"/>
      <c r="AH291" s="26"/>
      <c r="AI291" s="26"/>
      <c r="AK291" s="26"/>
      <c r="AL291" s="26"/>
      <c r="AM291" s="26"/>
      <c r="AN291" s="26"/>
      <c r="AO291" s="26"/>
      <c r="AP291" s="26"/>
      <c r="AR291" s="26"/>
      <c r="AS291" s="26"/>
      <c r="AT291" s="26"/>
      <c r="AU291" s="26"/>
      <c r="AV291" s="26"/>
      <c r="AW291" s="26"/>
    </row>
    <row r="292" spans="1:49" x14ac:dyDescent="0.25">
      <c r="A292" s="41" t="s">
        <v>349</v>
      </c>
      <c r="B292" s="33">
        <f t="shared" ref="B292:G292" si="142">IF(AVERAGE(B5:B6)&lt;15,-0.0525*((B5+B6)/2) + 5.0586,IF(AVERAGE(B5:B6)&lt;50,(-0.007855*((B5+B6)/2) + 4.1),(0.000025*((B5+B6)/2)^2 - 0.016*((B5+B6)/2)+ 4.53)*0.87))</f>
        <v>3.1005984375</v>
      </c>
      <c r="C292" s="33">
        <f t="shared" si="142"/>
        <v>2.7428109375000003</v>
      </c>
      <c r="D292" s="33">
        <f t="shared" si="142"/>
        <v>2.4186000000000001</v>
      </c>
      <c r="E292" s="33">
        <f t="shared" si="142"/>
        <v>2.1402000000000005</v>
      </c>
      <c r="F292" s="33">
        <f t="shared" si="142"/>
        <v>1.9314000000000002</v>
      </c>
      <c r="G292" s="33">
        <f t="shared" si="142"/>
        <v>1.7858109375</v>
      </c>
      <c r="H292" s="33"/>
      <c r="I292" s="33">
        <f t="shared" ref="I292:N292" si="143">IF(AVERAGE(I5:I6)&lt;15,-0.0525*((I5+I6)/2) + 5.0586,IF(AVERAGE(I5:I6)&lt;50,(-0.007855*((I5+I6)/2) + 4.1),(0.000025*((I5+I6)/2)^2 - 0.016*((I5+I6)/2)+ 4.53)*0.87))</f>
        <v>3.1005984375</v>
      </c>
      <c r="J292" s="33">
        <f t="shared" si="143"/>
        <v>2.7428109375000003</v>
      </c>
      <c r="K292" s="33">
        <f t="shared" si="143"/>
        <v>2.4186000000000001</v>
      </c>
      <c r="L292" s="33">
        <f t="shared" si="143"/>
        <v>2.1402000000000005</v>
      </c>
      <c r="M292" s="33">
        <f t="shared" si="143"/>
        <v>1.9314000000000002</v>
      </c>
      <c r="N292" s="33">
        <f t="shared" si="143"/>
        <v>1.7858109375</v>
      </c>
      <c r="O292" s="33"/>
      <c r="P292" s="33">
        <f t="shared" ref="P292:U292" si="144">IF(AVERAGE(P5:P6)&lt;15,-0.0525*((P5+P6)/2) + 5.0586,IF(AVERAGE(P5:P6)&lt;50,(-0.007855*((P5+P6)/2) + 4.1),(0.000025*((P5+P6)/2)^2 - 0.016*((P5+P6)/2)+ 4.53)*0.87))</f>
        <v>3.1005984375</v>
      </c>
      <c r="Q292" s="33">
        <f t="shared" si="144"/>
        <v>2.7428109375000003</v>
      </c>
      <c r="R292" s="33">
        <f t="shared" si="144"/>
        <v>2.4186000000000001</v>
      </c>
      <c r="S292" s="33">
        <f t="shared" si="144"/>
        <v>2.1402000000000005</v>
      </c>
      <c r="T292" s="33">
        <f t="shared" si="144"/>
        <v>1.9314000000000002</v>
      </c>
      <c r="U292" s="33">
        <f t="shared" si="144"/>
        <v>1.7858109375</v>
      </c>
      <c r="W292" s="33">
        <f t="shared" ref="W292:AB292" si="145">IF(AVERAGE(W5:W6)&lt;15,-0.0525*((W5+W6)/2) + 5.0586,IF(AVERAGE(W5:W6)&lt;50,(-0.007855*((W5+W6)/2) + 4.1),(0.000025*((W5+W6)/2)^2 - 0.016*((W5+W6)/2)+ 4.53)*0.87))</f>
        <v>3.1005984375</v>
      </c>
      <c r="X292" s="33">
        <f t="shared" si="145"/>
        <v>2.7428109375000003</v>
      </c>
      <c r="Y292" s="33">
        <f t="shared" si="145"/>
        <v>2.4186000000000001</v>
      </c>
      <c r="Z292" s="33">
        <f t="shared" si="145"/>
        <v>2.1402000000000005</v>
      </c>
      <c r="AA292" s="33">
        <f t="shared" si="145"/>
        <v>1.9314000000000002</v>
      </c>
      <c r="AB292" s="33">
        <f t="shared" si="145"/>
        <v>1.7858109375</v>
      </c>
      <c r="AD292" s="33">
        <f t="shared" ref="AD292:AI292" si="146">IF(AVERAGE(AD5:AD6)&lt;15,-0.0525*((AD5+AD6)/2) + 5.0586,IF(AVERAGE(AD5:AD6)&lt;50,(-0.007855*((AD5+AD6)/2) + 4.1),(0.000025*((AD5+AD6)/2)^2 - 0.016*((AD5+AD6)/2)+ 4.53)*0.87))</f>
        <v>3.1005984375</v>
      </c>
      <c r="AE292" s="33">
        <f t="shared" si="146"/>
        <v>2.7428109375000003</v>
      </c>
      <c r="AF292" s="33">
        <f t="shared" si="146"/>
        <v>2.4186000000000001</v>
      </c>
      <c r="AG292" s="33">
        <f t="shared" si="146"/>
        <v>2.1402000000000005</v>
      </c>
      <c r="AH292" s="33">
        <f t="shared" si="146"/>
        <v>1.9314000000000002</v>
      </c>
      <c r="AI292" s="33">
        <f t="shared" si="146"/>
        <v>1.7858109375</v>
      </c>
      <c r="AK292" s="33">
        <f t="shared" ref="AK292:AP292" si="147">IF(AVERAGE(AK5:AK6)&lt;15,-0.0525*((AK5+AK6)/2) + 5.0586,IF(AVERAGE(AK5:AK6)&lt;50,(-0.007855*((AK5+AK6)/2) + 4.1),(0.000025*((AK5+AK6)/2)^2 - 0.016*((AK5+AK6)/2)+ 4.53)*0.87))</f>
        <v>3.1005984375</v>
      </c>
      <c r="AL292" s="33">
        <f t="shared" si="147"/>
        <v>2.7428109375000003</v>
      </c>
      <c r="AM292" s="33">
        <f t="shared" si="147"/>
        <v>2.4186000000000001</v>
      </c>
      <c r="AN292" s="33">
        <f t="shared" si="147"/>
        <v>2.1402000000000005</v>
      </c>
      <c r="AO292" s="33">
        <f t="shared" si="147"/>
        <v>1.9314000000000002</v>
      </c>
      <c r="AP292" s="33">
        <f t="shared" si="147"/>
        <v>1.7858109375</v>
      </c>
      <c r="AR292" s="33">
        <f t="shared" ref="AR292:AW292" si="148">IF(AVERAGE(AR5:AR6)&lt;15,-0.0525*((AR5+AR6)/2) + 5.0586,IF(AVERAGE(AR5:AR6)&lt;50,(-0.007855*((AR5+AR6)/2) + 4.1),(0.000025*((AR5+AR6)/2)^2 - 0.016*((AR5+AR6)/2)+ 4.53)*0.87))</f>
        <v>3.1005984375</v>
      </c>
      <c r="AS292" s="33">
        <f t="shared" si="148"/>
        <v>2.7428109375000003</v>
      </c>
      <c r="AT292" s="33">
        <f t="shared" si="148"/>
        <v>2.4186000000000001</v>
      </c>
      <c r="AU292" s="33">
        <f t="shared" si="148"/>
        <v>2.1402000000000005</v>
      </c>
      <c r="AV292" s="33">
        <f t="shared" si="148"/>
        <v>1.9314000000000002</v>
      </c>
      <c r="AW292" s="33">
        <f t="shared" si="148"/>
        <v>1.7858109375</v>
      </c>
    </row>
    <row r="293" spans="1:49" x14ac:dyDescent="0.25">
      <c r="A293" s="40" t="s">
        <v>108</v>
      </c>
      <c r="B293" s="26">
        <f t="shared" ref="B293:G293" si="149">IF(B292="","",B246*2.2046*B292/10000)</f>
        <v>1.0197592309861019</v>
      </c>
      <c r="C293" s="26">
        <f t="shared" si="149"/>
        <v>0.90541139130346093</v>
      </c>
      <c r="D293" s="26">
        <f t="shared" si="149"/>
        <v>0.80102302375224621</v>
      </c>
      <c r="E293" s="26">
        <f t="shared" si="149"/>
        <v>0.71089909850466104</v>
      </c>
      <c r="F293" s="26">
        <f t="shared" si="149"/>
        <v>0.6429964836665738</v>
      </c>
      <c r="G293" s="26">
        <f t="shared" si="149"/>
        <v>0.59504378206974184</v>
      </c>
      <c r="H293" s="26"/>
      <c r="I293" s="26">
        <f t="shared" ref="I293:N293" si="150">IF(I292="","",I246*2.2046*I292/10000)</f>
        <v>1.0289295581076325</v>
      </c>
      <c r="J293" s="26">
        <f t="shared" si="150"/>
        <v>0.91356737601640048</v>
      </c>
      <c r="K293" s="26">
        <f t="shared" si="150"/>
        <v>0.80837695280343014</v>
      </c>
      <c r="L293" s="26">
        <f t="shared" si="150"/>
        <v>0.71734808871088784</v>
      </c>
      <c r="M293" s="26">
        <f t="shared" si="150"/>
        <v>0.64879438152783153</v>
      </c>
      <c r="N293" s="26">
        <f t="shared" si="150"/>
        <v>0.59504378206974184</v>
      </c>
      <c r="O293" s="26"/>
      <c r="P293" s="26">
        <f t="shared" ref="P293:U293" si="151">IF(P292="","",P246*2.2046*P292/10000)</f>
        <v>1.0382415831197873</v>
      </c>
      <c r="Q293" s="26">
        <f t="shared" si="151"/>
        <v>0.92182941764595649</v>
      </c>
      <c r="R293" s="26">
        <f t="shared" si="151"/>
        <v>0.81569507715886702</v>
      </c>
      <c r="S293" s="26">
        <f t="shared" si="151"/>
        <v>0.72381246168143343</v>
      </c>
      <c r="T293" s="26">
        <f t="shared" si="151"/>
        <v>0.65463398233524772</v>
      </c>
      <c r="U293" s="26">
        <f t="shared" si="151"/>
        <v>0.59504378206974184</v>
      </c>
      <c r="W293" s="26">
        <f t="shared" ref="W293:AB293" si="152">IF(W292="","",W246*2.2046*W292/10000)</f>
        <v>1.0475755122306245</v>
      </c>
      <c r="X293" s="26">
        <f t="shared" si="152"/>
        <v>0.93011471562530079</v>
      </c>
      <c r="Y293" s="26">
        <f t="shared" si="152"/>
        <v>0.82300355050715612</v>
      </c>
      <c r="Z293" s="26">
        <f t="shared" si="152"/>
        <v>0.73028500979927702</v>
      </c>
      <c r="AA293" s="26">
        <f t="shared" si="152"/>
        <v>0.66051132658603928</v>
      </c>
      <c r="AB293" s="26">
        <f t="shared" si="152"/>
        <v>0.59504378206974184</v>
      </c>
      <c r="AD293" s="26">
        <f t="shared" ref="AD293:AI293" si="153">IF(AD292="","",AD246*2.2046*AD292/10000)</f>
        <v>1.0569615142997406</v>
      </c>
      <c r="AE293" s="26">
        <f t="shared" si="153"/>
        <v>0.93840715529141239</v>
      </c>
      <c r="AF293" s="26">
        <f t="shared" si="153"/>
        <v>0.83030635487224991</v>
      </c>
      <c r="AG293" s="26">
        <f t="shared" si="153"/>
        <v>0.73681161792492988</v>
      </c>
      <c r="AH293" s="26">
        <f t="shared" si="153"/>
        <v>0.66619931542527722</v>
      </c>
      <c r="AI293" s="26">
        <f t="shared" si="153"/>
        <v>0.59504378206974184</v>
      </c>
      <c r="AK293" s="26">
        <f t="shared" ref="AK293:AP293" si="154">IF(AK292="","",AK246*2.2046*AK292/10000)</f>
        <v>1.0665487318347864</v>
      </c>
      <c r="AL293" s="26">
        <f t="shared" si="154"/>
        <v>0.94670827400514312</v>
      </c>
      <c r="AM293" s="26">
        <f t="shared" si="154"/>
        <v>0.83765372509881364</v>
      </c>
      <c r="AN293" s="26">
        <f t="shared" si="154"/>
        <v>0.74304342018050706</v>
      </c>
      <c r="AO293" s="26">
        <f t="shared" si="154"/>
        <v>0.67194316344550731</v>
      </c>
      <c r="AP293" s="26">
        <f t="shared" si="154"/>
        <v>0.59504378206974184</v>
      </c>
      <c r="AR293" s="26">
        <f t="shared" ref="AR293:AW293" si="155">IF(AR292="","",AR246*2.2046*AR292/10000)</f>
        <v>1.0758268925351795</v>
      </c>
      <c r="AS293" s="26">
        <f t="shared" si="155"/>
        <v>0.9549881494329755</v>
      </c>
      <c r="AT293" s="26">
        <f t="shared" si="155"/>
        <v>0.84478830993636189</v>
      </c>
      <c r="AU293" s="26">
        <f t="shared" si="155"/>
        <v>0.74939434125765192</v>
      </c>
      <c r="AV293" s="26">
        <f t="shared" si="155"/>
        <v>0.67769919468632989</v>
      </c>
      <c r="AW293" s="26">
        <f t="shared" si="155"/>
        <v>0.59504378206974184</v>
      </c>
    </row>
    <row r="294" spans="1:49" x14ac:dyDescent="0.25">
      <c r="A294" s="15"/>
      <c r="B294" s="26"/>
      <c r="C294" s="26"/>
      <c r="D294" s="26"/>
      <c r="E294" s="26"/>
      <c r="F294" s="26"/>
      <c r="G294" s="26"/>
      <c r="H294" s="26"/>
      <c r="I294" s="26"/>
      <c r="J294" s="26"/>
      <c r="K294" s="26"/>
      <c r="L294" s="26"/>
      <c r="M294" s="26"/>
      <c r="N294" s="26"/>
      <c r="O294" s="26"/>
      <c r="P294" s="26"/>
      <c r="Q294" s="26"/>
      <c r="R294" s="26"/>
      <c r="S294" s="26"/>
      <c r="T294" s="26"/>
      <c r="U294" s="26"/>
      <c r="W294" s="26"/>
      <c r="X294" s="26"/>
      <c r="Y294" s="26"/>
      <c r="Z294" s="26"/>
      <c r="AA294" s="26"/>
      <c r="AB294" s="26"/>
      <c r="AD294" s="26"/>
      <c r="AE294" s="26"/>
      <c r="AF294" s="26"/>
      <c r="AG294" s="26"/>
      <c r="AH294" s="26"/>
      <c r="AI294" s="26"/>
      <c r="AK294" s="26"/>
      <c r="AL294" s="26"/>
      <c r="AM294" s="26"/>
      <c r="AN294" s="26"/>
      <c r="AO294" s="26"/>
      <c r="AP294" s="26"/>
      <c r="AR294" s="26"/>
      <c r="AS294" s="26"/>
      <c r="AT294" s="26"/>
      <c r="AU294" s="26"/>
      <c r="AV294" s="26"/>
      <c r="AW294" s="26"/>
    </row>
    <row r="295" spans="1:49" x14ac:dyDescent="0.25">
      <c r="B295" s="26"/>
      <c r="C295" s="26"/>
      <c r="D295" s="26"/>
      <c r="E295" s="26"/>
      <c r="F295" s="26"/>
      <c r="G295" s="26"/>
      <c r="H295" s="26"/>
      <c r="I295" s="26"/>
      <c r="J295" s="26"/>
      <c r="K295" s="26"/>
      <c r="L295" s="26"/>
      <c r="M295" s="26"/>
      <c r="N295" s="26"/>
      <c r="O295" s="26"/>
      <c r="P295" s="26"/>
      <c r="Q295" s="26"/>
      <c r="R295" s="26"/>
      <c r="S295" s="26"/>
      <c r="T295" s="26"/>
      <c r="U295" s="26"/>
      <c r="W295" s="26"/>
      <c r="X295" s="26"/>
      <c r="Y295" s="26"/>
      <c r="Z295" s="26"/>
      <c r="AA295" s="26"/>
      <c r="AB295" s="26"/>
      <c r="AD295" s="26"/>
      <c r="AE295" s="26"/>
      <c r="AF295" s="26"/>
      <c r="AG295" s="26"/>
      <c r="AH295" s="26"/>
      <c r="AI295" s="26"/>
      <c r="AK295" s="26"/>
      <c r="AL295" s="26"/>
      <c r="AM295" s="26"/>
      <c r="AN295" s="26"/>
      <c r="AO295" s="26"/>
      <c r="AP295" s="26"/>
      <c r="AR295" s="26"/>
      <c r="AS295" s="26"/>
      <c r="AT295" s="26"/>
      <c r="AU295" s="26"/>
      <c r="AV295" s="26"/>
      <c r="AW295" s="26"/>
    </row>
    <row r="296" spans="1:49" x14ac:dyDescent="0.25">
      <c r="A296" s="17" t="s">
        <v>50</v>
      </c>
      <c r="B296" s="294"/>
      <c r="C296" s="294"/>
      <c r="D296" s="294"/>
      <c r="E296" s="294"/>
      <c r="F296" s="294"/>
      <c r="G296" s="294"/>
      <c r="H296" s="295"/>
      <c r="I296" s="294"/>
      <c r="J296" s="294"/>
      <c r="K296" s="294"/>
      <c r="L296" s="294"/>
      <c r="M296" s="294"/>
      <c r="N296" s="294"/>
      <c r="O296" s="201"/>
      <c r="P296" s="294"/>
      <c r="Q296" s="294"/>
      <c r="R296" s="294"/>
      <c r="S296" s="294"/>
      <c r="T296" s="294"/>
      <c r="U296" s="294"/>
      <c r="W296" s="294"/>
      <c r="X296" s="294"/>
      <c r="Y296" s="294"/>
      <c r="Z296" s="294"/>
      <c r="AA296" s="294"/>
      <c r="AB296" s="294"/>
      <c r="AD296" s="294"/>
      <c r="AE296" s="294"/>
      <c r="AF296" s="294"/>
      <c r="AG296" s="294"/>
      <c r="AH296" s="294"/>
      <c r="AI296" s="294"/>
      <c r="AK296" s="294"/>
      <c r="AL296" s="294"/>
      <c r="AM296" s="294"/>
      <c r="AN296" s="294"/>
      <c r="AO296" s="294"/>
      <c r="AP296" s="294"/>
      <c r="AR296" s="294"/>
      <c r="AS296" s="294"/>
      <c r="AT296" s="294"/>
      <c r="AU296" s="294"/>
      <c r="AV296" s="294"/>
      <c r="AW296" s="294"/>
    </row>
    <row r="297" spans="1:49" x14ac:dyDescent="0.25">
      <c r="A297" s="3" t="s">
        <v>48</v>
      </c>
      <c r="B297" s="20">
        <f>SUMPRODUCT(B$9:B$229,Nutrients!$DA$8:$DA$228)/2000</f>
        <v>0.24855419080599378</v>
      </c>
      <c r="C297" s="20">
        <f>SUMPRODUCT(C$9:C$229,Nutrients!$DA$8:$DA$228)/2000</f>
        <v>0.24598837503388346</v>
      </c>
      <c r="D297" s="20">
        <f>SUMPRODUCT(D$9:D$229,Nutrients!$DA$8:$DA$228)/2000</f>
        <v>0.24037497861787219</v>
      </c>
      <c r="E297" s="20">
        <f>SUMPRODUCT(E$9:E$229,Nutrients!$DA$8:$DA$228)/2000</f>
        <v>0.23743614434297908</v>
      </c>
      <c r="F297" s="20">
        <f>SUMPRODUCT(F$9:F$229,Nutrients!$DA$8:$DA$228)/2000</f>
        <v>0.23330638337529597</v>
      </c>
      <c r="G297" s="20">
        <f>SUMPRODUCT(G$9:G$229,Nutrients!$DA$8:$DA$228)/2000</f>
        <v>0.2281455840399364</v>
      </c>
      <c r="H297" s="192"/>
      <c r="I297" s="20">
        <f>SUMPRODUCT(I$9:I$229,Nutrients!$DA$8:$DA$228)/2000</f>
        <v>0.29595419080599378</v>
      </c>
      <c r="J297" s="20">
        <f>SUMPRODUCT(J$9:J$229,Nutrients!$DA$8:$DA$228)/2000</f>
        <v>0.29338837503388343</v>
      </c>
      <c r="K297" s="20">
        <f>SUMPRODUCT(K$9:K$229,Nutrients!$DA$8:$DA$228)/2000</f>
        <v>0.28777497861787221</v>
      </c>
      <c r="L297" s="20">
        <f>SUMPRODUCT(L$9:L$229,Nutrients!$DA$8:$DA$228)/2000</f>
        <v>0.2848361443429791</v>
      </c>
      <c r="M297" s="20">
        <f>SUMPRODUCT(M$9:M$229,Nutrients!$DA$8:$DA$228)/2000</f>
        <v>0.28070638337529596</v>
      </c>
      <c r="N297" s="20">
        <f>SUMPRODUCT(N$9:N$229,Nutrients!$DA$8:$DA$228)/2000</f>
        <v>0.2281455840399364</v>
      </c>
      <c r="O297" s="237"/>
      <c r="P297" s="20">
        <f>SUMPRODUCT(P$9:P$229,Nutrients!$DA$8:$DA$228)/2000</f>
        <v>0.34335419080599378</v>
      </c>
      <c r="Q297" s="20">
        <f>SUMPRODUCT(Q$9:Q$229,Nutrients!$DA$8:$DA$228)/2000</f>
        <v>0.34078837503388343</v>
      </c>
      <c r="R297" s="20">
        <f>SUMPRODUCT(R$9:R$229,Nutrients!$DA$8:$DA$228)/2000</f>
        <v>0.33517497861787215</v>
      </c>
      <c r="S297" s="20">
        <f>SUMPRODUCT(S$9:S$229,Nutrients!$DA$8:$DA$228)/2000</f>
        <v>0.33223614434297905</v>
      </c>
      <c r="T297" s="20">
        <f>SUMPRODUCT(T$9:T$229,Nutrients!$DA$8:$DA$228)/2000</f>
        <v>0.32810638337529602</v>
      </c>
      <c r="U297" s="20">
        <f>SUMPRODUCT(U$9:U$229,Nutrients!$DA$8:$DA$228)/2000</f>
        <v>0.2281455840399364</v>
      </c>
      <c r="W297" s="20">
        <f>SUMPRODUCT(W$9:W$229,Nutrients!$DA$8:$DA$228)/2000</f>
        <v>0.39075419080599372</v>
      </c>
      <c r="X297" s="20">
        <f>SUMPRODUCT(X$9:X$229,Nutrients!$DA$8:$DA$228)/2000</f>
        <v>0.38818837503388348</v>
      </c>
      <c r="Y297" s="20">
        <f>SUMPRODUCT(Y$9:Y$229,Nutrients!$DA$8:$DA$228)/2000</f>
        <v>0.38257497861787215</v>
      </c>
      <c r="Z297" s="20">
        <f>SUMPRODUCT(Z$9:Z$229,Nutrients!$DA$8:$DA$228)/2000</f>
        <v>0.37963614434297904</v>
      </c>
      <c r="AA297" s="20">
        <f>SUMPRODUCT(AA$9:AA$229,Nutrients!$DA$8:$DA$228)/2000</f>
        <v>0.37550638337529596</v>
      </c>
      <c r="AB297" s="20">
        <f>SUMPRODUCT(AB$9:AB$229,Nutrients!$DA$8:$DA$228)/2000</f>
        <v>0.2281455840399364</v>
      </c>
      <c r="AD297" s="20">
        <f>SUMPRODUCT(AD$9:AD$229,Nutrients!$DA$8:$DA$228)/2000</f>
        <v>0.43815419080599377</v>
      </c>
      <c r="AE297" s="20">
        <f>SUMPRODUCT(AE$9:AE$229,Nutrients!$DA$8:$DA$228)/2000</f>
        <v>0.43558837503388342</v>
      </c>
      <c r="AF297" s="20">
        <f>SUMPRODUCT(AF$9:AF$229,Nutrients!$DA$8:$DA$228)/2000</f>
        <v>0.42997497861787221</v>
      </c>
      <c r="AG297" s="20">
        <f>SUMPRODUCT(AG$9:AG$229,Nutrients!$DA$8:$DA$228)/2000</f>
        <v>0.4270361443429791</v>
      </c>
      <c r="AH297" s="20">
        <f>SUMPRODUCT(AH$9:AH$229,Nutrients!$DA$8:$DA$228)/2000</f>
        <v>0.42290638337529601</v>
      </c>
      <c r="AI297" s="20">
        <f>SUMPRODUCT(AI$9:AI$229,Nutrients!$DA$8:$DA$228)/2000</f>
        <v>0.2281455840399364</v>
      </c>
      <c r="AK297" s="20">
        <f>SUMPRODUCT(AK$9:AK$229,Nutrients!$DA$8:$DA$228)/2000</f>
        <v>0.48555419080599382</v>
      </c>
      <c r="AL297" s="20">
        <f>SUMPRODUCT(AL$9:AL$229,Nutrients!$DA$8:$DA$228)/2000</f>
        <v>0.48298837503388348</v>
      </c>
      <c r="AM297" s="20">
        <f>SUMPRODUCT(AM$9:AM$229,Nutrients!$DA$8:$DA$228)/2000</f>
        <v>0.4773749786178722</v>
      </c>
      <c r="AN297" s="20">
        <f>SUMPRODUCT(AN$9:AN$229,Nutrients!$DA$8:$DA$228)/2000</f>
        <v>0.47443614434297909</v>
      </c>
      <c r="AO297" s="20">
        <f>SUMPRODUCT(AO$9:AO$229,Nutrients!$DA$8:$DA$228)/2000</f>
        <v>0.47030638337529601</v>
      </c>
      <c r="AP297" s="20">
        <f>SUMPRODUCT(AP$9:AP$229,Nutrients!$DA$8:$DA$228)/2000</f>
        <v>0.2281455840399364</v>
      </c>
      <c r="AR297" s="20">
        <f>SUMPRODUCT(AR$9:AR$229,Nutrients!$DA$8:$DA$228)/2000</f>
        <v>0.53295419080599382</v>
      </c>
      <c r="AS297" s="20">
        <f>SUMPRODUCT(AS$9:AS$229,Nutrients!$DA$8:$DA$228)/2000</f>
        <v>0.53038837503388359</v>
      </c>
      <c r="AT297" s="20">
        <f>SUMPRODUCT(AT$9:AT$229,Nutrients!$DA$8:$DA$228)/2000</f>
        <v>0.52477497861787226</v>
      </c>
      <c r="AU297" s="20">
        <f>SUMPRODUCT(AU$9:AU$229,Nutrients!$DA$8:$DA$228)/2000</f>
        <v>0.5218361443429792</v>
      </c>
      <c r="AV297" s="20">
        <f>SUMPRODUCT(AV$9:AV$229,Nutrients!$DA$8:$DA$228)/2000</f>
        <v>0.51770638337529606</v>
      </c>
      <c r="AW297" s="20">
        <f>SUMPRODUCT(AW$9:AW$229,Nutrients!$DA$8:$DA$228)/2000</f>
        <v>0.2281455840399364</v>
      </c>
    </row>
    <row r="298" spans="1:49" x14ac:dyDescent="0.25">
      <c r="A298" s="34" t="s">
        <v>391</v>
      </c>
      <c r="B298" s="23">
        <f t="shared" ref="B298:G298" si="156">IF(B$5="","",B245/(B246*2.2046)*10000)</f>
        <v>4.0434845516419928</v>
      </c>
      <c r="C298" s="23">
        <f t="shared" si="156"/>
        <v>3.5693197159555714</v>
      </c>
      <c r="D298" s="23">
        <f t="shared" si="156"/>
        <v>3.1528272192975133</v>
      </c>
      <c r="E298" s="23">
        <f t="shared" si="156"/>
        <v>2.8088586731646132</v>
      </c>
      <c r="F298" s="23">
        <f t="shared" si="156"/>
        <v>2.5736429013234892</v>
      </c>
      <c r="G298" s="23">
        <f t="shared" si="156"/>
        <v>2.4458370650662657</v>
      </c>
      <c r="H298" s="227"/>
      <c r="I298" s="23">
        <f t="shared" ref="I298:N298" si="157">IF(I$5="","",I245/(I246*2.2046)*10000)</f>
        <v>4.0323091111899432</v>
      </c>
      <c r="J298" s="23">
        <f t="shared" si="157"/>
        <v>3.5622155309279555</v>
      </c>
      <c r="K298" s="23">
        <f t="shared" si="157"/>
        <v>3.1488374182162602</v>
      </c>
      <c r="L298" s="23">
        <f t="shared" si="157"/>
        <v>2.8082532866660155</v>
      </c>
      <c r="M298" s="23">
        <f t="shared" si="157"/>
        <v>2.5752185320725345</v>
      </c>
      <c r="N298" s="23">
        <f t="shared" si="157"/>
        <v>2.4458370650662657</v>
      </c>
      <c r="O298" s="198"/>
      <c r="P298" s="23">
        <f t="shared" ref="P298:U298" si="158">IF(P$5="","",P245/(P246*2.2046)*10000)</f>
        <v>4.0207809333635325</v>
      </c>
      <c r="Q298" s="23">
        <f t="shared" si="158"/>
        <v>3.5548330949797315</v>
      </c>
      <c r="R298" s="23">
        <f t="shared" si="158"/>
        <v>3.1450426720584019</v>
      </c>
      <c r="S298" s="23">
        <f t="shared" si="158"/>
        <v>2.8075618430917633</v>
      </c>
      <c r="T298" s="23">
        <f t="shared" si="158"/>
        <v>2.5765783146723584</v>
      </c>
      <c r="U298" s="23">
        <f t="shared" si="158"/>
        <v>2.4458370650662657</v>
      </c>
      <c r="W298" s="23">
        <f t="shared" ref="W298:AB298" si="159">IF(W$5="","",W245/(W246*2.2046)*10000)</f>
        <v>4.0093718685426092</v>
      </c>
      <c r="X298" s="23">
        <f t="shared" si="159"/>
        <v>3.547490713246451</v>
      </c>
      <c r="Y298" s="23">
        <f t="shared" si="159"/>
        <v>3.1413579561417566</v>
      </c>
      <c r="Z298" s="23">
        <f t="shared" si="159"/>
        <v>2.8068581920746225</v>
      </c>
      <c r="AA298" s="23">
        <f t="shared" si="159"/>
        <v>2.5777620734582865</v>
      </c>
      <c r="AB298" s="23">
        <f t="shared" si="159"/>
        <v>2.4458370650662657</v>
      </c>
      <c r="AD298" s="23">
        <f t="shared" ref="AD298:AI298" si="160">IF(AD$5="","",AD245/(AD246*2.2046)*10000)</f>
        <v>3.9979649009332054</v>
      </c>
      <c r="AE298" s="23">
        <f t="shared" si="160"/>
        <v>3.5402525914631071</v>
      </c>
      <c r="AF298" s="23">
        <f t="shared" si="160"/>
        <v>3.1377657107801658</v>
      </c>
      <c r="AG298" s="23">
        <f t="shared" si="160"/>
        <v>2.8059416977353226</v>
      </c>
      <c r="AH298" s="23">
        <f t="shared" si="160"/>
        <v>2.5795051760984089</v>
      </c>
      <c r="AI298" s="23">
        <f t="shared" si="160"/>
        <v>2.4458370650662657</v>
      </c>
      <c r="AK298" s="23">
        <f t="shared" ref="AK298:AP298" si="161">IF(AK$5="","",AK245/(AK246*2.2046)*10000)</f>
        <v>3.9859896237134458</v>
      </c>
      <c r="AL298" s="23">
        <f t="shared" si="161"/>
        <v>3.5331091308468845</v>
      </c>
      <c r="AM298" s="23">
        <f t="shared" si="161"/>
        <v>3.1340511181367496</v>
      </c>
      <c r="AN298" s="23">
        <f t="shared" si="161"/>
        <v>2.8060236417305022</v>
      </c>
      <c r="AO298" s="23">
        <f t="shared" si="161"/>
        <v>2.5809659525798745</v>
      </c>
      <c r="AP298" s="23">
        <f t="shared" si="161"/>
        <v>2.4458370650662657</v>
      </c>
      <c r="AR298" s="23">
        <f t="shared" ref="AR298:AW298" si="162">IF(AR$5="","",AR245/(AR246*2.2046)*10000)</f>
        <v>3.9753947057160897</v>
      </c>
      <c r="AS298" s="23">
        <f t="shared" si="162"/>
        <v>3.5261681547282162</v>
      </c>
      <c r="AT298" s="23">
        <f t="shared" si="162"/>
        <v>3.1311556875424227</v>
      </c>
      <c r="AU298" s="23">
        <f t="shared" si="162"/>
        <v>2.8056036557981519</v>
      </c>
      <c r="AV298" s="23">
        <f t="shared" si="162"/>
        <v>2.5823528165599265</v>
      </c>
      <c r="AW298" s="23">
        <f t="shared" si="162"/>
        <v>2.4458370650662657</v>
      </c>
    </row>
    <row r="299" spans="1:49" x14ac:dyDescent="0.25">
      <c r="A299" s="34" t="s">
        <v>392</v>
      </c>
      <c r="B299" s="23">
        <f t="shared" ref="B299:G299" si="163">IF(B$5="","",B236/(B246*2.2046)*10000)</f>
        <v>3.6063972315389758</v>
      </c>
      <c r="C299" s="23">
        <f t="shared" si="163"/>
        <v>3.1769527308876992</v>
      </c>
      <c r="D299" s="23">
        <f t="shared" si="163"/>
        <v>2.7987491648675547</v>
      </c>
      <c r="E299" s="23">
        <f t="shared" si="163"/>
        <v>2.4869234391841561</v>
      </c>
      <c r="F299" s="23">
        <f t="shared" si="163"/>
        <v>2.2730285254980038</v>
      </c>
      <c r="G299" s="23">
        <f t="shared" si="163"/>
        <v>2.1560010424593594</v>
      </c>
      <c r="H299" s="227"/>
      <c r="I299" s="23">
        <f t="shared" ref="I299:N299" si="164">IF(I$5="","",I236/(I246*2.2046)*10000)</f>
        <v>3.5742552427285665</v>
      </c>
      <c r="J299" s="23">
        <f t="shared" si="164"/>
        <v>3.1485900960267239</v>
      </c>
      <c r="K299" s="23">
        <f t="shared" si="164"/>
        <v>2.7732885147103237</v>
      </c>
      <c r="L299" s="23">
        <f t="shared" si="164"/>
        <v>2.4645658903799825</v>
      </c>
      <c r="M299" s="23">
        <f t="shared" si="164"/>
        <v>2.2527157922164234</v>
      </c>
      <c r="N299" s="23">
        <f t="shared" si="164"/>
        <v>2.1560010424593594</v>
      </c>
      <c r="O299" s="198"/>
      <c r="P299" s="23">
        <f t="shared" ref="P299:U299" si="165">IF(P$5="","",P236/(P246*2.2046)*10000)</f>
        <v>3.5421976226512615</v>
      </c>
      <c r="Q299" s="23">
        <f t="shared" si="165"/>
        <v>3.1203703604120689</v>
      </c>
      <c r="R299" s="23">
        <f t="shared" si="165"/>
        <v>2.7484075625108271</v>
      </c>
      <c r="S299" s="23">
        <f t="shared" si="165"/>
        <v>2.442554839217792</v>
      </c>
      <c r="T299" s="23">
        <f t="shared" si="165"/>
        <v>2.2326206530790094</v>
      </c>
      <c r="U299" s="23">
        <f t="shared" si="165"/>
        <v>2.1560010424593594</v>
      </c>
      <c r="W299" s="23">
        <f t="shared" ref="W299:AB299" si="166">IF(W$5="","",W236/(W246*2.2046)*10000)</f>
        <v>3.5106365360084459</v>
      </c>
      <c r="X299" s="23">
        <f t="shared" si="166"/>
        <v>3.0925746511220087</v>
      </c>
      <c r="Y299" s="23">
        <f t="shared" si="166"/>
        <v>2.7240010293816943</v>
      </c>
      <c r="Z299" s="23">
        <f t="shared" si="166"/>
        <v>2.4209063683945251</v>
      </c>
      <c r="AA299" s="23">
        <f t="shared" si="166"/>
        <v>2.2127544075940224</v>
      </c>
      <c r="AB299" s="23">
        <f t="shared" si="166"/>
        <v>2.1560010424593594</v>
      </c>
      <c r="AD299" s="23">
        <f t="shared" ref="AD299:AI299" si="167">IF(AD$5="","",AD236/(AD246*2.2046)*10000)</f>
        <v>3.4794614730141036</v>
      </c>
      <c r="AE299" s="23">
        <f t="shared" si="167"/>
        <v>3.0652464401607324</v>
      </c>
      <c r="AF299" s="23">
        <f t="shared" si="167"/>
        <v>2.7000425874269176</v>
      </c>
      <c r="AG299" s="23">
        <f t="shared" si="167"/>
        <v>2.3994622071041447</v>
      </c>
      <c r="AH299" s="23">
        <f t="shared" si="167"/>
        <v>2.1938619799331884</v>
      </c>
      <c r="AI299" s="23">
        <f t="shared" si="167"/>
        <v>2.1560010424593594</v>
      </c>
      <c r="AK299" s="23">
        <f t="shared" ref="AK299:AP299" si="168">IF(AK$5="","",AK236/(AK246*2.2046)*10000)</f>
        <v>3.4481845579975618</v>
      </c>
      <c r="AL299" s="23">
        <f t="shared" si="168"/>
        <v>3.0383691271750042</v>
      </c>
      <c r="AM299" s="23">
        <f t="shared" si="168"/>
        <v>2.6763595165792666</v>
      </c>
      <c r="AN299" s="23">
        <f t="shared" si="168"/>
        <v>2.3793382498920996</v>
      </c>
      <c r="AO299" s="23">
        <f t="shared" si="168"/>
        <v>2.1751085935225247</v>
      </c>
      <c r="AP299" s="23">
        <f t="shared" si="168"/>
        <v>2.1560010424593594</v>
      </c>
      <c r="AR299" s="23">
        <f t="shared" ref="AR299:AW299" si="169">IF(AR$5="","",AR236/(AR246*2.2046)*10000)</f>
        <v>3.4184466785341434</v>
      </c>
      <c r="AS299" s="23">
        <f t="shared" si="169"/>
        <v>3.0120260590524119</v>
      </c>
      <c r="AT299" s="23">
        <f t="shared" si="169"/>
        <v>2.6537565593623835</v>
      </c>
      <c r="AU299" s="23">
        <f t="shared" si="169"/>
        <v>2.359173980416116</v>
      </c>
      <c r="AV299" s="23">
        <f t="shared" si="169"/>
        <v>2.1566343307306202</v>
      </c>
      <c r="AW299" s="23">
        <f t="shared" si="169"/>
        <v>2.1560010424593594</v>
      </c>
    </row>
    <row r="300" spans="1:49" x14ac:dyDescent="0.25">
      <c r="A300" s="34" t="s">
        <v>151</v>
      </c>
      <c r="B300" s="23">
        <f t="shared" ref="B300:G300" si="170">B245/B253*100</f>
        <v>6.4370478420696102</v>
      </c>
      <c r="C300" s="23">
        <f t="shared" si="170"/>
        <v>6.3776088080946991</v>
      </c>
      <c r="D300" s="23">
        <f t="shared" si="170"/>
        <v>6.2955955211424843</v>
      </c>
      <c r="E300" s="23">
        <f t="shared" si="170"/>
        <v>6.2166350165421349</v>
      </c>
      <c r="F300" s="23">
        <f t="shared" si="170"/>
        <v>6.1431562205295167</v>
      </c>
      <c r="G300" s="23">
        <f t="shared" si="170"/>
        <v>6.0778386851000716</v>
      </c>
      <c r="H300" s="227"/>
      <c r="I300" s="23">
        <f t="shared" ref="I300:N300" si="171">I245/I253*100</f>
        <v>6.37084815218142</v>
      </c>
      <c r="J300" s="23">
        <f t="shared" si="171"/>
        <v>6.3049180961614244</v>
      </c>
      <c r="K300" s="23">
        <f t="shared" si="171"/>
        <v>6.2162640539522558</v>
      </c>
      <c r="L300" s="23">
        <f t="shared" si="171"/>
        <v>6.1306164795804952</v>
      </c>
      <c r="M300" s="23">
        <f t="shared" si="171"/>
        <v>6.052770100566029</v>
      </c>
      <c r="N300" s="23">
        <f t="shared" si="171"/>
        <v>6.0778386851000716</v>
      </c>
      <c r="O300" s="198"/>
      <c r="P300" s="23">
        <f t="shared" ref="P300:U300" si="172">P245/P253*100</f>
        <v>6.3067057997087117</v>
      </c>
      <c r="Q300" s="23">
        <f t="shared" si="172"/>
        <v>6.2346743221838974</v>
      </c>
      <c r="R300" s="23">
        <f t="shared" si="172"/>
        <v>6.1401563589347283</v>
      </c>
      <c r="S300" s="23">
        <f t="shared" si="172"/>
        <v>6.048721163939085</v>
      </c>
      <c r="T300" s="23">
        <f t="shared" si="172"/>
        <v>5.9659369220641123</v>
      </c>
      <c r="U300" s="23">
        <f t="shared" si="172"/>
        <v>6.0778386851000716</v>
      </c>
      <c r="W300" s="23">
        <f t="shared" ref="W300:AB300" si="173">W245/W253*100</f>
        <v>6.2446198502468757</v>
      </c>
      <c r="X300" s="23">
        <f t="shared" si="173"/>
        <v>6.1669360471271331</v>
      </c>
      <c r="Y300" s="23">
        <f t="shared" si="173"/>
        <v>6.0669555840387135</v>
      </c>
      <c r="Z300" s="23">
        <f t="shared" si="173"/>
        <v>5.971227494136838</v>
      </c>
      <c r="AA300" s="23">
        <f t="shared" si="173"/>
        <v>5.8820690044773354</v>
      </c>
      <c r="AB300" s="23">
        <f t="shared" si="173"/>
        <v>6.0778386851000716</v>
      </c>
      <c r="AD300" s="23">
        <f t="shared" ref="AD300:AI300" si="174">AD245/AD253*100</f>
        <v>6.1844975565342857</v>
      </c>
      <c r="AE300" s="23">
        <f t="shared" si="174"/>
        <v>6.1015308173977889</v>
      </c>
      <c r="AF300" s="23">
        <f t="shared" si="174"/>
        <v>5.9985556470150003</v>
      </c>
      <c r="AG300" s="23">
        <f t="shared" si="174"/>
        <v>5.8944681967351462</v>
      </c>
      <c r="AH300" s="23">
        <f t="shared" si="174"/>
        <v>5.804123741029577</v>
      </c>
      <c r="AI300" s="23">
        <f t="shared" si="174"/>
        <v>6.0778386851000716</v>
      </c>
      <c r="AK300" s="23">
        <f t="shared" ref="AK300:AP300" si="175">AK245/AK253*100</f>
        <v>6.1263841543621478</v>
      </c>
      <c r="AL300" s="23">
        <f t="shared" si="175"/>
        <v>6.0383531012962353</v>
      </c>
      <c r="AM300" s="23">
        <f t="shared" si="175"/>
        <v>5.9292692854908218</v>
      </c>
      <c r="AN300" s="23">
        <f t="shared" si="175"/>
        <v>5.8226410234786341</v>
      </c>
      <c r="AO300" s="23">
        <f t="shared" si="175"/>
        <v>5.730296001533957</v>
      </c>
      <c r="AP300" s="23">
        <f t="shared" si="175"/>
        <v>6.0778386851000716</v>
      </c>
      <c r="AR300" s="23">
        <f t="shared" ref="AR300:AW300" si="176">AR245/AR253*100</f>
        <v>6.0702563864006516</v>
      </c>
      <c r="AS300" s="23">
        <f t="shared" si="176"/>
        <v>5.9777978088090977</v>
      </c>
      <c r="AT300" s="23">
        <f t="shared" si="176"/>
        <v>5.8634088183468602</v>
      </c>
      <c r="AU300" s="23">
        <f t="shared" si="176"/>
        <v>5.7545742427694435</v>
      </c>
      <c r="AV300" s="23">
        <f t="shared" si="176"/>
        <v>5.6590646150332073</v>
      </c>
      <c r="AW300" s="23">
        <f t="shared" si="176"/>
        <v>6.0778386851000716</v>
      </c>
    </row>
    <row r="301" spans="1:49" x14ac:dyDescent="0.25">
      <c r="A301" t="s">
        <v>56</v>
      </c>
      <c r="B301" s="22">
        <f>(SUMPRODUCT(B$9:B$229,Nutrients!$K$8:$K$228)+(IF($A$7=Nutrients!$B$8,Nutrients!$K$8,Nutrients!$K$9)*B$7)+(((IF($A$8=Nutrients!$B$79,Nutrients!$K$79,(IF($A$8=Nutrients!$B$77,Nutrients!$K$77,Nutrients!$K$78)))))*B$8))/2000</f>
        <v>2.7726851771066428</v>
      </c>
      <c r="C301" s="22">
        <f>(SUMPRODUCT(C$9:C$229,Nutrients!$K$8:$K$228)+(IF($A$7=Nutrients!$B$8,Nutrients!$K$8,Nutrients!$K$9)*C$7)+(((IF($A$8=Nutrients!$B$79,Nutrients!$K$79,(IF($A$8=Nutrients!$B$77,Nutrients!$K$77,Nutrients!$K$78)))))*C$8))/2000</f>
        <v>2.8895248185748268</v>
      </c>
      <c r="D301" s="22">
        <f>(SUMPRODUCT(D$9:D$229,Nutrients!$K$8:$K$228)+(IF($A$7=Nutrients!$B$8,Nutrients!$K$8,Nutrients!$K$9)*D$7)+(((IF($A$8=Nutrients!$B$79,Nutrients!$K$79,(IF($A$8=Nutrients!$B$77,Nutrients!$K$77,Nutrients!$K$78)))))*D$8))/2000</f>
        <v>2.9911114387020761</v>
      </c>
      <c r="E301" s="22">
        <f>(SUMPRODUCT(E$9:E$229,Nutrients!$K$8:$K$228)+(IF($A$7=Nutrients!$B$8,Nutrients!$K$8,Nutrients!$K$9)*E$7)+(((IF($A$8=Nutrients!$B$79,Nutrients!$K$79,(IF($A$8=Nutrients!$B$77,Nutrients!$K$77,Nutrients!$K$78)))))*E$8))/2000</f>
        <v>3.0762951752970258</v>
      </c>
      <c r="F301" s="22">
        <f>(SUMPRODUCT(F$9:F$229,Nutrients!$K$8:$K$228)+(IF($A$7=Nutrients!$B$8,Nutrients!$K$8,Nutrients!$K$9)*F$7)+(((IF($A$8=Nutrients!$B$79,Nutrients!$K$79,(IF($A$8=Nutrients!$B$77,Nutrients!$K$77,Nutrients!$K$78)))))*F$8))/2000</f>
        <v>3.1350305214620882</v>
      </c>
      <c r="G301" s="22">
        <f>(SUMPRODUCT(G$9:G$229,Nutrients!$K$8:$K$228)+(IF($A$7=Nutrients!$B$8,Nutrients!$K$8,Nutrients!$K$9)*G$7)+(((IF($A$8=Nutrients!$B$79,Nutrients!$K$79,(IF($A$8=Nutrients!$B$77,Nutrients!$K$77,Nutrients!$K$78)))))*G$8))/2000</f>
        <v>3.1635989425624271</v>
      </c>
      <c r="H301" s="228"/>
      <c r="I301" s="22">
        <f>(SUMPRODUCT(I$9:I$229,Nutrients!$K$8:$K$228)+(IF($A$7=Nutrients!$B$8,Nutrients!$K$8,Nutrients!$K$9)*I$7)+(((IF($A$8=Nutrients!$B$79,Nutrients!$K$79,(IF($A$8=Nutrients!$B$77,Nutrients!$K$77,Nutrients!$K$78)))))*I$8))/2000</f>
        <v>3.6711713178515257</v>
      </c>
      <c r="J301" s="22">
        <f>(SUMPRODUCT(J$9:J$229,Nutrients!$K$8:$K$228)+(IF($A$7=Nutrients!$B$8,Nutrients!$K$8,Nutrients!$K$9)*J$7)+(((IF($A$8=Nutrients!$B$79,Nutrients!$K$79,(IF($A$8=Nutrients!$B$77,Nutrients!$K$77,Nutrients!$K$78)))))*J$8))/2000</f>
        <v>3.792400289663433</v>
      </c>
      <c r="K301" s="22">
        <f>(SUMPRODUCT(K$9:K$229,Nutrients!$K$8:$K$228)+(IF($A$7=Nutrients!$B$8,Nutrients!$K$8,Nutrients!$K$9)*K$7)+(((IF($A$8=Nutrients!$B$79,Nutrients!$K$79,(IF($A$8=Nutrients!$B$77,Nutrients!$K$77,Nutrients!$K$78)))))*K$8))/2000</f>
        <v>3.8975528769669689</v>
      </c>
      <c r="L301" s="22">
        <f>(SUMPRODUCT(L$9:L$229,Nutrients!$K$8:$K$228)+(IF($A$7=Nutrients!$B$8,Nutrients!$K$8,Nutrients!$K$9)*L$7)+(((IF($A$8=Nutrients!$B$79,Nutrients!$K$79,(IF($A$8=Nutrients!$B$77,Nutrients!$K$77,Nutrients!$K$78)))))*L$8))/2000</f>
        <v>3.972947157110859</v>
      </c>
      <c r="M301" s="22">
        <f>(SUMPRODUCT(M$9:M$229,Nutrients!$K$8:$K$228)+(IF($A$7=Nutrients!$B$8,Nutrients!$K$8,Nutrients!$K$9)*M$7)+(((IF($A$8=Nutrients!$B$79,Nutrients!$K$79,(IF($A$8=Nutrients!$B$77,Nutrients!$K$77,Nutrients!$K$78)))))*M$8))/2000</f>
        <v>4.0350426378319115</v>
      </c>
      <c r="N301" s="22">
        <f>(SUMPRODUCT(N$9:N$229,Nutrients!$K$8:$K$228)+(IF($A$7=Nutrients!$B$8,Nutrients!$K$8,Nutrients!$K$9)*N$7)+(((IF($A$8=Nutrients!$B$79,Nutrients!$K$79,(IF($A$8=Nutrients!$B$77,Nutrients!$K$77,Nutrients!$K$78)))))*N$8))/2000</f>
        <v>3.1635989425624271</v>
      </c>
      <c r="O301" s="235"/>
      <c r="P301" s="22">
        <f>(SUMPRODUCT(P$9:P$229,Nutrients!$K$8:$K$228)+(IF($A$7=Nutrients!$B$8,Nutrients!$K$8,Nutrients!$K$9)*P$7)+(((IF($A$8=Nutrients!$B$79,Nutrients!$K$79,(IF($A$8=Nutrients!$B$77,Nutrients!$K$77,Nutrients!$K$78)))))*P$8))/2000</f>
        <v>4.5752487345595556</v>
      </c>
      <c r="Q301" s="22">
        <f>(SUMPRODUCT(Q$9:Q$229,Nutrients!$K$8:$K$228)+(IF($A$7=Nutrients!$B$8,Nutrients!$K$8,Nutrients!$K$9)*Q$7)+(((IF($A$8=Nutrients!$B$79,Nutrients!$K$79,(IF($A$8=Nutrients!$B$77,Nutrients!$K$77,Nutrients!$K$78)))))*Q$8))/2000</f>
        <v>4.6982485202031041</v>
      </c>
      <c r="R301" s="22">
        <f>(SUMPRODUCT(R$9:R$229,Nutrients!$K$8:$K$228)+(IF($A$7=Nutrients!$B$8,Nutrients!$K$8,Nutrients!$K$9)*R$7)+(((IF($A$8=Nutrients!$B$79,Nutrients!$K$79,(IF($A$8=Nutrients!$B$77,Nutrients!$K$77,Nutrients!$K$78)))))*R$8))/2000</f>
        <v>4.8060739642680526</v>
      </c>
      <c r="S301" s="22">
        <f>(SUMPRODUCT(S$9:S$229,Nutrients!$K$8:$K$228)+(IF($A$7=Nutrients!$B$8,Nutrients!$K$8,Nutrients!$K$9)*S$7)+(((IF($A$8=Nutrients!$B$79,Nutrients!$K$79,(IF($A$8=Nutrients!$B$77,Nutrients!$K$77,Nutrients!$K$78)))))*S$8))/2000</f>
        <v>4.8804169232959946</v>
      </c>
      <c r="T301" s="22">
        <f>(SUMPRODUCT(T$9:T$229,Nutrients!$K$8:$K$228)+(IF($A$7=Nutrients!$B$8,Nutrients!$K$8,Nutrients!$K$9)*T$7)+(((IF($A$8=Nutrients!$B$79,Nutrients!$K$79,(IF($A$8=Nutrients!$B$77,Nutrients!$K$77,Nutrients!$K$78)))))*T$8))/2000</f>
        <v>4.9415614866287925</v>
      </c>
      <c r="U301" s="22">
        <f>(SUMPRODUCT(U$9:U$229,Nutrients!$K$8:$K$228)+(IF($A$7=Nutrients!$B$8,Nutrients!$K$8,Nutrients!$K$9)*U$7)+(((IF($A$8=Nutrients!$B$79,Nutrients!$K$79,(IF($A$8=Nutrients!$B$77,Nutrients!$K$77,Nutrients!$K$78)))))*U$8))/2000</f>
        <v>3.1635989425624271</v>
      </c>
      <c r="W301" s="22">
        <f>(SUMPRODUCT(W$9:W$229,Nutrients!$K$8:$K$228)+(IF($A$7=Nutrients!$B$8,Nutrients!$K$8,Nutrients!$K$9)*W$7)+(((IF($A$8=Nutrients!$B$79,Nutrients!$K$79,(IF($A$8=Nutrients!$B$77,Nutrients!$K$77,Nutrients!$K$78)))))*W$8))/2000</f>
        <v>5.4807232534556682</v>
      </c>
      <c r="X301" s="22">
        <f>(SUMPRODUCT(X$9:X$229,Nutrients!$K$8:$K$228)+(IF($A$7=Nutrients!$B$8,Nutrients!$K$8,Nutrients!$K$9)*X$7)+(((IF($A$8=Nutrients!$B$79,Nutrients!$K$79,(IF($A$8=Nutrients!$B$77,Nutrients!$K$77,Nutrients!$K$78)))))*X$8))/2000</f>
        <v>5.6057735998635767</v>
      </c>
      <c r="Y301" s="22">
        <f>(SUMPRODUCT(Y$9:Y$229,Nutrients!$K$8:$K$228)+(IF($A$7=Nutrients!$B$8,Nutrients!$K$8,Nutrients!$K$9)*Y$7)+(((IF($A$8=Nutrients!$B$79,Nutrients!$K$79,(IF($A$8=Nutrients!$B$77,Nutrients!$K$77,Nutrients!$K$78)))))*Y$8))/2000</f>
        <v>5.7125326290062963</v>
      </c>
      <c r="Z301" s="22">
        <f>(SUMPRODUCT(Z$9:Z$229,Nutrients!$K$8:$K$228)+(IF($A$7=Nutrients!$B$8,Nutrients!$K$8,Nutrients!$K$9)*Z$7)+(((IF($A$8=Nutrients!$B$79,Nutrients!$K$79,(IF($A$8=Nutrients!$B$77,Nutrients!$K$77,Nutrients!$K$78)))))*Z$8))/2000</f>
        <v>5.7892527689027142</v>
      </c>
      <c r="AA301" s="22">
        <f>(SUMPRODUCT(AA$9:AA$229,Nutrients!$K$8:$K$228)+(IF($A$7=Nutrients!$B$8,Nutrients!$K$8,Nutrients!$K$9)*AA$7)+(((IF($A$8=Nutrients!$B$79,Nutrients!$K$79,(IF($A$8=Nutrients!$B$77,Nutrients!$K$77,Nutrients!$K$78)))))*AA$8))/2000</f>
        <v>5.8486380163695797</v>
      </c>
      <c r="AB301" s="22">
        <f>(SUMPRODUCT(AB$9:AB$229,Nutrients!$K$8:$K$228)+(IF($A$7=Nutrients!$B$8,Nutrients!$K$8,Nutrients!$K$9)*AB$7)+(((IF($A$8=Nutrients!$B$79,Nutrients!$K$79,(IF($A$8=Nutrients!$B$77,Nutrients!$K$77,Nutrients!$K$78)))))*AB$8))/2000</f>
        <v>3.1635989425624271</v>
      </c>
      <c r="AD301" s="22">
        <f>(SUMPRODUCT(AD$9:AD$229,Nutrients!$K$8:$K$228)+(IF($A$7=Nutrients!$B$8,Nutrients!$K$8,Nutrients!$K$9)*AD$7)+(((IF($A$8=Nutrients!$B$79,Nutrients!$K$79,(IF($A$8=Nutrients!$B$77,Nutrients!$K$77,Nutrients!$K$78)))))*AD$8))/2000</f>
        <v>6.3888824866548513</v>
      </c>
      <c r="AE301" s="22">
        <f>(SUMPRODUCT(AE$9:AE$229,Nutrients!$K$8:$K$228)+(IF($A$7=Nutrients!$B$8,Nutrients!$K$8,Nutrients!$K$9)*AE$7)+(((IF($A$8=Nutrients!$B$79,Nutrients!$K$79,(IF($A$8=Nutrients!$B$77,Nutrients!$K$77,Nutrients!$K$78)))))*AE$8))/2000</f>
        <v>6.5131769767994037</v>
      </c>
      <c r="AF301" s="22">
        <f>(SUMPRODUCT(AF$9:AF$229,Nutrients!$K$8:$K$228)+(IF($A$7=Nutrients!$B$8,Nutrients!$K$8,Nutrients!$K$9)*AF$7)+(((IF($A$8=Nutrients!$B$79,Nutrients!$K$79,(IF($A$8=Nutrients!$B$77,Nutrients!$K$77,Nutrients!$K$78)))))*AF$8))/2000</f>
        <v>6.6235904113595403</v>
      </c>
      <c r="AG301" s="22">
        <f>(SUMPRODUCT(AG$9:AG$229,Nutrients!$K$8:$K$228)+(IF($A$7=Nutrients!$B$8,Nutrients!$K$8,Nutrients!$K$9)*AG$7)+(((IF($A$8=Nutrients!$B$79,Nutrients!$K$79,(IF($A$8=Nutrients!$B$77,Nutrients!$K$77,Nutrients!$K$78)))))*AG$8))/2000</f>
        <v>6.6982480806140074</v>
      </c>
      <c r="AH301" s="22">
        <f>(SUMPRODUCT(AH$9:AH$229,Nutrients!$K$8:$K$228)+(IF($A$7=Nutrients!$B$8,Nutrients!$K$8,Nutrients!$K$9)*AH$7)+(((IF($A$8=Nutrients!$B$79,Nutrients!$K$79,(IF($A$8=Nutrients!$B$77,Nutrients!$K$77,Nutrients!$K$78)))))*AH$8))/2000</f>
        <v>6.7873461210862658</v>
      </c>
      <c r="AI301" s="22">
        <f>(SUMPRODUCT(AI$9:AI$229,Nutrients!$K$8:$K$228)+(IF($A$7=Nutrients!$B$8,Nutrients!$K$8,Nutrients!$K$9)*AI$7)+(((IF($A$8=Nutrients!$B$79,Nutrients!$K$79,(IF($A$8=Nutrients!$B$77,Nutrients!$K$77,Nutrients!$K$78)))))*AI$8))/2000</f>
        <v>3.1635989425624271</v>
      </c>
      <c r="AK301" s="22">
        <f>(SUMPRODUCT(AK$9:AK$229,Nutrients!$K$8:$K$228)+(IF($A$7=Nutrients!$B$8,Nutrients!$K$8,Nutrients!$K$9)*AK$7)+(((IF($A$8=Nutrients!$B$79,Nutrients!$K$79,(IF($A$8=Nutrients!$B$77,Nutrients!$K$77,Nutrients!$K$78)))))*AK$8))/2000</f>
        <v>7.3095574628317488</v>
      </c>
      <c r="AL301" s="22">
        <f>(SUMPRODUCT(AL$9:AL$229,Nutrients!$K$8:$K$228)+(IF($A$7=Nutrients!$B$8,Nutrients!$K$8,Nutrients!$K$9)*AL$7)+(((IF($A$8=Nutrients!$B$79,Nutrients!$K$79,(IF($A$8=Nutrients!$B$77,Nutrients!$K$77,Nutrients!$K$78)))))*AL$8))/2000</f>
        <v>7.4208878184611544</v>
      </c>
      <c r="AM301" s="22">
        <f>(SUMPRODUCT(AM$9:AM$229,Nutrients!$K$8:$K$228)+(IF($A$7=Nutrients!$B$8,Nutrients!$K$8,Nutrients!$K$9)*AM$7)+(((IF($A$8=Nutrients!$B$79,Nutrients!$K$79,(IF($A$8=Nutrients!$B$77,Nutrients!$K$77,Nutrients!$K$78)))))*AM$8))/2000</f>
        <v>7.5299592867460463</v>
      </c>
      <c r="AN301" s="22">
        <f>(SUMPRODUCT(AN$9:AN$229,Nutrients!$K$8:$K$228)+(IF($A$7=Nutrients!$B$8,Nutrients!$K$8,Nutrients!$K$9)*AN$7)+(((IF($A$8=Nutrients!$B$79,Nutrients!$K$79,(IF($A$8=Nutrients!$B$77,Nutrients!$K$77,Nutrients!$K$78)))))*AN$8))/2000</f>
        <v>7.6282383083872691</v>
      </c>
      <c r="AO301" s="22">
        <f>(SUMPRODUCT(AO$9:AO$229,Nutrients!$K$8:$K$228)+(IF($A$7=Nutrients!$B$8,Nutrients!$K$8,Nutrients!$K$9)*AO$7)+(((IF($A$8=Nutrients!$B$79,Nutrients!$K$79,(IF($A$8=Nutrients!$B$77,Nutrients!$K$77,Nutrients!$K$78)))))*AO$8))/2000</f>
        <v>7.7409126362231016</v>
      </c>
      <c r="AP301" s="22">
        <f>(SUMPRODUCT(AP$9:AP$229,Nutrients!$K$8:$K$228)+(IF($A$7=Nutrients!$B$8,Nutrients!$K$8,Nutrients!$K$9)*AP$7)+(((IF($A$8=Nutrients!$B$79,Nutrients!$K$79,(IF($A$8=Nutrients!$B$77,Nutrients!$K$77,Nutrients!$K$78)))))*AP$8))/2000</f>
        <v>3.1635989425624271</v>
      </c>
      <c r="AR301" s="22">
        <f>(SUMPRODUCT(AR$9:AR$229,Nutrients!$K$8:$K$228)+(IF($A$7=Nutrients!$B$8,Nutrients!$K$8,Nutrients!$K$9)*AR$7)+(((IF($A$8=Nutrients!$B$79,Nutrients!$K$79,(IF($A$8=Nutrients!$B$77,Nutrients!$K$77,Nutrients!$K$78)))))*AR$8))/2000</f>
        <v>8.2126495220058491</v>
      </c>
      <c r="AS301" s="22">
        <f>(SUMPRODUCT(AS$9:AS$229,Nutrients!$K$8:$K$228)+(IF($A$7=Nutrients!$B$8,Nutrients!$K$8,Nutrients!$K$9)*AS$7)+(((IF($A$8=Nutrients!$B$79,Nutrients!$K$79,(IF($A$8=Nutrients!$B$77,Nutrients!$K$77,Nutrients!$K$78)))))*AS$8))/2000</f>
        <v>8.3291964730234405</v>
      </c>
      <c r="AT301" s="22">
        <f>(SUMPRODUCT(AT$9:AT$229,Nutrients!$K$8:$K$228)+(IF($A$7=Nutrients!$B$8,Nutrients!$K$8,Nutrients!$K$9)*AT$7)+(((IF($A$8=Nutrients!$B$79,Nutrients!$K$79,(IF($A$8=Nutrients!$B$77,Nutrients!$K$77,Nutrients!$K$78)))))*AT$8))/2000</f>
        <v>8.4367691585733695</v>
      </c>
      <c r="AU301" s="22">
        <f>(SUMPRODUCT(AU$9:AU$229,Nutrients!$K$8:$K$228)+(IF($A$7=Nutrients!$B$8,Nutrients!$K$8,Nutrients!$K$9)*AU$7)+(((IF($A$8=Nutrients!$B$79,Nutrients!$K$79,(IF($A$8=Nutrients!$B$77,Nutrients!$K$77,Nutrients!$K$78)))))*AU$8))/2000</f>
        <v>8.5810738429376237</v>
      </c>
      <c r="AV301" s="22">
        <f>(SUMPRODUCT(AV$9:AV$229,Nutrients!$K$8:$K$228)+(IF($A$7=Nutrients!$B$8,Nutrients!$K$8,Nutrients!$K$9)*AV$7)+(((IF($A$8=Nutrients!$B$79,Nutrients!$K$79,(IF($A$8=Nutrients!$B$77,Nutrients!$K$77,Nutrients!$K$78)))))*AV$8))/2000</f>
        <v>8.6946169116219973</v>
      </c>
      <c r="AW301" s="22">
        <f>(SUMPRODUCT(AW$9:AW$229,Nutrients!$K$8:$K$228)+(IF($A$7=Nutrients!$B$8,Nutrients!$K$8,Nutrients!$K$9)*AW$7)+(((IF($A$8=Nutrients!$B$79,Nutrients!$K$79,(IF($A$8=Nutrients!$B$77,Nutrients!$K$77,Nutrients!$K$78)))))*AW$8))/2000</f>
        <v>3.1635989425624271</v>
      </c>
    </row>
    <row r="302" spans="1:49" x14ac:dyDescent="0.25">
      <c r="A302" t="s">
        <v>53</v>
      </c>
      <c r="B302" s="22">
        <f>(SUMPRODUCT(B$9:B$229,Nutrients!$J$8:$J$228)+(IF($A$7=Nutrients!$B$8,Nutrients!$J$8,Nutrients!$J$9)*B$7)+(((IF($A$8=Nutrients!$B$79,Nutrients!$J$79,(IF($A$8=Nutrients!$B$77,Nutrients!$J$77,Nutrients!$J$78)))))*B$8))/2000</f>
        <v>2.513641643841301</v>
      </c>
      <c r="C302" s="22">
        <f>(SUMPRODUCT(C$9:C$229,Nutrients!$J$8:$J$228)+(IF($A$7=Nutrients!$B$8,Nutrients!$J$8,Nutrients!$J$9)*C$7)+(((IF($A$8=Nutrients!$B$79,Nutrients!$J$79,(IF($A$8=Nutrients!$B$77,Nutrients!$J$77,Nutrients!$J$78)))))*C$8))/2000</f>
        <v>2.4130399696967721</v>
      </c>
      <c r="D302" s="22">
        <f>(SUMPRODUCT(D$9:D$229,Nutrients!$J$8:$J$228)+(IF($A$7=Nutrients!$B$8,Nutrients!$J$8,Nutrients!$J$9)*D$7)+(((IF($A$8=Nutrients!$B$79,Nutrients!$J$79,(IF($A$8=Nutrients!$B$77,Nutrients!$J$77,Nutrients!$J$78)))))*D$8))/2000</f>
        <v>2.3268016052434768</v>
      </c>
      <c r="E302" s="22">
        <f>(SUMPRODUCT(E$9:E$229,Nutrients!$J$8:$J$228)+(IF($A$7=Nutrients!$B$8,Nutrients!$J$8,Nutrients!$J$9)*E$7)+(((IF($A$8=Nutrients!$B$79,Nutrients!$J$79,(IF($A$8=Nutrients!$B$77,Nutrients!$J$77,Nutrients!$J$78)))))*E$8))/2000</f>
        <v>2.2539022615675171</v>
      </c>
      <c r="F302" s="22">
        <f>(SUMPRODUCT(F$9:F$229,Nutrients!$J$8:$J$228)+(IF($A$7=Nutrients!$B$8,Nutrients!$J$8,Nutrients!$J$9)*F$7)+(((IF($A$8=Nutrients!$B$79,Nutrients!$J$79,(IF($A$8=Nutrients!$B$77,Nutrients!$J$77,Nutrients!$J$78)))))*F$8))/2000</f>
        <v>2.2063713720102678</v>
      </c>
      <c r="G302" s="22">
        <f>(SUMPRODUCT(G$9:G$229,Nutrients!$J$8:$J$228)+(IF($A$7=Nutrients!$B$8,Nutrients!$J$8,Nutrients!$J$9)*G$7)+(((IF($A$8=Nutrients!$B$79,Nutrients!$J$79,(IF($A$8=Nutrients!$B$77,Nutrients!$J$77,Nutrients!$J$78)))))*G$8))/2000</f>
        <v>2.1815237128108387</v>
      </c>
      <c r="H302" s="228"/>
      <c r="I302" s="22">
        <f>(SUMPRODUCT(I$9:I$229,Nutrients!$J$8:$J$228)+(IF($A$7=Nutrients!$B$8,Nutrients!$J$8,Nutrients!$J$9)*I$7)+(((IF($A$8=Nutrients!$B$79,Nutrients!$J$79,(IF($A$8=Nutrients!$B$77,Nutrients!$J$77,Nutrients!$J$78)))))*I$8))/2000</f>
        <v>2.7578601504386424</v>
      </c>
      <c r="J302" s="22">
        <f>(SUMPRODUCT(J$9:J$229,Nutrients!$J$8:$J$228)+(IF($A$7=Nutrients!$B$8,Nutrients!$J$8,Nutrients!$J$9)*J$7)+(((IF($A$8=Nutrients!$B$79,Nutrients!$J$79,(IF($A$8=Nutrients!$B$77,Nutrients!$J$77,Nutrients!$J$78)))))*J$8))/2000</f>
        <v>2.6571364620412314</v>
      </c>
      <c r="K302" s="22">
        <f>(SUMPRODUCT(K$9:K$229,Nutrients!$J$8:$J$228)+(IF($A$7=Nutrients!$B$8,Nutrients!$J$8,Nutrients!$J$9)*K$7)+(((IF($A$8=Nutrients!$B$79,Nutrients!$J$79,(IF($A$8=Nutrients!$B$77,Nutrients!$J$77,Nutrients!$J$78)))))*K$8))/2000</f>
        <v>2.5711183267223752</v>
      </c>
      <c r="L302" s="22">
        <f>(SUMPRODUCT(L$9:L$229,Nutrients!$J$8:$J$228)+(IF($A$7=Nutrients!$B$8,Nutrients!$J$8,Nutrients!$J$9)*L$7)+(((IF($A$8=Nutrients!$B$79,Nutrients!$J$79,(IF($A$8=Nutrients!$B$77,Nutrients!$J$77,Nutrients!$J$78)))))*L$8))/2000</f>
        <v>2.4985450150950168</v>
      </c>
      <c r="M302" s="22">
        <f>(SUMPRODUCT(M$9:M$229,Nutrients!$J$8:$J$228)+(IF($A$7=Nutrients!$B$8,Nutrients!$J$8,Nutrients!$J$9)*M$7)+(((IF($A$8=Nutrients!$B$79,Nutrients!$J$79,(IF($A$8=Nutrients!$B$77,Nutrients!$J$77,Nutrients!$J$78)))))*M$8))/2000</f>
        <v>2.4507798641422696</v>
      </c>
      <c r="N302" s="22">
        <f>(SUMPRODUCT(N$9:N$229,Nutrients!$J$8:$J$228)+(IF($A$7=Nutrients!$B$8,Nutrients!$J$8,Nutrients!$J$9)*N$7)+(((IF($A$8=Nutrients!$B$79,Nutrients!$J$79,(IF($A$8=Nutrients!$B$77,Nutrients!$J$77,Nutrients!$J$78)))))*N$8))/2000</f>
        <v>2.1815237128108387</v>
      </c>
      <c r="O302" s="235"/>
      <c r="P302" s="22">
        <f>(SUMPRODUCT(P$9:P$229,Nutrients!$J$8:$J$228)+(IF($A$7=Nutrients!$B$8,Nutrients!$J$8,Nutrients!$J$9)*P$7)+(((IF($A$8=Nutrients!$B$79,Nutrients!$J$79,(IF($A$8=Nutrients!$B$77,Nutrients!$J$77,Nutrients!$J$78)))))*P$8))/2000</f>
        <v>3.0020602965609049</v>
      </c>
      <c r="Q302" s="22">
        <f>(SUMPRODUCT(Q$9:Q$229,Nutrients!$J$8:$J$228)+(IF($A$7=Nutrients!$B$8,Nutrients!$J$8,Nutrients!$J$9)*Q$7)+(((IF($A$8=Nutrients!$B$79,Nutrients!$J$79,(IF($A$8=Nutrients!$B$77,Nutrients!$J$77,Nutrients!$J$78)))))*Q$8))/2000</f>
        <v>2.9013017930651079</v>
      </c>
      <c r="R302" s="22">
        <f>(SUMPRODUCT(R$9:R$229,Nutrients!$J$8:$J$228)+(IF($A$7=Nutrients!$B$8,Nutrients!$J$8,Nutrients!$J$9)*R$7)+(((IF($A$8=Nutrients!$B$79,Nutrients!$J$79,(IF($A$8=Nutrients!$B$77,Nutrients!$J$77,Nutrients!$J$78)))))*R$8))/2000</f>
        <v>2.8152311080261985</v>
      </c>
      <c r="S302" s="22">
        <f>(SUMPRODUCT(S$9:S$229,Nutrients!$J$8:$J$228)+(IF($A$7=Nutrients!$B$8,Nutrients!$J$8,Nutrients!$J$9)*S$7)+(((IF($A$8=Nutrients!$B$79,Nutrients!$J$79,(IF($A$8=Nutrients!$B$77,Nutrients!$J$77,Nutrients!$J$78)))))*S$8))/2000</f>
        <v>2.7426784659053878</v>
      </c>
      <c r="T302" s="22">
        <f>(SUMPRODUCT(T$9:T$229,Nutrients!$J$8:$J$228)+(IF($A$7=Nutrients!$B$8,Nutrients!$J$8,Nutrients!$J$9)*T$7)+(((IF($A$8=Nutrients!$B$79,Nutrients!$J$79,(IF($A$8=Nutrients!$B$77,Nutrients!$J$77,Nutrients!$J$78)))))*T$8))/2000</f>
        <v>2.694861775693663</v>
      </c>
      <c r="U302" s="22">
        <f>(SUMPRODUCT(U$9:U$229,Nutrients!$J$8:$J$228)+(IF($A$7=Nutrients!$B$8,Nutrients!$J$8,Nutrients!$J$9)*U$7)+(((IF($A$8=Nutrients!$B$79,Nutrients!$J$79,(IF($A$8=Nutrients!$B$77,Nutrients!$J$77,Nutrients!$J$78)))))*U$8))/2000</f>
        <v>2.1815237128108387</v>
      </c>
      <c r="W302" s="22">
        <f>(SUMPRODUCT(W$9:W$229,Nutrients!$J$8:$J$228)+(IF($A$7=Nutrients!$B$8,Nutrients!$J$8,Nutrients!$J$9)*W$7)+(((IF($A$8=Nutrients!$B$79,Nutrients!$J$79,(IF($A$8=Nutrients!$B$77,Nutrients!$J$77,Nutrients!$J$78)))))*W$8))/2000</f>
        <v>3.2462329749453041</v>
      </c>
      <c r="X302" s="22">
        <f>(SUMPRODUCT(X$9:X$229,Nutrients!$J$8:$J$228)+(IF($A$7=Nutrients!$B$8,Nutrients!$J$8,Nutrients!$J$9)*X$7)+(((IF($A$8=Nutrients!$B$79,Nutrients!$J$79,(IF($A$8=Nutrients!$B$77,Nutrients!$J$77,Nutrients!$J$78)))))*X$8))/2000</f>
        <v>3.1454341563844892</v>
      </c>
      <c r="Y302" s="22">
        <f>(SUMPRODUCT(Y$9:Y$229,Nutrients!$J$8:$J$228)+(IF($A$7=Nutrients!$B$8,Nutrients!$J$8,Nutrients!$J$9)*Y$7)+(((IF($A$8=Nutrients!$B$79,Nutrients!$J$79,(IF($A$8=Nutrients!$B$77,Nutrients!$J$77,Nutrients!$J$78)))))*Y$8))/2000</f>
        <v>3.059422578988312</v>
      </c>
      <c r="Z302" s="22">
        <f>(SUMPRODUCT(Z$9:Z$229,Nutrients!$J$8:$J$228)+(IF($A$7=Nutrients!$B$8,Nutrients!$J$8,Nutrients!$J$9)*Z$7)+(((IF($A$8=Nutrients!$B$79,Nutrients!$J$79,(IF($A$8=Nutrients!$B$77,Nutrients!$J$77,Nutrients!$J$78)))))*Z$8))/2000</f>
        <v>2.9869082988017697</v>
      </c>
      <c r="AA302" s="22">
        <f>(SUMPRODUCT(AA$9:AA$229,Nutrients!$J$8:$J$228)+(IF($A$7=Nutrients!$B$8,Nutrients!$J$8,Nutrients!$J$9)*AA$7)+(((IF($A$8=Nutrients!$B$79,Nutrients!$J$79,(IF($A$8=Nutrients!$B$77,Nutrients!$J$77,Nutrients!$J$78)))))*AA$8))/2000</f>
        <v>2.9388789982330858</v>
      </c>
      <c r="AB302" s="22">
        <f>(SUMPRODUCT(AB$9:AB$229,Nutrients!$J$8:$J$228)+(IF($A$7=Nutrients!$B$8,Nutrients!$J$8,Nutrients!$J$9)*AB$7)+(((IF($A$8=Nutrients!$B$79,Nutrients!$J$79,(IF($A$8=Nutrients!$B$77,Nutrients!$J$77,Nutrients!$J$78)))))*AB$8))/2000</f>
        <v>2.1815237128108387</v>
      </c>
      <c r="AD302" s="22">
        <f>(SUMPRODUCT(AD$9:AD$229,Nutrients!$J$8:$J$228)+(IF($A$7=Nutrients!$B$8,Nutrients!$J$8,Nutrients!$J$9)*AD$7)+(((IF($A$8=Nutrients!$B$79,Nutrients!$J$79,(IF($A$8=Nutrients!$B$77,Nutrients!$J$77,Nutrients!$J$78)))))*AD$8))/2000</f>
        <v>3.4903719411765124</v>
      </c>
      <c r="AE302" s="22">
        <f>(SUMPRODUCT(AE$9:AE$229,Nutrients!$J$8:$J$228)+(IF($A$7=Nutrients!$B$8,Nutrients!$J$8,Nutrients!$J$9)*AE$7)+(((IF($A$8=Nutrients!$B$79,Nutrients!$J$79,(IF($A$8=Nutrients!$B$77,Nutrients!$J$77,Nutrients!$J$78)))))*AE$8))/2000</f>
        <v>3.3895879831333326</v>
      </c>
      <c r="AF302" s="22">
        <f>(SUMPRODUCT(AF$9:AF$229,Nutrients!$J$8:$J$228)+(IF($A$7=Nutrients!$B$8,Nutrients!$J$8,Nutrients!$J$9)*AF$7)+(((IF($A$8=Nutrients!$B$79,Nutrients!$J$79,(IF($A$8=Nutrients!$B$77,Nutrients!$J$77,Nutrients!$J$78)))))*AF$8))/2000</f>
        <v>3.3037000077881928</v>
      </c>
      <c r="AG302" s="22">
        <f>(SUMPRODUCT(AG$9:AG$229,Nutrients!$J$8:$J$228)+(IF($A$7=Nutrients!$B$8,Nutrients!$J$8,Nutrients!$J$9)*AG$7)+(((IF($A$8=Nutrients!$B$79,Nutrients!$J$79,(IF($A$8=Nutrients!$B$77,Nutrients!$J$77,Nutrients!$J$78)))))*AG$8))/2000</f>
        <v>3.2308687264219733</v>
      </c>
      <c r="AH302" s="22">
        <f>(SUMPRODUCT(AH$9:AH$229,Nutrients!$J$8:$J$228)+(IF($A$7=Nutrients!$B$8,Nutrients!$J$8,Nutrients!$J$9)*AH$7)+(((IF($A$8=Nutrients!$B$79,Nutrients!$J$79,(IF($A$8=Nutrients!$B$77,Nutrients!$J$77,Nutrients!$J$78)))))*AH$8))/2000</f>
        <v>3.1807613435486108</v>
      </c>
      <c r="AI302" s="22">
        <f>(SUMPRODUCT(AI$9:AI$229,Nutrients!$J$8:$J$228)+(IF($A$7=Nutrients!$B$8,Nutrients!$J$8,Nutrients!$J$9)*AI$7)+(((IF($A$8=Nutrients!$B$79,Nutrients!$J$79,(IF($A$8=Nutrients!$B$77,Nutrients!$J$77,Nutrients!$J$78)))))*AI$8))/2000</f>
        <v>2.1815237128108387</v>
      </c>
      <c r="AK302" s="22">
        <f>(SUMPRODUCT(AK$9:AK$229,Nutrients!$J$8:$J$228)+(IF($A$7=Nutrients!$B$8,Nutrients!$J$8,Nutrients!$J$9)*AK$7)+(((IF($A$8=Nutrients!$B$79,Nutrients!$J$79,(IF($A$8=Nutrients!$B$77,Nutrients!$J$77,Nutrients!$J$78)))))*AK$8))/2000</f>
        <v>3.7342743768967552</v>
      </c>
      <c r="AL302" s="22">
        <f>(SUMPRODUCT(AL$9:AL$229,Nutrients!$J$8:$J$228)+(IF($A$7=Nutrients!$B$8,Nutrients!$J$8,Nutrients!$J$9)*AL$7)+(((IF($A$8=Nutrients!$B$79,Nutrients!$J$79,(IF($A$8=Nutrients!$B$77,Nutrients!$J$77,Nutrients!$J$78)))))*AL$8))/2000</f>
        <v>3.6337453003157409</v>
      </c>
      <c r="AM302" s="22">
        <f>(SUMPRODUCT(AM$9:AM$229,Nutrients!$J$8:$J$228)+(IF($A$7=Nutrients!$B$8,Nutrients!$J$8,Nutrients!$J$9)*AM$7)+(((IF($A$8=Nutrients!$B$79,Nutrients!$J$79,(IF($A$8=Nutrients!$B$77,Nutrients!$J$77,Nutrients!$J$78)))))*AM$8))/2000</f>
        <v>3.5477216078251881</v>
      </c>
      <c r="AN302" s="22">
        <f>(SUMPRODUCT(AN$9:AN$229,Nutrients!$J$8:$J$228)+(IF($A$7=Nutrients!$B$8,Nutrients!$J$8,Nutrients!$J$9)*AN$7)+(((IF($A$8=Nutrients!$B$79,Nutrients!$J$79,(IF($A$8=Nutrients!$B$77,Nutrients!$J$77,Nutrients!$J$78)))))*AN$8))/2000</f>
        <v>3.4729928433065824</v>
      </c>
      <c r="AO302" s="22">
        <f>(SUMPRODUCT(AO$9:AO$229,Nutrients!$J$8:$J$228)+(IF($A$7=Nutrients!$B$8,Nutrients!$J$8,Nutrients!$J$9)*AO$7)+(((IF($A$8=Nutrients!$B$79,Nutrients!$J$79,(IF($A$8=Nutrients!$B$77,Nutrients!$J$77,Nutrients!$J$78)))))*AO$8))/2000</f>
        <v>3.4221048480782179</v>
      </c>
      <c r="AP302" s="22">
        <f>(SUMPRODUCT(AP$9:AP$229,Nutrients!$J$8:$J$228)+(IF($A$7=Nutrients!$B$8,Nutrients!$J$8,Nutrients!$J$9)*AP$7)+(((IF($A$8=Nutrients!$B$79,Nutrients!$J$79,(IF($A$8=Nutrients!$B$77,Nutrients!$J$77,Nutrients!$J$78)))))*AP$8))/2000</f>
        <v>2.1815237128108387</v>
      </c>
      <c r="AR302" s="22">
        <f>(SUMPRODUCT(AR$9:AR$229,Nutrients!$J$8:$J$228)+(IF($A$7=Nutrients!$B$8,Nutrients!$J$8,Nutrients!$J$9)*AR$7)+(((IF($A$8=Nutrients!$B$79,Nutrients!$J$79,(IF($A$8=Nutrients!$B$77,Nutrients!$J$77,Nutrients!$J$78)))))*AR$8))/2000</f>
        <v>3.9785323330150946</v>
      </c>
      <c r="AS302" s="22">
        <f>(SUMPRODUCT(AS$9:AS$229,Nutrients!$J$8:$J$228)+(IF($A$7=Nutrients!$B$8,Nutrients!$J$8,Nutrients!$J$9)*AS$7)+(((IF($A$8=Nutrients!$B$79,Nutrients!$J$79,(IF($A$8=Nutrients!$B$77,Nutrients!$J$77,Nutrients!$J$78)))))*AS$8))/2000</f>
        <v>3.8779006941210472</v>
      </c>
      <c r="AT302" s="22">
        <f>(SUMPRODUCT(AT$9:AT$229,Nutrients!$J$8:$J$228)+(IF($A$7=Nutrients!$B$8,Nutrients!$J$8,Nutrients!$J$9)*AT$7)+(((IF($A$8=Nutrients!$B$79,Nutrients!$J$79,(IF($A$8=Nutrients!$B$77,Nutrients!$J$77,Nutrients!$J$78)))))*AT$8))/2000</f>
        <v>3.7912632485459445</v>
      </c>
      <c r="AU302" s="22">
        <f>(SUMPRODUCT(AU$9:AU$229,Nutrients!$J$8:$J$228)+(IF($A$7=Nutrients!$B$8,Nutrients!$J$8,Nutrients!$J$9)*AU$7)+(((IF($A$8=Nutrients!$B$79,Nutrients!$J$79,(IF($A$8=Nutrients!$B$77,Nutrients!$J$77,Nutrients!$J$78)))))*AU$8))/2000</f>
        <v>3.7143435414547894</v>
      </c>
      <c r="AV302" s="22">
        <f>(SUMPRODUCT(AV$9:AV$229,Nutrients!$J$8:$J$228)+(IF($A$7=Nutrients!$B$8,Nutrients!$J$8,Nutrients!$J$9)*AV$7)+(((IF($A$8=Nutrients!$B$79,Nutrients!$J$79,(IF($A$8=Nutrients!$B$77,Nutrients!$J$77,Nutrients!$J$78)))))*AV$8))/2000</f>
        <v>3.6634096096781814</v>
      </c>
      <c r="AW302" s="22">
        <f>(SUMPRODUCT(AW$9:AW$229,Nutrients!$J$8:$J$228)+(IF($A$7=Nutrients!$B$8,Nutrients!$J$8,Nutrients!$J$9)*AW$7)+(((IF($A$8=Nutrients!$B$79,Nutrients!$J$79,(IF($A$8=Nutrients!$B$77,Nutrients!$J$77,Nutrients!$J$78)))))*AW$8))/2000</f>
        <v>2.1815237128108387</v>
      </c>
    </row>
    <row r="303" spans="1:49" x14ac:dyDescent="0.25">
      <c r="A303" t="s">
        <v>54</v>
      </c>
      <c r="B303" s="22">
        <f>(SUMPRODUCT(B$9:B$229,Nutrients!$ED$8:$ED$228)+(IF($A$7=Nutrients!$B$8,Nutrients!$ED$8,Nutrients!$ED$9)*B$7)+(((IF($A$8=Nutrients!$B$79,Nutrients!$ED$79,(IF($A$8=Nutrients!$B$77,Nutrients!$ED$77,Nutrients!$ED$78)))))*B$8))/2000</f>
        <v>0</v>
      </c>
      <c r="C303" s="22">
        <f>(SUMPRODUCT(C$9:C$229,Nutrients!$ED$8:$ED$228)+(IF($A$7=Nutrients!$B$8,Nutrients!$ED$8,Nutrients!$ED$9)*C$7)+(((IF($A$8=Nutrients!$B$79,Nutrients!$ED$79,(IF($A$8=Nutrients!$B$77,Nutrients!$ED$77,Nutrients!$ED$78)))))*C$8))/2000</f>
        <v>0</v>
      </c>
      <c r="D303" s="22">
        <f>(SUMPRODUCT(D$9:D$229,Nutrients!$ED$8:$ED$228)+(IF($A$7=Nutrients!$B$8,Nutrients!$ED$8,Nutrients!$ED$9)*D$7)+(((IF($A$8=Nutrients!$B$79,Nutrients!$ED$79,(IF($A$8=Nutrients!$B$77,Nutrients!$ED$77,Nutrients!$ED$78)))))*D$8))/2000</f>
        <v>0</v>
      </c>
      <c r="E303" s="22">
        <f>(SUMPRODUCT(E$9:E$229,Nutrients!$ED$8:$ED$228)+(IF($A$7=Nutrients!$B$8,Nutrients!$ED$8,Nutrients!$ED$9)*E$7)+(((IF($A$8=Nutrients!$B$79,Nutrients!$ED$79,(IF($A$8=Nutrients!$B$77,Nutrients!$ED$77,Nutrients!$ED$78)))))*E$8))/2000</f>
        <v>0</v>
      </c>
      <c r="F303" s="22">
        <f>(SUMPRODUCT(F$9:F$229,Nutrients!$ED$8:$ED$228)+(IF($A$7=Nutrients!$B$8,Nutrients!$ED$8,Nutrients!$ED$9)*F$7)+(((IF($A$8=Nutrients!$B$79,Nutrients!$ED$79,(IF($A$8=Nutrients!$B$77,Nutrients!$ED$77,Nutrients!$ED$78)))))*F$8))/2000</f>
        <v>0</v>
      </c>
      <c r="G303" s="22">
        <f>(SUMPRODUCT(G$9:G$229,Nutrients!$ED$8:$ED$228)+(IF($A$7=Nutrients!$B$8,Nutrients!$ED$8,Nutrients!$ED$9)*G$7)+(((IF($A$8=Nutrients!$B$79,Nutrients!$ED$79,(IF($A$8=Nutrients!$B$77,Nutrients!$ED$77,Nutrients!$ED$78)))))*G$8))/2000</f>
        <v>0</v>
      </c>
      <c r="H303" s="228"/>
      <c r="I303" s="22">
        <f>(SUMPRODUCT(I$9:I$229,Nutrients!$ED$8:$ED$228)+(IF($A$7=Nutrients!$B$8,Nutrients!$ED$8,Nutrients!$ED$9)*I$7)+(((IF($A$8=Nutrients!$B$79,Nutrients!$ED$79,(IF($A$8=Nutrients!$B$77,Nutrients!$ED$77,Nutrients!$ED$78)))))*I$8))/2000</f>
        <v>0</v>
      </c>
      <c r="J303" s="22">
        <f>(SUMPRODUCT(J$9:J$229,Nutrients!$ED$8:$ED$228)+(IF($A$7=Nutrients!$B$8,Nutrients!$ED$8,Nutrients!$ED$9)*J$7)+(((IF($A$8=Nutrients!$B$79,Nutrients!$ED$79,(IF($A$8=Nutrients!$B$77,Nutrients!$ED$77,Nutrients!$ED$78)))))*J$8))/2000</f>
        <v>0</v>
      </c>
      <c r="K303" s="22">
        <f>(SUMPRODUCT(K$9:K$229,Nutrients!$ED$8:$ED$228)+(IF($A$7=Nutrients!$B$8,Nutrients!$ED$8,Nutrients!$ED$9)*K$7)+(((IF($A$8=Nutrients!$B$79,Nutrients!$ED$79,(IF($A$8=Nutrients!$B$77,Nutrients!$ED$77,Nutrients!$ED$78)))))*K$8))/2000</f>
        <v>0</v>
      </c>
      <c r="L303" s="22">
        <f>(SUMPRODUCT(L$9:L$229,Nutrients!$ED$8:$ED$228)+(IF($A$7=Nutrients!$B$8,Nutrients!$ED$8,Nutrients!$ED$9)*L$7)+(((IF($A$8=Nutrients!$B$79,Nutrients!$ED$79,(IF($A$8=Nutrients!$B$77,Nutrients!$ED$77,Nutrients!$ED$78)))))*L$8))/2000</f>
        <v>0</v>
      </c>
      <c r="M303" s="22">
        <f>(SUMPRODUCT(M$9:M$229,Nutrients!$ED$8:$ED$228)+(IF($A$7=Nutrients!$B$8,Nutrients!$ED$8,Nutrients!$ED$9)*M$7)+(((IF($A$8=Nutrients!$B$79,Nutrients!$ED$79,(IF($A$8=Nutrients!$B$77,Nutrients!$ED$77,Nutrients!$ED$78)))))*M$8))/2000</f>
        <v>0</v>
      </c>
      <c r="N303" s="22">
        <f>(SUMPRODUCT(N$9:N$229,Nutrients!$ED$8:$ED$228)+(IF($A$7=Nutrients!$B$8,Nutrients!$ED$8,Nutrients!$ED$9)*N$7)+(((IF($A$8=Nutrients!$B$79,Nutrients!$ED$79,(IF($A$8=Nutrients!$B$77,Nutrients!$ED$77,Nutrients!$ED$78)))))*N$8))/2000</f>
        <v>0</v>
      </c>
      <c r="O303" s="235"/>
      <c r="P303" s="22">
        <f>(SUMPRODUCT(P$9:P$229,Nutrients!$ED$8:$ED$228)+(IF($A$7=Nutrients!$B$8,Nutrients!$ED$8,Nutrients!$ED$9)*P$7)+(((IF($A$8=Nutrients!$B$79,Nutrients!$ED$79,(IF($A$8=Nutrients!$B$77,Nutrients!$ED$77,Nutrients!$ED$78)))))*P$8))/2000</f>
        <v>0</v>
      </c>
      <c r="Q303" s="22">
        <f>(SUMPRODUCT(Q$9:Q$229,Nutrients!$ED$8:$ED$228)+(IF($A$7=Nutrients!$B$8,Nutrients!$ED$8,Nutrients!$ED$9)*Q$7)+(((IF($A$8=Nutrients!$B$79,Nutrients!$ED$79,(IF($A$8=Nutrients!$B$77,Nutrients!$ED$77,Nutrients!$ED$78)))))*Q$8))/2000</f>
        <v>0</v>
      </c>
      <c r="R303" s="22">
        <f>(SUMPRODUCT(R$9:R$229,Nutrients!$ED$8:$ED$228)+(IF($A$7=Nutrients!$B$8,Nutrients!$ED$8,Nutrients!$ED$9)*R$7)+(((IF($A$8=Nutrients!$B$79,Nutrients!$ED$79,(IF($A$8=Nutrients!$B$77,Nutrients!$ED$77,Nutrients!$ED$78)))))*R$8))/2000</f>
        <v>0</v>
      </c>
      <c r="S303" s="22">
        <f>(SUMPRODUCT(S$9:S$229,Nutrients!$ED$8:$ED$228)+(IF($A$7=Nutrients!$B$8,Nutrients!$ED$8,Nutrients!$ED$9)*S$7)+(((IF($A$8=Nutrients!$B$79,Nutrients!$ED$79,(IF($A$8=Nutrients!$B$77,Nutrients!$ED$77,Nutrients!$ED$78)))))*S$8))/2000</f>
        <v>0</v>
      </c>
      <c r="T303" s="22">
        <f>(SUMPRODUCT(T$9:T$229,Nutrients!$ED$8:$ED$228)+(IF($A$7=Nutrients!$B$8,Nutrients!$ED$8,Nutrients!$ED$9)*T$7)+(((IF($A$8=Nutrients!$B$79,Nutrients!$ED$79,(IF($A$8=Nutrients!$B$77,Nutrients!$ED$77,Nutrients!$ED$78)))))*T$8))/2000</f>
        <v>0</v>
      </c>
      <c r="U303" s="22">
        <f>(SUMPRODUCT(U$9:U$229,Nutrients!$ED$8:$ED$228)+(IF($A$7=Nutrients!$B$8,Nutrients!$ED$8,Nutrients!$ED$9)*U$7)+(((IF($A$8=Nutrients!$B$79,Nutrients!$ED$79,(IF($A$8=Nutrients!$B$77,Nutrients!$ED$77,Nutrients!$ED$78)))))*U$8))/2000</f>
        <v>0</v>
      </c>
      <c r="W303" s="22">
        <f>(SUMPRODUCT(W$9:W$229,Nutrients!$ED$8:$ED$228)+(IF($A$7=Nutrients!$B$8,Nutrients!$ED$8,Nutrients!$ED$9)*W$7)+(((IF($A$8=Nutrients!$B$79,Nutrients!$ED$79,(IF($A$8=Nutrients!$B$77,Nutrients!$ED$77,Nutrients!$ED$78)))))*W$8))/2000</f>
        <v>0</v>
      </c>
      <c r="X303" s="22">
        <f>(SUMPRODUCT(X$9:X$229,Nutrients!$ED$8:$ED$228)+(IF($A$7=Nutrients!$B$8,Nutrients!$ED$8,Nutrients!$ED$9)*X$7)+(((IF($A$8=Nutrients!$B$79,Nutrients!$ED$79,(IF($A$8=Nutrients!$B$77,Nutrients!$ED$77,Nutrients!$ED$78)))))*X$8))/2000</f>
        <v>0</v>
      </c>
      <c r="Y303" s="22">
        <f>(SUMPRODUCT(Y$9:Y$229,Nutrients!$ED$8:$ED$228)+(IF($A$7=Nutrients!$B$8,Nutrients!$ED$8,Nutrients!$ED$9)*Y$7)+(((IF($A$8=Nutrients!$B$79,Nutrients!$ED$79,(IF($A$8=Nutrients!$B$77,Nutrients!$ED$77,Nutrients!$ED$78)))))*Y$8))/2000</f>
        <v>0</v>
      </c>
      <c r="Z303" s="22">
        <f>(SUMPRODUCT(Z$9:Z$229,Nutrients!$ED$8:$ED$228)+(IF($A$7=Nutrients!$B$8,Nutrients!$ED$8,Nutrients!$ED$9)*Z$7)+(((IF($A$8=Nutrients!$B$79,Nutrients!$ED$79,(IF($A$8=Nutrients!$B$77,Nutrients!$ED$77,Nutrients!$ED$78)))))*Z$8))/2000</f>
        <v>0</v>
      </c>
      <c r="AA303" s="22">
        <f>(SUMPRODUCT(AA$9:AA$229,Nutrients!$ED$8:$ED$228)+(IF($A$7=Nutrients!$B$8,Nutrients!$ED$8,Nutrients!$ED$9)*AA$7)+(((IF($A$8=Nutrients!$B$79,Nutrients!$ED$79,(IF($A$8=Nutrients!$B$77,Nutrients!$ED$77,Nutrients!$ED$78)))))*AA$8))/2000</f>
        <v>0</v>
      </c>
      <c r="AB303" s="22">
        <f>(SUMPRODUCT(AB$9:AB$229,Nutrients!$ED$8:$ED$228)+(IF($A$7=Nutrients!$B$8,Nutrients!$ED$8,Nutrients!$ED$9)*AB$7)+(((IF($A$8=Nutrients!$B$79,Nutrients!$ED$79,(IF($A$8=Nutrients!$B$77,Nutrients!$ED$77,Nutrients!$ED$78)))))*AB$8))/2000</f>
        <v>0</v>
      </c>
      <c r="AD303" s="22">
        <f>(SUMPRODUCT(AD$9:AD$229,Nutrients!$ED$8:$ED$228)+(IF($A$7=Nutrients!$B$8,Nutrients!$ED$8,Nutrients!$ED$9)*AD$7)+(((IF($A$8=Nutrients!$B$79,Nutrients!$ED$79,(IF($A$8=Nutrients!$B$77,Nutrients!$ED$77,Nutrients!$ED$78)))))*AD$8))/2000</f>
        <v>0</v>
      </c>
      <c r="AE303" s="22">
        <f>(SUMPRODUCT(AE$9:AE$229,Nutrients!$ED$8:$ED$228)+(IF($A$7=Nutrients!$B$8,Nutrients!$ED$8,Nutrients!$ED$9)*AE$7)+(((IF($A$8=Nutrients!$B$79,Nutrients!$ED$79,(IF($A$8=Nutrients!$B$77,Nutrients!$ED$77,Nutrients!$ED$78)))))*AE$8))/2000</f>
        <v>0</v>
      </c>
      <c r="AF303" s="22">
        <f>(SUMPRODUCT(AF$9:AF$229,Nutrients!$ED$8:$ED$228)+(IF($A$7=Nutrients!$B$8,Nutrients!$ED$8,Nutrients!$ED$9)*AF$7)+(((IF($A$8=Nutrients!$B$79,Nutrients!$ED$79,(IF($A$8=Nutrients!$B$77,Nutrients!$ED$77,Nutrients!$ED$78)))))*AF$8))/2000</f>
        <v>0</v>
      </c>
      <c r="AG303" s="22">
        <f>(SUMPRODUCT(AG$9:AG$229,Nutrients!$ED$8:$ED$228)+(IF($A$7=Nutrients!$B$8,Nutrients!$ED$8,Nutrients!$ED$9)*AG$7)+(((IF($A$8=Nutrients!$B$79,Nutrients!$ED$79,(IF($A$8=Nutrients!$B$77,Nutrients!$ED$77,Nutrients!$ED$78)))))*AG$8))/2000</f>
        <v>0</v>
      </c>
      <c r="AH303" s="22">
        <f>(SUMPRODUCT(AH$9:AH$229,Nutrients!$ED$8:$ED$228)+(IF($A$7=Nutrients!$B$8,Nutrients!$ED$8,Nutrients!$ED$9)*AH$7)+(((IF($A$8=Nutrients!$B$79,Nutrients!$ED$79,(IF($A$8=Nutrients!$B$77,Nutrients!$ED$77,Nutrients!$ED$78)))))*AH$8))/2000</f>
        <v>0</v>
      </c>
      <c r="AI303" s="22">
        <f>(SUMPRODUCT(AI$9:AI$229,Nutrients!$ED$8:$ED$228)+(IF($A$7=Nutrients!$B$8,Nutrients!$ED$8,Nutrients!$ED$9)*AI$7)+(((IF($A$8=Nutrients!$B$79,Nutrients!$ED$79,(IF($A$8=Nutrients!$B$77,Nutrients!$ED$77,Nutrients!$ED$78)))))*AI$8))/2000</f>
        <v>0</v>
      </c>
      <c r="AK303" s="22">
        <f>(SUMPRODUCT(AK$9:AK$229,Nutrients!$ED$8:$ED$228)+(IF($A$7=Nutrients!$B$8,Nutrients!$ED$8,Nutrients!$ED$9)*AK$7)+(((IF($A$8=Nutrients!$B$79,Nutrients!$ED$79,(IF($A$8=Nutrients!$B$77,Nutrients!$ED$77,Nutrients!$ED$78)))))*AK$8))/2000</f>
        <v>0</v>
      </c>
      <c r="AL303" s="22">
        <f>(SUMPRODUCT(AL$9:AL$229,Nutrients!$ED$8:$ED$228)+(IF($A$7=Nutrients!$B$8,Nutrients!$ED$8,Nutrients!$ED$9)*AL$7)+(((IF($A$8=Nutrients!$B$79,Nutrients!$ED$79,(IF($A$8=Nutrients!$B$77,Nutrients!$ED$77,Nutrients!$ED$78)))))*AL$8))/2000</f>
        <v>0</v>
      </c>
      <c r="AM303" s="22">
        <f>(SUMPRODUCT(AM$9:AM$229,Nutrients!$ED$8:$ED$228)+(IF($A$7=Nutrients!$B$8,Nutrients!$ED$8,Nutrients!$ED$9)*AM$7)+(((IF($A$8=Nutrients!$B$79,Nutrients!$ED$79,(IF($A$8=Nutrients!$B$77,Nutrients!$ED$77,Nutrients!$ED$78)))))*AM$8))/2000</f>
        <v>0</v>
      </c>
      <c r="AN303" s="22">
        <f>(SUMPRODUCT(AN$9:AN$229,Nutrients!$ED$8:$ED$228)+(IF($A$7=Nutrients!$B$8,Nutrients!$ED$8,Nutrients!$ED$9)*AN$7)+(((IF($A$8=Nutrients!$B$79,Nutrients!$ED$79,(IF($A$8=Nutrients!$B$77,Nutrients!$ED$77,Nutrients!$ED$78)))))*AN$8))/2000</f>
        <v>0</v>
      </c>
      <c r="AO303" s="22">
        <f>(SUMPRODUCT(AO$9:AO$229,Nutrients!$ED$8:$ED$228)+(IF($A$7=Nutrients!$B$8,Nutrients!$ED$8,Nutrients!$ED$9)*AO$7)+(((IF($A$8=Nutrients!$B$79,Nutrients!$ED$79,(IF($A$8=Nutrients!$B$77,Nutrients!$ED$77,Nutrients!$ED$78)))))*AO$8))/2000</f>
        <v>0</v>
      </c>
      <c r="AP303" s="22">
        <f>(SUMPRODUCT(AP$9:AP$229,Nutrients!$ED$8:$ED$228)+(IF($A$7=Nutrients!$B$8,Nutrients!$ED$8,Nutrients!$ED$9)*AP$7)+(((IF($A$8=Nutrients!$B$79,Nutrients!$ED$79,(IF($A$8=Nutrients!$B$77,Nutrients!$ED$77,Nutrients!$ED$78)))))*AP$8))/2000</f>
        <v>0</v>
      </c>
      <c r="AR303" s="22">
        <f>(SUMPRODUCT(AR$9:AR$229,Nutrients!$ED$8:$ED$228)+(IF($A$7=Nutrients!$B$8,Nutrients!$ED$8,Nutrients!$ED$9)*AR$7)+(((IF($A$8=Nutrients!$B$79,Nutrients!$ED$79,(IF($A$8=Nutrients!$B$77,Nutrients!$ED$77,Nutrients!$ED$78)))))*AR$8))/2000</f>
        <v>0</v>
      </c>
      <c r="AS303" s="22">
        <f>(SUMPRODUCT(AS$9:AS$229,Nutrients!$ED$8:$ED$228)+(IF($A$7=Nutrients!$B$8,Nutrients!$ED$8,Nutrients!$ED$9)*AS$7)+(((IF($A$8=Nutrients!$B$79,Nutrients!$ED$79,(IF($A$8=Nutrients!$B$77,Nutrients!$ED$77,Nutrients!$ED$78)))))*AS$8))/2000</f>
        <v>0</v>
      </c>
      <c r="AT303" s="22">
        <f>(SUMPRODUCT(AT$9:AT$229,Nutrients!$ED$8:$ED$228)+(IF($A$7=Nutrients!$B$8,Nutrients!$ED$8,Nutrients!$ED$9)*AT$7)+(((IF($A$8=Nutrients!$B$79,Nutrients!$ED$79,(IF($A$8=Nutrients!$B$77,Nutrients!$ED$77,Nutrients!$ED$78)))))*AT$8))/2000</f>
        <v>0</v>
      </c>
      <c r="AU303" s="22">
        <f>(SUMPRODUCT(AU$9:AU$229,Nutrients!$ED$8:$ED$228)+(IF($A$7=Nutrients!$B$8,Nutrients!$ED$8,Nutrients!$ED$9)*AU$7)+(((IF($A$8=Nutrients!$B$79,Nutrients!$ED$79,(IF($A$8=Nutrients!$B$77,Nutrients!$ED$77,Nutrients!$ED$78)))))*AU$8))/2000</f>
        <v>0</v>
      </c>
      <c r="AV303" s="22">
        <f>(SUMPRODUCT(AV$9:AV$229,Nutrients!$ED$8:$ED$228)+(IF($A$7=Nutrients!$B$8,Nutrients!$ED$8,Nutrients!$ED$9)*AV$7)+(((IF($A$8=Nutrients!$B$79,Nutrients!$ED$79,(IF($A$8=Nutrients!$B$77,Nutrients!$ED$77,Nutrients!$ED$78)))))*AV$8))/2000</f>
        <v>0</v>
      </c>
      <c r="AW303" s="22">
        <f>(SUMPRODUCT(AW$9:AW$229,Nutrients!$ED$8:$ED$228)+(IF($A$7=Nutrients!$B$8,Nutrients!$ED$8,Nutrients!$ED$9)*AW$7)+(((IF($A$8=Nutrients!$B$79,Nutrients!$ED$79,(IF($A$8=Nutrients!$B$77,Nutrients!$ED$77,Nutrients!$ED$78)))))*AW$8))/2000</f>
        <v>0</v>
      </c>
    </row>
    <row r="304" spans="1:49" x14ac:dyDescent="0.25">
      <c r="A304" t="s">
        <v>57</v>
      </c>
      <c r="B304" s="22">
        <f>(SUMPRODUCT(B$9:B$229,Nutrients!$EH$8:$EH$228)+(IF($A$7=Nutrients!$B$8,Nutrients!$EH$8,Nutrients!$EH$9)*B$7)+(((IF($A$8=Nutrients!$B$79,Nutrients!$EH$79,(IF($A$8=Nutrients!$B$77,Nutrients!$EH$77,Nutrients!$EH$78)))))*B$8))/2000</f>
        <v>34.658564713833037</v>
      </c>
      <c r="C304" s="22">
        <f>(SUMPRODUCT(C$9:C$229,Nutrients!$EH$8:$EH$228)+(IF($A$7=Nutrients!$B$8,Nutrients!$EH$8,Nutrients!$EH$9)*C$7)+(((IF($A$8=Nutrients!$B$79,Nutrients!$EH$79,(IF($A$8=Nutrients!$B$77,Nutrients!$EH$77,Nutrients!$EH$78)))))*C$8))/2000</f>
        <v>36.119060232185333</v>
      </c>
      <c r="D304" s="22">
        <f>(SUMPRODUCT(D$9:D$229,Nutrients!$EH$8:$EH$228)+(IF($A$7=Nutrients!$B$8,Nutrients!$EH$8,Nutrients!$EH$9)*D$7)+(((IF($A$8=Nutrients!$B$79,Nutrients!$EH$79,(IF($A$8=Nutrients!$B$77,Nutrients!$EH$77,Nutrients!$EH$78)))))*D$8))/2000</f>
        <v>37.38889298377596</v>
      </c>
      <c r="E304" s="22">
        <f>(SUMPRODUCT(E$9:E$229,Nutrients!$EH$8:$EH$228)+(IF($A$7=Nutrients!$B$8,Nutrients!$EH$8,Nutrients!$EH$9)*E$7)+(((IF($A$8=Nutrients!$B$79,Nutrients!$EH$79,(IF($A$8=Nutrients!$B$77,Nutrients!$EH$77,Nutrients!$EH$78)))))*E$8))/2000</f>
        <v>38.453689691212816</v>
      </c>
      <c r="F304" s="22">
        <f>(SUMPRODUCT(F$9:F$229,Nutrients!$EH$8:$EH$228)+(IF($A$7=Nutrients!$B$8,Nutrients!$EH$8,Nutrients!$EH$9)*F$7)+(((IF($A$8=Nutrients!$B$79,Nutrients!$EH$79,(IF($A$8=Nutrients!$B$77,Nutrients!$EH$77,Nutrients!$EH$78)))))*F$8))/2000</f>
        <v>39.1878815182761</v>
      </c>
      <c r="G304" s="22">
        <f>(SUMPRODUCT(G$9:G$229,Nutrients!$EH$8:$EH$228)+(IF($A$7=Nutrients!$B$8,Nutrients!$EH$8,Nutrients!$EH$9)*G$7)+(((IF($A$8=Nutrients!$B$79,Nutrients!$EH$79,(IF($A$8=Nutrients!$B$77,Nutrients!$EH$77,Nutrients!$EH$78)))))*G$8))/2000</f>
        <v>39.544986782030342</v>
      </c>
      <c r="H304" s="228"/>
      <c r="I304" s="22">
        <f>(SUMPRODUCT(I$9:I$229,Nutrients!$EH$8:$EH$228)+(IF($A$7=Nutrients!$B$8,Nutrients!$EH$8,Nutrients!$EH$9)*I$7)+(((IF($A$8=Nutrients!$B$79,Nutrients!$EH$79,(IF($A$8=Nutrients!$B$77,Nutrients!$EH$77,Nutrients!$EH$78)))))*I$8))/2000</f>
        <v>36.229938874171069</v>
      </c>
      <c r="J304" s="22">
        <f>(SUMPRODUCT(J$9:J$229,Nutrients!$EH$8:$EH$228)+(IF($A$7=Nutrients!$B$8,Nutrients!$EH$8,Nutrients!$EH$9)*J$7)+(((IF($A$8=Nutrients!$B$79,Nutrients!$EH$79,(IF($A$8=Nutrients!$B$77,Nutrients!$EH$77,Nutrients!$EH$78)))))*J$8))/2000</f>
        <v>37.71606222111928</v>
      </c>
      <c r="K304" s="22">
        <f>(SUMPRODUCT(K$9:K$229,Nutrients!$EH$8:$EH$228)+(IF($A$7=Nutrients!$B$8,Nutrients!$EH$8,Nutrients!$EH$9)*K$7)+(((IF($A$8=Nutrients!$B$79,Nutrients!$EH$79,(IF($A$8=Nutrients!$B$77,Nutrients!$EH$77,Nutrients!$EH$78)))))*K$8))/2000</f>
        <v>39.010700835788739</v>
      </c>
      <c r="L304" s="22">
        <f>(SUMPRODUCT(L$9:L$229,Nutrients!$EH$8:$EH$228)+(IF($A$7=Nutrients!$B$8,Nutrients!$EH$8,Nutrients!$EH$9)*L$7)+(((IF($A$8=Nutrients!$B$79,Nutrients!$EH$79,(IF($A$8=Nutrients!$B$77,Nutrients!$EH$77,Nutrients!$EH$78)))))*L$8))/2000</f>
        <v>40.019012898608928</v>
      </c>
      <c r="M304" s="22">
        <f>(SUMPRODUCT(M$9:M$229,Nutrients!$EH$8:$EH$228)+(IF($A$7=Nutrients!$B$8,Nutrients!$EH$8,Nutrients!$EH$9)*M$7)+(((IF($A$8=Nutrients!$B$79,Nutrients!$EH$79,(IF($A$8=Nutrients!$B$77,Nutrients!$EH$77,Nutrients!$EH$78)))))*M$8))/2000</f>
        <v>40.771065614353446</v>
      </c>
      <c r="N304" s="22">
        <f>(SUMPRODUCT(N$9:N$229,Nutrients!$EH$8:$EH$228)+(IF($A$7=Nutrients!$B$8,Nutrients!$EH$8,Nutrients!$EH$9)*N$7)+(((IF($A$8=Nutrients!$B$79,Nutrients!$EH$79,(IF($A$8=Nutrients!$B$77,Nutrients!$EH$77,Nutrients!$EH$78)))))*N$8))/2000</f>
        <v>39.544986782030342</v>
      </c>
      <c r="O304" s="235"/>
      <c r="P304" s="22">
        <f>(SUMPRODUCT(P$9:P$229,Nutrients!$EH$8:$EH$228)+(IF($A$7=Nutrients!$B$8,Nutrients!$EH$8,Nutrients!$EH$9)*P$7)+(((IF($A$8=Nutrients!$B$79,Nutrients!$EH$79,(IF($A$8=Nutrients!$B$77,Nutrients!$EH$77,Nutrients!$EH$78)))))*P$8))/2000</f>
        <v>37.835669118381595</v>
      </c>
      <c r="Q304" s="22">
        <f>(SUMPRODUCT(Q$9:Q$229,Nutrients!$EH$8:$EH$228)+(IF($A$7=Nutrients!$B$8,Nutrients!$EH$8,Nutrients!$EH$9)*Q$7)+(((IF($A$8=Nutrients!$B$79,Nutrients!$EH$79,(IF($A$8=Nutrients!$B$77,Nutrients!$EH$77,Nutrients!$EH$78)))))*Q$8))/2000</f>
        <v>39.332311480351322</v>
      </c>
      <c r="R304" s="22">
        <f>(SUMPRODUCT(R$9:R$229,Nutrients!$EH$8:$EH$228)+(IF($A$7=Nutrients!$B$8,Nutrients!$EH$8,Nutrients!$EH$9)*R$7)+(((IF($A$8=Nutrients!$B$79,Nutrients!$EH$79,(IF($A$8=Nutrients!$B$77,Nutrients!$EH$77,Nutrients!$EH$78)))))*R$8))/2000</f>
        <v>40.642827439053967</v>
      </c>
      <c r="S304" s="22">
        <f>(SUMPRODUCT(S$9:S$229,Nutrients!$EH$8:$EH$228)+(IF($A$7=Nutrients!$B$8,Nutrients!$EH$8,Nutrients!$EH$9)*S$7)+(((IF($A$8=Nutrients!$B$79,Nutrients!$EH$79,(IF($A$8=Nutrients!$B$77,Nutrients!$EH$77,Nutrients!$EH$78)))))*S$8))/2000</f>
        <v>41.644894428330289</v>
      </c>
      <c r="T304" s="22">
        <f>(SUMPRODUCT(T$9:T$229,Nutrients!$EH$8:$EH$228)+(IF($A$7=Nutrients!$B$8,Nutrients!$EH$8,Nutrients!$EH$9)*T$7)+(((IF($A$8=Nutrients!$B$79,Nutrients!$EH$79,(IF($A$8=Nutrients!$B$77,Nutrients!$EH$77,Nutrients!$EH$78)))))*T$8))/2000</f>
        <v>42.390422000253672</v>
      </c>
      <c r="U304" s="22">
        <f>(SUMPRODUCT(U$9:U$229,Nutrients!$EH$8:$EH$228)+(IF($A$7=Nutrients!$B$8,Nutrients!$EH$8,Nutrients!$EH$9)*U$7)+(((IF($A$8=Nutrients!$B$79,Nutrients!$EH$79,(IF($A$8=Nutrients!$B$77,Nutrients!$EH$77,Nutrients!$EH$78)))))*U$8))/2000</f>
        <v>39.544986782030342</v>
      </c>
      <c r="W304" s="22">
        <f>(SUMPRODUCT(W$9:W$229,Nutrients!$EH$8:$EH$228)+(IF($A$7=Nutrients!$B$8,Nutrients!$EH$8,Nutrients!$EH$9)*W$7)+(((IF($A$8=Nutrients!$B$79,Nutrients!$EH$79,(IF($A$8=Nutrients!$B$77,Nutrients!$EH$77,Nutrients!$EH$78)))))*W$8))/2000</f>
        <v>39.449698450074074</v>
      </c>
      <c r="X304" s="22">
        <f>(SUMPRODUCT(X$9:X$229,Nutrients!$EH$8:$EH$228)+(IF($A$7=Nutrients!$B$8,Nutrients!$EH$8,Nutrients!$EH$9)*X$7)+(((IF($A$8=Nutrients!$B$79,Nutrients!$EH$79,(IF($A$8=Nutrients!$B$77,Nutrients!$EH$77,Nutrients!$EH$78)))))*X$8))/2000</f>
        <v>40.958521584012857</v>
      </c>
      <c r="Y304" s="22">
        <f>(SUMPRODUCT(Y$9:Y$229,Nutrients!$EH$8:$EH$228)+(IF($A$7=Nutrients!$B$8,Nutrients!$EH$8,Nutrients!$EH$9)*Y$7)+(((IF($A$8=Nutrients!$B$79,Nutrients!$EH$79,(IF($A$8=Nutrients!$B$77,Nutrients!$EH$77,Nutrients!$EH$78)))))*Y$8))/2000</f>
        <v>42.263178791466338</v>
      </c>
      <c r="Z304" s="22">
        <f>(SUMPRODUCT(Z$9:Z$229,Nutrients!$EH$8:$EH$228)+(IF($A$7=Nutrients!$B$8,Nutrients!$EH$8,Nutrients!$EH$9)*Z$7)+(((IF($A$8=Nutrients!$B$79,Nutrients!$EH$79,(IF($A$8=Nutrients!$B$77,Nutrients!$EH$77,Nutrients!$EH$78)))))*Z$8))/2000</f>
        <v>43.280428727388596</v>
      </c>
      <c r="AA304" s="22">
        <f>(SUMPRODUCT(AA$9:AA$229,Nutrients!$EH$8:$EH$228)+(IF($A$7=Nutrients!$B$8,Nutrients!$EH$8,Nutrients!$EH$9)*AA$7)+(((IF($A$8=Nutrients!$B$79,Nutrients!$EH$79,(IF($A$8=Nutrients!$B$77,Nutrients!$EH$77,Nutrients!$EH$78)))))*AA$8))/2000</f>
        <v>44.012420676980831</v>
      </c>
      <c r="AB304" s="22">
        <f>(SUMPRODUCT(AB$9:AB$229,Nutrients!$EH$8:$EH$228)+(IF($A$7=Nutrients!$B$8,Nutrients!$EH$8,Nutrients!$EH$9)*AB$7)+(((IF($A$8=Nutrients!$B$79,Nutrients!$EH$79,(IF($A$8=Nutrients!$B$77,Nutrients!$EH$77,Nutrients!$EH$78)))))*AB$8))/2000</f>
        <v>39.544986782030342</v>
      </c>
      <c r="AD304" s="22">
        <f>(SUMPRODUCT(AD$9:AD$229,Nutrients!$EH$8:$EH$228)+(IF($A$7=Nutrients!$B$8,Nutrients!$EH$8,Nutrients!$EH$9)*AD$7)+(((IF($A$8=Nutrients!$B$79,Nutrients!$EH$79,(IF($A$8=Nutrients!$B$77,Nutrients!$EH$77,Nutrients!$EH$78)))))*AD$8))/2000</f>
        <v>41.079913553522651</v>
      </c>
      <c r="AE304" s="22">
        <f>(SUMPRODUCT(AE$9:AE$229,Nutrients!$EH$8:$EH$228)+(IF($A$7=Nutrients!$B$8,Nutrients!$EH$8,Nutrients!$EH$9)*AE$7)+(((IF($A$8=Nutrients!$B$79,Nutrients!$EH$79,(IF($A$8=Nutrients!$B$77,Nutrients!$EH$77,Nutrients!$EH$78)))))*AE$8))/2000</f>
        <v>42.5842467386897</v>
      </c>
      <c r="AF304" s="22">
        <f>(SUMPRODUCT(AF$9:AF$229,Nutrients!$EH$8:$EH$228)+(IF($A$7=Nutrients!$B$8,Nutrients!$EH$8,Nutrients!$EH$9)*AF$7)+(((IF($A$8=Nutrients!$B$79,Nutrients!$EH$79,(IF($A$8=Nutrients!$B$77,Nutrients!$EH$77,Nutrients!$EH$78)))))*AF$8))/2000</f>
        <v>43.913050998927581</v>
      </c>
      <c r="AG304" s="22">
        <f>(SUMPRODUCT(AG$9:AG$229,Nutrients!$EH$8:$EH$228)+(IF($A$7=Nutrients!$B$8,Nutrients!$EH$8,Nutrients!$EH$9)*AG$7)+(((IF($A$8=Nutrients!$B$79,Nutrients!$EH$79,(IF($A$8=Nutrients!$B$77,Nutrients!$EH$77,Nutrients!$EH$78)))))*AG$8))/2000</f>
        <v>44.913587390331529</v>
      </c>
      <c r="AH304" s="22">
        <f>(SUMPRODUCT(AH$9:AH$229,Nutrients!$EH$8:$EH$228)+(IF($A$7=Nutrients!$B$8,Nutrients!$EH$8,Nutrients!$EH$9)*AH$7)+(((IF($A$8=Nutrients!$B$79,Nutrients!$EH$79,(IF($A$8=Nutrients!$B$77,Nutrients!$EH$77,Nutrients!$EH$78)))))*AH$8))/2000</f>
        <v>45.803436528653449</v>
      </c>
      <c r="AI304" s="22">
        <f>(SUMPRODUCT(AI$9:AI$229,Nutrients!$EH$8:$EH$228)+(IF($A$7=Nutrients!$B$8,Nutrients!$EH$8,Nutrients!$EH$9)*AI$7)+(((IF($A$8=Nutrients!$B$79,Nutrients!$EH$79,(IF($A$8=Nutrients!$B$77,Nutrients!$EH$77,Nutrients!$EH$78)))))*AI$8))/2000</f>
        <v>39.544986782030342</v>
      </c>
      <c r="AK304" s="22">
        <f>(SUMPRODUCT(AK$9:AK$229,Nutrients!$EH$8:$EH$228)+(IF($A$7=Nutrients!$B$8,Nutrients!$EH$8,Nutrients!$EH$9)*AK$7)+(((IF($A$8=Nutrients!$B$79,Nutrients!$EH$79,(IF($A$8=Nutrients!$B$77,Nutrients!$EH$77,Nutrients!$EH$78)))))*AK$8))/2000</f>
        <v>42.784593857796679</v>
      </c>
      <c r="AL304" s="22">
        <f>(SUMPRODUCT(AL$9:AL$229,Nutrients!$EH$8:$EH$228)+(IF($A$7=Nutrients!$B$8,Nutrients!$EH$8,Nutrients!$EH$9)*AL$7)+(((IF($A$8=Nutrients!$B$79,Nutrients!$EH$79,(IF($A$8=Nutrients!$B$77,Nutrients!$EH$77,Nutrients!$EH$78)))))*AL$8))/2000</f>
        <v>44.211917295654729</v>
      </c>
      <c r="AM304" s="22">
        <f>(SUMPRODUCT(AM$9:AM$229,Nutrients!$EH$8:$EH$228)+(IF($A$7=Nutrients!$B$8,Nutrients!$EH$8,Nutrients!$EH$9)*AM$7)+(((IF($A$8=Nutrients!$B$79,Nutrients!$EH$79,(IF($A$8=Nutrients!$B$77,Nutrients!$EH$77,Nutrients!$EH$78)))))*AM$8))/2000</f>
        <v>45.530727060902443</v>
      </c>
      <c r="AN304" s="22">
        <f>(SUMPRODUCT(AN$9:AN$229,Nutrients!$EH$8:$EH$228)+(IF($A$7=Nutrients!$B$8,Nutrients!$EH$8,Nutrients!$EH$9)*AN$7)+(((IF($A$8=Nutrients!$B$79,Nutrients!$EH$79,(IF($A$8=Nutrients!$B$77,Nutrients!$EH$77,Nutrients!$EH$78)))))*AN$8))/2000</f>
        <v>46.653695401449951</v>
      </c>
      <c r="AO304" s="22">
        <f>(SUMPRODUCT(AO$9:AO$229,Nutrients!$EH$8:$EH$228)+(IF($A$7=Nutrients!$B$8,Nutrients!$EH$8,Nutrients!$EH$9)*AO$7)+(((IF($A$8=Nutrients!$B$79,Nutrients!$EH$79,(IF($A$8=Nutrients!$B$77,Nutrients!$EH$77,Nutrients!$EH$78)))))*AO$8))/2000</f>
        <v>47.679635647566734</v>
      </c>
      <c r="AP304" s="22">
        <f>(SUMPRODUCT(AP$9:AP$229,Nutrients!$EH$8:$EH$228)+(IF($A$7=Nutrients!$B$8,Nutrients!$EH$8,Nutrients!$EH$9)*AP$7)+(((IF($A$8=Nutrients!$B$79,Nutrients!$EH$79,(IF($A$8=Nutrients!$B$77,Nutrients!$EH$77,Nutrients!$EH$78)))))*AP$8))/2000</f>
        <v>39.544986782030342</v>
      </c>
      <c r="AR304" s="22">
        <f>(SUMPRODUCT(AR$9:AR$229,Nutrients!$EH$8:$EH$228)+(IF($A$7=Nutrients!$B$8,Nutrients!$EH$8,Nutrients!$EH$9)*AR$7)+(((IF($A$8=Nutrients!$B$79,Nutrients!$EH$79,(IF($A$8=Nutrients!$B$77,Nutrients!$EH$77,Nutrients!$EH$78)))))*AR$8))/2000</f>
        <v>44.384950542773936</v>
      </c>
      <c r="AS304" s="22">
        <f>(SUMPRODUCT(AS$9:AS$229,Nutrients!$EH$8:$EH$228)+(IF($A$7=Nutrients!$B$8,Nutrients!$EH$8,Nutrients!$EH$9)*AS$7)+(((IF($A$8=Nutrients!$B$79,Nutrients!$EH$79,(IF($A$8=Nutrients!$B$77,Nutrients!$EH$77,Nutrients!$EH$78)))))*AS$8))/2000</f>
        <v>45.843261661725016</v>
      </c>
      <c r="AT304" s="22">
        <f>(SUMPRODUCT(AT$9:AT$229,Nutrients!$EH$8:$EH$228)+(IF($A$7=Nutrients!$B$8,Nutrients!$EH$8,Nutrients!$EH$9)*AT$7)+(((IF($A$8=Nutrients!$B$79,Nutrients!$EH$79,(IF($A$8=Nutrients!$B$77,Nutrients!$EH$77,Nutrients!$EH$78)))))*AT$8))/2000</f>
        <v>47.145141317035616</v>
      </c>
      <c r="AU304" s="22">
        <f>(SUMPRODUCT(AU$9:AU$229,Nutrients!$EH$8:$EH$228)+(IF($A$7=Nutrients!$B$8,Nutrients!$EH$8,Nutrients!$EH$9)*AU$7)+(((IF($A$8=Nutrients!$B$79,Nutrients!$EH$79,(IF($A$8=Nutrients!$B$77,Nutrients!$EH$77,Nutrients!$EH$78)))))*AU$8))/2000</f>
        <v>48.525462763224894</v>
      </c>
      <c r="AV304" s="22">
        <f>(SUMPRODUCT(AV$9:AV$229,Nutrients!$EH$8:$EH$228)+(IF($A$7=Nutrients!$B$8,Nutrients!$EH$8,Nutrients!$EH$9)*AV$7)+(((IF($A$8=Nutrients!$B$79,Nutrients!$EH$79,(IF($A$8=Nutrients!$B$77,Nutrients!$EH$77,Nutrients!$EH$78)))))*AV$8))/2000</f>
        <v>49.556203402118712</v>
      </c>
      <c r="AW304" s="22">
        <f>(SUMPRODUCT(AW$9:AW$229,Nutrients!$EH$8:$EH$228)+(IF($A$7=Nutrients!$B$8,Nutrients!$EH$8,Nutrients!$EH$9)*AW$7)+(((IF($A$8=Nutrients!$B$79,Nutrients!$EH$79,(IF($A$8=Nutrients!$B$77,Nutrients!$EH$77,Nutrients!$EH$78)))))*AW$8))/2000</f>
        <v>39.544986782030342</v>
      </c>
    </row>
    <row r="305" spans="1:49" x14ac:dyDescent="0.25">
      <c r="A305" t="s">
        <v>58</v>
      </c>
      <c r="B305" s="23">
        <f t="shared" ref="B305:G305" si="177">(0.4472*B304)+51.796</f>
        <v>67.295310140026132</v>
      </c>
      <c r="C305" s="23">
        <f t="shared" si="177"/>
        <v>67.94844373583328</v>
      </c>
      <c r="D305" s="23">
        <f t="shared" si="177"/>
        <v>68.516312942344612</v>
      </c>
      <c r="E305" s="23">
        <f t="shared" si="177"/>
        <v>68.992490029910371</v>
      </c>
      <c r="F305" s="23">
        <f t="shared" si="177"/>
        <v>69.320820614973073</v>
      </c>
      <c r="G305" s="23">
        <f t="shared" si="177"/>
        <v>69.480518088923972</v>
      </c>
      <c r="H305" s="227"/>
      <c r="I305" s="23">
        <f t="shared" ref="I305:N305" si="178">(0.4472*I304)+51.796</f>
        <v>67.998028664529301</v>
      </c>
      <c r="J305" s="23">
        <f t="shared" si="178"/>
        <v>68.662623025284546</v>
      </c>
      <c r="K305" s="23">
        <f t="shared" si="178"/>
        <v>69.241585413764724</v>
      </c>
      <c r="L305" s="23">
        <f t="shared" si="178"/>
        <v>69.692502568257908</v>
      </c>
      <c r="M305" s="23">
        <f t="shared" si="178"/>
        <v>70.028820542738856</v>
      </c>
      <c r="N305" s="23">
        <f t="shared" si="178"/>
        <v>69.480518088923972</v>
      </c>
      <c r="O305" s="198"/>
      <c r="P305" s="23">
        <f t="shared" ref="P305:U305" si="179">(0.4472*P304)+51.796</f>
        <v>68.71611122974025</v>
      </c>
      <c r="Q305" s="23">
        <f t="shared" si="179"/>
        <v>69.385409694013106</v>
      </c>
      <c r="R305" s="23">
        <f t="shared" si="179"/>
        <v>69.971472430744939</v>
      </c>
      <c r="S305" s="23">
        <f t="shared" si="179"/>
        <v>70.41959678834931</v>
      </c>
      <c r="T305" s="23">
        <f t="shared" si="179"/>
        <v>70.752996718513444</v>
      </c>
      <c r="U305" s="23">
        <f t="shared" si="179"/>
        <v>69.480518088923972</v>
      </c>
      <c r="W305" s="23">
        <f t="shared" ref="W305:AB305" si="180">(0.4472*W304)+51.796</f>
        <v>69.437905146873121</v>
      </c>
      <c r="X305" s="23">
        <f t="shared" si="180"/>
        <v>70.11265085237055</v>
      </c>
      <c r="Y305" s="23">
        <f t="shared" si="180"/>
        <v>70.69609355554374</v>
      </c>
      <c r="Z305" s="23">
        <f t="shared" si="180"/>
        <v>71.151007726888182</v>
      </c>
      <c r="AA305" s="23">
        <f t="shared" si="180"/>
        <v>71.478354526745818</v>
      </c>
      <c r="AB305" s="23">
        <f t="shared" si="180"/>
        <v>69.480518088923972</v>
      </c>
      <c r="AD305" s="23">
        <f t="shared" ref="AD305:AI305" si="181">(0.4472*AD304)+51.796</f>
        <v>70.166937341135323</v>
      </c>
      <c r="AE305" s="23">
        <f t="shared" si="181"/>
        <v>70.839675141542031</v>
      </c>
      <c r="AF305" s="23">
        <f t="shared" si="181"/>
        <v>71.433916406720414</v>
      </c>
      <c r="AG305" s="23">
        <f t="shared" si="181"/>
        <v>71.881356280956254</v>
      </c>
      <c r="AH305" s="23">
        <f t="shared" si="181"/>
        <v>72.279296815613819</v>
      </c>
      <c r="AI305" s="23">
        <f t="shared" si="181"/>
        <v>69.480518088923972</v>
      </c>
      <c r="AK305" s="23">
        <f t="shared" ref="AK305:AP305" si="182">(0.4472*AK304)+51.796</f>
        <v>70.929270373206677</v>
      </c>
      <c r="AL305" s="23">
        <f t="shared" si="182"/>
        <v>71.567569414616798</v>
      </c>
      <c r="AM305" s="23">
        <f t="shared" si="182"/>
        <v>72.15734114163557</v>
      </c>
      <c r="AN305" s="23">
        <f t="shared" si="182"/>
        <v>72.659532583528417</v>
      </c>
      <c r="AO305" s="23">
        <f t="shared" si="182"/>
        <v>73.118333061591841</v>
      </c>
      <c r="AP305" s="23">
        <f t="shared" si="182"/>
        <v>69.480518088923972</v>
      </c>
      <c r="AR305" s="23">
        <f t="shared" ref="AR305:AW305" si="183">(0.4472*AR304)+51.796</f>
        <v>71.644949882728497</v>
      </c>
      <c r="AS305" s="23">
        <f t="shared" si="183"/>
        <v>72.297106615123425</v>
      </c>
      <c r="AT305" s="23">
        <f t="shared" si="183"/>
        <v>72.879307196978331</v>
      </c>
      <c r="AU305" s="23">
        <f t="shared" si="183"/>
        <v>73.496586947714178</v>
      </c>
      <c r="AV305" s="23">
        <f t="shared" si="183"/>
        <v>73.957534161427489</v>
      </c>
      <c r="AW305" s="23">
        <f t="shared" si="183"/>
        <v>69.480518088923972</v>
      </c>
    </row>
    <row r="306" spans="1:49" x14ac:dyDescent="0.25">
      <c r="A306" t="s">
        <v>65</v>
      </c>
      <c r="B306" s="23">
        <f>(SUMPRODUCT(B$9:B$229,Nutrients!$BW$8:$BW$228)+(IF($A$7=Nutrients!$B$8,Nutrients!$BW$8,Nutrients!$BW$9)*B$7)+(((IF($A$8=Nutrients!$B$79,Nutrients!$BW$79,(IF($A$8=Nutrients!$B$77,Nutrients!$BW$77,Nutrients!$BW$78)))))*B$8))/2000</f>
        <v>0.17839028042000546</v>
      </c>
      <c r="C306" s="23">
        <f>(SUMPRODUCT(C$9:C$229,Nutrients!$BW$8:$BW$228)+(IF($A$7=Nutrients!$B$8,Nutrients!$BW$8,Nutrients!$BW$9)*C$7)+(((IF($A$8=Nutrients!$B$79,Nutrients!$BW$79,(IF($A$8=Nutrients!$B$77,Nutrients!$BW$77,Nutrients!$BW$78)))))*C$8))/2000</f>
        <v>0.1747961379454851</v>
      </c>
      <c r="D306" s="23">
        <f>(SUMPRODUCT(D$9:D$229,Nutrients!$BW$8:$BW$228)+(IF($A$7=Nutrients!$B$8,Nutrients!$BW$8,Nutrients!$BW$9)*D$7)+(((IF($A$8=Nutrients!$B$79,Nutrients!$BW$79,(IF($A$8=Nutrients!$B$77,Nutrients!$BW$77,Nutrients!$BW$78)))))*D$8))/2000</f>
        <v>0.17169952789434653</v>
      </c>
      <c r="E306" s="23">
        <f>(SUMPRODUCT(E$9:E$229,Nutrients!$BW$8:$BW$228)+(IF($A$7=Nutrients!$B$8,Nutrients!$BW$8,Nutrients!$BW$9)*E$7)+(((IF($A$8=Nutrients!$B$79,Nutrients!$BW$79,(IF($A$8=Nutrients!$B$77,Nutrients!$BW$77,Nutrients!$BW$78)))))*E$8))/2000</f>
        <v>0.16911270535843034</v>
      </c>
      <c r="F306" s="23">
        <f>(SUMPRODUCT(F$9:F$229,Nutrients!$BW$8:$BW$228)+(IF($A$7=Nutrients!$B$8,Nutrients!$BW$8,Nutrients!$BW$9)*F$7)+(((IF($A$8=Nutrients!$B$79,Nutrients!$BW$79,(IF($A$8=Nutrients!$B$77,Nutrients!$BW$77,Nutrients!$BW$78)))))*F$8))/2000</f>
        <v>0.16737197925804595</v>
      </c>
      <c r="G306" s="23">
        <f>(SUMPRODUCT(G$9:G$229,Nutrients!$BW$8:$BW$228)+(IF($A$7=Nutrients!$B$8,Nutrients!$BW$8,Nutrients!$BW$9)*G$7)+(((IF($A$8=Nutrients!$B$79,Nutrients!$BW$79,(IF($A$8=Nutrients!$B$77,Nutrients!$BW$77,Nutrients!$BW$78)))))*G$8))/2000</f>
        <v>0.1664919947730959</v>
      </c>
      <c r="H306" s="227"/>
      <c r="I306" s="23">
        <f>(SUMPRODUCT(I$9:I$229,Nutrients!$BW$8:$BW$228)+(IF($A$7=Nutrients!$B$8,Nutrients!$BW$8,Nutrients!$BW$9)*I$7)+(((IF($A$8=Nutrients!$B$79,Nutrients!$BW$79,(IF($A$8=Nutrients!$B$77,Nutrients!$BW$77,Nutrients!$BW$78)))))*I$8))/2000</f>
        <v>0.18578794211770608</v>
      </c>
      <c r="J306" s="23">
        <f>(SUMPRODUCT(J$9:J$229,Nutrients!$BW$8:$BW$228)+(IF($A$7=Nutrients!$B$8,Nutrients!$BW$8,Nutrients!$BW$9)*J$7)+(((IF($A$8=Nutrients!$B$79,Nutrients!$BW$79,(IF($A$8=Nutrients!$B$77,Nutrients!$BW$77,Nutrients!$BW$78)))))*J$8))/2000</f>
        <v>0.18219429651752395</v>
      </c>
      <c r="K306" s="23">
        <f>(SUMPRODUCT(K$9:K$229,Nutrients!$BW$8:$BW$228)+(IF($A$7=Nutrients!$B$8,Nutrients!$BW$8,Nutrients!$BW$9)*K$7)+(((IF($A$8=Nutrients!$B$79,Nutrients!$BW$79,(IF($A$8=Nutrients!$B$77,Nutrients!$BW$77,Nutrients!$BW$78)))))*K$8))/2000</f>
        <v>0.17907304142467681</v>
      </c>
      <c r="L306" s="23">
        <f>(SUMPRODUCT(L$9:L$229,Nutrients!$BW$8:$BW$228)+(IF($A$7=Nutrients!$B$8,Nutrients!$BW$8,Nutrients!$BW$9)*L$7)+(((IF($A$8=Nutrients!$B$79,Nutrients!$BW$79,(IF($A$8=Nutrients!$B$77,Nutrients!$BW$77,Nutrients!$BW$78)))))*L$8))/2000</f>
        <v>0.17647992727520151</v>
      </c>
      <c r="M306" s="23">
        <f>(SUMPRODUCT(M$9:M$229,Nutrients!$BW$8:$BW$228)+(IF($A$7=Nutrients!$B$8,Nutrients!$BW$8,Nutrients!$BW$9)*M$7)+(((IF($A$8=Nutrients!$B$79,Nutrients!$BW$79,(IF($A$8=Nutrients!$B$77,Nutrients!$BW$77,Nutrients!$BW$78)))))*M$8))/2000</f>
        <v>0.17475133715260913</v>
      </c>
      <c r="N306" s="23">
        <f>(SUMPRODUCT(N$9:N$229,Nutrients!$BW$8:$BW$228)+(IF($A$7=Nutrients!$B$8,Nutrients!$BW$8,Nutrients!$BW$9)*N$7)+(((IF($A$8=Nutrients!$B$79,Nutrients!$BW$79,(IF($A$8=Nutrients!$B$77,Nutrients!$BW$77,Nutrients!$BW$78)))))*N$8))/2000</f>
        <v>0.1664919947730959</v>
      </c>
      <c r="O306" s="198"/>
      <c r="P306" s="23">
        <f>(SUMPRODUCT(P$9:P$229,Nutrients!$BW$8:$BW$228)+(IF($A$7=Nutrients!$B$8,Nutrients!$BW$8,Nutrients!$BW$9)*P$7)+(((IF($A$8=Nutrients!$B$79,Nutrients!$BW$79,(IF($A$8=Nutrients!$B$77,Nutrients!$BW$77,Nutrients!$BW$78)))))*P$8))/2000</f>
        <v>0.19317537409517643</v>
      </c>
      <c r="Q306" s="23">
        <f>(SUMPRODUCT(Q$9:Q$229,Nutrients!$BW$8:$BW$228)+(IF($A$7=Nutrients!$B$8,Nutrients!$BW$8,Nutrients!$BW$9)*Q$7)+(((IF($A$8=Nutrients!$B$79,Nutrients!$BW$79,(IF($A$8=Nutrients!$B$77,Nutrients!$BW$77,Nutrients!$BW$78)))))*Q$8))/2000</f>
        <v>0.18958143513669443</v>
      </c>
      <c r="R306" s="23">
        <f>(SUMPRODUCT(R$9:R$229,Nutrients!$BW$8:$BW$228)+(IF($A$7=Nutrients!$B$8,Nutrients!$BW$8,Nutrients!$BW$9)*R$7)+(((IF($A$8=Nutrients!$B$79,Nutrients!$BW$79,(IF($A$8=Nutrients!$B$77,Nutrients!$BW$77,Nutrients!$BW$78)))))*R$8))/2000</f>
        <v>0.18645973725042586</v>
      </c>
      <c r="S306" s="23">
        <f>(SUMPRODUCT(S$9:S$229,Nutrients!$BW$8:$BW$228)+(IF($A$7=Nutrients!$B$8,Nutrients!$BW$8,Nutrients!$BW$9)*S$7)+(((IF($A$8=Nutrients!$B$79,Nutrients!$BW$79,(IF($A$8=Nutrients!$B$77,Nutrients!$BW$77,Nutrients!$BW$78)))))*S$8))/2000</f>
        <v>0.1838667972659416</v>
      </c>
      <c r="T306" s="23">
        <f>(SUMPRODUCT(T$9:T$229,Nutrients!$BW$8:$BW$228)+(IF($A$7=Nutrients!$B$8,Nutrients!$BW$8,Nutrients!$BW$9)*T$7)+(((IF($A$8=Nutrients!$B$79,Nutrients!$BW$79,(IF($A$8=Nutrients!$B$77,Nutrients!$BW$77,Nutrients!$BW$78)))))*T$8))/2000</f>
        <v>0.18213777286425512</v>
      </c>
      <c r="U306" s="23">
        <f>(SUMPRODUCT(U$9:U$229,Nutrients!$BW$8:$BW$228)+(IF($A$7=Nutrients!$B$8,Nutrients!$BW$8,Nutrients!$BW$9)*U$7)+(((IF($A$8=Nutrients!$B$79,Nutrients!$BW$79,(IF($A$8=Nutrients!$B$77,Nutrients!$BW$77,Nutrients!$BW$78)))))*U$8))/2000</f>
        <v>0.1664919947730959</v>
      </c>
      <c r="W306" s="23">
        <f>(SUMPRODUCT(W$9:W$229,Nutrients!$BW$8:$BW$228)+(IF($A$7=Nutrients!$B$8,Nutrients!$BW$8,Nutrients!$BW$9)*W$7)+(((IF($A$8=Nutrients!$B$79,Nutrients!$BW$79,(IF($A$8=Nutrients!$B$77,Nutrients!$BW$77,Nutrients!$BW$78)))))*W$8))/2000</f>
        <v>0.2005625746245322</v>
      </c>
      <c r="X306" s="23">
        <f>(SUMPRODUCT(X$9:X$229,Nutrients!$BW$8:$BW$228)+(IF($A$7=Nutrients!$B$8,Nutrients!$BW$8,Nutrients!$BW$9)*X$7)+(((IF($A$8=Nutrients!$B$79,Nutrients!$BW$79,(IF($A$8=Nutrients!$B$77,Nutrients!$BW$77,Nutrients!$BW$78)))))*X$8))/2000</f>
        <v>0.19696829596403931</v>
      </c>
      <c r="Y306" s="23">
        <f>(SUMPRODUCT(Y$9:Y$229,Nutrients!$BW$8:$BW$228)+(IF($A$7=Nutrients!$B$8,Nutrients!$BW$8,Nutrients!$BW$9)*Y$7)+(((IF($A$8=Nutrients!$B$79,Nutrients!$BW$79,(IF($A$8=Nutrients!$B$77,Nutrients!$BW$77,Nutrients!$BW$78)))))*Y$8))/2000</f>
        <v>0.19384549612943172</v>
      </c>
      <c r="Z306" s="23">
        <f>(SUMPRODUCT(Z$9:Z$229,Nutrients!$BW$8:$BW$228)+(IF($A$7=Nutrients!$B$8,Nutrients!$BW$8,Nutrients!$BW$9)*Z$7)+(((IF($A$8=Nutrients!$B$79,Nutrients!$BW$79,(IF($A$8=Nutrients!$B$77,Nutrients!$BW$77,Nutrients!$BW$78)))))*Z$8))/2000</f>
        <v>0.1912528793895264</v>
      </c>
      <c r="AA306" s="23">
        <f>(SUMPRODUCT(AA$9:AA$229,Nutrients!$BW$8:$BW$228)+(IF($A$7=Nutrients!$B$8,Nutrients!$BW$8,Nutrients!$BW$9)*AA$7)+(((IF($A$8=Nutrients!$B$79,Nutrients!$BW$79,(IF($A$8=Nutrients!$B$77,Nutrients!$BW$77,Nutrients!$BW$78)))))*AA$8))/2000</f>
        <v>0.18952206349461595</v>
      </c>
      <c r="AB306" s="23">
        <f>(SUMPRODUCT(AB$9:AB$229,Nutrients!$BW$8:$BW$228)+(IF($A$7=Nutrients!$B$8,Nutrients!$BW$8,Nutrients!$BW$9)*AB$7)+(((IF($A$8=Nutrients!$B$79,Nutrients!$BW$79,(IF($A$8=Nutrients!$B$77,Nutrients!$BW$77,Nutrients!$BW$78)))))*AB$8))/2000</f>
        <v>0.1664919947730959</v>
      </c>
      <c r="AD306" s="23">
        <f>(SUMPRODUCT(AD$9:AD$229,Nutrients!$BW$8:$BW$228)+(IF($A$7=Nutrients!$B$8,Nutrients!$BW$8,Nutrients!$BW$9)*AD$7)+(((IF($A$8=Nutrients!$B$79,Nutrients!$BW$79,(IF($A$8=Nutrients!$B$77,Nutrients!$BW$77,Nutrients!$BW$78)))))*AD$8))/2000</f>
        <v>0.20794869108920333</v>
      </c>
      <c r="AE306" s="23">
        <f>(SUMPRODUCT(AE$9:AE$229,Nutrients!$BW$8:$BW$228)+(IF($A$7=Nutrients!$B$8,Nutrients!$BW$8,Nutrients!$BW$9)*AE$7)+(((IF($A$8=Nutrients!$B$79,Nutrients!$BW$79,(IF($A$8=Nutrients!$B$77,Nutrients!$BW$77,Nutrients!$BW$78)))))*AE$8))/2000</f>
        <v>0.20435453764611294</v>
      </c>
      <c r="AF306" s="23">
        <f>(SUMPRODUCT(AF$9:AF$229,Nutrients!$BW$8:$BW$228)+(IF($A$7=Nutrients!$B$8,Nutrients!$BW$8,Nutrients!$BW$9)*AF$7)+(((IF($A$8=Nutrients!$B$79,Nutrients!$BW$79,(IF($A$8=Nutrients!$B$77,Nutrients!$BW$77,Nutrients!$BW$78)))))*AF$8))/2000</f>
        <v>0.20123277930468592</v>
      </c>
      <c r="AG306" s="23">
        <f>(SUMPRODUCT(AG$9:AG$229,Nutrients!$BW$8:$BW$228)+(IF($A$7=Nutrients!$B$8,Nutrients!$BW$8,Nutrients!$BW$9)*AG$7)+(((IF($A$8=Nutrients!$B$79,Nutrients!$BW$79,(IF($A$8=Nutrients!$B$77,Nutrients!$BW$77,Nutrients!$BW$78)))))*AG$8))/2000</f>
        <v>0.19863749145565177</v>
      </c>
      <c r="AH306" s="23">
        <f>(SUMPRODUCT(AH$9:AH$229,Nutrients!$BW$8:$BW$228)+(IF($A$7=Nutrients!$B$8,Nutrients!$BW$8,Nutrients!$BW$9)*AH$7)+(((IF($A$8=Nutrients!$B$79,Nutrients!$BW$79,(IF($A$8=Nutrients!$B$77,Nutrients!$BW$77,Nutrients!$BW$78)))))*AH$8))/2000</f>
        <v>0.19701873148871532</v>
      </c>
      <c r="AI306" s="23">
        <f>(SUMPRODUCT(AI$9:AI$229,Nutrients!$BW$8:$BW$228)+(IF($A$7=Nutrients!$B$8,Nutrients!$BW$8,Nutrients!$BW$9)*AI$7)+(((IF($A$8=Nutrients!$B$79,Nutrients!$BW$79,(IF($A$8=Nutrients!$B$77,Nutrients!$BW$77,Nutrients!$BW$78)))))*AI$8))/2000</f>
        <v>0.1664919947730959</v>
      </c>
      <c r="AK306" s="23">
        <f>(SUMPRODUCT(AK$9:AK$229,Nutrients!$BW$8:$BW$228)+(IF($A$7=Nutrients!$B$8,Nutrients!$BW$8,Nutrients!$BW$9)*AK$7)+(((IF($A$8=Nutrients!$B$79,Nutrients!$BW$79,(IF($A$8=Nutrients!$B$77,Nutrients!$BW$77,Nutrients!$BW$78)))))*AK$8))/2000</f>
        <v>0.21533241450511756</v>
      </c>
      <c r="AL306" s="23">
        <f>(SUMPRODUCT(AL$9:AL$229,Nutrients!$BW$8:$BW$228)+(IF($A$7=Nutrients!$B$8,Nutrients!$BW$8,Nutrients!$BW$9)*AL$7)+(((IF($A$8=Nutrients!$B$79,Nutrients!$BW$79,(IF($A$8=Nutrients!$B$77,Nutrients!$BW$77,Nutrients!$BW$78)))))*AL$8))/2000</f>
        <v>0.21174040873920949</v>
      </c>
      <c r="AM306" s="23">
        <f>(SUMPRODUCT(AM$9:AM$229,Nutrients!$BW$8:$BW$228)+(IF($A$7=Nutrients!$B$8,Nutrients!$BW$8,Nutrients!$BW$9)*AM$7)+(((IF($A$8=Nutrients!$B$79,Nutrients!$BW$79,(IF($A$8=Nutrients!$B$77,Nutrients!$BW$77,Nutrients!$BW$78)))))*AM$8))/2000</f>
        <v>0.2086175068206311</v>
      </c>
      <c r="AN306" s="23">
        <f>(SUMPRODUCT(AN$9:AN$229,Nutrients!$BW$8:$BW$228)+(IF($A$7=Nutrients!$B$8,Nutrients!$BW$8,Nutrients!$BW$9)*AN$7)+(((IF($A$8=Nutrients!$B$79,Nutrients!$BW$79,(IF($A$8=Nutrients!$B$77,Nutrients!$BW$77,Nutrients!$BW$78)))))*AN$8))/2000</f>
        <v>0.20613045995446339</v>
      </c>
      <c r="AO306" s="23">
        <f>(SUMPRODUCT(AO$9:AO$229,Nutrients!$BW$8:$BW$228)+(IF($A$7=Nutrients!$B$8,Nutrients!$BW$8,Nutrients!$BW$9)*AO$7)+(((IF($A$8=Nutrients!$B$79,Nutrients!$BW$79,(IF($A$8=Nutrients!$B$77,Nutrients!$BW$77,Nutrients!$BW$78)))))*AO$8))/2000</f>
        <v>0.2045344392217846</v>
      </c>
      <c r="AP306" s="23">
        <f>(SUMPRODUCT(AP$9:AP$229,Nutrients!$BW$8:$BW$228)+(IF($A$7=Nutrients!$B$8,Nutrients!$BW$8,Nutrients!$BW$9)*AP$7)+(((IF($A$8=Nutrients!$B$79,Nutrients!$BW$79,(IF($A$8=Nutrients!$B$77,Nutrients!$BW$77,Nutrients!$BW$78)))))*AP$8))/2000</f>
        <v>0.1664919947730959</v>
      </c>
      <c r="AR306" s="23">
        <f>(SUMPRODUCT(AR$9:AR$229,Nutrients!$BW$8:$BW$228)+(IF($A$7=Nutrients!$B$8,Nutrients!$BW$8,Nutrients!$BW$9)*AR$7)+(((IF($A$8=Nutrients!$B$79,Nutrients!$BW$79,(IF($A$8=Nutrients!$B$77,Nutrients!$BW$77,Nutrients!$BW$78)))))*AR$8))/2000</f>
        <v>0.22272033360004412</v>
      </c>
      <c r="AS306" s="23">
        <f>(SUMPRODUCT(AS$9:AS$229,Nutrients!$BW$8:$BW$228)+(IF($A$7=Nutrients!$B$8,Nutrients!$BW$8,Nutrients!$BW$9)*AS$7)+(((IF($A$8=Nutrients!$B$79,Nutrients!$BW$79,(IF($A$8=Nutrients!$B$77,Nutrients!$BW$77,Nutrients!$BW$78)))))*AS$8))/2000</f>
        <v>0.21912746362558358</v>
      </c>
      <c r="AT306" s="23">
        <f>(SUMPRODUCT(AT$9:AT$229,Nutrients!$BW$8:$BW$228)+(IF($A$7=Nutrients!$B$8,Nutrients!$BW$8,Nutrients!$BW$9)*AT$7)+(((IF($A$8=Nutrients!$B$79,Nutrients!$BW$79,(IF($A$8=Nutrients!$B$77,Nutrients!$BW$77,Nutrients!$BW$78)))))*AT$8))/2000</f>
        <v>0.21604027907704085</v>
      </c>
      <c r="AU306" s="23">
        <f>(SUMPRODUCT(AU$9:AU$229,Nutrients!$BW$8:$BW$228)+(IF($A$7=Nutrients!$B$8,Nutrients!$BW$8,Nutrients!$BW$9)*AU$7)+(((IF($A$8=Nutrients!$B$79,Nutrients!$BW$79,(IF($A$8=Nutrients!$B$77,Nutrients!$BW$77,Nutrients!$BW$78)))))*AU$8))/2000</f>
        <v>0.21364673429155018</v>
      </c>
      <c r="AV306" s="23">
        <f>(SUMPRODUCT(AV$9:AV$229,Nutrients!$BW$8:$BW$228)+(IF($A$7=Nutrients!$B$8,Nutrients!$BW$8,Nutrients!$BW$9)*AV$7)+(((IF($A$8=Nutrients!$B$79,Nutrients!$BW$79,(IF($A$8=Nutrients!$B$77,Nutrients!$BW$77,Nutrients!$BW$78)))))*AV$8))/2000</f>
        <v>0.21204981488235475</v>
      </c>
      <c r="AW306" s="23">
        <f>(SUMPRODUCT(AW$9:AW$229,Nutrients!$BW$8:$BW$228)+(IF($A$7=Nutrients!$B$8,Nutrients!$BW$8,Nutrients!$BW$9)*AW$7)+(((IF($A$8=Nutrients!$B$79,Nutrients!$BW$79,(IF($A$8=Nutrients!$B$77,Nutrients!$BW$77,Nutrients!$BW$78)))))*AW$8))/2000</f>
        <v>0.1664919947730959</v>
      </c>
    </row>
    <row r="307" spans="1:49" x14ac:dyDescent="0.25">
      <c r="A307" t="s">
        <v>66</v>
      </c>
      <c r="B307" s="23">
        <f>(SUMPRODUCT(B$9:B$229,Nutrients!$BT$8:$BT$228)+(IF($A$7=Nutrients!$B$8,Nutrients!$BT$8,Nutrients!$BT$9)*B$7)+(((IF($A$8=Nutrients!$B$79,Nutrients!$BT$79,(IF($A$8=Nutrients!$B$77,Nutrients!$BT$77,Nutrients!$BT$78)))))*B$8))/2000</f>
        <v>0.31519434822612252</v>
      </c>
      <c r="C307" s="23">
        <f>(SUMPRODUCT(C$9:C$229,Nutrients!$BT$8:$BT$228)+(IF($A$7=Nutrients!$B$8,Nutrients!$BT$8,Nutrients!$BT$9)*C$7)+(((IF($A$8=Nutrients!$B$79,Nutrients!$BT$79,(IF($A$8=Nutrients!$B$77,Nutrients!$BT$77,Nutrients!$BT$78)))))*C$8))/2000</f>
        <v>0.3147366231672945</v>
      </c>
      <c r="D307" s="23">
        <f>(SUMPRODUCT(D$9:D$229,Nutrients!$BT$8:$BT$228)+(IF($A$7=Nutrients!$B$8,Nutrients!$BT$8,Nutrients!$BT$9)*D$7)+(((IF($A$8=Nutrients!$B$79,Nutrients!$BT$79,(IF($A$8=Nutrients!$B$77,Nutrients!$BT$77,Nutrients!$BT$78)))))*D$8))/2000</f>
        <v>0.31354180150272754</v>
      </c>
      <c r="E307" s="23">
        <f>(SUMPRODUCT(E$9:E$229,Nutrients!$BT$8:$BT$228)+(IF($A$7=Nutrients!$B$8,Nutrients!$BT$8,Nutrients!$BT$9)*E$7)+(((IF($A$8=Nutrients!$B$79,Nutrients!$BT$79,(IF($A$8=Nutrients!$B$77,Nutrients!$BT$77,Nutrients!$BT$78)))))*E$8))/2000</f>
        <v>0.31295871729246166</v>
      </c>
      <c r="F307" s="23">
        <f>(SUMPRODUCT(F$9:F$229,Nutrients!$BT$8:$BT$228)+(IF($A$7=Nutrients!$B$8,Nutrients!$BT$8,Nutrients!$BT$9)*F$7)+(((IF($A$8=Nutrients!$B$79,Nutrients!$BT$79,(IF($A$8=Nutrients!$B$77,Nutrients!$BT$77,Nutrients!$BT$78)))))*F$8))/2000</f>
        <v>0.31206915279820541</v>
      </c>
      <c r="G307" s="23">
        <f>(SUMPRODUCT(G$9:G$229,Nutrients!$BT$8:$BT$228)+(IF($A$7=Nutrients!$B$8,Nutrients!$BT$8,Nutrients!$BT$9)*G$7)+(((IF($A$8=Nutrients!$B$79,Nutrients!$BT$79,(IF($A$8=Nutrients!$B$77,Nutrients!$BT$77,Nutrients!$BT$78)))))*G$8))/2000</f>
        <v>0.31085636054251664</v>
      </c>
      <c r="H307" s="227"/>
      <c r="I307" s="23">
        <f>(SUMPRODUCT(I$9:I$229,Nutrients!$BT$8:$BT$228)+(IF($A$7=Nutrients!$B$8,Nutrients!$BT$8,Nutrients!$BT$9)*I$7)+(((IF($A$8=Nutrients!$B$79,Nutrients!$BT$79,(IF($A$8=Nutrients!$B$77,Nutrients!$BT$77,Nutrients!$BT$78)))))*I$8))/2000</f>
        <v>0.32773618409760291</v>
      </c>
      <c r="J307" s="23">
        <f>(SUMPRODUCT(J$9:J$229,Nutrients!$BT$8:$BT$228)+(IF($A$7=Nutrients!$B$8,Nutrients!$BT$8,Nutrients!$BT$9)*J$7)+(((IF($A$8=Nutrients!$B$79,Nutrients!$BT$79,(IF($A$8=Nutrients!$B$77,Nutrients!$BT$77,Nutrients!$BT$78)))))*J$8))/2000</f>
        <v>0.32727551196726867</v>
      </c>
      <c r="K307" s="23">
        <f>(SUMPRODUCT(K$9:K$229,Nutrients!$BT$8:$BT$228)+(IF($A$7=Nutrients!$B$8,Nutrients!$BT$8,Nutrients!$BT$9)*K$7)+(((IF($A$8=Nutrients!$B$79,Nutrients!$BT$79,(IF($A$8=Nutrients!$B$77,Nutrients!$BT$77,Nutrients!$BT$78)))))*K$8))/2000</f>
        <v>0.32608604316010609</v>
      </c>
      <c r="L307" s="23">
        <f>(SUMPRODUCT(L$9:L$229,Nutrients!$BT$8:$BT$228)+(IF($A$7=Nutrients!$B$8,Nutrients!$BT$8,Nutrients!$BT$9)*L$7)+(((IF($A$8=Nutrients!$B$79,Nutrients!$BT$79,(IF($A$8=Nutrients!$B$77,Nutrients!$BT$77,Nutrients!$BT$78)))))*L$8))/2000</f>
        <v>0.32551104636396283</v>
      </c>
      <c r="M307" s="23">
        <f>(SUMPRODUCT(M$9:M$229,Nutrients!$BT$8:$BT$228)+(IF($A$7=Nutrients!$B$8,Nutrients!$BT$8,Nutrients!$BT$9)*M$7)+(((IF($A$8=Nutrients!$B$79,Nutrients!$BT$79,(IF($A$8=Nutrients!$B$77,Nutrients!$BT$77,Nutrients!$BT$78)))))*M$8))/2000</f>
        <v>0.32461567674793873</v>
      </c>
      <c r="N307" s="23">
        <f>(SUMPRODUCT(N$9:N$229,Nutrients!$BT$8:$BT$228)+(IF($A$7=Nutrients!$B$8,Nutrients!$BT$8,Nutrients!$BT$9)*N$7)+(((IF($A$8=Nutrients!$B$79,Nutrients!$BT$79,(IF($A$8=Nutrients!$B$77,Nutrients!$BT$77,Nutrients!$BT$78)))))*N$8))/2000</f>
        <v>0.31085636054251664</v>
      </c>
      <c r="O307" s="198"/>
      <c r="P307" s="23">
        <f>(SUMPRODUCT(P$9:P$229,Nutrients!$BT$8:$BT$228)+(IF($A$7=Nutrients!$B$8,Nutrients!$BT$8,Nutrients!$BT$9)*P$7)+(((IF($A$8=Nutrients!$B$79,Nutrients!$BT$79,(IF($A$8=Nutrients!$B$77,Nutrients!$BT$77,Nutrients!$BT$78)))))*P$8))/2000</f>
        <v>0.34027750037707466</v>
      </c>
      <c r="Q307" s="23">
        <f>(SUMPRODUCT(Q$9:Q$229,Nutrients!$BT$8:$BT$228)+(IF($A$7=Nutrients!$B$8,Nutrients!$BT$8,Nutrients!$BT$9)*Q$7)+(((IF($A$8=Nutrients!$B$79,Nutrients!$BT$79,(IF($A$8=Nutrients!$B$77,Nutrients!$BT$77,Nutrients!$BT$78)))))*Q$8))/2000</f>
        <v>0.33981587855654122</v>
      </c>
      <c r="R307" s="23">
        <f>(SUMPRODUCT(R$9:R$229,Nutrients!$BT$8:$BT$228)+(IF($A$7=Nutrients!$B$8,Nutrients!$BT$8,Nutrients!$BT$9)*R$7)+(((IF($A$8=Nutrients!$B$79,Nutrients!$BT$79,(IF($A$8=Nutrients!$B$77,Nutrients!$BT$77,Nutrients!$BT$78)))))*R$8))/2000</f>
        <v>0.33862497629215982</v>
      </c>
      <c r="S307" s="23">
        <f>(SUMPRODUCT(S$9:S$229,Nutrients!$BT$8:$BT$228)+(IF($A$7=Nutrients!$B$8,Nutrients!$BT$8,Nutrients!$BT$9)*S$7)+(((IF($A$8=Nutrients!$B$79,Nutrients!$BT$79,(IF($A$8=Nutrients!$B$77,Nutrients!$BT$77,Nutrients!$BT$78)))))*S$8))/2000</f>
        <v>0.33805054332115853</v>
      </c>
      <c r="T307" s="23">
        <f>(SUMPRODUCT(T$9:T$229,Nutrients!$BT$8:$BT$228)+(IF($A$7=Nutrients!$B$8,Nutrients!$BT$8,Nutrients!$BT$9)*T$7)+(((IF($A$8=Nutrients!$B$79,Nutrients!$BT$79,(IF($A$8=Nutrients!$B$77,Nutrients!$BT$77,Nutrients!$BT$78)))))*T$8))/2000</f>
        <v>0.33715376781138728</v>
      </c>
      <c r="U307" s="23">
        <f>(SUMPRODUCT(U$9:U$229,Nutrients!$BT$8:$BT$228)+(IF($A$7=Nutrients!$B$8,Nutrients!$BT$8,Nutrients!$BT$9)*U$7)+(((IF($A$8=Nutrients!$B$79,Nutrients!$BT$79,(IF($A$8=Nutrients!$B$77,Nutrients!$BT$77,Nutrients!$BT$78)))))*U$8))/2000</f>
        <v>0.31085636054251664</v>
      </c>
      <c r="W307" s="23">
        <f>(SUMPRODUCT(W$9:W$229,Nutrients!$BT$8:$BT$228)+(IF($A$7=Nutrients!$B$8,Nutrients!$BT$8,Nutrients!$BT$9)*W$7)+(((IF($A$8=Nutrients!$B$79,Nutrients!$BT$79,(IF($A$8=Nutrients!$B$77,Nutrients!$BT$77,Nutrients!$BT$78)))))*W$8))/2000</f>
        <v>0.35281806738848021</v>
      </c>
      <c r="X307" s="23">
        <f>(SUMPRODUCT(X$9:X$229,Nutrients!$BT$8:$BT$228)+(IF($A$7=Nutrients!$B$8,Nutrients!$BT$8,Nutrients!$BT$9)*X$7)+(((IF($A$8=Nutrients!$B$79,Nutrients!$BT$79,(IF($A$8=Nutrients!$B$77,Nutrients!$BT$77,Nutrients!$BT$78)))))*X$8))/2000</f>
        <v>0.3523553458490345</v>
      </c>
      <c r="Y307" s="23">
        <f>(SUMPRODUCT(Y$9:Y$229,Nutrients!$BT$8:$BT$228)+(IF($A$7=Nutrients!$B$8,Nutrients!$BT$8,Nutrients!$BT$9)*Y$7)+(((IF($A$8=Nutrients!$B$79,Nutrients!$BT$79,(IF($A$8=Nutrients!$B$77,Nutrients!$BT$77,Nutrients!$BT$78)))))*Y$8))/2000</f>
        <v>0.35116565592962989</v>
      </c>
      <c r="Z307" s="23">
        <f>(SUMPRODUCT(Z$9:Z$229,Nutrients!$BT$8:$BT$228)+(IF($A$7=Nutrients!$B$8,Nutrients!$BT$8,Nutrients!$BT$9)*Z$7)+(((IF($A$8=Nutrients!$B$79,Nutrients!$BT$79,(IF($A$8=Nutrients!$B$77,Nutrients!$BT$77,Nutrients!$BT$78)))))*Z$8))/2000</f>
        <v>0.35059226939981891</v>
      </c>
      <c r="AA307" s="23">
        <f>(SUMPRODUCT(AA$9:AA$229,Nutrients!$BT$8:$BT$228)+(IF($A$7=Nutrients!$B$8,Nutrients!$BT$8,Nutrients!$BT$9)*AA$7)+(((IF($A$8=Nutrients!$B$79,Nutrients!$BT$79,(IF($A$8=Nutrients!$B$77,Nutrients!$BT$77,Nutrients!$BT$78)))))*AA$8))/2000</f>
        <v>0.3496896942806364</v>
      </c>
      <c r="AB307" s="23">
        <f>(SUMPRODUCT(AB$9:AB$229,Nutrients!$BT$8:$BT$228)+(IF($A$7=Nutrients!$B$8,Nutrients!$BT$8,Nutrients!$BT$9)*AB$7)+(((IF($A$8=Nutrients!$B$79,Nutrients!$BT$79,(IF($A$8=Nutrients!$B$77,Nutrients!$BT$77,Nutrients!$BT$78)))))*AB$8))/2000</f>
        <v>0.31085636054251664</v>
      </c>
      <c r="AD307" s="23">
        <f>(SUMPRODUCT(AD$9:AD$229,Nutrients!$BT$8:$BT$228)+(IF($A$7=Nutrients!$B$8,Nutrients!$BT$8,Nutrients!$BT$9)*AD$7)+(((IF($A$8=Nutrients!$B$79,Nutrients!$BT$79,(IF($A$8=Nutrients!$B$77,Nutrients!$BT$77,Nutrients!$BT$78)))))*AD$8))/2000</f>
        <v>0.36535751479595047</v>
      </c>
      <c r="AE307" s="23">
        <f>(SUMPRODUCT(AE$9:AE$229,Nutrients!$BT$8:$BT$228)+(IF($A$7=Nutrients!$B$8,Nutrients!$BT$8,Nutrients!$BT$9)*AE$7)+(((IF($A$8=Nutrients!$B$79,Nutrients!$BT$79,(IF($A$8=Nutrients!$B$77,Nutrients!$BT$77,Nutrients!$BT$78)))))*AE$8))/2000</f>
        <v>0.36489519862338887</v>
      </c>
      <c r="AF307" s="23">
        <f>(SUMPRODUCT(AF$9:AF$229,Nutrients!$BT$8:$BT$228)+(IF($A$7=Nutrients!$B$8,Nutrients!$BT$8,Nutrients!$BT$9)*AF$7)+(((IF($A$8=Nutrients!$B$79,Nutrients!$BT$79,(IF($A$8=Nutrients!$B$77,Nutrients!$BT$77,Nutrients!$BT$78)))))*AF$8))/2000</f>
        <v>0.36370888033473975</v>
      </c>
      <c r="AG307" s="23">
        <f>(SUMPRODUCT(AG$9:AG$229,Nutrients!$BT$8:$BT$228)+(IF($A$7=Nutrients!$B$8,Nutrients!$BT$8,Nutrients!$BT$9)*AG$7)+(((IF($A$8=Nutrients!$B$79,Nutrients!$BT$79,(IF($A$8=Nutrients!$B$77,Nutrients!$BT$77,Nutrients!$BT$78)))))*AG$8))/2000</f>
        <v>0.36312684661082534</v>
      </c>
      <c r="AH307" s="23">
        <f>(SUMPRODUCT(AH$9:AH$229,Nutrients!$BT$8:$BT$228)+(IF($A$7=Nutrients!$B$8,Nutrients!$BT$8,Nutrients!$BT$9)*AH$7)+(((IF($A$8=Nutrients!$B$79,Nutrients!$BT$79,(IF($A$8=Nutrients!$B$77,Nutrients!$BT$77,Nutrients!$BT$78)))))*AH$8))/2000</f>
        <v>0.36217224288400485</v>
      </c>
      <c r="AI307" s="23">
        <f>(SUMPRODUCT(AI$9:AI$229,Nutrients!$BT$8:$BT$228)+(IF($A$7=Nutrients!$B$8,Nutrients!$BT$8,Nutrients!$BT$9)*AI$7)+(((IF($A$8=Nutrients!$B$79,Nutrients!$BT$79,(IF($A$8=Nutrients!$B$77,Nutrients!$BT$77,Nutrients!$BT$78)))))*AI$8))/2000</f>
        <v>0.31085636054251664</v>
      </c>
      <c r="AK307" s="23">
        <f>(SUMPRODUCT(AK$9:AK$229,Nutrients!$BT$8:$BT$228)+(IF($A$7=Nutrients!$B$8,Nutrients!$BT$8,Nutrients!$BT$9)*AK$7)+(((IF($A$8=Nutrients!$B$79,Nutrients!$BT$79,(IF($A$8=Nutrients!$B$77,Nutrients!$BT$77,Nutrients!$BT$78)))))*AK$8))/2000</f>
        <v>0.37789041009733776</v>
      </c>
      <c r="AL307" s="23">
        <f>(SUMPRODUCT(AL$9:AL$229,Nutrients!$BT$8:$BT$228)+(IF($A$7=Nutrients!$B$8,Nutrients!$BT$8,Nutrients!$BT$9)*AL$7)+(((IF($A$8=Nutrients!$B$79,Nutrients!$BT$79,(IF($A$8=Nutrients!$B$77,Nutrients!$BT$77,Nutrients!$BT$78)))))*AL$8))/2000</f>
        <v>0.37743504661018573</v>
      </c>
      <c r="AM307" s="23">
        <f>(SUMPRODUCT(AM$9:AM$229,Nutrients!$BT$8:$BT$228)+(IF($A$7=Nutrients!$B$8,Nutrients!$BT$8,Nutrients!$BT$9)*AM$7)+(((IF($A$8=Nutrients!$B$79,Nutrients!$BT$79,(IF($A$8=Nutrients!$B$77,Nutrients!$BT$77,Nutrients!$BT$78)))))*AM$8))/2000</f>
        <v>0.37624502621386391</v>
      </c>
      <c r="AN307" s="23">
        <f>(SUMPRODUCT(AN$9:AN$229,Nutrients!$BT$8:$BT$228)+(IF($A$7=Nutrients!$B$8,Nutrients!$BT$8,Nutrients!$BT$9)*AN$7)+(((IF($A$8=Nutrients!$B$79,Nutrients!$BT$79,(IF($A$8=Nutrients!$B$77,Nutrients!$BT$77,Nutrients!$BT$78)))))*AN$8))/2000</f>
        <v>0.37561577151326347</v>
      </c>
      <c r="AO307" s="23">
        <f>(SUMPRODUCT(AO$9:AO$229,Nutrients!$BT$8:$BT$228)+(IF($A$7=Nutrients!$B$8,Nutrients!$BT$8,Nutrients!$BT$9)*AO$7)+(((IF($A$8=Nutrients!$B$79,Nutrients!$BT$79,(IF($A$8=Nutrients!$B$77,Nutrients!$BT$77,Nutrients!$BT$78)))))*AO$8))/2000</f>
        <v>0.37464072195363507</v>
      </c>
      <c r="AP307" s="23">
        <f>(SUMPRODUCT(AP$9:AP$229,Nutrients!$BT$8:$BT$228)+(IF($A$7=Nutrients!$B$8,Nutrients!$BT$8,Nutrients!$BT$9)*AP$7)+(((IF($A$8=Nutrients!$B$79,Nutrients!$BT$79,(IF($A$8=Nutrients!$B$77,Nutrients!$BT$77,Nutrients!$BT$78)))))*AP$8))/2000</f>
        <v>0.31085636054251664</v>
      </c>
      <c r="AR307" s="23">
        <f>(SUMPRODUCT(AR$9:AR$229,Nutrients!$BT$8:$BT$228)+(IF($A$7=Nutrients!$B$8,Nutrients!$BT$8,Nutrients!$BT$9)*AR$7)+(((IF($A$8=Nutrients!$B$79,Nutrients!$BT$79,(IF($A$8=Nutrients!$B$77,Nutrients!$BT$77,Nutrients!$BT$78)))))*AR$8))/2000</f>
        <v>0.39043330332443382</v>
      </c>
      <c r="AS307" s="23">
        <f>(SUMPRODUCT(AS$9:AS$229,Nutrients!$BT$8:$BT$228)+(IF($A$7=Nutrients!$B$8,Nutrients!$BT$8,Nutrients!$BT$9)*AS$7)+(((IF($A$8=Nutrients!$B$79,Nutrients!$BT$79,(IF($A$8=Nutrients!$B$77,Nutrients!$BT$77,Nutrients!$BT$78)))))*AS$8))/2000</f>
        <v>0.38997514213088402</v>
      </c>
      <c r="AT307" s="23">
        <f>(SUMPRODUCT(AT$9:AT$229,Nutrients!$BT$8:$BT$228)+(IF($A$7=Nutrients!$B$8,Nutrients!$BT$8,Nutrients!$BT$9)*AT$7)+(((IF($A$8=Nutrients!$B$79,Nutrients!$BT$79,(IF($A$8=Nutrients!$B$77,Nutrients!$BT$77,Nutrients!$BT$78)))))*AT$8))/2000</f>
        <v>0.38876987841500377</v>
      </c>
      <c r="AU307" s="23">
        <f>(SUMPRODUCT(AU$9:AU$229,Nutrients!$BT$8:$BT$228)+(IF($A$7=Nutrients!$B$8,Nutrients!$BT$8,Nutrients!$BT$9)*AU$7)+(((IF($A$8=Nutrients!$B$79,Nutrients!$BT$79,(IF($A$8=Nutrients!$B$77,Nutrients!$BT$77,Nutrients!$BT$78)))))*AU$8))/2000</f>
        <v>0.38808457330855944</v>
      </c>
      <c r="AV307" s="23">
        <f>(SUMPRODUCT(AV$9:AV$229,Nutrients!$BT$8:$BT$228)+(IF($A$7=Nutrients!$B$8,Nutrients!$BT$8,Nutrients!$BT$9)*AV$7)+(((IF($A$8=Nutrients!$B$79,Nutrients!$BT$79,(IF($A$8=Nutrients!$B$77,Nutrients!$BT$77,Nutrients!$BT$78)))))*AV$8))/2000</f>
        <v>0.38710814278484379</v>
      </c>
      <c r="AW307" s="23">
        <f>(SUMPRODUCT(AW$9:AW$229,Nutrients!$BT$8:$BT$228)+(IF($A$7=Nutrients!$B$8,Nutrients!$BT$8,Nutrients!$BT$9)*AW$7)+(((IF($A$8=Nutrients!$B$79,Nutrients!$BT$79,(IF($A$8=Nutrients!$B$77,Nutrients!$BT$77,Nutrients!$BT$78)))))*AW$8))/2000</f>
        <v>0.31085636054251664</v>
      </c>
    </row>
    <row r="308" spans="1:49" x14ac:dyDescent="0.25">
      <c r="A308" t="s">
        <v>67</v>
      </c>
      <c r="B308" s="23">
        <f>(SUMPRODUCT(B$9:B$229,Nutrients!$BU$8:$BU$228)+(IF($A$7=Nutrients!$B$8,Nutrients!$BU$8,Nutrients!$BU$9)*B$7)+(((IF($A$8=Nutrients!$B$79,Nutrients!$BU$79,(IF($A$8=Nutrients!$B$77,Nutrients!$BU$77,Nutrients!$BU$78)))))*B$8))/2000</f>
        <v>0.90672227094333946</v>
      </c>
      <c r="C308" s="23">
        <f>(SUMPRODUCT(C$9:C$229,Nutrients!$BU$8:$BU$228)+(IF($A$7=Nutrients!$B$8,Nutrients!$BU$8,Nutrients!$BU$9)*C$7)+(((IF($A$8=Nutrients!$B$79,Nutrients!$BU$79,(IF($A$8=Nutrients!$B$77,Nutrients!$BU$77,Nutrients!$BU$78)))))*C$8))/2000</f>
        <v>0.80119571619411978</v>
      </c>
      <c r="D308" s="23">
        <f>(SUMPRODUCT(D$9:D$229,Nutrients!$BU$8:$BU$228)+(IF($A$7=Nutrients!$B$8,Nutrients!$BU$8,Nutrients!$BU$9)*D$7)+(((IF($A$8=Nutrients!$B$79,Nutrients!$BU$79,(IF($A$8=Nutrients!$B$77,Nutrients!$BU$77,Nutrients!$BU$78)))))*D$8))/2000</f>
        <v>0.71030836475916248</v>
      </c>
      <c r="E308" s="23">
        <f>(SUMPRODUCT(E$9:E$229,Nutrients!$BU$8:$BU$228)+(IF($A$7=Nutrients!$B$8,Nutrients!$BU$8,Nutrients!$BU$9)*E$7)+(((IF($A$8=Nutrients!$B$79,Nutrients!$BU$79,(IF($A$8=Nutrients!$B$77,Nutrients!$BU$77,Nutrients!$BU$78)))))*E$8))/2000</f>
        <v>0.63370500360255355</v>
      </c>
      <c r="F308" s="23">
        <f>(SUMPRODUCT(F$9:F$229,Nutrients!$BU$8:$BU$228)+(IF($A$7=Nutrients!$B$8,Nutrients!$BU$8,Nutrients!$BU$9)*F$7)+(((IF($A$8=Nutrients!$B$79,Nutrients!$BU$79,(IF($A$8=Nutrients!$B$77,Nutrients!$BU$77,Nutrients!$BU$78)))))*F$8))/2000</f>
        <v>0.58276518762548057</v>
      </c>
      <c r="G308" s="23">
        <f>(SUMPRODUCT(G$9:G$229,Nutrients!$BU$8:$BU$228)+(IF($A$7=Nutrients!$B$8,Nutrients!$BU$8,Nutrients!$BU$9)*G$7)+(((IF($A$8=Nutrients!$B$79,Nutrients!$BU$79,(IF($A$8=Nutrients!$B$77,Nutrients!$BU$77,Nutrients!$BU$78)))))*G$8))/2000</f>
        <v>0.55679357869744972</v>
      </c>
      <c r="H308" s="227"/>
      <c r="I308" s="23">
        <f>(SUMPRODUCT(I$9:I$229,Nutrients!$BU$8:$BU$228)+(IF($A$7=Nutrients!$B$8,Nutrients!$BU$8,Nutrients!$BU$9)*I$7)+(((IF($A$8=Nutrients!$B$79,Nutrients!$BU$79,(IF($A$8=Nutrients!$B$77,Nutrients!$BU$77,Nutrients!$BU$78)))))*I$8))/2000</f>
        <v>0.90643292507164752</v>
      </c>
      <c r="J308" s="23">
        <f>(SUMPRODUCT(J$9:J$229,Nutrients!$BU$8:$BU$228)+(IF($A$7=Nutrients!$B$8,Nutrients!$BU$8,Nutrients!$BU$9)*J$7)+(((IF($A$8=Nutrients!$B$79,Nutrients!$BU$79,(IF($A$8=Nutrients!$B$77,Nutrients!$BU$77,Nutrients!$BU$78)))))*J$8))/2000</f>
        <v>0.80089626477003872</v>
      </c>
      <c r="K308" s="23">
        <f>(SUMPRODUCT(K$9:K$229,Nutrients!$BU$8:$BU$228)+(IF($A$7=Nutrients!$B$8,Nutrients!$BU$8,Nutrients!$BU$9)*K$7)+(((IF($A$8=Nutrients!$B$79,Nutrients!$BU$79,(IF($A$8=Nutrients!$B$77,Nutrients!$BU$77,Nutrients!$BU$78)))))*K$8))/2000</f>
        <v>0.71000818158492163</v>
      </c>
      <c r="L308" s="23">
        <f>(SUMPRODUCT(L$9:L$229,Nutrients!$BU$8:$BU$228)+(IF($A$7=Nutrients!$B$8,Nutrients!$BU$8,Nutrients!$BU$9)*L$7)+(((IF($A$8=Nutrients!$B$79,Nutrients!$BU$79,(IF($A$8=Nutrients!$B$77,Nutrients!$BU$77,Nutrients!$BU$78)))))*L$8))/2000</f>
        <v>0.63342802222851446</v>
      </c>
      <c r="M308" s="23">
        <f>(SUMPRODUCT(M$9:M$229,Nutrients!$BU$8:$BU$228)+(IF($A$7=Nutrients!$B$8,Nutrients!$BU$8,Nutrients!$BU$9)*M$7)+(((IF($A$8=Nutrients!$B$79,Nutrients!$BU$79,(IF($A$8=Nutrients!$B$77,Nutrients!$BU$77,Nutrients!$BU$78)))))*M$8))/2000</f>
        <v>0.58247763217707049</v>
      </c>
      <c r="N308" s="23">
        <f>(SUMPRODUCT(N$9:N$229,Nutrients!$BU$8:$BU$228)+(IF($A$7=Nutrients!$B$8,Nutrients!$BU$8,Nutrients!$BU$9)*N$7)+(((IF($A$8=Nutrients!$B$79,Nutrients!$BU$79,(IF($A$8=Nutrients!$B$77,Nutrients!$BU$77,Nutrients!$BU$78)))))*N$8))/2000</f>
        <v>0.55679357869744972</v>
      </c>
      <c r="O308" s="198"/>
      <c r="P308" s="23">
        <f>(SUMPRODUCT(P$9:P$229,Nutrients!$BU$8:$BU$228)+(IF($A$7=Nutrients!$B$8,Nutrients!$BU$8,Nutrients!$BU$9)*P$7)+(((IF($A$8=Nutrients!$B$79,Nutrients!$BU$79,(IF($A$8=Nutrients!$B$77,Nutrients!$BU$77,Nutrients!$BU$78)))))*P$8))/2000</f>
        <v>0.90613375404651042</v>
      </c>
      <c r="Q308" s="23">
        <f>(SUMPRODUCT(Q$9:Q$229,Nutrients!$BU$8:$BU$228)+(IF($A$7=Nutrients!$B$8,Nutrients!$BU$8,Nutrients!$BU$9)*Q$7)+(((IF($A$8=Nutrients!$B$79,Nutrients!$BU$79,(IF($A$8=Nutrients!$B$77,Nutrients!$BU$77,Nutrients!$BU$78)))))*Q$8))/2000</f>
        <v>0.80059377512913465</v>
      </c>
      <c r="R308" s="23">
        <f>(SUMPRODUCT(R$9:R$229,Nutrients!$BU$8:$BU$228)+(IF($A$7=Nutrients!$B$8,Nutrients!$BU$8,Nutrients!$BU$9)*R$7)+(((IF($A$8=Nutrients!$B$79,Nutrients!$BU$79,(IF($A$8=Nutrients!$B$77,Nutrients!$BU$77,Nutrients!$BU$78)))))*R$8))/2000</f>
        <v>0.70970068284343757</v>
      </c>
      <c r="S308" s="23">
        <f>(SUMPRODUCT(S$9:S$229,Nutrients!$BU$8:$BU$228)+(IF($A$7=Nutrients!$B$8,Nutrients!$BU$8,Nutrients!$BU$9)*S$7)+(((IF($A$8=Nutrients!$B$79,Nutrients!$BU$79,(IF($A$8=Nutrients!$B$77,Nutrients!$BU$77,Nutrients!$BU$78)))))*S$8))/2000</f>
        <v>0.63312249372849194</v>
      </c>
      <c r="T308" s="23">
        <f>(SUMPRODUCT(T$9:T$229,Nutrients!$BU$8:$BU$228)+(IF($A$7=Nutrients!$B$8,Nutrients!$BU$8,Nutrients!$BU$9)*T$7)+(((IF($A$8=Nutrients!$B$79,Nutrients!$BU$79,(IF($A$8=Nutrients!$B$77,Nutrients!$BU$77,Nutrients!$BU$78)))))*T$8))/2000</f>
        <v>0.58216719089479552</v>
      </c>
      <c r="U308" s="23">
        <f>(SUMPRODUCT(U$9:U$229,Nutrients!$BU$8:$BU$228)+(IF($A$7=Nutrients!$B$8,Nutrients!$BU$8,Nutrients!$BU$9)*U$7)+(((IF($A$8=Nutrients!$B$79,Nutrients!$BU$79,(IF($A$8=Nutrients!$B$77,Nutrients!$BU$77,Nutrients!$BU$78)))))*U$8))/2000</f>
        <v>0.55679357869744972</v>
      </c>
      <c r="W308" s="23">
        <f>(SUMPRODUCT(W$9:W$229,Nutrients!$BU$8:$BU$228)+(IF($A$7=Nutrients!$B$8,Nutrients!$BU$8,Nutrients!$BU$9)*W$7)+(((IF($A$8=Nutrients!$B$79,Nutrients!$BU$79,(IF($A$8=Nutrients!$B$77,Nutrients!$BU$77,Nutrients!$BU$78)))))*W$8))/2000</f>
        <v>0.90583196476457739</v>
      </c>
      <c r="X308" s="23">
        <f>(SUMPRODUCT(X$9:X$229,Nutrients!$BU$8:$BU$228)+(IF($A$7=Nutrients!$B$8,Nutrients!$BU$8,Nutrients!$BU$9)*X$7)+(((IF($A$8=Nutrients!$B$79,Nutrients!$BU$79,(IF($A$8=Nutrients!$B$77,Nutrients!$BU$77,Nutrients!$BU$78)))))*X$8))/2000</f>
        <v>0.80028814296820305</v>
      </c>
      <c r="Y308" s="23">
        <f>(SUMPRODUCT(Y$9:Y$229,Nutrients!$BU$8:$BU$228)+(IF($A$7=Nutrients!$B$8,Nutrients!$BU$8,Nutrients!$BU$9)*Y$7)+(((IF($A$8=Nutrients!$B$79,Nutrients!$BU$79,(IF($A$8=Nutrients!$B$77,Nutrients!$BU$77,Nutrients!$BU$78)))))*Y$8))/2000</f>
        <v>0.70939908489192138</v>
      </c>
      <c r="Z308" s="23">
        <f>(SUMPRODUCT(Z$9:Z$229,Nutrients!$BU$8:$BU$228)+(IF($A$7=Nutrients!$B$8,Nutrients!$BU$8,Nutrients!$BU$9)*Z$7)+(((IF($A$8=Nutrients!$B$79,Nutrients!$BU$79,(IF($A$8=Nutrients!$B$77,Nutrients!$BU$77,Nutrients!$BU$78)))))*Z$8))/2000</f>
        <v>0.63282455248127445</v>
      </c>
      <c r="AA308" s="23">
        <f>(SUMPRODUCT(AA$9:AA$229,Nutrients!$BU$8:$BU$228)+(IF($A$7=Nutrients!$B$8,Nutrients!$BU$8,Nutrients!$BU$9)*AA$7)+(((IF($A$8=Nutrients!$B$79,Nutrients!$BU$79,(IF($A$8=Nutrients!$B$77,Nutrients!$BU$77,Nutrients!$BU$78)))))*AA$8))/2000</f>
        <v>0.58184898338048263</v>
      </c>
      <c r="AB308" s="23">
        <f>(SUMPRODUCT(AB$9:AB$229,Nutrients!$BU$8:$BU$228)+(IF($A$7=Nutrients!$B$8,Nutrients!$BU$8,Nutrients!$BU$9)*AB$7)+(((IF($A$8=Nutrients!$B$79,Nutrients!$BU$79,(IF($A$8=Nutrients!$B$77,Nutrients!$BU$77,Nutrients!$BU$78)))))*AB$8))/2000</f>
        <v>0.55679357869744972</v>
      </c>
      <c r="AD308" s="23">
        <f>(SUMPRODUCT(AD$9:AD$229,Nutrients!$BU$8:$BU$228)+(IF($A$7=Nutrients!$B$8,Nutrients!$BU$8,Nutrients!$BU$9)*AD$7)+(((IF($A$8=Nutrients!$B$79,Nutrients!$BU$79,(IF($A$8=Nutrients!$B$77,Nutrients!$BU$77,Nutrients!$BU$78)))))*AD$8))/2000</f>
        <v>0.90552616200089908</v>
      </c>
      <c r="AE308" s="23">
        <f>(SUMPRODUCT(AE$9:AE$229,Nutrients!$BU$8:$BU$228)+(IF($A$7=Nutrients!$B$8,Nutrients!$BU$8,Nutrients!$BU$9)*AE$7)+(((IF($A$8=Nutrients!$B$79,Nutrients!$BU$79,(IF($A$8=Nutrients!$B$77,Nutrients!$BU$77,Nutrients!$BU$78)))))*AE$8))/2000</f>
        <v>0.79998375672639099</v>
      </c>
      <c r="AF308" s="23">
        <f>(SUMPRODUCT(AF$9:AF$229,Nutrients!$BU$8:$BU$228)+(IF($A$7=Nutrients!$B$8,Nutrients!$BU$8,Nutrients!$BU$9)*AF$7)+(((IF($A$8=Nutrients!$B$79,Nutrients!$BU$79,(IF($A$8=Nutrients!$B$77,Nutrients!$BU$77,Nutrients!$BU$78)))))*AF$8))/2000</f>
        <v>0.7091064805417141</v>
      </c>
      <c r="AG308" s="23">
        <f>(SUMPRODUCT(AG$9:AG$229,Nutrients!$BU$8:$BU$228)+(IF($A$7=Nutrients!$B$8,Nutrients!$BU$8,Nutrients!$BU$9)*AG$7)+(((IF($A$8=Nutrients!$B$79,Nutrients!$BU$79,(IF($A$8=Nutrients!$B$77,Nutrients!$BU$77,Nutrients!$BU$78)))))*AG$8))/2000</f>
        <v>0.6325017312090474</v>
      </c>
      <c r="AH308" s="23">
        <f>(SUMPRODUCT(AH$9:AH$229,Nutrients!$BU$8:$BU$228)+(IF($A$7=Nutrients!$B$8,Nutrients!$BU$8,Nutrients!$BU$9)*AH$7)+(((IF($A$8=Nutrients!$B$79,Nutrients!$BU$79,(IF($A$8=Nutrients!$B$77,Nutrients!$BU$77,Nutrients!$BU$78)))))*AH$8))/2000</f>
        <v>0.58143545590533219</v>
      </c>
      <c r="AI308" s="23">
        <f>(SUMPRODUCT(AI$9:AI$229,Nutrients!$BU$8:$BU$228)+(IF($A$7=Nutrients!$B$8,Nutrients!$BU$8,Nutrients!$BU$9)*AI$7)+(((IF($A$8=Nutrients!$B$79,Nutrients!$BU$79,(IF($A$8=Nutrients!$B$77,Nutrients!$BU$77,Nutrients!$BU$78)))))*AI$8))/2000</f>
        <v>0.55679357869744972</v>
      </c>
      <c r="AK308" s="23">
        <f>(SUMPRODUCT(AK$9:AK$229,Nutrients!$BU$8:$BU$228)+(IF($A$7=Nutrients!$B$8,Nutrients!$BU$8,Nutrients!$BU$9)*AK$7)+(((IF($A$8=Nutrients!$B$79,Nutrients!$BU$79,(IF($A$8=Nutrients!$B$77,Nutrients!$BU$77,Nutrients!$BU$78)))))*AK$8))/2000</f>
        <v>0.90519741287315858</v>
      </c>
      <c r="AL308" s="23">
        <f>(SUMPRODUCT(AL$9:AL$229,Nutrients!$BU$8:$BU$228)+(IF($A$7=Nutrients!$B$8,Nutrients!$BU$8,Nutrients!$BU$9)*AL$7)+(((IF($A$8=Nutrients!$B$79,Nutrients!$BU$79,(IF($A$8=Nutrients!$B$77,Nutrients!$BU$77,Nutrients!$BU$78)))))*AL$8))/2000</f>
        <v>0.79967930319677516</v>
      </c>
      <c r="AM308" s="23">
        <f>(SUMPRODUCT(AM$9:AM$229,Nutrients!$BU$8:$BU$228)+(IF($A$7=Nutrients!$B$8,Nutrients!$BU$8,Nutrients!$BU$9)*AM$7)+(((IF($A$8=Nutrients!$B$79,Nutrients!$BU$79,(IF($A$8=Nutrients!$B$77,Nutrients!$BU$77,Nutrients!$BU$78)))))*AM$8))/2000</f>
        <v>0.70878909029557324</v>
      </c>
      <c r="AN308" s="23">
        <f>(SUMPRODUCT(AN$9:AN$229,Nutrients!$BU$8:$BU$228)+(IF($A$7=Nutrients!$B$8,Nutrients!$BU$8,Nutrients!$BU$9)*AN$7)+(((IF($A$8=Nutrients!$B$79,Nutrients!$BU$79,(IF($A$8=Nutrients!$B$77,Nutrients!$BU$77,Nutrients!$BU$78)))))*AN$8))/2000</f>
        <v>0.63210648529826008</v>
      </c>
      <c r="AO308" s="23">
        <f>(SUMPRODUCT(AO$9:AO$229,Nutrients!$BU$8:$BU$228)+(IF($A$7=Nutrients!$B$8,Nutrients!$BU$8,Nutrients!$BU$9)*AO$7)+(((IF($A$8=Nutrients!$B$79,Nutrients!$BU$79,(IF($A$8=Nutrients!$B$77,Nutrients!$BU$77,Nutrients!$BU$78)))))*AO$8))/2000</f>
        <v>0.58098993280620703</v>
      </c>
      <c r="AP308" s="23">
        <f>(SUMPRODUCT(AP$9:AP$229,Nutrients!$BU$8:$BU$228)+(IF($A$7=Nutrients!$B$8,Nutrients!$BU$8,Nutrients!$BU$9)*AP$7)+(((IF($A$8=Nutrients!$B$79,Nutrients!$BU$79,(IF($A$8=Nutrients!$B$77,Nutrients!$BU$77,Nutrients!$BU$78)))))*AP$8))/2000</f>
        <v>0.55679357869744972</v>
      </c>
      <c r="AR308" s="23">
        <f>(SUMPRODUCT(AR$9:AR$229,Nutrients!$BU$8:$BU$228)+(IF($A$7=Nutrients!$B$8,Nutrients!$BU$8,Nutrients!$BU$9)*AR$7)+(((IF($A$8=Nutrients!$B$79,Nutrients!$BU$79,(IF($A$8=Nutrients!$B$77,Nutrients!$BU$77,Nutrients!$BU$78)))))*AR$8))/2000</f>
        <v>0.90490375236424492</v>
      </c>
      <c r="AS308" s="23">
        <f>(SUMPRODUCT(AS$9:AS$229,Nutrients!$BU$8:$BU$228)+(IF($A$7=Nutrients!$B$8,Nutrients!$BU$8,Nutrients!$BU$9)*AS$7)+(((IF($A$8=Nutrients!$B$79,Nutrients!$BU$79,(IF($A$8=Nutrients!$B$77,Nutrients!$BU$77,Nutrients!$BU$78)))))*AS$8))/2000</f>
        <v>0.79937586632861191</v>
      </c>
      <c r="AT308" s="23">
        <f>(SUMPRODUCT(AT$9:AT$229,Nutrients!$BU$8:$BU$228)+(IF($A$7=Nutrients!$B$8,Nutrients!$BU$8,Nutrients!$BU$9)*AT$7)+(((IF($A$8=Nutrients!$B$79,Nutrients!$BU$79,(IF($A$8=Nutrients!$B$77,Nutrients!$BU$77,Nutrients!$BU$78)))))*AT$8))/2000</f>
        <v>0.70846105990456132</v>
      </c>
      <c r="AU308" s="23">
        <f>(SUMPRODUCT(AU$9:AU$229,Nutrients!$BU$8:$BU$228)+(IF($A$7=Nutrients!$B$8,Nutrients!$BU$8,Nutrients!$BU$9)*AU$7)+(((IF($A$8=Nutrients!$B$79,Nutrients!$BU$79,(IF($A$8=Nutrients!$B$77,Nutrients!$BU$77,Nutrients!$BU$78)))))*AU$8))/2000</f>
        <v>0.63166215389253555</v>
      </c>
      <c r="AV308" s="23">
        <f>(SUMPRODUCT(AV$9:AV$229,Nutrients!$BU$8:$BU$228)+(IF($A$7=Nutrients!$B$8,Nutrients!$BU$8,Nutrients!$BU$9)*AV$7)+(((IF($A$8=Nutrients!$B$79,Nutrients!$BU$79,(IF($A$8=Nutrients!$B$77,Nutrients!$BU$77,Nutrients!$BU$78)))))*AV$8))/2000</f>
        <v>0.58054071106827532</v>
      </c>
      <c r="AW308" s="23">
        <f>(SUMPRODUCT(AW$9:AW$229,Nutrients!$BU$8:$BU$228)+(IF($A$7=Nutrients!$B$8,Nutrients!$BU$8,Nutrients!$BU$9)*AW$7)+(((IF($A$8=Nutrients!$B$79,Nutrients!$BU$79,(IF($A$8=Nutrients!$B$77,Nutrients!$BU$77,Nutrients!$BU$78)))))*AW$8))/2000</f>
        <v>0.55679357869744972</v>
      </c>
    </row>
    <row r="309" spans="1:49" x14ac:dyDescent="0.25">
      <c r="A309" t="s">
        <v>42</v>
      </c>
      <c r="B309" s="8">
        <f t="shared" ref="B309:G309" si="184">(B306 * 434.98) + (B308* 255.74) - (B307*282.06)</f>
        <v>220.57763988748351</v>
      </c>
      <c r="C309" s="8">
        <f t="shared" si="184"/>
        <v>192.15600461244421</v>
      </c>
      <c r="D309" s="8">
        <f t="shared" si="184"/>
        <v>167.90252131513171</v>
      </c>
      <c r="E309" s="8">
        <f t="shared" si="184"/>
        <v>147.35122639861532</v>
      </c>
      <c r="F309" s="8">
        <f t="shared" si="184"/>
        <v>133.81760738274346</v>
      </c>
      <c r="G309" s="8">
        <f t="shared" si="184"/>
        <v>127.13493264786482</v>
      </c>
      <c r="H309" s="8"/>
      <c r="I309" s="8">
        <f t="shared" ref="I309:N309" si="185">(I306 * 434.98) + (I308* 255.74) - (I307*282.06)</f>
        <v>220.18392723361302</v>
      </c>
      <c r="J309" s="8">
        <f t="shared" si="185"/>
        <v>191.76075494599445</v>
      </c>
      <c r="K309" s="8">
        <f t="shared" si="185"/>
        <v>167.49485458369429</v>
      </c>
      <c r="L309" s="8">
        <f t="shared" si="185"/>
        <v>146.94447543346809</v>
      </c>
      <c r="M309" s="8">
        <f t="shared" si="185"/>
        <v>133.41506850408234</v>
      </c>
      <c r="N309" s="8">
        <f t="shared" si="185"/>
        <v>127.13493264786482</v>
      </c>
      <c r="O309" s="8"/>
      <c r="P309" s="8">
        <f t="shared" ref="P309:U309" si="186">(P306 * 434.98) + (P308* 255.74) - (P307*282.06)</f>
        <v>219.78339872741674</v>
      </c>
      <c r="Q309" s="8">
        <f t="shared" si="186"/>
        <v>191.35951800162624</v>
      </c>
      <c r="R309" s="8">
        <f t="shared" si="186"/>
        <v>167.09254832660437</v>
      </c>
      <c r="S309" s="8">
        <f t="shared" si="186"/>
        <v>146.54258977169786</v>
      </c>
      <c r="T309" s="8">
        <f t="shared" si="186"/>
        <v>133.01213409104884</v>
      </c>
      <c r="U309" s="8">
        <f t="shared" si="186"/>
        <v>127.13493264786482</v>
      </c>
      <c r="W309" s="8">
        <f t="shared" ref="W309:AB309" si="187">(W306 * 434.98) + (W308* 255.74) - (W307*282.06)</f>
        <v>219.38231129147732</v>
      </c>
      <c r="X309" s="8">
        <f t="shared" si="187"/>
        <v>190.95761021094739</v>
      </c>
      <c r="Y309" s="8">
        <f t="shared" si="187"/>
        <v>166.69085096512882</v>
      </c>
      <c r="Z309" s="8">
        <f t="shared" si="187"/>
        <v>146.1416730215044</v>
      </c>
      <c r="AA309" s="8">
        <f t="shared" si="187"/>
        <v>132.6068910198164</v>
      </c>
      <c r="AB309" s="8">
        <f t="shared" si="187"/>
        <v>127.13493264786482</v>
      </c>
      <c r="AD309" s="8">
        <f t="shared" ref="AD309:AI309" si="188">(AD306 * 434.98) + (AD308* 255.74) - (AD307*282.06)</f>
        <v>218.98004169674581</v>
      </c>
      <c r="AE309" s="8">
        <f t="shared" si="188"/>
        <v>190.55564300680041</v>
      </c>
      <c r="AF309" s="8">
        <f t="shared" si="188"/>
        <v>166.29139888847357</v>
      </c>
      <c r="AG309" s="8">
        <f t="shared" si="188"/>
        <v>145.73577041773177</v>
      </c>
      <c r="AH309" s="8">
        <f t="shared" si="188"/>
        <v>132.24120848832865</v>
      </c>
      <c r="AI309" s="8">
        <f t="shared" si="188"/>
        <v>127.13493264786482</v>
      </c>
      <c r="AK309" s="8">
        <f t="shared" ref="AK309:AP309" si="189">(AK306 * 434.98) + (AK308* 255.74) - (AK307*282.06)</f>
        <v>218.57271095756249</v>
      </c>
      <c r="AL309" s="8">
        <f t="shared" si="189"/>
        <v>190.15349874605562</v>
      </c>
      <c r="AM309" s="8">
        <f t="shared" si="189"/>
        <v>165.88649297514559</v>
      </c>
      <c r="AN309" s="8">
        <f t="shared" si="189"/>
        <v>145.37135550813844</v>
      </c>
      <c r="AO309" s="8">
        <f t="shared" si="189"/>
        <v>131.87959375430896</v>
      </c>
      <c r="AP309" s="8">
        <f t="shared" si="189"/>
        <v>127.13493264786482</v>
      </c>
      <c r="AR309" s="8">
        <f t="shared" ref="AR309:AW309" si="190">(AR306 * 434.98) + (AR308* 255.74) - (AR307*282.06)</f>
        <v>218.17335880328937</v>
      </c>
      <c r="AS309" s="8">
        <f t="shared" si="190"/>
        <v>189.75205959329841</v>
      </c>
      <c r="AT309" s="8">
        <f t="shared" si="190"/>
        <v>165.49860014718777</v>
      </c>
      <c r="AU309" s="8">
        <f t="shared" si="190"/>
        <v>145.01020097120326</v>
      </c>
      <c r="AV309" s="8">
        <f t="shared" si="190"/>
        <v>131.51718717223437</v>
      </c>
      <c r="AW309" s="8">
        <f t="shared" si="190"/>
        <v>127.13493264786482</v>
      </c>
    </row>
    <row r="310" spans="1:49" x14ac:dyDescent="0.25">
      <c r="A310" t="s">
        <v>73</v>
      </c>
      <c r="B310" s="202">
        <f>(SUMPRODUCT(B$9:B$229,Nutrients!$EG$8:$EG$228)+(IF($A$7=Nutrients!$B$8,Nutrients!$EG$8,Nutrients!$EG$9)*B$7)+(((IF($A$8=Nutrients!$B$79,Nutrients!$EG$79,(IF($A$8=Nutrients!$B$77,Nutrients!$EG$77,Nutrients!$EG$78)))))*B$8))/2000</f>
        <v>0.27113524017910468</v>
      </c>
      <c r="C310" s="202">
        <f>(SUMPRODUCT(C$9:C$229,Nutrients!$EG$8:$EG$228)+(IF($A$7=Nutrients!$B$8,Nutrients!$EG$8,Nutrients!$EG$9)*C$7)+(((IF($A$8=Nutrients!$B$79,Nutrients!$EG$79,(IF($A$8=Nutrients!$B$77,Nutrients!$EG$77,Nutrients!$EG$78)))))*C$8))/2000</f>
        <v>0.25613988263521914</v>
      </c>
      <c r="D310" s="202">
        <f>(SUMPRODUCT(D$9:D$229,Nutrients!$EG$8:$EG$228)+(IF($A$7=Nutrients!$B$8,Nutrients!$EG$8,Nutrients!$EG$9)*D$7)+(((IF($A$8=Nutrients!$B$79,Nutrients!$EG$79,(IF($A$8=Nutrients!$B$77,Nutrients!$EG$77,Nutrients!$EG$78)))))*D$8))/2000</f>
        <v>0.24325948567864156</v>
      </c>
      <c r="E310" s="202">
        <f>(SUMPRODUCT(E$9:E$229,Nutrients!$EG$8:$EG$228)+(IF($A$7=Nutrients!$B$8,Nutrients!$EG$8,Nutrients!$EG$9)*E$7)+(((IF($A$8=Nutrients!$B$79,Nutrients!$EG$79,(IF($A$8=Nutrients!$B$77,Nutrients!$EG$77,Nutrients!$EG$78)))))*E$8))/2000</f>
        <v>0.23238392794271739</v>
      </c>
      <c r="F310" s="202">
        <f>(SUMPRODUCT(F$9:F$229,Nutrients!$EG$8:$EG$228)+(IF($A$7=Nutrients!$B$8,Nutrients!$EG$8,Nutrients!$EG$9)*F$7)+(((IF($A$8=Nutrients!$B$79,Nutrients!$EG$79,(IF($A$8=Nutrients!$B$77,Nutrients!$EG$77,Nutrients!$EG$78)))))*F$8))/2000</f>
        <v>0.2252348701473687</v>
      </c>
      <c r="G310" s="202">
        <f>(SUMPRODUCT(G$9:G$229,Nutrients!$EG$8:$EG$228)+(IF($A$7=Nutrients!$B$8,Nutrients!$EG$8,Nutrients!$EG$9)*G$7)+(((IF($A$8=Nutrients!$B$79,Nutrients!$EG$79,(IF($A$8=Nutrients!$B$77,Nutrients!$EG$77,Nutrients!$EG$78)))))*G$8))/2000</f>
        <v>0.2215364317520549</v>
      </c>
      <c r="H310" s="232"/>
      <c r="I310" s="202">
        <f>(SUMPRODUCT(I$9:I$229,Nutrients!$EG$8:$EG$228)+(IF($A$7=Nutrients!$B$8,Nutrients!$EG$8,Nutrients!$EG$9)*I$7)+(((IF($A$8=Nutrients!$B$79,Nutrients!$EG$79,(IF($A$8=Nutrients!$B$77,Nutrients!$EG$77,Nutrients!$EG$78)))))*I$8))/2000</f>
        <v>0.26548932440567385</v>
      </c>
      <c r="J310" s="202">
        <f>(SUMPRODUCT(J$9:J$229,Nutrients!$EG$8:$EG$228)+(IF($A$7=Nutrients!$B$8,Nutrients!$EG$8,Nutrients!$EG$9)*J$7)+(((IF($A$8=Nutrients!$B$79,Nutrients!$EG$79,(IF($A$8=Nutrients!$B$77,Nutrients!$EG$77,Nutrients!$EG$78)))))*J$8))/2000</f>
        <v>0.25048274395213355</v>
      </c>
      <c r="K310" s="202">
        <f>(SUMPRODUCT(K$9:K$229,Nutrients!$EG$8:$EG$228)+(IF($A$7=Nutrients!$B$8,Nutrients!$EG$8,Nutrients!$EG$9)*K$7)+(((IF($A$8=Nutrients!$B$79,Nutrients!$EG$79,(IF($A$8=Nutrients!$B$77,Nutrients!$EG$77,Nutrients!$EG$78)))))*K$8))/2000</f>
        <v>0.23762260374114752</v>
      </c>
      <c r="L310" s="202">
        <f>(SUMPRODUCT(L$9:L$229,Nutrients!$EG$8:$EG$228)+(IF($A$7=Nutrients!$B$8,Nutrients!$EG$8,Nutrients!$EG$9)*L$7)+(((IF($A$8=Nutrients!$B$79,Nutrients!$EG$79,(IF($A$8=Nutrients!$B$77,Nutrients!$EG$77,Nutrients!$EG$78)))))*L$8))/2000</f>
        <v>0.22677703453639583</v>
      </c>
      <c r="M310" s="202">
        <f>(SUMPRODUCT(M$9:M$229,Nutrients!$EG$8:$EG$228)+(IF($A$7=Nutrients!$B$8,Nutrients!$EG$8,Nutrients!$EG$9)*M$7)+(((IF($A$8=Nutrients!$B$79,Nutrients!$EG$79,(IF($A$8=Nutrients!$B$77,Nutrients!$EG$77,Nutrients!$EG$78)))))*M$8))/2000</f>
        <v>0.21960642930363558</v>
      </c>
      <c r="N310" s="202">
        <f>(SUMPRODUCT(N$9:N$229,Nutrients!$EG$8:$EG$228)+(IF($A$7=Nutrients!$B$8,Nutrients!$EG$8,Nutrients!$EG$9)*N$7)+(((IF($A$8=Nutrients!$B$79,Nutrients!$EG$79,(IF($A$8=Nutrients!$B$77,Nutrients!$EG$77,Nutrients!$EG$78)))))*N$8))/2000</f>
        <v>0.2215364317520549</v>
      </c>
      <c r="O310" s="238"/>
      <c r="P310" s="202">
        <f>(SUMPRODUCT(P$9:P$229,Nutrients!$EG$8:$EG$228)+(IF($A$7=Nutrients!$B$8,Nutrients!$EG$8,Nutrients!$EG$9)*P$7)+(((IF($A$8=Nutrients!$B$79,Nutrients!$EG$79,(IF($A$8=Nutrients!$B$77,Nutrients!$EG$77,Nutrients!$EG$78)))))*P$8))/2000</f>
        <v>0.25984171982992577</v>
      </c>
      <c r="Q310" s="202">
        <f>(SUMPRODUCT(Q$9:Q$229,Nutrients!$EG$8:$EG$228)+(IF($A$7=Nutrients!$B$8,Nutrients!$EG$8,Nutrients!$EG$9)*Q$7)+(((IF($A$8=Nutrients!$B$79,Nutrients!$EG$79,(IF($A$8=Nutrients!$B$77,Nutrients!$EG$77,Nutrients!$EG$78)))))*Q$8))/2000</f>
        <v>0.24483193707260048</v>
      </c>
      <c r="R310" s="202">
        <f>(SUMPRODUCT(R$9:R$229,Nutrients!$EG$8:$EG$228)+(IF($A$7=Nutrients!$B$8,Nutrients!$EG$8,Nutrients!$EG$9)*R$7)+(((IF($A$8=Nutrients!$B$79,Nutrients!$EG$79,(IF($A$8=Nutrients!$B$77,Nutrients!$EG$77,Nutrients!$EG$78)))))*R$8))/2000</f>
        <v>0.23196696332170727</v>
      </c>
      <c r="S310" s="202">
        <f>(SUMPRODUCT(S$9:S$229,Nutrients!$EG$8:$EG$228)+(IF($A$7=Nutrients!$B$8,Nutrients!$EG$8,Nutrients!$EG$9)*S$7)+(((IF($A$8=Nutrients!$B$79,Nutrients!$EG$79,(IF($A$8=Nutrients!$B$77,Nutrients!$EG$77,Nutrients!$EG$78)))))*S$8))/2000</f>
        <v>0.22112329530471947</v>
      </c>
      <c r="T310" s="202">
        <f>(SUMPRODUCT(T$9:T$229,Nutrients!$EG$8:$EG$228)+(IF($A$7=Nutrients!$B$8,Nutrients!$EG$8,Nutrients!$EG$9)*T$7)+(((IF($A$8=Nutrients!$B$79,Nutrients!$EG$79,(IF($A$8=Nutrients!$B$77,Nutrients!$EG$77,Nutrients!$EG$78)))))*T$8))/2000</f>
        <v>0.21394794947458215</v>
      </c>
      <c r="U310" s="202">
        <f>(SUMPRODUCT(U$9:U$229,Nutrients!$EG$8:$EG$228)+(IF($A$7=Nutrients!$B$8,Nutrients!$EG$8,Nutrients!$EG$9)*U$7)+(((IF($A$8=Nutrients!$B$79,Nutrients!$EG$79,(IF($A$8=Nutrients!$B$77,Nutrients!$EG$77,Nutrients!$EG$78)))))*U$8))/2000</f>
        <v>0.2215364317520549</v>
      </c>
      <c r="W310" s="202">
        <f>(SUMPRODUCT(W$9:W$229,Nutrients!$EG$8:$EG$228)+(IF($A$7=Nutrients!$B$8,Nutrients!$EG$8,Nutrients!$EG$9)*W$7)+(((IF($A$8=Nutrients!$B$79,Nutrients!$EG$79,(IF($A$8=Nutrients!$B$77,Nutrients!$EG$77,Nutrients!$EG$78)))))*W$8))/2000</f>
        <v>0.2541915887629424</v>
      </c>
      <c r="X310" s="202">
        <f>(SUMPRODUCT(X$9:X$229,Nutrients!$EG$8:$EG$228)+(IF($A$7=Nutrients!$B$8,Nutrients!$EG$8,Nutrients!$EG$9)*X$7)+(((IF($A$8=Nutrients!$B$79,Nutrients!$EG$79,(IF($A$8=Nutrients!$B$77,Nutrients!$EG$77,Nutrients!$EG$78)))))*X$8))/2000</f>
        <v>0.23917809781315819</v>
      </c>
      <c r="Y310" s="202">
        <f>(SUMPRODUCT(Y$9:Y$229,Nutrients!$EG$8:$EG$228)+(IF($A$7=Nutrients!$B$8,Nutrients!$EG$8,Nutrients!$EG$9)*Y$7)+(((IF($A$8=Nutrients!$B$79,Nutrients!$EG$79,(IF($A$8=Nutrients!$B$77,Nutrients!$EG$77,Nutrients!$EG$78)))))*Y$8))/2000</f>
        <v>0.22631856080197885</v>
      </c>
      <c r="Z310" s="202">
        <f>(SUMPRODUCT(Z$9:Z$229,Nutrients!$EG$8:$EG$228)+(IF($A$7=Nutrients!$B$8,Nutrients!$EG$8,Nutrients!$EG$9)*Z$7)+(((IF($A$8=Nutrients!$B$79,Nutrients!$EG$79,(IF($A$8=Nutrients!$B$77,Nutrients!$EG$77,Nutrients!$EG$78)))))*Z$8))/2000</f>
        <v>0.21547842132786457</v>
      </c>
      <c r="AA310" s="202">
        <f>(SUMPRODUCT(AA$9:AA$229,Nutrients!$EG$8:$EG$228)+(IF($A$7=Nutrients!$B$8,Nutrients!$EG$8,Nutrients!$EG$9)*AA$7)+(((IF($A$8=Nutrients!$B$79,Nutrients!$EG$79,(IF($A$8=Nutrients!$B$77,Nutrients!$EG$77,Nutrients!$EG$78)))))*AA$8))/2000</f>
        <v>0.2082835195297032</v>
      </c>
      <c r="AB310" s="202">
        <f>(SUMPRODUCT(AB$9:AB$229,Nutrients!$EG$8:$EG$228)+(IF($A$7=Nutrients!$B$8,Nutrients!$EG$8,Nutrients!$EG$9)*AB$7)+(((IF($A$8=Nutrients!$B$79,Nutrients!$EG$79,(IF($A$8=Nutrients!$B$77,Nutrients!$EG$77,Nutrients!$EG$78)))))*AB$8))/2000</f>
        <v>0.2215364317520549</v>
      </c>
      <c r="AD310" s="202">
        <f>(SUMPRODUCT(AD$9:AD$229,Nutrients!$EG$8:$EG$228)+(IF($A$7=Nutrients!$B$8,Nutrients!$EG$8,Nutrients!$EG$9)*AD$7)+(((IF($A$8=Nutrients!$B$79,Nutrients!$EG$79,(IF($A$8=Nutrients!$B$77,Nutrients!$EG$77,Nutrients!$EG$78)))))*AD$8))/2000</f>
        <v>0.24853835684142286</v>
      </c>
      <c r="AE310" s="202">
        <f>(SUMPRODUCT(AE$9:AE$229,Nutrients!$EG$8:$EG$228)+(IF($A$7=Nutrients!$B$8,Nutrients!$EG$8,Nutrients!$EG$9)*AE$7)+(((IF($A$8=Nutrients!$B$79,Nutrients!$EG$79,(IF($A$8=Nutrients!$B$77,Nutrients!$EG$77,Nutrients!$EG$78)))))*AE$8))/2000</f>
        <v>0.2335262327667611</v>
      </c>
      <c r="AF310" s="202">
        <f>(SUMPRODUCT(AF$9:AF$229,Nutrients!$EG$8:$EG$228)+(IF($A$7=Nutrients!$B$8,Nutrients!$EG$8,Nutrients!$EG$9)*AF$7)+(((IF($A$8=Nutrients!$B$79,Nutrients!$EG$79,(IF($A$8=Nutrients!$B$77,Nutrients!$EG$77,Nutrients!$EG$78)))))*AF$8))/2000</f>
        <v>0.22067806471141418</v>
      </c>
      <c r="AG310" s="202">
        <f>(SUMPRODUCT(AG$9:AG$229,Nutrients!$EG$8:$EG$228)+(IF($A$7=Nutrients!$B$8,Nutrients!$EG$8,Nutrients!$EG$9)*AG$7)+(((IF($A$8=Nutrients!$B$79,Nutrients!$EG$79,(IF($A$8=Nutrients!$B$77,Nutrients!$EG$77,Nutrients!$EG$78)))))*AG$8))/2000</f>
        <v>0.20980876736831364</v>
      </c>
      <c r="AH310" s="202">
        <f>(SUMPRODUCT(AH$9:AH$229,Nutrients!$EG$8:$EG$228)+(IF($A$7=Nutrients!$B$8,Nutrients!$EG$8,Nutrients!$EG$9)*AH$7)+(((IF($A$8=Nutrients!$B$79,Nutrients!$EG$79,(IF($A$8=Nutrients!$B$77,Nutrients!$EG$77,Nutrients!$EG$78)))))*AH$8))/2000</f>
        <v>0.20242272290107982</v>
      </c>
      <c r="AI310" s="202">
        <f>(SUMPRODUCT(AI$9:AI$229,Nutrients!$EG$8:$EG$228)+(IF($A$7=Nutrients!$B$8,Nutrients!$EG$8,Nutrients!$EG$9)*AI$7)+(((IF($A$8=Nutrients!$B$79,Nutrients!$EG$79,(IF($A$8=Nutrients!$B$77,Nutrients!$EG$77,Nutrients!$EG$78)))))*AI$8))/2000</f>
        <v>0.2215364317520549</v>
      </c>
      <c r="AK310" s="202">
        <f>(SUMPRODUCT(AK$9:AK$229,Nutrients!$EG$8:$EG$228)+(IF($A$7=Nutrients!$B$8,Nutrients!$EG$8,Nutrients!$EG$9)*AK$7)+(((IF($A$8=Nutrients!$B$79,Nutrients!$EG$79,(IF($A$8=Nutrients!$B$77,Nutrients!$EG$77,Nutrients!$EG$78)))))*AK$8))/2000</f>
        <v>0.24286336876853187</v>
      </c>
      <c r="AL310" s="202">
        <f>(SUMPRODUCT(AL$9:AL$229,Nutrients!$EG$8:$EG$228)+(IF($A$7=Nutrients!$B$8,Nutrients!$EG$8,Nutrients!$EG$9)*AL$7)+(((IF($A$8=Nutrients!$B$79,Nutrients!$EG$79,(IF($A$8=Nutrients!$B$77,Nutrients!$EG$77,Nutrients!$EG$78)))))*AL$8))/2000</f>
        <v>0.22787468877154962</v>
      </c>
      <c r="AM310" s="202">
        <f>(SUMPRODUCT(AM$9:AM$229,Nutrients!$EG$8:$EG$228)+(IF($A$7=Nutrients!$B$8,Nutrients!$EG$8,Nutrients!$EG$9)*AM$7)+(((IF($A$8=Nutrients!$B$79,Nutrients!$EG$79,(IF($A$8=Nutrients!$B$77,Nutrients!$EG$77,Nutrients!$EG$78)))))*AM$8))/2000</f>
        <v>0.21501403741014952</v>
      </c>
      <c r="AN310" s="202">
        <f>(SUMPRODUCT(AN$9:AN$229,Nutrients!$EG$8:$EG$228)+(IF($A$7=Nutrients!$B$8,Nutrients!$EG$8,Nutrients!$EG$9)*AN$7)+(((IF($A$8=Nutrients!$B$79,Nutrients!$EG$79,(IF($A$8=Nutrients!$B$77,Nutrients!$EG$77,Nutrients!$EG$78)))))*AN$8))/2000</f>
        <v>0.20397020896524867</v>
      </c>
      <c r="AO310" s="202">
        <f>(SUMPRODUCT(AO$9:AO$229,Nutrients!$EG$8:$EG$228)+(IF($A$7=Nutrients!$B$8,Nutrients!$EG$8,Nutrients!$EG$9)*AO$7)+(((IF($A$8=Nutrients!$B$79,Nutrients!$EG$79,(IF($A$8=Nutrients!$B$77,Nutrients!$EG$77,Nutrients!$EG$78)))))*AO$8))/2000</f>
        <v>0.19651236352617171</v>
      </c>
      <c r="AP310" s="202">
        <f>(SUMPRODUCT(AP$9:AP$229,Nutrients!$EG$8:$EG$228)+(IF($A$7=Nutrients!$B$8,Nutrients!$EG$8,Nutrients!$EG$9)*AP$7)+(((IF($A$8=Nutrients!$B$79,Nutrients!$EG$79,(IF($A$8=Nutrients!$B$77,Nutrients!$EG$77,Nutrients!$EG$78)))))*AP$8))/2000</f>
        <v>0.2215364317520549</v>
      </c>
      <c r="AR310" s="202">
        <f>(SUMPRODUCT(AR$9:AR$229,Nutrients!$EG$8:$EG$228)+(IF($A$7=Nutrients!$B$8,Nutrients!$EG$8,Nutrients!$EG$9)*AR$7)+(((IF($A$8=Nutrients!$B$79,Nutrients!$EG$79,(IF($A$8=Nutrients!$B$77,Nutrients!$EG$77,Nutrients!$EG$78)))))*AR$8))/2000</f>
        <v>0.23722108157454677</v>
      </c>
      <c r="AS310" s="202">
        <f>(SUMPRODUCT(AS$9:AS$229,Nutrients!$EG$8:$EG$228)+(IF($A$7=Nutrients!$B$8,Nutrients!$EG$8,Nutrients!$EG$9)*AS$7)+(((IF($A$8=Nutrients!$B$79,Nutrients!$EG$79,(IF($A$8=Nutrients!$B$77,Nutrients!$EG$77,Nutrients!$EG$78)))))*AS$8))/2000</f>
        <v>0.22222296786350268</v>
      </c>
      <c r="AT310" s="202">
        <f>(SUMPRODUCT(AT$9:AT$229,Nutrients!$EG$8:$EG$228)+(IF($A$7=Nutrients!$B$8,Nutrients!$EG$8,Nutrients!$EG$9)*AT$7)+(((IF($A$8=Nutrients!$B$79,Nutrients!$EG$79,(IF($A$8=Nutrients!$B$77,Nutrients!$EG$77,Nutrients!$EG$78)))))*AT$8))/2000</f>
        <v>0.20930586329884476</v>
      </c>
      <c r="AU310" s="202">
        <f>(SUMPRODUCT(AU$9:AU$229,Nutrients!$EG$8:$EG$228)+(IF($A$7=Nutrients!$B$8,Nutrients!$EG$8,Nutrients!$EG$9)*AU$7)+(((IF($A$8=Nutrients!$B$79,Nutrients!$EG$79,(IF($A$8=Nutrients!$B$77,Nutrients!$EG$77,Nutrients!$EG$78)))))*AU$8))/2000</f>
        <v>0.19806051126165961</v>
      </c>
      <c r="AV310" s="202">
        <f>(SUMPRODUCT(AV$9:AV$229,Nutrients!$EG$8:$EG$228)+(IF($A$7=Nutrients!$B$8,Nutrients!$EG$8,Nutrients!$EG$9)*AV$7)+(((IF($A$8=Nutrients!$B$79,Nutrients!$EG$79,(IF($A$8=Nutrients!$B$77,Nutrients!$EG$77,Nutrients!$EG$78)))))*AV$8))/2000</f>
        <v>0.19059844056431474</v>
      </c>
      <c r="AW310" s="202">
        <f>(SUMPRODUCT(AW$9:AW$229,Nutrients!$EG$8:$EG$228)+(IF($A$7=Nutrients!$B$8,Nutrients!$EG$8,Nutrients!$EG$9)*AW$7)+(((IF($A$8=Nutrients!$B$79,Nutrients!$EG$79,(IF($A$8=Nutrients!$B$77,Nutrients!$EG$77,Nutrients!$EG$78)))))*AW$8))/2000</f>
        <v>0.2215364317520549</v>
      </c>
    </row>
    <row r="311" spans="1:49" x14ac:dyDescent="0.25">
      <c r="A311" t="s">
        <v>74</v>
      </c>
      <c r="B311" s="23">
        <f t="shared" ref="B311:G311" si="191">B255-B256</f>
        <v>0.31730463701690137</v>
      </c>
      <c r="C311" s="23">
        <f t="shared" si="191"/>
        <v>0.29999736257979814</v>
      </c>
      <c r="D311" s="23">
        <f t="shared" si="191"/>
        <v>0.2851440661893474</v>
      </c>
      <c r="E311" s="23">
        <f t="shared" si="191"/>
        <v>0.27259764867356195</v>
      </c>
      <c r="F311" s="23">
        <f t="shared" si="191"/>
        <v>0.26435033325189533</v>
      </c>
      <c r="G311" s="23">
        <f t="shared" si="191"/>
        <v>0.26008169818001309</v>
      </c>
      <c r="H311" s="227"/>
      <c r="I311" s="23">
        <f t="shared" ref="I311:N311" si="192">I255-I256</f>
        <v>0.33417290051826437</v>
      </c>
      <c r="J311" s="23">
        <f t="shared" si="192"/>
        <v>0.31685276752781666</v>
      </c>
      <c r="K311" s="23">
        <f t="shared" si="192"/>
        <v>0.30202271368400491</v>
      </c>
      <c r="L311" s="23">
        <f t="shared" si="192"/>
        <v>0.28951086787128466</v>
      </c>
      <c r="M311" s="23">
        <f t="shared" si="192"/>
        <v>0.28123871776767945</v>
      </c>
      <c r="N311" s="23">
        <f t="shared" si="192"/>
        <v>0.26008169818001309</v>
      </c>
      <c r="O311" s="198"/>
      <c r="P311" s="23">
        <f t="shared" ref="P311:U311" si="193">P255-P256</f>
        <v>0.35103915296649035</v>
      </c>
      <c r="Q311" s="23">
        <f t="shared" si="193"/>
        <v>0.33371524218005089</v>
      </c>
      <c r="R311" s="23">
        <f t="shared" si="193"/>
        <v>0.31887948615152645</v>
      </c>
      <c r="S311" s="23">
        <f t="shared" si="193"/>
        <v>0.30636988319270037</v>
      </c>
      <c r="T311" s="23">
        <f t="shared" si="193"/>
        <v>0.29809214054979427</v>
      </c>
      <c r="U311" s="23">
        <f t="shared" si="193"/>
        <v>0.26008169818001309</v>
      </c>
      <c r="W311" s="23">
        <f t="shared" ref="W311:AB311" si="194">W255-W256</f>
        <v>0.36790242488285479</v>
      </c>
      <c r="X311" s="23">
        <f t="shared" si="194"/>
        <v>0.3505741394975172</v>
      </c>
      <c r="Y311" s="23">
        <f t="shared" si="194"/>
        <v>0.33574439725571614</v>
      </c>
      <c r="Z311" s="23">
        <f t="shared" si="194"/>
        <v>0.32323895696102811</v>
      </c>
      <c r="AA311" s="23">
        <f t="shared" si="194"/>
        <v>0.31493814390926012</v>
      </c>
      <c r="AB311" s="23">
        <f t="shared" si="194"/>
        <v>0.26008169818001309</v>
      </c>
      <c r="AD311" s="23">
        <f t="shared" ref="AD311:AI311" si="195">AD255-AD256</f>
        <v>0.38476183868411667</v>
      </c>
      <c r="AE311" s="23">
        <f t="shared" si="195"/>
        <v>0.36743516581767349</v>
      </c>
      <c r="AF311" s="23">
        <f t="shared" si="195"/>
        <v>0.35261883566874691</v>
      </c>
      <c r="AG311" s="23">
        <f t="shared" si="195"/>
        <v>0.34007899748804116</v>
      </c>
      <c r="AH311" s="23">
        <f t="shared" si="195"/>
        <v>0.33155734870541081</v>
      </c>
      <c r="AI311" s="23">
        <f t="shared" si="195"/>
        <v>0.26008169818001309</v>
      </c>
      <c r="AK311" s="23">
        <f t="shared" ref="AK311:AP311" si="196">AK255-AK256</f>
        <v>0.40159548649396432</v>
      </c>
      <c r="AL311" s="23">
        <f t="shared" si="196"/>
        <v>0.38429647088574503</v>
      </c>
      <c r="AM311" s="23">
        <f t="shared" si="196"/>
        <v>0.36946541403168964</v>
      </c>
      <c r="AN311" s="23">
        <f t="shared" si="196"/>
        <v>0.35672421821108702</v>
      </c>
      <c r="AO311" s="23">
        <f t="shared" si="196"/>
        <v>0.34811871276456435</v>
      </c>
      <c r="AP311" s="23">
        <f t="shared" si="196"/>
        <v>0.26008169818001309</v>
      </c>
      <c r="AR311" s="23">
        <f t="shared" ref="AR311:AW311" si="197">AR255-AR256</f>
        <v>0.41846801192091476</v>
      </c>
      <c r="AS311" s="23">
        <f t="shared" si="197"/>
        <v>0.40115786724763325</v>
      </c>
      <c r="AT311" s="23">
        <f t="shared" si="197"/>
        <v>0.38626171058260927</v>
      </c>
      <c r="AU311" s="23">
        <f t="shared" si="197"/>
        <v>0.3732864893491144</v>
      </c>
      <c r="AV311" s="23">
        <f t="shared" si="197"/>
        <v>0.36467587141326979</v>
      </c>
      <c r="AW311" s="23">
        <f t="shared" si="197"/>
        <v>0.26008169818001309</v>
      </c>
    </row>
    <row r="312" spans="1:49" x14ac:dyDescent="0.25">
      <c r="A312" s="34" t="s">
        <v>109</v>
      </c>
      <c r="B312" s="45">
        <f t="shared" ref="B312:G312" si="198">B257-B256</f>
        <v>0.11261444047083269</v>
      </c>
      <c r="C312" s="45">
        <f t="shared" si="198"/>
        <v>0.11261444047083266</v>
      </c>
      <c r="D312" s="45">
        <f t="shared" si="198"/>
        <v>0.11261444047083266</v>
      </c>
      <c r="E312" s="45">
        <f t="shared" si="198"/>
        <v>0.11261444047083269</v>
      </c>
      <c r="F312" s="45">
        <f t="shared" si="198"/>
        <v>0.11261444047083269</v>
      </c>
      <c r="G312" s="45">
        <f t="shared" si="198"/>
        <v>0.11261444047083269</v>
      </c>
      <c r="H312" s="233"/>
      <c r="I312" s="45">
        <f t="shared" ref="I312:N312" si="199">I257-I256</f>
        <v>0.11261444047083263</v>
      </c>
      <c r="J312" s="45">
        <f t="shared" si="199"/>
        <v>0.11261444047083266</v>
      </c>
      <c r="K312" s="45">
        <f t="shared" si="199"/>
        <v>0.11261444047083266</v>
      </c>
      <c r="L312" s="45">
        <f t="shared" si="199"/>
        <v>0.1126144404708327</v>
      </c>
      <c r="M312" s="45">
        <f t="shared" si="199"/>
        <v>0.11261444047083269</v>
      </c>
      <c r="N312" s="45">
        <f t="shared" si="199"/>
        <v>0.11261444047083269</v>
      </c>
      <c r="O312" s="239"/>
      <c r="P312" s="45">
        <f t="shared" ref="P312:U312" si="200">P257-P256</f>
        <v>0.11261444047083272</v>
      </c>
      <c r="Q312" s="45">
        <f t="shared" si="200"/>
        <v>0.11261444047083272</v>
      </c>
      <c r="R312" s="45">
        <f t="shared" si="200"/>
        <v>0.11261444047083267</v>
      </c>
      <c r="S312" s="45">
        <f t="shared" si="200"/>
        <v>0.1126144404708327</v>
      </c>
      <c r="T312" s="45">
        <f t="shared" si="200"/>
        <v>0.11261444047083269</v>
      </c>
      <c r="U312" s="45">
        <f t="shared" si="200"/>
        <v>0.11261444047083269</v>
      </c>
      <c r="W312" s="45">
        <f t="shared" ref="W312:AB312" si="201">W257-W256</f>
        <v>0.11261444047083263</v>
      </c>
      <c r="X312" s="45">
        <f t="shared" si="201"/>
        <v>0.11261444047083266</v>
      </c>
      <c r="Y312" s="45">
        <f t="shared" si="201"/>
        <v>0.11261444047083269</v>
      </c>
      <c r="Z312" s="45">
        <f t="shared" si="201"/>
        <v>0.11261444047083269</v>
      </c>
      <c r="AA312" s="45">
        <f t="shared" si="201"/>
        <v>0.1126144404708327</v>
      </c>
      <c r="AB312" s="45">
        <f t="shared" si="201"/>
        <v>0.11261444047083269</v>
      </c>
      <c r="AD312" s="45">
        <f t="shared" ref="AD312:AI312" si="202">AD257-AD256</f>
        <v>0.11261444047083263</v>
      </c>
      <c r="AE312" s="45">
        <f t="shared" si="202"/>
        <v>0.11261444047083267</v>
      </c>
      <c r="AF312" s="45">
        <f t="shared" si="202"/>
        <v>0.11261444047083269</v>
      </c>
      <c r="AG312" s="45">
        <f t="shared" si="202"/>
        <v>0.11261444047083266</v>
      </c>
      <c r="AH312" s="45">
        <f t="shared" si="202"/>
        <v>0.11261444047083266</v>
      </c>
      <c r="AI312" s="45">
        <f t="shared" si="202"/>
        <v>0.11261444047083269</v>
      </c>
      <c r="AK312" s="45">
        <f t="shared" ref="AK312:AP312" si="203">AK257-AK256</f>
        <v>0.11261444047083266</v>
      </c>
      <c r="AL312" s="45">
        <f t="shared" si="203"/>
        <v>0.11261444047083267</v>
      </c>
      <c r="AM312" s="45">
        <f t="shared" si="203"/>
        <v>0.11261444047083269</v>
      </c>
      <c r="AN312" s="45">
        <f t="shared" si="203"/>
        <v>0.1126144404708327</v>
      </c>
      <c r="AO312" s="45">
        <f t="shared" si="203"/>
        <v>0.11261444047083269</v>
      </c>
      <c r="AP312" s="45">
        <f t="shared" si="203"/>
        <v>0.11261444047083269</v>
      </c>
      <c r="AR312" s="45">
        <f t="shared" ref="AR312:AW312" si="204">AR257-AR256</f>
        <v>0.11261444047083269</v>
      </c>
      <c r="AS312" s="45">
        <f t="shared" si="204"/>
        <v>0.1126144404708327</v>
      </c>
      <c r="AT312" s="45">
        <f t="shared" si="204"/>
        <v>0.11261444047083269</v>
      </c>
      <c r="AU312" s="45">
        <f t="shared" si="204"/>
        <v>0.11261444047083266</v>
      </c>
      <c r="AV312" s="45">
        <f t="shared" si="204"/>
        <v>0.1126144404708327</v>
      </c>
      <c r="AW312" s="45">
        <f t="shared" si="204"/>
        <v>0.11261444047083269</v>
      </c>
    </row>
    <row r="313" spans="1:49" x14ac:dyDescent="0.25">
      <c r="A313" s="44" t="s">
        <v>110</v>
      </c>
      <c r="B313" s="46">
        <f t="shared" ref="B313:G313" si="205">B312/B310</f>
        <v>0.41534416697896814</v>
      </c>
      <c r="C313" s="46">
        <f t="shared" si="205"/>
        <v>0.4396599206348985</v>
      </c>
      <c r="D313" s="46">
        <f t="shared" si="205"/>
        <v>0.46293956495329519</v>
      </c>
      <c r="E313" s="46">
        <f t="shared" si="205"/>
        <v>0.48460511648891713</v>
      </c>
      <c r="F313" s="46">
        <f t="shared" si="205"/>
        <v>0.49998670453269645</v>
      </c>
      <c r="G313" s="46">
        <f t="shared" si="205"/>
        <v>0.50833372904042951</v>
      </c>
      <c r="H313" s="46"/>
      <c r="I313" s="46">
        <f t="shared" ref="I313:N313" si="206">I312/I310</f>
        <v>0.42417690701097704</v>
      </c>
      <c r="J313" s="46">
        <f t="shared" si="206"/>
        <v>0.44958961521258695</v>
      </c>
      <c r="K313" s="46">
        <f t="shared" si="206"/>
        <v>0.47392141445225638</v>
      </c>
      <c r="L313" s="46">
        <f t="shared" si="206"/>
        <v>0.49658661734003323</v>
      </c>
      <c r="M313" s="46">
        <f t="shared" si="206"/>
        <v>0.51280119998275642</v>
      </c>
      <c r="N313" s="46">
        <f t="shared" si="206"/>
        <v>0.50833372904042951</v>
      </c>
      <c r="O313" s="46"/>
      <c r="P313" s="46">
        <f t="shared" ref="P313:U313" si="207">P312/P310</f>
        <v>0.43339630196622103</v>
      </c>
      <c r="Q313" s="46">
        <f t="shared" si="207"/>
        <v>0.45996630103628572</v>
      </c>
      <c r="R313" s="46">
        <f t="shared" si="207"/>
        <v>0.48547620255153079</v>
      </c>
      <c r="S313" s="46">
        <f t="shared" si="207"/>
        <v>0.50928347606091939</v>
      </c>
      <c r="T313" s="46">
        <f t="shared" si="207"/>
        <v>0.52636372887608218</v>
      </c>
      <c r="U313" s="46">
        <f t="shared" si="207"/>
        <v>0.50833372904042951</v>
      </c>
      <c r="W313" s="46">
        <f t="shared" ref="W313:AB313" si="208">W312/W310</f>
        <v>0.44302976750287443</v>
      </c>
      <c r="X313" s="46">
        <f t="shared" si="208"/>
        <v>0.47083926789486019</v>
      </c>
      <c r="Y313" s="46">
        <f t="shared" si="208"/>
        <v>0.49759259723008997</v>
      </c>
      <c r="Z313" s="46">
        <f t="shared" si="208"/>
        <v>0.52262514165853491</v>
      </c>
      <c r="AA313" s="46">
        <f t="shared" si="208"/>
        <v>0.54067859389505279</v>
      </c>
      <c r="AB313" s="46">
        <f t="shared" si="208"/>
        <v>0.50833372904042951</v>
      </c>
      <c r="AD313" s="46">
        <f t="shared" ref="AD313:AI313" si="209">AD312/AD310</f>
        <v>0.45310688419286937</v>
      </c>
      <c r="AE313" s="46">
        <f t="shared" si="209"/>
        <v>0.48223464720260595</v>
      </c>
      <c r="AF313" s="46">
        <f t="shared" si="209"/>
        <v>0.51031098454711032</v>
      </c>
      <c r="AG313" s="46">
        <f t="shared" si="209"/>
        <v>0.53674802003455391</v>
      </c>
      <c r="AH313" s="46">
        <f t="shared" si="209"/>
        <v>0.55633299886922882</v>
      </c>
      <c r="AI313" s="46">
        <f t="shared" si="209"/>
        <v>0.50833372904042951</v>
      </c>
      <c r="AK313" s="46">
        <f t="shared" ref="AK313:AP313" si="210">AK312/AK310</f>
        <v>0.46369463226116736</v>
      </c>
      <c r="AL313" s="46">
        <f t="shared" si="210"/>
        <v>0.49419459913659658</v>
      </c>
      <c r="AM313" s="46">
        <f t="shared" si="210"/>
        <v>0.52375389917457005</v>
      </c>
      <c r="AN313" s="46">
        <f t="shared" si="210"/>
        <v>0.55211219835549286</v>
      </c>
      <c r="AO313" s="46">
        <f t="shared" si="210"/>
        <v>0.57306542168699015</v>
      </c>
      <c r="AP313" s="46">
        <f t="shared" si="210"/>
        <v>0.50833372904042951</v>
      </c>
      <c r="AR313" s="46">
        <f t="shared" ref="AR313:AW313" si="211">AR312/AR310</f>
        <v>0.47472357736234155</v>
      </c>
      <c r="AS313" s="46">
        <f t="shared" si="211"/>
        <v>0.50676328173244689</v>
      </c>
      <c r="AT313" s="46">
        <f t="shared" si="211"/>
        <v>0.53803767699542626</v>
      </c>
      <c r="AU313" s="46">
        <f t="shared" si="211"/>
        <v>0.56858603339691804</v>
      </c>
      <c r="AV313" s="46">
        <f t="shared" si="211"/>
        <v>0.59084659946539575</v>
      </c>
      <c r="AW313" s="46">
        <f t="shared" si="211"/>
        <v>0.50833372904042951</v>
      </c>
    </row>
    <row r="314" spans="1:49" x14ac:dyDescent="0.25">
      <c r="A314" s="34" t="s">
        <v>359</v>
      </c>
      <c r="B314" s="21">
        <f>((SUMPRODUCT(B$9:B$229,Nutrients!$EE$8:$EE$228)+(IF($A$7=Nutrients!$B$8,Nutrients!$EE$8,Nutrients!$EE$9)*B$7)+(((IF($A$8=Nutrients!$B$79,Nutrients!$EE$79,(IF($A$8=Nutrients!$B$77,Nutrients!$EE$77,Nutrients!$EE$78)))))*B$8))/2000)*2.2046</f>
        <v>608.03970300000003</v>
      </c>
      <c r="C314" s="21">
        <f>((SUMPRODUCT(C$9:C$229,Nutrients!$EE$8:$EE$228)+(IF($A$7=Nutrients!$B$8,Nutrients!$EE$8,Nutrients!$EE$9)*C$7)+(((IF($A$8=Nutrients!$B$79,Nutrients!$EE$79,(IF($A$8=Nutrients!$B$77,Nutrients!$EE$77,Nutrients!$EE$78)))))*C$8))/2000)*2.2046</f>
        <v>608.03970300000003</v>
      </c>
      <c r="D314" s="21">
        <f>((SUMPRODUCT(D$9:D$229,Nutrients!$EE$8:$EE$228)+(IF($A$7=Nutrients!$B$8,Nutrients!$EE$8,Nutrients!$EE$9)*D$7)+(((IF($A$8=Nutrients!$B$79,Nutrients!$EE$79,(IF($A$8=Nutrients!$B$77,Nutrients!$EE$77,Nutrients!$EE$78)))))*D$8))/2000)*2.2046</f>
        <v>608.03970300000003</v>
      </c>
      <c r="E314" s="21">
        <f>((SUMPRODUCT(E$9:E$229,Nutrients!$EE$8:$EE$228)+(IF($A$7=Nutrients!$B$8,Nutrients!$EE$8,Nutrients!$EE$9)*E$7)+(((IF($A$8=Nutrients!$B$79,Nutrients!$EE$79,(IF($A$8=Nutrients!$B$77,Nutrients!$EE$77,Nutrients!$EE$78)))))*E$8))/2000)*2.2046</f>
        <v>608.03970300000003</v>
      </c>
      <c r="F314" s="21">
        <f>((SUMPRODUCT(F$9:F$229,Nutrients!$EE$8:$EE$228)+(IF($A$7=Nutrients!$B$8,Nutrients!$EE$8,Nutrients!$EE$9)*F$7)+(((IF($A$8=Nutrients!$B$79,Nutrients!$EE$79,(IF($A$8=Nutrients!$B$77,Nutrients!$EE$77,Nutrients!$EE$78)))))*F$8))/2000)*2.2046</f>
        <v>608.03970300000003</v>
      </c>
      <c r="G314" s="21">
        <f>((SUMPRODUCT(G$9:G$229,Nutrients!$EE$8:$EE$228)+(IF($A$7=Nutrients!$B$8,Nutrients!$EE$8,Nutrients!$EE$9)*G$7)+(((IF($A$8=Nutrients!$B$79,Nutrients!$EE$79,(IF($A$8=Nutrients!$B$77,Nutrients!$EE$77,Nutrients!$EE$78)))))*G$8))/2000)*2.2046</f>
        <v>608.03970300000003</v>
      </c>
      <c r="H314" s="226"/>
      <c r="I314" s="21">
        <f>((SUMPRODUCT(I$9:I$229,Nutrients!$EE$8:$EE$228)+(IF($A$7=Nutrients!$B$8,Nutrients!$EE$8,Nutrients!$EE$9)*I$7)+(((IF($A$8=Nutrients!$B$79,Nutrients!$EE$79,(IF($A$8=Nutrients!$B$77,Nutrients!$EE$77,Nutrients!$EE$78)))))*I$8))/2000)*2.2046</f>
        <v>608.03970300000003</v>
      </c>
      <c r="J314" s="21">
        <f>((SUMPRODUCT(J$9:J$229,Nutrients!$EE$8:$EE$228)+(IF($A$7=Nutrients!$B$8,Nutrients!$EE$8,Nutrients!$EE$9)*J$7)+(((IF($A$8=Nutrients!$B$79,Nutrients!$EE$79,(IF($A$8=Nutrients!$B$77,Nutrients!$EE$77,Nutrients!$EE$78)))))*J$8))/2000)*2.2046</f>
        <v>608.03970300000003</v>
      </c>
      <c r="K314" s="21">
        <f>((SUMPRODUCT(K$9:K$229,Nutrients!$EE$8:$EE$228)+(IF($A$7=Nutrients!$B$8,Nutrients!$EE$8,Nutrients!$EE$9)*K$7)+(((IF($A$8=Nutrients!$B$79,Nutrients!$EE$79,(IF($A$8=Nutrients!$B$77,Nutrients!$EE$77,Nutrients!$EE$78)))))*K$8))/2000)*2.2046</f>
        <v>608.03970300000003</v>
      </c>
      <c r="L314" s="21">
        <f>((SUMPRODUCT(L$9:L$229,Nutrients!$EE$8:$EE$228)+(IF($A$7=Nutrients!$B$8,Nutrients!$EE$8,Nutrients!$EE$9)*L$7)+(((IF($A$8=Nutrients!$B$79,Nutrients!$EE$79,(IF($A$8=Nutrients!$B$77,Nutrients!$EE$77,Nutrients!$EE$78)))))*L$8))/2000)*2.2046</f>
        <v>608.03970300000003</v>
      </c>
      <c r="M314" s="21">
        <f>((SUMPRODUCT(M$9:M$229,Nutrients!$EE$8:$EE$228)+(IF($A$7=Nutrients!$B$8,Nutrients!$EE$8,Nutrients!$EE$9)*M$7)+(((IF($A$8=Nutrients!$B$79,Nutrients!$EE$79,(IF($A$8=Nutrients!$B$77,Nutrients!$EE$77,Nutrients!$EE$78)))))*M$8))/2000)*2.2046</f>
        <v>608.03970300000003</v>
      </c>
      <c r="N314" s="21">
        <f>((SUMPRODUCT(N$9:N$229,Nutrients!$EE$8:$EE$228)+(IF($A$7=Nutrients!$B$8,Nutrients!$EE$8,Nutrients!$EE$9)*N$7)+(((IF($A$8=Nutrients!$B$79,Nutrients!$EE$79,(IF($A$8=Nutrients!$B$77,Nutrients!$EE$77,Nutrients!$EE$78)))))*N$8))/2000)*2.2046</f>
        <v>608.03970300000003</v>
      </c>
      <c r="O314" s="234"/>
      <c r="P314" s="21">
        <f>((SUMPRODUCT(P$9:P$229,Nutrients!$EE$8:$EE$228)+(IF($A$7=Nutrients!$B$8,Nutrients!$EE$8,Nutrients!$EE$9)*P$7)+(((IF($A$8=Nutrients!$B$79,Nutrients!$EE$79,(IF($A$8=Nutrients!$B$77,Nutrients!$EE$77,Nutrients!$EE$78)))))*P$8))/2000)*2.2046</f>
        <v>608.03970300000003</v>
      </c>
      <c r="Q314" s="21">
        <f>((SUMPRODUCT(Q$9:Q$229,Nutrients!$EE$8:$EE$228)+(IF($A$7=Nutrients!$B$8,Nutrients!$EE$8,Nutrients!$EE$9)*Q$7)+(((IF($A$8=Nutrients!$B$79,Nutrients!$EE$79,(IF($A$8=Nutrients!$B$77,Nutrients!$EE$77,Nutrients!$EE$78)))))*Q$8))/2000)*2.2046</f>
        <v>608.03970300000003</v>
      </c>
      <c r="R314" s="21">
        <f>((SUMPRODUCT(R$9:R$229,Nutrients!$EE$8:$EE$228)+(IF($A$7=Nutrients!$B$8,Nutrients!$EE$8,Nutrients!$EE$9)*R$7)+(((IF($A$8=Nutrients!$B$79,Nutrients!$EE$79,(IF($A$8=Nutrients!$B$77,Nutrients!$EE$77,Nutrients!$EE$78)))))*R$8))/2000)*2.2046</f>
        <v>608.03970300000003</v>
      </c>
      <c r="S314" s="21">
        <f>((SUMPRODUCT(S$9:S$229,Nutrients!$EE$8:$EE$228)+(IF($A$7=Nutrients!$B$8,Nutrients!$EE$8,Nutrients!$EE$9)*S$7)+(((IF($A$8=Nutrients!$B$79,Nutrients!$EE$79,(IF($A$8=Nutrients!$B$77,Nutrients!$EE$77,Nutrients!$EE$78)))))*S$8))/2000)*2.2046</f>
        <v>608.03970300000003</v>
      </c>
      <c r="T314" s="21">
        <f>((SUMPRODUCT(T$9:T$229,Nutrients!$EE$8:$EE$228)+(IF($A$7=Nutrients!$B$8,Nutrients!$EE$8,Nutrients!$EE$9)*T$7)+(((IF($A$8=Nutrients!$B$79,Nutrients!$EE$79,(IF($A$8=Nutrients!$B$77,Nutrients!$EE$77,Nutrients!$EE$78)))))*T$8))/2000)*2.2046</f>
        <v>608.03970300000003</v>
      </c>
      <c r="U314" s="21">
        <f>((SUMPRODUCT(U$9:U$229,Nutrients!$EE$8:$EE$228)+(IF($A$7=Nutrients!$B$8,Nutrients!$EE$8,Nutrients!$EE$9)*U$7)+(((IF($A$8=Nutrients!$B$79,Nutrients!$EE$79,(IF($A$8=Nutrients!$B$77,Nutrients!$EE$77,Nutrients!$EE$78)))))*U$8))/2000)*2.2046</f>
        <v>608.03970300000003</v>
      </c>
      <c r="W314" s="21">
        <f>((SUMPRODUCT(W$9:W$229,Nutrients!$EE$8:$EE$228)+(IF($A$7=Nutrients!$B$8,Nutrients!$EE$8,Nutrients!$EE$9)*W$7)+(((IF($A$8=Nutrients!$B$79,Nutrients!$EE$79,(IF($A$8=Nutrients!$B$77,Nutrients!$EE$77,Nutrients!$EE$78)))))*W$8))/2000)*2.2046</f>
        <v>608.03970300000003</v>
      </c>
      <c r="X314" s="21">
        <f>((SUMPRODUCT(X$9:X$229,Nutrients!$EE$8:$EE$228)+(IF($A$7=Nutrients!$B$8,Nutrients!$EE$8,Nutrients!$EE$9)*X$7)+(((IF($A$8=Nutrients!$B$79,Nutrients!$EE$79,(IF($A$8=Nutrients!$B$77,Nutrients!$EE$77,Nutrients!$EE$78)))))*X$8))/2000)*2.2046</f>
        <v>608.03970300000003</v>
      </c>
      <c r="Y314" s="21">
        <f>((SUMPRODUCT(Y$9:Y$229,Nutrients!$EE$8:$EE$228)+(IF($A$7=Nutrients!$B$8,Nutrients!$EE$8,Nutrients!$EE$9)*Y$7)+(((IF($A$8=Nutrients!$B$79,Nutrients!$EE$79,(IF($A$8=Nutrients!$B$77,Nutrients!$EE$77,Nutrients!$EE$78)))))*Y$8))/2000)*2.2046</f>
        <v>608.03970300000003</v>
      </c>
      <c r="Z314" s="21">
        <f>((SUMPRODUCT(Z$9:Z$229,Nutrients!$EE$8:$EE$228)+(IF($A$7=Nutrients!$B$8,Nutrients!$EE$8,Nutrients!$EE$9)*Z$7)+(((IF($A$8=Nutrients!$B$79,Nutrients!$EE$79,(IF($A$8=Nutrients!$B$77,Nutrients!$EE$77,Nutrients!$EE$78)))))*Z$8))/2000)*2.2046</f>
        <v>608.03970300000003</v>
      </c>
      <c r="AA314" s="21">
        <f>((SUMPRODUCT(AA$9:AA$229,Nutrients!$EE$8:$EE$228)+(IF($A$7=Nutrients!$B$8,Nutrients!$EE$8,Nutrients!$EE$9)*AA$7)+(((IF($A$8=Nutrients!$B$79,Nutrients!$EE$79,(IF($A$8=Nutrients!$B$77,Nutrients!$EE$77,Nutrients!$EE$78)))))*AA$8))/2000)*2.2046</f>
        <v>608.03970300000003</v>
      </c>
      <c r="AB314" s="21">
        <f>((SUMPRODUCT(AB$9:AB$229,Nutrients!$EE$8:$EE$228)+(IF($A$7=Nutrients!$B$8,Nutrients!$EE$8,Nutrients!$EE$9)*AB$7)+(((IF($A$8=Nutrients!$B$79,Nutrients!$EE$79,(IF($A$8=Nutrients!$B$77,Nutrients!$EE$77,Nutrients!$EE$78)))))*AB$8))/2000)*2.2046</f>
        <v>608.03970300000003</v>
      </c>
      <c r="AD314" s="21">
        <f>((SUMPRODUCT(AD$9:AD$229,Nutrients!$EE$8:$EE$228)+(IF($A$7=Nutrients!$B$8,Nutrients!$EE$8,Nutrients!$EE$9)*AD$7)+(((IF($A$8=Nutrients!$B$79,Nutrients!$EE$79,(IF($A$8=Nutrients!$B$77,Nutrients!$EE$77,Nutrients!$EE$78)))))*AD$8))/2000)*2.2046</f>
        <v>608.03970300000003</v>
      </c>
      <c r="AE314" s="21">
        <f>((SUMPRODUCT(AE$9:AE$229,Nutrients!$EE$8:$EE$228)+(IF($A$7=Nutrients!$B$8,Nutrients!$EE$8,Nutrients!$EE$9)*AE$7)+(((IF($A$8=Nutrients!$B$79,Nutrients!$EE$79,(IF($A$8=Nutrients!$B$77,Nutrients!$EE$77,Nutrients!$EE$78)))))*AE$8))/2000)*2.2046</f>
        <v>608.03970300000003</v>
      </c>
      <c r="AF314" s="21">
        <f>((SUMPRODUCT(AF$9:AF$229,Nutrients!$EE$8:$EE$228)+(IF($A$7=Nutrients!$B$8,Nutrients!$EE$8,Nutrients!$EE$9)*AF$7)+(((IF($A$8=Nutrients!$B$79,Nutrients!$EE$79,(IF($A$8=Nutrients!$B$77,Nutrients!$EE$77,Nutrients!$EE$78)))))*AF$8))/2000)*2.2046</f>
        <v>608.03970300000003</v>
      </c>
      <c r="AG314" s="21">
        <f>((SUMPRODUCT(AG$9:AG$229,Nutrients!$EE$8:$EE$228)+(IF($A$7=Nutrients!$B$8,Nutrients!$EE$8,Nutrients!$EE$9)*AG$7)+(((IF($A$8=Nutrients!$B$79,Nutrients!$EE$79,(IF($A$8=Nutrients!$B$77,Nutrients!$EE$77,Nutrients!$EE$78)))))*AG$8))/2000)*2.2046</f>
        <v>608.03970300000003</v>
      </c>
      <c r="AH314" s="21">
        <f>((SUMPRODUCT(AH$9:AH$229,Nutrients!$EE$8:$EE$228)+(IF($A$7=Nutrients!$B$8,Nutrients!$EE$8,Nutrients!$EE$9)*AH$7)+(((IF($A$8=Nutrients!$B$79,Nutrients!$EE$79,(IF($A$8=Nutrients!$B$77,Nutrients!$EE$77,Nutrients!$EE$78)))))*AH$8))/2000)*2.2046</f>
        <v>608.03970300000003</v>
      </c>
      <c r="AI314" s="21">
        <f>((SUMPRODUCT(AI$9:AI$229,Nutrients!$EE$8:$EE$228)+(IF($A$7=Nutrients!$B$8,Nutrients!$EE$8,Nutrients!$EE$9)*AI$7)+(((IF($A$8=Nutrients!$B$79,Nutrients!$EE$79,(IF($A$8=Nutrients!$B$77,Nutrients!$EE$77,Nutrients!$EE$78)))))*AI$8))/2000)*2.2046</f>
        <v>608.03970300000003</v>
      </c>
      <c r="AK314" s="21">
        <f>((SUMPRODUCT(AK$9:AK$229,Nutrients!$EE$8:$EE$228)+(IF($A$7=Nutrients!$B$8,Nutrients!$EE$8,Nutrients!$EE$9)*AK$7)+(((IF($A$8=Nutrients!$B$79,Nutrients!$EE$79,(IF($A$8=Nutrients!$B$77,Nutrients!$EE$77,Nutrients!$EE$78)))))*AK$8))/2000)*2.2046</f>
        <v>608.03970300000003</v>
      </c>
      <c r="AL314" s="21">
        <f>((SUMPRODUCT(AL$9:AL$229,Nutrients!$EE$8:$EE$228)+(IF($A$7=Nutrients!$B$8,Nutrients!$EE$8,Nutrients!$EE$9)*AL$7)+(((IF($A$8=Nutrients!$B$79,Nutrients!$EE$79,(IF($A$8=Nutrients!$B$77,Nutrients!$EE$77,Nutrients!$EE$78)))))*AL$8))/2000)*2.2046</f>
        <v>608.03970300000003</v>
      </c>
      <c r="AM314" s="21">
        <f>((SUMPRODUCT(AM$9:AM$229,Nutrients!$EE$8:$EE$228)+(IF($A$7=Nutrients!$B$8,Nutrients!$EE$8,Nutrients!$EE$9)*AM$7)+(((IF($A$8=Nutrients!$B$79,Nutrients!$EE$79,(IF($A$8=Nutrients!$B$77,Nutrients!$EE$77,Nutrients!$EE$78)))))*AM$8))/2000)*2.2046</f>
        <v>608.03970300000003</v>
      </c>
      <c r="AN314" s="21">
        <f>((SUMPRODUCT(AN$9:AN$229,Nutrients!$EE$8:$EE$228)+(IF($A$7=Nutrients!$B$8,Nutrients!$EE$8,Nutrients!$EE$9)*AN$7)+(((IF($A$8=Nutrients!$B$79,Nutrients!$EE$79,(IF($A$8=Nutrients!$B$77,Nutrients!$EE$77,Nutrients!$EE$78)))))*AN$8))/2000)*2.2046</f>
        <v>608.03970300000003</v>
      </c>
      <c r="AO314" s="21">
        <f>((SUMPRODUCT(AO$9:AO$229,Nutrients!$EE$8:$EE$228)+(IF($A$7=Nutrients!$B$8,Nutrients!$EE$8,Nutrients!$EE$9)*AO$7)+(((IF($A$8=Nutrients!$B$79,Nutrients!$EE$79,(IF($A$8=Nutrients!$B$77,Nutrients!$EE$77,Nutrients!$EE$78)))))*AO$8))/2000)*2.2046</f>
        <v>608.03970300000003</v>
      </c>
      <c r="AP314" s="21">
        <f>((SUMPRODUCT(AP$9:AP$229,Nutrients!$EE$8:$EE$228)+(IF($A$7=Nutrients!$B$8,Nutrients!$EE$8,Nutrients!$EE$9)*AP$7)+(((IF($A$8=Nutrients!$B$79,Nutrients!$EE$79,(IF($A$8=Nutrients!$B$77,Nutrients!$EE$77,Nutrients!$EE$78)))))*AP$8))/2000)*2.2046</f>
        <v>608.03970300000003</v>
      </c>
      <c r="AR314" s="21">
        <f>((SUMPRODUCT(AR$9:AR$229,Nutrients!$EE$8:$EE$228)+(IF($A$7=Nutrients!$B$8,Nutrients!$EE$8,Nutrients!$EE$9)*AR$7)+(((IF($A$8=Nutrients!$B$79,Nutrients!$EE$79,(IF($A$8=Nutrients!$B$77,Nutrients!$EE$77,Nutrients!$EE$78)))))*AR$8))/2000)*2.2046</f>
        <v>608.03970300000003</v>
      </c>
      <c r="AS314" s="21">
        <f>((SUMPRODUCT(AS$9:AS$229,Nutrients!$EE$8:$EE$228)+(IF($A$7=Nutrients!$B$8,Nutrients!$EE$8,Nutrients!$EE$9)*AS$7)+(((IF($A$8=Nutrients!$B$79,Nutrients!$EE$79,(IF($A$8=Nutrients!$B$77,Nutrients!$EE$77,Nutrients!$EE$78)))))*AS$8))/2000)*2.2046</f>
        <v>608.03970300000003</v>
      </c>
      <c r="AT314" s="21">
        <f>((SUMPRODUCT(AT$9:AT$229,Nutrients!$EE$8:$EE$228)+(IF($A$7=Nutrients!$B$8,Nutrients!$EE$8,Nutrients!$EE$9)*AT$7)+(((IF($A$8=Nutrients!$B$79,Nutrients!$EE$79,(IF($A$8=Nutrients!$B$77,Nutrients!$EE$77,Nutrients!$EE$78)))))*AT$8))/2000)*2.2046</f>
        <v>608.03970300000003</v>
      </c>
      <c r="AU314" s="21">
        <f>((SUMPRODUCT(AU$9:AU$229,Nutrients!$EE$8:$EE$228)+(IF($A$7=Nutrients!$B$8,Nutrients!$EE$8,Nutrients!$EE$9)*AU$7)+(((IF($A$8=Nutrients!$B$79,Nutrients!$EE$79,(IF($A$8=Nutrients!$B$77,Nutrients!$EE$77,Nutrients!$EE$78)))))*AU$8))/2000)*2.2046</f>
        <v>608.03970300000003</v>
      </c>
      <c r="AV314" s="21">
        <f>((SUMPRODUCT(AV$9:AV$229,Nutrients!$EE$8:$EE$228)+(IF($A$7=Nutrients!$B$8,Nutrients!$EE$8,Nutrients!$EE$9)*AV$7)+(((IF($A$8=Nutrients!$B$79,Nutrients!$EE$79,(IF($A$8=Nutrients!$B$77,Nutrients!$EE$77,Nutrients!$EE$78)))))*AV$8))/2000)*2.2046</f>
        <v>608.03970300000003</v>
      </c>
      <c r="AW314" s="21">
        <f>((SUMPRODUCT(AW$9:AW$229,Nutrients!$EE$8:$EE$228)+(IF($A$7=Nutrients!$B$8,Nutrients!$EE$8,Nutrients!$EE$9)*AW$7)+(((IF($A$8=Nutrients!$B$79,Nutrients!$EE$79,(IF($A$8=Nutrients!$B$77,Nutrients!$EE$77,Nutrients!$EE$78)))))*AW$8))/2000)*2.2046</f>
        <v>608.03970300000003</v>
      </c>
    </row>
    <row r="315" spans="1:49" x14ac:dyDescent="0.25">
      <c r="A315" s="34" t="s">
        <v>360</v>
      </c>
      <c r="B315" s="23">
        <f>((SUMPRODUCT(B$9:B$229,Nutrients!$FK$8:$FK$228)+(IF($A$7=Nutrients!$B$8,Nutrients!$FK$8,Nutrients!$FK$9)*B$7)+(((IF($A$8=Nutrients!$B$79,Nutrients!$FK$79,(IF($A$8=Nutrients!$B$77,Nutrients!$FK$77,Nutrients!$FK$78)))))*B$8))/2000)</f>
        <v>1.5203643016438457</v>
      </c>
      <c r="C315" s="23">
        <f>((SUMPRODUCT(C$9:C$229,Nutrients!$FK$8:$FK$228)+(IF($A$7=Nutrients!$B$8,Nutrients!$FK$8,Nutrients!$FK$9)*C$7)+(((IF($A$8=Nutrients!$B$79,Nutrients!$FK$79,(IF($A$8=Nutrients!$B$77,Nutrients!$FK$77,Nutrients!$FK$78)))))*C$8))/2000)</f>
        <v>1.5749887728173662</v>
      </c>
      <c r="D315" s="23">
        <f>((SUMPRODUCT(D$9:D$229,Nutrients!$FK$8:$FK$228)+(IF($A$7=Nutrients!$B$8,Nutrients!$FK$8,Nutrients!$FK$9)*D$7)+(((IF($A$8=Nutrients!$B$79,Nutrients!$FK$79,(IF($A$8=Nutrients!$B$77,Nutrients!$FK$77,Nutrients!$FK$78)))))*D$8))/2000)</f>
        <v>1.622538447302484</v>
      </c>
      <c r="E315" s="23">
        <f>((SUMPRODUCT(E$9:E$229,Nutrients!$FK$8:$FK$228)+(IF($A$7=Nutrients!$B$8,Nutrients!$FK$8,Nutrients!$FK$9)*E$7)+(((IF($A$8=Nutrients!$B$79,Nutrients!$FK$79,(IF($A$8=Nutrients!$B$77,Nutrients!$FK$77,Nutrients!$FK$78)))))*E$8))/2000)</f>
        <v>1.6623836434171375</v>
      </c>
      <c r="F315" s="23">
        <f>((SUMPRODUCT(F$9:F$229,Nutrients!$FK$8:$FK$228)+(IF($A$7=Nutrients!$B$8,Nutrients!$FK$8,Nutrients!$FK$9)*F$7)+(((IF($A$8=Nutrients!$B$79,Nutrients!$FK$79,(IF($A$8=Nutrients!$B$77,Nutrients!$FK$77,Nutrients!$FK$78)))))*F$8))/2000)</f>
        <v>1.689982464517773</v>
      </c>
      <c r="G315" s="23">
        <f>((SUMPRODUCT(G$9:G$229,Nutrients!$FK$8:$FK$228)+(IF($A$7=Nutrients!$B$8,Nutrients!$FK$8,Nutrients!$FK$9)*G$7)+(((IF($A$8=Nutrients!$B$79,Nutrients!$FK$79,(IF($A$8=Nutrients!$B$77,Nutrients!$FK$77,Nutrients!$FK$78)))))*G$8))/2000)</f>
        <v>1.7033272639768986</v>
      </c>
      <c r="H315" s="227"/>
      <c r="I315" s="23">
        <f>((SUMPRODUCT(I$9:I$229,Nutrients!$FK$8:$FK$228)+(IF($A$7=Nutrients!$B$8,Nutrients!$FK$8,Nutrients!$FK$9)*I$7)+(((IF($A$8=Nutrients!$B$79,Nutrients!$FK$79,(IF($A$8=Nutrients!$B$77,Nutrients!$FK$77,Nutrients!$FK$78)))))*I$8))/2000)</f>
        <v>1.4791564114996694</v>
      </c>
      <c r="J315" s="23">
        <f>((SUMPRODUCT(J$9:J$229,Nutrients!$FK$8:$FK$228)+(IF($A$7=Nutrients!$B$8,Nutrients!$FK$8,Nutrients!$FK$9)*J$7)+(((IF($A$8=Nutrients!$B$79,Nutrients!$FK$79,(IF($A$8=Nutrients!$B$77,Nutrients!$FK$77,Nutrients!$FK$78)))))*J$8))/2000)</f>
        <v>1.534120750639838</v>
      </c>
      <c r="K315" s="23">
        <f>((SUMPRODUCT(K$9:K$229,Nutrients!$FK$8:$FK$228)+(IF($A$7=Nutrients!$B$8,Nutrients!$FK$8,Nutrients!$FK$9)*K$7)+(((IF($A$8=Nutrients!$B$79,Nutrients!$FK$79,(IF($A$8=Nutrients!$B$77,Nutrients!$FK$77,Nutrients!$FK$78)))))*K$8))/2000)</f>
        <v>1.5822173174089862</v>
      </c>
      <c r="L315" s="23">
        <f>((SUMPRODUCT(L$9:L$229,Nutrients!$FK$8:$FK$228)+(IF($A$7=Nutrients!$B$8,Nutrients!$FK$8,Nutrients!$FK$9)*L$7)+(((IF($A$8=Nutrients!$B$79,Nutrients!$FK$79,(IF($A$8=Nutrients!$B$77,Nutrients!$FK$77,Nutrients!$FK$78)))))*L$8))/2000)</f>
        <v>1.6213502170228395</v>
      </c>
      <c r="M315" s="23">
        <f>((SUMPRODUCT(M$9:M$229,Nutrients!$FK$8:$FK$228)+(IF($A$7=Nutrients!$B$8,Nutrients!$FK$8,Nutrients!$FK$9)*M$7)+(((IF($A$8=Nutrients!$B$79,Nutrients!$FK$79,(IF($A$8=Nutrients!$B$77,Nutrients!$FK$77,Nutrients!$FK$78)))))*M$8))/2000)</f>
        <v>1.6490897843312589</v>
      </c>
      <c r="N315" s="23">
        <f>((SUMPRODUCT(N$9:N$229,Nutrients!$FK$8:$FK$228)+(IF($A$7=Nutrients!$B$8,Nutrients!$FK$8,Nutrients!$FK$9)*N$7)+(((IF($A$8=Nutrients!$B$79,Nutrients!$FK$79,(IF($A$8=Nutrients!$B$77,Nutrients!$FK$77,Nutrients!$FK$78)))))*N$8))/2000)</f>
        <v>1.7033272639768986</v>
      </c>
      <c r="O315" s="198"/>
      <c r="P315" s="23">
        <f>((SUMPRODUCT(P$9:P$229,Nutrients!$FK$8:$FK$228)+(IF($A$7=Nutrients!$B$8,Nutrients!$FK$8,Nutrients!$FK$9)*P$7)+(((IF($A$8=Nutrients!$B$79,Nutrients!$FK$79,(IF($A$8=Nutrients!$B$77,Nutrients!$FK$77,Nutrients!$FK$78)))))*P$8))/2000)</f>
        <v>1.4384976726047054</v>
      </c>
      <c r="Q315" s="23">
        <f>((SUMPRODUCT(Q$9:Q$229,Nutrients!$FK$8:$FK$228)+(IF($A$7=Nutrients!$B$8,Nutrients!$FK$8,Nutrients!$FK$9)*Q$7)+(((IF($A$8=Nutrients!$B$79,Nutrients!$FK$79,(IF($A$8=Nutrients!$B$77,Nutrients!$FK$77,Nutrients!$FK$78)))))*Q$8))/2000)</f>
        <v>1.4936113446442294</v>
      </c>
      <c r="R315" s="23">
        <f>((SUMPRODUCT(R$9:R$229,Nutrients!$FK$8:$FK$228)+(IF($A$7=Nutrients!$B$8,Nutrients!$FK$8,Nutrients!$FK$9)*R$7)+(((IF($A$8=Nutrients!$B$79,Nutrients!$FK$79,(IF($A$8=Nutrients!$B$77,Nutrients!$FK$77,Nutrients!$FK$78)))))*R$8))/2000)</f>
        <v>1.5419333136790543</v>
      </c>
      <c r="S315" s="23">
        <f>((SUMPRODUCT(S$9:S$229,Nutrients!$FK$8:$FK$228)+(IF($A$7=Nutrients!$B$8,Nutrients!$FK$8,Nutrients!$FK$9)*S$7)+(((IF($A$8=Nutrients!$B$79,Nutrients!$FK$79,(IF($A$8=Nutrients!$B$77,Nutrients!$FK$77,Nutrients!$FK$78)))))*S$8))/2000)</f>
        <v>1.5809775552829053</v>
      </c>
      <c r="T315" s="23">
        <f>((SUMPRODUCT(T$9:T$229,Nutrients!$FK$8:$FK$228)+(IF($A$7=Nutrients!$B$8,Nutrients!$FK$8,Nutrients!$FK$9)*T$7)+(((IF($A$8=Nutrients!$B$79,Nutrients!$FK$79,(IF($A$8=Nutrients!$B$77,Nutrients!$FK$77,Nutrients!$FK$78)))))*T$8))/2000)</f>
        <v>1.6085773804255177</v>
      </c>
      <c r="U315" s="23">
        <f>((SUMPRODUCT(U$9:U$229,Nutrients!$FK$8:$FK$228)+(IF($A$7=Nutrients!$B$8,Nutrients!$FK$8,Nutrients!$FK$9)*U$7)+(((IF($A$8=Nutrients!$B$79,Nutrients!$FK$79,(IF($A$8=Nutrients!$B$77,Nutrients!$FK$77,Nutrients!$FK$78)))))*U$8))/2000)</f>
        <v>1.7033272639768986</v>
      </c>
      <c r="W315" s="23">
        <f>((SUMPRODUCT(W$9:W$229,Nutrients!$FK$8:$FK$228)+(IF($A$7=Nutrients!$B$8,Nutrients!$FK$8,Nutrients!$FK$9)*W$7)+(((IF($A$8=Nutrients!$B$79,Nutrients!$FK$79,(IF($A$8=Nutrients!$B$77,Nutrients!$FK$77,Nutrients!$FK$78)))))*W$8))/2000)</f>
        <v>1.3979567514705442</v>
      </c>
      <c r="X315" s="23">
        <f>((SUMPRODUCT(X$9:X$229,Nutrients!$FK$8:$FK$228)+(IF($A$7=Nutrients!$B$8,Nutrients!$FK$8,Nutrients!$FK$9)*X$7)+(((IF($A$8=Nutrients!$B$79,Nutrients!$FK$79,(IF($A$8=Nutrients!$B$77,Nutrients!$FK$77,Nutrients!$FK$78)))))*X$8))/2000)</f>
        <v>1.4532433474949471</v>
      </c>
      <c r="Y315" s="23">
        <f>((SUMPRODUCT(Y$9:Y$229,Nutrients!$FK$8:$FK$228)+(IF($A$7=Nutrients!$B$8,Nutrients!$FK$8,Nutrients!$FK$9)*Y$7)+(((IF($A$8=Nutrients!$B$79,Nutrients!$FK$79,(IF($A$8=Nutrients!$B$77,Nutrients!$FK$77,Nutrients!$FK$78)))))*Y$8))/2000)</f>
        <v>1.5015077252725728</v>
      </c>
      <c r="Z315" s="23">
        <f>((SUMPRODUCT(Z$9:Z$229,Nutrients!$FK$8:$FK$228)+(IF($A$7=Nutrients!$B$8,Nutrients!$FK$8,Nutrients!$FK$9)*Z$7)+(((IF($A$8=Nutrients!$B$79,Nutrients!$FK$79,(IF($A$8=Nutrients!$B$77,Nutrients!$FK$77,Nutrients!$FK$78)))))*Z$8))/2000)</f>
        <v>1.5408245887607004</v>
      </c>
      <c r="AA315" s="23">
        <f>((SUMPRODUCT(AA$9:AA$229,Nutrients!$FK$8:$FK$228)+(IF($A$7=Nutrients!$B$8,Nutrients!$FK$8,Nutrients!$FK$9)*AA$7)+(((IF($A$8=Nutrients!$B$79,Nutrients!$FK$79,(IF($A$8=Nutrients!$B$77,Nutrients!$FK$77,Nutrients!$FK$78)))))*AA$8))/2000)</f>
        <v>1.5680664532702053</v>
      </c>
      <c r="AB315" s="23">
        <f>((SUMPRODUCT(AB$9:AB$229,Nutrients!$FK$8:$FK$228)+(IF($A$7=Nutrients!$B$8,Nutrients!$FK$8,Nutrients!$FK$9)*AB$7)+(((IF($A$8=Nutrients!$B$79,Nutrients!$FK$79,(IF($A$8=Nutrients!$B$77,Nutrients!$FK$77,Nutrients!$FK$78)))))*AB$8))/2000)</f>
        <v>1.7033272639768986</v>
      </c>
      <c r="AD315" s="23">
        <f>((SUMPRODUCT(AD$9:AD$229,Nutrients!$FK$8:$FK$228)+(IF($A$7=Nutrients!$B$8,Nutrients!$FK$8,Nutrients!$FK$9)*AD$7)+(((IF($A$8=Nutrients!$B$79,Nutrients!$FK$79,(IF($A$8=Nutrients!$B$77,Nutrients!$FK$77,Nutrients!$FK$78)))))*AD$8))/2000)</f>
        <v>1.3576584023571421</v>
      </c>
      <c r="AE315" s="23">
        <f>((SUMPRODUCT(AE$9:AE$229,Nutrients!$FK$8:$FK$228)+(IF($A$7=Nutrients!$B$8,Nutrients!$FK$8,Nutrients!$FK$9)*AE$7)+(((IF($A$8=Nutrients!$B$79,Nutrients!$FK$79,(IF($A$8=Nutrients!$B$77,Nutrients!$FK$77,Nutrients!$FK$78)))))*AE$8))/2000)</f>
        <v>1.4128812569507483</v>
      </c>
      <c r="AF315" s="23">
        <f>((SUMPRODUCT(AF$9:AF$229,Nutrients!$FK$8:$FK$228)+(IF($A$7=Nutrients!$B$8,Nutrients!$FK$8,Nutrients!$FK$9)*AF$7)+(((IF($A$8=Nutrients!$B$79,Nutrients!$FK$79,(IF($A$8=Nutrients!$B$77,Nutrients!$FK$77,Nutrients!$FK$78)))))*AF$8))/2000)</f>
        <v>1.4616195303483082</v>
      </c>
      <c r="AG315" s="23">
        <f>((SUMPRODUCT(AG$9:AG$229,Nutrients!$FK$8:$FK$228)+(IF($A$7=Nutrients!$B$8,Nutrients!$FK$8,Nutrients!$FK$9)*AG$7)+(((IF($A$8=Nutrients!$B$79,Nutrients!$FK$79,(IF($A$8=Nutrients!$B$77,Nutrients!$FK$77,Nutrients!$FK$78)))))*AG$8))/2000)</f>
        <v>1.5004593028645468</v>
      </c>
      <c r="AH315" s="23">
        <f>((SUMPRODUCT(AH$9:AH$229,Nutrients!$FK$8:$FK$228)+(IF($A$7=Nutrients!$B$8,Nutrients!$FK$8,Nutrients!$FK$9)*AH$7)+(((IF($A$8=Nutrients!$B$79,Nutrients!$FK$79,(IF($A$8=Nutrients!$B$77,Nutrients!$FK$77,Nutrients!$FK$78)))))*AH$8))/2000)</f>
        <v>1.528940178806409</v>
      </c>
      <c r="AI315" s="23">
        <f>((SUMPRODUCT(AI$9:AI$229,Nutrients!$FK$8:$FK$228)+(IF($A$7=Nutrients!$B$8,Nutrients!$FK$8,Nutrients!$FK$9)*AI$7)+(((IF($A$8=Nutrients!$B$79,Nutrients!$FK$79,(IF($A$8=Nutrients!$B$77,Nutrients!$FK$77,Nutrients!$FK$78)))))*AI$8))/2000)</f>
        <v>1.7033272639768986</v>
      </c>
      <c r="AK315" s="23">
        <f>((SUMPRODUCT(AK$9:AK$229,Nutrients!$FK$8:$FK$228)+(IF($A$7=Nutrients!$B$8,Nutrients!$FK$8,Nutrients!$FK$9)*AK$7)+(((IF($A$8=Nutrients!$B$79,Nutrients!$FK$79,(IF($A$8=Nutrients!$B$77,Nutrients!$FK$77,Nutrients!$FK$78)))))*AK$8))/2000)</f>
        <v>1.3184235919467664</v>
      </c>
      <c r="AL315" s="23">
        <f>((SUMPRODUCT(AL$9:AL$229,Nutrients!$FK$8:$FK$228)+(IF($A$7=Nutrients!$B$8,Nutrients!$FK$8,Nutrients!$FK$9)*AL$7)+(((IF($A$8=Nutrients!$B$79,Nutrients!$FK$79,(IF($A$8=Nutrients!$B$77,Nutrients!$FK$77,Nutrients!$FK$78)))))*AL$8))/2000)</f>
        <v>1.3725531798399504</v>
      </c>
      <c r="AM315" s="23">
        <f>((SUMPRODUCT(AM$9:AM$229,Nutrients!$FK$8:$FK$228)+(IF($A$7=Nutrients!$B$8,Nutrients!$FK$8,Nutrients!$FK$9)*AM$7)+(((IF($A$8=Nutrients!$B$79,Nutrients!$FK$79,(IF($A$8=Nutrients!$B$77,Nutrients!$FK$77,Nutrients!$FK$78)))))*AM$8))/2000)</f>
        <v>1.4210408417300584</v>
      </c>
      <c r="AN315" s="23">
        <f>((SUMPRODUCT(AN$9:AN$229,Nutrients!$FK$8:$FK$228)+(IF($A$7=Nutrients!$B$8,Nutrients!$FK$8,Nutrients!$FK$9)*AN$7)+(((IF($A$8=Nutrients!$B$79,Nutrients!$FK$79,(IF($A$8=Nutrients!$B$77,Nutrients!$FK$77,Nutrients!$FK$78)))))*AN$8))/2000)</f>
        <v>1.4606575179964951</v>
      </c>
      <c r="AO315" s="23">
        <f>((SUMPRODUCT(AO$9:AO$229,Nutrients!$FK$8:$FK$228)+(IF($A$7=Nutrients!$B$8,Nutrients!$FK$8,Nutrients!$FK$9)*AO$7)+(((IF($A$8=Nutrients!$B$79,Nutrients!$FK$79,(IF($A$8=Nutrients!$B$77,Nutrients!$FK$77,Nutrients!$FK$78)))))*AO$8))/2000)</f>
        <v>1.4908577272593544</v>
      </c>
      <c r="AP315" s="23">
        <f>((SUMPRODUCT(AP$9:AP$229,Nutrients!$FK$8:$FK$228)+(IF($A$7=Nutrients!$B$8,Nutrients!$FK$8,Nutrients!$FK$9)*AP$7)+(((IF($A$8=Nutrients!$B$79,Nutrients!$FK$79,(IF($A$8=Nutrients!$B$77,Nutrients!$FK$77,Nutrients!$FK$78)))))*AP$8))/2000)</f>
        <v>1.7033272639768986</v>
      </c>
      <c r="AR315" s="23">
        <f>((SUMPRODUCT(AR$9:AR$229,Nutrients!$FK$8:$FK$228)+(IF($A$7=Nutrients!$B$8,Nutrients!$FK$8,Nutrients!$FK$9)*AR$7)+(((IF($A$8=Nutrients!$B$79,Nutrients!$FK$79,(IF($A$8=Nutrients!$B$77,Nutrients!$FK$77,Nutrients!$FK$78)))))*AR$8))/2000)</f>
        <v>1.2777143483320366</v>
      </c>
      <c r="AS315" s="23">
        <f>((SUMPRODUCT(AS$9:AS$229,Nutrients!$FK$8:$FK$228)+(IF($A$7=Nutrients!$B$8,Nutrients!$FK$8,Nutrients!$FK$9)*AS$7)+(((IF($A$8=Nutrients!$B$79,Nutrients!$FK$79,(IF($A$8=Nutrients!$B$77,Nutrients!$FK$77,Nutrients!$FK$78)))))*AS$8))/2000)</f>
        <v>1.3322838510241022</v>
      </c>
      <c r="AT315" s="23">
        <f>((SUMPRODUCT(AT$9:AT$229,Nutrients!$FK$8:$FK$228)+(IF($A$7=Nutrients!$B$8,Nutrients!$FK$8,Nutrients!$FK$9)*AT$7)+(((IF($A$8=Nutrients!$B$79,Nutrients!$FK$79,(IF($A$8=Nutrients!$B$77,Nutrients!$FK$77,Nutrients!$FK$78)))))*AT$8))/2000)</f>
        <v>1.3800997420972081</v>
      </c>
      <c r="AU315" s="23">
        <f>((SUMPRODUCT(AU$9:AU$229,Nutrients!$FK$8:$FK$228)+(IF($A$7=Nutrients!$B$8,Nutrients!$FK$8,Nutrients!$FK$9)*AU$7)+(((IF($A$8=Nutrients!$B$79,Nutrients!$FK$79,(IF($A$8=Nutrients!$B$77,Nutrients!$FK$77,Nutrients!$FK$78)))))*AU$8))/2000)</f>
        <v>1.4225073367917505</v>
      </c>
      <c r="AV315" s="23">
        <f>((SUMPRODUCT(AV$9:AV$229,Nutrients!$FK$8:$FK$228)+(IF($A$7=Nutrients!$B$8,Nutrients!$FK$8,Nutrients!$FK$9)*AV$7)+(((IF($A$8=Nutrients!$B$79,Nutrients!$FK$79,(IF($A$8=Nutrients!$B$77,Nutrients!$FK$77,Nutrients!$FK$78)))))*AV$8))/2000)</f>
        <v>1.4527563398408716</v>
      </c>
      <c r="AW315" s="23">
        <f>((SUMPRODUCT(AW$9:AW$229,Nutrients!$FK$8:$FK$228)+(IF($A$7=Nutrients!$B$8,Nutrients!$FK$8,Nutrients!$FK$9)*AW$7)+(((IF($A$8=Nutrients!$B$79,Nutrients!$FK$79,(IF($A$8=Nutrients!$B$77,Nutrients!$FK$77,Nutrients!$FK$78)))))*AW$8))/2000)</f>
        <v>1.7033272639768986</v>
      </c>
    </row>
    <row r="316" spans="1:49" x14ac:dyDescent="0.25">
      <c r="A316" s="34" t="s">
        <v>403</v>
      </c>
      <c r="B316" s="22">
        <f>(SUMPRODUCT(B$9:B$229,Nutrients!$U$8:$U$228)+(IF($A$7=Nutrients!$B$8,Nutrients!$U$8,Nutrients!$U$9)*B$7)+(((IF($A$8=Nutrients!$B$79,Nutrients!$U$79,(IF($A$8=Nutrients!$B$77,Nutrients!$U$77,Nutrients!$U$78)))))*B$8))/2000</f>
        <v>8.5675537105360302</v>
      </c>
      <c r="C316" s="22">
        <f>(SUMPRODUCT(C$9:C$229,Nutrients!$U$8:$U$228)+(IF($A$7=Nutrients!$B$8,Nutrients!$U$8,Nutrients!$U$9)*C$7)+(((IF($A$8=Nutrients!$B$79,Nutrients!$U$79,(IF($A$8=Nutrients!$B$77,Nutrients!$U$77,Nutrients!$U$78)))))*C$8))/2000</f>
        <v>8.6397459364158564</v>
      </c>
      <c r="D316" s="22">
        <f>(SUMPRODUCT(D$9:D$229,Nutrients!$U$8:$U$228)+(IF($A$7=Nutrients!$B$8,Nutrients!$U$8,Nutrients!$U$9)*D$7)+(((IF($A$8=Nutrients!$B$79,Nutrients!$U$79,(IF($A$8=Nutrients!$B$77,Nutrients!$U$77,Nutrients!$U$78)))))*D$8))/2000</f>
        <v>8.7042340935531328</v>
      </c>
      <c r="E316" s="22">
        <f>(SUMPRODUCT(E$9:E$229,Nutrients!$U$8:$U$228)+(IF($A$7=Nutrients!$B$8,Nutrients!$U$8,Nutrients!$U$9)*E$7)+(((IF($A$8=Nutrients!$B$79,Nutrients!$U$79,(IF($A$8=Nutrients!$B$77,Nutrients!$U$77,Nutrients!$U$78)))))*E$8))/2000</f>
        <v>8.7574905031042753</v>
      </c>
      <c r="F316" s="22">
        <f>(SUMPRODUCT(F$9:F$229,Nutrients!$U$8:$U$228)+(IF($A$7=Nutrients!$B$8,Nutrients!$U$8,Nutrients!$U$9)*F$7)+(((IF($A$8=Nutrients!$B$79,Nutrients!$U$79,(IF($A$8=Nutrients!$B$77,Nutrients!$U$77,Nutrients!$U$78)))))*F$8))/2000</f>
        <v>8.7980354970428483</v>
      </c>
      <c r="G316" s="22">
        <f>(SUMPRODUCT(G$9:G$229,Nutrients!$U$8:$U$228)+(IF($A$7=Nutrients!$B$8,Nutrients!$U$8,Nutrients!$U$9)*G$7)+(((IF($A$8=Nutrients!$B$79,Nutrients!$U$79,(IF($A$8=Nutrients!$B$77,Nutrients!$U$77,Nutrients!$U$78)))))*G$8))/2000</f>
        <v>8.8153381410832843</v>
      </c>
      <c r="H316" s="228"/>
      <c r="I316" s="22">
        <f>(SUMPRODUCT(I$9:I$229,Nutrients!$U$8:$U$228)+(IF($A$7=Nutrients!$B$8,Nutrients!$U$8,Nutrients!$U$9)*I$7)+(((IF($A$8=Nutrients!$B$79,Nutrients!$U$79,(IF($A$8=Nutrients!$B$77,Nutrients!$U$77,Nutrients!$U$78)))))*I$8))/2000</f>
        <v>9.7249109022549316</v>
      </c>
      <c r="J316" s="22">
        <f>(SUMPRODUCT(J$9:J$229,Nutrients!$U$8:$U$228)+(IF($A$7=Nutrients!$B$8,Nutrients!$U$8,Nutrients!$U$9)*J$7)+(((IF($A$8=Nutrients!$B$79,Nutrients!$U$79,(IF($A$8=Nutrients!$B$77,Nutrients!$U$77,Nutrients!$U$78)))))*J$8))/2000</f>
        <v>9.7964931050631989</v>
      </c>
      <c r="K316" s="22">
        <f>(SUMPRODUCT(K$9:K$229,Nutrients!$U$8:$U$228)+(IF($A$7=Nutrients!$B$8,Nutrients!$U$8,Nutrients!$U$9)*K$7)+(((IF($A$8=Nutrients!$B$79,Nutrients!$U$79,(IF($A$8=Nutrients!$B$77,Nutrients!$U$77,Nutrients!$U$78)))))*K$8))/2000</f>
        <v>9.8620823208871773</v>
      </c>
      <c r="L316" s="22">
        <f>(SUMPRODUCT(L$9:L$229,Nutrients!$U$8:$U$228)+(IF($A$7=Nutrients!$B$8,Nutrients!$U$8,Nutrients!$U$9)*L$7)+(((IF($A$8=Nutrients!$B$79,Nutrients!$U$79,(IF($A$8=Nutrients!$B$77,Nutrients!$U$77,Nutrients!$U$78)))))*L$8))/2000</f>
        <v>9.9169687619060998</v>
      </c>
      <c r="M316" s="22">
        <f>(SUMPRODUCT(M$9:M$229,Nutrients!$U$8:$U$228)+(IF($A$7=Nutrients!$B$8,Nutrients!$U$8,Nutrients!$U$9)*M$7)+(((IF($A$8=Nutrients!$B$79,Nutrients!$U$79,(IF($A$8=Nutrients!$B$77,Nutrients!$U$77,Nutrients!$U$78)))))*M$8))/2000</f>
        <v>9.9563425413950952</v>
      </c>
      <c r="N316" s="22">
        <f>(SUMPRODUCT(N$9:N$229,Nutrients!$U$8:$U$228)+(IF($A$7=Nutrients!$B$8,Nutrients!$U$8,Nutrients!$U$9)*N$7)+(((IF($A$8=Nutrients!$B$79,Nutrients!$U$79,(IF($A$8=Nutrients!$B$77,Nutrients!$U$77,Nutrients!$U$78)))))*N$8))/2000</f>
        <v>8.8153381410832843</v>
      </c>
      <c r="O316" s="235"/>
      <c r="P316" s="22">
        <f>(SUMPRODUCT(P$9:P$229,Nutrients!$U$8:$U$228)+(IF($A$7=Nutrients!$B$8,Nutrients!$U$8,Nutrients!$U$9)*P$7)+(((IF($A$8=Nutrients!$B$79,Nutrients!$U$79,(IF($A$8=Nutrients!$B$77,Nutrients!$U$77,Nutrients!$U$78)))))*P$8))/2000</f>
        <v>10.88217629885041</v>
      </c>
      <c r="Q316" s="22">
        <f>(SUMPRODUCT(Q$9:Q$229,Nutrients!$U$8:$U$228)+(IF($A$7=Nutrients!$B$8,Nutrients!$U$8,Nutrients!$U$9)*Q$7)+(((IF($A$8=Nutrients!$B$79,Nutrients!$U$79,(IF($A$8=Nutrients!$B$77,Nutrients!$U$77,Nutrients!$U$78)))))*Q$8))/2000</f>
        <v>10.953584439917918</v>
      </c>
      <c r="R316" s="22">
        <f>(SUMPRODUCT(R$9:R$229,Nutrients!$U$8:$U$228)+(IF($A$7=Nutrients!$B$8,Nutrients!$U$8,Nutrients!$U$9)*R$7)+(((IF($A$8=Nutrients!$B$79,Nutrients!$U$79,(IF($A$8=Nutrients!$B$77,Nutrients!$U$77,Nutrients!$U$78)))))*R$8))/2000</f>
        <v>11.018910927897572</v>
      </c>
      <c r="S316" s="22">
        <f>(SUMPRODUCT(S$9:S$229,Nutrients!$U$8:$U$228)+(IF($A$7=Nutrients!$B$8,Nutrients!$U$8,Nutrients!$U$9)*S$7)+(((IF($A$8=Nutrients!$B$79,Nutrients!$U$79,(IF($A$8=Nutrients!$B$77,Nutrients!$U$77,Nutrients!$U$78)))))*S$8))/2000</f>
        <v>11.073900708285247</v>
      </c>
      <c r="T316" s="22">
        <f>(SUMPRODUCT(T$9:T$229,Nutrients!$U$8:$U$228)+(IF($A$7=Nutrients!$B$8,Nutrients!$U$8,Nutrients!$U$9)*T$7)+(((IF($A$8=Nutrients!$B$79,Nutrients!$U$79,(IF($A$8=Nutrients!$B$77,Nutrients!$U$77,Nutrients!$U$78)))))*T$8))/2000</f>
        <v>11.113016811836189</v>
      </c>
      <c r="U316" s="22">
        <f>(SUMPRODUCT(U$9:U$229,Nutrients!$U$8:$U$228)+(IF($A$7=Nutrients!$B$8,Nutrients!$U$8,Nutrients!$U$9)*U$7)+(((IF($A$8=Nutrients!$B$79,Nutrients!$U$79,(IF($A$8=Nutrients!$B$77,Nutrients!$U$77,Nutrients!$U$78)))))*U$8))/2000</f>
        <v>8.8153381410832843</v>
      </c>
      <c r="W316" s="22">
        <f>(SUMPRODUCT(W$9:W$229,Nutrients!$U$8:$U$228)+(IF($A$7=Nutrients!$B$8,Nutrients!$U$8,Nutrients!$U$9)*W$7)+(((IF($A$8=Nutrients!$B$79,Nutrients!$U$79,(IF($A$8=Nutrients!$B$77,Nutrients!$U$77,Nutrients!$U$78)))))*W$8))/2000</f>
        <v>12.039304367605698</v>
      </c>
      <c r="X316" s="22">
        <f>(SUMPRODUCT(X$9:X$229,Nutrients!$U$8:$U$228)+(IF($A$7=Nutrients!$B$8,Nutrients!$U$8,Nutrients!$U$9)*X$7)+(((IF($A$8=Nutrients!$B$79,Nutrients!$U$79,(IF($A$8=Nutrients!$B$77,Nutrients!$U$77,Nutrients!$U$78)))))*X$8))/2000</f>
        <v>12.110510949271651</v>
      </c>
      <c r="Y316" s="22">
        <f>(SUMPRODUCT(Y$9:Y$229,Nutrients!$U$8:$U$228)+(IF($A$7=Nutrients!$B$8,Nutrients!$U$8,Nutrients!$U$9)*Y$7)+(((IF($A$8=Nutrients!$B$79,Nutrients!$U$79,(IF($A$8=Nutrients!$B$77,Nutrients!$U$77,Nutrients!$U$78)))))*Y$8))/2000</f>
        <v>12.176132952118794</v>
      </c>
      <c r="Z316" s="22">
        <f>(SUMPRODUCT(Z$9:Z$229,Nutrients!$U$8:$U$228)+(IF($A$7=Nutrients!$B$8,Nutrients!$U$8,Nutrients!$U$9)*Z$7)+(((IF($A$8=Nutrients!$B$79,Nutrients!$U$79,(IF($A$8=Nutrients!$B$77,Nutrients!$U$77,Nutrients!$U$78)))))*Z$8))/2000</f>
        <v>12.231314527025717</v>
      </c>
      <c r="AA316" s="22">
        <f>(SUMPRODUCT(AA$9:AA$229,Nutrients!$U$8:$U$228)+(IF($A$7=Nutrients!$B$8,Nutrients!$U$8,Nutrients!$U$9)*AA$7)+(((IF($A$8=Nutrients!$B$79,Nutrients!$U$79,(IF($A$8=Nutrients!$B$77,Nutrients!$U$77,Nutrients!$U$78)))))*AA$8))/2000</f>
        <v>12.26936766276811</v>
      </c>
      <c r="AB316" s="22">
        <f>(SUMPRODUCT(AB$9:AB$229,Nutrients!$U$8:$U$228)+(IF($A$7=Nutrients!$B$8,Nutrients!$U$8,Nutrients!$U$9)*AB$7)+(((IF($A$8=Nutrients!$B$79,Nutrients!$U$79,(IF($A$8=Nutrients!$B$77,Nutrients!$U$77,Nutrients!$U$78)))))*AB$8))/2000</f>
        <v>8.8153381410832843</v>
      </c>
      <c r="AD316" s="22">
        <f>(SUMPRODUCT(AD$9:AD$229,Nutrients!$U$8:$U$228)+(IF($A$7=Nutrients!$B$8,Nutrients!$U$8,Nutrients!$U$9)*AD$7)+(((IF($A$8=Nutrients!$B$79,Nutrients!$U$79,(IF($A$8=Nutrients!$B$77,Nutrients!$U$77,Nutrients!$U$78)))))*AD$8))/2000</f>
        <v>13.196263888910565</v>
      </c>
      <c r="AE316" s="22">
        <f>(SUMPRODUCT(AE$9:AE$229,Nutrients!$U$8:$U$228)+(IF($A$7=Nutrients!$B$8,Nutrients!$U$8,Nutrients!$U$9)*AE$7)+(((IF($A$8=Nutrients!$B$79,Nutrients!$U$79,(IF($A$8=Nutrients!$B$77,Nutrients!$U$77,Nutrients!$U$78)))))*AE$8))/2000</f>
        <v>13.26754476729513</v>
      </c>
      <c r="AF316" s="22">
        <f>(SUMPRODUCT(AF$9:AF$229,Nutrients!$U$8:$U$228)+(IF($A$7=Nutrients!$B$8,Nutrients!$U$8,Nutrients!$U$9)*AF$7)+(((IF($A$8=Nutrients!$B$79,Nutrients!$U$79,(IF($A$8=Nutrients!$B$77,Nutrients!$U$77,Nutrients!$U$78)))))*AF$8))/2000</f>
        <v>13.333784731577465</v>
      </c>
      <c r="AG316" s="22">
        <f>(SUMPRODUCT(AG$9:AG$229,Nutrients!$U$8:$U$228)+(IF($A$7=Nutrients!$B$8,Nutrients!$U$8,Nutrients!$U$9)*AG$7)+(((IF($A$8=Nutrients!$B$79,Nutrients!$U$79,(IF($A$8=Nutrients!$B$77,Nutrients!$U$77,Nutrients!$U$78)))))*AG$8))/2000</f>
        <v>13.387381425794249</v>
      </c>
      <c r="AH316" s="22">
        <f>(SUMPRODUCT(AH$9:AH$229,Nutrients!$U$8:$U$228)+(IF($A$7=Nutrients!$B$8,Nutrients!$U$8,Nutrients!$U$9)*AH$7)+(((IF($A$8=Nutrients!$B$79,Nutrients!$U$79,(IF($A$8=Nutrients!$B$77,Nutrients!$U$77,Nutrients!$U$78)))))*AH$8))/2000</f>
        <v>13.41504497080839</v>
      </c>
      <c r="AI316" s="22">
        <f>(SUMPRODUCT(AI$9:AI$229,Nutrients!$U$8:$U$228)+(IF($A$7=Nutrients!$B$8,Nutrients!$U$8,Nutrients!$U$9)*AI$7)+(((IF($A$8=Nutrients!$B$79,Nutrients!$U$79,(IF($A$8=Nutrients!$B$77,Nutrients!$U$77,Nutrients!$U$78)))))*AI$8))/2000</f>
        <v>8.8153381410832843</v>
      </c>
      <c r="AK316" s="22">
        <f>(SUMPRODUCT(AK$9:AK$229,Nutrients!$U$8:$U$228)+(IF($A$7=Nutrients!$B$8,Nutrients!$U$8,Nutrients!$U$9)*AK$7)+(((IF($A$8=Nutrients!$B$79,Nutrients!$U$79,(IF($A$8=Nutrients!$B$77,Nutrients!$U$77,Nutrients!$U$78)))))*AK$8))/2000</f>
        <v>14.352040851084766</v>
      </c>
      <c r="AL316" s="22">
        <f>(SUMPRODUCT(AL$9:AL$229,Nutrients!$U$8:$U$228)+(IF($A$7=Nutrients!$B$8,Nutrients!$U$8,Nutrients!$U$9)*AL$7)+(((IF($A$8=Nutrients!$B$79,Nutrients!$U$79,(IF($A$8=Nutrients!$B$77,Nutrients!$U$77,Nutrients!$U$78)))))*AL$8))/2000</f>
        <v>14.424596036107788</v>
      </c>
      <c r="AM316" s="22">
        <f>(SUMPRODUCT(AM$9:AM$229,Nutrients!$U$8:$U$228)+(IF($A$7=Nutrients!$B$8,Nutrients!$U$8,Nutrients!$U$9)*AM$7)+(((IF($A$8=Nutrients!$B$79,Nutrients!$U$79,(IF($A$8=Nutrients!$B$77,Nutrients!$U$77,Nutrients!$U$78)))))*AM$8))/2000</f>
        <v>14.490157468268242</v>
      </c>
      <c r="AN316" s="22">
        <f>(SUMPRODUCT(AN$9:AN$229,Nutrients!$U$8:$U$228)+(IF($A$7=Nutrients!$B$8,Nutrients!$U$8,Nutrients!$U$9)*AN$7)+(((IF($A$8=Nutrients!$B$79,Nutrients!$U$79,(IF($A$8=Nutrients!$B$77,Nutrients!$U$77,Nutrients!$U$78)))))*AN$8))/2000</f>
        <v>14.534267496185688</v>
      </c>
      <c r="AO316" s="22">
        <f>(SUMPRODUCT(AO$9:AO$229,Nutrients!$U$8:$U$228)+(IF($A$7=Nutrients!$B$8,Nutrients!$U$8,Nutrients!$U$9)*AO$7)+(((IF($A$8=Nutrients!$B$79,Nutrients!$U$79,(IF($A$8=Nutrients!$B$77,Nutrients!$U$77,Nutrients!$U$78)))))*AO$8))/2000</f>
        <v>14.558028287748904</v>
      </c>
      <c r="AP316" s="22">
        <f>(SUMPRODUCT(AP$9:AP$229,Nutrients!$U$8:$U$228)+(IF($A$7=Nutrients!$B$8,Nutrients!$U$8,Nutrients!$U$9)*AP$7)+(((IF($A$8=Nutrients!$B$79,Nutrients!$U$79,(IF($A$8=Nutrients!$B$77,Nutrients!$U$77,Nutrients!$U$78)))))*AP$8))/2000</f>
        <v>8.8153381410832843</v>
      </c>
      <c r="AR316" s="22">
        <f>(SUMPRODUCT(AR$9:AR$229,Nutrients!$U$8:$U$228)+(IF($A$7=Nutrients!$B$8,Nutrients!$U$8,Nutrients!$U$9)*AR$7)+(((IF($A$8=Nutrients!$B$79,Nutrients!$U$79,(IF($A$8=Nutrients!$B$77,Nutrients!$U$77,Nutrients!$U$78)))))*AR$8))/2000</f>
        <v>15.509595274826999</v>
      </c>
      <c r="AS316" s="22">
        <f>(SUMPRODUCT(AS$9:AS$229,Nutrients!$U$8:$U$228)+(IF($A$7=Nutrients!$B$8,Nutrients!$U$8,Nutrients!$U$9)*AS$7)+(((IF($A$8=Nutrients!$B$79,Nutrients!$U$79,(IF($A$8=Nutrients!$B$77,Nutrients!$U$77,Nutrients!$U$78)))))*AS$8))/2000</f>
        <v>15.581637688794629</v>
      </c>
      <c r="AT316" s="22">
        <f>(SUMPRODUCT(AT$9:AT$229,Nutrients!$U$8:$U$228)+(IF($A$7=Nutrients!$B$8,Nutrients!$U$8,Nutrients!$U$9)*AT$7)+(((IF($A$8=Nutrients!$B$79,Nutrients!$U$79,(IF($A$8=Nutrients!$B$77,Nutrients!$U$77,Nutrients!$U$78)))))*AT$8))/2000</f>
        <v>15.644130597950809</v>
      </c>
      <c r="AU316" s="22">
        <f>(SUMPRODUCT(AU$9:AU$229,Nutrients!$U$8:$U$228)+(IF($A$7=Nutrients!$B$8,Nutrients!$U$8,Nutrients!$U$9)*AU$7)+(((IF($A$8=Nutrients!$B$79,Nutrients!$U$79,(IF($A$8=Nutrients!$B$77,Nutrients!$U$77,Nutrients!$U$78)))))*AU$8))/2000</f>
        <v>15.677286778377889</v>
      </c>
      <c r="AV316" s="22">
        <f>(SUMPRODUCT(AV$9:AV$229,Nutrients!$U$8:$U$228)+(IF($A$7=Nutrients!$B$8,Nutrients!$U$8,Nutrients!$U$9)*AV$7)+(((IF($A$8=Nutrients!$B$79,Nutrients!$U$79,(IF($A$8=Nutrients!$B$77,Nutrients!$U$77,Nutrients!$U$78)))))*AV$8))/2000</f>
        <v>15.700817905343778</v>
      </c>
      <c r="AW316" s="22">
        <f>(SUMPRODUCT(AW$9:AW$229,Nutrients!$U$8:$U$228)+(IF($A$7=Nutrients!$B$8,Nutrients!$U$8,Nutrients!$U$9)*AW$7)+(((IF($A$8=Nutrients!$B$79,Nutrients!$U$79,(IF($A$8=Nutrients!$B$77,Nutrients!$U$77,Nutrients!$U$78)))))*AW$8))/2000</f>
        <v>8.8153381410832843</v>
      </c>
    </row>
    <row r="317" spans="1:49" x14ac:dyDescent="0.25">
      <c r="A317" s="34" t="s">
        <v>416</v>
      </c>
      <c r="B317" s="23">
        <f t="shared" ref="B317:G317" si="212">B236/B253*100</f>
        <v>5.7412242387563301</v>
      </c>
      <c r="C317" s="23">
        <f t="shared" si="212"/>
        <v>5.6765331580798346</v>
      </c>
      <c r="D317" s="23">
        <f t="shared" si="212"/>
        <v>5.5885690783484616</v>
      </c>
      <c r="E317" s="23">
        <f t="shared" si="212"/>
        <v>5.5041200481878318</v>
      </c>
      <c r="F317" s="23">
        <f t="shared" si="212"/>
        <v>5.4256048182416317</v>
      </c>
      <c r="G317" s="23">
        <f t="shared" si="212"/>
        <v>5.3576040399978782</v>
      </c>
      <c r="H317" s="227"/>
      <c r="I317" s="23">
        <f t="shared" ref="I317:N317" si="213">I236/I253*100</f>
        <v>5.6471457868571635</v>
      </c>
      <c r="J317" s="23">
        <f t="shared" si="213"/>
        <v>5.5728246933621666</v>
      </c>
      <c r="K317" s="23">
        <f t="shared" si="213"/>
        <v>5.474875776532846</v>
      </c>
      <c r="L317" s="23">
        <f t="shared" si="213"/>
        <v>5.3803224710237618</v>
      </c>
      <c r="M317" s="23">
        <f t="shared" si="213"/>
        <v>5.2947626084481865</v>
      </c>
      <c r="N317" s="23">
        <f t="shared" si="213"/>
        <v>5.3576040399978782</v>
      </c>
      <c r="O317" s="198"/>
      <c r="P317" s="23">
        <f t="shared" ref="P317:U317" si="214">P236/P253*100</f>
        <v>5.556034676030265</v>
      </c>
      <c r="Q317" s="23">
        <f t="shared" si="214"/>
        <v>5.4726881521495914</v>
      </c>
      <c r="R317" s="23">
        <f t="shared" si="214"/>
        <v>5.3657943409874909</v>
      </c>
      <c r="S317" s="23">
        <f t="shared" si="214"/>
        <v>5.2623357830610029</v>
      </c>
      <c r="T317" s="23">
        <f t="shared" si="214"/>
        <v>5.1695203329617048</v>
      </c>
      <c r="U317" s="23">
        <f t="shared" si="214"/>
        <v>5.3576040399978782</v>
      </c>
      <c r="W317" s="23">
        <f t="shared" ref="W317:AB317" si="215">W236/W253*100</f>
        <v>5.4678366882763232</v>
      </c>
      <c r="X317" s="23">
        <f t="shared" si="215"/>
        <v>5.3761127614010435</v>
      </c>
      <c r="Y317" s="23">
        <f t="shared" si="215"/>
        <v>5.2609073804604982</v>
      </c>
      <c r="Z317" s="23">
        <f t="shared" si="215"/>
        <v>5.1501649454558676</v>
      </c>
      <c r="AA317" s="23">
        <f t="shared" si="215"/>
        <v>5.049175891539095</v>
      </c>
      <c r="AB317" s="23">
        <f t="shared" si="215"/>
        <v>5.3576040399978782</v>
      </c>
      <c r="AD317" s="23">
        <f t="shared" ref="AD317:AI317" si="216">AD236/AD253*100</f>
        <v>5.3824186832875913</v>
      </c>
      <c r="AE317" s="23">
        <f t="shared" si="216"/>
        <v>5.2828703981910428</v>
      </c>
      <c r="AF317" s="23">
        <f t="shared" si="216"/>
        <v>5.1617479451528947</v>
      </c>
      <c r="AG317" s="23">
        <f t="shared" si="216"/>
        <v>5.0405728958868146</v>
      </c>
      <c r="AH317" s="23">
        <f t="shared" si="216"/>
        <v>4.9363911033247669</v>
      </c>
      <c r="AI317" s="23">
        <f t="shared" si="216"/>
        <v>5.3576040399978782</v>
      </c>
      <c r="AK317" s="23">
        <f t="shared" ref="AK317:AP317" si="217">AK236/AK253*100</f>
        <v>5.2997888182538793</v>
      </c>
      <c r="AL317" s="23">
        <f t="shared" si="217"/>
        <v>5.192804683494793</v>
      </c>
      <c r="AM317" s="23">
        <f t="shared" si="217"/>
        <v>5.063368681752336</v>
      </c>
      <c r="AN317" s="23">
        <f t="shared" si="217"/>
        <v>4.9372472478562859</v>
      </c>
      <c r="AO317" s="23">
        <f t="shared" si="217"/>
        <v>4.8292059273023451</v>
      </c>
      <c r="AP317" s="23">
        <f t="shared" si="217"/>
        <v>5.3576040399978782</v>
      </c>
      <c r="AR317" s="23">
        <f t="shared" ref="AR317:AW317" si="218">AR236/AR253*100</f>
        <v>5.2198207519130149</v>
      </c>
      <c r="AS317" s="23">
        <f t="shared" si="218"/>
        <v>5.1061894912005954</v>
      </c>
      <c r="AT317" s="23">
        <f t="shared" si="218"/>
        <v>4.9694301927618243</v>
      </c>
      <c r="AU317" s="23">
        <f t="shared" si="218"/>
        <v>4.8389022426092705</v>
      </c>
      <c r="AV317" s="23">
        <f t="shared" si="218"/>
        <v>4.72612919130923</v>
      </c>
      <c r="AW317" s="23">
        <f t="shared" si="218"/>
        <v>5.3576040399978782</v>
      </c>
    </row>
    <row r="318" spans="1:49" x14ac:dyDescent="0.25">
      <c r="A318" s="34" t="s">
        <v>120</v>
      </c>
    </row>
    <row r="319" spans="1:49" x14ac:dyDescent="0.25">
      <c r="A319" s="34" t="s">
        <v>112</v>
      </c>
      <c r="B319" s="21">
        <f>(SUMPRODUCT(B$9:B$229,Nutrients!$EK$8:$EK$228)+(IF($A$7=Nutrients!$B$8,Nutrients!$EK$8,Nutrients!$EK$9)*B$7)+(((IF($A$8=Nutrients!$B$79,Nutrients!$EK$79,(IF($A$8=Nutrients!$B$77,Nutrients!$EK$77,Nutrients!$EK$78)))))*B$8))/2000*1000000</f>
        <v>110.11950000000002</v>
      </c>
      <c r="C319" s="21">
        <f>(SUMPRODUCT(C$9:C$229,Nutrients!$EK$8:$EK$228)+(IF($A$7=Nutrients!$B$8,Nutrients!$EK$8,Nutrients!$EK$9)*C$7)+(((IF($A$8=Nutrients!$B$79,Nutrients!$EK$79,(IF($A$8=Nutrients!$B$77,Nutrients!$EK$77,Nutrients!$EK$78)))))*C$8))/2000*1000000</f>
        <v>110.11950000000002</v>
      </c>
      <c r="D319" s="21">
        <f>(SUMPRODUCT(D$9:D$229,Nutrients!$EK$8:$EK$228)+(IF($A$7=Nutrients!$B$8,Nutrients!$EK$8,Nutrients!$EK$9)*D$7)+(((IF($A$8=Nutrients!$B$79,Nutrients!$EK$79,(IF($A$8=Nutrients!$B$77,Nutrients!$EK$77,Nutrients!$EK$78)))))*D$8))/2000*1000000</f>
        <v>91.766249999999999</v>
      </c>
      <c r="E319" s="21">
        <f>(SUMPRODUCT(E$9:E$229,Nutrients!$EK$8:$EK$228)+(IF($A$7=Nutrients!$B$8,Nutrients!$EK$8,Nutrients!$EK$9)*E$7)+(((IF($A$8=Nutrients!$B$79,Nutrients!$EK$79,(IF($A$8=Nutrients!$B$77,Nutrients!$EK$77,Nutrients!$EK$78)))))*E$8))/2000*1000000</f>
        <v>73.413000000000011</v>
      </c>
      <c r="F319" s="21">
        <f>(SUMPRODUCT(F$9:F$229,Nutrients!$EK$8:$EK$228)+(IF($A$7=Nutrients!$B$8,Nutrients!$EK$8,Nutrients!$EK$9)*F$7)+(((IF($A$8=Nutrients!$B$79,Nutrients!$EK$79,(IF($A$8=Nutrients!$B$77,Nutrients!$EK$77,Nutrients!$EK$78)))))*F$8))/2000*1000000</f>
        <v>55.059750000000008</v>
      </c>
      <c r="G319" s="21">
        <f>(SUMPRODUCT(G$9:G$229,Nutrients!$EK$8:$EK$228)+(IF($A$7=Nutrients!$B$8,Nutrients!$EK$8,Nutrients!$EK$9)*G$7)+(((IF($A$8=Nutrients!$B$79,Nutrients!$EK$79,(IF($A$8=Nutrients!$B$77,Nutrients!$EK$77,Nutrients!$EK$78)))))*G$8))/2000*1000000</f>
        <v>55.059750000000008</v>
      </c>
      <c r="H319" s="226"/>
      <c r="I319" s="21">
        <f>(SUMPRODUCT(I$9:I$229,Nutrients!$EK$8:$EK$228)+(IF($A$7=Nutrients!$B$8,Nutrients!$EK$8,Nutrients!$EK$9)*I$7)+(((IF($A$8=Nutrients!$B$79,Nutrients!$EK$79,(IF($A$8=Nutrients!$B$77,Nutrients!$EK$77,Nutrients!$EK$78)))))*I$8))/2000*1000000</f>
        <v>110.11950000000002</v>
      </c>
      <c r="J319" s="21">
        <f>(SUMPRODUCT(J$9:J$229,Nutrients!$EK$8:$EK$228)+(IF($A$7=Nutrients!$B$8,Nutrients!$EK$8,Nutrients!$EK$9)*J$7)+(((IF($A$8=Nutrients!$B$79,Nutrients!$EK$79,(IF($A$8=Nutrients!$B$77,Nutrients!$EK$77,Nutrients!$EK$78)))))*J$8))/2000*1000000</f>
        <v>110.11950000000002</v>
      </c>
      <c r="K319" s="21">
        <f>(SUMPRODUCT(K$9:K$229,Nutrients!$EK$8:$EK$228)+(IF($A$7=Nutrients!$B$8,Nutrients!$EK$8,Nutrients!$EK$9)*K$7)+(((IF($A$8=Nutrients!$B$79,Nutrients!$EK$79,(IF($A$8=Nutrients!$B$77,Nutrients!$EK$77,Nutrients!$EK$78)))))*K$8))/2000*1000000</f>
        <v>91.766249999999999</v>
      </c>
      <c r="L319" s="21">
        <f>(SUMPRODUCT(L$9:L$229,Nutrients!$EK$8:$EK$228)+(IF($A$7=Nutrients!$B$8,Nutrients!$EK$8,Nutrients!$EK$9)*L$7)+(((IF($A$8=Nutrients!$B$79,Nutrients!$EK$79,(IF($A$8=Nutrients!$B$77,Nutrients!$EK$77,Nutrients!$EK$78)))))*L$8))/2000*1000000</f>
        <v>73.413000000000011</v>
      </c>
      <c r="M319" s="21">
        <f>(SUMPRODUCT(M$9:M$229,Nutrients!$EK$8:$EK$228)+(IF($A$7=Nutrients!$B$8,Nutrients!$EK$8,Nutrients!$EK$9)*M$7)+(((IF($A$8=Nutrients!$B$79,Nutrients!$EK$79,(IF($A$8=Nutrients!$B$77,Nutrients!$EK$77,Nutrients!$EK$78)))))*M$8))/2000*1000000</f>
        <v>55.059750000000008</v>
      </c>
      <c r="N319" s="21">
        <f>(SUMPRODUCT(N$9:N$229,Nutrients!$EK$8:$EK$228)+(IF($A$7=Nutrients!$B$8,Nutrients!$EK$8,Nutrients!$EK$9)*N$7)+(((IF($A$8=Nutrients!$B$79,Nutrients!$EK$79,(IF($A$8=Nutrients!$B$77,Nutrients!$EK$77,Nutrients!$EK$78)))))*N$8))/2000*1000000</f>
        <v>55.059750000000008</v>
      </c>
      <c r="O319" s="234"/>
      <c r="P319" s="21">
        <f>(SUMPRODUCT(P$9:P$229,Nutrients!$EK$8:$EK$228)+(IF($A$7=Nutrients!$B$8,Nutrients!$EK$8,Nutrients!$EK$9)*P$7)+(((IF($A$8=Nutrients!$B$79,Nutrients!$EK$79,(IF($A$8=Nutrients!$B$77,Nutrients!$EK$77,Nutrients!$EK$78)))))*P$8))/2000*1000000</f>
        <v>110.11950000000002</v>
      </c>
      <c r="Q319" s="21">
        <f>(SUMPRODUCT(Q$9:Q$229,Nutrients!$EK$8:$EK$228)+(IF($A$7=Nutrients!$B$8,Nutrients!$EK$8,Nutrients!$EK$9)*Q$7)+(((IF($A$8=Nutrients!$B$79,Nutrients!$EK$79,(IF($A$8=Nutrients!$B$77,Nutrients!$EK$77,Nutrients!$EK$78)))))*Q$8))/2000*1000000</f>
        <v>110.11950000000002</v>
      </c>
      <c r="R319" s="21">
        <f>(SUMPRODUCT(R$9:R$229,Nutrients!$EK$8:$EK$228)+(IF($A$7=Nutrients!$B$8,Nutrients!$EK$8,Nutrients!$EK$9)*R$7)+(((IF($A$8=Nutrients!$B$79,Nutrients!$EK$79,(IF($A$8=Nutrients!$B$77,Nutrients!$EK$77,Nutrients!$EK$78)))))*R$8))/2000*1000000</f>
        <v>91.766249999999999</v>
      </c>
      <c r="S319" s="21">
        <f>(SUMPRODUCT(S$9:S$229,Nutrients!$EK$8:$EK$228)+(IF($A$7=Nutrients!$B$8,Nutrients!$EK$8,Nutrients!$EK$9)*S$7)+(((IF($A$8=Nutrients!$B$79,Nutrients!$EK$79,(IF($A$8=Nutrients!$B$77,Nutrients!$EK$77,Nutrients!$EK$78)))))*S$8))/2000*1000000</f>
        <v>73.413000000000011</v>
      </c>
      <c r="T319" s="21">
        <f>(SUMPRODUCT(T$9:T$229,Nutrients!$EK$8:$EK$228)+(IF($A$7=Nutrients!$B$8,Nutrients!$EK$8,Nutrients!$EK$9)*T$7)+(((IF($A$8=Nutrients!$B$79,Nutrients!$EK$79,(IF($A$8=Nutrients!$B$77,Nutrients!$EK$77,Nutrients!$EK$78)))))*T$8))/2000*1000000</f>
        <v>55.059750000000008</v>
      </c>
      <c r="U319" s="21">
        <f>(SUMPRODUCT(U$9:U$229,Nutrients!$EK$8:$EK$228)+(IF($A$7=Nutrients!$B$8,Nutrients!$EK$8,Nutrients!$EK$9)*U$7)+(((IF($A$8=Nutrients!$B$79,Nutrients!$EK$79,(IF($A$8=Nutrients!$B$77,Nutrients!$EK$77,Nutrients!$EK$78)))))*U$8))/2000*1000000</f>
        <v>55.059750000000008</v>
      </c>
      <c r="W319" s="21">
        <f>(SUMPRODUCT(W$9:W$229,Nutrients!$EK$8:$EK$228)+(IF($A$7=Nutrients!$B$8,Nutrients!$EK$8,Nutrients!$EK$9)*W$7)+(((IF($A$8=Nutrients!$B$79,Nutrients!$EK$79,(IF($A$8=Nutrients!$B$77,Nutrients!$EK$77,Nutrients!$EK$78)))))*W$8))/2000*1000000</f>
        <v>110.11950000000002</v>
      </c>
      <c r="X319" s="21">
        <f>(SUMPRODUCT(X$9:X$229,Nutrients!$EK$8:$EK$228)+(IF($A$7=Nutrients!$B$8,Nutrients!$EK$8,Nutrients!$EK$9)*X$7)+(((IF($A$8=Nutrients!$B$79,Nutrients!$EK$79,(IF($A$8=Nutrients!$B$77,Nutrients!$EK$77,Nutrients!$EK$78)))))*X$8))/2000*1000000</f>
        <v>110.11950000000002</v>
      </c>
      <c r="Y319" s="21">
        <f>(SUMPRODUCT(Y$9:Y$229,Nutrients!$EK$8:$EK$228)+(IF($A$7=Nutrients!$B$8,Nutrients!$EK$8,Nutrients!$EK$9)*Y$7)+(((IF($A$8=Nutrients!$B$79,Nutrients!$EK$79,(IF($A$8=Nutrients!$B$77,Nutrients!$EK$77,Nutrients!$EK$78)))))*Y$8))/2000*1000000</f>
        <v>91.766249999999999</v>
      </c>
      <c r="Z319" s="21">
        <f>(SUMPRODUCT(Z$9:Z$229,Nutrients!$EK$8:$EK$228)+(IF($A$7=Nutrients!$B$8,Nutrients!$EK$8,Nutrients!$EK$9)*Z$7)+(((IF($A$8=Nutrients!$B$79,Nutrients!$EK$79,(IF($A$8=Nutrients!$B$77,Nutrients!$EK$77,Nutrients!$EK$78)))))*Z$8))/2000*1000000</f>
        <v>73.413000000000011</v>
      </c>
      <c r="AA319" s="21">
        <f>(SUMPRODUCT(AA$9:AA$229,Nutrients!$EK$8:$EK$228)+(IF($A$7=Nutrients!$B$8,Nutrients!$EK$8,Nutrients!$EK$9)*AA$7)+(((IF($A$8=Nutrients!$B$79,Nutrients!$EK$79,(IF($A$8=Nutrients!$B$77,Nutrients!$EK$77,Nutrients!$EK$78)))))*AA$8))/2000*1000000</f>
        <v>55.059750000000008</v>
      </c>
      <c r="AB319" s="21">
        <f>(SUMPRODUCT(AB$9:AB$229,Nutrients!$EK$8:$EK$228)+(IF($A$7=Nutrients!$B$8,Nutrients!$EK$8,Nutrients!$EK$9)*AB$7)+(((IF($A$8=Nutrients!$B$79,Nutrients!$EK$79,(IF($A$8=Nutrients!$B$77,Nutrients!$EK$77,Nutrients!$EK$78)))))*AB$8))/2000*1000000</f>
        <v>55.059750000000008</v>
      </c>
      <c r="AD319" s="21">
        <f>(SUMPRODUCT(AD$9:AD$229,Nutrients!$EK$8:$EK$228)+(IF($A$7=Nutrients!$B$8,Nutrients!$EK$8,Nutrients!$EK$9)*AD$7)+(((IF($A$8=Nutrients!$B$79,Nutrients!$EK$79,(IF($A$8=Nutrients!$B$77,Nutrients!$EK$77,Nutrients!$EK$78)))))*AD$8))/2000*1000000</f>
        <v>110.11950000000002</v>
      </c>
      <c r="AE319" s="21">
        <f>(SUMPRODUCT(AE$9:AE$229,Nutrients!$EK$8:$EK$228)+(IF($A$7=Nutrients!$B$8,Nutrients!$EK$8,Nutrients!$EK$9)*AE$7)+(((IF($A$8=Nutrients!$B$79,Nutrients!$EK$79,(IF($A$8=Nutrients!$B$77,Nutrients!$EK$77,Nutrients!$EK$78)))))*AE$8))/2000*1000000</f>
        <v>110.11950000000002</v>
      </c>
      <c r="AF319" s="21">
        <f>(SUMPRODUCT(AF$9:AF$229,Nutrients!$EK$8:$EK$228)+(IF($A$7=Nutrients!$B$8,Nutrients!$EK$8,Nutrients!$EK$9)*AF$7)+(((IF($A$8=Nutrients!$B$79,Nutrients!$EK$79,(IF($A$8=Nutrients!$B$77,Nutrients!$EK$77,Nutrients!$EK$78)))))*AF$8))/2000*1000000</f>
        <v>91.766249999999999</v>
      </c>
      <c r="AG319" s="21">
        <f>(SUMPRODUCT(AG$9:AG$229,Nutrients!$EK$8:$EK$228)+(IF($A$7=Nutrients!$B$8,Nutrients!$EK$8,Nutrients!$EK$9)*AG$7)+(((IF($A$8=Nutrients!$B$79,Nutrients!$EK$79,(IF($A$8=Nutrients!$B$77,Nutrients!$EK$77,Nutrients!$EK$78)))))*AG$8))/2000*1000000</f>
        <v>73.413000000000011</v>
      </c>
      <c r="AH319" s="21">
        <f>(SUMPRODUCT(AH$9:AH$229,Nutrients!$EK$8:$EK$228)+(IF($A$7=Nutrients!$B$8,Nutrients!$EK$8,Nutrients!$EK$9)*AH$7)+(((IF($A$8=Nutrients!$B$79,Nutrients!$EK$79,(IF($A$8=Nutrients!$B$77,Nutrients!$EK$77,Nutrients!$EK$78)))))*AH$8))/2000*1000000</f>
        <v>55.059750000000008</v>
      </c>
      <c r="AI319" s="21">
        <f>(SUMPRODUCT(AI$9:AI$229,Nutrients!$EK$8:$EK$228)+(IF($A$7=Nutrients!$B$8,Nutrients!$EK$8,Nutrients!$EK$9)*AI$7)+(((IF($A$8=Nutrients!$B$79,Nutrients!$EK$79,(IF($A$8=Nutrients!$B$77,Nutrients!$EK$77,Nutrients!$EK$78)))))*AI$8))/2000*1000000</f>
        <v>55.059750000000008</v>
      </c>
      <c r="AK319" s="21">
        <f>(SUMPRODUCT(AK$9:AK$229,Nutrients!$EK$8:$EK$228)+(IF($A$7=Nutrients!$B$8,Nutrients!$EK$8,Nutrients!$EK$9)*AK$7)+(((IF($A$8=Nutrients!$B$79,Nutrients!$EK$79,(IF($A$8=Nutrients!$B$77,Nutrients!$EK$77,Nutrients!$EK$78)))))*AK$8))/2000*1000000</f>
        <v>110.11950000000002</v>
      </c>
      <c r="AL319" s="21">
        <f>(SUMPRODUCT(AL$9:AL$229,Nutrients!$EK$8:$EK$228)+(IF($A$7=Nutrients!$B$8,Nutrients!$EK$8,Nutrients!$EK$9)*AL$7)+(((IF($A$8=Nutrients!$B$79,Nutrients!$EK$79,(IF($A$8=Nutrients!$B$77,Nutrients!$EK$77,Nutrients!$EK$78)))))*AL$8))/2000*1000000</f>
        <v>110.11950000000002</v>
      </c>
      <c r="AM319" s="21">
        <f>(SUMPRODUCT(AM$9:AM$229,Nutrients!$EK$8:$EK$228)+(IF($A$7=Nutrients!$B$8,Nutrients!$EK$8,Nutrients!$EK$9)*AM$7)+(((IF($A$8=Nutrients!$B$79,Nutrients!$EK$79,(IF($A$8=Nutrients!$B$77,Nutrients!$EK$77,Nutrients!$EK$78)))))*AM$8))/2000*1000000</f>
        <v>91.766249999999999</v>
      </c>
      <c r="AN319" s="21">
        <f>(SUMPRODUCT(AN$9:AN$229,Nutrients!$EK$8:$EK$228)+(IF($A$7=Nutrients!$B$8,Nutrients!$EK$8,Nutrients!$EK$9)*AN$7)+(((IF($A$8=Nutrients!$B$79,Nutrients!$EK$79,(IF($A$8=Nutrients!$B$77,Nutrients!$EK$77,Nutrients!$EK$78)))))*AN$8))/2000*1000000</f>
        <v>73.413000000000011</v>
      </c>
      <c r="AO319" s="21">
        <f>(SUMPRODUCT(AO$9:AO$229,Nutrients!$EK$8:$EK$228)+(IF($A$7=Nutrients!$B$8,Nutrients!$EK$8,Nutrients!$EK$9)*AO$7)+(((IF($A$8=Nutrients!$B$79,Nutrients!$EK$79,(IF($A$8=Nutrients!$B$77,Nutrients!$EK$77,Nutrients!$EK$78)))))*AO$8))/2000*1000000</f>
        <v>55.059750000000008</v>
      </c>
      <c r="AP319" s="21">
        <f>(SUMPRODUCT(AP$9:AP$229,Nutrients!$EK$8:$EK$228)+(IF($A$7=Nutrients!$B$8,Nutrients!$EK$8,Nutrients!$EK$9)*AP$7)+(((IF($A$8=Nutrients!$B$79,Nutrients!$EK$79,(IF($A$8=Nutrients!$B$77,Nutrients!$EK$77,Nutrients!$EK$78)))))*AP$8))/2000*1000000</f>
        <v>55.059750000000008</v>
      </c>
      <c r="AR319" s="21">
        <f>(SUMPRODUCT(AR$9:AR$229,Nutrients!$EK$8:$EK$228)+(IF($A$7=Nutrients!$B$8,Nutrients!$EK$8,Nutrients!$EK$9)*AR$7)+(((IF($A$8=Nutrients!$B$79,Nutrients!$EK$79,(IF($A$8=Nutrients!$B$77,Nutrients!$EK$77,Nutrients!$EK$78)))))*AR$8))/2000*1000000</f>
        <v>110.11950000000002</v>
      </c>
      <c r="AS319" s="21">
        <f>(SUMPRODUCT(AS$9:AS$229,Nutrients!$EK$8:$EK$228)+(IF($A$7=Nutrients!$B$8,Nutrients!$EK$8,Nutrients!$EK$9)*AS$7)+(((IF($A$8=Nutrients!$B$79,Nutrients!$EK$79,(IF($A$8=Nutrients!$B$77,Nutrients!$EK$77,Nutrients!$EK$78)))))*AS$8))/2000*1000000</f>
        <v>110.11950000000002</v>
      </c>
      <c r="AT319" s="21">
        <f>(SUMPRODUCT(AT$9:AT$229,Nutrients!$EK$8:$EK$228)+(IF($A$7=Nutrients!$B$8,Nutrients!$EK$8,Nutrients!$EK$9)*AT$7)+(((IF($A$8=Nutrients!$B$79,Nutrients!$EK$79,(IF($A$8=Nutrients!$B$77,Nutrients!$EK$77,Nutrients!$EK$78)))))*AT$8))/2000*1000000</f>
        <v>91.766249999999999</v>
      </c>
      <c r="AU319" s="21">
        <f>(SUMPRODUCT(AU$9:AU$229,Nutrients!$EK$8:$EK$228)+(IF($A$7=Nutrients!$B$8,Nutrients!$EK$8,Nutrients!$EK$9)*AU$7)+(((IF($A$8=Nutrients!$B$79,Nutrients!$EK$79,(IF($A$8=Nutrients!$B$77,Nutrients!$EK$77,Nutrients!$EK$78)))))*AU$8))/2000*1000000</f>
        <v>73.413000000000011</v>
      </c>
      <c r="AV319" s="21">
        <f>(SUMPRODUCT(AV$9:AV$229,Nutrients!$EK$8:$EK$228)+(IF($A$7=Nutrients!$B$8,Nutrients!$EK$8,Nutrients!$EK$9)*AV$7)+(((IF($A$8=Nutrients!$B$79,Nutrients!$EK$79,(IF($A$8=Nutrients!$B$77,Nutrients!$EK$77,Nutrients!$EK$78)))))*AV$8))/2000*1000000</f>
        <v>55.059750000000008</v>
      </c>
      <c r="AW319" s="21">
        <f>(SUMPRODUCT(AW$9:AW$229,Nutrients!$EK$8:$EK$228)+(IF($A$7=Nutrients!$B$8,Nutrients!$EK$8,Nutrients!$EK$9)*AW$7)+(((IF($A$8=Nutrients!$B$79,Nutrients!$EK$79,(IF($A$8=Nutrients!$B$77,Nutrients!$EK$77,Nutrients!$EK$78)))))*AW$8))/2000*1000000</f>
        <v>55.059750000000008</v>
      </c>
    </row>
    <row r="320" spans="1:49" x14ac:dyDescent="0.25">
      <c r="A320" s="34" t="s">
        <v>113</v>
      </c>
      <c r="B320" s="21">
        <f>(SUMPRODUCT(B$9:B$229,Nutrients!$EL$8:$EL$228)+(IF($A$7=Nutrients!$B$8,Nutrients!$EL$8,Nutrients!$EL$9)*B$7)+(((IF($A$8=Nutrients!$B$79,Nutrients!$EL$79,(IF($A$8=Nutrients!$B$77,Nutrients!$EL$77,Nutrients!$EL$78)))))*B$8))/2000*1000000</f>
        <v>110.11950000000002</v>
      </c>
      <c r="C320" s="21">
        <f>(SUMPRODUCT(C$9:C$229,Nutrients!$EL$8:$EL$228)+(IF($A$7=Nutrients!$B$8,Nutrients!$EL$8,Nutrients!$EL$9)*C$7)+(((IF($A$8=Nutrients!$B$79,Nutrients!$EL$79,(IF($A$8=Nutrients!$B$77,Nutrients!$EL$77,Nutrients!$EL$78)))))*C$8))/2000*1000000</f>
        <v>110.11950000000002</v>
      </c>
      <c r="D320" s="21">
        <f>(SUMPRODUCT(D$9:D$229,Nutrients!$EL$8:$EL$228)+(IF($A$7=Nutrients!$B$8,Nutrients!$EL$8,Nutrients!$EL$9)*D$7)+(((IF($A$8=Nutrients!$B$79,Nutrients!$EL$79,(IF($A$8=Nutrients!$B$77,Nutrients!$EL$77,Nutrients!$EL$78)))))*D$8))/2000*1000000</f>
        <v>91.766249999999999</v>
      </c>
      <c r="E320" s="21">
        <f>(SUMPRODUCT(E$9:E$229,Nutrients!$EL$8:$EL$228)+(IF($A$7=Nutrients!$B$8,Nutrients!$EL$8,Nutrients!$EL$9)*E$7)+(((IF($A$8=Nutrients!$B$79,Nutrients!$EL$79,(IF($A$8=Nutrients!$B$77,Nutrients!$EL$77,Nutrients!$EL$78)))))*E$8))/2000*1000000</f>
        <v>73.413000000000011</v>
      </c>
      <c r="F320" s="21">
        <f>(SUMPRODUCT(F$9:F$229,Nutrients!$EL$8:$EL$228)+(IF($A$7=Nutrients!$B$8,Nutrients!$EL$8,Nutrients!$EL$9)*F$7)+(((IF($A$8=Nutrients!$B$79,Nutrients!$EL$79,(IF($A$8=Nutrients!$B$77,Nutrients!$EL$77,Nutrients!$EL$78)))))*F$8))/2000*1000000</f>
        <v>55.059750000000008</v>
      </c>
      <c r="G320" s="21">
        <f>(SUMPRODUCT(G$9:G$229,Nutrients!$EL$8:$EL$228)+(IF($A$7=Nutrients!$B$8,Nutrients!$EL$8,Nutrients!$EL$9)*G$7)+(((IF($A$8=Nutrients!$B$79,Nutrients!$EL$79,(IF($A$8=Nutrients!$B$77,Nutrients!$EL$77,Nutrients!$EL$78)))))*G$8))/2000*1000000</f>
        <v>55.059750000000008</v>
      </c>
      <c r="H320" s="226"/>
      <c r="I320" s="21">
        <f>(SUMPRODUCT(I$9:I$229,Nutrients!$EL$8:$EL$228)+(IF($A$7=Nutrients!$B$8,Nutrients!$EL$8,Nutrients!$EL$9)*I$7)+(((IF($A$8=Nutrients!$B$79,Nutrients!$EL$79,(IF($A$8=Nutrients!$B$77,Nutrients!$EL$77,Nutrients!$EL$78)))))*I$8))/2000*1000000</f>
        <v>110.11950000000002</v>
      </c>
      <c r="J320" s="21">
        <f>(SUMPRODUCT(J$9:J$229,Nutrients!$EL$8:$EL$228)+(IF($A$7=Nutrients!$B$8,Nutrients!$EL$8,Nutrients!$EL$9)*J$7)+(((IF($A$8=Nutrients!$B$79,Nutrients!$EL$79,(IF($A$8=Nutrients!$B$77,Nutrients!$EL$77,Nutrients!$EL$78)))))*J$8))/2000*1000000</f>
        <v>110.11950000000002</v>
      </c>
      <c r="K320" s="21">
        <f>(SUMPRODUCT(K$9:K$229,Nutrients!$EL$8:$EL$228)+(IF($A$7=Nutrients!$B$8,Nutrients!$EL$8,Nutrients!$EL$9)*K$7)+(((IF($A$8=Nutrients!$B$79,Nutrients!$EL$79,(IF($A$8=Nutrients!$B$77,Nutrients!$EL$77,Nutrients!$EL$78)))))*K$8))/2000*1000000</f>
        <v>91.766249999999999</v>
      </c>
      <c r="L320" s="21">
        <f>(SUMPRODUCT(L$9:L$229,Nutrients!$EL$8:$EL$228)+(IF($A$7=Nutrients!$B$8,Nutrients!$EL$8,Nutrients!$EL$9)*L$7)+(((IF($A$8=Nutrients!$B$79,Nutrients!$EL$79,(IF($A$8=Nutrients!$B$77,Nutrients!$EL$77,Nutrients!$EL$78)))))*L$8))/2000*1000000</f>
        <v>73.413000000000011</v>
      </c>
      <c r="M320" s="21">
        <f>(SUMPRODUCT(M$9:M$229,Nutrients!$EL$8:$EL$228)+(IF($A$7=Nutrients!$B$8,Nutrients!$EL$8,Nutrients!$EL$9)*M$7)+(((IF($A$8=Nutrients!$B$79,Nutrients!$EL$79,(IF($A$8=Nutrients!$B$77,Nutrients!$EL$77,Nutrients!$EL$78)))))*M$8))/2000*1000000</f>
        <v>55.059750000000008</v>
      </c>
      <c r="N320" s="21">
        <f>(SUMPRODUCT(N$9:N$229,Nutrients!$EL$8:$EL$228)+(IF($A$7=Nutrients!$B$8,Nutrients!$EL$8,Nutrients!$EL$9)*N$7)+(((IF($A$8=Nutrients!$B$79,Nutrients!$EL$79,(IF($A$8=Nutrients!$B$77,Nutrients!$EL$77,Nutrients!$EL$78)))))*N$8))/2000*1000000</f>
        <v>55.059750000000008</v>
      </c>
      <c r="O320" s="234"/>
      <c r="P320" s="21">
        <f>(SUMPRODUCT(P$9:P$229,Nutrients!$EL$8:$EL$228)+(IF($A$7=Nutrients!$B$8,Nutrients!$EL$8,Nutrients!$EL$9)*P$7)+(((IF($A$8=Nutrients!$B$79,Nutrients!$EL$79,(IF($A$8=Nutrients!$B$77,Nutrients!$EL$77,Nutrients!$EL$78)))))*P$8))/2000*1000000</f>
        <v>110.11950000000002</v>
      </c>
      <c r="Q320" s="21">
        <f>(SUMPRODUCT(Q$9:Q$229,Nutrients!$EL$8:$EL$228)+(IF($A$7=Nutrients!$B$8,Nutrients!$EL$8,Nutrients!$EL$9)*Q$7)+(((IF($A$8=Nutrients!$B$79,Nutrients!$EL$79,(IF($A$8=Nutrients!$B$77,Nutrients!$EL$77,Nutrients!$EL$78)))))*Q$8))/2000*1000000</f>
        <v>110.11950000000002</v>
      </c>
      <c r="R320" s="21">
        <f>(SUMPRODUCT(R$9:R$229,Nutrients!$EL$8:$EL$228)+(IF($A$7=Nutrients!$B$8,Nutrients!$EL$8,Nutrients!$EL$9)*R$7)+(((IF($A$8=Nutrients!$B$79,Nutrients!$EL$79,(IF($A$8=Nutrients!$B$77,Nutrients!$EL$77,Nutrients!$EL$78)))))*R$8))/2000*1000000</f>
        <v>91.766249999999999</v>
      </c>
      <c r="S320" s="21">
        <f>(SUMPRODUCT(S$9:S$229,Nutrients!$EL$8:$EL$228)+(IF($A$7=Nutrients!$B$8,Nutrients!$EL$8,Nutrients!$EL$9)*S$7)+(((IF($A$8=Nutrients!$B$79,Nutrients!$EL$79,(IF($A$8=Nutrients!$B$77,Nutrients!$EL$77,Nutrients!$EL$78)))))*S$8))/2000*1000000</f>
        <v>73.413000000000011</v>
      </c>
      <c r="T320" s="21">
        <f>(SUMPRODUCT(T$9:T$229,Nutrients!$EL$8:$EL$228)+(IF($A$7=Nutrients!$B$8,Nutrients!$EL$8,Nutrients!$EL$9)*T$7)+(((IF($A$8=Nutrients!$B$79,Nutrients!$EL$79,(IF($A$8=Nutrients!$B$77,Nutrients!$EL$77,Nutrients!$EL$78)))))*T$8))/2000*1000000</f>
        <v>55.059750000000008</v>
      </c>
      <c r="U320" s="21">
        <f>(SUMPRODUCT(U$9:U$229,Nutrients!$EL$8:$EL$228)+(IF($A$7=Nutrients!$B$8,Nutrients!$EL$8,Nutrients!$EL$9)*U$7)+(((IF($A$8=Nutrients!$B$79,Nutrients!$EL$79,(IF($A$8=Nutrients!$B$77,Nutrients!$EL$77,Nutrients!$EL$78)))))*U$8))/2000*1000000</f>
        <v>55.059750000000008</v>
      </c>
      <c r="W320" s="21">
        <f>(SUMPRODUCT(W$9:W$229,Nutrients!$EL$8:$EL$228)+(IF($A$7=Nutrients!$B$8,Nutrients!$EL$8,Nutrients!$EL$9)*W$7)+(((IF($A$8=Nutrients!$B$79,Nutrients!$EL$79,(IF($A$8=Nutrients!$B$77,Nutrients!$EL$77,Nutrients!$EL$78)))))*W$8))/2000*1000000</f>
        <v>110.11950000000002</v>
      </c>
      <c r="X320" s="21">
        <f>(SUMPRODUCT(X$9:X$229,Nutrients!$EL$8:$EL$228)+(IF($A$7=Nutrients!$B$8,Nutrients!$EL$8,Nutrients!$EL$9)*X$7)+(((IF($A$8=Nutrients!$B$79,Nutrients!$EL$79,(IF($A$8=Nutrients!$B$77,Nutrients!$EL$77,Nutrients!$EL$78)))))*X$8))/2000*1000000</f>
        <v>110.11950000000002</v>
      </c>
      <c r="Y320" s="21">
        <f>(SUMPRODUCT(Y$9:Y$229,Nutrients!$EL$8:$EL$228)+(IF($A$7=Nutrients!$B$8,Nutrients!$EL$8,Nutrients!$EL$9)*Y$7)+(((IF($A$8=Nutrients!$B$79,Nutrients!$EL$79,(IF($A$8=Nutrients!$B$77,Nutrients!$EL$77,Nutrients!$EL$78)))))*Y$8))/2000*1000000</f>
        <v>91.766249999999999</v>
      </c>
      <c r="Z320" s="21">
        <f>(SUMPRODUCT(Z$9:Z$229,Nutrients!$EL$8:$EL$228)+(IF($A$7=Nutrients!$B$8,Nutrients!$EL$8,Nutrients!$EL$9)*Z$7)+(((IF($A$8=Nutrients!$B$79,Nutrients!$EL$79,(IF($A$8=Nutrients!$B$77,Nutrients!$EL$77,Nutrients!$EL$78)))))*Z$8))/2000*1000000</f>
        <v>73.413000000000011</v>
      </c>
      <c r="AA320" s="21">
        <f>(SUMPRODUCT(AA$9:AA$229,Nutrients!$EL$8:$EL$228)+(IF($A$7=Nutrients!$B$8,Nutrients!$EL$8,Nutrients!$EL$9)*AA$7)+(((IF($A$8=Nutrients!$B$79,Nutrients!$EL$79,(IF($A$8=Nutrients!$B$77,Nutrients!$EL$77,Nutrients!$EL$78)))))*AA$8))/2000*1000000</f>
        <v>55.059750000000008</v>
      </c>
      <c r="AB320" s="21">
        <f>(SUMPRODUCT(AB$9:AB$229,Nutrients!$EL$8:$EL$228)+(IF($A$7=Nutrients!$B$8,Nutrients!$EL$8,Nutrients!$EL$9)*AB$7)+(((IF($A$8=Nutrients!$B$79,Nutrients!$EL$79,(IF($A$8=Nutrients!$B$77,Nutrients!$EL$77,Nutrients!$EL$78)))))*AB$8))/2000*1000000</f>
        <v>55.059750000000008</v>
      </c>
      <c r="AD320" s="21">
        <f>(SUMPRODUCT(AD$9:AD$229,Nutrients!$EL$8:$EL$228)+(IF($A$7=Nutrients!$B$8,Nutrients!$EL$8,Nutrients!$EL$9)*AD$7)+(((IF($A$8=Nutrients!$B$79,Nutrients!$EL$79,(IF($A$8=Nutrients!$B$77,Nutrients!$EL$77,Nutrients!$EL$78)))))*AD$8))/2000*1000000</f>
        <v>110.11950000000002</v>
      </c>
      <c r="AE320" s="21">
        <f>(SUMPRODUCT(AE$9:AE$229,Nutrients!$EL$8:$EL$228)+(IF($A$7=Nutrients!$B$8,Nutrients!$EL$8,Nutrients!$EL$9)*AE$7)+(((IF($A$8=Nutrients!$B$79,Nutrients!$EL$79,(IF($A$8=Nutrients!$B$77,Nutrients!$EL$77,Nutrients!$EL$78)))))*AE$8))/2000*1000000</f>
        <v>110.11950000000002</v>
      </c>
      <c r="AF320" s="21">
        <f>(SUMPRODUCT(AF$9:AF$229,Nutrients!$EL$8:$EL$228)+(IF($A$7=Nutrients!$B$8,Nutrients!$EL$8,Nutrients!$EL$9)*AF$7)+(((IF($A$8=Nutrients!$B$79,Nutrients!$EL$79,(IF($A$8=Nutrients!$B$77,Nutrients!$EL$77,Nutrients!$EL$78)))))*AF$8))/2000*1000000</f>
        <v>91.766249999999999</v>
      </c>
      <c r="AG320" s="21">
        <f>(SUMPRODUCT(AG$9:AG$229,Nutrients!$EL$8:$EL$228)+(IF($A$7=Nutrients!$B$8,Nutrients!$EL$8,Nutrients!$EL$9)*AG$7)+(((IF($A$8=Nutrients!$B$79,Nutrients!$EL$79,(IF($A$8=Nutrients!$B$77,Nutrients!$EL$77,Nutrients!$EL$78)))))*AG$8))/2000*1000000</f>
        <v>73.413000000000011</v>
      </c>
      <c r="AH320" s="21">
        <f>(SUMPRODUCT(AH$9:AH$229,Nutrients!$EL$8:$EL$228)+(IF($A$7=Nutrients!$B$8,Nutrients!$EL$8,Nutrients!$EL$9)*AH$7)+(((IF($A$8=Nutrients!$B$79,Nutrients!$EL$79,(IF($A$8=Nutrients!$B$77,Nutrients!$EL$77,Nutrients!$EL$78)))))*AH$8))/2000*1000000</f>
        <v>55.059750000000008</v>
      </c>
      <c r="AI320" s="21">
        <f>(SUMPRODUCT(AI$9:AI$229,Nutrients!$EL$8:$EL$228)+(IF($A$7=Nutrients!$B$8,Nutrients!$EL$8,Nutrients!$EL$9)*AI$7)+(((IF($A$8=Nutrients!$B$79,Nutrients!$EL$79,(IF($A$8=Nutrients!$B$77,Nutrients!$EL$77,Nutrients!$EL$78)))))*AI$8))/2000*1000000</f>
        <v>55.059750000000008</v>
      </c>
      <c r="AK320" s="21">
        <f>(SUMPRODUCT(AK$9:AK$229,Nutrients!$EL$8:$EL$228)+(IF($A$7=Nutrients!$B$8,Nutrients!$EL$8,Nutrients!$EL$9)*AK$7)+(((IF($A$8=Nutrients!$B$79,Nutrients!$EL$79,(IF($A$8=Nutrients!$B$77,Nutrients!$EL$77,Nutrients!$EL$78)))))*AK$8))/2000*1000000</f>
        <v>110.11950000000002</v>
      </c>
      <c r="AL320" s="21">
        <f>(SUMPRODUCT(AL$9:AL$229,Nutrients!$EL$8:$EL$228)+(IF($A$7=Nutrients!$B$8,Nutrients!$EL$8,Nutrients!$EL$9)*AL$7)+(((IF($A$8=Nutrients!$B$79,Nutrients!$EL$79,(IF($A$8=Nutrients!$B$77,Nutrients!$EL$77,Nutrients!$EL$78)))))*AL$8))/2000*1000000</f>
        <v>110.11950000000002</v>
      </c>
      <c r="AM320" s="21">
        <f>(SUMPRODUCT(AM$9:AM$229,Nutrients!$EL$8:$EL$228)+(IF($A$7=Nutrients!$B$8,Nutrients!$EL$8,Nutrients!$EL$9)*AM$7)+(((IF($A$8=Nutrients!$B$79,Nutrients!$EL$79,(IF($A$8=Nutrients!$B$77,Nutrients!$EL$77,Nutrients!$EL$78)))))*AM$8))/2000*1000000</f>
        <v>91.766249999999999</v>
      </c>
      <c r="AN320" s="21">
        <f>(SUMPRODUCT(AN$9:AN$229,Nutrients!$EL$8:$EL$228)+(IF($A$7=Nutrients!$B$8,Nutrients!$EL$8,Nutrients!$EL$9)*AN$7)+(((IF($A$8=Nutrients!$B$79,Nutrients!$EL$79,(IF($A$8=Nutrients!$B$77,Nutrients!$EL$77,Nutrients!$EL$78)))))*AN$8))/2000*1000000</f>
        <v>73.413000000000011</v>
      </c>
      <c r="AO320" s="21">
        <f>(SUMPRODUCT(AO$9:AO$229,Nutrients!$EL$8:$EL$228)+(IF($A$7=Nutrients!$B$8,Nutrients!$EL$8,Nutrients!$EL$9)*AO$7)+(((IF($A$8=Nutrients!$B$79,Nutrients!$EL$79,(IF($A$8=Nutrients!$B$77,Nutrients!$EL$77,Nutrients!$EL$78)))))*AO$8))/2000*1000000</f>
        <v>55.059750000000008</v>
      </c>
      <c r="AP320" s="21">
        <f>(SUMPRODUCT(AP$9:AP$229,Nutrients!$EL$8:$EL$228)+(IF($A$7=Nutrients!$B$8,Nutrients!$EL$8,Nutrients!$EL$9)*AP$7)+(((IF($A$8=Nutrients!$B$79,Nutrients!$EL$79,(IF($A$8=Nutrients!$B$77,Nutrients!$EL$77,Nutrients!$EL$78)))))*AP$8))/2000*1000000</f>
        <v>55.059750000000008</v>
      </c>
      <c r="AR320" s="21">
        <f>(SUMPRODUCT(AR$9:AR$229,Nutrients!$EL$8:$EL$228)+(IF($A$7=Nutrients!$B$8,Nutrients!$EL$8,Nutrients!$EL$9)*AR$7)+(((IF($A$8=Nutrients!$B$79,Nutrients!$EL$79,(IF($A$8=Nutrients!$B$77,Nutrients!$EL$77,Nutrients!$EL$78)))))*AR$8))/2000*1000000</f>
        <v>110.11950000000002</v>
      </c>
      <c r="AS320" s="21">
        <f>(SUMPRODUCT(AS$9:AS$229,Nutrients!$EL$8:$EL$228)+(IF($A$7=Nutrients!$B$8,Nutrients!$EL$8,Nutrients!$EL$9)*AS$7)+(((IF($A$8=Nutrients!$B$79,Nutrients!$EL$79,(IF($A$8=Nutrients!$B$77,Nutrients!$EL$77,Nutrients!$EL$78)))))*AS$8))/2000*1000000</f>
        <v>110.11950000000002</v>
      </c>
      <c r="AT320" s="21">
        <f>(SUMPRODUCT(AT$9:AT$229,Nutrients!$EL$8:$EL$228)+(IF($A$7=Nutrients!$B$8,Nutrients!$EL$8,Nutrients!$EL$9)*AT$7)+(((IF($A$8=Nutrients!$B$79,Nutrients!$EL$79,(IF($A$8=Nutrients!$B$77,Nutrients!$EL$77,Nutrients!$EL$78)))))*AT$8))/2000*1000000</f>
        <v>91.766249999999999</v>
      </c>
      <c r="AU320" s="21">
        <f>(SUMPRODUCT(AU$9:AU$229,Nutrients!$EL$8:$EL$228)+(IF($A$7=Nutrients!$B$8,Nutrients!$EL$8,Nutrients!$EL$9)*AU$7)+(((IF($A$8=Nutrients!$B$79,Nutrients!$EL$79,(IF($A$8=Nutrients!$B$77,Nutrients!$EL$77,Nutrients!$EL$78)))))*AU$8))/2000*1000000</f>
        <v>73.413000000000011</v>
      </c>
      <c r="AV320" s="21">
        <f>(SUMPRODUCT(AV$9:AV$229,Nutrients!$EL$8:$EL$228)+(IF($A$7=Nutrients!$B$8,Nutrients!$EL$8,Nutrients!$EL$9)*AV$7)+(((IF($A$8=Nutrients!$B$79,Nutrients!$EL$79,(IF($A$8=Nutrients!$B$77,Nutrients!$EL$77,Nutrients!$EL$78)))))*AV$8))/2000*1000000</f>
        <v>55.059750000000008</v>
      </c>
      <c r="AW320" s="21">
        <f>(SUMPRODUCT(AW$9:AW$229,Nutrients!$EL$8:$EL$228)+(IF($A$7=Nutrients!$B$8,Nutrients!$EL$8,Nutrients!$EL$9)*AW$7)+(((IF($A$8=Nutrients!$B$79,Nutrients!$EL$79,(IF($A$8=Nutrients!$B$77,Nutrients!$EL$77,Nutrients!$EL$78)))))*AW$8))/2000*1000000</f>
        <v>55.059750000000008</v>
      </c>
    </row>
    <row r="321" spans="1:49" x14ac:dyDescent="0.25">
      <c r="A321" s="34" t="s">
        <v>114</v>
      </c>
      <c r="B321" s="21">
        <f>(SUMPRODUCT(B$9:B$229,Nutrients!$EM$8:$EM$228)+(IF($A$7=Nutrients!$B$8,Nutrients!$EM$8,Nutrients!$EM$9)*B$7)+(((IF($A$8=Nutrients!$B$79,Nutrients!$EM$79,(IF($A$8=Nutrients!$B$77,Nutrients!$EM$77,Nutrients!$EM$78)))))*B$8))/2000*1000000</f>
        <v>33.068999999999996</v>
      </c>
      <c r="C321" s="21">
        <f>(SUMPRODUCT(C$9:C$229,Nutrients!$EM$8:$EM$228)+(IF($A$7=Nutrients!$B$8,Nutrients!$EM$8,Nutrients!$EM$9)*C$7)+(((IF($A$8=Nutrients!$B$79,Nutrients!$EM$79,(IF($A$8=Nutrients!$B$77,Nutrients!$EM$77,Nutrients!$EM$78)))))*C$8))/2000*1000000</f>
        <v>33.068999999999996</v>
      </c>
      <c r="D321" s="21">
        <f>(SUMPRODUCT(D$9:D$229,Nutrients!$EM$8:$EM$228)+(IF($A$7=Nutrients!$B$8,Nutrients!$EM$8,Nutrients!$EM$9)*D$7)+(((IF($A$8=Nutrients!$B$79,Nutrients!$EM$79,(IF($A$8=Nutrients!$B$77,Nutrients!$EM$77,Nutrients!$EM$78)))))*D$8))/2000*1000000</f>
        <v>27.557499999999997</v>
      </c>
      <c r="E321" s="21">
        <f>(SUMPRODUCT(E$9:E$229,Nutrients!$EM$8:$EM$228)+(IF($A$7=Nutrients!$B$8,Nutrients!$EM$8,Nutrients!$EM$9)*E$7)+(((IF($A$8=Nutrients!$B$79,Nutrients!$EM$79,(IF($A$8=Nutrients!$B$77,Nutrients!$EM$77,Nutrients!$EM$78)))))*E$8))/2000*1000000</f>
        <v>22.045999999999999</v>
      </c>
      <c r="F321" s="21">
        <f>(SUMPRODUCT(F$9:F$229,Nutrients!$EM$8:$EM$228)+(IF($A$7=Nutrients!$B$8,Nutrients!$EM$8,Nutrients!$EM$9)*F$7)+(((IF($A$8=Nutrients!$B$79,Nutrients!$EM$79,(IF($A$8=Nutrients!$B$77,Nutrients!$EM$77,Nutrients!$EM$78)))))*F$8))/2000*1000000</f>
        <v>16.534499999999998</v>
      </c>
      <c r="G321" s="21">
        <f>(SUMPRODUCT(G$9:G$229,Nutrients!$EM$8:$EM$228)+(IF($A$7=Nutrients!$B$8,Nutrients!$EM$8,Nutrients!$EM$9)*G$7)+(((IF($A$8=Nutrients!$B$79,Nutrients!$EM$79,(IF($A$8=Nutrients!$B$77,Nutrients!$EM$77,Nutrients!$EM$78)))))*G$8))/2000*1000000</f>
        <v>16.534499999999998</v>
      </c>
      <c r="H321" s="226"/>
      <c r="I321" s="21">
        <f>(SUMPRODUCT(I$9:I$229,Nutrients!$EM$8:$EM$228)+(IF($A$7=Nutrients!$B$8,Nutrients!$EM$8,Nutrients!$EM$9)*I$7)+(((IF($A$8=Nutrients!$B$79,Nutrients!$EM$79,(IF($A$8=Nutrients!$B$77,Nutrients!$EM$77,Nutrients!$EM$78)))))*I$8))/2000*1000000</f>
        <v>33.068999999999996</v>
      </c>
      <c r="J321" s="21">
        <f>(SUMPRODUCT(J$9:J$229,Nutrients!$EM$8:$EM$228)+(IF($A$7=Nutrients!$B$8,Nutrients!$EM$8,Nutrients!$EM$9)*J$7)+(((IF($A$8=Nutrients!$B$79,Nutrients!$EM$79,(IF($A$8=Nutrients!$B$77,Nutrients!$EM$77,Nutrients!$EM$78)))))*J$8))/2000*1000000</f>
        <v>33.068999999999996</v>
      </c>
      <c r="K321" s="21">
        <f>(SUMPRODUCT(K$9:K$229,Nutrients!$EM$8:$EM$228)+(IF($A$7=Nutrients!$B$8,Nutrients!$EM$8,Nutrients!$EM$9)*K$7)+(((IF($A$8=Nutrients!$B$79,Nutrients!$EM$79,(IF($A$8=Nutrients!$B$77,Nutrients!$EM$77,Nutrients!$EM$78)))))*K$8))/2000*1000000</f>
        <v>27.557499999999997</v>
      </c>
      <c r="L321" s="21">
        <f>(SUMPRODUCT(L$9:L$229,Nutrients!$EM$8:$EM$228)+(IF($A$7=Nutrients!$B$8,Nutrients!$EM$8,Nutrients!$EM$9)*L$7)+(((IF($A$8=Nutrients!$B$79,Nutrients!$EM$79,(IF($A$8=Nutrients!$B$77,Nutrients!$EM$77,Nutrients!$EM$78)))))*L$8))/2000*1000000</f>
        <v>22.045999999999999</v>
      </c>
      <c r="M321" s="21">
        <f>(SUMPRODUCT(M$9:M$229,Nutrients!$EM$8:$EM$228)+(IF($A$7=Nutrients!$B$8,Nutrients!$EM$8,Nutrients!$EM$9)*M$7)+(((IF($A$8=Nutrients!$B$79,Nutrients!$EM$79,(IF($A$8=Nutrients!$B$77,Nutrients!$EM$77,Nutrients!$EM$78)))))*M$8))/2000*1000000</f>
        <v>16.534499999999998</v>
      </c>
      <c r="N321" s="21">
        <f>(SUMPRODUCT(N$9:N$229,Nutrients!$EM$8:$EM$228)+(IF($A$7=Nutrients!$B$8,Nutrients!$EM$8,Nutrients!$EM$9)*N$7)+(((IF($A$8=Nutrients!$B$79,Nutrients!$EM$79,(IF($A$8=Nutrients!$B$77,Nutrients!$EM$77,Nutrients!$EM$78)))))*N$8))/2000*1000000</f>
        <v>16.534499999999998</v>
      </c>
      <c r="O321" s="234"/>
      <c r="P321" s="21">
        <f>(SUMPRODUCT(P$9:P$229,Nutrients!$EM$8:$EM$228)+(IF($A$7=Nutrients!$B$8,Nutrients!$EM$8,Nutrients!$EM$9)*P$7)+(((IF($A$8=Nutrients!$B$79,Nutrients!$EM$79,(IF($A$8=Nutrients!$B$77,Nutrients!$EM$77,Nutrients!$EM$78)))))*P$8))/2000*1000000</f>
        <v>33.068999999999996</v>
      </c>
      <c r="Q321" s="21">
        <f>(SUMPRODUCT(Q$9:Q$229,Nutrients!$EM$8:$EM$228)+(IF($A$7=Nutrients!$B$8,Nutrients!$EM$8,Nutrients!$EM$9)*Q$7)+(((IF($A$8=Nutrients!$B$79,Nutrients!$EM$79,(IF($A$8=Nutrients!$B$77,Nutrients!$EM$77,Nutrients!$EM$78)))))*Q$8))/2000*1000000</f>
        <v>33.068999999999996</v>
      </c>
      <c r="R321" s="21">
        <f>(SUMPRODUCT(R$9:R$229,Nutrients!$EM$8:$EM$228)+(IF($A$7=Nutrients!$B$8,Nutrients!$EM$8,Nutrients!$EM$9)*R$7)+(((IF($A$8=Nutrients!$B$79,Nutrients!$EM$79,(IF($A$8=Nutrients!$B$77,Nutrients!$EM$77,Nutrients!$EM$78)))))*R$8))/2000*1000000</f>
        <v>27.557499999999997</v>
      </c>
      <c r="S321" s="21">
        <f>(SUMPRODUCT(S$9:S$229,Nutrients!$EM$8:$EM$228)+(IF($A$7=Nutrients!$B$8,Nutrients!$EM$8,Nutrients!$EM$9)*S$7)+(((IF($A$8=Nutrients!$B$79,Nutrients!$EM$79,(IF($A$8=Nutrients!$B$77,Nutrients!$EM$77,Nutrients!$EM$78)))))*S$8))/2000*1000000</f>
        <v>22.045999999999999</v>
      </c>
      <c r="T321" s="21">
        <f>(SUMPRODUCT(T$9:T$229,Nutrients!$EM$8:$EM$228)+(IF($A$7=Nutrients!$B$8,Nutrients!$EM$8,Nutrients!$EM$9)*T$7)+(((IF($A$8=Nutrients!$B$79,Nutrients!$EM$79,(IF($A$8=Nutrients!$B$77,Nutrients!$EM$77,Nutrients!$EM$78)))))*T$8))/2000*1000000</f>
        <v>16.534499999999998</v>
      </c>
      <c r="U321" s="21">
        <f>(SUMPRODUCT(U$9:U$229,Nutrients!$EM$8:$EM$228)+(IF($A$7=Nutrients!$B$8,Nutrients!$EM$8,Nutrients!$EM$9)*U$7)+(((IF($A$8=Nutrients!$B$79,Nutrients!$EM$79,(IF($A$8=Nutrients!$B$77,Nutrients!$EM$77,Nutrients!$EM$78)))))*U$8))/2000*1000000</f>
        <v>16.534499999999998</v>
      </c>
      <c r="W321" s="21">
        <f>(SUMPRODUCT(W$9:W$229,Nutrients!$EM$8:$EM$228)+(IF($A$7=Nutrients!$B$8,Nutrients!$EM$8,Nutrients!$EM$9)*W$7)+(((IF($A$8=Nutrients!$B$79,Nutrients!$EM$79,(IF($A$8=Nutrients!$B$77,Nutrients!$EM$77,Nutrients!$EM$78)))))*W$8))/2000*1000000</f>
        <v>33.068999999999996</v>
      </c>
      <c r="X321" s="21">
        <f>(SUMPRODUCT(X$9:X$229,Nutrients!$EM$8:$EM$228)+(IF($A$7=Nutrients!$B$8,Nutrients!$EM$8,Nutrients!$EM$9)*X$7)+(((IF($A$8=Nutrients!$B$79,Nutrients!$EM$79,(IF($A$8=Nutrients!$B$77,Nutrients!$EM$77,Nutrients!$EM$78)))))*X$8))/2000*1000000</f>
        <v>33.068999999999996</v>
      </c>
      <c r="Y321" s="21">
        <f>(SUMPRODUCT(Y$9:Y$229,Nutrients!$EM$8:$EM$228)+(IF($A$7=Nutrients!$B$8,Nutrients!$EM$8,Nutrients!$EM$9)*Y$7)+(((IF($A$8=Nutrients!$B$79,Nutrients!$EM$79,(IF($A$8=Nutrients!$B$77,Nutrients!$EM$77,Nutrients!$EM$78)))))*Y$8))/2000*1000000</f>
        <v>27.557499999999997</v>
      </c>
      <c r="Z321" s="21">
        <f>(SUMPRODUCT(Z$9:Z$229,Nutrients!$EM$8:$EM$228)+(IF($A$7=Nutrients!$B$8,Nutrients!$EM$8,Nutrients!$EM$9)*Z$7)+(((IF($A$8=Nutrients!$B$79,Nutrients!$EM$79,(IF($A$8=Nutrients!$B$77,Nutrients!$EM$77,Nutrients!$EM$78)))))*Z$8))/2000*1000000</f>
        <v>22.045999999999999</v>
      </c>
      <c r="AA321" s="21">
        <f>(SUMPRODUCT(AA$9:AA$229,Nutrients!$EM$8:$EM$228)+(IF($A$7=Nutrients!$B$8,Nutrients!$EM$8,Nutrients!$EM$9)*AA$7)+(((IF($A$8=Nutrients!$B$79,Nutrients!$EM$79,(IF($A$8=Nutrients!$B$77,Nutrients!$EM$77,Nutrients!$EM$78)))))*AA$8))/2000*1000000</f>
        <v>16.534499999999998</v>
      </c>
      <c r="AB321" s="21">
        <f>(SUMPRODUCT(AB$9:AB$229,Nutrients!$EM$8:$EM$228)+(IF($A$7=Nutrients!$B$8,Nutrients!$EM$8,Nutrients!$EM$9)*AB$7)+(((IF($A$8=Nutrients!$B$79,Nutrients!$EM$79,(IF($A$8=Nutrients!$B$77,Nutrients!$EM$77,Nutrients!$EM$78)))))*AB$8))/2000*1000000</f>
        <v>16.534499999999998</v>
      </c>
      <c r="AD321" s="21">
        <f>(SUMPRODUCT(AD$9:AD$229,Nutrients!$EM$8:$EM$228)+(IF($A$7=Nutrients!$B$8,Nutrients!$EM$8,Nutrients!$EM$9)*AD$7)+(((IF($A$8=Nutrients!$B$79,Nutrients!$EM$79,(IF($A$8=Nutrients!$B$77,Nutrients!$EM$77,Nutrients!$EM$78)))))*AD$8))/2000*1000000</f>
        <v>33.068999999999996</v>
      </c>
      <c r="AE321" s="21">
        <f>(SUMPRODUCT(AE$9:AE$229,Nutrients!$EM$8:$EM$228)+(IF($A$7=Nutrients!$B$8,Nutrients!$EM$8,Nutrients!$EM$9)*AE$7)+(((IF($A$8=Nutrients!$B$79,Nutrients!$EM$79,(IF($A$8=Nutrients!$B$77,Nutrients!$EM$77,Nutrients!$EM$78)))))*AE$8))/2000*1000000</f>
        <v>33.068999999999996</v>
      </c>
      <c r="AF321" s="21">
        <f>(SUMPRODUCT(AF$9:AF$229,Nutrients!$EM$8:$EM$228)+(IF($A$7=Nutrients!$B$8,Nutrients!$EM$8,Nutrients!$EM$9)*AF$7)+(((IF($A$8=Nutrients!$B$79,Nutrients!$EM$79,(IF($A$8=Nutrients!$B$77,Nutrients!$EM$77,Nutrients!$EM$78)))))*AF$8))/2000*1000000</f>
        <v>27.557499999999997</v>
      </c>
      <c r="AG321" s="21">
        <f>(SUMPRODUCT(AG$9:AG$229,Nutrients!$EM$8:$EM$228)+(IF($A$7=Nutrients!$B$8,Nutrients!$EM$8,Nutrients!$EM$9)*AG$7)+(((IF($A$8=Nutrients!$B$79,Nutrients!$EM$79,(IF($A$8=Nutrients!$B$77,Nutrients!$EM$77,Nutrients!$EM$78)))))*AG$8))/2000*1000000</f>
        <v>22.045999999999999</v>
      </c>
      <c r="AH321" s="21">
        <f>(SUMPRODUCT(AH$9:AH$229,Nutrients!$EM$8:$EM$228)+(IF($A$7=Nutrients!$B$8,Nutrients!$EM$8,Nutrients!$EM$9)*AH$7)+(((IF($A$8=Nutrients!$B$79,Nutrients!$EM$79,(IF($A$8=Nutrients!$B$77,Nutrients!$EM$77,Nutrients!$EM$78)))))*AH$8))/2000*1000000</f>
        <v>16.534499999999998</v>
      </c>
      <c r="AI321" s="21">
        <f>(SUMPRODUCT(AI$9:AI$229,Nutrients!$EM$8:$EM$228)+(IF($A$7=Nutrients!$B$8,Nutrients!$EM$8,Nutrients!$EM$9)*AI$7)+(((IF($A$8=Nutrients!$B$79,Nutrients!$EM$79,(IF($A$8=Nutrients!$B$77,Nutrients!$EM$77,Nutrients!$EM$78)))))*AI$8))/2000*1000000</f>
        <v>16.534499999999998</v>
      </c>
      <c r="AK321" s="21">
        <f>(SUMPRODUCT(AK$9:AK$229,Nutrients!$EM$8:$EM$228)+(IF($A$7=Nutrients!$B$8,Nutrients!$EM$8,Nutrients!$EM$9)*AK$7)+(((IF($A$8=Nutrients!$B$79,Nutrients!$EM$79,(IF($A$8=Nutrients!$B$77,Nutrients!$EM$77,Nutrients!$EM$78)))))*AK$8))/2000*1000000</f>
        <v>33.068999999999996</v>
      </c>
      <c r="AL321" s="21">
        <f>(SUMPRODUCT(AL$9:AL$229,Nutrients!$EM$8:$EM$228)+(IF($A$7=Nutrients!$B$8,Nutrients!$EM$8,Nutrients!$EM$9)*AL$7)+(((IF($A$8=Nutrients!$B$79,Nutrients!$EM$79,(IF($A$8=Nutrients!$B$77,Nutrients!$EM$77,Nutrients!$EM$78)))))*AL$8))/2000*1000000</f>
        <v>33.068999999999996</v>
      </c>
      <c r="AM321" s="21">
        <f>(SUMPRODUCT(AM$9:AM$229,Nutrients!$EM$8:$EM$228)+(IF($A$7=Nutrients!$B$8,Nutrients!$EM$8,Nutrients!$EM$9)*AM$7)+(((IF($A$8=Nutrients!$B$79,Nutrients!$EM$79,(IF($A$8=Nutrients!$B$77,Nutrients!$EM$77,Nutrients!$EM$78)))))*AM$8))/2000*1000000</f>
        <v>27.557499999999997</v>
      </c>
      <c r="AN321" s="21">
        <f>(SUMPRODUCT(AN$9:AN$229,Nutrients!$EM$8:$EM$228)+(IF($A$7=Nutrients!$B$8,Nutrients!$EM$8,Nutrients!$EM$9)*AN$7)+(((IF($A$8=Nutrients!$B$79,Nutrients!$EM$79,(IF($A$8=Nutrients!$B$77,Nutrients!$EM$77,Nutrients!$EM$78)))))*AN$8))/2000*1000000</f>
        <v>22.045999999999999</v>
      </c>
      <c r="AO321" s="21">
        <f>(SUMPRODUCT(AO$9:AO$229,Nutrients!$EM$8:$EM$228)+(IF($A$7=Nutrients!$B$8,Nutrients!$EM$8,Nutrients!$EM$9)*AO$7)+(((IF($A$8=Nutrients!$B$79,Nutrients!$EM$79,(IF($A$8=Nutrients!$B$77,Nutrients!$EM$77,Nutrients!$EM$78)))))*AO$8))/2000*1000000</f>
        <v>16.534499999999998</v>
      </c>
      <c r="AP321" s="21">
        <f>(SUMPRODUCT(AP$9:AP$229,Nutrients!$EM$8:$EM$228)+(IF($A$7=Nutrients!$B$8,Nutrients!$EM$8,Nutrients!$EM$9)*AP$7)+(((IF($A$8=Nutrients!$B$79,Nutrients!$EM$79,(IF($A$8=Nutrients!$B$77,Nutrients!$EM$77,Nutrients!$EM$78)))))*AP$8))/2000*1000000</f>
        <v>16.534499999999998</v>
      </c>
      <c r="AR321" s="21">
        <f>(SUMPRODUCT(AR$9:AR$229,Nutrients!$EM$8:$EM$228)+(IF($A$7=Nutrients!$B$8,Nutrients!$EM$8,Nutrients!$EM$9)*AR$7)+(((IF($A$8=Nutrients!$B$79,Nutrients!$EM$79,(IF($A$8=Nutrients!$B$77,Nutrients!$EM$77,Nutrients!$EM$78)))))*AR$8))/2000*1000000</f>
        <v>33.068999999999996</v>
      </c>
      <c r="AS321" s="21">
        <f>(SUMPRODUCT(AS$9:AS$229,Nutrients!$EM$8:$EM$228)+(IF($A$7=Nutrients!$B$8,Nutrients!$EM$8,Nutrients!$EM$9)*AS$7)+(((IF($A$8=Nutrients!$B$79,Nutrients!$EM$79,(IF($A$8=Nutrients!$B$77,Nutrients!$EM$77,Nutrients!$EM$78)))))*AS$8))/2000*1000000</f>
        <v>33.068999999999996</v>
      </c>
      <c r="AT321" s="21">
        <f>(SUMPRODUCT(AT$9:AT$229,Nutrients!$EM$8:$EM$228)+(IF($A$7=Nutrients!$B$8,Nutrients!$EM$8,Nutrients!$EM$9)*AT$7)+(((IF($A$8=Nutrients!$B$79,Nutrients!$EM$79,(IF($A$8=Nutrients!$B$77,Nutrients!$EM$77,Nutrients!$EM$78)))))*AT$8))/2000*1000000</f>
        <v>27.557499999999997</v>
      </c>
      <c r="AU321" s="21">
        <f>(SUMPRODUCT(AU$9:AU$229,Nutrients!$EM$8:$EM$228)+(IF($A$7=Nutrients!$B$8,Nutrients!$EM$8,Nutrients!$EM$9)*AU$7)+(((IF($A$8=Nutrients!$B$79,Nutrients!$EM$79,(IF($A$8=Nutrients!$B$77,Nutrients!$EM$77,Nutrients!$EM$78)))))*AU$8))/2000*1000000</f>
        <v>22.045999999999999</v>
      </c>
      <c r="AV321" s="21">
        <f>(SUMPRODUCT(AV$9:AV$229,Nutrients!$EM$8:$EM$228)+(IF($A$7=Nutrients!$B$8,Nutrients!$EM$8,Nutrients!$EM$9)*AV$7)+(((IF($A$8=Nutrients!$B$79,Nutrients!$EM$79,(IF($A$8=Nutrients!$B$77,Nutrients!$EM$77,Nutrients!$EM$78)))))*AV$8))/2000*1000000</f>
        <v>16.534499999999998</v>
      </c>
      <c r="AW321" s="21">
        <f>(SUMPRODUCT(AW$9:AW$229,Nutrients!$EM$8:$EM$228)+(IF($A$7=Nutrients!$B$8,Nutrients!$EM$8,Nutrients!$EM$9)*AW$7)+(((IF($A$8=Nutrients!$B$79,Nutrients!$EM$79,(IF($A$8=Nutrients!$B$77,Nutrients!$EM$77,Nutrients!$EM$78)))))*AW$8))/2000*1000000</f>
        <v>16.534499999999998</v>
      </c>
    </row>
    <row r="322" spans="1:49" x14ac:dyDescent="0.25">
      <c r="A322" s="34" t="s">
        <v>115</v>
      </c>
      <c r="B322" s="21">
        <f>(SUMPRODUCT(B$9:B$229,Nutrients!$EN$8:$EN$228)+(IF($A$7=Nutrients!$B$8,Nutrients!$EN$8,Nutrients!$EN$9)*B$7)+(((IF($A$8=Nutrients!$B$79,Nutrients!$EN$79,(IF($A$8=Nutrients!$B$77,Nutrients!$EN$77,Nutrients!$EN$78)))))*B$8))/2000*1000000</f>
        <v>16.5</v>
      </c>
      <c r="C322" s="21">
        <f>(SUMPRODUCT(C$9:C$229,Nutrients!$EN$8:$EN$228)+(IF($A$7=Nutrients!$B$8,Nutrients!$EN$8,Nutrients!$EN$9)*C$7)+(((IF($A$8=Nutrients!$B$79,Nutrients!$EN$79,(IF($A$8=Nutrients!$B$77,Nutrients!$EN$77,Nutrients!$EN$78)))))*C$8))/2000*1000000</f>
        <v>16.5</v>
      </c>
      <c r="D322" s="21">
        <f>(SUMPRODUCT(D$9:D$229,Nutrients!$EN$8:$EN$228)+(IF($A$7=Nutrients!$B$8,Nutrients!$EN$8,Nutrients!$EN$9)*D$7)+(((IF($A$8=Nutrients!$B$79,Nutrients!$EN$79,(IF($A$8=Nutrients!$B$77,Nutrients!$EN$77,Nutrients!$EN$78)))))*D$8))/2000*1000000</f>
        <v>13.749999999999998</v>
      </c>
      <c r="E322" s="21">
        <f>(SUMPRODUCT(E$9:E$229,Nutrients!$EN$8:$EN$228)+(IF($A$7=Nutrients!$B$8,Nutrients!$EN$8,Nutrients!$EN$9)*E$7)+(((IF($A$8=Nutrients!$B$79,Nutrients!$EN$79,(IF($A$8=Nutrients!$B$77,Nutrients!$EN$77,Nutrients!$EN$78)))))*E$8))/2000*1000000</f>
        <v>11</v>
      </c>
      <c r="F322" s="21">
        <f>(SUMPRODUCT(F$9:F$229,Nutrients!$EN$8:$EN$228)+(IF($A$7=Nutrients!$B$8,Nutrients!$EN$8,Nutrients!$EN$9)*F$7)+(((IF($A$8=Nutrients!$B$79,Nutrients!$EN$79,(IF($A$8=Nutrients!$B$77,Nutrients!$EN$77,Nutrients!$EN$78)))))*F$8))/2000*1000000</f>
        <v>8.25</v>
      </c>
      <c r="G322" s="21">
        <f>(SUMPRODUCT(G$9:G$229,Nutrients!$EN$8:$EN$228)+(IF($A$7=Nutrients!$B$8,Nutrients!$EN$8,Nutrients!$EN$9)*G$7)+(((IF($A$8=Nutrients!$B$79,Nutrients!$EN$79,(IF($A$8=Nutrients!$B$77,Nutrients!$EN$77,Nutrients!$EN$78)))))*G$8))/2000*1000000</f>
        <v>8.25</v>
      </c>
      <c r="H322" s="226"/>
      <c r="I322" s="21">
        <f>(SUMPRODUCT(I$9:I$229,Nutrients!$EN$8:$EN$228)+(IF($A$7=Nutrients!$B$8,Nutrients!$EN$8,Nutrients!$EN$9)*I$7)+(((IF($A$8=Nutrients!$B$79,Nutrients!$EN$79,(IF($A$8=Nutrients!$B$77,Nutrients!$EN$77,Nutrients!$EN$78)))))*I$8))/2000*1000000</f>
        <v>16.5</v>
      </c>
      <c r="J322" s="21">
        <f>(SUMPRODUCT(J$9:J$229,Nutrients!$EN$8:$EN$228)+(IF($A$7=Nutrients!$B$8,Nutrients!$EN$8,Nutrients!$EN$9)*J$7)+(((IF($A$8=Nutrients!$B$79,Nutrients!$EN$79,(IF($A$8=Nutrients!$B$77,Nutrients!$EN$77,Nutrients!$EN$78)))))*J$8))/2000*1000000</f>
        <v>16.5</v>
      </c>
      <c r="K322" s="21">
        <f>(SUMPRODUCT(K$9:K$229,Nutrients!$EN$8:$EN$228)+(IF($A$7=Nutrients!$B$8,Nutrients!$EN$8,Nutrients!$EN$9)*K$7)+(((IF($A$8=Nutrients!$B$79,Nutrients!$EN$79,(IF($A$8=Nutrients!$B$77,Nutrients!$EN$77,Nutrients!$EN$78)))))*K$8))/2000*1000000</f>
        <v>13.749999999999998</v>
      </c>
      <c r="L322" s="21">
        <f>(SUMPRODUCT(L$9:L$229,Nutrients!$EN$8:$EN$228)+(IF($A$7=Nutrients!$B$8,Nutrients!$EN$8,Nutrients!$EN$9)*L$7)+(((IF($A$8=Nutrients!$B$79,Nutrients!$EN$79,(IF($A$8=Nutrients!$B$77,Nutrients!$EN$77,Nutrients!$EN$78)))))*L$8))/2000*1000000</f>
        <v>11</v>
      </c>
      <c r="M322" s="21">
        <f>(SUMPRODUCT(M$9:M$229,Nutrients!$EN$8:$EN$228)+(IF($A$7=Nutrients!$B$8,Nutrients!$EN$8,Nutrients!$EN$9)*M$7)+(((IF($A$8=Nutrients!$B$79,Nutrients!$EN$79,(IF($A$8=Nutrients!$B$77,Nutrients!$EN$77,Nutrients!$EN$78)))))*M$8))/2000*1000000</f>
        <v>8.25</v>
      </c>
      <c r="N322" s="21">
        <f>(SUMPRODUCT(N$9:N$229,Nutrients!$EN$8:$EN$228)+(IF($A$7=Nutrients!$B$8,Nutrients!$EN$8,Nutrients!$EN$9)*N$7)+(((IF($A$8=Nutrients!$B$79,Nutrients!$EN$79,(IF($A$8=Nutrients!$B$77,Nutrients!$EN$77,Nutrients!$EN$78)))))*N$8))/2000*1000000</f>
        <v>8.25</v>
      </c>
      <c r="O322" s="234"/>
      <c r="P322" s="21">
        <f>(SUMPRODUCT(P$9:P$229,Nutrients!$EN$8:$EN$228)+(IF($A$7=Nutrients!$B$8,Nutrients!$EN$8,Nutrients!$EN$9)*P$7)+(((IF($A$8=Nutrients!$B$79,Nutrients!$EN$79,(IF($A$8=Nutrients!$B$77,Nutrients!$EN$77,Nutrients!$EN$78)))))*P$8))/2000*1000000</f>
        <v>16.5</v>
      </c>
      <c r="Q322" s="21">
        <f>(SUMPRODUCT(Q$9:Q$229,Nutrients!$EN$8:$EN$228)+(IF($A$7=Nutrients!$B$8,Nutrients!$EN$8,Nutrients!$EN$9)*Q$7)+(((IF($A$8=Nutrients!$B$79,Nutrients!$EN$79,(IF($A$8=Nutrients!$B$77,Nutrients!$EN$77,Nutrients!$EN$78)))))*Q$8))/2000*1000000</f>
        <v>16.5</v>
      </c>
      <c r="R322" s="21">
        <f>(SUMPRODUCT(R$9:R$229,Nutrients!$EN$8:$EN$228)+(IF($A$7=Nutrients!$B$8,Nutrients!$EN$8,Nutrients!$EN$9)*R$7)+(((IF($A$8=Nutrients!$B$79,Nutrients!$EN$79,(IF($A$8=Nutrients!$B$77,Nutrients!$EN$77,Nutrients!$EN$78)))))*R$8))/2000*1000000</f>
        <v>13.749999999999998</v>
      </c>
      <c r="S322" s="21">
        <f>(SUMPRODUCT(S$9:S$229,Nutrients!$EN$8:$EN$228)+(IF($A$7=Nutrients!$B$8,Nutrients!$EN$8,Nutrients!$EN$9)*S$7)+(((IF($A$8=Nutrients!$B$79,Nutrients!$EN$79,(IF($A$8=Nutrients!$B$77,Nutrients!$EN$77,Nutrients!$EN$78)))))*S$8))/2000*1000000</f>
        <v>11</v>
      </c>
      <c r="T322" s="21">
        <f>(SUMPRODUCT(T$9:T$229,Nutrients!$EN$8:$EN$228)+(IF($A$7=Nutrients!$B$8,Nutrients!$EN$8,Nutrients!$EN$9)*T$7)+(((IF($A$8=Nutrients!$B$79,Nutrients!$EN$79,(IF($A$8=Nutrients!$B$77,Nutrients!$EN$77,Nutrients!$EN$78)))))*T$8))/2000*1000000</f>
        <v>8.25</v>
      </c>
      <c r="U322" s="21">
        <f>(SUMPRODUCT(U$9:U$229,Nutrients!$EN$8:$EN$228)+(IF($A$7=Nutrients!$B$8,Nutrients!$EN$8,Nutrients!$EN$9)*U$7)+(((IF($A$8=Nutrients!$B$79,Nutrients!$EN$79,(IF($A$8=Nutrients!$B$77,Nutrients!$EN$77,Nutrients!$EN$78)))))*U$8))/2000*1000000</f>
        <v>8.25</v>
      </c>
      <c r="W322" s="21">
        <f>(SUMPRODUCT(W$9:W$229,Nutrients!$EN$8:$EN$228)+(IF($A$7=Nutrients!$B$8,Nutrients!$EN$8,Nutrients!$EN$9)*W$7)+(((IF($A$8=Nutrients!$B$79,Nutrients!$EN$79,(IF($A$8=Nutrients!$B$77,Nutrients!$EN$77,Nutrients!$EN$78)))))*W$8))/2000*1000000</f>
        <v>16.5</v>
      </c>
      <c r="X322" s="21">
        <f>(SUMPRODUCT(X$9:X$229,Nutrients!$EN$8:$EN$228)+(IF($A$7=Nutrients!$B$8,Nutrients!$EN$8,Nutrients!$EN$9)*X$7)+(((IF($A$8=Nutrients!$B$79,Nutrients!$EN$79,(IF($A$8=Nutrients!$B$77,Nutrients!$EN$77,Nutrients!$EN$78)))))*X$8))/2000*1000000</f>
        <v>16.5</v>
      </c>
      <c r="Y322" s="21">
        <f>(SUMPRODUCT(Y$9:Y$229,Nutrients!$EN$8:$EN$228)+(IF($A$7=Nutrients!$B$8,Nutrients!$EN$8,Nutrients!$EN$9)*Y$7)+(((IF($A$8=Nutrients!$B$79,Nutrients!$EN$79,(IF($A$8=Nutrients!$B$77,Nutrients!$EN$77,Nutrients!$EN$78)))))*Y$8))/2000*1000000</f>
        <v>13.749999999999998</v>
      </c>
      <c r="Z322" s="21">
        <f>(SUMPRODUCT(Z$9:Z$229,Nutrients!$EN$8:$EN$228)+(IF($A$7=Nutrients!$B$8,Nutrients!$EN$8,Nutrients!$EN$9)*Z$7)+(((IF($A$8=Nutrients!$B$79,Nutrients!$EN$79,(IF($A$8=Nutrients!$B$77,Nutrients!$EN$77,Nutrients!$EN$78)))))*Z$8))/2000*1000000</f>
        <v>11</v>
      </c>
      <c r="AA322" s="21">
        <f>(SUMPRODUCT(AA$9:AA$229,Nutrients!$EN$8:$EN$228)+(IF($A$7=Nutrients!$B$8,Nutrients!$EN$8,Nutrients!$EN$9)*AA$7)+(((IF($A$8=Nutrients!$B$79,Nutrients!$EN$79,(IF($A$8=Nutrients!$B$77,Nutrients!$EN$77,Nutrients!$EN$78)))))*AA$8))/2000*1000000</f>
        <v>8.25</v>
      </c>
      <c r="AB322" s="21">
        <f>(SUMPRODUCT(AB$9:AB$229,Nutrients!$EN$8:$EN$228)+(IF($A$7=Nutrients!$B$8,Nutrients!$EN$8,Nutrients!$EN$9)*AB$7)+(((IF($A$8=Nutrients!$B$79,Nutrients!$EN$79,(IF($A$8=Nutrients!$B$77,Nutrients!$EN$77,Nutrients!$EN$78)))))*AB$8))/2000*1000000</f>
        <v>8.25</v>
      </c>
      <c r="AD322" s="21">
        <f>(SUMPRODUCT(AD$9:AD$229,Nutrients!$EN$8:$EN$228)+(IF($A$7=Nutrients!$B$8,Nutrients!$EN$8,Nutrients!$EN$9)*AD$7)+(((IF($A$8=Nutrients!$B$79,Nutrients!$EN$79,(IF($A$8=Nutrients!$B$77,Nutrients!$EN$77,Nutrients!$EN$78)))))*AD$8))/2000*1000000</f>
        <v>16.5</v>
      </c>
      <c r="AE322" s="21">
        <f>(SUMPRODUCT(AE$9:AE$229,Nutrients!$EN$8:$EN$228)+(IF($A$7=Nutrients!$B$8,Nutrients!$EN$8,Nutrients!$EN$9)*AE$7)+(((IF($A$8=Nutrients!$B$79,Nutrients!$EN$79,(IF($A$8=Nutrients!$B$77,Nutrients!$EN$77,Nutrients!$EN$78)))))*AE$8))/2000*1000000</f>
        <v>16.5</v>
      </c>
      <c r="AF322" s="21">
        <f>(SUMPRODUCT(AF$9:AF$229,Nutrients!$EN$8:$EN$228)+(IF($A$7=Nutrients!$B$8,Nutrients!$EN$8,Nutrients!$EN$9)*AF$7)+(((IF($A$8=Nutrients!$B$79,Nutrients!$EN$79,(IF($A$8=Nutrients!$B$77,Nutrients!$EN$77,Nutrients!$EN$78)))))*AF$8))/2000*1000000</f>
        <v>13.749999999999998</v>
      </c>
      <c r="AG322" s="21">
        <f>(SUMPRODUCT(AG$9:AG$229,Nutrients!$EN$8:$EN$228)+(IF($A$7=Nutrients!$B$8,Nutrients!$EN$8,Nutrients!$EN$9)*AG$7)+(((IF($A$8=Nutrients!$B$79,Nutrients!$EN$79,(IF($A$8=Nutrients!$B$77,Nutrients!$EN$77,Nutrients!$EN$78)))))*AG$8))/2000*1000000</f>
        <v>11</v>
      </c>
      <c r="AH322" s="21">
        <f>(SUMPRODUCT(AH$9:AH$229,Nutrients!$EN$8:$EN$228)+(IF($A$7=Nutrients!$B$8,Nutrients!$EN$8,Nutrients!$EN$9)*AH$7)+(((IF($A$8=Nutrients!$B$79,Nutrients!$EN$79,(IF($A$8=Nutrients!$B$77,Nutrients!$EN$77,Nutrients!$EN$78)))))*AH$8))/2000*1000000</f>
        <v>8.25</v>
      </c>
      <c r="AI322" s="21">
        <f>(SUMPRODUCT(AI$9:AI$229,Nutrients!$EN$8:$EN$228)+(IF($A$7=Nutrients!$B$8,Nutrients!$EN$8,Nutrients!$EN$9)*AI$7)+(((IF($A$8=Nutrients!$B$79,Nutrients!$EN$79,(IF($A$8=Nutrients!$B$77,Nutrients!$EN$77,Nutrients!$EN$78)))))*AI$8))/2000*1000000</f>
        <v>8.25</v>
      </c>
      <c r="AK322" s="21">
        <f>(SUMPRODUCT(AK$9:AK$229,Nutrients!$EN$8:$EN$228)+(IF($A$7=Nutrients!$B$8,Nutrients!$EN$8,Nutrients!$EN$9)*AK$7)+(((IF($A$8=Nutrients!$B$79,Nutrients!$EN$79,(IF($A$8=Nutrients!$B$77,Nutrients!$EN$77,Nutrients!$EN$78)))))*AK$8))/2000*1000000</f>
        <v>16.5</v>
      </c>
      <c r="AL322" s="21">
        <f>(SUMPRODUCT(AL$9:AL$229,Nutrients!$EN$8:$EN$228)+(IF($A$7=Nutrients!$B$8,Nutrients!$EN$8,Nutrients!$EN$9)*AL$7)+(((IF($A$8=Nutrients!$B$79,Nutrients!$EN$79,(IF($A$8=Nutrients!$B$77,Nutrients!$EN$77,Nutrients!$EN$78)))))*AL$8))/2000*1000000</f>
        <v>16.5</v>
      </c>
      <c r="AM322" s="21">
        <f>(SUMPRODUCT(AM$9:AM$229,Nutrients!$EN$8:$EN$228)+(IF($A$7=Nutrients!$B$8,Nutrients!$EN$8,Nutrients!$EN$9)*AM$7)+(((IF($A$8=Nutrients!$B$79,Nutrients!$EN$79,(IF($A$8=Nutrients!$B$77,Nutrients!$EN$77,Nutrients!$EN$78)))))*AM$8))/2000*1000000</f>
        <v>13.749999999999998</v>
      </c>
      <c r="AN322" s="21">
        <f>(SUMPRODUCT(AN$9:AN$229,Nutrients!$EN$8:$EN$228)+(IF($A$7=Nutrients!$B$8,Nutrients!$EN$8,Nutrients!$EN$9)*AN$7)+(((IF($A$8=Nutrients!$B$79,Nutrients!$EN$79,(IF($A$8=Nutrients!$B$77,Nutrients!$EN$77,Nutrients!$EN$78)))))*AN$8))/2000*1000000</f>
        <v>11</v>
      </c>
      <c r="AO322" s="21">
        <f>(SUMPRODUCT(AO$9:AO$229,Nutrients!$EN$8:$EN$228)+(IF($A$7=Nutrients!$B$8,Nutrients!$EN$8,Nutrients!$EN$9)*AO$7)+(((IF($A$8=Nutrients!$B$79,Nutrients!$EN$79,(IF($A$8=Nutrients!$B$77,Nutrients!$EN$77,Nutrients!$EN$78)))))*AO$8))/2000*1000000</f>
        <v>8.25</v>
      </c>
      <c r="AP322" s="21">
        <f>(SUMPRODUCT(AP$9:AP$229,Nutrients!$EN$8:$EN$228)+(IF($A$7=Nutrients!$B$8,Nutrients!$EN$8,Nutrients!$EN$9)*AP$7)+(((IF($A$8=Nutrients!$B$79,Nutrients!$EN$79,(IF($A$8=Nutrients!$B$77,Nutrients!$EN$77,Nutrients!$EN$78)))))*AP$8))/2000*1000000</f>
        <v>8.25</v>
      </c>
      <c r="AR322" s="21">
        <f>(SUMPRODUCT(AR$9:AR$229,Nutrients!$EN$8:$EN$228)+(IF($A$7=Nutrients!$B$8,Nutrients!$EN$8,Nutrients!$EN$9)*AR$7)+(((IF($A$8=Nutrients!$B$79,Nutrients!$EN$79,(IF($A$8=Nutrients!$B$77,Nutrients!$EN$77,Nutrients!$EN$78)))))*AR$8))/2000*1000000</f>
        <v>16.5</v>
      </c>
      <c r="AS322" s="21">
        <f>(SUMPRODUCT(AS$9:AS$229,Nutrients!$EN$8:$EN$228)+(IF($A$7=Nutrients!$B$8,Nutrients!$EN$8,Nutrients!$EN$9)*AS$7)+(((IF($A$8=Nutrients!$B$79,Nutrients!$EN$79,(IF($A$8=Nutrients!$B$77,Nutrients!$EN$77,Nutrients!$EN$78)))))*AS$8))/2000*1000000</f>
        <v>16.5</v>
      </c>
      <c r="AT322" s="21">
        <f>(SUMPRODUCT(AT$9:AT$229,Nutrients!$EN$8:$EN$228)+(IF($A$7=Nutrients!$B$8,Nutrients!$EN$8,Nutrients!$EN$9)*AT$7)+(((IF($A$8=Nutrients!$B$79,Nutrients!$EN$79,(IF($A$8=Nutrients!$B$77,Nutrients!$EN$77,Nutrients!$EN$78)))))*AT$8))/2000*1000000</f>
        <v>13.749999999999998</v>
      </c>
      <c r="AU322" s="21">
        <f>(SUMPRODUCT(AU$9:AU$229,Nutrients!$EN$8:$EN$228)+(IF($A$7=Nutrients!$B$8,Nutrients!$EN$8,Nutrients!$EN$9)*AU$7)+(((IF($A$8=Nutrients!$B$79,Nutrients!$EN$79,(IF($A$8=Nutrients!$B$77,Nutrients!$EN$77,Nutrients!$EN$78)))))*AU$8))/2000*1000000</f>
        <v>11</v>
      </c>
      <c r="AV322" s="21">
        <f>(SUMPRODUCT(AV$9:AV$229,Nutrients!$EN$8:$EN$228)+(IF($A$7=Nutrients!$B$8,Nutrients!$EN$8,Nutrients!$EN$9)*AV$7)+(((IF($A$8=Nutrients!$B$79,Nutrients!$EN$79,(IF($A$8=Nutrients!$B$77,Nutrients!$EN$77,Nutrients!$EN$78)))))*AV$8))/2000*1000000</f>
        <v>8.25</v>
      </c>
      <c r="AW322" s="21">
        <f>(SUMPRODUCT(AW$9:AW$229,Nutrients!$EN$8:$EN$228)+(IF($A$7=Nutrients!$B$8,Nutrients!$EN$8,Nutrients!$EN$9)*AW$7)+(((IF($A$8=Nutrients!$B$79,Nutrients!$EN$79,(IF($A$8=Nutrients!$B$77,Nutrients!$EN$77,Nutrients!$EN$78)))))*AW$8))/2000*1000000</f>
        <v>8.25</v>
      </c>
    </row>
    <row r="323" spans="1:49" x14ac:dyDescent="0.25">
      <c r="A323" s="34" t="s">
        <v>116</v>
      </c>
      <c r="B323" s="23">
        <f>(SUMPRODUCT(B$9:B$229,Nutrients!$EO$8:$EO$228)+(IF($A$7=Nutrients!$B$8,Nutrients!$EO$8,Nutrients!$EO$9)*B$7)+(((IF($A$8=Nutrients!$B$79,Nutrients!$EO$79,(IF($A$8=Nutrients!$B$77,Nutrients!$EO$77,Nutrients!$EO$78)))))*B$8))/2000*1000000</f>
        <v>0.29699999999999999</v>
      </c>
      <c r="C323" s="23">
        <f>(SUMPRODUCT(C$9:C$229,Nutrients!$EO$8:$EO$228)+(IF($A$7=Nutrients!$B$8,Nutrients!$EO$8,Nutrients!$EO$9)*C$7)+(((IF($A$8=Nutrients!$B$79,Nutrients!$EO$79,(IF($A$8=Nutrients!$B$77,Nutrients!$EO$77,Nutrients!$EO$78)))))*C$8))/2000*1000000</f>
        <v>0.29699999999999999</v>
      </c>
      <c r="D323" s="23">
        <f>(SUMPRODUCT(D$9:D$229,Nutrients!$EO$8:$EO$228)+(IF($A$7=Nutrients!$B$8,Nutrients!$EO$8,Nutrients!$EO$9)*D$7)+(((IF($A$8=Nutrients!$B$79,Nutrients!$EO$79,(IF($A$8=Nutrients!$B$77,Nutrients!$EO$77,Nutrients!$EO$78)))))*D$8))/2000*1000000</f>
        <v>0.24750000000000003</v>
      </c>
      <c r="E323" s="23">
        <f>(SUMPRODUCT(E$9:E$229,Nutrients!$EO$8:$EO$228)+(IF($A$7=Nutrients!$B$8,Nutrients!$EO$8,Nutrients!$EO$9)*E$7)+(((IF($A$8=Nutrients!$B$79,Nutrients!$EO$79,(IF($A$8=Nutrients!$B$77,Nutrients!$EO$77,Nutrients!$EO$78)))))*E$8))/2000*1000000</f>
        <v>0.19800000000000001</v>
      </c>
      <c r="F323" s="23">
        <f>(SUMPRODUCT(F$9:F$229,Nutrients!$EO$8:$EO$228)+(IF($A$7=Nutrients!$B$8,Nutrients!$EO$8,Nutrients!$EO$9)*F$7)+(((IF($A$8=Nutrients!$B$79,Nutrients!$EO$79,(IF($A$8=Nutrients!$B$77,Nutrients!$EO$77,Nutrients!$EO$78)))))*F$8))/2000*1000000</f>
        <v>0.14849999999999999</v>
      </c>
      <c r="G323" s="23">
        <f>(SUMPRODUCT(G$9:G$229,Nutrients!$EO$8:$EO$228)+(IF($A$7=Nutrients!$B$8,Nutrients!$EO$8,Nutrients!$EO$9)*G$7)+(((IF($A$8=Nutrients!$B$79,Nutrients!$EO$79,(IF($A$8=Nutrients!$B$77,Nutrients!$EO$77,Nutrients!$EO$78)))))*G$8))/2000*1000000</f>
        <v>0.14849999999999999</v>
      </c>
      <c r="H323" s="227"/>
      <c r="I323" s="23">
        <f>(SUMPRODUCT(I$9:I$229,Nutrients!$EO$8:$EO$228)+(IF($A$7=Nutrients!$B$8,Nutrients!$EO$8,Nutrients!$EO$9)*I$7)+(((IF($A$8=Nutrients!$B$79,Nutrients!$EO$79,(IF($A$8=Nutrients!$B$77,Nutrients!$EO$77,Nutrients!$EO$78)))))*I$8))/2000*1000000</f>
        <v>0.29699999999999999</v>
      </c>
      <c r="J323" s="23">
        <f>(SUMPRODUCT(J$9:J$229,Nutrients!$EO$8:$EO$228)+(IF($A$7=Nutrients!$B$8,Nutrients!$EO$8,Nutrients!$EO$9)*J$7)+(((IF($A$8=Nutrients!$B$79,Nutrients!$EO$79,(IF($A$8=Nutrients!$B$77,Nutrients!$EO$77,Nutrients!$EO$78)))))*J$8))/2000*1000000</f>
        <v>0.29699999999999999</v>
      </c>
      <c r="K323" s="23">
        <f>(SUMPRODUCT(K$9:K$229,Nutrients!$EO$8:$EO$228)+(IF($A$7=Nutrients!$B$8,Nutrients!$EO$8,Nutrients!$EO$9)*K$7)+(((IF($A$8=Nutrients!$B$79,Nutrients!$EO$79,(IF($A$8=Nutrients!$B$77,Nutrients!$EO$77,Nutrients!$EO$78)))))*K$8))/2000*1000000</f>
        <v>0.24750000000000003</v>
      </c>
      <c r="L323" s="23">
        <f>(SUMPRODUCT(L$9:L$229,Nutrients!$EO$8:$EO$228)+(IF($A$7=Nutrients!$B$8,Nutrients!$EO$8,Nutrients!$EO$9)*L$7)+(((IF($A$8=Nutrients!$B$79,Nutrients!$EO$79,(IF($A$8=Nutrients!$B$77,Nutrients!$EO$77,Nutrients!$EO$78)))))*L$8))/2000*1000000</f>
        <v>0.19800000000000001</v>
      </c>
      <c r="M323" s="23">
        <f>(SUMPRODUCT(M$9:M$229,Nutrients!$EO$8:$EO$228)+(IF($A$7=Nutrients!$B$8,Nutrients!$EO$8,Nutrients!$EO$9)*M$7)+(((IF($A$8=Nutrients!$B$79,Nutrients!$EO$79,(IF($A$8=Nutrients!$B$77,Nutrients!$EO$77,Nutrients!$EO$78)))))*M$8))/2000*1000000</f>
        <v>0.14849999999999999</v>
      </c>
      <c r="N323" s="23">
        <f>(SUMPRODUCT(N$9:N$229,Nutrients!$EO$8:$EO$228)+(IF($A$7=Nutrients!$B$8,Nutrients!$EO$8,Nutrients!$EO$9)*N$7)+(((IF($A$8=Nutrients!$B$79,Nutrients!$EO$79,(IF($A$8=Nutrients!$B$77,Nutrients!$EO$77,Nutrients!$EO$78)))))*N$8))/2000*1000000</f>
        <v>0.14849999999999999</v>
      </c>
      <c r="O323" s="198"/>
      <c r="P323" s="23">
        <f>(SUMPRODUCT(P$9:P$229,Nutrients!$EO$8:$EO$228)+(IF($A$7=Nutrients!$B$8,Nutrients!$EO$8,Nutrients!$EO$9)*P$7)+(((IF($A$8=Nutrients!$B$79,Nutrients!$EO$79,(IF($A$8=Nutrients!$B$77,Nutrients!$EO$77,Nutrients!$EO$78)))))*P$8))/2000*1000000</f>
        <v>0.29699999999999999</v>
      </c>
      <c r="Q323" s="23">
        <f>(SUMPRODUCT(Q$9:Q$229,Nutrients!$EO$8:$EO$228)+(IF($A$7=Nutrients!$B$8,Nutrients!$EO$8,Nutrients!$EO$9)*Q$7)+(((IF($A$8=Nutrients!$B$79,Nutrients!$EO$79,(IF($A$8=Nutrients!$B$77,Nutrients!$EO$77,Nutrients!$EO$78)))))*Q$8))/2000*1000000</f>
        <v>0.29699999999999999</v>
      </c>
      <c r="R323" s="23">
        <f>(SUMPRODUCT(R$9:R$229,Nutrients!$EO$8:$EO$228)+(IF($A$7=Nutrients!$B$8,Nutrients!$EO$8,Nutrients!$EO$9)*R$7)+(((IF($A$8=Nutrients!$B$79,Nutrients!$EO$79,(IF($A$8=Nutrients!$B$77,Nutrients!$EO$77,Nutrients!$EO$78)))))*R$8))/2000*1000000</f>
        <v>0.24750000000000003</v>
      </c>
      <c r="S323" s="23">
        <f>(SUMPRODUCT(S$9:S$229,Nutrients!$EO$8:$EO$228)+(IF($A$7=Nutrients!$B$8,Nutrients!$EO$8,Nutrients!$EO$9)*S$7)+(((IF($A$8=Nutrients!$B$79,Nutrients!$EO$79,(IF($A$8=Nutrients!$B$77,Nutrients!$EO$77,Nutrients!$EO$78)))))*S$8))/2000*1000000</f>
        <v>0.19800000000000001</v>
      </c>
      <c r="T323" s="23">
        <f>(SUMPRODUCT(T$9:T$229,Nutrients!$EO$8:$EO$228)+(IF($A$7=Nutrients!$B$8,Nutrients!$EO$8,Nutrients!$EO$9)*T$7)+(((IF($A$8=Nutrients!$B$79,Nutrients!$EO$79,(IF($A$8=Nutrients!$B$77,Nutrients!$EO$77,Nutrients!$EO$78)))))*T$8))/2000*1000000</f>
        <v>0.14849999999999999</v>
      </c>
      <c r="U323" s="23">
        <f>(SUMPRODUCT(U$9:U$229,Nutrients!$EO$8:$EO$228)+(IF($A$7=Nutrients!$B$8,Nutrients!$EO$8,Nutrients!$EO$9)*U$7)+(((IF($A$8=Nutrients!$B$79,Nutrients!$EO$79,(IF($A$8=Nutrients!$B$77,Nutrients!$EO$77,Nutrients!$EO$78)))))*U$8))/2000*1000000</f>
        <v>0.14849999999999999</v>
      </c>
      <c r="W323" s="23">
        <f>(SUMPRODUCT(W$9:W$229,Nutrients!$EO$8:$EO$228)+(IF($A$7=Nutrients!$B$8,Nutrients!$EO$8,Nutrients!$EO$9)*W$7)+(((IF($A$8=Nutrients!$B$79,Nutrients!$EO$79,(IF($A$8=Nutrients!$B$77,Nutrients!$EO$77,Nutrients!$EO$78)))))*W$8))/2000*1000000</f>
        <v>0.29699999999999999</v>
      </c>
      <c r="X323" s="23">
        <f>(SUMPRODUCT(X$9:X$229,Nutrients!$EO$8:$EO$228)+(IF($A$7=Nutrients!$B$8,Nutrients!$EO$8,Nutrients!$EO$9)*X$7)+(((IF($A$8=Nutrients!$B$79,Nutrients!$EO$79,(IF($A$8=Nutrients!$B$77,Nutrients!$EO$77,Nutrients!$EO$78)))))*X$8))/2000*1000000</f>
        <v>0.29699999999999999</v>
      </c>
      <c r="Y323" s="23">
        <f>(SUMPRODUCT(Y$9:Y$229,Nutrients!$EO$8:$EO$228)+(IF($A$7=Nutrients!$B$8,Nutrients!$EO$8,Nutrients!$EO$9)*Y$7)+(((IF($A$8=Nutrients!$B$79,Nutrients!$EO$79,(IF($A$8=Nutrients!$B$77,Nutrients!$EO$77,Nutrients!$EO$78)))))*Y$8))/2000*1000000</f>
        <v>0.24750000000000003</v>
      </c>
      <c r="Z323" s="23">
        <f>(SUMPRODUCT(Z$9:Z$229,Nutrients!$EO$8:$EO$228)+(IF($A$7=Nutrients!$B$8,Nutrients!$EO$8,Nutrients!$EO$9)*Z$7)+(((IF($A$8=Nutrients!$B$79,Nutrients!$EO$79,(IF($A$8=Nutrients!$B$77,Nutrients!$EO$77,Nutrients!$EO$78)))))*Z$8))/2000*1000000</f>
        <v>0.19800000000000001</v>
      </c>
      <c r="AA323" s="23">
        <f>(SUMPRODUCT(AA$9:AA$229,Nutrients!$EO$8:$EO$228)+(IF($A$7=Nutrients!$B$8,Nutrients!$EO$8,Nutrients!$EO$9)*AA$7)+(((IF($A$8=Nutrients!$B$79,Nutrients!$EO$79,(IF($A$8=Nutrients!$B$77,Nutrients!$EO$77,Nutrients!$EO$78)))))*AA$8))/2000*1000000</f>
        <v>0.14849999999999999</v>
      </c>
      <c r="AB323" s="23">
        <f>(SUMPRODUCT(AB$9:AB$229,Nutrients!$EO$8:$EO$228)+(IF($A$7=Nutrients!$B$8,Nutrients!$EO$8,Nutrients!$EO$9)*AB$7)+(((IF($A$8=Nutrients!$B$79,Nutrients!$EO$79,(IF($A$8=Nutrients!$B$77,Nutrients!$EO$77,Nutrients!$EO$78)))))*AB$8))/2000*1000000</f>
        <v>0.14849999999999999</v>
      </c>
      <c r="AD323" s="23">
        <f>(SUMPRODUCT(AD$9:AD$229,Nutrients!$EO$8:$EO$228)+(IF($A$7=Nutrients!$B$8,Nutrients!$EO$8,Nutrients!$EO$9)*AD$7)+(((IF($A$8=Nutrients!$B$79,Nutrients!$EO$79,(IF($A$8=Nutrients!$B$77,Nutrients!$EO$77,Nutrients!$EO$78)))))*AD$8))/2000*1000000</f>
        <v>0.29699999999999999</v>
      </c>
      <c r="AE323" s="23">
        <f>(SUMPRODUCT(AE$9:AE$229,Nutrients!$EO$8:$EO$228)+(IF($A$7=Nutrients!$B$8,Nutrients!$EO$8,Nutrients!$EO$9)*AE$7)+(((IF($A$8=Nutrients!$B$79,Nutrients!$EO$79,(IF($A$8=Nutrients!$B$77,Nutrients!$EO$77,Nutrients!$EO$78)))))*AE$8))/2000*1000000</f>
        <v>0.29699999999999999</v>
      </c>
      <c r="AF323" s="23">
        <f>(SUMPRODUCT(AF$9:AF$229,Nutrients!$EO$8:$EO$228)+(IF($A$7=Nutrients!$B$8,Nutrients!$EO$8,Nutrients!$EO$9)*AF$7)+(((IF($A$8=Nutrients!$B$79,Nutrients!$EO$79,(IF($A$8=Nutrients!$B$77,Nutrients!$EO$77,Nutrients!$EO$78)))))*AF$8))/2000*1000000</f>
        <v>0.24750000000000003</v>
      </c>
      <c r="AG323" s="23">
        <f>(SUMPRODUCT(AG$9:AG$229,Nutrients!$EO$8:$EO$228)+(IF($A$7=Nutrients!$B$8,Nutrients!$EO$8,Nutrients!$EO$9)*AG$7)+(((IF($A$8=Nutrients!$B$79,Nutrients!$EO$79,(IF($A$8=Nutrients!$B$77,Nutrients!$EO$77,Nutrients!$EO$78)))))*AG$8))/2000*1000000</f>
        <v>0.19800000000000001</v>
      </c>
      <c r="AH323" s="23">
        <f>(SUMPRODUCT(AH$9:AH$229,Nutrients!$EO$8:$EO$228)+(IF($A$7=Nutrients!$B$8,Nutrients!$EO$8,Nutrients!$EO$9)*AH$7)+(((IF($A$8=Nutrients!$B$79,Nutrients!$EO$79,(IF($A$8=Nutrients!$B$77,Nutrients!$EO$77,Nutrients!$EO$78)))))*AH$8))/2000*1000000</f>
        <v>0.14849999999999999</v>
      </c>
      <c r="AI323" s="23">
        <f>(SUMPRODUCT(AI$9:AI$229,Nutrients!$EO$8:$EO$228)+(IF($A$7=Nutrients!$B$8,Nutrients!$EO$8,Nutrients!$EO$9)*AI$7)+(((IF($A$8=Nutrients!$B$79,Nutrients!$EO$79,(IF($A$8=Nutrients!$B$77,Nutrients!$EO$77,Nutrients!$EO$78)))))*AI$8))/2000*1000000</f>
        <v>0.14849999999999999</v>
      </c>
      <c r="AK323" s="23">
        <f>(SUMPRODUCT(AK$9:AK$229,Nutrients!$EO$8:$EO$228)+(IF($A$7=Nutrients!$B$8,Nutrients!$EO$8,Nutrients!$EO$9)*AK$7)+(((IF($A$8=Nutrients!$B$79,Nutrients!$EO$79,(IF($A$8=Nutrients!$B$77,Nutrients!$EO$77,Nutrients!$EO$78)))))*AK$8))/2000*1000000</f>
        <v>0.29699999999999999</v>
      </c>
      <c r="AL323" s="23">
        <f>(SUMPRODUCT(AL$9:AL$229,Nutrients!$EO$8:$EO$228)+(IF($A$7=Nutrients!$B$8,Nutrients!$EO$8,Nutrients!$EO$9)*AL$7)+(((IF($A$8=Nutrients!$B$79,Nutrients!$EO$79,(IF($A$8=Nutrients!$B$77,Nutrients!$EO$77,Nutrients!$EO$78)))))*AL$8))/2000*1000000</f>
        <v>0.29699999999999999</v>
      </c>
      <c r="AM323" s="23">
        <f>(SUMPRODUCT(AM$9:AM$229,Nutrients!$EO$8:$EO$228)+(IF($A$7=Nutrients!$B$8,Nutrients!$EO$8,Nutrients!$EO$9)*AM$7)+(((IF($A$8=Nutrients!$B$79,Nutrients!$EO$79,(IF($A$8=Nutrients!$B$77,Nutrients!$EO$77,Nutrients!$EO$78)))))*AM$8))/2000*1000000</f>
        <v>0.24750000000000003</v>
      </c>
      <c r="AN323" s="23">
        <f>(SUMPRODUCT(AN$9:AN$229,Nutrients!$EO$8:$EO$228)+(IF($A$7=Nutrients!$B$8,Nutrients!$EO$8,Nutrients!$EO$9)*AN$7)+(((IF($A$8=Nutrients!$B$79,Nutrients!$EO$79,(IF($A$8=Nutrients!$B$77,Nutrients!$EO$77,Nutrients!$EO$78)))))*AN$8))/2000*1000000</f>
        <v>0.19800000000000001</v>
      </c>
      <c r="AO323" s="23">
        <f>(SUMPRODUCT(AO$9:AO$229,Nutrients!$EO$8:$EO$228)+(IF($A$7=Nutrients!$B$8,Nutrients!$EO$8,Nutrients!$EO$9)*AO$7)+(((IF($A$8=Nutrients!$B$79,Nutrients!$EO$79,(IF($A$8=Nutrients!$B$77,Nutrients!$EO$77,Nutrients!$EO$78)))))*AO$8))/2000*1000000</f>
        <v>0.14849999999999999</v>
      </c>
      <c r="AP323" s="23">
        <f>(SUMPRODUCT(AP$9:AP$229,Nutrients!$EO$8:$EO$228)+(IF($A$7=Nutrients!$B$8,Nutrients!$EO$8,Nutrients!$EO$9)*AP$7)+(((IF($A$8=Nutrients!$B$79,Nutrients!$EO$79,(IF($A$8=Nutrients!$B$77,Nutrients!$EO$77,Nutrients!$EO$78)))))*AP$8))/2000*1000000</f>
        <v>0.14849999999999999</v>
      </c>
      <c r="AR323" s="23">
        <f>(SUMPRODUCT(AR$9:AR$229,Nutrients!$EO$8:$EO$228)+(IF($A$7=Nutrients!$B$8,Nutrients!$EO$8,Nutrients!$EO$9)*AR$7)+(((IF($A$8=Nutrients!$B$79,Nutrients!$EO$79,(IF($A$8=Nutrients!$B$77,Nutrients!$EO$77,Nutrients!$EO$78)))))*AR$8))/2000*1000000</f>
        <v>0.29699999999999999</v>
      </c>
      <c r="AS323" s="23">
        <f>(SUMPRODUCT(AS$9:AS$229,Nutrients!$EO$8:$EO$228)+(IF($A$7=Nutrients!$B$8,Nutrients!$EO$8,Nutrients!$EO$9)*AS$7)+(((IF($A$8=Nutrients!$B$79,Nutrients!$EO$79,(IF($A$8=Nutrients!$B$77,Nutrients!$EO$77,Nutrients!$EO$78)))))*AS$8))/2000*1000000</f>
        <v>0.29699999999999999</v>
      </c>
      <c r="AT323" s="23">
        <f>(SUMPRODUCT(AT$9:AT$229,Nutrients!$EO$8:$EO$228)+(IF($A$7=Nutrients!$B$8,Nutrients!$EO$8,Nutrients!$EO$9)*AT$7)+(((IF($A$8=Nutrients!$B$79,Nutrients!$EO$79,(IF($A$8=Nutrients!$B$77,Nutrients!$EO$77,Nutrients!$EO$78)))))*AT$8))/2000*1000000</f>
        <v>0.24750000000000003</v>
      </c>
      <c r="AU323" s="23">
        <f>(SUMPRODUCT(AU$9:AU$229,Nutrients!$EO$8:$EO$228)+(IF($A$7=Nutrients!$B$8,Nutrients!$EO$8,Nutrients!$EO$9)*AU$7)+(((IF($A$8=Nutrients!$B$79,Nutrients!$EO$79,(IF($A$8=Nutrients!$B$77,Nutrients!$EO$77,Nutrients!$EO$78)))))*AU$8))/2000*1000000</f>
        <v>0.19800000000000001</v>
      </c>
      <c r="AV323" s="23">
        <f>(SUMPRODUCT(AV$9:AV$229,Nutrients!$EO$8:$EO$228)+(IF($A$7=Nutrients!$B$8,Nutrients!$EO$8,Nutrients!$EO$9)*AV$7)+(((IF($A$8=Nutrients!$B$79,Nutrients!$EO$79,(IF($A$8=Nutrients!$B$77,Nutrients!$EO$77,Nutrients!$EO$78)))))*AV$8))/2000*1000000</f>
        <v>0.14849999999999999</v>
      </c>
      <c r="AW323" s="23">
        <f>(SUMPRODUCT(AW$9:AW$229,Nutrients!$EO$8:$EO$228)+(IF($A$7=Nutrients!$B$8,Nutrients!$EO$8,Nutrients!$EO$9)*AW$7)+(((IF($A$8=Nutrients!$B$79,Nutrients!$EO$79,(IF($A$8=Nutrients!$B$77,Nutrients!$EO$77,Nutrients!$EO$78)))))*AW$8))/2000*1000000</f>
        <v>0.14849999999999999</v>
      </c>
    </row>
    <row r="324" spans="1:49" x14ac:dyDescent="0.25">
      <c r="A324" s="34" t="s">
        <v>117</v>
      </c>
      <c r="B324" s="23">
        <f>(SUMPRODUCT(B$9:B$229,Nutrients!$EP$8:$EP$228)+(IF($A$7=Nutrients!$B$8,Nutrients!$EP$8,Nutrients!$EP$9)*B$7)+(((IF($A$8=Nutrients!$B$79,Nutrients!$EP$79,(IF($A$8=Nutrients!$B$77,Nutrients!$EP$77,Nutrients!$EP$78)))))*B$8))/2000*1000000</f>
        <v>0.29699999999999999</v>
      </c>
      <c r="C324" s="23">
        <f>(SUMPRODUCT(C$9:C$229,Nutrients!$EP$8:$EP$228)+(IF($A$7=Nutrients!$B$8,Nutrients!$EP$8,Nutrients!$EP$9)*C$7)+(((IF($A$8=Nutrients!$B$79,Nutrients!$EP$79,(IF($A$8=Nutrients!$B$77,Nutrients!$EP$77,Nutrients!$EP$78)))))*C$8))/2000*1000000</f>
        <v>0.29699999999999999</v>
      </c>
      <c r="D324" s="23">
        <f>(SUMPRODUCT(D$9:D$229,Nutrients!$EP$8:$EP$228)+(IF($A$7=Nutrients!$B$8,Nutrients!$EP$8,Nutrients!$EP$9)*D$7)+(((IF($A$8=Nutrients!$B$79,Nutrients!$EP$79,(IF($A$8=Nutrients!$B$77,Nutrients!$EP$77,Nutrients!$EP$78)))))*D$8))/2000*1000000</f>
        <v>0.24750000000000003</v>
      </c>
      <c r="E324" s="23">
        <f>(SUMPRODUCT(E$9:E$229,Nutrients!$EP$8:$EP$228)+(IF($A$7=Nutrients!$B$8,Nutrients!$EP$8,Nutrients!$EP$9)*E$7)+(((IF($A$8=Nutrients!$B$79,Nutrients!$EP$79,(IF($A$8=Nutrients!$B$77,Nutrients!$EP$77,Nutrients!$EP$78)))))*E$8))/2000*1000000</f>
        <v>0.19800000000000001</v>
      </c>
      <c r="F324" s="23">
        <f>(SUMPRODUCT(F$9:F$229,Nutrients!$EP$8:$EP$228)+(IF($A$7=Nutrients!$B$8,Nutrients!$EP$8,Nutrients!$EP$9)*F$7)+(((IF($A$8=Nutrients!$B$79,Nutrients!$EP$79,(IF($A$8=Nutrients!$B$77,Nutrients!$EP$77,Nutrients!$EP$78)))))*F$8))/2000*1000000</f>
        <v>0.14849999999999999</v>
      </c>
      <c r="G324" s="23">
        <f>(SUMPRODUCT(G$9:G$229,Nutrients!$EP$8:$EP$228)+(IF($A$7=Nutrients!$B$8,Nutrients!$EP$8,Nutrients!$EP$9)*G$7)+(((IF($A$8=Nutrients!$B$79,Nutrients!$EP$79,(IF($A$8=Nutrients!$B$77,Nutrients!$EP$77,Nutrients!$EP$78)))))*G$8))/2000*1000000</f>
        <v>0.14849999999999999</v>
      </c>
      <c r="H324" s="227"/>
      <c r="I324" s="23">
        <f>(SUMPRODUCT(I$9:I$229,Nutrients!$EP$8:$EP$228)+(IF($A$7=Nutrients!$B$8,Nutrients!$EP$8,Nutrients!$EP$9)*I$7)+(((IF($A$8=Nutrients!$B$79,Nutrients!$EP$79,(IF($A$8=Nutrients!$B$77,Nutrients!$EP$77,Nutrients!$EP$78)))))*I$8))/2000*1000000</f>
        <v>0.29699999999999999</v>
      </c>
      <c r="J324" s="23">
        <f>(SUMPRODUCT(J$9:J$229,Nutrients!$EP$8:$EP$228)+(IF($A$7=Nutrients!$B$8,Nutrients!$EP$8,Nutrients!$EP$9)*J$7)+(((IF($A$8=Nutrients!$B$79,Nutrients!$EP$79,(IF($A$8=Nutrients!$B$77,Nutrients!$EP$77,Nutrients!$EP$78)))))*J$8))/2000*1000000</f>
        <v>0.29699999999999999</v>
      </c>
      <c r="K324" s="23">
        <f>(SUMPRODUCT(K$9:K$229,Nutrients!$EP$8:$EP$228)+(IF($A$7=Nutrients!$B$8,Nutrients!$EP$8,Nutrients!$EP$9)*K$7)+(((IF($A$8=Nutrients!$B$79,Nutrients!$EP$79,(IF($A$8=Nutrients!$B$77,Nutrients!$EP$77,Nutrients!$EP$78)))))*K$8))/2000*1000000</f>
        <v>0.24750000000000003</v>
      </c>
      <c r="L324" s="23">
        <f>(SUMPRODUCT(L$9:L$229,Nutrients!$EP$8:$EP$228)+(IF($A$7=Nutrients!$B$8,Nutrients!$EP$8,Nutrients!$EP$9)*L$7)+(((IF($A$8=Nutrients!$B$79,Nutrients!$EP$79,(IF($A$8=Nutrients!$B$77,Nutrients!$EP$77,Nutrients!$EP$78)))))*L$8))/2000*1000000</f>
        <v>0.19800000000000001</v>
      </c>
      <c r="M324" s="23">
        <f>(SUMPRODUCT(M$9:M$229,Nutrients!$EP$8:$EP$228)+(IF($A$7=Nutrients!$B$8,Nutrients!$EP$8,Nutrients!$EP$9)*M$7)+(((IF($A$8=Nutrients!$B$79,Nutrients!$EP$79,(IF($A$8=Nutrients!$B$77,Nutrients!$EP$77,Nutrients!$EP$78)))))*M$8))/2000*1000000</f>
        <v>0.14849999999999999</v>
      </c>
      <c r="N324" s="23">
        <f>(SUMPRODUCT(N$9:N$229,Nutrients!$EP$8:$EP$228)+(IF($A$7=Nutrients!$B$8,Nutrients!$EP$8,Nutrients!$EP$9)*N$7)+(((IF($A$8=Nutrients!$B$79,Nutrients!$EP$79,(IF($A$8=Nutrients!$B$77,Nutrients!$EP$77,Nutrients!$EP$78)))))*N$8))/2000*1000000</f>
        <v>0.14849999999999999</v>
      </c>
      <c r="O324" s="198"/>
      <c r="P324" s="23">
        <f>(SUMPRODUCT(P$9:P$229,Nutrients!$EP$8:$EP$228)+(IF($A$7=Nutrients!$B$8,Nutrients!$EP$8,Nutrients!$EP$9)*P$7)+(((IF($A$8=Nutrients!$B$79,Nutrients!$EP$79,(IF($A$8=Nutrients!$B$77,Nutrients!$EP$77,Nutrients!$EP$78)))))*P$8))/2000*1000000</f>
        <v>0.29699999999999999</v>
      </c>
      <c r="Q324" s="23">
        <f>(SUMPRODUCT(Q$9:Q$229,Nutrients!$EP$8:$EP$228)+(IF($A$7=Nutrients!$B$8,Nutrients!$EP$8,Nutrients!$EP$9)*Q$7)+(((IF($A$8=Nutrients!$B$79,Nutrients!$EP$79,(IF($A$8=Nutrients!$B$77,Nutrients!$EP$77,Nutrients!$EP$78)))))*Q$8))/2000*1000000</f>
        <v>0.29699999999999999</v>
      </c>
      <c r="R324" s="23">
        <f>(SUMPRODUCT(R$9:R$229,Nutrients!$EP$8:$EP$228)+(IF($A$7=Nutrients!$B$8,Nutrients!$EP$8,Nutrients!$EP$9)*R$7)+(((IF($A$8=Nutrients!$B$79,Nutrients!$EP$79,(IF($A$8=Nutrients!$B$77,Nutrients!$EP$77,Nutrients!$EP$78)))))*R$8))/2000*1000000</f>
        <v>0.24750000000000003</v>
      </c>
      <c r="S324" s="23">
        <f>(SUMPRODUCT(S$9:S$229,Nutrients!$EP$8:$EP$228)+(IF($A$7=Nutrients!$B$8,Nutrients!$EP$8,Nutrients!$EP$9)*S$7)+(((IF($A$8=Nutrients!$B$79,Nutrients!$EP$79,(IF($A$8=Nutrients!$B$77,Nutrients!$EP$77,Nutrients!$EP$78)))))*S$8))/2000*1000000</f>
        <v>0.19800000000000001</v>
      </c>
      <c r="T324" s="23">
        <f>(SUMPRODUCT(T$9:T$229,Nutrients!$EP$8:$EP$228)+(IF($A$7=Nutrients!$B$8,Nutrients!$EP$8,Nutrients!$EP$9)*T$7)+(((IF($A$8=Nutrients!$B$79,Nutrients!$EP$79,(IF($A$8=Nutrients!$B$77,Nutrients!$EP$77,Nutrients!$EP$78)))))*T$8))/2000*1000000</f>
        <v>0.14849999999999999</v>
      </c>
      <c r="U324" s="23">
        <f>(SUMPRODUCT(U$9:U$229,Nutrients!$EP$8:$EP$228)+(IF($A$7=Nutrients!$B$8,Nutrients!$EP$8,Nutrients!$EP$9)*U$7)+(((IF($A$8=Nutrients!$B$79,Nutrients!$EP$79,(IF($A$8=Nutrients!$B$77,Nutrients!$EP$77,Nutrients!$EP$78)))))*U$8))/2000*1000000</f>
        <v>0.14849999999999999</v>
      </c>
      <c r="W324" s="23">
        <f>(SUMPRODUCT(W$9:W$229,Nutrients!$EP$8:$EP$228)+(IF($A$7=Nutrients!$B$8,Nutrients!$EP$8,Nutrients!$EP$9)*W$7)+(((IF($A$8=Nutrients!$B$79,Nutrients!$EP$79,(IF($A$8=Nutrients!$B$77,Nutrients!$EP$77,Nutrients!$EP$78)))))*W$8))/2000*1000000</f>
        <v>0.29699999999999999</v>
      </c>
      <c r="X324" s="23">
        <f>(SUMPRODUCT(X$9:X$229,Nutrients!$EP$8:$EP$228)+(IF($A$7=Nutrients!$B$8,Nutrients!$EP$8,Nutrients!$EP$9)*X$7)+(((IF($A$8=Nutrients!$B$79,Nutrients!$EP$79,(IF($A$8=Nutrients!$B$77,Nutrients!$EP$77,Nutrients!$EP$78)))))*X$8))/2000*1000000</f>
        <v>0.29699999999999999</v>
      </c>
      <c r="Y324" s="23">
        <f>(SUMPRODUCT(Y$9:Y$229,Nutrients!$EP$8:$EP$228)+(IF($A$7=Nutrients!$B$8,Nutrients!$EP$8,Nutrients!$EP$9)*Y$7)+(((IF($A$8=Nutrients!$B$79,Nutrients!$EP$79,(IF($A$8=Nutrients!$B$77,Nutrients!$EP$77,Nutrients!$EP$78)))))*Y$8))/2000*1000000</f>
        <v>0.24750000000000003</v>
      </c>
      <c r="Z324" s="23">
        <f>(SUMPRODUCT(Z$9:Z$229,Nutrients!$EP$8:$EP$228)+(IF($A$7=Nutrients!$B$8,Nutrients!$EP$8,Nutrients!$EP$9)*Z$7)+(((IF($A$8=Nutrients!$B$79,Nutrients!$EP$79,(IF($A$8=Nutrients!$B$77,Nutrients!$EP$77,Nutrients!$EP$78)))))*Z$8))/2000*1000000</f>
        <v>0.19800000000000001</v>
      </c>
      <c r="AA324" s="23">
        <f>(SUMPRODUCT(AA$9:AA$229,Nutrients!$EP$8:$EP$228)+(IF($A$7=Nutrients!$B$8,Nutrients!$EP$8,Nutrients!$EP$9)*AA$7)+(((IF($A$8=Nutrients!$B$79,Nutrients!$EP$79,(IF($A$8=Nutrients!$B$77,Nutrients!$EP$77,Nutrients!$EP$78)))))*AA$8))/2000*1000000</f>
        <v>0.14849999999999999</v>
      </c>
      <c r="AB324" s="23">
        <f>(SUMPRODUCT(AB$9:AB$229,Nutrients!$EP$8:$EP$228)+(IF($A$7=Nutrients!$B$8,Nutrients!$EP$8,Nutrients!$EP$9)*AB$7)+(((IF($A$8=Nutrients!$B$79,Nutrients!$EP$79,(IF($A$8=Nutrients!$B$77,Nutrients!$EP$77,Nutrients!$EP$78)))))*AB$8))/2000*1000000</f>
        <v>0.14849999999999999</v>
      </c>
      <c r="AD324" s="23">
        <f>(SUMPRODUCT(AD$9:AD$229,Nutrients!$EP$8:$EP$228)+(IF($A$7=Nutrients!$B$8,Nutrients!$EP$8,Nutrients!$EP$9)*AD$7)+(((IF($A$8=Nutrients!$B$79,Nutrients!$EP$79,(IF($A$8=Nutrients!$B$77,Nutrients!$EP$77,Nutrients!$EP$78)))))*AD$8))/2000*1000000</f>
        <v>0.29699999999999999</v>
      </c>
      <c r="AE324" s="23">
        <f>(SUMPRODUCT(AE$9:AE$229,Nutrients!$EP$8:$EP$228)+(IF($A$7=Nutrients!$B$8,Nutrients!$EP$8,Nutrients!$EP$9)*AE$7)+(((IF($A$8=Nutrients!$B$79,Nutrients!$EP$79,(IF($A$8=Nutrients!$B$77,Nutrients!$EP$77,Nutrients!$EP$78)))))*AE$8))/2000*1000000</f>
        <v>0.29699999999999999</v>
      </c>
      <c r="AF324" s="23">
        <f>(SUMPRODUCT(AF$9:AF$229,Nutrients!$EP$8:$EP$228)+(IF($A$7=Nutrients!$B$8,Nutrients!$EP$8,Nutrients!$EP$9)*AF$7)+(((IF($A$8=Nutrients!$B$79,Nutrients!$EP$79,(IF($A$8=Nutrients!$B$77,Nutrients!$EP$77,Nutrients!$EP$78)))))*AF$8))/2000*1000000</f>
        <v>0.24750000000000003</v>
      </c>
      <c r="AG324" s="23">
        <f>(SUMPRODUCT(AG$9:AG$229,Nutrients!$EP$8:$EP$228)+(IF($A$7=Nutrients!$B$8,Nutrients!$EP$8,Nutrients!$EP$9)*AG$7)+(((IF($A$8=Nutrients!$B$79,Nutrients!$EP$79,(IF($A$8=Nutrients!$B$77,Nutrients!$EP$77,Nutrients!$EP$78)))))*AG$8))/2000*1000000</f>
        <v>0.19800000000000001</v>
      </c>
      <c r="AH324" s="23">
        <f>(SUMPRODUCT(AH$9:AH$229,Nutrients!$EP$8:$EP$228)+(IF($A$7=Nutrients!$B$8,Nutrients!$EP$8,Nutrients!$EP$9)*AH$7)+(((IF($A$8=Nutrients!$B$79,Nutrients!$EP$79,(IF($A$8=Nutrients!$B$77,Nutrients!$EP$77,Nutrients!$EP$78)))))*AH$8))/2000*1000000</f>
        <v>0.14849999999999999</v>
      </c>
      <c r="AI324" s="23">
        <f>(SUMPRODUCT(AI$9:AI$229,Nutrients!$EP$8:$EP$228)+(IF($A$7=Nutrients!$B$8,Nutrients!$EP$8,Nutrients!$EP$9)*AI$7)+(((IF($A$8=Nutrients!$B$79,Nutrients!$EP$79,(IF($A$8=Nutrients!$B$77,Nutrients!$EP$77,Nutrients!$EP$78)))))*AI$8))/2000*1000000</f>
        <v>0.14849999999999999</v>
      </c>
      <c r="AK324" s="23">
        <f>(SUMPRODUCT(AK$9:AK$229,Nutrients!$EP$8:$EP$228)+(IF($A$7=Nutrients!$B$8,Nutrients!$EP$8,Nutrients!$EP$9)*AK$7)+(((IF($A$8=Nutrients!$B$79,Nutrients!$EP$79,(IF($A$8=Nutrients!$B$77,Nutrients!$EP$77,Nutrients!$EP$78)))))*AK$8))/2000*1000000</f>
        <v>0.29699999999999999</v>
      </c>
      <c r="AL324" s="23">
        <f>(SUMPRODUCT(AL$9:AL$229,Nutrients!$EP$8:$EP$228)+(IF($A$7=Nutrients!$B$8,Nutrients!$EP$8,Nutrients!$EP$9)*AL$7)+(((IF($A$8=Nutrients!$B$79,Nutrients!$EP$79,(IF($A$8=Nutrients!$B$77,Nutrients!$EP$77,Nutrients!$EP$78)))))*AL$8))/2000*1000000</f>
        <v>0.29699999999999999</v>
      </c>
      <c r="AM324" s="23">
        <f>(SUMPRODUCT(AM$9:AM$229,Nutrients!$EP$8:$EP$228)+(IF($A$7=Nutrients!$B$8,Nutrients!$EP$8,Nutrients!$EP$9)*AM$7)+(((IF($A$8=Nutrients!$B$79,Nutrients!$EP$79,(IF($A$8=Nutrients!$B$77,Nutrients!$EP$77,Nutrients!$EP$78)))))*AM$8))/2000*1000000</f>
        <v>0.24750000000000003</v>
      </c>
      <c r="AN324" s="23">
        <f>(SUMPRODUCT(AN$9:AN$229,Nutrients!$EP$8:$EP$228)+(IF($A$7=Nutrients!$B$8,Nutrients!$EP$8,Nutrients!$EP$9)*AN$7)+(((IF($A$8=Nutrients!$B$79,Nutrients!$EP$79,(IF($A$8=Nutrients!$B$77,Nutrients!$EP$77,Nutrients!$EP$78)))))*AN$8))/2000*1000000</f>
        <v>0.19800000000000001</v>
      </c>
      <c r="AO324" s="23">
        <f>(SUMPRODUCT(AO$9:AO$229,Nutrients!$EP$8:$EP$228)+(IF($A$7=Nutrients!$B$8,Nutrients!$EP$8,Nutrients!$EP$9)*AO$7)+(((IF($A$8=Nutrients!$B$79,Nutrients!$EP$79,(IF($A$8=Nutrients!$B$77,Nutrients!$EP$77,Nutrients!$EP$78)))))*AO$8))/2000*1000000</f>
        <v>0.14849999999999999</v>
      </c>
      <c r="AP324" s="23">
        <f>(SUMPRODUCT(AP$9:AP$229,Nutrients!$EP$8:$EP$228)+(IF($A$7=Nutrients!$B$8,Nutrients!$EP$8,Nutrients!$EP$9)*AP$7)+(((IF($A$8=Nutrients!$B$79,Nutrients!$EP$79,(IF($A$8=Nutrients!$B$77,Nutrients!$EP$77,Nutrients!$EP$78)))))*AP$8))/2000*1000000</f>
        <v>0.14849999999999999</v>
      </c>
      <c r="AR324" s="23">
        <f>(SUMPRODUCT(AR$9:AR$229,Nutrients!$EP$8:$EP$228)+(IF($A$7=Nutrients!$B$8,Nutrients!$EP$8,Nutrients!$EP$9)*AR$7)+(((IF($A$8=Nutrients!$B$79,Nutrients!$EP$79,(IF($A$8=Nutrients!$B$77,Nutrients!$EP$77,Nutrients!$EP$78)))))*AR$8))/2000*1000000</f>
        <v>0.29699999999999999</v>
      </c>
      <c r="AS324" s="23">
        <f>(SUMPRODUCT(AS$9:AS$229,Nutrients!$EP$8:$EP$228)+(IF($A$7=Nutrients!$B$8,Nutrients!$EP$8,Nutrients!$EP$9)*AS$7)+(((IF($A$8=Nutrients!$B$79,Nutrients!$EP$79,(IF($A$8=Nutrients!$B$77,Nutrients!$EP$77,Nutrients!$EP$78)))))*AS$8))/2000*1000000</f>
        <v>0.29699999999999999</v>
      </c>
      <c r="AT324" s="23">
        <f>(SUMPRODUCT(AT$9:AT$229,Nutrients!$EP$8:$EP$228)+(IF($A$7=Nutrients!$B$8,Nutrients!$EP$8,Nutrients!$EP$9)*AT$7)+(((IF($A$8=Nutrients!$B$79,Nutrients!$EP$79,(IF($A$8=Nutrients!$B$77,Nutrients!$EP$77,Nutrients!$EP$78)))))*AT$8))/2000*1000000</f>
        <v>0.24750000000000003</v>
      </c>
      <c r="AU324" s="23">
        <f>(SUMPRODUCT(AU$9:AU$229,Nutrients!$EP$8:$EP$228)+(IF($A$7=Nutrients!$B$8,Nutrients!$EP$8,Nutrients!$EP$9)*AU$7)+(((IF($A$8=Nutrients!$B$79,Nutrients!$EP$79,(IF($A$8=Nutrients!$B$77,Nutrients!$EP$77,Nutrients!$EP$78)))))*AU$8))/2000*1000000</f>
        <v>0.19800000000000001</v>
      </c>
      <c r="AV324" s="23">
        <f>(SUMPRODUCT(AV$9:AV$229,Nutrients!$EP$8:$EP$228)+(IF($A$7=Nutrients!$B$8,Nutrients!$EP$8,Nutrients!$EP$9)*AV$7)+(((IF($A$8=Nutrients!$B$79,Nutrients!$EP$79,(IF($A$8=Nutrients!$B$77,Nutrients!$EP$77,Nutrients!$EP$78)))))*AV$8))/2000*1000000</f>
        <v>0.14849999999999999</v>
      </c>
      <c r="AW324" s="23">
        <f>(SUMPRODUCT(AW$9:AW$229,Nutrients!$EP$8:$EP$228)+(IF($A$7=Nutrients!$B$8,Nutrients!$EP$8,Nutrients!$EP$9)*AW$7)+(((IF($A$8=Nutrients!$B$79,Nutrients!$EP$79,(IF($A$8=Nutrients!$B$77,Nutrients!$EP$77,Nutrients!$EP$78)))))*AW$8))/2000*1000000</f>
        <v>0.14849999999999999</v>
      </c>
    </row>
    <row r="325" spans="1:49" x14ac:dyDescent="0.25">
      <c r="A325" s="34" t="s">
        <v>118</v>
      </c>
      <c r="B325" s="21">
        <f>(SUMPRODUCT(B$9:B$229,Nutrients!$EQ$8:$EQ$228)+(IF($A$7=Nutrients!$B$8,Nutrients!$EQ$8,Nutrients!$EQ$9)*B$7)+(((IF($A$8=Nutrients!$B$79,Nutrients!$EQ$79,(IF($A$8=Nutrients!$B$77,Nutrients!$EQ$77,Nutrients!$EQ$78)))))*B$8))/2000*1000000000</f>
        <v>0</v>
      </c>
      <c r="C325" s="21">
        <f>(SUMPRODUCT(C$9:C$229,Nutrients!$EQ$8:$EQ$228)+(IF($A$7=Nutrients!$B$8,Nutrients!$EQ$8,Nutrients!$EQ$9)*C$7)+(((IF($A$8=Nutrients!$B$79,Nutrients!$EQ$79,(IF($A$8=Nutrients!$B$77,Nutrients!$EQ$77,Nutrients!$EQ$78)))))*C$8))/2000*1000000000</f>
        <v>0</v>
      </c>
      <c r="D325" s="21">
        <f>(SUMPRODUCT(D$9:D$229,Nutrients!$EQ$8:$EQ$228)+(IF($A$7=Nutrients!$B$8,Nutrients!$EQ$8,Nutrients!$EQ$9)*D$7)+(((IF($A$8=Nutrients!$B$79,Nutrients!$EQ$79,(IF($A$8=Nutrients!$B$77,Nutrients!$EQ$77,Nutrients!$EQ$78)))))*D$8))/2000*1000000000</f>
        <v>0</v>
      </c>
      <c r="E325" s="21">
        <f>(SUMPRODUCT(E$9:E$229,Nutrients!$EQ$8:$EQ$228)+(IF($A$7=Nutrients!$B$8,Nutrients!$EQ$8,Nutrients!$EQ$9)*E$7)+(((IF($A$8=Nutrients!$B$79,Nutrients!$EQ$79,(IF($A$8=Nutrients!$B$77,Nutrients!$EQ$77,Nutrients!$EQ$78)))))*E$8))/2000*1000000000</f>
        <v>0</v>
      </c>
      <c r="F325" s="21">
        <f>(SUMPRODUCT(F$9:F$229,Nutrients!$EQ$8:$EQ$228)+(IF($A$7=Nutrients!$B$8,Nutrients!$EQ$8,Nutrients!$EQ$9)*F$7)+(((IF($A$8=Nutrients!$B$79,Nutrients!$EQ$79,(IF($A$8=Nutrients!$B$77,Nutrients!$EQ$77,Nutrients!$EQ$78)))))*F$8))/2000*1000000000</f>
        <v>0</v>
      </c>
      <c r="G325" s="21">
        <f>(SUMPRODUCT(G$9:G$229,Nutrients!$EQ$8:$EQ$228)+(IF($A$7=Nutrients!$B$8,Nutrients!$EQ$8,Nutrients!$EQ$9)*G$7)+(((IF($A$8=Nutrients!$B$79,Nutrients!$EQ$79,(IF($A$8=Nutrients!$B$77,Nutrients!$EQ$77,Nutrients!$EQ$78)))))*G$8))/2000*1000000000</f>
        <v>0</v>
      </c>
      <c r="H325" s="226"/>
      <c r="I325" s="21">
        <f>(SUMPRODUCT(I$9:I$229,Nutrients!$EQ$8:$EQ$228)+(IF($A$7=Nutrients!$B$8,Nutrients!$EQ$8,Nutrients!$EQ$9)*I$7)+(((IF($A$8=Nutrients!$B$79,Nutrients!$EQ$79,(IF($A$8=Nutrients!$B$77,Nutrients!$EQ$77,Nutrients!$EQ$78)))))*I$8))/2000*1000000000</f>
        <v>0</v>
      </c>
      <c r="J325" s="21">
        <f>(SUMPRODUCT(J$9:J$229,Nutrients!$EQ$8:$EQ$228)+(IF($A$7=Nutrients!$B$8,Nutrients!$EQ$8,Nutrients!$EQ$9)*J$7)+(((IF($A$8=Nutrients!$B$79,Nutrients!$EQ$79,(IF($A$8=Nutrients!$B$77,Nutrients!$EQ$77,Nutrients!$EQ$78)))))*J$8))/2000*1000000000</f>
        <v>0</v>
      </c>
      <c r="K325" s="21">
        <f>(SUMPRODUCT(K$9:K$229,Nutrients!$EQ$8:$EQ$228)+(IF($A$7=Nutrients!$B$8,Nutrients!$EQ$8,Nutrients!$EQ$9)*K$7)+(((IF($A$8=Nutrients!$B$79,Nutrients!$EQ$79,(IF($A$8=Nutrients!$B$77,Nutrients!$EQ$77,Nutrients!$EQ$78)))))*K$8))/2000*1000000000</f>
        <v>0</v>
      </c>
      <c r="L325" s="21">
        <f>(SUMPRODUCT(L$9:L$229,Nutrients!$EQ$8:$EQ$228)+(IF($A$7=Nutrients!$B$8,Nutrients!$EQ$8,Nutrients!$EQ$9)*L$7)+(((IF($A$8=Nutrients!$B$79,Nutrients!$EQ$79,(IF($A$8=Nutrients!$B$77,Nutrients!$EQ$77,Nutrients!$EQ$78)))))*L$8))/2000*1000000000</f>
        <v>0</v>
      </c>
      <c r="M325" s="21">
        <f>(SUMPRODUCT(M$9:M$229,Nutrients!$EQ$8:$EQ$228)+(IF($A$7=Nutrients!$B$8,Nutrients!$EQ$8,Nutrients!$EQ$9)*M$7)+(((IF($A$8=Nutrients!$B$79,Nutrients!$EQ$79,(IF($A$8=Nutrients!$B$77,Nutrients!$EQ$77,Nutrients!$EQ$78)))))*M$8))/2000*1000000000</f>
        <v>0</v>
      </c>
      <c r="N325" s="21">
        <f>(SUMPRODUCT(N$9:N$229,Nutrients!$EQ$8:$EQ$228)+(IF($A$7=Nutrients!$B$8,Nutrients!$EQ$8,Nutrients!$EQ$9)*N$7)+(((IF($A$8=Nutrients!$B$79,Nutrients!$EQ$79,(IF($A$8=Nutrients!$B$77,Nutrients!$EQ$77,Nutrients!$EQ$78)))))*N$8))/2000*1000000000</f>
        <v>0</v>
      </c>
      <c r="O325" s="234"/>
      <c r="P325" s="21">
        <f>(SUMPRODUCT(P$9:P$229,Nutrients!$EQ$8:$EQ$228)+(IF($A$7=Nutrients!$B$8,Nutrients!$EQ$8,Nutrients!$EQ$9)*P$7)+(((IF($A$8=Nutrients!$B$79,Nutrients!$EQ$79,(IF($A$8=Nutrients!$B$77,Nutrients!$EQ$77,Nutrients!$EQ$78)))))*P$8))/2000*1000000000</f>
        <v>0</v>
      </c>
      <c r="Q325" s="21">
        <f>(SUMPRODUCT(Q$9:Q$229,Nutrients!$EQ$8:$EQ$228)+(IF($A$7=Nutrients!$B$8,Nutrients!$EQ$8,Nutrients!$EQ$9)*Q$7)+(((IF($A$8=Nutrients!$B$79,Nutrients!$EQ$79,(IF($A$8=Nutrients!$B$77,Nutrients!$EQ$77,Nutrients!$EQ$78)))))*Q$8))/2000*1000000000</f>
        <v>0</v>
      </c>
      <c r="R325" s="21">
        <f>(SUMPRODUCT(R$9:R$229,Nutrients!$EQ$8:$EQ$228)+(IF($A$7=Nutrients!$B$8,Nutrients!$EQ$8,Nutrients!$EQ$9)*R$7)+(((IF($A$8=Nutrients!$B$79,Nutrients!$EQ$79,(IF($A$8=Nutrients!$B$77,Nutrients!$EQ$77,Nutrients!$EQ$78)))))*R$8))/2000*1000000000</f>
        <v>0</v>
      </c>
      <c r="S325" s="21">
        <f>(SUMPRODUCT(S$9:S$229,Nutrients!$EQ$8:$EQ$228)+(IF($A$7=Nutrients!$B$8,Nutrients!$EQ$8,Nutrients!$EQ$9)*S$7)+(((IF($A$8=Nutrients!$B$79,Nutrients!$EQ$79,(IF($A$8=Nutrients!$B$77,Nutrients!$EQ$77,Nutrients!$EQ$78)))))*S$8))/2000*1000000000</f>
        <v>0</v>
      </c>
      <c r="T325" s="21">
        <f>(SUMPRODUCT(T$9:T$229,Nutrients!$EQ$8:$EQ$228)+(IF($A$7=Nutrients!$B$8,Nutrients!$EQ$8,Nutrients!$EQ$9)*T$7)+(((IF($A$8=Nutrients!$B$79,Nutrients!$EQ$79,(IF($A$8=Nutrients!$B$77,Nutrients!$EQ$77,Nutrients!$EQ$78)))))*T$8))/2000*1000000000</f>
        <v>0</v>
      </c>
      <c r="U325" s="21">
        <f>(SUMPRODUCT(U$9:U$229,Nutrients!$EQ$8:$EQ$228)+(IF($A$7=Nutrients!$B$8,Nutrients!$EQ$8,Nutrients!$EQ$9)*U$7)+(((IF($A$8=Nutrients!$B$79,Nutrients!$EQ$79,(IF($A$8=Nutrients!$B$77,Nutrients!$EQ$77,Nutrients!$EQ$78)))))*U$8))/2000*1000000000</f>
        <v>0</v>
      </c>
      <c r="W325" s="21">
        <f>(SUMPRODUCT(W$9:W$229,Nutrients!$EQ$8:$EQ$228)+(IF($A$7=Nutrients!$B$8,Nutrients!$EQ$8,Nutrients!$EQ$9)*W$7)+(((IF($A$8=Nutrients!$B$79,Nutrients!$EQ$79,(IF($A$8=Nutrients!$B$77,Nutrients!$EQ$77,Nutrients!$EQ$78)))))*W$8))/2000*1000000000</f>
        <v>0</v>
      </c>
      <c r="X325" s="21">
        <f>(SUMPRODUCT(X$9:X$229,Nutrients!$EQ$8:$EQ$228)+(IF($A$7=Nutrients!$B$8,Nutrients!$EQ$8,Nutrients!$EQ$9)*X$7)+(((IF($A$8=Nutrients!$B$79,Nutrients!$EQ$79,(IF($A$8=Nutrients!$B$77,Nutrients!$EQ$77,Nutrients!$EQ$78)))))*X$8))/2000*1000000000</f>
        <v>0</v>
      </c>
      <c r="Y325" s="21">
        <f>(SUMPRODUCT(Y$9:Y$229,Nutrients!$EQ$8:$EQ$228)+(IF($A$7=Nutrients!$B$8,Nutrients!$EQ$8,Nutrients!$EQ$9)*Y$7)+(((IF($A$8=Nutrients!$B$79,Nutrients!$EQ$79,(IF($A$8=Nutrients!$B$77,Nutrients!$EQ$77,Nutrients!$EQ$78)))))*Y$8))/2000*1000000000</f>
        <v>0</v>
      </c>
      <c r="Z325" s="21">
        <f>(SUMPRODUCT(Z$9:Z$229,Nutrients!$EQ$8:$EQ$228)+(IF($A$7=Nutrients!$B$8,Nutrients!$EQ$8,Nutrients!$EQ$9)*Z$7)+(((IF($A$8=Nutrients!$B$79,Nutrients!$EQ$79,(IF($A$8=Nutrients!$B$77,Nutrients!$EQ$77,Nutrients!$EQ$78)))))*Z$8))/2000*1000000000</f>
        <v>0</v>
      </c>
      <c r="AA325" s="21">
        <f>(SUMPRODUCT(AA$9:AA$229,Nutrients!$EQ$8:$EQ$228)+(IF($A$7=Nutrients!$B$8,Nutrients!$EQ$8,Nutrients!$EQ$9)*AA$7)+(((IF($A$8=Nutrients!$B$79,Nutrients!$EQ$79,(IF($A$8=Nutrients!$B$77,Nutrients!$EQ$77,Nutrients!$EQ$78)))))*AA$8))/2000*1000000000</f>
        <v>0</v>
      </c>
      <c r="AB325" s="21">
        <f>(SUMPRODUCT(AB$9:AB$229,Nutrients!$EQ$8:$EQ$228)+(IF($A$7=Nutrients!$B$8,Nutrients!$EQ$8,Nutrients!$EQ$9)*AB$7)+(((IF($A$8=Nutrients!$B$79,Nutrients!$EQ$79,(IF($A$8=Nutrients!$B$77,Nutrients!$EQ$77,Nutrients!$EQ$78)))))*AB$8))/2000*1000000000</f>
        <v>0</v>
      </c>
      <c r="AD325" s="21">
        <f>(SUMPRODUCT(AD$9:AD$229,Nutrients!$EQ$8:$EQ$228)+(IF($A$7=Nutrients!$B$8,Nutrients!$EQ$8,Nutrients!$EQ$9)*AD$7)+(((IF($A$8=Nutrients!$B$79,Nutrients!$EQ$79,(IF($A$8=Nutrients!$B$77,Nutrients!$EQ$77,Nutrients!$EQ$78)))))*AD$8))/2000*1000000000</f>
        <v>0</v>
      </c>
      <c r="AE325" s="21">
        <f>(SUMPRODUCT(AE$9:AE$229,Nutrients!$EQ$8:$EQ$228)+(IF($A$7=Nutrients!$B$8,Nutrients!$EQ$8,Nutrients!$EQ$9)*AE$7)+(((IF($A$8=Nutrients!$B$79,Nutrients!$EQ$79,(IF($A$8=Nutrients!$B$77,Nutrients!$EQ$77,Nutrients!$EQ$78)))))*AE$8))/2000*1000000000</f>
        <v>0</v>
      </c>
      <c r="AF325" s="21">
        <f>(SUMPRODUCT(AF$9:AF$229,Nutrients!$EQ$8:$EQ$228)+(IF($A$7=Nutrients!$B$8,Nutrients!$EQ$8,Nutrients!$EQ$9)*AF$7)+(((IF($A$8=Nutrients!$B$79,Nutrients!$EQ$79,(IF($A$8=Nutrients!$B$77,Nutrients!$EQ$77,Nutrients!$EQ$78)))))*AF$8))/2000*1000000000</f>
        <v>0</v>
      </c>
      <c r="AG325" s="21">
        <f>(SUMPRODUCT(AG$9:AG$229,Nutrients!$EQ$8:$EQ$228)+(IF($A$7=Nutrients!$B$8,Nutrients!$EQ$8,Nutrients!$EQ$9)*AG$7)+(((IF($A$8=Nutrients!$B$79,Nutrients!$EQ$79,(IF($A$8=Nutrients!$B$77,Nutrients!$EQ$77,Nutrients!$EQ$78)))))*AG$8))/2000*1000000000</f>
        <v>0</v>
      </c>
      <c r="AH325" s="21">
        <f>(SUMPRODUCT(AH$9:AH$229,Nutrients!$EQ$8:$EQ$228)+(IF($A$7=Nutrients!$B$8,Nutrients!$EQ$8,Nutrients!$EQ$9)*AH$7)+(((IF($A$8=Nutrients!$B$79,Nutrients!$EQ$79,(IF($A$8=Nutrients!$B$77,Nutrients!$EQ$77,Nutrients!$EQ$78)))))*AH$8))/2000*1000000000</f>
        <v>0</v>
      </c>
      <c r="AI325" s="21">
        <f>(SUMPRODUCT(AI$9:AI$229,Nutrients!$EQ$8:$EQ$228)+(IF($A$7=Nutrients!$B$8,Nutrients!$EQ$8,Nutrients!$EQ$9)*AI$7)+(((IF($A$8=Nutrients!$B$79,Nutrients!$EQ$79,(IF($A$8=Nutrients!$B$77,Nutrients!$EQ$77,Nutrients!$EQ$78)))))*AI$8))/2000*1000000000</f>
        <v>0</v>
      </c>
      <c r="AK325" s="21">
        <f>(SUMPRODUCT(AK$9:AK$229,Nutrients!$EQ$8:$EQ$228)+(IF($A$7=Nutrients!$B$8,Nutrients!$EQ$8,Nutrients!$EQ$9)*AK$7)+(((IF($A$8=Nutrients!$B$79,Nutrients!$EQ$79,(IF($A$8=Nutrients!$B$77,Nutrients!$EQ$77,Nutrients!$EQ$78)))))*AK$8))/2000*1000000000</f>
        <v>0</v>
      </c>
      <c r="AL325" s="21">
        <f>(SUMPRODUCT(AL$9:AL$229,Nutrients!$EQ$8:$EQ$228)+(IF($A$7=Nutrients!$B$8,Nutrients!$EQ$8,Nutrients!$EQ$9)*AL$7)+(((IF($A$8=Nutrients!$B$79,Nutrients!$EQ$79,(IF($A$8=Nutrients!$B$77,Nutrients!$EQ$77,Nutrients!$EQ$78)))))*AL$8))/2000*1000000000</f>
        <v>0</v>
      </c>
      <c r="AM325" s="21">
        <f>(SUMPRODUCT(AM$9:AM$229,Nutrients!$EQ$8:$EQ$228)+(IF($A$7=Nutrients!$B$8,Nutrients!$EQ$8,Nutrients!$EQ$9)*AM$7)+(((IF($A$8=Nutrients!$B$79,Nutrients!$EQ$79,(IF($A$8=Nutrients!$B$77,Nutrients!$EQ$77,Nutrients!$EQ$78)))))*AM$8))/2000*1000000000</f>
        <v>0</v>
      </c>
      <c r="AN325" s="21">
        <f>(SUMPRODUCT(AN$9:AN$229,Nutrients!$EQ$8:$EQ$228)+(IF($A$7=Nutrients!$B$8,Nutrients!$EQ$8,Nutrients!$EQ$9)*AN$7)+(((IF($A$8=Nutrients!$B$79,Nutrients!$EQ$79,(IF($A$8=Nutrients!$B$77,Nutrients!$EQ$77,Nutrients!$EQ$78)))))*AN$8))/2000*1000000000</f>
        <v>0</v>
      </c>
      <c r="AO325" s="21">
        <f>(SUMPRODUCT(AO$9:AO$229,Nutrients!$EQ$8:$EQ$228)+(IF($A$7=Nutrients!$B$8,Nutrients!$EQ$8,Nutrients!$EQ$9)*AO$7)+(((IF($A$8=Nutrients!$B$79,Nutrients!$EQ$79,(IF($A$8=Nutrients!$B$77,Nutrients!$EQ$77,Nutrients!$EQ$78)))))*AO$8))/2000*1000000000</f>
        <v>0</v>
      </c>
      <c r="AP325" s="21">
        <f>(SUMPRODUCT(AP$9:AP$229,Nutrients!$EQ$8:$EQ$228)+(IF($A$7=Nutrients!$B$8,Nutrients!$EQ$8,Nutrients!$EQ$9)*AP$7)+(((IF($A$8=Nutrients!$B$79,Nutrients!$EQ$79,(IF($A$8=Nutrients!$B$77,Nutrients!$EQ$77,Nutrients!$EQ$78)))))*AP$8))/2000*1000000000</f>
        <v>0</v>
      </c>
      <c r="AR325" s="21">
        <f>(SUMPRODUCT(AR$9:AR$229,Nutrients!$EQ$8:$EQ$228)+(IF($A$7=Nutrients!$B$8,Nutrients!$EQ$8,Nutrients!$EQ$9)*AR$7)+(((IF($A$8=Nutrients!$B$79,Nutrients!$EQ$79,(IF($A$8=Nutrients!$B$77,Nutrients!$EQ$77,Nutrients!$EQ$78)))))*AR$8))/2000*1000000000</f>
        <v>0</v>
      </c>
      <c r="AS325" s="21">
        <f>(SUMPRODUCT(AS$9:AS$229,Nutrients!$EQ$8:$EQ$228)+(IF($A$7=Nutrients!$B$8,Nutrients!$EQ$8,Nutrients!$EQ$9)*AS$7)+(((IF($A$8=Nutrients!$B$79,Nutrients!$EQ$79,(IF($A$8=Nutrients!$B$77,Nutrients!$EQ$77,Nutrients!$EQ$78)))))*AS$8))/2000*1000000000</f>
        <v>0</v>
      </c>
      <c r="AT325" s="21">
        <f>(SUMPRODUCT(AT$9:AT$229,Nutrients!$EQ$8:$EQ$228)+(IF($A$7=Nutrients!$B$8,Nutrients!$EQ$8,Nutrients!$EQ$9)*AT$7)+(((IF($A$8=Nutrients!$B$79,Nutrients!$EQ$79,(IF($A$8=Nutrients!$B$77,Nutrients!$EQ$77,Nutrients!$EQ$78)))))*AT$8))/2000*1000000000</f>
        <v>0</v>
      </c>
      <c r="AU325" s="21">
        <f>(SUMPRODUCT(AU$9:AU$229,Nutrients!$EQ$8:$EQ$228)+(IF($A$7=Nutrients!$B$8,Nutrients!$EQ$8,Nutrients!$EQ$9)*AU$7)+(((IF($A$8=Nutrients!$B$79,Nutrients!$EQ$79,(IF($A$8=Nutrients!$B$77,Nutrients!$EQ$77,Nutrients!$EQ$78)))))*AU$8))/2000*1000000000</f>
        <v>0</v>
      </c>
      <c r="AV325" s="21">
        <f>(SUMPRODUCT(AV$9:AV$229,Nutrients!$EQ$8:$EQ$228)+(IF($A$7=Nutrients!$B$8,Nutrients!$EQ$8,Nutrients!$EQ$9)*AV$7)+(((IF($A$8=Nutrients!$B$79,Nutrients!$EQ$79,(IF($A$8=Nutrients!$B$77,Nutrients!$EQ$77,Nutrients!$EQ$78)))))*AV$8))/2000*1000000000</f>
        <v>0</v>
      </c>
      <c r="AW325" s="21">
        <f>(SUMPRODUCT(AW$9:AW$229,Nutrients!$EQ$8:$EQ$228)+(IF($A$7=Nutrients!$B$8,Nutrients!$EQ$8,Nutrients!$EQ$9)*AW$7)+(((IF($A$8=Nutrients!$B$79,Nutrients!$EQ$79,(IF($A$8=Nutrients!$B$77,Nutrients!$EQ$77,Nutrients!$EQ$78)))))*AW$8))/2000*1000000000</f>
        <v>0</v>
      </c>
    </row>
    <row r="327" spans="1:49" x14ac:dyDescent="0.25">
      <c r="A327" s="34" t="s">
        <v>119</v>
      </c>
    </row>
    <row r="328" spans="1:49" x14ac:dyDescent="0.25">
      <c r="A328" s="34" t="s">
        <v>121</v>
      </c>
      <c r="B328" s="21">
        <f>(SUMPRODUCT(B$9:B$229,Nutrients!$ES$8:$ES$228)+(IF($A$7=Nutrients!$B$8,Nutrients!$ES$8,Nutrients!$ES$9)*B$7)+(((IF($A$8=Nutrients!$B$79,Nutrients!$ES$79,(IF($A$8=Nutrients!$B$77,Nutrients!$ES$77,Nutrients!$ES$78)))))*B$8))</f>
        <v>2250000</v>
      </c>
      <c r="C328" s="21">
        <f>(SUMPRODUCT(C$9:C$229,Nutrients!$ES$8:$ES$228)+(IF($A$7=Nutrients!$B$8,Nutrients!$ES$8,Nutrients!$ES$9)*C$7)+(((IF($A$8=Nutrients!$B$79,Nutrients!$ES$79,(IF($A$8=Nutrients!$B$77,Nutrients!$ES$77,Nutrients!$ES$78)))))*C$8))</f>
        <v>2250000</v>
      </c>
      <c r="D328" s="21">
        <f>(SUMPRODUCT(D$9:D$229,Nutrients!$ES$8:$ES$228)+(IF($A$7=Nutrients!$B$8,Nutrients!$ES$8,Nutrients!$ES$9)*D$7)+(((IF($A$8=Nutrients!$B$79,Nutrients!$ES$79,(IF($A$8=Nutrients!$B$77,Nutrients!$ES$77,Nutrients!$ES$78)))))*D$8))</f>
        <v>1875000</v>
      </c>
      <c r="E328" s="21">
        <f>(SUMPRODUCT(E$9:E$229,Nutrients!$ES$8:$ES$228)+(IF($A$7=Nutrients!$B$8,Nutrients!$ES$8,Nutrients!$ES$9)*E$7)+(((IF($A$8=Nutrients!$B$79,Nutrients!$ES$79,(IF($A$8=Nutrients!$B$77,Nutrients!$ES$77,Nutrients!$ES$78)))))*E$8))</f>
        <v>1500000</v>
      </c>
      <c r="F328" s="21">
        <f>(SUMPRODUCT(F$9:F$229,Nutrients!$ES$8:$ES$228)+(IF($A$7=Nutrients!$B$8,Nutrients!$ES$8,Nutrients!$ES$9)*F$7)+(((IF($A$8=Nutrients!$B$79,Nutrients!$ES$79,(IF($A$8=Nutrients!$B$77,Nutrients!$ES$77,Nutrients!$ES$78)))))*F$8))</f>
        <v>1125000</v>
      </c>
      <c r="G328" s="21">
        <f>(SUMPRODUCT(G$9:G$229,Nutrients!$ES$8:$ES$228)+(IF($A$7=Nutrients!$B$8,Nutrients!$ES$8,Nutrients!$ES$9)*G$7)+(((IF($A$8=Nutrients!$B$79,Nutrients!$ES$79,(IF($A$8=Nutrients!$B$77,Nutrients!$ES$77,Nutrients!$ES$78)))))*G$8))</f>
        <v>1125000</v>
      </c>
      <c r="H328" s="226"/>
      <c r="I328" s="21">
        <f>(SUMPRODUCT(I$9:I$229,Nutrients!$ES$8:$ES$228)+(IF($A$7=Nutrients!$B$8,Nutrients!$ES$8,Nutrients!$ES$9)*I$7)+(((IF($A$8=Nutrients!$B$79,Nutrients!$ES$79,(IF($A$8=Nutrients!$B$77,Nutrients!$ES$77,Nutrients!$ES$78)))))*I$8))</f>
        <v>2250000</v>
      </c>
      <c r="J328" s="21">
        <f>(SUMPRODUCT(J$9:J$229,Nutrients!$ES$8:$ES$228)+(IF($A$7=Nutrients!$B$8,Nutrients!$ES$8,Nutrients!$ES$9)*J$7)+(((IF($A$8=Nutrients!$B$79,Nutrients!$ES$79,(IF($A$8=Nutrients!$B$77,Nutrients!$ES$77,Nutrients!$ES$78)))))*J$8))</f>
        <v>2250000</v>
      </c>
      <c r="K328" s="21">
        <f>(SUMPRODUCT(K$9:K$229,Nutrients!$ES$8:$ES$228)+(IF($A$7=Nutrients!$B$8,Nutrients!$ES$8,Nutrients!$ES$9)*K$7)+(((IF($A$8=Nutrients!$B$79,Nutrients!$ES$79,(IF($A$8=Nutrients!$B$77,Nutrients!$ES$77,Nutrients!$ES$78)))))*K$8))</f>
        <v>1875000</v>
      </c>
      <c r="L328" s="21">
        <f>(SUMPRODUCT(L$9:L$229,Nutrients!$ES$8:$ES$228)+(IF($A$7=Nutrients!$B$8,Nutrients!$ES$8,Nutrients!$ES$9)*L$7)+(((IF($A$8=Nutrients!$B$79,Nutrients!$ES$79,(IF($A$8=Nutrients!$B$77,Nutrients!$ES$77,Nutrients!$ES$78)))))*L$8))</f>
        <v>1500000</v>
      </c>
      <c r="M328" s="21">
        <f>(SUMPRODUCT(M$9:M$229,Nutrients!$ES$8:$ES$228)+(IF($A$7=Nutrients!$B$8,Nutrients!$ES$8,Nutrients!$ES$9)*M$7)+(((IF($A$8=Nutrients!$B$79,Nutrients!$ES$79,(IF($A$8=Nutrients!$B$77,Nutrients!$ES$77,Nutrients!$ES$78)))))*M$8))</f>
        <v>1125000</v>
      </c>
      <c r="N328" s="21">
        <f>(SUMPRODUCT(N$9:N$229,Nutrients!$ES$8:$ES$228)+(IF($A$7=Nutrients!$B$8,Nutrients!$ES$8,Nutrients!$ES$9)*N$7)+(((IF($A$8=Nutrients!$B$79,Nutrients!$ES$79,(IF($A$8=Nutrients!$B$77,Nutrients!$ES$77,Nutrients!$ES$78)))))*N$8))</f>
        <v>1125000</v>
      </c>
      <c r="O328" s="234"/>
      <c r="P328" s="21">
        <f>(SUMPRODUCT(P$9:P$229,Nutrients!$ES$8:$ES$228)+(IF($A$7=Nutrients!$B$8,Nutrients!$ES$8,Nutrients!$ES$9)*P$7)+(((IF($A$8=Nutrients!$B$79,Nutrients!$ES$79,(IF($A$8=Nutrients!$B$77,Nutrients!$ES$77,Nutrients!$ES$78)))))*P$8))</f>
        <v>2250000</v>
      </c>
      <c r="Q328" s="21">
        <f>(SUMPRODUCT(Q$9:Q$229,Nutrients!$ES$8:$ES$228)+(IF($A$7=Nutrients!$B$8,Nutrients!$ES$8,Nutrients!$ES$9)*Q$7)+(((IF($A$8=Nutrients!$B$79,Nutrients!$ES$79,(IF($A$8=Nutrients!$B$77,Nutrients!$ES$77,Nutrients!$ES$78)))))*Q$8))</f>
        <v>2250000</v>
      </c>
      <c r="R328" s="21">
        <f>(SUMPRODUCT(R$9:R$229,Nutrients!$ES$8:$ES$228)+(IF($A$7=Nutrients!$B$8,Nutrients!$ES$8,Nutrients!$ES$9)*R$7)+(((IF($A$8=Nutrients!$B$79,Nutrients!$ES$79,(IF($A$8=Nutrients!$B$77,Nutrients!$ES$77,Nutrients!$ES$78)))))*R$8))</f>
        <v>1875000</v>
      </c>
      <c r="S328" s="21">
        <f>(SUMPRODUCT(S$9:S$229,Nutrients!$ES$8:$ES$228)+(IF($A$7=Nutrients!$B$8,Nutrients!$ES$8,Nutrients!$ES$9)*S$7)+(((IF($A$8=Nutrients!$B$79,Nutrients!$ES$79,(IF($A$8=Nutrients!$B$77,Nutrients!$ES$77,Nutrients!$ES$78)))))*S$8))</f>
        <v>1500000</v>
      </c>
      <c r="T328" s="21">
        <f>(SUMPRODUCT(T$9:T$229,Nutrients!$ES$8:$ES$228)+(IF($A$7=Nutrients!$B$8,Nutrients!$ES$8,Nutrients!$ES$9)*T$7)+(((IF($A$8=Nutrients!$B$79,Nutrients!$ES$79,(IF($A$8=Nutrients!$B$77,Nutrients!$ES$77,Nutrients!$ES$78)))))*T$8))</f>
        <v>1125000</v>
      </c>
      <c r="U328" s="21">
        <f>(SUMPRODUCT(U$9:U$229,Nutrients!$ES$8:$ES$228)+(IF($A$7=Nutrients!$B$8,Nutrients!$ES$8,Nutrients!$ES$9)*U$7)+(((IF($A$8=Nutrients!$B$79,Nutrients!$ES$79,(IF($A$8=Nutrients!$B$77,Nutrients!$ES$77,Nutrients!$ES$78)))))*U$8))</f>
        <v>1125000</v>
      </c>
      <c r="W328" s="21">
        <f>(SUMPRODUCT(W$9:W$229,Nutrients!$ES$8:$ES$228)+(IF($A$7=Nutrients!$B$8,Nutrients!$ES$8,Nutrients!$ES$9)*W$7)+(((IF($A$8=Nutrients!$B$79,Nutrients!$ES$79,(IF($A$8=Nutrients!$B$77,Nutrients!$ES$77,Nutrients!$ES$78)))))*W$8))</f>
        <v>2250000</v>
      </c>
      <c r="X328" s="21">
        <f>(SUMPRODUCT(X$9:X$229,Nutrients!$ES$8:$ES$228)+(IF($A$7=Nutrients!$B$8,Nutrients!$ES$8,Nutrients!$ES$9)*X$7)+(((IF($A$8=Nutrients!$B$79,Nutrients!$ES$79,(IF($A$8=Nutrients!$B$77,Nutrients!$ES$77,Nutrients!$ES$78)))))*X$8))</f>
        <v>2250000</v>
      </c>
      <c r="Y328" s="21">
        <f>(SUMPRODUCT(Y$9:Y$229,Nutrients!$ES$8:$ES$228)+(IF($A$7=Nutrients!$B$8,Nutrients!$ES$8,Nutrients!$ES$9)*Y$7)+(((IF($A$8=Nutrients!$B$79,Nutrients!$ES$79,(IF($A$8=Nutrients!$B$77,Nutrients!$ES$77,Nutrients!$ES$78)))))*Y$8))</f>
        <v>1875000</v>
      </c>
      <c r="Z328" s="21">
        <f>(SUMPRODUCT(Z$9:Z$229,Nutrients!$ES$8:$ES$228)+(IF($A$7=Nutrients!$B$8,Nutrients!$ES$8,Nutrients!$ES$9)*Z$7)+(((IF($A$8=Nutrients!$B$79,Nutrients!$ES$79,(IF($A$8=Nutrients!$B$77,Nutrients!$ES$77,Nutrients!$ES$78)))))*Z$8))</f>
        <v>1500000</v>
      </c>
      <c r="AA328" s="21">
        <f>(SUMPRODUCT(AA$9:AA$229,Nutrients!$ES$8:$ES$228)+(IF($A$7=Nutrients!$B$8,Nutrients!$ES$8,Nutrients!$ES$9)*AA$7)+(((IF($A$8=Nutrients!$B$79,Nutrients!$ES$79,(IF($A$8=Nutrients!$B$77,Nutrients!$ES$77,Nutrients!$ES$78)))))*AA$8))</f>
        <v>1125000</v>
      </c>
      <c r="AB328" s="21">
        <f>(SUMPRODUCT(AB$9:AB$229,Nutrients!$ES$8:$ES$228)+(IF($A$7=Nutrients!$B$8,Nutrients!$ES$8,Nutrients!$ES$9)*AB$7)+(((IF($A$8=Nutrients!$B$79,Nutrients!$ES$79,(IF($A$8=Nutrients!$B$77,Nutrients!$ES$77,Nutrients!$ES$78)))))*AB$8))</f>
        <v>1125000</v>
      </c>
      <c r="AD328" s="21">
        <f>(SUMPRODUCT(AD$9:AD$229,Nutrients!$ES$8:$ES$228)+(IF($A$7=Nutrients!$B$8,Nutrients!$ES$8,Nutrients!$ES$9)*AD$7)+(((IF($A$8=Nutrients!$B$79,Nutrients!$ES$79,(IF($A$8=Nutrients!$B$77,Nutrients!$ES$77,Nutrients!$ES$78)))))*AD$8))</f>
        <v>2250000</v>
      </c>
      <c r="AE328" s="21">
        <f>(SUMPRODUCT(AE$9:AE$229,Nutrients!$ES$8:$ES$228)+(IF($A$7=Nutrients!$B$8,Nutrients!$ES$8,Nutrients!$ES$9)*AE$7)+(((IF($A$8=Nutrients!$B$79,Nutrients!$ES$79,(IF($A$8=Nutrients!$B$77,Nutrients!$ES$77,Nutrients!$ES$78)))))*AE$8))</f>
        <v>2250000</v>
      </c>
      <c r="AF328" s="21">
        <f>(SUMPRODUCT(AF$9:AF$229,Nutrients!$ES$8:$ES$228)+(IF($A$7=Nutrients!$B$8,Nutrients!$ES$8,Nutrients!$ES$9)*AF$7)+(((IF($A$8=Nutrients!$B$79,Nutrients!$ES$79,(IF($A$8=Nutrients!$B$77,Nutrients!$ES$77,Nutrients!$ES$78)))))*AF$8))</f>
        <v>1875000</v>
      </c>
      <c r="AG328" s="21">
        <f>(SUMPRODUCT(AG$9:AG$229,Nutrients!$ES$8:$ES$228)+(IF($A$7=Nutrients!$B$8,Nutrients!$ES$8,Nutrients!$ES$9)*AG$7)+(((IF($A$8=Nutrients!$B$79,Nutrients!$ES$79,(IF($A$8=Nutrients!$B$77,Nutrients!$ES$77,Nutrients!$ES$78)))))*AG$8))</f>
        <v>1500000</v>
      </c>
      <c r="AH328" s="21">
        <f>(SUMPRODUCT(AH$9:AH$229,Nutrients!$ES$8:$ES$228)+(IF($A$7=Nutrients!$B$8,Nutrients!$ES$8,Nutrients!$ES$9)*AH$7)+(((IF($A$8=Nutrients!$B$79,Nutrients!$ES$79,(IF($A$8=Nutrients!$B$77,Nutrients!$ES$77,Nutrients!$ES$78)))))*AH$8))</f>
        <v>1125000</v>
      </c>
      <c r="AI328" s="21">
        <f>(SUMPRODUCT(AI$9:AI$229,Nutrients!$ES$8:$ES$228)+(IF($A$7=Nutrients!$B$8,Nutrients!$ES$8,Nutrients!$ES$9)*AI$7)+(((IF($A$8=Nutrients!$B$79,Nutrients!$ES$79,(IF($A$8=Nutrients!$B$77,Nutrients!$ES$77,Nutrients!$ES$78)))))*AI$8))</f>
        <v>1125000</v>
      </c>
      <c r="AK328" s="21">
        <f>(SUMPRODUCT(AK$9:AK$229,Nutrients!$ES$8:$ES$228)+(IF($A$7=Nutrients!$B$8,Nutrients!$ES$8,Nutrients!$ES$9)*AK$7)+(((IF($A$8=Nutrients!$B$79,Nutrients!$ES$79,(IF($A$8=Nutrients!$B$77,Nutrients!$ES$77,Nutrients!$ES$78)))))*AK$8))</f>
        <v>2250000</v>
      </c>
      <c r="AL328" s="21">
        <f>(SUMPRODUCT(AL$9:AL$229,Nutrients!$ES$8:$ES$228)+(IF($A$7=Nutrients!$B$8,Nutrients!$ES$8,Nutrients!$ES$9)*AL$7)+(((IF($A$8=Nutrients!$B$79,Nutrients!$ES$79,(IF($A$8=Nutrients!$B$77,Nutrients!$ES$77,Nutrients!$ES$78)))))*AL$8))</f>
        <v>2250000</v>
      </c>
      <c r="AM328" s="21">
        <f>(SUMPRODUCT(AM$9:AM$229,Nutrients!$ES$8:$ES$228)+(IF($A$7=Nutrients!$B$8,Nutrients!$ES$8,Nutrients!$ES$9)*AM$7)+(((IF($A$8=Nutrients!$B$79,Nutrients!$ES$79,(IF($A$8=Nutrients!$B$77,Nutrients!$ES$77,Nutrients!$ES$78)))))*AM$8))</f>
        <v>1875000</v>
      </c>
      <c r="AN328" s="21">
        <f>(SUMPRODUCT(AN$9:AN$229,Nutrients!$ES$8:$ES$228)+(IF($A$7=Nutrients!$B$8,Nutrients!$ES$8,Nutrients!$ES$9)*AN$7)+(((IF($A$8=Nutrients!$B$79,Nutrients!$ES$79,(IF($A$8=Nutrients!$B$77,Nutrients!$ES$77,Nutrients!$ES$78)))))*AN$8))</f>
        <v>1500000</v>
      </c>
      <c r="AO328" s="21">
        <f>(SUMPRODUCT(AO$9:AO$229,Nutrients!$ES$8:$ES$228)+(IF($A$7=Nutrients!$B$8,Nutrients!$ES$8,Nutrients!$ES$9)*AO$7)+(((IF($A$8=Nutrients!$B$79,Nutrients!$ES$79,(IF($A$8=Nutrients!$B$77,Nutrients!$ES$77,Nutrients!$ES$78)))))*AO$8))</f>
        <v>1125000</v>
      </c>
      <c r="AP328" s="21">
        <f>(SUMPRODUCT(AP$9:AP$229,Nutrients!$ES$8:$ES$228)+(IF($A$7=Nutrients!$B$8,Nutrients!$ES$8,Nutrients!$ES$9)*AP$7)+(((IF($A$8=Nutrients!$B$79,Nutrients!$ES$79,(IF($A$8=Nutrients!$B$77,Nutrients!$ES$77,Nutrients!$ES$78)))))*AP$8))</f>
        <v>1125000</v>
      </c>
      <c r="AR328" s="21">
        <f>(SUMPRODUCT(AR$9:AR$229,Nutrients!$ES$8:$ES$228)+(IF($A$7=Nutrients!$B$8,Nutrients!$ES$8,Nutrients!$ES$9)*AR$7)+(((IF($A$8=Nutrients!$B$79,Nutrients!$ES$79,(IF($A$8=Nutrients!$B$77,Nutrients!$ES$77,Nutrients!$ES$78)))))*AR$8))</f>
        <v>2250000</v>
      </c>
      <c r="AS328" s="21">
        <f>(SUMPRODUCT(AS$9:AS$229,Nutrients!$ES$8:$ES$228)+(IF($A$7=Nutrients!$B$8,Nutrients!$ES$8,Nutrients!$ES$9)*AS$7)+(((IF($A$8=Nutrients!$B$79,Nutrients!$ES$79,(IF($A$8=Nutrients!$B$77,Nutrients!$ES$77,Nutrients!$ES$78)))))*AS$8))</f>
        <v>2250000</v>
      </c>
      <c r="AT328" s="21">
        <f>(SUMPRODUCT(AT$9:AT$229,Nutrients!$ES$8:$ES$228)+(IF($A$7=Nutrients!$B$8,Nutrients!$ES$8,Nutrients!$ES$9)*AT$7)+(((IF($A$8=Nutrients!$B$79,Nutrients!$ES$79,(IF($A$8=Nutrients!$B$77,Nutrients!$ES$77,Nutrients!$ES$78)))))*AT$8))</f>
        <v>1875000</v>
      </c>
      <c r="AU328" s="21">
        <f>(SUMPRODUCT(AU$9:AU$229,Nutrients!$ES$8:$ES$228)+(IF($A$7=Nutrients!$B$8,Nutrients!$ES$8,Nutrients!$ES$9)*AU$7)+(((IF($A$8=Nutrients!$B$79,Nutrients!$ES$79,(IF($A$8=Nutrients!$B$77,Nutrients!$ES$77,Nutrients!$ES$78)))))*AU$8))</f>
        <v>1500000</v>
      </c>
      <c r="AV328" s="21">
        <f>(SUMPRODUCT(AV$9:AV$229,Nutrients!$ES$8:$ES$228)+(IF($A$7=Nutrients!$B$8,Nutrients!$ES$8,Nutrients!$ES$9)*AV$7)+(((IF($A$8=Nutrients!$B$79,Nutrients!$ES$79,(IF($A$8=Nutrients!$B$77,Nutrients!$ES$77,Nutrients!$ES$78)))))*AV$8))</f>
        <v>1125000</v>
      </c>
      <c r="AW328" s="21">
        <f>(SUMPRODUCT(AW$9:AW$229,Nutrients!$ES$8:$ES$228)+(IF($A$7=Nutrients!$B$8,Nutrients!$ES$8,Nutrients!$ES$9)*AW$7)+(((IF($A$8=Nutrients!$B$79,Nutrients!$ES$79,(IF($A$8=Nutrients!$B$77,Nutrients!$ES$77,Nutrients!$ES$78)))))*AW$8))</f>
        <v>1125000</v>
      </c>
    </row>
    <row r="329" spans="1:49" x14ac:dyDescent="0.25">
      <c r="A329" s="34" t="s">
        <v>122</v>
      </c>
      <c r="B329" s="21">
        <f>(SUMPRODUCT(B$9:B$229,Nutrients!$ET$8:$ET$228)+(IF($A$7=Nutrients!$B$8,Nutrients!$ET$8,Nutrients!$ET$9)*B$7)+(((IF($A$8=Nutrients!$B$79,Nutrients!$ET$79,(IF($A$8=Nutrients!$B$77,Nutrients!$ET$77,Nutrients!$ET$78)))))*B$8))</f>
        <v>900000</v>
      </c>
      <c r="C329" s="21">
        <f>(SUMPRODUCT(C$9:C$229,Nutrients!$ET$8:$ET$228)+(IF($A$7=Nutrients!$B$8,Nutrients!$ET$8,Nutrients!$ET$9)*C$7)+(((IF($A$8=Nutrients!$B$79,Nutrients!$ET$79,(IF($A$8=Nutrients!$B$77,Nutrients!$ET$77,Nutrients!$ET$78)))))*C$8))</f>
        <v>900000</v>
      </c>
      <c r="D329" s="21">
        <f>(SUMPRODUCT(D$9:D$229,Nutrients!$ET$8:$ET$228)+(IF($A$7=Nutrients!$B$8,Nutrients!$ET$8,Nutrients!$ET$9)*D$7)+(((IF($A$8=Nutrients!$B$79,Nutrients!$ET$79,(IF($A$8=Nutrients!$B$77,Nutrients!$ET$77,Nutrients!$ET$78)))))*D$8))</f>
        <v>750000</v>
      </c>
      <c r="E329" s="21">
        <f>(SUMPRODUCT(E$9:E$229,Nutrients!$ET$8:$ET$228)+(IF($A$7=Nutrients!$B$8,Nutrients!$ET$8,Nutrients!$ET$9)*E$7)+(((IF($A$8=Nutrients!$B$79,Nutrients!$ET$79,(IF($A$8=Nutrients!$B$77,Nutrients!$ET$77,Nutrients!$ET$78)))))*E$8))</f>
        <v>600000</v>
      </c>
      <c r="F329" s="21">
        <f>(SUMPRODUCT(F$9:F$229,Nutrients!$ET$8:$ET$228)+(IF($A$7=Nutrients!$B$8,Nutrients!$ET$8,Nutrients!$ET$9)*F$7)+(((IF($A$8=Nutrients!$B$79,Nutrients!$ET$79,(IF($A$8=Nutrients!$B$77,Nutrients!$ET$77,Nutrients!$ET$78)))))*F$8))</f>
        <v>450000</v>
      </c>
      <c r="G329" s="21">
        <f>(SUMPRODUCT(G$9:G$229,Nutrients!$ET$8:$ET$228)+(IF($A$7=Nutrients!$B$8,Nutrients!$ET$8,Nutrients!$ET$9)*G$7)+(((IF($A$8=Nutrients!$B$79,Nutrients!$ET$79,(IF($A$8=Nutrients!$B$77,Nutrients!$ET$77,Nutrients!$ET$78)))))*G$8))</f>
        <v>450000</v>
      </c>
      <c r="H329" s="226"/>
      <c r="I329" s="21">
        <f>(SUMPRODUCT(I$9:I$229,Nutrients!$ET$8:$ET$228)+(IF($A$7=Nutrients!$B$8,Nutrients!$ET$8,Nutrients!$ET$9)*I$7)+(((IF($A$8=Nutrients!$B$79,Nutrients!$ET$79,(IF($A$8=Nutrients!$B$77,Nutrients!$ET$77,Nutrients!$ET$78)))))*I$8))</f>
        <v>900000</v>
      </c>
      <c r="J329" s="21">
        <f>(SUMPRODUCT(J$9:J$229,Nutrients!$ET$8:$ET$228)+(IF($A$7=Nutrients!$B$8,Nutrients!$ET$8,Nutrients!$ET$9)*J$7)+(((IF($A$8=Nutrients!$B$79,Nutrients!$ET$79,(IF($A$8=Nutrients!$B$77,Nutrients!$ET$77,Nutrients!$ET$78)))))*J$8))</f>
        <v>900000</v>
      </c>
      <c r="K329" s="21">
        <f>(SUMPRODUCT(K$9:K$229,Nutrients!$ET$8:$ET$228)+(IF($A$7=Nutrients!$B$8,Nutrients!$ET$8,Nutrients!$ET$9)*K$7)+(((IF($A$8=Nutrients!$B$79,Nutrients!$ET$79,(IF($A$8=Nutrients!$B$77,Nutrients!$ET$77,Nutrients!$ET$78)))))*K$8))</f>
        <v>750000</v>
      </c>
      <c r="L329" s="21">
        <f>(SUMPRODUCT(L$9:L$229,Nutrients!$ET$8:$ET$228)+(IF($A$7=Nutrients!$B$8,Nutrients!$ET$8,Nutrients!$ET$9)*L$7)+(((IF($A$8=Nutrients!$B$79,Nutrients!$ET$79,(IF($A$8=Nutrients!$B$77,Nutrients!$ET$77,Nutrients!$ET$78)))))*L$8))</f>
        <v>600000</v>
      </c>
      <c r="M329" s="21">
        <f>(SUMPRODUCT(M$9:M$229,Nutrients!$ET$8:$ET$228)+(IF($A$7=Nutrients!$B$8,Nutrients!$ET$8,Nutrients!$ET$9)*M$7)+(((IF($A$8=Nutrients!$B$79,Nutrients!$ET$79,(IF($A$8=Nutrients!$B$77,Nutrients!$ET$77,Nutrients!$ET$78)))))*M$8))</f>
        <v>450000</v>
      </c>
      <c r="N329" s="21">
        <f>(SUMPRODUCT(N$9:N$229,Nutrients!$ET$8:$ET$228)+(IF($A$7=Nutrients!$B$8,Nutrients!$ET$8,Nutrients!$ET$9)*N$7)+(((IF($A$8=Nutrients!$B$79,Nutrients!$ET$79,(IF($A$8=Nutrients!$B$77,Nutrients!$ET$77,Nutrients!$ET$78)))))*N$8))</f>
        <v>450000</v>
      </c>
      <c r="O329" s="234"/>
      <c r="P329" s="21">
        <f>(SUMPRODUCT(P$9:P$229,Nutrients!$ET$8:$ET$228)+(IF($A$7=Nutrients!$B$8,Nutrients!$ET$8,Nutrients!$ET$9)*P$7)+(((IF($A$8=Nutrients!$B$79,Nutrients!$ET$79,(IF($A$8=Nutrients!$B$77,Nutrients!$ET$77,Nutrients!$ET$78)))))*P$8))</f>
        <v>900000</v>
      </c>
      <c r="Q329" s="21">
        <f>(SUMPRODUCT(Q$9:Q$229,Nutrients!$ET$8:$ET$228)+(IF($A$7=Nutrients!$B$8,Nutrients!$ET$8,Nutrients!$ET$9)*Q$7)+(((IF($A$8=Nutrients!$B$79,Nutrients!$ET$79,(IF($A$8=Nutrients!$B$77,Nutrients!$ET$77,Nutrients!$ET$78)))))*Q$8))</f>
        <v>900000</v>
      </c>
      <c r="R329" s="21">
        <f>(SUMPRODUCT(R$9:R$229,Nutrients!$ET$8:$ET$228)+(IF($A$7=Nutrients!$B$8,Nutrients!$ET$8,Nutrients!$ET$9)*R$7)+(((IF($A$8=Nutrients!$B$79,Nutrients!$ET$79,(IF($A$8=Nutrients!$B$77,Nutrients!$ET$77,Nutrients!$ET$78)))))*R$8))</f>
        <v>750000</v>
      </c>
      <c r="S329" s="21">
        <f>(SUMPRODUCT(S$9:S$229,Nutrients!$ET$8:$ET$228)+(IF($A$7=Nutrients!$B$8,Nutrients!$ET$8,Nutrients!$ET$9)*S$7)+(((IF($A$8=Nutrients!$B$79,Nutrients!$ET$79,(IF($A$8=Nutrients!$B$77,Nutrients!$ET$77,Nutrients!$ET$78)))))*S$8))</f>
        <v>600000</v>
      </c>
      <c r="T329" s="21">
        <f>(SUMPRODUCT(T$9:T$229,Nutrients!$ET$8:$ET$228)+(IF($A$7=Nutrients!$B$8,Nutrients!$ET$8,Nutrients!$ET$9)*T$7)+(((IF($A$8=Nutrients!$B$79,Nutrients!$ET$79,(IF($A$8=Nutrients!$B$77,Nutrients!$ET$77,Nutrients!$ET$78)))))*T$8))</f>
        <v>450000</v>
      </c>
      <c r="U329" s="21">
        <f>(SUMPRODUCT(U$9:U$229,Nutrients!$ET$8:$ET$228)+(IF($A$7=Nutrients!$B$8,Nutrients!$ET$8,Nutrients!$ET$9)*U$7)+(((IF($A$8=Nutrients!$B$79,Nutrients!$ET$79,(IF($A$8=Nutrients!$B$77,Nutrients!$ET$77,Nutrients!$ET$78)))))*U$8))</f>
        <v>450000</v>
      </c>
      <c r="W329" s="21">
        <f>(SUMPRODUCT(W$9:W$229,Nutrients!$ET$8:$ET$228)+(IF($A$7=Nutrients!$B$8,Nutrients!$ET$8,Nutrients!$ET$9)*W$7)+(((IF($A$8=Nutrients!$B$79,Nutrients!$ET$79,(IF($A$8=Nutrients!$B$77,Nutrients!$ET$77,Nutrients!$ET$78)))))*W$8))</f>
        <v>900000</v>
      </c>
      <c r="X329" s="21">
        <f>(SUMPRODUCT(X$9:X$229,Nutrients!$ET$8:$ET$228)+(IF($A$7=Nutrients!$B$8,Nutrients!$ET$8,Nutrients!$ET$9)*X$7)+(((IF($A$8=Nutrients!$B$79,Nutrients!$ET$79,(IF($A$8=Nutrients!$B$77,Nutrients!$ET$77,Nutrients!$ET$78)))))*X$8))</f>
        <v>900000</v>
      </c>
      <c r="Y329" s="21">
        <f>(SUMPRODUCT(Y$9:Y$229,Nutrients!$ET$8:$ET$228)+(IF($A$7=Nutrients!$B$8,Nutrients!$ET$8,Nutrients!$ET$9)*Y$7)+(((IF($A$8=Nutrients!$B$79,Nutrients!$ET$79,(IF($A$8=Nutrients!$B$77,Nutrients!$ET$77,Nutrients!$ET$78)))))*Y$8))</f>
        <v>750000</v>
      </c>
      <c r="Z329" s="21">
        <f>(SUMPRODUCT(Z$9:Z$229,Nutrients!$ET$8:$ET$228)+(IF($A$7=Nutrients!$B$8,Nutrients!$ET$8,Nutrients!$ET$9)*Z$7)+(((IF($A$8=Nutrients!$B$79,Nutrients!$ET$79,(IF($A$8=Nutrients!$B$77,Nutrients!$ET$77,Nutrients!$ET$78)))))*Z$8))</f>
        <v>600000</v>
      </c>
      <c r="AA329" s="21">
        <f>(SUMPRODUCT(AA$9:AA$229,Nutrients!$ET$8:$ET$228)+(IF($A$7=Nutrients!$B$8,Nutrients!$ET$8,Nutrients!$ET$9)*AA$7)+(((IF($A$8=Nutrients!$B$79,Nutrients!$ET$79,(IF($A$8=Nutrients!$B$77,Nutrients!$ET$77,Nutrients!$ET$78)))))*AA$8))</f>
        <v>450000</v>
      </c>
      <c r="AB329" s="21">
        <f>(SUMPRODUCT(AB$9:AB$229,Nutrients!$ET$8:$ET$228)+(IF($A$7=Nutrients!$B$8,Nutrients!$ET$8,Nutrients!$ET$9)*AB$7)+(((IF($A$8=Nutrients!$B$79,Nutrients!$ET$79,(IF($A$8=Nutrients!$B$77,Nutrients!$ET$77,Nutrients!$ET$78)))))*AB$8))</f>
        <v>450000</v>
      </c>
      <c r="AD329" s="21">
        <f>(SUMPRODUCT(AD$9:AD$229,Nutrients!$ET$8:$ET$228)+(IF($A$7=Nutrients!$B$8,Nutrients!$ET$8,Nutrients!$ET$9)*AD$7)+(((IF($A$8=Nutrients!$B$79,Nutrients!$ET$79,(IF($A$8=Nutrients!$B$77,Nutrients!$ET$77,Nutrients!$ET$78)))))*AD$8))</f>
        <v>900000</v>
      </c>
      <c r="AE329" s="21">
        <f>(SUMPRODUCT(AE$9:AE$229,Nutrients!$ET$8:$ET$228)+(IF($A$7=Nutrients!$B$8,Nutrients!$ET$8,Nutrients!$ET$9)*AE$7)+(((IF($A$8=Nutrients!$B$79,Nutrients!$ET$79,(IF($A$8=Nutrients!$B$77,Nutrients!$ET$77,Nutrients!$ET$78)))))*AE$8))</f>
        <v>900000</v>
      </c>
      <c r="AF329" s="21">
        <f>(SUMPRODUCT(AF$9:AF$229,Nutrients!$ET$8:$ET$228)+(IF($A$7=Nutrients!$B$8,Nutrients!$ET$8,Nutrients!$ET$9)*AF$7)+(((IF($A$8=Nutrients!$B$79,Nutrients!$ET$79,(IF($A$8=Nutrients!$B$77,Nutrients!$ET$77,Nutrients!$ET$78)))))*AF$8))</f>
        <v>750000</v>
      </c>
      <c r="AG329" s="21">
        <f>(SUMPRODUCT(AG$9:AG$229,Nutrients!$ET$8:$ET$228)+(IF($A$7=Nutrients!$B$8,Nutrients!$ET$8,Nutrients!$ET$9)*AG$7)+(((IF($A$8=Nutrients!$B$79,Nutrients!$ET$79,(IF($A$8=Nutrients!$B$77,Nutrients!$ET$77,Nutrients!$ET$78)))))*AG$8))</f>
        <v>600000</v>
      </c>
      <c r="AH329" s="21">
        <f>(SUMPRODUCT(AH$9:AH$229,Nutrients!$ET$8:$ET$228)+(IF($A$7=Nutrients!$B$8,Nutrients!$ET$8,Nutrients!$ET$9)*AH$7)+(((IF($A$8=Nutrients!$B$79,Nutrients!$ET$79,(IF($A$8=Nutrients!$B$77,Nutrients!$ET$77,Nutrients!$ET$78)))))*AH$8))</f>
        <v>450000</v>
      </c>
      <c r="AI329" s="21">
        <f>(SUMPRODUCT(AI$9:AI$229,Nutrients!$ET$8:$ET$228)+(IF($A$7=Nutrients!$B$8,Nutrients!$ET$8,Nutrients!$ET$9)*AI$7)+(((IF($A$8=Nutrients!$B$79,Nutrients!$ET$79,(IF($A$8=Nutrients!$B$77,Nutrients!$ET$77,Nutrients!$ET$78)))))*AI$8))</f>
        <v>450000</v>
      </c>
      <c r="AK329" s="21">
        <f>(SUMPRODUCT(AK$9:AK$229,Nutrients!$ET$8:$ET$228)+(IF($A$7=Nutrients!$B$8,Nutrients!$ET$8,Nutrients!$ET$9)*AK$7)+(((IF($A$8=Nutrients!$B$79,Nutrients!$ET$79,(IF($A$8=Nutrients!$B$77,Nutrients!$ET$77,Nutrients!$ET$78)))))*AK$8))</f>
        <v>900000</v>
      </c>
      <c r="AL329" s="21">
        <f>(SUMPRODUCT(AL$9:AL$229,Nutrients!$ET$8:$ET$228)+(IF($A$7=Nutrients!$B$8,Nutrients!$ET$8,Nutrients!$ET$9)*AL$7)+(((IF($A$8=Nutrients!$B$79,Nutrients!$ET$79,(IF($A$8=Nutrients!$B$77,Nutrients!$ET$77,Nutrients!$ET$78)))))*AL$8))</f>
        <v>900000</v>
      </c>
      <c r="AM329" s="21">
        <f>(SUMPRODUCT(AM$9:AM$229,Nutrients!$ET$8:$ET$228)+(IF($A$7=Nutrients!$B$8,Nutrients!$ET$8,Nutrients!$ET$9)*AM$7)+(((IF($A$8=Nutrients!$B$79,Nutrients!$ET$79,(IF($A$8=Nutrients!$B$77,Nutrients!$ET$77,Nutrients!$ET$78)))))*AM$8))</f>
        <v>750000</v>
      </c>
      <c r="AN329" s="21">
        <f>(SUMPRODUCT(AN$9:AN$229,Nutrients!$ET$8:$ET$228)+(IF($A$7=Nutrients!$B$8,Nutrients!$ET$8,Nutrients!$ET$9)*AN$7)+(((IF($A$8=Nutrients!$B$79,Nutrients!$ET$79,(IF($A$8=Nutrients!$B$77,Nutrients!$ET$77,Nutrients!$ET$78)))))*AN$8))</f>
        <v>600000</v>
      </c>
      <c r="AO329" s="21">
        <f>(SUMPRODUCT(AO$9:AO$229,Nutrients!$ET$8:$ET$228)+(IF($A$7=Nutrients!$B$8,Nutrients!$ET$8,Nutrients!$ET$9)*AO$7)+(((IF($A$8=Nutrients!$B$79,Nutrients!$ET$79,(IF($A$8=Nutrients!$B$77,Nutrients!$ET$77,Nutrients!$ET$78)))))*AO$8))</f>
        <v>450000</v>
      </c>
      <c r="AP329" s="21">
        <f>(SUMPRODUCT(AP$9:AP$229,Nutrients!$ET$8:$ET$228)+(IF($A$7=Nutrients!$B$8,Nutrients!$ET$8,Nutrients!$ET$9)*AP$7)+(((IF($A$8=Nutrients!$B$79,Nutrients!$ET$79,(IF($A$8=Nutrients!$B$77,Nutrients!$ET$77,Nutrients!$ET$78)))))*AP$8))</f>
        <v>450000</v>
      </c>
      <c r="AR329" s="21">
        <f>(SUMPRODUCT(AR$9:AR$229,Nutrients!$ET$8:$ET$228)+(IF($A$7=Nutrients!$B$8,Nutrients!$ET$8,Nutrients!$ET$9)*AR$7)+(((IF($A$8=Nutrients!$B$79,Nutrients!$ET$79,(IF($A$8=Nutrients!$B$77,Nutrients!$ET$77,Nutrients!$ET$78)))))*AR$8))</f>
        <v>900000</v>
      </c>
      <c r="AS329" s="21">
        <f>(SUMPRODUCT(AS$9:AS$229,Nutrients!$ET$8:$ET$228)+(IF($A$7=Nutrients!$B$8,Nutrients!$ET$8,Nutrients!$ET$9)*AS$7)+(((IF($A$8=Nutrients!$B$79,Nutrients!$ET$79,(IF($A$8=Nutrients!$B$77,Nutrients!$ET$77,Nutrients!$ET$78)))))*AS$8))</f>
        <v>900000</v>
      </c>
      <c r="AT329" s="21">
        <f>(SUMPRODUCT(AT$9:AT$229,Nutrients!$ET$8:$ET$228)+(IF($A$7=Nutrients!$B$8,Nutrients!$ET$8,Nutrients!$ET$9)*AT$7)+(((IF($A$8=Nutrients!$B$79,Nutrients!$ET$79,(IF($A$8=Nutrients!$B$77,Nutrients!$ET$77,Nutrients!$ET$78)))))*AT$8))</f>
        <v>750000</v>
      </c>
      <c r="AU329" s="21">
        <f>(SUMPRODUCT(AU$9:AU$229,Nutrients!$ET$8:$ET$228)+(IF($A$7=Nutrients!$B$8,Nutrients!$ET$8,Nutrients!$ET$9)*AU$7)+(((IF($A$8=Nutrients!$B$79,Nutrients!$ET$79,(IF($A$8=Nutrients!$B$77,Nutrients!$ET$77,Nutrients!$ET$78)))))*AU$8))</f>
        <v>600000</v>
      </c>
      <c r="AV329" s="21">
        <f>(SUMPRODUCT(AV$9:AV$229,Nutrients!$ET$8:$ET$228)+(IF($A$7=Nutrients!$B$8,Nutrients!$ET$8,Nutrients!$ET$9)*AV$7)+(((IF($A$8=Nutrients!$B$79,Nutrients!$ET$79,(IF($A$8=Nutrients!$B$77,Nutrients!$ET$77,Nutrients!$ET$78)))))*AV$8))</f>
        <v>450000</v>
      </c>
      <c r="AW329" s="21">
        <f>(SUMPRODUCT(AW$9:AW$229,Nutrients!$ET$8:$ET$228)+(IF($A$7=Nutrients!$B$8,Nutrients!$ET$8,Nutrients!$ET$9)*AW$7)+(((IF($A$8=Nutrients!$B$79,Nutrients!$ET$79,(IF($A$8=Nutrients!$B$77,Nutrients!$ET$77,Nutrients!$ET$78)))))*AW$8))</f>
        <v>450000</v>
      </c>
    </row>
    <row r="330" spans="1:49" x14ac:dyDescent="0.25">
      <c r="A330" s="34" t="s">
        <v>123</v>
      </c>
      <c r="B330" s="21">
        <f>(SUMPRODUCT(B$9:B$229,Nutrients!$EU$8:$EU$228)+(IF($A$7=Nutrients!$B$8,Nutrients!$EU$8,Nutrients!$EU$9)*B$7)+(((IF($A$8=Nutrients!$B$79,Nutrients!$EU$79,(IF($A$8=Nutrients!$B$77,Nutrients!$EU$77,Nutrients!$EU$78)))))*B$8))</f>
        <v>24000</v>
      </c>
      <c r="C330" s="21">
        <f>(SUMPRODUCT(C$9:C$229,Nutrients!$EU$8:$EU$228)+(IF($A$7=Nutrients!$B$8,Nutrients!$EU$8,Nutrients!$EU$9)*C$7)+(((IF($A$8=Nutrients!$B$79,Nutrients!$EU$79,(IF($A$8=Nutrients!$B$77,Nutrients!$EU$77,Nutrients!$EU$78)))))*C$8))</f>
        <v>24000</v>
      </c>
      <c r="D330" s="21">
        <f>(SUMPRODUCT(D$9:D$229,Nutrients!$EU$8:$EU$228)+(IF($A$7=Nutrients!$B$8,Nutrients!$EU$8,Nutrients!$EU$9)*D$7)+(((IF($A$8=Nutrients!$B$79,Nutrients!$EU$79,(IF($A$8=Nutrients!$B$77,Nutrients!$EU$77,Nutrients!$EU$78)))))*D$8))</f>
        <v>20000</v>
      </c>
      <c r="E330" s="21">
        <f>(SUMPRODUCT(E$9:E$229,Nutrients!$EU$8:$EU$228)+(IF($A$7=Nutrients!$B$8,Nutrients!$EU$8,Nutrients!$EU$9)*E$7)+(((IF($A$8=Nutrients!$B$79,Nutrients!$EU$79,(IF($A$8=Nutrients!$B$77,Nutrients!$EU$77,Nutrients!$EU$78)))))*E$8))</f>
        <v>16000</v>
      </c>
      <c r="F330" s="21">
        <f>(SUMPRODUCT(F$9:F$229,Nutrients!$EU$8:$EU$228)+(IF($A$7=Nutrients!$B$8,Nutrients!$EU$8,Nutrients!$EU$9)*F$7)+(((IF($A$8=Nutrients!$B$79,Nutrients!$EU$79,(IF($A$8=Nutrients!$B$77,Nutrients!$EU$77,Nutrients!$EU$78)))))*F$8))</f>
        <v>12000</v>
      </c>
      <c r="G330" s="21">
        <f>(SUMPRODUCT(G$9:G$229,Nutrients!$EU$8:$EU$228)+(IF($A$7=Nutrients!$B$8,Nutrients!$EU$8,Nutrients!$EU$9)*G$7)+(((IF($A$8=Nutrients!$B$79,Nutrients!$EU$79,(IF($A$8=Nutrients!$B$77,Nutrients!$EU$77,Nutrients!$EU$78)))))*G$8))</f>
        <v>12000</v>
      </c>
      <c r="H330" s="226"/>
      <c r="I330" s="21">
        <f>(SUMPRODUCT(I$9:I$229,Nutrients!$EU$8:$EU$228)+(IF($A$7=Nutrients!$B$8,Nutrients!$EU$8,Nutrients!$EU$9)*I$7)+(((IF($A$8=Nutrients!$B$79,Nutrients!$EU$79,(IF($A$8=Nutrients!$B$77,Nutrients!$EU$77,Nutrients!$EU$78)))))*I$8))</f>
        <v>24000</v>
      </c>
      <c r="J330" s="21">
        <f>(SUMPRODUCT(J$9:J$229,Nutrients!$EU$8:$EU$228)+(IF($A$7=Nutrients!$B$8,Nutrients!$EU$8,Nutrients!$EU$9)*J$7)+(((IF($A$8=Nutrients!$B$79,Nutrients!$EU$79,(IF($A$8=Nutrients!$B$77,Nutrients!$EU$77,Nutrients!$EU$78)))))*J$8))</f>
        <v>24000</v>
      </c>
      <c r="K330" s="21">
        <f>(SUMPRODUCT(K$9:K$229,Nutrients!$EU$8:$EU$228)+(IF($A$7=Nutrients!$B$8,Nutrients!$EU$8,Nutrients!$EU$9)*K$7)+(((IF($A$8=Nutrients!$B$79,Nutrients!$EU$79,(IF($A$8=Nutrients!$B$77,Nutrients!$EU$77,Nutrients!$EU$78)))))*K$8))</f>
        <v>20000</v>
      </c>
      <c r="L330" s="21">
        <f>(SUMPRODUCT(L$9:L$229,Nutrients!$EU$8:$EU$228)+(IF($A$7=Nutrients!$B$8,Nutrients!$EU$8,Nutrients!$EU$9)*L$7)+(((IF($A$8=Nutrients!$B$79,Nutrients!$EU$79,(IF($A$8=Nutrients!$B$77,Nutrients!$EU$77,Nutrients!$EU$78)))))*L$8))</f>
        <v>16000</v>
      </c>
      <c r="M330" s="21">
        <f>(SUMPRODUCT(M$9:M$229,Nutrients!$EU$8:$EU$228)+(IF($A$7=Nutrients!$B$8,Nutrients!$EU$8,Nutrients!$EU$9)*M$7)+(((IF($A$8=Nutrients!$B$79,Nutrients!$EU$79,(IF($A$8=Nutrients!$B$77,Nutrients!$EU$77,Nutrients!$EU$78)))))*M$8))</f>
        <v>12000</v>
      </c>
      <c r="N330" s="21">
        <f>(SUMPRODUCT(N$9:N$229,Nutrients!$EU$8:$EU$228)+(IF($A$7=Nutrients!$B$8,Nutrients!$EU$8,Nutrients!$EU$9)*N$7)+(((IF($A$8=Nutrients!$B$79,Nutrients!$EU$79,(IF($A$8=Nutrients!$B$77,Nutrients!$EU$77,Nutrients!$EU$78)))))*N$8))</f>
        <v>12000</v>
      </c>
      <c r="O330" s="234"/>
      <c r="P330" s="21">
        <f>(SUMPRODUCT(P$9:P$229,Nutrients!$EU$8:$EU$228)+(IF($A$7=Nutrients!$B$8,Nutrients!$EU$8,Nutrients!$EU$9)*P$7)+(((IF($A$8=Nutrients!$B$79,Nutrients!$EU$79,(IF($A$8=Nutrients!$B$77,Nutrients!$EU$77,Nutrients!$EU$78)))))*P$8))</f>
        <v>24000</v>
      </c>
      <c r="Q330" s="21">
        <f>(SUMPRODUCT(Q$9:Q$229,Nutrients!$EU$8:$EU$228)+(IF($A$7=Nutrients!$B$8,Nutrients!$EU$8,Nutrients!$EU$9)*Q$7)+(((IF($A$8=Nutrients!$B$79,Nutrients!$EU$79,(IF($A$8=Nutrients!$B$77,Nutrients!$EU$77,Nutrients!$EU$78)))))*Q$8))</f>
        <v>24000</v>
      </c>
      <c r="R330" s="21">
        <f>(SUMPRODUCT(R$9:R$229,Nutrients!$EU$8:$EU$228)+(IF($A$7=Nutrients!$B$8,Nutrients!$EU$8,Nutrients!$EU$9)*R$7)+(((IF($A$8=Nutrients!$B$79,Nutrients!$EU$79,(IF($A$8=Nutrients!$B$77,Nutrients!$EU$77,Nutrients!$EU$78)))))*R$8))</f>
        <v>20000</v>
      </c>
      <c r="S330" s="21">
        <f>(SUMPRODUCT(S$9:S$229,Nutrients!$EU$8:$EU$228)+(IF($A$7=Nutrients!$B$8,Nutrients!$EU$8,Nutrients!$EU$9)*S$7)+(((IF($A$8=Nutrients!$B$79,Nutrients!$EU$79,(IF($A$8=Nutrients!$B$77,Nutrients!$EU$77,Nutrients!$EU$78)))))*S$8))</f>
        <v>16000</v>
      </c>
      <c r="T330" s="21">
        <f>(SUMPRODUCT(T$9:T$229,Nutrients!$EU$8:$EU$228)+(IF($A$7=Nutrients!$B$8,Nutrients!$EU$8,Nutrients!$EU$9)*T$7)+(((IF($A$8=Nutrients!$B$79,Nutrients!$EU$79,(IF($A$8=Nutrients!$B$77,Nutrients!$EU$77,Nutrients!$EU$78)))))*T$8))</f>
        <v>12000</v>
      </c>
      <c r="U330" s="21">
        <f>(SUMPRODUCT(U$9:U$229,Nutrients!$EU$8:$EU$228)+(IF($A$7=Nutrients!$B$8,Nutrients!$EU$8,Nutrients!$EU$9)*U$7)+(((IF($A$8=Nutrients!$B$79,Nutrients!$EU$79,(IF($A$8=Nutrients!$B$77,Nutrients!$EU$77,Nutrients!$EU$78)))))*U$8))</f>
        <v>12000</v>
      </c>
      <c r="W330" s="21">
        <f>(SUMPRODUCT(W$9:W$229,Nutrients!$EU$8:$EU$228)+(IF($A$7=Nutrients!$B$8,Nutrients!$EU$8,Nutrients!$EU$9)*W$7)+(((IF($A$8=Nutrients!$B$79,Nutrients!$EU$79,(IF($A$8=Nutrients!$B$77,Nutrients!$EU$77,Nutrients!$EU$78)))))*W$8))</f>
        <v>24000</v>
      </c>
      <c r="X330" s="21">
        <f>(SUMPRODUCT(X$9:X$229,Nutrients!$EU$8:$EU$228)+(IF($A$7=Nutrients!$B$8,Nutrients!$EU$8,Nutrients!$EU$9)*X$7)+(((IF($A$8=Nutrients!$B$79,Nutrients!$EU$79,(IF($A$8=Nutrients!$B$77,Nutrients!$EU$77,Nutrients!$EU$78)))))*X$8))</f>
        <v>24000</v>
      </c>
      <c r="Y330" s="21">
        <f>(SUMPRODUCT(Y$9:Y$229,Nutrients!$EU$8:$EU$228)+(IF($A$7=Nutrients!$B$8,Nutrients!$EU$8,Nutrients!$EU$9)*Y$7)+(((IF($A$8=Nutrients!$B$79,Nutrients!$EU$79,(IF($A$8=Nutrients!$B$77,Nutrients!$EU$77,Nutrients!$EU$78)))))*Y$8))</f>
        <v>20000</v>
      </c>
      <c r="Z330" s="21">
        <f>(SUMPRODUCT(Z$9:Z$229,Nutrients!$EU$8:$EU$228)+(IF($A$7=Nutrients!$B$8,Nutrients!$EU$8,Nutrients!$EU$9)*Z$7)+(((IF($A$8=Nutrients!$B$79,Nutrients!$EU$79,(IF($A$8=Nutrients!$B$77,Nutrients!$EU$77,Nutrients!$EU$78)))))*Z$8))</f>
        <v>16000</v>
      </c>
      <c r="AA330" s="21">
        <f>(SUMPRODUCT(AA$9:AA$229,Nutrients!$EU$8:$EU$228)+(IF($A$7=Nutrients!$B$8,Nutrients!$EU$8,Nutrients!$EU$9)*AA$7)+(((IF($A$8=Nutrients!$B$79,Nutrients!$EU$79,(IF($A$8=Nutrients!$B$77,Nutrients!$EU$77,Nutrients!$EU$78)))))*AA$8))</f>
        <v>12000</v>
      </c>
      <c r="AB330" s="21">
        <f>(SUMPRODUCT(AB$9:AB$229,Nutrients!$EU$8:$EU$228)+(IF($A$7=Nutrients!$B$8,Nutrients!$EU$8,Nutrients!$EU$9)*AB$7)+(((IF($A$8=Nutrients!$B$79,Nutrients!$EU$79,(IF($A$8=Nutrients!$B$77,Nutrients!$EU$77,Nutrients!$EU$78)))))*AB$8))</f>
        <v>12000</v>
      </c>
      <c r="AD330" s="21">
        <f>(SUMPRODUCT(AD$9:AD$229,Nutrients!$EU$8:$EU$228)+(IF($A$7=Nutrients!$B$8,Nutrients!$EU$8,Nutrients!$EU$9)*AD$7)+(((IF($A$8=Nutrients!$B$79,Nutrients!$EU$79,(IF($A$8=Nutrients!$B$77,Nutrients!$EU$77,Nutrients!$EU$78)))))*AD$8))</f>
        <v>24000</v>
      </c>
      <c r="AE330" s="21">
        <f>(SUMPRODUCT(AE$9:AE$229,Nutrients!$EU$8:$EU$228)+(IF($A$7=Nutrients!$B$8,Nutrients!$EU$8,Nutrients!$EU$9)*AE$7)+(((IF($A$8=Nutrients!$B$79,Nutrients!$EU$79,(IF($A$8=Nutrients!$B$77,Nutrients!$EU$77,Nutrients!$EU$78)))))*AE$8))</f>
        <v>24000</v>
      </c>
      <c r="AF330" s="21">
        <f>(SUMPRODUCT(AF$9:AF$229,Nutrients!$EU$8:$EU$228)+(IF($A$7=Nutrients!$B$8,Nutrients!$EU$8,Nutrients!$EU$9)*AF$7)+(((IF($A$8=Nutrients!$B$79,Nutrients!$EU$79,(IF($A$8=Nutrients!$B$77,Nutrients!$EU$77,Nutrients!$EU$78)))))*AF$8))</f>
        <v>20000</v>
      </c>
      <c r="AG330" s="21">
        <f>(SUMPRODUCT(AG$9:AG$229,Nutrients!$EU$8:$EU$228)+(IF($A$7=Nutrients!$B$8,Nutrients!$EU$8,Nutrients!$EU$9)*AG$7)+(((IF($A$8=Nutrients!$B$79,Nutrients!$EU$79,(IF($A$8=Nutrients!$B$77,Nutrients!$EU$77,Nutrients!$EU$78)))))*AG$8))</f>
        <v>16000</v>
      </c>
      <c r="AH330" s="21">
        <f>(SUMPRODUCT(AH$9:AH$229,Nutrients!$EU$8:$EU$228)+(IF($A$7=Nutrients!$B$8,Nutrients!$EU$8,Nutrients!$EU$9)*AH$7)+(((IF($A$8=Nutrients!$B$79,Nutrients!$EU$79,(IF($A$8=Nutrients!$B$77,Nutrients!$EU$77,Nutrients!$EU$78)))))*AH$8))</f>
        <v>12000</v>
      </c>
      <c r="AI330" s="21">
        <f>(SUMPRODUCT(AI$9:AI$229,Nutrients!$EU$8:$EU$228)+(IF($A$7=Nutrients!$B$8,Nutrients!$EU$8,Nutrients!$EU$9)*AI$7)+(((IF($A$8=Nutrients!$B$79,Nutrients!$EU$79,(IF($A$8=Nutrients!$B$77,Nutrients!$EU$77,Nutrients!$EU$78)))))*AI$8))</f>
        <v>12000</v>
      </c>
      <c r="AK330" s="21">
        <f>(SUMPRODUCT(AK$9:AK$229,Nutrients!$EU$8:$EU$228)+(IF($A$7=Nutrients!$B$8,Nutrients!$EU$8,Nutrients!$EU$9)*AK$7)+(((IF($A$8=Nutrients!$B$79,Nutrients!$EU$79,(IF($A$8=Nutrients!$B$77,Nutrients!$EU$77,Nutrients!$EU$78)))))*AK$8))</f>
        <v>24000</v>
      </c>
      <c r="AL330" s="21">
        <f>(SUMPRODUCT(AL$9:AL$229,Nutrients!$EU$8:$EU$228)+(IF($A$7=Nutrients!$B$8,Nutrients!$EU$8,Nutrients!$EU$9)*AL$7)+(((IF($A$8=Nutrients!$B$79,Nutrients!$EU$79,(IF($A$8=Nutrients!$B$77,Nutrients!$EU$77,Nutrients!$EU$78)))))*AL$8))</f>
        <v>24000</v>
      </c>
      <c r="AM330" s="21">
        <f>(SUMPRODUCT(AM$9:AM$229,Nutrients!$EU$8:$EU$228)+(IF($A$7=Nutrients!$B$8,Nutrients!$EU$8,Nutrients!$EU$9)*AM$7)+(((IF($A$8=Nutrients!$B$79,Nutrients!$EU$79,(IF($A$8=Nutrients!$B$77,Nutrients!$EU$77,Nutrients!$EU$78)))))*AM$8))</f>
        <v>20000</v>
      </c>
      <c r="AN330" s="21">
        <f>(SUMPRODUCT(AN$9:AN$229,Nutrients!$EU$8:$EU$228)+(IF($A$7=Nutrients!$B$8,Nutrients!$EU$8,Nutrients!$EU$9)*AN$7)+(((IF($A$8=Nutrients!$B$79,Nutrients!$EU$79,(IF($A$8=Nutrients!$B$77,Nutrients!$EU$77,Nutrients!$EU$78)))))*AN$8))</f>
        <v>16000</v>
      </c>
      <c r="AO330" s="21">
        <f>(SUMPRODUCT(AO$9:AO$229,Nutrients!$EU$8:$EU$228)+(IF($A$7=Nutrients!$B$8,Nutrients!$EU$8,Nutrients!$EU$9)*AO$7)+(((IF($A$8=Nutrients!$B$79,Nutrients!$EU$79,(IF($A$8=Nutrients!$B$77,Nutrients!$EU$77,Nutrients!$EU$78)))))*AO$8))</f>
        <v>12000</v>
      </c>
      <c r="AP330" s="21">
        <f>(SUMPRODUCT(AP$9:AP$229,Nutrients!$EU$8:$EU$228)+(IF($A$7=Nutrients!$B$8,Nutrients!$EU$8,Nutrients!$EU$9)*AP$7)+(((IF($A$8=Nutrients!$B$79,Nutrients!$EU$79,(IF($A$8=Nutrients!$B$77,Nutrients!$EU$77,Nutrients!$EU$78)))))*AP$8))</f>
        <v>12000</v>
      </c>
      <c r="AR330" s="21">
        <f>(SUMPRODUCT(AR$9:AR$229,Nutrients!$EU$8:$EU$228)+(IF($A$7=Nutrients!$B$8,Nutrients!$EU$8,Nutrients!$EU$9)*AR$7)+(((IF($A$8=Nutrients!$B$79,Nutrients!$EU$79,(IF($A$8=Nutrients!$B$77,Nutrients!$EU$77,Nutrients!$EU$78)))))*AR$8))</f>
        <v>24000</v>
      </c>
      <c r="AS330" s="21">
        <f>(SUMPRODUCT(AS$9:AS$229,Nutrients!$EU$8:$EU$228)+(IF($A$7=Nutrients!$B$8,Nutrients!$EU$8,Nutrients!$EU$9)*AS$7)+(((IF($A$8=Nutrients!$B$79,Nutrients!$EU$79,(IF($A$8=Nutrients!$B$77,Nutrients!$EU$77,Nutrients!$EU$78)))))*AS$8))</f>
        <v>24000</v>
      </c>
      <c r="AT330" s="21">
        <f>(SUMPRODUCT(AT$9:AT$229,Nutrients!$EU$8:$EU$228)+(IF($A$7=Nutrients!$B$8,Nutrients!$EU$8,Nutrients!$EU$9)*AT$7)+(((IF($A$8=Nutrients!$B$79,Nutrients!$EU$79,(IF($A$8=Nutrients!$B$77,Nutrients!$EU$77,Nutrients!$EU$78)))))*AT$8))</f>
        <v>20000</v>
      </c>
      <c r="AU330" s="21">
        <f>(SUMPRODUCT(AU$9:AU$229,Nutrients!$EU$8:$EU$228)+(IF($A$7=Nutrients!$B$8,Nutrients!$EU$8,Nutrients!$EU$9)*AU$7)+(((IF($A$8=Nutrients!$B$79,Nutrients!$EU$79,(IF($A$8=Nutrients!$B$77,Nutrients!$EU$77,Nutrients!$EU$78)))))*AU$8))</f>
        <v>16000</v>
      </c>
      <c r="AV330" s="21">
        <f>(SUMPRODUCT(AV$9:AV$229,Nutrients!$EU$8:$EU$228)+(IF($A$7=Nutrients!$B$8,Nutrients!$EU$8,Nutrients!$EU$9)*AV$7)+(((IF($A$8=Nutrients!$B$79,Nutrients!$EU$79,(IF($A$8=Nutrients!$B$77,Nutrients!$EU$77,Nutrients!$EU$78)))))*AV$8))</f>
        <v>12000</v>
      </c>
      <c r="AW330" s="21">
        <f>(SUMPRODUCT(AW$9:AW$229,Nutrients!$EU$8:$EU$228)+(IF($A$7=Nutrients!$B$8,Nutrients!$EU$8,Nutrients!$EU$9)*AW$7)+(((IF($A$8=Nutrients!$B$79,Nutrients!$EU$79,(IF($A$8=Nutrients!$B$77,Nutrients!$EU$77,Nutrients!$EU$78)))))*AW$8))</f>
        <v>12000</v>
      </c>
    </row>
    <row r="331" spans="1:49" x14ac:dyDescent="0.25">
      <c r="A331" s="34" t="s">
        <v>124</v>
      </c>
      <c r="B331" s="21">
        <f>(SUMPRODUCT(B$9:B$229,Nutrients!$EV$8:$EV$228)+(IF($A$7=Nutrients!$B$8,Nutrients!$EV$8,Nutrients!$EV$9)*B$7)+(((IF($A$8=Nutrients!$B$79,Nutrients!$EV$79,(IF($A$8=Nutrients!$B$77,Nutrients!$EV$77,Nutrients!$EV$78)))))*B$8))</f>
        <v>1800</v>
      </c>
      <c r="C331" s="21">
        <f>(SUMPRODUCT(C$9:C$229,Nutrients!$EV$8:$EV$228)+(IF($A$7=Nutrients!$B$8,Nutrients!$EV$8,Nutrients!$EV$9)*C$7)+(((IF($A$8=Nutrients!$B$79,Nutrients!$EV$79,(IF($A$8=Nutrients!$B$77,Nutrients!$EV$77,Nutrients!$EV$78)))))*C$8))</f>
        <v>1800</v>
      </c>
      <c r="D331" s="21">
        <f>(SUMPRODUCT(D$9:D$229,Nutrients!$EV$8:$EV$228)+(IF($A$7=Nutrients!$B$8,Nutrients!$EV$8,Nutrients!$EV$9)*D$7)+(((IF($A$8=Nutrients!$B$79,Nutrients!$EV$79,(IF($A$8=Nutrients!$B$77,Nutrients!$EV$77,Nutrients!$EV$78)))))*D$8))</f>
        <v>1500</v>
      </c>
      <c r="E331" s="21">
        <f>(SUMPRODUCT(E$9:E$229,Nutrients!$EV$8:$EV$228)+(IF($A$7=Nutrients!$B$8,Nutrients!$EV$8,Nutrients!$EV$9)*E$7)+(((IF($A$8=Nutrients!$B$79,Nutrients!$EV$79,(IF($A$8=Nutrients!$B$77,Nutrients!$EV$77,Nutrients!$EV$78)))))*E$8))</f>
        <v>1200</v>
      </c>
      <c r="F331" s="21">
        <f>(SUMPRODUCT(F$9:F$229,Nutrients!$EV$8:$EV$228)+(IF($A$7=Nutrients!$B$8,Nutrients!$EV$8,Nutrients!$EV$9)*F$7)+(((IF($A$8=Nutrients!$B$79,Nutrients!$EV$79,(IF($A$8=Nutrients!$B$77,Nutrients!$EV$77,Nutrients!$EV$78)))))*F$8))</f>
        <v>900</v>
      </c>
      <c r="G331" s="21">
        <f>(SUMPRODUCT(G$9:G$229,Nutrients!$EV$8:$EV$228)+(IF($A$7=Nutrients!$B$8,Nutrients!$EV$8,Nutrients!$EV$9)*G$7)+(((IF($A$8=Nutrients!$B$79,Nutrients!$EV$79,(IF($A$8=Nutrients!$B$77,Nutrients!$EV$77,Nutrients!$EV$78)))))*G$8))</f>
        <v>900</v>
      </c>
      <c r="H331" s="226"/>
      <c r="I331" s="21">
        <f>(SUMPRODUCT(I$9:I$229,Nutrients!$EV$8:$EV$228)+(IF($A$7=Nutrients!$B$8,Nutrients!$EV$8,Nutrients!$EV$9)*I$7)+(((IF($A$8=Nutrients!$B$79,Nutrients!$EV$79,(IF($A$8=Nutrients!$B$77,Nutrients!$EV$77,Nutrients!$EV$78)))))*I$8))</f>
        <v>1800</v>
      </c>
      <c r="J331" s="21">
        <f>(SUMPRODUCT(J$9:J$229,Nutrients!$EV$8:$EV$228)+(IF($A$7=Nutrients!$B$8,Nutrients!$EV$8,Nutrients!$EV$9)*J$7)+(((IF($A$8=Nutrients!$B$79,Nutrients!$EV$79,(IF($A$8=Nutrients!$B$77,Nutrients!$EV$77,Nutrients!$EV$78)))))*J$8))</f>
        <v>1800</v>
      </c>
      <c r="K331" s="21">
        <f>(SUMPRODUCT(K$9:K$229,Nutrients!$EV$8:$EV$228)+(IF($A$7=Nutrients!$B$8,Nutrients!$EV$8,Nutrients!$EV$9)*K$7)+(((IF($A$8=Nutrients!$B$79,Nutrients!$EV$79,(IF($A$8=Nutrients!$B$77,Nutrients!$EV$77,Nutrients!$EV$78)))))*K$8))</f>
        <v>1500</v>
      </c>
      <c r="L331" s="21">
        <f>(SUMPRODUCT(L$9:L$229,Nutrients!$EV$8:$EV$228)+(IF($A$7=Nutrients!$B$8,Nutrients!$EV$8,Nutrients!$EV$9)*L$7)+(((IF($A$8=Nutrients!$B$79,Nutrients!$EV$79,(IF($A$8=Nutrients!$B$77,Nutrients!$EV$77,Nutrients!$EV$78)))))*L$8))</f>
        <v>1200</v>
      </c>
      <c r="M331" s="21">
        <f>(SUMPRODUCT(M$9:M$229,Nutrients!$EV$8:$EV$228)+(IF($A$7=Nutrients!$B$8,Nutrients!$EV$8,Nutrients!$EV$9)*M$7)+(((IF($A$8=Nutrients!$B$79,Nutrients!$EV$79,(IF($A$8=Nutrients!$B$77,Nutrients!$EV$77,Nutrients!$EV$78)))))*M$8))</f>
        <v>900</v>
      </c>
      <c r="N331" s="21">
        <f>(SUMPRODUCT(N$9:N$229,Nutrients!$EV$8:$EV$228)+(IF($A$7=Nutrients!$B$8,Nutrients!$EV$8,Nutrients!$EV$9)*N$7)+(((IF($A$8=Nutrients!$B$79,Nutrients!$EV$79,(IF($A$8=Nutrients!$B$77,Nutrients!$EV$77,Nutrients!$EV$78)))))*N$8))</f>
        <v>900</v>
      </c>
      <c r="O331" s="234"/>
      <c r="P331" s="21">
        <f>(SUMPRODUCT(P$9:P$229,Nutrients!$EV$8:$EV$228)+(IF($A$7=Nutrients!$B$8,Nutrients!$EV$8,Nutrients!$EV$9)*P$7)+(((IF($A$8=Nutrients!$B$79,Nutrients!$EV$79,(IF($A$8=Nutrients!$B$77,Nutrients!$EV$77,Nutrients!$EV$78)))))*P$8))</f>
        <v>1800</v>
      </c>
      <c r="Q331" s="21">
        <f>(SUMPRODUCT(Q$9:Q$229,Nutrients!$EV$8:$EV$228)+(IF($A$7=Nutrients!$B$8,Nutrients!$EV$8,Nutrients!$EV$9)*Q$7)+(((IF($A$8=Nutrients!$B$79,Nutrients!$EV$79,(IF($A$8=Nutrients!$B$77,Nutrients!$EV$77,Nutrients!$EV$78)))))*Q$8))</f>
        <v>1800</v>
      </c>
      <c r="R331" s="21">
        <f>(SUMPRODUCT(R$9:R$229,Nutrients!$EV$8:$EV$228)+(IF($A$7=Nutrients!$B$8,Nutrients!$EV$8,Nutrients!$EV$9)*R$7)+(((IF($A$8=Nutrients!$B$79,Nutrients!$EV$79,(IF($A$8=Nutrients!$B$77,Nutrients!$EV$77,Nutrients!$EV$78)))))*R$8))</f>
        <v>1500</v>
      </c>
      <c r="S331" s="21">
        <f>(SUMPRODUCT(S$9:S$229,Nutrients!$EV$8:$EV$228)+(IF($A$7=Nutrients!$B$8,Nutrients!$EV$8,Nutrients!$EV$9)*S$7)+(((IF($A$8=Nutrients!$B$79,Nutrients!$EV$79,(IF($A$8=Nutrients!$B$77,Nutrients!$EV$77,Nutrients!$EV$78)))))*S$8))</f>
        <v>1200</v>
      </c>
      <c r="T331" s="21">
        <f>(SUMPRODUCT(T$9:T$229,Nutrients!$EV$8:$EV$228)+(IF($A$7=Nutrients!$B$8,Nutrients!$EV$8,Nutrients!$EV$9)*T$7)+(((IF($A$8=Nutrients!$B$79,Nutrients!$EV$79,(IF($A$8=Nutrients!$B$77,Nutrients!$EV$77,Nutrients!$EV$78)))))*T$8))</f>
        <v>900</v>
      </c>
      <c r="U331" s="21">
        <f>(SUMPRODUCT(U$9:U$229,Nutrients!$EV$8:$EV$228)+(IF($A$7=Nutrients!$B$8,Nutrients!$EV$8,Nutrients!$EV$9)*U$7)+(((IF($A$8=Nutrients!$B$79,Nutrients!$EV$79,(IF($A$8=Nutrients!$B$77,Nutrients!$EV$77,Nutrients!$EV$78)))))*U$8))</f>
        <v>900</v>
      </c>
      <c r="W331" s="21">
        <f>(SUMPRODUCT(W$9:W$229,Nutrients!$EV$8:$EV$228)+(IF($A$7=Nutrients!$B$8,Nutrients!$EV$8,Nutrients!$EV$9)*W$7)+(((IF($A$8=Nutrients!$B$79,Nutrients!$EV$79,(IF($A$8=Nutrients!$B$77,Nutrients!$EV$77,Nutrients!$EV$78)))))*W$8))</f>
        <v>1800</v>
      </c>
      <c r="X331" s="21">
        <f>(SUMPRODUCT(X$9:X$229,Nutrients!$EV$8:$EV$228)+(IF($A$7=Nutrients!$B$8,Nutrients!$EV$8,Nutrients!$EV$9)*X$7)+(((IF($A$8=Nutrients!$B$79,Nutrients!$EV$79,(IF($A$8=Nutrients!$B$77,Nutrients!$EV$77,Nutrients!$EV$78)))))*X$8))</f>
        <v>1800</v>
      </c>
      <c r="Y331" s="21">
        <f>(SUMPRODUCT(Y$9:Y$229,Nutrients!$EV$8:$EV$228)+(IF($A$7=Nutrients!$B$8,Nutrients!$EV$8,Nutrients!$EV$9)*Y$7)+(((IF($A$8=Nutrients!$B$79,Nutrients!$EV$79,(IF($A$8=Nutrients!$B$77,Nutrients!$EV$77,Nutrients!$EV$78)))))*Y$8))</f>
        <v>1500</v>
      </c>
      <c r="Z331" s="21">
        <f>(SUMPRODUCT(Z$9:Z$229,Nutrients!$EV$8:$EV$228)+(IF($A$7=Nutrients!$B$8,Nutrients!$EV$8,Nutrients!$EV$9)*Z$7)+(((IF($A$8=Nutrients!$B$79,Nutrients!$EV$79,(IF($A$8=Nutrients!$B$77,Nutrients!$EV$77,Nutrients!$EV$78)))))*Z$8))</f>
        <v>1200</v>
      </c>
      <c r="AA331" s="21">
        <f>(SUMPRODUCT(AA$9:AA$229,Nutrients!$EV$8:$EV$228)+(IF($A$7=Nutrients!$B$8,Nutrients!$EV$8,Nutrients!$EV$9)*AA$7)+(((IF($A$8=Nutrients!$B$79,Nutrients!$EV$79,(IF($A$8=Nutrients!$B$77,Nutrients!$EV$77,Nutrients!$EV$78)))))*AA$8))</f>
        <v>900</v>
      </c>
      <c r="AB331" s="21">
        <f>(SUMPRODUCT(AB$9:AB$229,Nutrients!$EV$8:$EV$228)+(IF($A$7=Nutrients!$B$8,Nutrients!$EV$8,Nutrients!$EV$9)*AB$7)+(((IF($A$8=Nutrients!$B$79,Nutrients!$EV$79,(IF($A$8=Nutrients!$B$77,Nutrients!$EV$77,Nutrients!$EV$78)))))*AB$8))</f>
        <v>900</v>
      </c>
      <c r="AD331" s="21">
        <f>(SUMPRODUCT(AD$9:AD$229,Nutrients!$EV$8:$EV$228)+(IF($A$7=Nutrients!$B$8,Nutrients!$EV$8,Nutrients!$EV$9)*AD$7)+(((IF($A$8=Nutrients!$B$79,Nutrients!$EV$79,(IF($A$8=Nutrients!$B$77,Nutrients!$EV$77,Nutrients!$EV$78)))))*AD$8))</f>
        <v>1800</v>
      </c>
      <c r="AE331" s="21">
        <f>(SUMPRODUCT(AE$9:AE$229,Nutrients!$EV$8:$EV$228)+(IF($A$7=Nutrients!$B$8,Nutrients!$EV$8,Nutrients!$EV$9)*AE$7)+(((IF($A$8=Nutrients!$B$79,Nutrients!$EV$79,(IF($A$8=Nutrients!$B$77,Nutrients!$EV$77,Nutrients!$EV$78)))))*AE$8))</f>
        <v>1800</v>
      </c>
      <c r="AF331" s="21">
        <f>(SUMPRODUCT(AF$9:AF$229,Nutrients!$EV$8:$EV$228)+(IF($A$7=Nutrients!$B$8,Nutrients!$EV$8,Nutrients!$EV$9)*AF$7)+(((IF($A$8=Nutrients!$B$79,Nutrients!$EV$79,(IF($A$8=Nutrients!$B$77,Nutrients!$EV$77,Nutrients!$EV$78)))))*AF$8))</f>
        <v>1500</v>
      </c>
      <c r="AG331" s="21">
        <f>(SUMPRODUCT(AG$9:AG$229,Nutrients!$EV$8:$EV$228)+(IF($A$7=Nutrients!$B$8,Nutrients!$EV$8,Nutrients!$EV$9)*AG$7)+(((IF($A$8=Nutrients!$B$79,Nutrients!$EV$79,(IF($A$8=Nutrients!$B$77,Nutrients!$EV$77,Nutrients!$EV$78)))))*AG$8))</f>
        <v>1200</v>
      </c>
      <c r="AH331" s="21">
        <f>(SUMPRODUCT(AH$9:AH$229,Nutrients!$EV$8:$EV$228)+(IF($A$7=Nutrients!$B$8,Nutrients!$EV$8,Nutrients!$EV$9)*AH$7)+(((IF($A$8=Nutrients!$B$79,Nutrients!$EV$79,(IF($A$8=Nutrients!$B$77,Nutrients!$EV$77,Nutrients!$EV$78)))))*AH$8))</f>
        <v>900</v>
      </c>
      <c r="AI331" s="21">
        <f>(SUMPRODUCT(AI$9:AI$229,Nutrients!$EV$8:$EV$228)+(IF($A$7=Nutrients!$B$8,Nutrients!$EV$8,Nutrients!$EV$9)*AI$7)+(((IF($A$8=Nutrients!$B$79,Nutrients!$EV$79,(IF($A$8=Nutrients!$B$77,Nutrients!$EV$77,Nutrients!$EV$78)))))*AI$8))</f>
        <v>900</v>
      </c>
      <c r="AK331" s="21">
        <f>(SUMPRODUCT(AK$9:AK$229,Nutrients!$EV$8:$EV$228)+(IF($A$7=Nutrients!$B$8,Nutrients!$EV$8,Nutrients!$EV$9)*AK$7)+(((IF($A$8=Nutrients!$B$79,Nutrients!$EV$79,(IF($A$8=Nutrients!$B$77,Nutrients!$EV$77,Nutrients!$EV$78)))))*AK$8))</f>
        <v>1800</v>
      </c>
      <c r="AL331" s="21">
        <f>(SUMPRODUCT(AL$9:AL$229,Nutrients!$EV$8:$EV$228)+(IF($A$7=Nutrients!$B$8,Nutrients!$EV$8,Nutrients!$EV$9)*AL$7)+(((IF($A$8=Nutrients!$B$79,Nutrients!$EV$79,(IF($A$8=Nutrients!$B$77,Nutrients!$EV$77,Nutrients!$EV$78)))))*AL$8))</f>
        <v>1800</v>
      </c>
      <c r="AM331" s="21">
        <f>(SUMPRODUCT(AM$9:AM$229,Nutrients!$EV$8:$EV$228)+(IF($A$7=Nutrients!$B$8,Nutrients!$EV$8,Nutrients!$EV$9)*AM$7)+(((IF($A$8=Nutrients!$B$79,Nutrients!$EV$79,(IF($A$8=Nutrients!$B$77,Nutrients!$EV$77,Nutrients!$EV$78)))))*AM$8))</f>
        <v>1500</v>
      </c>
      <c r="AN331" s="21">
        <f>(SUMPRODUCT(AN$9:AN$229,Nutrients!$EV$8:$EV$228)+(IF($A$7=Nutrients!$B$8,Nutrients!$EV$8,Nutrients!$EV$9)*AN$7)+(((IF($A$8=Nutrients!$B$79,Nutrients!$EV$79,(IF($A$8=Nutrients!$B$77,Nutrients!$EV$77,Nutrients!$EV$78)))))*AN$8))</f>
        <v>1200</v>
      </c>
      <c r="AO331" s="21">
        <f>(SUMPRODUCT(AO$9:AO$229,Nutrients!$EV$8:$EV$228)+(IF($A$7=Nutrients!$B$8,Nutrients!$EV$8,Nutrients!$EV$9)*AO$7)+(((IF($A$8=Nutrients!$B$79,Nutrients!$EV$79,(IF($A$8=Nutrients!$B$77,Nutrients!$EV$77,Nutrients!$EV$78)))))*AO$8))</f>
        <v>900</v>
      </c>
      <c r="AP331" s="21">
        <f>(SUMPRODUCT(AP$9:AP$229,Nutrients!$EV$8:$EV$228)+(IF($A$7=Nutrients!$B$8,Nutrients!$EV$8,Nutrients!$EV$9)*AP$7)+(((IF($A$8=Nutrients!$B$79,Nutrients!$EV$79,(IF($A$8=Nutrients!$B$77,Nutrients!$EV$77,Nutrients!$EV$78)))))*AP$8))</f>
        <v>900</v>
      </c>
      <c r="AR331" s="21">
        <f>(SUMPRODUCT(AR$9:AR$229,Nutrients!$EV$8:$EV$228)+(IF($A$7=Nutrients!$B$8,Nutrients!$EV$8,Nutrients!$EV$9)*AR$7)+(((IF($A$8=Nutrients!$B$79,Nutrients!$EV$79,(IF($A$8=Nutrients!$B$77,Nutrients!$EV$77,Nutrients!$EV$78)))))*AR$8))</f>
        <v>1800</v>
      </c>
      <c r="AS331" s="21">
        <f>(SUMPRODUCT(AS$9:AS$229,Nutrients!$EV$8:$EV$228)+(IF($A$7=Nutrients!$B$8,Nutrients!$EV$8,Nutrients!$EV$9)*AS$7)+(((IF($A$8=Nutrients!$B$79,Nutrients!$EV$79,(IF($A$8=Nutrients!$B$77,Nutrients!$EV$77,Nutrients!$EV$78)))))*AS$8))</f>
        <v>1800</v>
      </c>
      <c r="AT331" s="21">
        <f>(SUMPRODUCT(AT$9:AT$229,Nutrients!$EV$8:$EV$228)+(IF($A$7=Nutrients!$B$8,Nutrients!$EV$8,Nutrients!$EV$9)*AT$7)+(((IF($A$8=Nutrients!$B$79,Nutrients!$EV$79,(IF($A$8=Nutrients!$B$77,Nutrients!$EV$77,Nutrients!$EV$78)))))*AT$8))</f>
        <v>1500</v>
      </c>
      <c r="AU331" s="21">
        <f>(SUMPRODUCT(AU$9:AU$229,Nutrients!$EV$8:$EV$228)+(IF($A$7=Nutrients!$B$8,Nutrients!$EV$8,Nutrients!$EV$9)*AU$7)+(((IF($A$8=Nutrients!$B$79,Nutrients!$EV$79,(IF($A$8=Nutrients!$B$77,Nutrients!$EV$77,Nutrients!$EV$78)))))*AU$8))</f>
        <v>1200</v>
      </c>
      <c r="AV331" s="21">
        <f>(SUMPRODUCT(AV$9:AV$229,Nutrients!$EV$8:$EV$228)+(IF($A$7=Nutrients!$B$8,Nutrients!$EV$8,Nutrients!$EV$9)*AV$7)+(((IF($A$8=Nutrients!$B$79,Nutrients!$EV$79,(IF($A$8=Nutrients!$B$77,Nutrients!$EV$77,Nutrients!$EV$78)))))*AV$8))</f>
        <v>900</v>
      </c>
      <c r="AW331" s="21">
        <f>(SUMPRODUCT(AW$9:AW$229,Nutrients!$EV$8:$EV$228)+(IF($A$7=Nutrients!$B$8,Nutrients!$EV$8,Nutrients!$EV$9)*AW$7)+(((IF($A$8=Nutrients!$B$79,Nutrients!$EV$79,(IF($A$8=Nutrients!$B$77,Nutrients!$EV$77,Nutrients!$EV$78)))))*AW$8))</f>
        <v>900</v>
      </c>
    </row>
    <row r="332" spans="1:49" x14ac:dyDescent="0.25">
      <c r="A332" s="34" t="s">
        <v>125</v>
      </c>
      <c r="B332" s="21">
        <f>(SUMPRODUCT(B$9:B$229,Nutrients!$EW$8:$EW$228)+(IF($A$7=Nutrients!$B$8,Nutrients!$EW$8,Nutrients!$EW$9)*B$7)+(((IF($A$8=Nutrients!$B$79,Nutrients!$EW$79,(IF($A$8=Nutrients!$B$77,Nutrients!$EW$77,Nutrients!$EW$78)))))*B$8))</f>
        <v>18</v>
      </c>
      <c r="C332" s="21">
        <f>(SUMPRODUCT(C$9:C$229,Nutrients!$EW$8:$EW$228)+(IF($A$7=Nutrients!$B$8,Nutrients!$EW$8,Nutrients!$EW$9)*C$7)+(((IF($A$8=Nutrients!$B$79,Nutrients!$EW$79,(IF($A$8=Nutrients!$B$77,Nutrients!$EW$77,Nutrients!$EW$78)))))*C$8))</f>
        <v>18</v>
      </c>
      <c r="D332" s="21">
        <f>(SUMPRODUCT(D$9:D$229,Nutrients!$EW$8:$EW$228)+(IF($A$7=Nutrients!$B$8,Nutrients!$EW$8,Nutrients!$EW$9)*D$7)+(((IF($A$8=Nutrients!$B$79,Nutrients!$EW$79,(IF($A$8=Nutrients!$B$77,Nutrients!$EW$77,Nutrients!$EW$78)))))*D$8))</f>
        <v>15</v>
      </c>
      <c r="E332" s="21">
        <f>(SUMPRODUCT(E$9:E$229,Nutrients!$EW$8:$EW$228)+(IF($A$7=Nutrients!$B$8,Nutrients!$EW$8,Nutrients!$EW$9)*E$7)+(((IF($A$8=Nutrients!$B$79,Nutrients!$EW$79,(IF($A$8=Nutrients!$B$77,Nutrients!$EW$77,Nutrients!$EW$78)))))*E$8))</f>
        <v>12</v>
      </c>
      <c r="F332" s="21">
        <f>(SUMPRODUCT(F$9:F$229,Nutrients!$EW$8:$EW$228)+(IF($A$7=Nutrients!$B$8,Nutrients!$EW$8,Nutrients!$EW$9)*F$7)+(((IF($A$8=Nutrients!$B$79,Nutrients!$EW$79,(IF($A$8=Nutrients!$B$77,Nutrients!$EW$77,Nutrients!$EW$78)))))*F$8))</f>
        <v>9</v>
      </c>
      <c r="G332" s="21">
        <f>(SUMPRODUCT(G$9:G$229,Nutrients!$EW$8:$EW$228)+(IF($A$7=Nutrients!$B$8,Nutrients!$EW$8,Nutrients!$EW$9)*G$7)+(((IF($A$8=Nutrients!$B$79,Nutrients!$EW$79,(IF($A$8=Nutrients!$B$77,Nutrients!$EW$77,Nutrients!$EW$78)))))*G$8))</f>
        <v>9</v>
      </c>
      <c r="H332" s="226"/>
      <c r="I332" s="21">
        <f>(SUMPRODUCT(I$9:I$229,Nutrients!$EW$8:$EW$228)+(IF($A$7=Nutrients!$B$8,Nutrients!$EW$8,Nutrients!$EW$9)*I$7)+(((IF($A$8=Nutrients!$B$79,Nutrients!$EW$79,(IF($A$8=Nutrients!$B$77,Nutrients!$EW$77,Nutrients!$EW$78)))))*I$8))</f>
        <v>18</v>
      </c>
      <c r="J332" s="21">
        <f>(SUMPRODUCT(J$9:J$229,Nutrients!$EW$8:$EW$228)+(IF($A$7=Nutrients!$B$8,Nutrients!$EW$8,Nutrients!$EW$9)*J$7)+(((IF($A$8=Nutrients!$B$79,Nutrients!$EW$79,(IF($A$8=Nutrients!$B$77,Nutrients!$EW$77,Nutrients!$EW$78)))))*J$8))</f>
        <v>18</v>
      </c>
      <c r="K332" s="21">
        <f>(SUMPRODUCT(K$9:K$229,Nutrients!$EW$8:$EW$228)+(IF($A$7=Nutrients!$B$8,Nutrients!$EW$8,Nutrients!$EW$9)*K$7)+(((IF($A$8=Nutrients!$B$79,Nutrients!$EW$79,(IF($A$8=Nutrients!$B$77,Nutrients!$EW$77,Nutrients!$EW$78)))))*K$8))</f>
        <v>15</v>
      </c>
      <c r="L332" s="21">
        <f>(SUMPRODUCT(L$9:L$229,Nutrients!$EW$8:$EW$228)+(IF($A$7=Nutrients!$B$8,Nutrients!$EW$8,Nutrients!$EW$9)*L$7)+(((IF($A$8=Nutrients!$B$79,Nutrients!$EW$79,(IF($A$8=Nutrients!$B$77,Nutrients!$EW$77,Nutrients!$EW$78)))))*L$8))</f>
        <v>12</v>
      </c>
      <c r="M332" s="21">
        <f>(SUMPRODUCT(M$9:M$229,Nutrients!$EW$8:$EW$228)+(IF($A$7=Nutrients!$B$8,Nutrients!$EW$8,Nutrients!$EW$9)*M$7)+(((IF($A$8=Nutrients!$B$79,Nutrients!$EW$79,(IF($A$8=Nutrients!$B$77,Nutrients!$EW$77,Nutrients!$EW$78)))))*M$8))</f>
        <v>9</v>
      </c>
      <c r="N332" s="21">
        <f>(SUMPRODUCT(N$9:N$229,Nutrients!$EW$8:$EW$228)+(IF($A$7=Nutrients!$B$8,Nutrients!$EW$8,Nutrients!$EW$9)*N$7)+(((IF($A$8=Nutrients!$B$79,Nutrients!$EW$79,(IF($A$8=Nutrients!$B$77,Nutrients!$EW$77,Nutrients!$EW$78)))))*N$8))</f>
        <v>9</v>
      </c>
      <c r="O332" s="234"/>
      <c r="P332" s="21">
        <f>(SUMPRODUCT(P$9:P$229,Nutrients!$EW$8:$EW$228)+(IF($A$7=Nutrients!$B$8,Nutrients!$EW$8,Nutrients!$EW$9)*P$7)+(((IF($A$8=Nutrients!$B$79,Nutrients!$EW$79,(IF($A$8=Nutrients!$B$77,Nutrients!$EW$77,Nutrients!$EW$78)))))*P$8))</f>
        <v>18</v>
      </c>
      <c r="Q332" s="21">
        <f>(SUMPRODUCT(Q$9:Q$229,Nutrients!$EW$8:$EW$228)+(IF($A$7=Nutrients!$B$8,Nutrients!$EW$8,Nutrients!$EW$9)*Q$7)+(((IF($A$8=Nutrients!$B$79,Nutrients!$EW$79,(IF($A$8=Nutrients!$B$77,Nutrients!$EW$77,Nutrients!$EW$78)))))*Q$8))</f>
        <v>18</v>
      </c>
      <c r="R332" s="21">
        <f>(SUMPRODUCT(R$9:R$229,Nutrients!$EW$8:$EW$228)+(IF($A$7=Nutrients!$B$8,Nutrients!$EW$8,Nutrients!$EW$9)*R$7)+(((IF($A$8=Nutrients!$B$79,Nutrients!$EW$79,(IF($A$8=Nutrients!$B$77,Nutrients!$EW$77,Nutrients!$EW$78)))))*R$8))</f>
        <v>15</v>
      </c>
      <c r="S332" s="21">
        <f>(SUMPRODUCT(S$9:S$229,Nutrients!$EW$8:$EW$228)+(IF($A$7=Nutrients!$B$8,Nutrients!$EW$8,Nutrients!$EW$9)*S$7)+(((IF($A$8=Nutrients!$B$79,Nutrients!$EW$79,(IF($A$8=Nutrients!$B$77,Nutrients!$EW$77,Nutrients!$EW$78)))))*S$8))</f>
        <v>12</v>
      </c>
      <c r="T332" s="21">
        <f>(SUMPRODUCT(T$9:T$229,Nutrients!$EW$8:$EW$228)+(IF($A$7=Nutrients!$B$8,Nutrients!$EW$8,Nutrients!$EW$9)*T$7)+(((IF($A$8=Nutrients!$B$79,Nutrients!$EW$79,(IF($A$8=Nutrients!$B$77,Nutrients!$EW$77,Nutrients!$EW$78)))))*T$8))</f>
        <v>9</v>
      </c>
      <c r="U332" s="21">
        <f>(SUMPRODUCT(U$9:U$229,Nutrients!$EW$8:$EW$228)+(IF($A$7=Nutrients!$B$8,Nutrients!$EW$8,Nutrients!$EW$9)*U$7)+(((IF($A$8=Nutrients!$B$79,Nutrients!$EW$79,(IF($A$8=Nutrients!$B$77,Nutrients!$EW$77,Nutrients!$EW$78)))))*U$8))</f>
        <v>9</v>
      </c>
      <c r="W332" s="21">
        <f>(SUMPRODUCT(W$9:W$229,Nutrients!$EW$8:$EW$228)+(IF($A$7=Nutrients!$B$8,Nutrients!$EW$8,Nutrients!$EW$9)*W$7)+(((IF($A$8=Nutrients!$B$79,Nutrients!$EW$79,(IF($A$8=Nutrients!$B$77,Nutrients!$EW$77,Nutrients!$EW$78)))))*W$8))</f>
        <v>18</v>
      </c>
      <c r="X332" s="21">
        <f>(SUMPRODUCT(X$9:X$229,Nutrients!$EW$8:$EW$228)+(IF($A$7=Nutrients!$B$8,Nutrients!$EW$8,Nutrients!$EW$9)*X$7)+(((IF($A$8=Nutrients!$B$79,Nutrients!$EW$79,(IF($A$8=Nutrients!$B$77,Nutrients!$EW$77,Nutrients!$EW$78)))))*X$8))</f>
        <v>18</v>
      </c>
      <c r="Y332" s="21">
        <f>(SUMPRODUCT(Y$9:Y$229,Nutrients!$EW$8:$EW$228)+(IF($A$7=Nutrients!$B$8,Nutrients!$EW$8,Nutrients!$EW$9)*Y$7)+(((IF($A$8=Nutrients!$B$79,Nutrients!$EW$79,(IF($A$8=Nutrients!$B$77,Nutrients!$EW$77,Nutrients!$EW$78)))))*Y$8))</f>
        <v>15</v>
      </c>
      <c r="Z332" s="21">
        <f>(SUMPRODUCT(Z$9:Z$229,Nutrients!$EW$8:$EW$228)+(IF($A$7=Nutrients!$B$8,Nutrients!$EW$8,Nutrients!$EW$9)*Z$7)+(((IF($A$8=Nutrients!$B$79,Nutrients!$EW$79,(IF($A$8=Nutrients!$B$77,Nutrients!$EW$77,Nutrients!$EW$78)))))*Z$8))</f>
        <v>12</v>
      </c>
      <c r="AA332" s="21">
        <f>(SUMPRODUCT(AA$9:AA$229,Nutrients!$EW$8:$EW$228)+(IF($A$7=Nutrients!$B$8,Nutrients!$EW$8,Nutrients!$EW$9)*AA$7)+(((IF($A$8=Nutrients!$B$79,Nutrients!$EW$79,(IF($A$8=Nutrients!$B$77,Nutrients!$EW$77,Nutrients!$EW$78)))))*AA$8))</f>
        <v>9</v>
      </c>
      <c r="AB332" s="21">
        <f>(SUMPRODUCT(AB$9:AB$229,Nutrients!$EW$8:$EW$228)+(IF($A$7=Nutrients!$B$8,Nutrients!$EW$8,Nutrients!$EW$9)*AB$7)+(((IF($A$8=Nutrients!$B$79,Nutrients!$EW$79,(IF($A$8=Nutrients!$B$77,Nutrients!$EW$77,Nutrients!$EW$78)))))*AB$8))</f>
        <v>9</v>
      </c>
      <c r="AD332" s="21">
        <f>(SUMPRODUCT(AD$9:AD$229,Nutrients!$EW$8:$EW$228)+(IF($A$7=Nutrients!$B$8,Nutrients!$EW$8,Nutrients!$EW$9)*AD$7)+(((IF($A$8=Nutrients!$B$79,Nutrients!$EW$79,(IF($A$8=Nutrients!$B$77,Nutrients!$EW$77,Nutrients!$EW$78)))))*AD$8))</f>
        <v>18</v>
      </c>
      <c r="AE332" s="21">
        <f>(SUMPRODUCT(AE$9:AE$229,Nutrients!$EW$8:$EW$228)+(IF($A$7=Nutrients!$B$8,Nutrients!$EW$8,Nutrients!$EW$9)*AE$7)+(((IF($A$8=Nutrients!$B$79,Nutrients!$EW$79,(IF($A$8=Nutrients!$B$77,Nutrients!$EW$77,Nutrients!$EW$78)))))*AE$8))</f>
        <v>18</v>
      </c>
      <c r="AF332" s="21">
        <f>(SUMPRODUCT(AF$9:AF$229,Nutrients!$EW$8:$EW$228)+(IF($A$7=Nutrients!$B$8,Nutrients!$EW$8,Nutrients!$EW$9)*AF$7)+(((IF($A$8=Nutrients!$B$79,Nutrients!$EW$79,(IF($A$8=Nutrients!$B$77,Nutrients!$EW$77,Nutrients!$EW$78)))))*AF$8))</f>
        <v>15</v>
      </c>
      <c r="AG332" s="21">
        <f>(SUMPRODUCT(AG$9:AG$229,Nutrients!$EW$8:$EW$228)+(IF($A$7=Nutrients!$B$8,Nutrients!$EW$8,Nutrients!$EW$9)*AG$7)+(((IF($A$8=Nutrients!$B$79,Nutrients!$EW$79,(IF($A$8=Nutrients!$B$77,Nutrients!$EW$77,Nutrients!$EW$78)))))*AG$8))</f>
        <v>12</v>
      </c>
      <c r="AH332" s="21">
        <f>(SUMPRODUCT(AH$9:AH$229,Nutrients!$EW$8:$EW$228)+(IF($A$7=Nutrients!$B$8,Nutrients!$EW$8,Nutrients!$EW$9)*AH$7)+(((IF($A$8=Nutrients!$B$79,Nutrients!$EW$79,(IF($A$8=Nutrients!$B$77,Nutrients!$EW$77,Nutrients!$EW$78)))))*AH$8))</f>
        <v>9</v>
      </c>
      <c r="AI332" s="21">
        <f>(SUMPRODUCT(AI$9:AI$229,Nutrients!$EW$8:$EW$228)+(IF($A$7=Nutrients!$B$8,Nutrients!$EW$8,Nutrients!$EW$9)*AI$7)+(((IF($A$8=Nutrients!$B$79,Nutrients!$EW$79,(IF($A$8=Nutrients!$B$77,Nutrients!$EW$77,Nutrients!$EW$78)))))*AI$8))</f>
        <v>9</v>
      </c>
      <c r="AK332" s="21">
        <f>(SUMPRODUCT(AK$9:AK$229,Nutrients!$EW$8:$EW$228)+(IF($A$7=Nutrients!$B$8,Nutrients!$EW$8,Nutrients!$EW$9)*AK$7)+(((IF($A$8=Nutrients!$B$79,Nutrients!$EW$79,(IF($A$8=Nutrients!$B$77,Nutrients!$EW$77,Nutrients!$EW$78)))))*AK$8))</f>
        <v>18</v>
      </c>
      <c r="AL332" s="21">
        <f>(SUMPRODUCT(AL$9:AL$229,Nutrients!$EW$8:$EW$228)+(IF($A$7=Nutrients!$B$8,Nutrients!$EW$8,Nutrients!$EW$9)*AL$7)+(((IF($A$8=Nutrients!$B$79,Nutrients!$EW$79,(IF($A$8=Nutrients!$B$77,Nutrients!$EW$77,Nutrients!$EW$78)))))*AL$8))</f>
        <v>18</v>
      </c>
      <c r="AM332" s="21">
        <f>(SUMPRODUCT(AM$9:AM$229,Nutrients!$EW$8:$EW$228)+(IF($A$7=Nutrients!$B$8,Nutrients!$EW$8,Nutrients!$EW$9)*AM$7)+(((IF($A$8=Nutrients!$B$79,Nutrients!$EW$79,(IF($A$8=Nutrients!$B$77,Nutrients!$EW$77,Nutrients!$EW$78)))))*AM$8))</f>
        <v>15</v>
      </c>
      <c r="AN332" s="21">
        <f>(SUMPRODUCT(AN$9:AN$229,Nutrients!$EW$8:$EW$228)+(IF($A$7=Nutrients!$B$8,Nutrients!$EW$8,Nutrients!$EW$9)*AN$7)+(((IF($A$8=Nutrients!$B$79,Nutrients!$EW$79,(IF($A$8=Nutrients!$B$77,Nutrients!$EW$77,Nutrients!$EW$78)))))*AN$8))</f>
        <v>12</v>
      </c>
      <c r="AO332" s="21">
        <f>(SUMPRODUCT(AO$9:AO$229,Nutrients!$EW$8:$EW$228)+(IF($A$7=Nutrients!$B$8,Nutrients!$EW$8,Nutrients!$EW$9)*AO$7)+(((IF($A$8=Nutrients!$B$79,Nutrients!$EW$79,(IF($A$8=Nutrients!$B$77,Nutrients!$EW$77,Nutrients!$EW$78)))))*AO$8))</f>
        <v>9</v>
      </c>
      <c r="AP332" s="21">
        <f>(SUMPRODUCT(AP$9:AP$229,Nutrients!$EW$8:$EW$228)+(IF($A$7=Nutrients!$B$8,Nutrients!$EW$8,Nutrients!$EW$9)*AP$7)+(((IF($A$8=Nutrients!$B$79,Nutrients!$EW$79,(IF($A$8=Nutrients!$B$77,Nutrients!$EW$77,Nutrients!$EW$78)))))*AP$8))</f>
        <v>9</v>
      </c>
      <c r="AR332" s="21">
        <f>(SUMPRODUCT(AR$9:AR$229,Nutrients!$EW$8:$EW$228)+(IF($A$7=Nutrients!$B$8,Nutrients!$EW$8,Nutrients!$EW$9)*AR$7)+(((IF($A$8=Nutrients!$B$79,Nutrients!$EW$79,(IF($A$8=Nutrients!$B$77,Nutrients!$EW$77,Nutrients!$EW$78)))))*AR$8))</f>
        <v>18</v>
      </c>
      <c r="AS332" s="21">
        <f>(SUMPRODUCT(AS$9:AS$229,Nutrients!$EW$8:$EW$228)+(IF($A$7=Nutrients!$B$8,Nutrients!$EW$8,Nutrients!$EW$9)*AS$7)+(((IF($A$8=Nutrients!$B$79,Nutrients!$EW$79,(IF($A$8=Nutrients!$B$77,Nutrients!$EW$77,Nutrients!$EW$78)))))*AS$8))</f>
        <v>18</v>
      </c>
      <c r="AT332" s="21">
        <f>(SUMPRODUCT(AT$9:AT$229,Nutrients!$EW$8:$EW$228)+(IF($A$7=Nutrients!$B$8,Nutrients!$EW$8,Nutrients!$EW$9)*AT$7)+(((IF($A$8=Nutrients!$B$79,Nutrients!$EW$79,(IF($A$8=Nutrients!$B$77,Nutrients!$EW$77,Nutrients!$EW$78)))))*AT$8))</f>
        <v>15</v>
      </c>
      <c r="AU332" s="21">
        <f>(SUMPRODUCT(AU$9:AU$229,Nutrients!$EW$8:$EW$228)+(IF($A$7=Nutrients!$B$8,Nutrients!$EW$8,Nutrients!$EW$9)*AU$7)+(((IF($A$8=Nutrients!$B$79,Nutrients!$EW$79,(IF($A$8=Nutrients!$B$77,Nutrients!$EW$77,Nutrients!$EW$78)))))*AU$8))</f>
        <v>12</v>
      </c>
      <c r="AV332" s="21">
        <f>(SUMPRODUCT(AV$9:AV$229,Nutrients!$EW$8:$EW$228)+(IF($A$7=Nutrients!$B$8,Nutrients!$EW$8,Nutrients!$EW$9)*AV$7)+(((IF($A$8=Nutrients!$B$79,Nutrients!$EW$79,(IF($A$8=Nutrients!$B$77,Nutrients!$EW$77,Nutrients!$EW$78)))))*AV$8))</f>
        <v>9</v>
      </c>
      <c r="AW332" s="21">
        <f>(SUMPRODUCT(AW$9:AW$229,Nutrients!$EW$8:$EW$228)+(IF($A$7=Nutrients!$B$8,Nutrients!$EW$8,Nutrients!$EW$9)*AW$7)+(((IF($A$8=Nutrients!$B$79,Nutrients!$EW$79,(IF($A$8=Nutrients!$B$77,Nutrients!$EW$77,Nutrients!$EW$78)))))*AW$8))</f>
        <v>9</v>
      </c>
    </row>
    <row r="333" spans="1:49" x14ac:dyDescent="0.25">
      <c r="A333" s="34" t="s">
        <v>126</v>
      </c>
      <c r="B333" s="21">
        <f>(SUMPRODUCT(B$9:B$229,Nutrients!$EX$8:$EX$228)+(IF($A$7=Nutrients!$B$8,Nutrients!$EX$8,Nutrients!$EX$9)*B$7)+(((IF($A$8=Nutrients!$B$79,Nutrients!$EX$79,(IF($A$8=Nutrients!$B$77,Nutrients!$EX$77,Nutrients!$EX$78)))))*B$8))</f>
        <v>27000</v>
      </c>
      <c r="C333" s="21">
        <f>(SUMPRODUCT(C$9:C$229,Nutrients!$EX$8:$EX$228)+(IF($A$7=Nutrients!$B$8,Nutrients!$EX$8,Nutrients!$EX$9)*C$7)+(((IF($A$8=Nutrients!$B$79,Nutrients!$EX$79,(IF($A$8=Nutrients!$B$77,Nutrients!$EX$77,Nutrients!$EX$78)))))*C$8))</f>
        <v>27000</v>
      </c>
      <c r="D333" s="21">
        <f>(SUMPRODUCT(D$9:D$229,Nutrients!$EX$8:$EX$228)+(IF($A$7=Nutrients!$B$8,Nutrients!$EX$8,Nutrients!$EX$9)*D$7)+(((IF($A$8=Nutrients!$B$79,Nutrients!$EX$79,(IF($A$8=Nutrients!$B$77,Nutrients!$EX$77,Nutrients!$EX$78)))))*D$8))</f>
        <v>22500</v>
      </c>
      <c r="E333" s="21">
        <f>(SUMPRODUCT(E$9:E$229,Nutrients!$EX$8:$EX$228)+(IF($A$7=Nutrients!$B$8,Nutrients!$EX$8,Nutrients!$EX$9)*E$7)+(((IF($A$8=Nutrients!$B$79,Nutrients!$EX$79,(IF($A$8=Nutrients!$B$77,Nutrients!$EX$77,Nutrients!$EX$78)))))*E$8))</f>
        <v>18000</v>
      </c>
      <c r="F333" s="21">
        <f>(SUMPRODUCT(F$9:F$229,Nutrients!$EX$8:$EX$228)+(IF($A$7=Nutrients!$B$8,Nutrients!$EX$8,Nutrients!$EX$9)*F$7)+(((IF($A$8=Nutrients!$B$79,Nutrients!$EX$79,(IF($A$8=Nutrients!$B$77,Nutrients!$EX$77,Nutrients!$EX$78)))))*F$8))</f>
        <v>13500</v>
      </c>
      <c r="G333" s="21">
        <f>(SUMPRODUCT(G$9:G$229,Nutrients!$EX$8:$EX$228)+(IF($A$7=Nutrients!$B$8,Nutrients!$EX$8,Nutrients!$EX$9)*G$7)+(((IF($A$8=Nutrients!$B$79,Nutrients!$EX$79,(IF($A$8=Nutrients!$B$77,Nutrients!$EX$77,Nutrients!$EX$78)))))*G$8))</f>
        <v>13500</v>
      </c>
      <c r="H333" s="226"/>
      <c r="I333" s="21">
        <f>(SUMPRODUCT(I$9:I$229,Nutrients!$EX$8:$EX$228)+(IF($A$7=Nutrients!$B$8,Nutrients!$EX$8,Nutrients!$EX$9)*I$7)+(((IF($A$8=Nutrients!$B$79,Nutrients!$EX$79,(IF($A$8=Nutrients!$B$77,Nutrients!$EX$77,Nutrients!$EX$78)))))*I$8))</f>
        <v>27000</v>
      </c>
      <c r="J333" s="21">
        <f>(SUMPRODUCT(J$9:J$229,Nutrients!$EX$8:$EX$228)+(IF($A$7=Nutrients!$B$8,Nutrients!$EX$8,Nutrients!$EX$9)*J$7)+(((IF($A$8=Nutrients!$B$79,Nutrients!$EX$79,(IF($A$8=Nutrients!$B$77,Nutrients!$EX$77,Nutrients!$EX$78)))))*J$8))</f>
        <v>27000</v>
      </c>
      <c r="K333" s="21">
        <f>(SUMPRODUCT(K$9:K$229,Nutrients!$EX$8:$EX$228)+(IF($A$7=Nutrients!$B$8,Nutrients!$EX$8,Nutrients!$EX$9)*K$7)+(((IF($A$8=Nutrients!$B$79,Nutrients!$EX$79,(IF($A$8=Nutrients!$B$77,Nutrients!$EX$77,Nutrients!$EX$78)))))*K$8))</f>
        <v>22500</v>
      </c>
      <c r="L333" s="21">
        <f>(SUMPRODUCT(L$9:L$229,Nutrients!$EX$8:$EX$228)+(IF($A$7=Nutrients!$B$8,Nutrients!$EX$8,Nutrients!$EX$9)*L$7)+(((IF($A$8=Nutrients!$B$79,Nutrients!$EX$79,(IF($A$8=Nutrients!$B$77,Nutrients!$EX$77,Nutrients!$EX$78)))))*L$8))</f>
        <v>18000</v>
      </c>
      <c r="M333" s="21">
        <f>(SUMPRODUCT(M$9:M$229,Nutrients!$EX$8:$EX$228)+(IF($A$7=Nutrients!$B$8,Nutrients!$EX$8,Nutrients!$EX$9)*M$7)+(((IF($A$8=Nutrients!$B$79,Nutrients!$EX$79,(IF($A$8=Nutrients!$B$77,Nutrients!$EX$77,Nutrients!$EX$78)))))*M$8))</f>
        <v>13500</v>
      </c>
      <c r="N333" s="21">
        <f>(SUMPRODUCT(N$9:N$229,Nutrients!$EX$8:$EX$228)+(IF($A$7=Nutrients!$B$8,Nutrients!$EX$8,Nutrients!$EX$9)*N$7)+(((IF($A$8=Nutrients!$B$79,Nutrients!$EX$79,(IF($A$8=Nutrients!$B$77,Nutrients!$EX$77,Nutrients!$EX$78)))))*N$8))</f>
        <v>13500</v>
      </c>
      <c r="O333" s="234"/>
      <c r="P333" s="21">
        <f>(SUMPRODUCT(P$9:P$229,Nutrients!$EX$8:$EX$228)+(IF($A$7=Nutrients!$B$8,Nutrients!$EX$8,Nutrients!$EX$9)*P$7)+(((IF($A$8=Nutrients!$B$79,Nutrients!$EX$79,(IF($A$8=Nutrients!$B$77,Nutrients!$EX$77,Nutrients!$EX$78)))))*P$8))</f>
        <v>27000</v>
      </c>
      <c r="Q333" s="21">
        <f>(SUMPRODUCT(Q$9:Q$229,Nutrients!$EX$8:$EX$228)+(IF($A$7=Nutrients!$B$8,Nutrients!$EX$8,Nutrients!$EX$9)*Q$7)+(((IF($A$8=Nutrients!$B$79,Nutrients!$EX$79,(IF($A$8=Nutrients!$B$77,Nutrients!$EX$77,Nutrients!$EX$78)))))*Q$8))</f>
        <v>27000</v>
      </c>
      <c r="R333" s="21">
        <f>(SUMPRODUCT(R$9:R$229,Nutrients!$EX$8:$EX$228)+(IF($A$7=Nutrients!$B$8,Nutrients!$EX$8,Nutrients!$EX$9)*R$7)+(((IF($A$8=Nutrients!$B$79,Nutrients!$EX$79,(IF($A$8=Nutrients!$B$77,Nutrients!$EX$77,Nutrients!$EX$78)))))*R$8))</f>
        <v>22500</v>
      </c>
      <c r="S333" s="21">
        <f>(SUMPRODUCT(S$9:S$229,Nutrients!$EX$8:$EX$228)+(IF($A$7=Nutrients!$B$8,Nutrients!$EX$8,Nutrients!$EX$9)*S$7)+(((IF($A$8=Nutrients!$B$79,Nutrients!$EX$79,(IF($A$8=Nutrients!$B$77,Nutrients!$EX$77,Nutrients!$EX$78)))))*S$8))</f>
        <v>18000</v>
      </c>
      <c r="T333" s="21">
        <f>(SUMPRODUCT(T$9:T$229,Nutrients!$EX$8:$EX$228)+(IF($A$7=Nutrients!$B$8,Nutrients!$EX$8,Nutrients!$EX$9)*T$7)+(((IF($A$8=Nutrients!$B$79,Nutrients!$EX$79,(IF($A$8=Nutrients!$B$77,Nutrients!$EX$77,Nutrients!$EX$78)))))*T$8))</f>
        <v>13500</v>
      </c>
      <c r="U333" s="21">
        <f>(SUMPRODUCT(U$9:U$229,Nutrients!$EX$8:$EX$228)+(IF($A$7=Nutrients!$B$8,Nutrients!$EX$8,Nutrients!$EX$9)*U$7)+(((IF($A$8=Nutrients!$B$79,Nutrients!$EX$79,(IF($A$8=Nutrients!$B$77,Nutrients!$EX$77,Nutrients!$EX$78)))))*U$8))</f>
        <v>13500</v>
      </c>
      <c r="W333" s="21">
        <f>(SUMPRODUCT(W$9:W$229,Nutrients!$EX$8:$EX$228)+(IF($A$7=Nutrients!$B$8,Nutrients!$EX$8,Nutrients!$EX$9)*W$7)+(((IF($A$8=Nutrients!$B$79,Nutrients!$EX$79,(IF($A$8=Nutrients!$B$77,Nutrients!$EX$77,Nutrients!$EX$78)))))*W$8))</f>
        <v>27000</v>
      </c>
      <c r="X333" s="21">
        <f>(SUMPRODUCT(X$9:X$229,Nutrients!$EX$8:$EX$228)+(IF($A$7=Nutrients!$B$8,Nutrients!$EX$8,Nutrients!$EX$9)*X$7)+(((IF($A$8=Nutrients!$B$79,Nutrients!$EX$79,(IF($A$8=Nutrients!$B$77,Nutrients!$EX$77,Nutrients!$EX$78)))))*X$8))</f>
        <v>27000</v>
      </c>
      <c r="Y333" s="21">
        <f>(SUMPRODUCT(Y$9:Y$229,Nutrients!$EX$8:$EX$228)+(IF($A$7=Nutrients!$B$8,Nutrients!$EX$8,Nutrients!$EX$9)*Y$7)+(((IF($A$8=Nutrients!$B$79,Nutrients!$EX$79,(IF($A$8=Nutrients!$B$77,Nutrients!$EX$77,Nutrients!$EX$78)))))*Y$8))</f>
        <v>22500</v>
      </c>
      <c r="Z333" s="21">
        <f>(SUMPRODUCT(Z$9:Z$229,Nutrients!$EX$8:$EX$228)+(IF($A$7=Nutrients!$B$8,Nutrients!$EX$8,Nutrients!$EX$9)*Z$7)+(((IF($A$8=Nutrients!$B$79,Nutrients!$EX$79,(IF($A$8=Nutrients!$B$77,Nutrients!$EX$77,Nutrients!$EX$78)))))*Z$8))</f>
        <v>18000</v>
      </c>
      <c r="AA333" s="21">
        <f>(SUMPRODUCT(AA$9:AA$229,Nutrients!$EX$8:$EX$228)+(IF($A$7=Nutrients!$B$8,Nutrients!$EX$8,Nutrients!$EX$9)*AA$7)+(((IF($A$8=Nutrients!$B$79,Nutrients!$EX$79,(IF($A$8=Nutrients!$B$77,Nutrients!$EX$77,Nutrients!$EX$78)))))*AA$8))</f>
        <v>13500</v>
      </c>
      <c r="AB333" s="21">
        <f>(SUMPRODUCT(AB$9:AB$229,Nutrients!$EX$8:$EX$228)+(IF($A$7=Nutrients!$B$8,Nutrients!$EX$8,Nutrients!$EX$9)*AB$7)+(((IF($A$8=Nutrients!$B$79,Nutrients!$EX$79,(IF($A$8=Nutrients!$B$77,Nutrients!$EX$77,Nutrients!$EX$78)))))*AB$8))</f>
        <v>13500</v>
      </c>
      <c r="AD333" s="21">
        <f>(SUMPRODUCT(AD$9:AD$229,Nutrients!$EX$8:$EX$228)+(IF($A$7=Nutrients!$B$8,Nutrients!$EX$8,Nutrients!$EX$9)*AD$7)+(((IF($A$8=Nutrients!$B$79,Nutrients!$EX$79,(IF($A$8=Nutrients!$B$77,Nutrients!$EX$77,Nutrients!$EX$78)))))*AD$8))</f>
        <v>27000</v>
      </c>
      <c r="AE333" s="21">
        <f>(SUMPRODUCT(AE$9:AE$229,Nutrients!$EX$8:$EX$228)+(IF($A$7=Nutrients!$B$8,Nutrients!$EX$8,Nutrients!$EX$9)*AE$7)+(((IF($A$8=Nutrients!$B$79,Nutrients!$EX$79,(IF($A$8=Nutrients!$B$77,Nutrients!$EX$77,Nutrients!$EX$78)))))*AE$8))</f>
        <v>27000</v>
      </c>
      <c r="AF333" s="21">
        <f>(SUMPRODUCT(AF$9:AF$229,Nutrients!$EX$8:$EX$228)+(IF($A$7=Nutrients!$B$8,Nutrients!$EX$8,Nutrients!$EX$9)*AF$7)+(((IF($A$8=Nutrients!$B$79,Nutrients!$EX$79,(IF($A$8=Nutrients!$B$77,Nutrients!$EX$77,Nutrients!$EX$78)))))*AF$8))</f>
        <v>22500</v>
      </c>
      <c r="AG333" s="21">
        <f>(SUMPRODUCT(AG$9:AG$229,Nutrients!$EX$8:$EX$228)+(IF($A$7=Nutrients!$B$8,Nutrients!$EX$8,Nutrients!$EX$9)*AG$7)+(((IF($A$8=Nutrients!$B$79,Nutrients!$EX$79,(IF($A$8=Nutrients!$B$77,Nutrients!$EX$77,Nutrients!$EX$78)))))*AG$8))</f>
        <v>18000</v>
      </c>
      <c r="AH333" s="21">
        <f>(SUMPRODUCT(AH$9:AH$229,Nutrients!$EX$8:$EX$228)+(IF($A$7=Nutrients!$B$8,Nutrients!$EX$8,Nutrients!$EX$9)*AH$7)+(((IF($A$8=Nutrients!$B$79,Nutrients!$EX$79,(IF($A$8=Nutrients!$B$77,Nutrients!$EX$77,Nutrients!$EX$78)))))*AH$8))</f>
        <v>13500</v>
      </c>
      <c r="AI333" s="21">
        <f>(SUMPRODUCT(AI$9:AI$229,Nutrients!$EX$8:$EX$228)+(IF($A$7=Nutrients!$B$8,Nutrients!$EX$8,Nutrients!$EX$9)*AI$7)+(((IF($A$8=Nutrients!$B$79,Nutrients!$EX$79,(IF($A$8=Nutrients!$B$77,Nutrients!$EX$77,Nutrients!$EX$78)))))*AI$8))</f>
        <v>13500</v>
      </c>
      <c r="AK333" s="21">
        <f>(SUMPRODUCT(AK$9:AK$229,Nutrients!$EX$8:$EX$228)+(IF($A$7=Nutrients!$B$8,Nutrients!$EX$8,Nutrients!$EX$9)*AK$7)+(((IF($A$8=Nutrients!$B$79,Nutrients!$EX$79,(IF($A$8=Nutrients!$B$77,Nutrients!$EX$77,Nutrients!$EX$78)))))*AK$8))</f>
        <v>27000</v>
      </c>
      <c r="AL333" s="21">
        <f>(SUMPRODUCT(AL$9:AL$229,Nutrients!$EX$8:$EX$228)+(IF($A$7=Nutrients!$B$8,Nutrients!$EX$8,Nutrients!$EX$9)*AL$7)+(((IF($A$8=Nutrients!$B$79,Nutrients!$EX$79,(IF($A$8=Nutrients!$B$77,Nutrients!$EX$77,Nutrients!$EX$78)))))*AL$8))</f>
        <v>27000</v>
      </c>
      <c r="AM333" s="21">
        <f>(SUMPRODUCT(AM$9:AM$229,Nutrients!$EX$8:$EX$228)+(IF($A$7=Nutrients!$B$8,Nutrients!$EX$8,Nutrients!$EX$9)*AM$7)+(((IF($A$8=Nutrients!$B$79,Nutrients!$EX$79,(IF($A$8=Nutrients!$B$77,Nutrients!$EX$77,Nutrients!$EX$78)))))*AM$8))</f>
        <v>22500</v>
      </c>
      <c r="AN333" s="21">
        <f>(SUMPRODUCT(AN$9:AN$229,Nutrients!$EX$8:$EX$228)+(IF($A$7=Nutrients!$B$8,Nutrients!$EX$8,Nutrients!$EX$9)*AN$7)+(((IF($A$8=Nutrients!$B$79,Nutrients!$EX$79,(IF($A$8=Nutrients!$B$77,Nutrients!$EX$77,Nutrients!$EX$78)))))*AN$8))</f>
        <v>18000</v>
      </c>
      <c r="AO333" s="21">
        <f>(SUMPRODUCT(AO$9:AO$229,Nutrients!$EX$8:$EX$228)+(IF($A$7=Nutrients!$B$8,Nutrients!$EX$8,Nutrients!$EX$9)*AO$7)+(((IF($A$8=Nutrients!$B$79,Nutrients!$EX$79,(IF($A$8=Nutrients!$B$77,Nutrients!$EX$77,Nutrients!$EX$78)))))*AO$8))</f>
        <v>13500</v>
      </c>
      <c r="AP333" s="21">
        <f>(SUMPRODUCT(AP$9:AP$229,Nutrients!$EX$8:$EX$228)+(IF($A$7=Nutrients!$B$8,Nutrients!$EX$8,Nutrients!$EX$9)*AP$7)+(((IF($A$8=Nutrients!$B$79,Nutrients!$EX$79,(IF($A$8=Nutrients!$B$77,Nutrients!$EX$77,Nutrients!$EX$78)))))*AP$8))</f>
        <v>13500</v>
      </c>
      <c r="AR333" s="21">
        <f>(SUMPRODUCT(AR$9:AR$229,Nutrients!$EX$8:$EX$228)+(IF($A$7=Nutrients!$B$8,Nutrients!$EX$8,Nutrients!$EX$9)*AR$7)+(((IF($A$8=Nutrients!$B$79,Nutrients!$EX$79,(IF($A$8=Nutrients!$B$77,Nutrients!$EX$77,Nutrients!$EX$78)))))*AR$8))</f>
        <v>27000</v>
      </c>
      <c r="AS333" s="21">
        <f>(SUMPRODUCT(AS$9:AS$229,Nutrients!$EX$8:$EX$228)+(IF($A$7=Nutrients!$B$8,Nutrients!$EX$8,Nutrients!$EX$9)*AS$7)+(((IF($A$8=Nutrients!$B$79,Nutrients!$EX$79,(IF($A$8=Nutrients!$B$77,Nutrients!$EX$77,Nutrients!$EX$78)))))*AS$8))</f>
        <v>27000</v>
      </c>
      <c r="AT333" s="21">
        <f>(SUMPRODUCT(AT$9:AT$229,Nutrients!$EX$8:$EX$228)+(IF($A$7=Nutrients!$B$8,Nutrients!$EX$8,Nutrients!$EX$9)*AT$7)+(((IF($A$8=Nutrients!$B$79,Nutrients!$EX$79,(IF($A$8=Nutrients!$B$77,Nutrients!$EX$77,Nutrients!$EX$78)))))*AT$8))</f>
        <v>22500</v>
      </c>
      <c r="AU333" s="21">
        <f>(SUMPRODUCT(AU$9:AU$229,Nutrients!$EX$8:$EX$228)+(IF($A$7=Nutrients!$B$8,Nutrients!$EX$8,Nutrients!$EX$9)*AU$7)+(((IF($A$8=Nutrients!$B$79,Nutrients!$EX$79,(IF($A$8=Nutrients!$B$77,Nutrients!$EX$77,Nutrients!$EX$78)))))*AU$8))</f>
        <v>18000</v>
      </c>
      <c r="AV333" s="21">
        <f>(SUMPRODUCT(AV$9:AV$229,Nutrients!$EX$8:$EX$228)+(IF($A$7=Nutrients!$B$8,Nutrients!$EX$8,Nutrients!$EX$9)*AV$7)+(((IF($A$8=Nutrients!$B$79,Nutrients!$EX$79,(IF($A$8=Nutrients!$B$77,Nutrients!$EX$77,Nutrients!$EX$78)))))*AV$8))</f>
        <v>13500</v>
      </c>
      <c r="AW333" s="21">
        <f>(SUMPRODUCT(AW$9:AW$229,Nutrients!$EX$8:$EX$228)+(IF($A$7=Nutrients!$B$8,Nutrients!$EX$8,Nutrients!$EX$9)*AW$7)+(((IF($A$8=Nutrients!$B$79,Nutrients!$EX$79,(IF($A$8=Nutrients!$B$77,Nutrients!$EX$77,Nutrients!$EX$78)))))*AW$8))</f>
        <v>13500</v>
      </c>
    </row>
    <row r="334" spans="1:49" x14ac:dyDescent="0.25">
      <c r="A334" s="34" t="s">
        <v>127</v>
      </c>
      <c r="B334" s="21">
        <f>(SUMPRODUCT(B$9:B$229,Nutrients!$EY$8:$EY$228)+(IF($A$7=Nutrients!$B$8,Nutrients!$EY$8,Nutrients!$EY$9)*B$7)+(((IF($A$8=Nutrients!$B$79,Nutrients!$EY$79,(IF($A$8=Nutrients!$B$77,Nutrients!$EY$77,Nutrients!$EY$78)))))*B$8))</f>
        <v>15000</v>
      </c>
      <c r="C334" s="21">
        <f>(SUMPRODUCT(C$9:C$229,Nutrients!$EY$8:$EY$228)+(IF($A$7=Nutrients!$B$8,Nutrients!$EY$8,Nutrients!$EY$9)*C$7)+(((IF($A$8=Nutrients!$B$79,Nutrients!$EY$79,(IF($A$8=Nutrients!$B$77,Nutrients!$EY$77,Nutrients!$EY$78)))))*C$8))</f>
        <v>15000</v>
      </c>
      <c r="D334" s="21">
        <f>(SUMPRODUCT(D$9:D$229,Nutrients!$EY$8:$EY$228)+(IF($A$7=Nutrients!$B$8,Nutrients!$EY$8,Nutrients!$EY$9)*D$7)+(((IF($A$8=Nutrients!$B$79,Nutrients!$EY$79,(IF($A$8=Nutrients!$B$77,Nutrients!$EY$77,Nutrients!$EY$78)))))*D$8))</f>
        <v>12500</v>
      </c>
      <c r="E334" s="21">
        <f>(SUMPRODUCT(E$9:E$229,Nutrients!$EY$8:$EY$228)+(IF($A$7=Nutrients!$B$8,Nutrients!$EY$8,Nutrients!$EY$9)*E$7)+(((IF($A$8=Nutrients!$B$79,Nutrients!$EY$79,(IF($A$8=Nutrients!$B$77,Nutrients!$EY$77,Nutrients!$EY$78)))))*E$8))</f>
        <v>10000</v>
      </c>
      <c r="F334" s="21">
        <f>(SUMPRODUCT(F$9:F$229,Nutrients!$EY$8:$EY$228)+(IF($A$7=Nutrients!$B$8,Nutrients!$EY$8,Nutrients!$EY$9)*F$7)+(((IF($A$8=Nutrients!$B$79,Nutrients!$EY$79,(IF($A$8=Nutrients!$B$77,Nutrients!$EY$77,Nutrients!$EY$78)))))*F$8))</f>
        <v>7500</v>
      </c>
      <c r="G334" s="21">
        <f>(SUMPRODUCT(G$9:G$229,Nutrients!$EY$8:$EY$228)+(IF($A$7=Nutrients!$B$8,Nutrients!$EY$8,Nutrients!$EY$9)*G$7)+(((IF($A$8=Nutrients!$B$79,Nutrients!$EY$79,(IF($A$8=Nutrients!$B$77,Nutrients!$EY$77,Nutrients!$EY$78)))))*G$8))</f>
        <v>7500</v>
      </c>
      <c r="H334" s="226"/>
      <c r="I334" s="21">
        <f>(SUMPRODUCT(I$9:I$229,Nutrients!$EY$8:$EY$228)+(IF($A$7=Nutrients!$B$8,Nutrients!$EY$8,Nutrients!$EY$9)*I$7)+(((IF($A$8=Nutrients!$B$79,Nutrients!$EY$79,(IF($A$8=Nutrients!$B$77,Nutrients!$EY$77,Nutrients!$EY$78)))))*I$8))</f>
        <v>15000</v>
      </c>
      <c r="J334" s="21">
        <f>(SUMPRODUCT(J$9:J$229,Nutrients!$EY$8:$EY$228)+(IF($A$7=Nutrients!$B$8,Nutrients!$EY$8,Nutrients!$EY$9)*J$7)+(((IF($A$8=Nutrients!$B$79,Nutrients!$EY$79,(IF($A$8=Nutrients!$B$77,Nutrients!$EY$77,Nutrients!$EY$78)))))*J$8))</f>
        <v>15000</v>
      </c>
      <c r="K334" s="21">
        <f>(SUMPRODUCT(K$9:K$229,Nutrients!$EY$8:$EY$228)+(IF($A$7=Nutrients!$B$8,Nutrients!$EY$8,Nutrients!$EY$9)*K$7)+(((IF($A$8=Nutrients!$B$79,Nutrients!$EY$79,(IF($A$8=Nutrients!$B$77,Nutrients!$EY$77,Nutrients!$EY$78)))))*K$8))</f>
        <v>12500</v>
      </c>
      <c r="L334" s="21">
        <f>(SUMPRODUCT(L$9:L$229,Nutrients!$EY$8:$EY$228)+(IF($A$7=Nutrients!$B$8,Nutrients!$EY$8,Nutrients!$EY$9)*L$7)+(((IF($A$8=Nutrients!$B$79,Nutrients!$EY$79,(IF($A$8=Nutrients!$B$77,Nutrients!$EY$77,Nutrients!$EY$78)))))*L$8))</f>
        <v>10000</v>
      </c>
      <c r="M334" s="21">
        <f>(SUMPRODUCT(M$9:M$229,Nutrients!$EY$8:$EY$228)+(IF($A$7=Nutrients!$B$8,Nutrients!$EY$8,Nutrients!$EY$9)*M$7)+(((IF($A$8=Nutrients!$B$79,Nutrients!$EY$79,(IF($A$8=Nutrients!$B$77,Nutrients!$EY$77,Nutrients!$EY$78)))))*M$8))</f>
        <v>7500</v>
      </c>
      <c r="N334" s="21">
        <f>(SUMPRODUCT(N$9:N$229,Nutrients!$EY$8:$EY$228)+(IF($A$7=Nutrients!$B$8,Nutrients!$EY$8,Nutrients!$EY$9)*N$7)+(((IF($A$8=Nutrients!$B$79,Nutrients!$EY$79,(IF($A$8=Nutrients!$B$77,Nutrients!$EY$77,Nutrients!$EY$78)))))*N$8))</f>
        <v>7500</v>
      </c>
      <c r="O334" s="234"/>
      <c r="P334" s="21">
        <f>(SUMPRODUCT(P$9:P$229,Nutrients!$EY$8:$EY$228)+(IF($A$7=Nutrients!$B$8,Nutrients!$EY$8,Nutrients!$EY$9)*P$7)+(((IF($A$8=Nutrients!$B$79,Nutrients!$EY$79,(IF($A$8=Nutrients!$B$77,Nutrients!$EY$77,Nutrients!$EY$78)))))*P$8))</f>
        <v>15000</v>
      </c>
      <c r="Q334" s="21">
        <f>(SUMPRODUCT(Q$9:Q$229,Nutrients!$EY$8:$EY$228)+(IF($A$7=Nutrients!$B$8,Nutrients!$EY$8,Nutrients!$EY$9)*Q$7)+(((IF($A$8=Nutrients!$B$79,Nutrients!$EY$79,(IF($A$8=Nutrients!$B$77,Nutrients!$EY$77,Nutrients!$EY$78)))))*Q$8))</f>
        <v>15000</v>
      </c>
      <c r="R334" s="21">
        <f>(SUMPRODUCT(R$9:R$229,Nutrients!$EY$8:$EY$228)+(IF($A$7=Nutrients!$B$8,Nutrients!$EY$8,Nutrients!$EY$9)*R$7)+(((IF($A$8=Nutrients!$B$79,Nutrients!$EY$79,(IF($A$8=Nutrients!$B$77,Nutrients!$EY$77,Nutrients!$EY$78)))))*R$8))</f>
        <v>12500</v>
      </c>
      <c r="S334" s="21">
        <f>(SUMPRODUCT(S$9:S$229,Nutrients!$EY$8:$EY$228)+(IF($A$7=Nutrients!$B$8,Nutrients!$EY$8,Nutrients!$EY$9)*S$7)+(((IF($A$8=Nutrients!$B$79,Nutrients!$EY$79,(IF($A$8=Nutrients!$B$77,Nutrients!$EY$77,Nutrients!$EY$78)))))*S$8))</f>
        <v>10000</v>
      </c>
      <c r="T334" s="21">
        <f>(SUMPRODUCT(T$9:T$229,Nutrients!$EY$8:$EY$228)+(IF($A$7=Nutrients!$B$8,Nutrients!$EY$8,Nutrients!$EY$9)*T$7)+(((IF($A$8=Nutrients!$B$79,Nutrients!$EY$79,(IF($A$8=Nutrients!$B$77,Nutrients!$EY$77,Nutrients!$EY$78)))))*T$8))</f>
        <v>7500</v>
      </c>
      <c r="U334" s="21">
        <f>(SUMPRODUCT(U$9:U$229,Nutrients!$EY$8:$EY$228)+(IF($A$7=Nutrients!$B$8,Nutrients!$EY$8,Nutrients!$EY$9)*U$7)+(((IF($A$8=Nutrients!$B$79,Nutrients!$EY$79,(IF($A$8=Nutrients!$B$77,Nutrients!$EY$77,Nutrients!$EY$78)))))*U$8))</f>
        <v>7500</v>
      </c>
      <c r="W334" s="21">
        <f>(SUMPRODUCT(W$9:W$229,Nutrients!$EY$8:$EY$228)+(IF($A$7=Nutrients!$B$8,Nutrients!$EY$8,Nutrients!$EY$9)*W$7)+(((IF($A$8=Nutrients!$B$79,Nutrients!$EY$79,(IF($A$8=Nutrients!$B$77,Nutrients!$EY$77,Nutrients!$EY$78)))))*W$8))</f>
        <v>15000</v>
      </c>
      <c r="X334" s="21">
        <f>(SUMPRODUCT(X$9:X$229,Nutrients!$EY$8:$EY$228)+(IF($A$7=Nutrients!$B$8,Nutrients!$EY$8,Nutrients!$EY$9)*X$7)+(((IF($A$8=Nutrients!$B$79,Nutrients!$EY$79,(IF($A$8=Nutrients!$B$77,Nutrients!$EY$77,Nutrients!$EY$78)))))*X$8))</f>
        <v>15000</v>
      </c>
      <c r="Y334" s="21">
        <f>(SUMPRODUCT(Y$9:Y$229,Nutrients!$EY$8:$EY$228)+(IF($A$7=Nutrients!$B$8,Nutrients!$EY$8,Nutrients!$EY$9)*Y$7)+(((IF($A$8=Nutrients!$B$79,Nutrients!$EY$79,(IF($A$8=Nutrients!$B$77,Nutrients!$EY$77,Nutrients!$EY$78)))))*Y$8))</f>
        <v>12500</v>
      </c>
      <c r="Z334" s="21">
        <f>(SUMPRODUCT(Z$9:Z$229,Nutrients!$EY$8:$EY$228)+(IF($A$7=Nutrients!$B$8,Nutrients!$EY$8,Nutrients!$EY$9)*Z$7)+(((IF($A$8=Nutrients!$B$79,Nutrients!$EY$79,(IF($A$8=Nutrients!$B$77,Nutrients!$EY$77,Nutrients!$EY$78)))))*Z$8))</f>
        <v>10000</v>
      </c>
      <c r="AA334" s="21">
        <f>(SUMPRODUCT(AA$9:AA$229,Nutrients!$EY$8:$EY$228)+(IF($A$7=Nutrients!$B$8,Nutrients!$EY$8,Nutrients!$EY$9)*AA$7)+(((IF($A$8=Nutrients!$B$79,Nutrients!$EY$79,(IF($A$8=Nutrients!$B$77,Nutrients!$EY$77,Nutrients!$EY$78)))))*AA$8))</f>
        <v>7500</v>
      </c>
      <c r="AB334" s="21">
        <f>(SUMPRODUCT(AB$9:AB$229,Nutrients!$EY$8:$EY$228)+(IF($A$7=Nutrients!$B$8,Nutrients!$EY$8,Nutrients!$EY$9)*AB$7)+(((IF($A$8=Nutrients!$B$79,Nutrients!$EY$79,(IF($A$8=Nutrients!$B$77,Nutrients!$EY$77,Nutrients!$EY$78)))))*AB$8))</f>
        <v>7500</v>
      </c>
      <c r="AD334" s="21">
        <f>(SUMPRODUCT(AD$9:AD$229,Nutrients!$EY$8:$EY$228)+(IF($A$7=Nutrients!$B$8,Nutrients!$EY$8,Nutrients!$EY$9)*AD$7)+(((IF($A$8=Nutrients!$B$79,Nutrients!$EY$79,(IF($A$8=Nutrients!$B$77,Nutrients!$EY$77,Nutrients!$EY$78)))))*AD$8))</f>
        <v>15000</v>
      </c>
      <c r="AE334" s="21">
        <f>(SUMPRODUCT(AE$9:AE$229,Nutrients!$EY$8:$EY$228)+(IF($A$7=Nutrients!$B$8,Nutrients!$EY$8,Nutrients!$EY$9)*AE$7)+(((IF($A$8=Nutrients!$B$79,Nutrients!$EY$79,(IF($A$8=Nutrients!$B$77,Nutrients!$EY$77,Nutrients!$EY$78)))))*AE$8))</f>
        <v>15000</v>
      </c>
      <c r="AF334" s="21">
        <f>(SUMPRODUCT(AF$9:AF$229,Nutrients!$EY$8:$EY$228)+(IF($A$7=Nutrients!$B$8,Nutrients!$EY$8,Nutrients!$EY$9)*AF$7)+(((IF($A$8=Nutrients!$B$79,Nutrients!$EY$79,(IF($A$8=Nutrients!$B$77,Nutrients!$EY$77,Nutrients!$EY$78)))))*AF$8))</f>
        <v>12500</v>
      </c>
      <c r="AG334" s="21">
        <f>(SUMPRODUCT(AG$9:AG$229,Nutrients!$EY$8:$EY$228)+(IF($A$7=Nutrients!$B$8,Nutrients!$EY$8,Nutrients!$EY$9)*AG$7)+(((IF($A$8=Nutrients!$B$79,Nutrients!$EY$79,(IF($A$8=Nutrients!$B$77,Nutrients!$EY$77,Nutrients!$EY$78)))))*AG$8))</f>
        <v>10000</v>
      </c>
      <c r="AH334" s="21">
        <f>(SUMPRODUCT(AH$9:AH$229,Nutrients!$EY$8:$EY$228)+(IF($A$7=Nutrients!$B$8,Nutrients!$EY$8,Nutrients!$EY$9)*AH$7)+(((IF($A$8=Nutrients!$B$79,Nutrients!$EY$79,(IF($A$8=Nutrients!$B$77,Nutrients!$EY$77,Nutrients!$EY$78)))))*AH$8))</f>
        <v>7500</v>
      </c>
      <c r="AI334" s="21">
        <f>(SUMPRODUCT(AI$9:AI$229,Nutrients!$EY$8:$EY$228)+(IF($A$7=Nutrients!$B$8,Nutrients!$EY$8,Nutrients!$EY$9)*AI$7)+(((IF($A$8=Nutrients!$B$79,Nutrients!$EY$79,(IF($A$8=Nutrients!$B$77,Nutrients!$EY$77,Nutrients!$EY$78)))))*AI$8))</f>
        <v>7500</v>
      </c>
      <c r="AK334" s="21">
        <f>(SUMPRODUCT(AK$9:AK$229,Nutrients!$EY$8:$EY$228)+(IF($A$7=Nutrients!$B$8,Nutrients!$EY$8,Nutrients!$EY$9)*AK$7)+(((IF($A$8=Nutrients!$B$79,Nutrients!$EY$79,(IF($A$8=Nutrients!$B$77,Nutrients!$EY$77,Nutrients!$EY$78)))))*AK$8))</f>
        <v>15000</v>
      </c>
      <c r="AL334" s="21">
        <f>(SUMPRODUCT(AL$9:AL$229,Nutrients!$EY$8:$EY$228)+(IF($A$7=Nutrients!$B$8,Nutrients!$EY$8,Nutrients!$EY$9)*AL$7)+(((IF($A$8=Nutrients!$B$79,Nutrients!$EY$79,(IF($A$8=Nutrients!$B$77,Nutrients!$EY$77,Nutrients!$EY$78)))))*AL$8))</f>
        <v>15000</v>
      </c>
      <c r="AM334" s="21">
        <f>(SUMPRODUCT(AM$9:AM$229,Nutrients!$EY$8:$EY$228)+(IF($A$7=Nutrients!$B$8,Nutrients!$EY$8,Nutrients!$EY$9)*AM$7)+(((IF($A$8=Nutrients!$B$79,Nutrients!$EY$79,(IF($A$8=Nutrients!$B$77,Nutrients!$EY$77,Nutrients!$EY$78)))))*AM$8))</f>
        <v>12500</v>
      </c>
      <c r="AN334" s="21">
        <f>(SUMPRODUCT(AN$9:AN$229,Nutrients!$EY$8:$EY$228)+(IF($A$7=Nutrients!$B$8,Nutrients!$EY$8,Nutrients!$EY$9)*AN$7)+(((IF($A$8=Nutrients!$B$79,Nutrients!$EY$79,(IF($A$8=Nutrients!$B$77,Nutrients!$EY$77,Nutrients!$EY$78)))))*AN$8))</f>
        <v>10000</v>
      </c>
      <c r="AO334" s="21">
        <f>(SUMPRODUCT(AO$9:AO$229,Nutrients!$EY$8:$EY$228)+(IF($A$7=Nutrients!$B$8,Nutrients!$EY$8,Nutrients!$EY$9)*AO$7)+(((IF($A$8=Nutrients!$B$79,Nutrients!$EY$79,(IF($A$8=Nutrients!$B$77,Nutrients!$EY$77,Nutrients!$EY$78)))))*AO$8))</f>
        <v>7500</v>
      </c>
      <c r="AP334" s="21">
        <f>(SUMPRODUCT(AP$9:AP$229,Nutrients!$EY$8:$EY$228)+(IF($A$7=Nutrients!$B$8,Nutrients!$EY$8,Nutrients!$EY$9)*AP$7)+(((IF($A$8=Nutrients!$B$79,Nutrients!$EY$79,(IF($A$8=Nutrients!$B$77,Nutrients!$EY$77,Nutrients!$EY$78)))))*AP$8))</f>
        <v>7500</v>
      </c>
      <c r="AR334" s="21">
        <f>(SUMPRODUCT(AR$9:AR$229,Nutrients!$EY$8:$EY$228)+(IF($A$7=Nutrients!$B$8,Nutrients!$EY$8,Nutrients!$EY$9)*AR$7)+(((IF($A$8=Nutrients!$B$79,Nutrients!$EY$79,(IF($A$8=Nutrients!$B$77,Nutrients!$EY$77,Nutrients!$EY$78)))))*AR$8))</f>
        <v>15000</v>
      </c>
      <c r="AS334" s="21">
        <f>(SUMPRODUCT(AS$9:AS$229,Nutrients!$EY$8:$EY$228)+(IF($A$7=Nutrients!$B$8,Nutrients!$EY$8,Nutrients!$EY$9)*AS$7)+(((IF($A$8=Nutrients!$B$79,Nutrients!$EY$79,(IF($A$8=Nutrients!$B$77,Nutrients!$EY$77,Nutrients!$EY$78)))))*AS$8))</f>
        <v>15000</v>
      </c>
      <c r="AT334" s="21">
        <f>(SUMPRODUCT(AT$9:AT$229,Nutrients!$EY$8:$EY$228)+(IF($A$7=Nutrients!$B$8,Nutrients!$EY$8,Nutrients!$EY$9)*AT$7)+(((IF($A$8=Nutrients!$B$79,Nutrients!$EY$79,(IF($A$8=Nutrients!$B$77,Nutrients!$EY$77,Nutrients!$EY$78)))))*AT$8))</f>
        <v>12500</v>
      </c>
      <c r="AU334" s="21">
        <f>(SUMPRODUCT(AU$9:AU$229,Nutrients!$EY$8:$EY$228)+(IF($A$7=Nutrients!$B$8,Nutrients!$EY$8,Nutrients!$EY$9)*AU$7)+(((IF($A$8=Nutrients!$B$79,Nutrients!$EY$79,(IF($A$8=Nutrients!$B$77,Nutrients!$EY$77,Nutrients!$EY$78)))))*AU$8))</f>
        <v>10000</v>
      </c>
      <c r="AV334" s="21">
        <f>(SUMPRODUCT(AV$9:AV$229,Nutrients!$EY$8:$EY$228)+(IF($A$7=Nutrients!$B$8,Nutrients!$EY$8,Nutrients!$EY$9)*AV$7)+(((IF($A$8=Nutrients!$B$79,Nutrients!$EY$79,(IF($A$8=Nutrients!$B$77,Nutrients!$EY$77,Nutrients!$EY$78)))))*AV$8))</f>
        <v>7500</v>
      </c>
      <c r="AW334" s="21">
        <f>(SUMPRODUCT(AW$9:AW$229,Nutrients!$EY$8:$EY$228)+(IF($A$7=Nutrients!$B$8,Nutrients!$EY$8,Nutrients!$EY$9)*AW$7)+(((IF($A$8=Nutrients!$B$79,Nutrients!$EY$79,(IF($A$8=Nutrients!$B$77,Nutrients!$EY$77,Nutrients!$EY$78)))))*AW$8))</f>
        <v>7500</v>
      </c>
    </row>
    <row r="335" spans="1:49" x14ac:dyDescent="0.25">
      <c r="A335" s="34" t="s">
        <v>128</v>
      </c>
      <c r="B335" s="21">
        <f>(SUMPRODUCT(B$9:B$229,Nutrients!$EZ$8:$EZ$228)+(IF($A$7=Nutrients!$B$8,Nutrients!$EZ$8,Nutrients!$EZ$9)*B$7)+(((IF($A$8=Nutrients!$B$79,Nutrients!$EZ$79,(IF($A$8=Nutrients!$B$77,Nutrients!$EZ$77,Nutrients!$EZ$78)))))*B$8))</f>
        <v>4500</v>
      </c>
      <c r="C335" s="21">
        <f>(SUMPRODUCT(C$9:C$229,Nutrients!$EZ$8:$EZ$228)+(IF($A$7=Nutrients!$B$8,Nutrients!$EZ$8,Nutrients!$EZ$9)*C$7)+(((IF($A$8=Nutrients!$B$79,Nutrients!$EZ$79,(IF($A$8=Nutrients!$B$77,Nutrients!$EZ$77,Nutrients!$EZ$78)))))*C$8))</f>
        <v>4500</v>
      </c>
      <c r="D335" s="21">
        <f>(SUMPRODUCT(D$9:D$229,Nutrients!$EZ$8:$EZ$228)+(IF($A$7=Nutrients!$B$8,Nutrients!$EZ$8,Nutrients!$EZ$9)*D$7)+(((IF($A$8=Nutrients!$B$79,Nutrients!$EZ$79,(IF($A$8=Nutrients!$B$77,Nutrients!$EZ$77,Nutrients!$EZ$78)))))*D$8))</f>
        <v>3750</v>
      </c>
      <c r="E335" s="21">
        <f>(SUMPRODUCT(E$9:E$229,Nutrients!$EZ$8:$EZ$228)+(IF($A$7=Nutrients!$B$8,Nutrients!$EZ$8,Nutrients!$EZ$9)*E$7)+(((IF($A$8=Nutrients!$B$79,Nutrients!$EZ$79,(IF($A$8=Nutrients!$B$77,Nutrients!$EZ$77,Nutrients!$EZ$78)))))*E$8))</f>
        <v>3000</v>
      </c>
      <c r="F335" s="21">
        <f>(SUMPRODUCT(F$9:F$229,Nutrients!$EZ$8:$EZ$228)+(IF($A$7=Nutrients!$B$8,Nutrients!$EZ$8,Nutrients!$EZ$9)*F$7)+(((IF($A$8=Nutrients!$B$79,Nutrients!$EZ$79,(IF($A$8=Nutrients!$B$77,Nutrients!$EZ$77,Nutrients!$EZ$78)))))*F$8))</f>
        <v>2250</v>
      </c>
      <c r="G335" s="21">
        <f>(SUMPRODUCT(G$9:G$229,Nutrients!$EZ$8:$EZ$228)+(IF($A$7=Nutrients!$B$8,Nutrients!$EZ$8,Nutrients!$EZ$9)*G$7)+(((IF($A$8=Nutrients!$B$79,Nutrients!$EZ$79,(IF($A$8=Nutrients!$B$77,Nutrients!$EZ$77,Nutrients!$EZ$78)))))*G$8))</f>
        <v>2250</v>
      </c>
      <c r="H335" s="226"/>
      <c r="I335" s="21">
        <f>(SUMPRODUCT(I$9:I$229,Nutrients!$EZ$8:$EZ$228)+(IF($A$7=Nutrients!$B$8,Nutrients!$EZ$8,Nutrients!$EZ$9)*I$7)+(((IF($A$8=Nutrients!$B$79,Nutrients!$EZ$79,(IF($A$8=Nutrients!$B$77,Nutrients!$EZ$77,Nutrients!$EZ$78)))))*I$8))</f>
        <v>4500</v>
      </c>
      <c r="J335" s="21">
        <f>(SUMPRODUCT(J$9:J$229,Nutrients!$EZ$8:$EZ$228)+(IF($A$7=Nutrients!$B$8,Nutrients!$EZ$8,Nutrients!$EZ$9)*J$7)+(((IF($A$8=Nutrients!$B$79,Nutrients!$EZ$79,(IF($A$8=Nutrients!$B$77,Nutrients!$EZ$77,Nutrients!$EZ$78)))))*J$8))</f>
        <v>4500</v>
      </c>
      <c r="K335" s="21">
        <f>(SUMPRODUCT(K$9:K$229,Nutrients!$EZ$8:$EZ$228)+(IF($A$7=Nutrients!$B$8,Nutrients!$EZ$8,Nutrients!$EZ$9)*K$7)+(((IF($A$8=Nutrients!$B$79,Nutrients!$EZ$79,(IF($A$8=Nutrients!$B$77,Nutrients!$EZ$77,Nutrients!$EZ$78)))))*K$8))</f>
        <v>3750</v>
      </c>
      <c r="L335" s="21">
        <f>(SUMPRODUCT(L$9:L$229,Nutrients!$EZ$8:$EZ$228)+(IF($A$7=Nutrients!$B$8,Nutrients!$EZ$8,Nutrients!$EZ$9)*L$7)+(((IF($A$8=Nutrients!$B$79,Nutrients!$EZ$79,(IF($A$8=Nutrients!$B$77,Nutrients!$EZ$77,Nutrients!$EZ$78)))))*L$8))</f>
        <v>3000</v>
      </c>
      <c r="M335" s="21">
        <f>(SUMPRODUCT(M$9:M$229,Nutrients!$EZ$8:$EZ$228)+(IF($A$7=Nutrients!$B$8,Nutrients!$EZ$8,Nutrients!$EZ$9)*M$7)+(((IF($A$8=Nutrients!$B$79,Nutrients!$EZ$79,(IF($A$8=Nutrients!$B$77,Nutrients!$EZ$77,Nutrients!$EZ$78)))))*M$8))</f>
        <v>2250</v>
      </c>
      <c r="N335" s="21">
        <f>(SUMPRODUCT(N$9:N$229,Nutrients!$EZ$8:$EZ$228)+(IF($A$7=Nutrients!$B$8,Nutrients!$EZ$8,Nutrients!$EZ$9)*N$7)+(((IF($A$8=Nutrients!$B$79,Nutrients!$EZ$79,(IF($A$8=Nutrients!$B$77,Nutrients!$EZ$77,Nutrients!$EZ$78)))))*N$8))</f>
        <v>2250</v>
      </c>
      <c r="O335" s="234"/>
      <c r="P335" s="21">
        <f>(SUMPRODUCT(P$9:P$229,Nutrients!$EZ$8:$EZ$228)+(IF($A$7=Nutrients!$B$8,Nutrients!$EZ$8,Nutrients!$EZ$9)*P$7)+(((IF($A$8=Nutrients!$B$79,Nutrients!$EZ$79,(IF($A$8=Nutrients!$B$77,Nutrients!$EZ$77,Nutrients!$EZ$78)))))*P$8))</f>
        <v>4500</v>
      </c>
      <c r="Q335" s="21">
        <f>(SUMPRODUCT(Q$9:Q$229,Nutrients!$EZ$8:$EZ$228)+(IF($A$7=Nutrients!$B$8,Nutrients!$EZ$8,Nutrients!$EZ$9)*Q$7)+(((IF($A$8=Nutrients!$B$79,Nutrients!$EZ$79,(IF($A$8=Nutrients!$B$77,Nutrients!$EZ$77,Nutrients!$EZ$78)))))*Q$8))</f>
        <v>4500</v>
      </c>
      <c r="R335" s="21">
        <f>(SUMPRODUCT(R$9:R$229,Nutrients!$EZ$8:$EZ$228)+(IF($A$7=Nutrients!$B$8,Nutrients!$EZ$8,Nutrients!$EZ$9)*R$7)+(((IF($A$8=Nutrients!$B$79,Nutrients!$EZ$79,(IF($A$8=Nutrients!$B$77,Nutrients!$EZ$77,Nutrients!$EZ$78)))))*R$8))</f>
        <v>3750</v>
      </c>
      <c r="S335" s="21">
        <f>(SUMPRODUCT(S$9:S$229,Nutrients!$EZ$8:$EZ$228)+(IF($A$7=Nutrients!$B$8,Nutrients!$EZ$8,Nutrients!$EZ$9)*S$7)+(((IF($A$8=Nutrients!$B$79,Nutrients!$EZ$79,(IF($A$8=Nutrients!$B$77,Nutrients!$EZ$77,Nutrients!$EZ$78)))))*S$8))</f>
        <v>3000</v>
      </c>
      <c r="T335" s="21">
        <f>(SUMPRODUCT(T$9:T$229,Nutrients!$EZ$8:$EZ$228)+(IF($A$7=Nutrients!$B$8,Nutrients!$EZ$8,Nutrients!$EZ$9)*T$7)+(((IF($A$8=Nutrients!$B$79,Nutrients!$EZ$79,(IF($A$8=Nutrients!$B$77,Nutrients!$EZ$77,Nutrients!$EZ$78)))))*T$8))</f>
        <v>2250</v>
      </c>
      <c r="U335" s="21">
        <f>(SUMPRODUCT(U$9:U$229,Nutrients!$EZ$8:$EZ$228)+(IF($A$7=Nutrients!$B$8,Nutrients!$EZ$8,Nutrients!$EZ$9)*U$7)+(((IF($A$8=Nutrients!$B$79,Nutrients!$EZ$79,(IF($A$8=Nutrients!$B$77,Nutrients!$EZ$77,Nutrients!$EZ$78)))))*U$8))</f>
        <v>2250</v>
      </c>
      <c r="W335" s="21">
        <f>(SUMPRODUCT(W$9:W$229,Nutrients!$EZ$8:$EZ$228)+(IF($A$7=Nutrients!$B$8,Nutrients!$EZ$8,Nutrients!$EZ$9)*W$7)+(((IF($A$8=Nutrients!$B$79,Nutrients!$EZ$79,(IF($A$8=Nutrients!$B$77,Nutrients!$EZ$77,Nutrients!$EZ$78)))))*W$8))</f>
        <v>4500</v>
      </c>
      <c r="X335" s="21">
        <f>(SUMPRODUCT(X$9:X$229,Nutrients!$EZ$8:$EZ$228)+(IF($A$7=Nutrients!$B$8,Nutrients!$EZ$8,Nutrients!$EZ$9)*X$7)+(((IF($A$8=Nutrients!$B$79,Nutrients!$EZ$79,(IF($A$8=Nutrients!$B$77,Nutrients!$EZ$77,Nutrients!$EZ$78)))))*X$8))</f>
        <v>4500</v>
      </c>
      <c r="Y335" s="21">
        <f>(SUMPRODUCT(Y$9:Y$229,Nutrients!$EZ$8:$EZ$228)+(IF($A$7=Nutrients!$B$8,Nutrients!$EZ$8,Nutrients!$EZ$9)*Y$7)+(((IF($A$8=Nutrients!$B$79,Nutrients!$EZ$79,(IF($A$8=Nutrients!$B$77,Nutrients!$EZ$77,Nutrients!$EZ$78)))))*Y$8))</f>
        <v>3750</v>
      </c>
      <c r="Z335" s="21">
        <f>(SUMPRODUCT(Z$9:Z$229,Nutrients!$EZ$8:$EZ$228)+(IF($A$7=Nutrients!$B$8,Nutrients!$EZ$8,Nutrients!$EZ$9)*Z$7)+(((IF($A$8=Nutrients!$B$79,Nutrients!$EZ$79,(IF($A$8=Nutrients!$B$77,Nutrients!$EZ$77,Nutrients!$EZ$78)))))*Z$8))</f>
        <v>3000</v>
      </c>
      <c r="AA335" s="21">
        <f>(SUMPRODUCT(AA$9:AA$229,Nutrients!$EZ$8:$EZ$228)+(IF($A$7=Nutrients!$B$8,Nutrients!$EZ$8,Nutrients!$EZ$9)*AA$7)+(((IF($A$8=Nutrients!$B$79,Nutrients!$EZ$79,(IF($A$8=Nutrients!$B$77,Nutrients!$EZ$77,Nutrients!$EZ$78)))))*AA$8))</f>
        <v>2250</v>
      </c>
      <c r="AB335" s="21">
        <f>(SUMPRODUCT(AB$9:AB$229,Nutrients!$EZ$8:$EZ$228)+(IF($A$7=Nutrients!$B$8,Nutrients!$EZ$8,Nutrients!$EZ$9)*AB$7)+(((IF($A$8=Nutrients!$B$79,Nutrients!$EZ$79,(IF($A$8=Nutrients!$B$77,Nutrients!$EZ$77,Nutrients!$EZ$78)))))*AB$8))</f>
        <v>2250</v>
      </c>
      <c r="AD335" s="21">
        <f>(SUMPRODUCT(AD$9:AD$229,Nutrients!$EZ$8:$EZ$228)+(IF($A$7=Nutrients!$B$8,Nutrients!$EZ$8,Nutrients!$EZ$9)*AD$7)+(((IF($A$8=Nutrients!$B$79,Nutrients!$EZ$79,(IF($A$8=Nutrients!$B$77,Nutrients!$EZ$77,Nutrients!$EZ$78)))))*AD$8))</f>
        <v>4500</v>
      </c>
      <c r="AE335" s="21">
        <f>(SUMPRODUCT(AE$9:AE$229,Nutrients!$EZ$8:$EZ$228)+(IF($A$7=Nutrients!$B$8,Nutrients!$EZ$8,Nutrients!$EZ$9)*AE$7)+(((IF($A$8=Nutrients!$B$79,Nutrients!$EZ$79,(IF($A$8=Nutrients!$B$77,Nutrients!$EZ$77,Nutrients!$EZ$78)))))*AE$8))</f>
        <v>4500</v>
      </c>
      <c r="AF335" s="21">
        <f>(SUMPRODUCT(AF$9:AF$229,Nutrients!$EZ$8:$EZ$228)+(IF($A$7=Nutrients!$B$8,Nutrients!$EZ$8,Nutrients!$EZ$9)*AF$7)+(((IF($A$8=Nutrients!$B$79,Nutrients!$EZ$79,(IF($A$8=Nutrients!$B$77,Nutrients!$EZ$77,Nutrients!$EZ$78)))))*AF$8))</f>
        <v>3750</v>
      </c>
      <c r="AG335" s="21">
        <f>(SUMPRODUCT(AG$9:AG$229,Nutrients!$EZ$8:$EZ$228)+(IF($A$7=Nutrients!$B$8,Nutrients!$EZ$8,Nutrients!$EZ$9)*AG$7)+(((IF($A$8=Nutrients!$B$79,Nutrients!$EZ$79,(IF($A$8=Nutrients!$B$77,Nutrients!$EZ$77,Nutrients!$EZ$78)))))*AG$8))</f>
        <v>3000</v>
      </c>
      <c r="AH335" s="21">
        <f>(SUMPRODUCT(AH$9:AH$229,Nutrients!$EZ$8:$EZ$228)+(IF($A$7=Nutrients!$B$8,Nutrients!$EZ$8,Nutrients!$EZ$9)*AH$7)+(((IF($A$8=Nutrients!$B$79,Nutrients!$EZ$79,(IF($A$8=Nutrients!$B$77,Nutrients!$EZ$77,Nutrients!$EZ$78)))))*AH$8))</f>
        <v>2250</v>
      </c>
      <c r="AI335" s="21">
        <f>(SUMPRODUCT(AI$9:AI$229,Nutrients!$EZ$8:$EZ$228)+(IF($A$7=Nutrients!$B$8,Nutrients!$EZ$8,Nutrients!$EZ$9)*AI$7)+(((IF($A$8=Nutrients!$B$79,Nutrients!$EZ$79,(IF($A$8=Nutrients!$B$77,Nutrients!$EZ$77,Nutrients!$EZ$78)))))*AI$8))</f>
        <v>2250</v>
      </c>
      <c r="AK335" s="21">
        <f>(SUMPRODUCT(AK$9:AK$229,Nutrients!$EZ$8:$EZ$228)+(IF($A$7=Nutrients!$B$8,Nutrients!$EZ$8,Nutrients!$EZ$9)*AK$7)+(((IF($A$8=Nutrients!$B$79,Nutrients!$EZ$79,(IF($A$8=Nutrients!$B$77,Nutrients!$EZ$77,Nutrients!$EZ$78)))))*AK$8))</f>
        <v>4500</v>
      </c>
      <c r="AL335" s="21">
        <f>(SUMPRODUCT(AL$9:AL$229,Nutrients!$EZ$8:$EZ$228)+(IF($A$7=Nutrients!$B$8,Nutrients!$EZ$8,Nutrients!$EZ$9)*AL$7)+(((IF($A$8=Nutrients!$B$79,Nutrients!$EZ$79,(IF($A$8=Nutrients!$B$77,Nutrients!$EZ$77,Nutrients!$EZ$78)))))*AL$8))</f>
        <v>4500</v>
      </c>
      <c r="AM335" s="21">
        <f>(SUMPRODUCT(AM$9:AM$229,Nutrients!$EZ$8:$EZ$228)+(IF($A$7=Nutrients!$B$8,Nutrients!$EZ$8,Nutrients!$EZ$9)*AM$7)+(((IF($A$8=Nutrients!$B$79,Nutrients!$EZ$79,(IF($A$8=Nutrients!$B$77,Nutrients!$EZ$77,Nutrients!$EZ$78)))))*AM$8))</f>
        <v>3750</v>
      </c>
      <c r="AN335" s="21">
        <f>(SUMPRODUCT(AN$9:AN$229,Nutrients!$EZ$8:$EZ$228)+(IF($A$7=Nutrients!$B$8,Nutrients!$EZ$8,Nutrients!$EZ$9)*AN$7)+(((IF($A$8=Nutrients!$B$79,Nutrients!$EZ$79,(IF($A$8=Nutrients!$B$77,Nutrients!$EZ$77,Nutrients!$EZ$78)))))*AN$8))</f>
        <v>3000</v>
      </c>
      <c r="AO335" s="21">
        <f>(SUMPRODUCT(AO$9:AO$229,Nutrients!$EZ$8:$EZ$228)+(IF($A$7=Nutrients!$B$8,Nutrients!$EZ$8,Nutrients!$EZ$9)*AO$7)+(((IF($A$8=Nutrients!$B$79,Nutrients!$EZ$79,(IF($A$8=Nutrients!$B$77,Nutrients!$EZ$77,Nutrients!$EZ$78)))))*AO$8))</f>
        <v>2250</v>
      </c>
      <c r="AP335" s="21">
        <f>(SUMPRODUCT(AP$9:AP$229,Nutrients!$EZ$8:$EZ$228)+(IF($A$7=Nutrients!$B$8,Nutrients!$EZ$8,Nutrients!$EZ$9)*AP$7)+(((IF($A$8=Nutrients!$B$79,Nutrients!$EZ$79,(IF($A$8=Nutrients!$B$77,Nutrients!$EZ$77,Nutrients!$EZ$78)))))*AP$8))</f>
        <v>2250</v>
      </c>
      <c r="AR335" s="21">
        <f>(SUMPRODUCT(AR$9:AR$229,Nutrients!$EZ$8:$EZ$228)+(IF($A$7=Nutrients!$B$8,Nutrients!$EZ$8,Nutrients!$EZ$9)*AR$7)+(((IF($A$8=Nutrients!$B$79,Nutrients!$EZ$79,(IF($A$8=Nutrients!$B$77,Nutrients!$EZ$77,Nutrients!$EZ$78)))))*AR$8))</f>
        <v>4500</v>
      </c>
      <c r="AS335" s="21">
        <f>(SUMPRODUCT(AS$9:AS$229,Nutrients!$EZ$8:$EZ$228)+(IF($A$7=Nutrients!$B$8,Nutrients!$EZ$8,Nutrients!$EZ$9)*AS$7)+(((IF($A$8=Nutrients!$B$79,Nutrients!$EZ$79,(IF($A$8=Nutrients!$B$77,Nutrients!$EZ$77,Nutrients!$EZ$78)))))*AS$8))</f>
        <v>4500</v>
      </c>
      <c r="AT335" s="21">
        <f>(SUMPRODUCT(AT$9:AT$229,Nutrients!$EZ$8:$EZ$228)+(IF($A$7=Nutrients!$B$8,Nutrients!$EZ$8,Nutrients!$EZ$9)*AT$7)+(((IF($A$8=Nutrients!$B$79,Nutrients!$EZ$79,(IF($A$8=Nutrients!$B$77,Nutrients!$EZ$77,Nutrients!$EZ$78)))))*AT$8))</f>
        <v>3750</v>
      </c>
      <c r="AU335" s="21">
        <f>(SUMPRODUCT(AU$9:AU$229,Nutrients!$EZ$8:$EZ$228)+(IF($A$7=Nutrients!$B$8,Nutrients!$EZ$8,Nutrients!$EZ$9)*AU$7)+(((IF($A$8=Nutrients!$B$79,Nutrients!$EZ$79,(IF($A$8=Nutrients!$B$77,Nutrients!$EZ$77,Nutrients!$EZ$78)))))*AU$8))</f>
        <v>3000</v>
      </c>
      <c r="AV335" s="21">
        <f>(SUMPRODUCT(AV$9:AV$229,Nutrients!$EZ$8:$EZ$228)+(IF($A$7=Nutrients!$B$8,Nutrients!$EZ$8,Nutrients!$EZ$9)*AV$7)+(((IF($A$8=Nutrients!$B$79,Nutrients!$EZ$79,(IF($A$8=Nutrients!$B$77,Nutrients!$EZ$77,Nutrients!$EZ$78)))))*AV$8))</f>
        <v>2250</v>
      </c>
      <c r="AW335" s="21">
        <f>(SUMPRODUCT(AW$9:AW$229,Nutrients!$EZ$8:$EZ$228)+(IF($A$7=Nutrients!$B$8,Nutrients!$EZ$8,Nutrients!$EZ$9)*AW$7)+(((IF($A$8=Nutrients!$B$79,Nutrients!$EZ$79,(IF($A$8=Nutrients!$B$77,Nutrients!$EZ$77,Nutrients!$EZ$78)))))*AW$8))</f>
        <v>2250</v>
      </c>
    </row>
    <row r="336" spans="1:49" x14ac:dyDescent="0.25">
      <c r="A336" s="34" t="s">
        <v>129</v>
      </c>
      <c r="B336" s="21">
        <f>(SUMPRODUCT(B$9:B$229,Nutrients!$FA$8:$FA$228)+(IF($A$7=Nutrients!$B$8,Nutrients!$FA$8,Nutrients!$FA$9)*B$7)+(((IF($A$8=Nutrients!$B$79,Nutrients!$FA$79,(IF($A$8=Nutrients!$B$77,Nutrients!$FA$77,Nutrients!$FA$78)))))*B$8))</f>
        <v>0</v>
      </c>
      <c r="C336" s="21">
        <f>(SUMPRODUCT(C$9:C$229,Nutrients!$FA$8:$FA$228)+(IF($A$7=Nutrients!$B$8,Nutrients!$FA$8,Nutrients!$FA$9)*C$7)+(((IF($A$8=Nutrients!$B$79,Nutrients!$FA$79,(IF($A$8=Nutrients!$B$77,Nutrients!$FA$77,Nutrients!$FA$78)))))*C$8))</f>
        <v>0</v>
      </c>
      <c r="D336" s="21">
        <f>(SUMPRODUCT(D$9:D$229,Nutrients!$FA$8:$FA$228)+(IF($A$7=Nutrients!$B$8,Nutrients!$FA$8,Nutrients!$FA$9)*D$7)+(((IF($A$8=Nutrients!$B$79,Nutrients!$FA$79,(IF($A$8=Nutrients!$B$77,Nutrients!$FA$77,Nutrients!$FA$78)))))*D$8))</f>
        <v>0</v>
      </c>
      <c r="E336" s="21">
        <f>(SUMPRODUCT(E$9:E$229,Nutrients!$FA$8:$FA$228)+(IF($A$7=Nutrients!$B$8,Nutrients!$FA$8,Nutrients!$FA$9)*E$7)+(((IF($A$8=Nutrients!$B$79,Nutrients!$FA$79,(IF($A$8=Nutrients!$B$77,Nutrients!$FA$77,Nutrients!$FA$78)))))*E$8))</f>
        <v>0</v>
      </c>
      <c r="F336" s="21">
        <f>(SUMPRODUCT(F$9:F$229,Nutrients!$FA$8:$FA$228)+(IF($A$7=Nutrients!$B$8,Nutrients!$FA$8,Nutrients!$FA$9)*F$7)+(((IF($A$8=Nutrients!$B$79,Nutrients!$FA$79,(IF($A$8=Nutrients!$B$77,Nutrients!$FA$77,Nutrients!$FA$78)))))*F$8))</f>
        <v>0</v>
      </c>
      <c r="G336" s="21">
        <f>(SUMPRODUCT(G$9:G$229,Nutrients!$FA$8:$FA$228)+(IF($A$7=Nutrients!$B$8,Nutrients!$FA$8,Nutrients!$FA$9)*G$7)+(((IF($A$8=Nutrients!$B$79,Nutrients!$FA$79,(IF($A$8=Nutrients!$B$77,Nutrients!$FA$77,Nutrients!$FA$78)))))*G$8))</f>
        <v>0</v>
      </c>
      <c r="H336" s="226"/>
      <c r="I336" s="21">
        <f>(SUMPRODUCT(I$9:I$229,Nutrients!$FA$8:$FA$228)+(IF($A$7=Nutrients!$B$8,Nutrients!$FA$8,Nutrients!$FA$9)*I$7)+(((IF($A$8=Nutrients!$B$79,Nutrients!$FA$79,(IF($A$8=Nutrients!$B$77,Nutrients!$FA$77,Nutrients!$FA$78)))))*I$8))</f>
        <v>0</v>
      </c>
      <c r="J336" s="21">
        <f>(SUMPRODUCT(J$9:J$229,Nutrients!$FA$8:$FA$228)+(IF($A$7=Nutrients!$B$8,Nutrients!$FA$8,Nutrients!$FA$9)*J$7)+(((IF($A$8=Nutrients!$B$79,Nutrients!$FA$79,(IF($A$8=Nutrients!$B$77,Nutrients!$FA$77,Nutrients!$FA$78)))))*J$8))</f>
        <v>0</v>
      </c>
      <c r="K336" s="21">
        <f>(SUMPRODUCT(K$9:K$229,Nutrients!$FA$8:$FA$228)+(IF($A$7=Nutrients!$B$8,Nutrients!$FA$8,Nutrients!$FA$9)*K$7)+(((IF($A$8=Nutrients!$B$79,Nutrients!$FA$79,(IF($A$8=Nutrients!$B$77,Nutrients!$FA$77,Nutrients!$FA$78)))))*K$8))</f>
        <v>0</v>
      </c>
      <c r="L336" s="21">
        <f>(SUMPRODUCT(L$9:L$229,Nutrients!$FA$8:$FA$228)+(IF($A$7=Nutrients!$B$8,Nutrients!$FA$8,Nutrients!$FA$9)*L$7)+(((IF($A$8=Nutrients!$B$79,Nutrients!$FA$79,(IF($A$8=Nutrients!$B$77,Nutrients!$FA$77,Nutrients!$FA$78)))))*L$8))</f>
        <v>0</v>
      </c>
      <c r="M336" s="21">
        <f>(SUMPRODUCT(M$9:M$229,Nutrients!$FA$8:$FA$228)+(IF($A$7=Nutrients!$B$8,Nutrients!$FA$8,Nutrients!$FA$9)*M$7)+(((IF($A$8=Nutrients!$B$79,Nutrients!$FA$79,(IF($A$8=Nutrients!$B$77,Nutrients!$FA$77,Nutrients!$FA$78)))))*M$8))</f>
        <v>0</v>
      </c>
      <c r="N336" s="21">
        <f>(SUMPRODUCT(N$9:N$229,Nutrients!$FA$8:$FA$228)+(IF($A$7=Nutrients!$B$8,Nutrients!$FA$8,Nutrients!$FA$9)*N$7)+(((IF($A$8=Nutrients!$B$79,Nutrients!$FA$79,(IF($A$8=Nutrients!$B$77,Nutrients!$FA$77,Nutrients!$FA$78)))))*N$8))</f>
        <v>0</v>
      </c>
      <c r="O336" s="234"/>
      <c r="P336" s="21">
        <f>(SUMPRODUCT(P$9:P$229,Nutrients!$FA$8:$FA$228)+(IF($A$7=Nutrients!$B$8,Nutrients!$FA$8,Nutrients!$FA$9)*P$7)+(((IF($A$8=Nutrients!$B$79,Nutrients!$FA$79,(IF($A$8=Nutrients!$B$77,Nutrients!$FA$77,Nutrients!$FA$78)))))*P$8))</f>
        <v>0</v>
      </c>
      <c r="Q336" s="21">
        <f>(SUMPRODUCT(Q$9:Q$229,Nutrients!$FA$8:$FA$228)+(IF($A$7=Nutrients!$B$8,Nutrients!$FA$8,Nutrients!$FA$9)*Q$7)+(((IF($A$8=Nutrients!$B$79,Nutrients!$FA$79,(IF($A$8=Nutrients!$B$77,Nutrients!$FA$77,Nutrients!$FA$78)))))*Q$8))</f>
        <v>0</v>
      </c>
      <c r="R336" s="21">
        <f>(SUMPRODUCT(R$9:R$229,Nutrients!$FA$8:$FA$228)+(IF($A$7=Nutrients!$B$8,Nutrients!$FA$8,Nutrients!$FA$9)*R$7)+(((IF($A$8=Nutrients!$B$79,Nutrients!$FA$79,(IF($A$8=Nutrients!$B$77,Nutrients!$FA$77,Nutrients!$FA$78)))))*R$8))</f>
        <v>0</v>
      </c>
      <c r="S336" s="21">
        <f>(SUMPRODUCT(S$9:S$229,Nutrients!$FA$8:$FA$228)+(IF($A$7=Nutrients!$B$8,Nutrients!$FA$8,Nutrients!$FA$9)*S$7)+(((IF($A$8=Nutrients!$B$79,Nutrients!$FA$79,(IF($A$8=Nutrients!$B$77,Nutrients!$FA$77,Nutrients!$FA$78)))))*S$8))</f>
        <v>0</v>
      </c>
      <c r="T336" s="21">
        <f>(SUMPRODUCT(T$9:T$229,Nutrients!$FA$8:$FA$228)+(IF($A$7=Nutrients!$B$8,Nutrients!$FA$8,Nutrients!$FA$9)*T$7)+(((IF($A$8=Nutrients!$B$79,Nutrients!$FA$79,(IF($A$8=Nutrients!$B$77,Nutrients!$FA$77,Nutrients!$FA$78)))))*T$8))</f>
        <v>0</v>
      </c>
      <c r="U336" s="21">
        <f>(SUMPRODUCT(U$9:U$229,Nutrients!$FA$8:$FA$228)+(IF($A$7=Nutrients!$B$8,Nutrients!$FA$8,Nutrients!$FA$9)*U$7)+(((IF($A$8=Nutrients!$B$79,Nutrients!$FA$79,(IF($A$8=Nutrients!$B$77,Nutrients!$FA$77,Nutrients!$FA$78)))))*U$8))</f>
        <v>0</v>
      </c>
      <c r="W336" s="21">
        <f>(SUMPRODUCT(W$9:W$229,Nutrients!$FA$8:$FA$228)+(IF($A$7=Nutrients!$B$8,Nutrients!$FA$8,Nutrients!$FA$9)*W$7)+(((IF($A$8=Nutrients!$B$79,Nutrients!$FA$79,(IF($A$8=Nutrients!$B$77,Nutrients!$FA$77,Nutrients!$FA$78)))))*W$8))</f>
        <v>0</v>
      </c>
      <c r="X336" s="21">
        <f>(SUMPRODUCT(X$9:X$229,Nutrients!$FA$8:$FA$228)+(IF($A$7=Nutrients!$B$8,Nutrients!$FA$8,Nutrients!$FA$9)*X$7)+(((IF($A$8=Nutrients!$B$79,Nutrients!$FA$79,(IF($A$8=Nutrients!$B$77,Nutrients!$FA$77,Nutrients!$FA$78)))))*X$8))</f>
        <v>0</v>
      </c>
      <c r="Y336" s="21">
        <f>(SUMPRODUCT(Y$9:Y$229,Nutrients!$FA$8:$FA$228)+(IF($A$7=Nutrients!$B$8,Nutrients!$FA$8,Nutrients!$FA$9)*Y$7)+(((IF($A$8=Nutrients!$B$79,Nutrients!$FA$79,(IF($A$8=Nutrients!$B$77,Nutrients!$FA$77,Nutrients!$FA$78)))))*Y$8))</f>
        <v>0</v>
      </c>
      <c r="Z336" s="21">
        <f>(SUMPRODUCT(Z$9:Z$229,Nutrients!$FA$8:$FA$228)+(IF($A$7=Nutrients!$B$8,Nutrients!$FA$8,Nutrients!$FA$9)*Z$7)+(((IF($A$8=Nutrients!$B$79,Nutrients!$FA$79,(IF($A$8=Nutrients!$B$77,Nutrients!$FA$77,Nutrients!$FA$78)))))*Z$8))</f>
        <v>0</v>
      </c>
      <c r="AA336" s="21">
        <f>(SUMPRODUCT(AA$9:AA$229,Nutrients!$FA$8:$FA$228)+(IF($A$7=Nutrients!$B$8,Nutrients!$FA$8,Nutrients!$FA$9)*AA$7)+(((IF($A$8=Nutrients!$B$79,Nutrients!$FA$79,(IF($A$8=Nutrients!$B$77,Nutrients!$FA$77,Nutrients!$FA$78)))))*AA$8))</f>
        <v>0</v>
      </c>
      <c r="AB336" s="21">
        <f>(SUMPRODUCT(AB$9:AB$229,Nutrients!$FA$8:$FA$228)+(IF($A$7=Nutrients!$B$8,Nutrients!$FA$8,Nutrients!$FA$9)*AB$7)+(((IF($A$8=Nutrients!$B$79,Nutrients!$FA$79,(IF($A$8=Nutrients!$B$77,Nutrients!$FA$77,Nutrients!$FA$78)))))*AB$8))</f>
        <v>0</v>
      </c>
      <c r="AD336" s="21">
        <f>(SUMPRODUCT(AD$9:AD$229,Nutrients!$FA$8:$FA$228)+(IF($A$7=Nutrients!$B$8,Nutrients!$FA$8,Nutrients!$FA$9)*AD$7)+(((IF($A$8=Nutrients!$B$79,Nutrients!$FA$79,(IF($A$8=Nutrients!$B$77,Nutrients!$FA$77,Nutrients!$FA$78)))))*AD$8))</f>
        <v>0</v>
      </c>
      <c r="AE336" s="21">
        <f>(SUMPRODUCT(AE$9:AE$229,Nutrients!$FA$8:$FA$228)+(IF($A$7=Nutrients!$B$8,Nutrients!$FA$8,Nutrients!$FA$9)*AE$7)+(((IF($A$8=Nutrients!$B$79,Nutrients!$FA$79,(IF($A$8=Nutrients!$B$77,Nutrients!$FA$77,Nutrients!$FA$78)))))*AE$8))</f>
        <v>0</v>
      </c>
      <c r="AF336" s="21">
        <f>(SUMPRODUCT(AF$9:AF$229,Nutrients!$FA$8:$FA$228)+(IF($A$7=Nutrients!$B$8,Nutrients!$FA$8,Nutrients!$FA$9)*AF$7)+(((IF($A$8=Nutrients!$B$79,Nutrients!$FA$79,(IF($A$8=Nutrients!$B$77,Nutrients!$FA$77,Nutrients!$FA$78)))))*AF$8))</f>
        <v>0</v>
      </c>
      <c r="AG336" s="21">
        <f>(SUMPRODUCT(AG$9:AG$229,Nutrients!$FA$8:$FA$228)+(IF($A$7=Nutrients!$B$8,Nutrients!$FA$8,Nutrients!$FA$9)*AG$7)+(((IF($A$8=Nutrients!$B$79,Nutrients!$FA$79,(IF($A$8=Nutrients!$B$77,Nutrients!$FA$77,Nutrients!$FA$78)))))*AG$8))</f>
        <v>0</v>
      </c>
      <c r="AH336" s="21">
        <f>(SUMPRODUCT(AH$9:AH$229,Nutrients!$FA$8:$FA$228)+(IF($A$7=Nutrients!$B$8,Nutrients!$FA$8,Nutrients!$FA$9)*AH$7)+(((IF($A$8=Nutrients!$B$79,Nutrients!$FA$79,(IF($A$8=Nutrients!$B$77,Nutrients!$FA$77,Nutrients!$FA$78)))))*AH$8))</f>
        <v>0</v>
      </c>
      <c r="AI336" s="21">
        <f>(SUMPRODUCT(AI$9:AI$229,Nutrients!$FA$8:$FA$228)+(IF($A$7=Nutrients!$B$8,Nutrients!$FA$8,Nutrients!$FA$9)*AI$7)+(((IF($A$8=Nutrients!$B$79,Nutrients!$FA$79,(IF($A$8=Nutrients!$B$77,Nutrients!$FA$77,Nutrients!$FA$78)))))*AI$8))</f>
        <v>0</v>
      </c>
      <c r="AK336" s="21">
        <f>(SUMPRODUCT(AK$9:AK$229,Nutrients!$FA$8:$FA$228)+(IF($A$7=Nutrients!$B$8,Nutrients!$FA$8,Nutrients!$FA$9)*AK$7)+(((IF($A$8=Nutrients!$B$79,Nutrients!$FA$79,(IF($A$8=Nutrients!$B$77,Nutrients!$FA$77,Nutrients!$FA$78)))))*AK$8))</f>
        <v>0</v>
      </c>
      <c r="AL336" s="21">
        <f>(SUMPRODUCT(AL$9:AL$229,Nutrients!$FA$8:$FA$228)+(IF($A$7=Nutrients!$B$8,Nutrients!$FA$8,Nutrients!$FA$9)*AL$7)+(((IF($A$8=Nutrients!$B$79,Nutrients!$FA$79,(IF($A$8=Nutrients!$B$77,Nutrients!$FA$77,Nutrients!$FA$78)))))*AL$8))</f>
        <v>0</v>
      </c>
      <c r="AM336" s="21">
        <f>(SUMPRODUCT(AM$9:AM$229,Nutrients!$FA$8:$FA$228)+(IF($A$7=Nutrients!$B$8,Nutrients!$FA$8,Nutrients!$FA$9)*AM$7)+(((IF($A$8=Nutrients!$B$79,Nutrients!$FA$79,(IF($A$8=Nutrients!$B$77,Nutrients!$FA$77,Nutrients!$FA$78)))))*AM$8))</f>
        <v>0</v>
      </c>
      <c r="AN336" s="21">
        <f>(SUMPRODUCT(AN$9:AN$229,Nutrients!$FA$8:$FA$228)+(IF($A$7=Nutrients!$B$8,Nutrients!$FA$8,Nutrients!$FA$9)*AN$7)+(((IF($A$8=Nutrients!$B$79,Nutrients!$FA$79,(IF($A$8=Nutrients!$B$77,Nutrients!$FA$77,Nutrients!$FA$78)))))*AN$8))</f>
        <v>0</v>
      </c>
      <c r="AO336" s="21">
        <f>(SUMPRODUCT(AO$9:AO$229,Nutrients!$FA$8:$FA$228)+(IF($A$7=Nutrients!$B$8,Nutrients!$FA$8,Nutrients!$FA$9)*AO$7)+(((IF($A$8=Nutrients!$B$79,Nutrients!$FA$79,(IF($A$8=Nutrients!$B$77,Nutrients!$FA$77,Nutrients!$FA$78)))))*AO$8))</f>
        <v>0</v>
      </c>
      <c r="AP336" s="21">
        <f>(SUMPRODUCT(AP$9:AP$229,Nutrients!$FA$8:$FA$228)+(IF($A$7=Nutrients!$B$8,Nutrients!$FA$8,Nutrients!$FA$9)*AP$7)+(((IF($A$8=Nutrients!$B$79,Nutrients!$FA$79,(IF($A$8=Nutrients!$B$77,Nutrients!$FA$77,Nutrients!$FA$78)))))*AP$8))</f>
        <v>0</v>
      </c>
      <c r="AR336" s="21">
        <f>(SUMPRODUCT(AR$9:AR$229,Nutrients!$FA$8:$FA$228)+(IF($A$7=Nutrients!$B$8,Nutrients!$FA$8,Nutrients!$FA$9)*AR$7)+(((IF($A$8=Nutrients!$B$79,Nutrients!$FA$79,(IF($A$8=Nutrients!$B$77,Nutrients!$FA$77,Nutrients!$FA$78)))))*AR$8))</f>
        <v>0</v>
      </c>
      <c r="AS336" s="21">
        <f>(SUMPRODUCT(AS$9:AS$229,Nutrients!$FA$8:$FA$228)+(IF($A$7=Nutrients!$B$8,Nutrients!$FA$8,Nutrients!$FA$9)*AS$7)+(((IF($A$8=Nutrients!$B$79,Nutrients!$FA$79,(IF($A$8=Nutrients!$B$77,Nutrients!$FA$77,Nutrients!$FA$78)))))*AS$8))</f>
        <v>0</v>
      </c>
      <c r="AT336" s="21">
        <f>(SUMPRODUCT(AT$9:AT$229,Nutrients!$FA$8:$FA$228)+(IF($A$7=Nutrients!$B$8,Nutrients!$FA$8,Nutrients!$FA$9)*AT$7)+(((IF($A$8=Nutrients!$B$79,Nutrients!$FA$79,(IF($A$8=Nutrients!$B$77,Nutrients!$FA$77,Nutrients!$FA$78)))))*AT$8))</f>
        <v>0</v>
      </c>
      <c r="AU336" s="21">
        <f>(SUMPRODUCT(AU$9:AU$229,Nutrients!$FA$8:$FA$228)+(IF($A$7=Nutrients!$B$8,Nutrients!$FA$8,Nutrients!$FA$9)*AU$7)+(((IF($A$8=Nutrients!$B$79,Nutrients!$FA$79,(IF($A$8=Nutrients!$B$77,Nutrients!$FA$77,Nutrients!$FA$78)))))*AU$8))</f>
        <v>0</v>
      </c>
      <c r="AV336" s="21">
        <f>(SUMPRODUCT(AV$9:AV$229,Nutrients!$FA$8:$FA$228)+(IF($A$7=Nutrients!$B$8,Nutrients!$FA$8,Nutrients!$FA$9)*AV$7)+(((IF($A$8=Nutrients!$B$79,Nutrients!$FA$79,(IF($A$8=Nutrients!$B$77,Nutrients!$FA$77,Nutrients!$FA$78)))))*AV$8))</f>
        <v>0</v>
      </c>
      <c r="AW336" s="21">
        <f>(SUMPRODUCT(AW$9:AW$229,Nutrients!$FA$8:$FA$228)+(IF($A$7=Nutrients!$B$8,Nutrients!$FA$8,Nutrients!$FA$9)*AW$7)+(((IF($A$8=Nutrients!$B$79,Nutrients!$FA$79,(IF($A$8=Nutrients!$B$77,Nutrients!$FA$77,Nutrients!$FA$78)))))*AW$8))</f>
        <v>0</v>
      </c>
    </row>
    <row r="337" spans="1:52" x14ac:dyDescent="0.25">
      <c r="A337" s="34" t="s">
        <v>130</v>
      </c>
      <c r="B337" s="21">
        <f>(SUMPRODUCT(B$9:B$229,Nutrients!$FB$8:$FB$228)+(IF($A$7=Nutrients!$B$8,Nutrients!$FB$8,Nutrients!$FB$9)*B$7)+(((IF($A$8=Nutrients!$B$79,Nutrients!$FB$79,(IF($A$8=Nutrients!$B$77,Nutrients!$FB$77,Nutrients!$FB$78)))))*B$8))</f>
        <v>0</v>
      </c>
      <c r="C337" s="21">
        <f>(SUMPRODUCT(C$9:C$229,Nutrients!$FB$8:$FB$228)+(IF($A$7=Nutrients!$B$8,Nutrients!$FB$8,Nutrients!$FB$9)*C$7)+(((IF($A$8=Nutrients!$B$79,Nutrients!$FB$79,(IF($A$8=Nutrients!$B$77,Nutrients!$FB$77,Nutrients!$FB$78)))))*C$8))</f>
        <v>0</v>
      </c>
      <c r="D337" s="21">
        <f>(SUMPRODUCT(D$9:D$229,Nutrients!$FB$8:$FB$228)+(IF($A$7=Nutrients!$B$8,Nutrients!$FB$8,Nutrients!$FB$9)*D$7)+(((IF($A$8=Nutrients!$B$79,Nutrients!$FB$79,(IF($A$8=Nutrients!$B$77,Nutrients!$FB$77,Nutrients!$FB$78)))))*D$8))</f>
        <v>0</v>
      </c>
      <c r="E337" s="21">
        <f>(SUMPRODUCT(E$9:E$229,Nutrients!$FB$8:$FB$228)+(IF($A$7=Nutrients!$B$8,Nutrients!$FB$8,Nutrients!$FB$9)*E$7)+(((IF($A$8=Nutrients!$B$79,Nutrients!$FB$79,(IF($A$8=Nutrients!$B$77,Nutrients!$FB$77,Nutrients!$FB$78)))))*E$8))</f>
        <v>0</v>
      </c>
      <c r="F337" s="21">
        <f>(SUMPRODUCT(F$9:F$229,Nutrients!$FB$8:$FB$228)+(IF($A$7=Nutrients!$B$8,Nutrients!$FB$8,Nutrients!$FB$9)*F$7)+(((IF($A$8=Nutrients!$B$79,Nutrients!$FB$79,(IF($A$8=Nutrients!$B$77,Nutrients!$FB$77,Nutrients!$FB$78)))))*F$8))</f>
        <v>0</v>
      </c>
      <c r="G337" s="21">
        <f>(SUMPRODUCT(G$9:G$229,Nutrients!$FB$8:$FB$228)+(IF($A$7=Nutrients!$B$8,Nutrients!$FB$8,Nutrients!$FB$9)*G$7)+(((IF($A$8=Nutrients!$B$79,Nutrients!$FB$79,(IF($A$8=Nutrients!$B$77,Nutrients!$FB$77,Nutrients!$FB$78)))))*G$8))</f>
        <v>0</v>
      </c>
      <c r="H337" s="226"/>
      <c r="I337" s="21">
        <f>(SUMPRODUCT(I$9:I$229,Nutrients!$FB$8:$FB$228)+(IF($A$7=Nutrients!$B$8,Nutrients!$FB$8,Nutrients!$FB$9)*I$7)+(((IF($A$8=Nutrients!$B$79,Nutrients!$FB$79,(IF($A$8=Nutrients!$B$77,Nutrients!$FB$77,Nutrients!$FB$78)))))*I$8))</f>
        <v>0</v>
      </c>
      <c r="J337" s="21">
        <f>(SUMPRODUCT(J$9:J$229,Nutrients!$FB$8:$FB$228)+(IF($A$7=Nutrients!$B$8,Nutrients!$FB$8,Nutrients!$FB$9)*J$7)+(((IF($A$8=Nutrients!$B$79,Nutrients!$FB$79,(IF($A$8=Nutrients!$B$77,Nutrients!$FB$77,Nutrients!$FB$78)))))*J$8))</f>
        <v>0</v>
      </c>
      <c r="K337" s="21">
        <f>(SUMPRODUCT(K$9:K$229,Nutrients!$FB$8:$FB$228)+(IF($A$7=Nutrients!$B$8,Nutrients!$FB$8,Nutrients!$FB$9)*K$7)+(((IF($A$8=Nutrients!$B$79,Nutrients!$FB$79,(IF($A$8=Nutrients!$B$77,Nutrients!$FB$77,Nutrients!$FB$78)))))*K$8))</f>
        <v>0</v>
      </c>
      <c r="L337" s="21">
        <f>(SUMPRODUCT(L$9:L$229,Nutrients!$FB$8:$FB$228)+(IF($A$7=Nutrients!$B$8,Nutrients!$FB$8,Nutrients!$FB$9)*L$7)+(((IF($A$8=Nutrients!$B$79,Nutrients!$FB$79,(IF($A$8=Nutrients!$B$77,Nutrients!$FB$77,Nutrients!$FB$78)))))*L$8))</f>
        <v>0</v>
      </c>
      <c r="M337" s="21">
        <f>(SUMPRODUCT(M$9:M$229,Nutrients!$FB$8:$FB$228)+(IF($A$7=Nutrients!$B$8,Nutrients!$FB$8,Nutrients!$FB$9)*M$7)+(((IF($A$8=Nutrients!$B$79,Nutrients!$FB$79,(IF($A$8=Nutrients!$B$77,Nutrients!$FB$77,Nutrients!$FB$78)))))*M$8))</f>
        <v>0</v>
      </c>
      <c r="N337" s="21">
        <f>(SUMPRODUCT(N$9:N$229,Nutrients!$FB$8:$FB$228)+(IF($A$7=Nutrients!$B$8,Nutrients!$FB$8,Nutrients!$FB$9)*N$7)+(((IF($A$8=Nutrients!$B$79,Nutrients!$FB$79,(IF($A$8=Nutrients!$B$77,Nutrients!$FB$77,Nutrients!$FB$78)))))*N$8))</f>
        <v>0</v>
      </c>
      <c r="O337" s="234"/>
      <c r="P337" s="21">
        <f>(SUMPRODUCT(P$9:P$229,Nutrients!$FB$8:$FB$228)+(IF($A$7=Nutrients!$B$8,Nutrients!$FB$8,Nutrients!$FB$9)*P$7)+(((IF($A$8=Nutrients!$B$79,Nutrients!$FB$79,(IF($A$8=Nutrients!$B$77,Nutrients!$FB$77,Nutrients!$FB$78)))))*P$8))</f>
        <v>0</v>
      </c>
      <c r="Q337" s="21">
        <f>(SUMPRODUCT(Q$9:Q$229,Nutrients!$FB$8:$FB$228)+(IF($A$7=Nutrients!$B$8,Nutrients!$FB$8,Nutrients!$FB$9)*Q$7)+(((IF($A$8=Nutrients!$B$79,Nutrients!$FB$79,(IF($A$8=Nutrients!$B$77,Nutrients!$FB$77,Nutrients!$FB$78)))))*Q$8))</f>
        <v>0</v>
      </c>
      <c r="R337" s="21">
        <f>(SUMPRODUCT(R$9:R$229,Nutrients!$FB$8:$FB$228)+(IF($A$7=Nutrients!$B$8,Nutrients!$FB$8,Nutrients!$FB$9)*R$7)+(((IF($A$8=Nutrients!$B$79,Nutrients!$FB$79,(IF($A$8=Nutrients!$B$77,Nutrients!$FB$77,Nutrients!$FB$78)))))*R$8))</f>
        <v>0</v>
      </c>
      <c r="S337" s="21">
        <f>(SUMPRODUCT(S$9:S$229,Nutrients!$FB$8:$FB$228)+(IF($A$7=Nutrients!$B$8,Nutrients!$FB$8,Nutrients!$FB$9)*S$7)+(((IF($A$8=Nutrients!$B$79,Nutrients!$FB$79,(IF($A$8=Nutrients!$B$77,Nutrients!$FB$77,Nutrients!$FB$78)))))*S$8))</f>
        <v>0</v>
      </c>
      <c r="T337" s="21">
        <f>(SUMPRODUCT(T$9:T$229,Nutrients!$FB$8:$FB$228)+(IF($A$7=Nutrients!$B$8,Nutrients!$FB$8,Nutrients!$FB$9)*T$7)+(((IF($A$8=Nutrients!$B$79,Nutrients!$FB$79,(IF($A$8=Nutrients!$B$77,Nutrients!$FB$77,Nutrients!$FB$78)))))*T$8))</f>
        <v>0</v>
      </c>
      <c r="U337" s="21">
        <f>(SUMPRODUCT(U$9:U$229,Nutrients!$FB$8:$FB$228)+(IF($A$7=Nutrients!$B$8,Nutrients!$FB$8,Nutrients!$FB$9)*U$7)+(((IF($A$8=Nutrients!$B$79,Nutrients!$FB$79,(IF($A$8=Nutrients!$B$77,Nutrients!$FB$77,Nutrients!$FB$78)))))*U$8))</f>
        <v>0</v>
      </c>
      <c r="W337" s="21">
        <f>(SUMPRODUCT(W$9:W$229,Nutrients!$FB$8:$FB$228)+(IF($A$7=Nutrients!$B$8,Nutrients!$FB$8,Nutrients!$FB$9)*W$7)+(((IF($A$8=Nutrients!$B$79,Nutrients!$FB$79,(IF($A$8=Nutrients!$B$77,Nutrients!$FB$77,Nutrients!$FB$78)))))*W$8))</f>
        <v>0</v>
      </c>
      <c r="X337" s="21">
        <f>(SUMPRODUCT(X$9:X$229,Nutrients!$FB$8:$FB$228)+(IF($A$7=Nutrients!$B$8,Nutrients!$FB$8,Nutrients!$FB$9)*X$7)+(((IF($A$8=Nutrients!$B$79,Nutrients!$FB$79,(IF($A$8=Nutrients!$B$77,Nutrients!$FB$77,Nutrients!$FB$78)))))*X$8))</f>
        <v>0</v>
      </c>
      <c r="Y337" s="21">
        <f>(SUMPRODUCT(Y$9:Y$229,Nutrients!$FB$8:$FB$228)+(IF($A$7=Nutrients!$B$8,Nutrients!$FB$8,Nutrients!$FB$9)*Y$7)+(((IF($A$8=Nutrients!$B$79,Nutrients!$FB$79,(IF($A$8=Nutrients!$B$77,Nutrients!$FB$77,Nutrients!$FB$78)))))*Y$8))</f>
        <v>0</v>
      </c>
      <c r="Z337" s="21">
        <f>(SUMPRODUCT(Z$9:Z$229,Nutrients!$FB$8:$FB$228)+(IF($A$7=Nutrients!$B$8,Nutrients!$FB$8,Nutrients!$FB$9)*Z$7)+(((IF($A$8=Nutrients!$B$79,Nutrients!$FB$79,(IF($A$8=Nutrients!$B$77,Nutrients!$FB$77,Nutrients!$FB$78)))))*Z$8))</f>
        <v>0</v>
      </c>
      <c r="AA337" s="21">
        <f>(SUMPRODUCT(AA$9:AA$229,Nutrients!$FB$8:$FB$228)+(IF($A$7=Nutrients!$B$8,Nutrients!$FB$8,Nutrients!$FB$9)*AA$7)+(((IF($A$8=Nutrients!$B$79,Nutrients!$FB$79,(IF($A$8=Nutrients!$B$77,Nutrients!$FB$77,Nutrients!$FB$78)))))*AA$8))</f>
        <v>0</v>
      </c>
      <c r="AB337" s="21">
        <f>(SUMPRODUCT(AB$9:AB$229,Nutrients!$FB$8:$FB$228)+(IF($A$7=Nutrients!$B$8,Nutrients!$FB$8,Nutrients!$FB$9)*AB$7)+(((IF($A$8=Nutrients!$B$79,Nutrients!$FB$79,(IF($A$8=Nutrients!$B$77,Nutrients!$FB$77,Nutrients!$FB$78)))))*AB$8))</f>
        <v>0</v>
      </c>
      <c r="AD337" s="21">
        <f>(SUMPRODUCT(AD$9:AD$229,Nutrients!$FB$8:$FB$228)+(IF($A$7=Nutrients!$B$8,Nutrients!$FB$8,Nutrients!$FB$9)*AD$7)+(((IF($A$8=Nutrients!$B$79,Nutrients!$FB$79,(IF($A$8=Nutrients!$B$77,Nutrients!$FB$77,Nutrients!$FB$78)))))*AD$8))</f>
        <v>0</v>
      </c>
      <c r="AE337" s="21">
        <f>(SUMPRODUCT(AE$9:AE$229,Nutrients!$FB$8:$FB$228)+(IF($A$7=Nutrients!$B$8,Nutrients!$FB$8,Nutrients!$FB$9)*AE$7)+(((IF($A$8=Nutrients!$B$79,Nutrients!$FB$79,(IF($A$8=Nutrients!$B$77,Nutrients!$FB$77,Nutrients!$FB$78)))))*AE$8))</f>
        <v>0</v>
      </c>
      <c r="AF337" s="21">
        <f>(SUMPRODUCT(AF$9:AF$229,Nutrients!$FB$8:$FB$228)+(IF($A$7=Nutrients!$B$8,Nutrients!$FB$8,Nutrients!$FB$9)*AF$7)+(((IF($A$8=Nutrients!$B$79,Nutrients!$FB$79,(IF($A$8=Nutrients!$B$77,Nutrients!$FB$77,Nutrients!$FB$78)))))*AF$8))</f>
        <v>0</v>
      </c>
      <c r="AG337" s="21">
        <f>(SUMPRODUCT(AG$9:AG$229,Nutrients!$FB$8:$FB$228)+(IF($A$7=Nutrients!$B$8,Nutrients!$FB$8,Nutrients!$FB$9)*AG$7)+(((IF($A$8=Nutrients!$B$79,Nutrients!$FB$79,(IF($A$8=Nutrients!$B$77,Nutrients!$FB$77,Nutrients!$FB$78)))))*AG$8))</f>
        <v>0</v>
      </c>
      <c r="AH337" s="21">
        <f>(SUMPRODUCT(AH$9:AH$229,Nutrients!$FB$8:$FB$228)+(IF($A$7=Nutrients!$B$8,Nutrients!$FB$8,Nutrients!$FB$9)*AH$7)+(((IF($A$8=Nutrients!$B$79,Nutrients!$FB$79,(IF($A$8=Nutrients!$B$77,Nutrients!$FB$77,Nutrients!$FB$78)))))*AH$8))</f>
        <v>0</v>
      </c>
      <c r="AI337" s="21">
        <f>(SUMPRODUCT(AI$9:AI$229,Nutrients!$FB$8:$FB$228)+(IF($A$7=Nutrients!$B$8,Nutrients!$FB$8,Nutrients!$FB$9)*AI$7)+(((IF($A$8=Nutrients!$B$79,Nutrients!$FB$79,(IF($A$8=Nutrients!$B$77,Nutrients!$FB$77,Nutrients!$FB$78)))))*AI$8))</f>
        <v>0</v>
      </c>
      <c r="AK337" s="21">
        <f>(SUMPRODUCT(AK$9:AK$229,Nutrients!$FB$8:$FB$228)+(IF($A$7=Nutrients!$B$8,Nutrients!$FB$8,Nutrients!$FB$9)*AK$7)+(((IF($A$8=Nutrients!$B$79,Nutrients!$FB$79,(IF($A$8=Nutrients!$B$77,Nutrients!$FB$77,Nutrients!$FB$78)))))*AK$8))</f>
        <v>0</v>
      </c>
      <c r="AL337" s="21">
        <f>(SUMPRODUCT(AL$9:AL$229,Nutrients!$FB$8:$FB$228)+(IF($A$7=Nutrients!$B$8,Nutrients!$FB$8,Nutrients!$FB$9)*AL$7)+(((IF($A$8=Nutrients!$B$79,Nutrients!$FB$79,(IF($A$8=Nutrients!$B$77,Nutrients!$FB$77,Nutrients!$FB$78)))))*AL$8))</f>
        <v>0</v>
      </c>
      <c r="AM337" s="21">
        <f>(SUMPRODUCT(AM$9:AM$229,Nutrients!$FB$8:$FB$228)+(IF($A$7=Nutrients!$B$8,Nutrients!$FB$8,Nutrients!$FB$9)*AM$7)+(((IF($A$8=Nutrients!$B$79,Nutrients!$FB$79,(IF($A$8=Nutrients!$B$77,Nutrients!$FB$77,Nutrients!$FB$78)))))*AM$8))</f>
        <v>0</v>
      </c>
      <c r="AN337" s="21">
        <f>(SUMPRODUCT(AN$9:AN$229,Nutrients!$FB$8:$FB$228)+(IF($A$7=Nutrients!$B$8,Nutrients!$FB$8,Nutrients!$FB$9)*AN$7)+(((IF($A$8=Nutrients!$B$79,Nutrients!$FB$79,(IF($A$8=Nutrients!$B$77,Nutrients!$FB$77,Nutrients!$FB$78)))))*AN$8))</f>
        <v>0</v>
      </c>
      <c r="AO337" s="21">
        <f>(SUMPRODUCT(AO$9:AO$229,Nutrients!$FB$8:$FB$228)+(IF($A$7=Nutrients!$B$8,Nutrients!$FB$8,Nutrients!$FB$9)*AO$7)+(((IF($A$8=Nutrients!$B$79,Nutrients!$FB$79,(IF($A$8=Nutrients!$B$77,Nutrients!$FB$77,Nutrients!$FB$78)))))*AO$8))</f>
        <v>0</v>
      </c>
      <c r="AP337" s="21">
        <f>(SUMPRODUCT(AP$9:AP$229,Nutrients!$FB$8:$FB$228)+(IF($A$7=Nutrients!$B$8,Nutrients!$FB$8,Nutrients!$FB$9)*AP$7)+(((IF($A$8=Nutrients!$B$79,Nutrients!$FB$79,(IF($A$8=Nutrients!$B$77,Nutrients!$FB$77,Nutrients!$FB$78)))))*AP$8))</f>
        <v>0</v>
      </c>
      <c r="AR337" s="21">
        <f>(SUMPRODUCT(AR$9:AR$229,Nutrients!$FB$8:$FB$228)+(IF($A$7=Nutrients!$B$8,Nutrients!$FB$8,Nutrients!$FB$9)*AR$7)+(((IF($A$8=Nutrients!$B$79,Nutrients!$FB$79,(IF($A$8=Nutrients!$B$77,Nutrients!$FB$77,Nutrients!$FB$78)))))*AR$8))</f>
        <v>0</v>
      </c>
      <c r="AS337" s="21">
        <f>(SUMPRODUCT(AS$9:AS$229,Nutrients!$FB$8:$FB$228)+(IF($A$7=Nutrients!$B$8,Nutrients!$FB$8,Nutrients!$FB$9)*AS$7)+(((IF($A$8=Nutrients!$B$79,Nutrients!$FB$79,(IF($A$8=Nutrients!$B$77,Nutrients!$FB$77,Nutrients!$FB$78)))))*AS$8))</f>
        <v>0</v>
      </c>
      <c r="AT337" s="21">
        <f>(SUMPRODUCT(AT$9:AT$229,Nutrients!$FB$8:$FB$228)+(IF($A$7=Nutrients!$B$8,Nutrients!$FB$8,Nutrients!$FB$9)*AT$7)+(((IF($A$8=Nutrients!$B$79,Nutrients!$FB$79,(IF($A$8=Nutrients!$B$77,Nutrients!$FB$77,Nutrients!$FB$78)))))*AT$8))</f>
        <v>0</v>
      </c>
      <c r="AU337" s="21">
        <f>(SUMPRODUCT(AU$9:AU$229,Nutrients!$FB$8:$FB$228)+(IF($A$7=Nutrients!$B$8,Nutrients!$FB$8,Nutrients!$FB$9)*AU$7)+(((IF($A$8=Nutrients!$B$79,Nutrients!$FB$79,(IF($A$8=Nutrients!$B$77,Nutrients!$FB$77,Nutrients!$FB$78)))))*AU$8))</f>
        <v>0</v>
      </c>
      <c r="AV337" s="21">
        <f>(SUMPRODUCT(AV$9:AV$229,Nutrients!$FB$8:$FB$228)+(IF($A$7=Nutrients!$B$8,Nutrients!$FB$8,Nutrients!$FB$9)*AV$7)+(((IF($A$8=Nutrients!$B$79,Nutrients!$FB$79,(IF($A$8=Nutrients!$B$77,Nutrients!$FB$77,Nutrients!$FB$78)))))*AV$8))</f>
        <v>0</v>
      </c>
      <c r="AW337" s="21">
        <f>(SUMPRODUCT(AW$9:AW$229,Nutrients!$FB$8:$FB$228)+(IF($A$7=Nutrients!$B$8,Nutrients!$FB$8,Nutrients!$FB$9)*AW$7)+(((IF($A$8=Nutrients!$B$79,Nutrients!$FB$79,(IF($A$8=Nutrients!$B$77,Nutrients!$FB$77,Nutrients!$FB$78)))))*AW$8))</f>
        <v>0</v>
      </c>
    </row>
    <row r="338" spans="1:52" x14ac:dyDescent="0.25">
      <c r="A338" s="34" t="s">
        <v>131</v>
      </c>
      <c r="B338" s="21">
        <f>(SUMPRODUCT(B$9:B$229,Nutrients!$FC$8:$FC$228)+(IF($A$7=Nutrients!$B$8,Nutrients!$FC$8,Nutrients!$FC$9)*B$7)+(((IF($A$8=Nutrients!$B$79,Nutrients!$FC$79,(IF($A$8=Nutrients!$B$77,Nutrients!$FC$77,Nutrients!$FC$78)))))*B$8))</f>
        <v>0</v>
      </c>
      <c r="C338" s="21">
        <f>(SUMPRODUCT(C$9:C$229,Nutrients!$FC$8:$FC$228)+(IF($A$7=Nutrients!$B$8,Nutrients!$FC$8,Nutrients!$FC$9)*C$7)+(((IF($A$8=Nutrients!$B$79,Nutrients!$FC$79,(IF($A$8=Nutrients!$B$77,Nutrients!$FC$77,Nutrients!$FC$78)))))*C$8))</f>
        <v>0</v>
      </c>
      <c r="D338" s="21">
        <f>(SUMPRODUCT(D$9:D$229,Nutrients!$FC$8:$FC$228)+(IF($A$7=Nutrients!$B$8,Nutrients!$FC$8,Nutrients!$FC$9)*D$7)+(((IF($A$8=Nutrients!$B$79,Nutrients!$FC$79,(IF($A$8=Nutrients!$B$77,Nutrients!$FC$77,Nutrients!$FC$78)))))*D$8))</f>
        <v>0</v>
      </c>
      <c r="E338" s="21">
        <f>(SUMPRODUCT(E$9:E$229,Nutrients!$FC$8:$FC$228)+(IF($A$7=Nutrients!$B$8,Nutrients!$FC$8,Nutrients!$FC$9)*E$7)+(((IF($A$8=Nutrients!$B$79,Nutrients!$FC$79,(IF($A$8=Nutrients!$B$77,Nutrients!$FC$77,Nutrients!$FC$78)))))*E$8))</f>
        <v>0</v>
      </c>
      <c r="F338" s="21">
        <f>(SUMPRODUCT(F$9:F$229,Nutrients!$FC$8:$FC$228)+(IF($A$7=Nutrients!$B$8,Nutrients!$FC$8,Nutrients!$FC$9)*F$7)+(((IF($A$8=Nutrients!$B$79,Nutrients!$FC$79,(IF($A$8=Nutrients!$B$77,Nutrients!$FC$77,Nutrients!$FC$78)))))*F$8))</f>
        <v>0</v>
      </c>
      <c r="G338" s="21">
        <f>(SUMPRODUCT(G$9:G$229,Nutrients!$FC$8:$FC$228)+(IF($A$7=Nutrients!$B$8,Nutrients!$FC$8,Nutrients!$FC$9)*G$7)+(((IF($A$8=Nutrients!$B$79,Nutrients!$FC$79,(IF($A$8=Nutrients!$B$77,Nutrients!$FC$77,Nutrients!$FC$78)))))*G$8))</f>
        <v>0</v>
      </c>
      <c r="H338" s="226"/>
      <c r="I338" s="21">
        <f>(SUMPRODUCT(I$9:I$229,Nutrients!$FC$8:$FC$228)+(IF($A$7=Nutrients!$B$8,Nutrients!$FC$8,Nutrients!$FC$9)*I$7)+(((IF($A$8=Nutrients!$B$79,Nutrients!$FC$79,(IF($A$8=Nutrients!$B$77,Nutrients!$FC$77,Nutrients!$FC$78)))))*I$8))</f>
        <v>0</v>
      </c>
      <c r="J338" s="21">
        <f>(SUMPRODUCT(J$9:J$229,Nutrients!$FC$8:$FC$228)+(IF($A$7=Nutrients!$B$8,Nutrients!$FC$8,Nutrients!$FC$9)*J$7)+(((IF($A$8=Nutrients!$B$79,Nutrients!$FC$79,(IF($A$8=Nutrients!$B$77,Nutrients!$FC$77,Nutrients!$FC$78)))))*J$8))</f>
        <v>0</v>
      </c>
      <c r="K338" s="21">
        <f>(SUMPRODUCT(K$9:K$229,Nutrients!$FC$8:$FC$228)+(IF($A$7=Nutrients!$B$8,Nutrients!$FC$8,Nutrients!$FC$9)*K$7)+(((IF($A$8=Nutrients!$B$79,Nutrients!$FC$79,(IF($A$8=Nutrients!$B$77,Nutrients!$FC$77,Nutrients!$FC$78)))))*K$8))</f>
        <v>0</v>
      </c>
      <c r="L338" s="21">
        <f>(SUMPRODUCT(L$9:L$229,Nutrients!$FC$8:$FC$228)+(IF($A$7=Nutrients!$B$8,Nutrients!$FC$8,Nutrients!$FC$9)*L$7)+(((IF($A$8=Nutrients!$B$79,Nutrients!$FC$79,(IF($A$8=Nutrients!$B$77,Nutrients!$FC$77,Nutrients!$FC$78)))))*L$8))</f>
        <v>0</v>
      </c>
      <c r="M338" s="21">
        <f>(SUMPRODUCT(M$9:M$229,Nutrients!$FC$8:$FC$228)+(IF($A$7=Nutrients!$B$8,Nutrients!$FC$8,Nutrients!$FC$9)*M$7)+(((IF($A$8=Nutrients!$B$79,Nutrients!$FC$79,(IF($A$8=Nutrients!$B$77,Nutrients!$FC$77,Nutrients!$FC$78)))))*M$8))</f>
        <v>0</v>
      </c>
      <c r="N338" s="21">
        <f>(SUMPRODUCT(N$9:N$229,Nutrients!$FC$8:$FC$228)+(IF($A$7=Nutrients!$B$8,Nutrients!$FC$8,Nutrients!$FC$9)*N$7)+(((IF($A$8=Nutrients!$B$79,Nutrients!$FC$79,(IF($A$8=Nutrients!$B$77,Nutrients!$FC$77,Nutrients!$FC$78)))))*N$8))</f>
        <v>0</v>
      </c>
      <c r="O338" s="234"/>
      <c r="P338" s="21">
        <f>(SUMPRODUCT(P$9:P$229,Nutrients!$FC$8:$FC$228)+(IF($A$7=Nutrients!$B$8,Nutrients!$FC$8,Nutrients!$FC$9)*P$7)+(((IF($A$8=Nutrients!$B$79,Nutrients!$FC$79,(IF($A$8=Nutrients!$B$77,Nutrients!$FC$77,Nutrients!$FC$78)))))*P$8))</f>
        <v>0</v>
      </c>
      <c r="Q338" s="21">
        <f>(SUMPRODUCT(Q$9:Q$229,Nutrients!$FC$8:$FC$228)+(IF($A$7=Nutrients!$B$8,Nutrients!$FC$8,Nutrients!$FC$9)*Q$7)+(((IF($A$8=Nutrients!$B$79,Nutrients!$FC$79,(IF($A$8=Nutrients!$B$77,Nutrients!$FC$77,Nutrients!$FC$78)))))*Q$8))</f>
        <v>0</v>
      </c>
      <c r="R338" s="21">
        <f>(SUMPRODUCT(R$9:R$229,Nutrients!$FC$8:$FC$228)+(IF($A$7=Nutrients!$B$8,Nutrients!$FC$8,Nutrients!$FC$9)*R$7)+(((IF($A$8=Nutrients!$B$79,Nutrients!$FC$79,(IF($A$8=Nutrients!$B$77,Nutrients!$FC$77,Nutrients!$FC$78)))))*R$8))</f>
        <v>0</v>
      </c>
      <c r="S338" s="21">
        <f>(SUMPRODUCT(S$9:S$229,Nutrients!$FC$8:$FC$228)+(IF($A$7=Nutrients!$B$8,Nutrients!$FC$8,Nutrients!$FC$9)*S$7)+(((IF($A$8=Nutrients!$B$79,Nutrients!$FC$79,(IF($A$8=Nutrients!$B$77,Nutrients!$FC$77,Nutrients!$FC$78)))))*S$8))</f>
        <v>0</v>
      </c>
      <c r="T338" s="21">
        <f>(SUMPRODUCT(T$9:T$229,Nutrients!$FC$8:$FC$228)+(IF($A$7=Nutrients!$B$8,Nutrients!$FC$8,Nutrients!$FC$9)*T$7)+(((IF($A$8=Nutrients!$B$79,Nutrients!$FC$79,(IF($A$8=Nutrients!$B$77,Nutrients!$FC$77,Nutrients!$FC$78)))))*T$8))</f>
        <v>0</v>
      </c>
      <c r="U338" s="21">
        <f>(SUMPRODUCT(U$9:U$229,Nutrients!$FC$8:$FC$228)+(IF($A$7=Nutrients!$B$8,Nutrients!$FC$8,Nutrients!$FC$9)*U$7)+(((IF($A$8=Nutrients!$B$79,Nutrients!$FC$79,(IF($A$8=Nutrients!$B$77,Nutrients!$FC$77,Nutrients!$FC$78)))))*U$8))</f>
        <v>0</v>
      </c>
      <c r="W338" s="21">
        <f>(SUMPRODUCT(W$9:W$229,Nutrients!$FC$8:$FC$228)+(IF($A$7=Nutrients!$B$8,Nutrients!$FC$8,Nutrients!$FC$9)*W$7)+(((IF($A$8=Nutrients!$B$79,Nutrients!$FC$79,(IF($A$8=Nutrients!$B$77,Nutrients!$FC$77,Nutrients!$FC$78)))))*W$8))</f>
        <v>0</v>
      </c>
      <c r="X338" s="21">
        <f>(SUMPRODUCT(X$9:X$229,Nutrients!$FC$8:$FC$228)+(IF($A$7=Nutrients!$B$8,Nutrients!$FC$8,Nutrients!$FC$9)*X$7)+(((IF($A$8=Nutrients!$B$79,Nutrients!$FC$79,(IF($A$8=Nutrients!$B$77,Nutrients!$FC$77,Nutrients!$FC$78)))))*X$8))</f>
        <v>0</v>
      </c>
      <c r="Y338" s="21">
        <f>(SUMPRODUCT(Y$9:Y$229,Nutrients!$FC$8:$FC$228)+(IF($A$7=Nutrients!$B$8,Nutrients!$FC$8,Nutrients!$FC$9)*Y$7)+(((IF($A$8=Nutrients!$B$79,Nutrients!$FC$79,(IF($A$8=Nutrients!$B$77,Nutrients!$FC$77,Nutrients!$FC$78)))))*Y$8))</f>
        <v>0</v>
      </c>
      <c r="Z338" s="21">
        <f>(SUMPRODUCT(Z$9:Z$229,Nutrients!$FC$8:$FC$228)+(IF($A$7=Nutrients!$B$8,Nutrients!$FC$8,Nutrients!$FC$9)*Z$7)+(((IF($A$8=Nutrients!$B$79,Nutrients!$FC$79,(IF($A$8=Nutrients!$B$77,Nutrients!$FC$77,Nutrients!$FC$78)))))*Z$8))</f>
        <v>0</v>
      </c>
      <c r="AA338" s="21">
        <f>(SUMPRODUCT(AA$9:AA$229,Nutrients!$FC$8:$FC$228)+(IF($A$7=Nutrients!$B$8,Nutrients!$FC$8,Nutrients!$FC$9)*AA$7)+(((IF($A$8=Nutrients!$B$79,Nutrients!$FC$79,(IF($A$8=Nutrients!$B$77,Nutrients!$FC$77,Nutrients!$FC$78)))))*AA$8))</f>
        <v>0</v>
      </c>
      <c r="AB338" s="21">
        <f>(SUMPRODUCT(AB$9:AB$229,Nutrients!$FC$8:$FC$228)+(IF($A$7=Nutrients!$B$8,Nutrients!$FC$8,Nutrients!$FC$9)*AB$7)+(((IF($A$8=Nutrients!$B$79,Nutrients!$FC$79,(IF($A$8=Nutrients!$B$77,Nutrients!$FC$77,Nutrients!$FC$78)))))*AB$8))</f>
        <v>0</v>
      </c>
      <c r="AD338" s="21">
        <f>(SUMPRODUCT(AD$9:AD$229,Nutrients!$FC$8:$FC$228)+(IF($A$7=Nutrients!$B$8,Nutrients!$FC$8,Nutrients!$FC$9)*AD$7)+(((IF($A$8=Nutrients!$B$79,Nutrients!$FC$79,(IF($A$8=Nutrients!$B$77,Nutrients!$FC$77,Nutrients!$FC$78)))))*AD$8))</f>
        <v>0</v>
      </c>
      <c r="AE338" s="21">
        <f>(SUMPRODUCT(AE$9:AE$229,Nutrients!$FC$8:$FC$228)+(IF($A$7=Nutrients!$B$8,Nutrients!$FC$8,Nutrients!$FC$9)*AE$7)+(((IF($A$8=Nutrients!$B$79,Nutrients!$FC$79,(IF($A$8=Nutrients!$B$77,Nutrients!$FC$77,Nutrients!$FC$78)))))*AE$8))</f>
        <v>0</v>
      </c>
      <c r="AF338" s="21">
        <f>(SUMPRODUCT(AF$9:AF$229,Nutrients!$FC$8:$FC$228)+(IF($A$7=Nutrients!$B$8,Nutrients!$FC$8,Nutrients!$FC$9)*AF$7)+(((IF($A$8=Nutrients!$B$79,Nutrients!$FC$79,(IF($A$8=Nutrients!$B$77,Nutrients!$FC$77,Nutrients!$FC$78)))))*AF$8))</f>
        <v>0</v>
      </c>
      <c r="AG338" s="21">
        <f>(SUMPRODUCT(AG$9:AG$229,Nutrients!$FC$8:$FC$228)+(IF($A$7=Nutrients!$B$8,Nutrients!$FC$8,Nutrients!$FC$9)*AG$7)+(((IF($A$8=Nutrients!$B$79,Nutrients!$FC$79,(IF($A$8=Nutrients!$B$77,Nutrients!$FC$77,Nutrients!$FC$78)))))*AG$8))</f>
        <v>0</v>
      </c>
      <c r="AH338" s="21">
        <f>(SUMPRODUCT(AH$9:AH$229,Nutrients!$FC$8:$FC$228)+(IF($A$7=Nutrients!$B$8,Nutrients!$FC$8,Nutrients!$FC$9)*AH$7)+(((IF($A$8=Nutrients!$B$79,Nutrients!$FC$79,(IF($A$8=Nutrients!$B$77,Nutrients!$FC$77,Nutrients!$FC$78)))))*AH$8))</f>
        <v>0</v>
      </c>
      <c r="AI338" s="21">
        <f>(SUMPRODUCT(AI$9:AI$229,Nutrients!$FC$8:$FC$228)+(IF($A$7=Nutrients!$B$8,Nutrients!$FC$8,Nutrients!$FC$9)*AI$7)+(((IF($A$8=Nutrients!$B$79,Nutrients!$FC$79,(IF($A$8=Nutrients!$B$77,Nutrients!$FC$77,Nutrients!$FC$78)))))*AI$8))</f>
        <v>0</v>
      </c>
      <c r="AK338" s="21">
        <f>(SUMPRODUCT(AK$9:AK$229,Nutrients!$FC$8:$FC$228)+(IF($A$7=Nutrients!$B$8,Nutrients!$FC$8,Nutrients!$FC$9)*AK$7)+(((IF($A$8=Nutrients!$B$79,Nutrients!$FC$79,(IF($A$8=Nutrients!$B$77,Nutrients!$FC$77,Nutrients!$FC$78)))))*AK$8))</f>
        <v>0</v>
      </c>
      <c r="AL338" s="21">
        <f>(SUMPRODUCT(AL$9:AL$229,Nutrients!$FC$8:$FC$228)+(IF($A$7=Nutrients!$B$8,Nutrients!$FC$8,Nutrients!$FC$9)*AL$7)+(((IF($A$8=Nutrients!$B$79,Nutrients!$FC$79,(IF($A$8=Nutrients!$B$77,Nutrients!$FC$77,Nutrients!$FC$78)))))*AL$8))</f>
        <v>0</v>
      </c>
      <c r="AM338" s="21">
        <f>(SUMPRODUCT(AM$9:AM$229,Nutrients!$FC$8:$FC$228)+(IF($A$7=Nutrients!$B$8,Nutrients!$FC$8,Nutrients!$FC$9)*AM$7)+(((IF($A$8=Nutrients!$B$79,Nutrients!$FC$79,(IF($A$8=Nutrients!$B$77,Nutrients!$FC$77,Nutrients!$FC$78)))))*AM$8))</f>
        <v>0</v>
      </c>
      <c r="AN338" s="21">
        <f>(SUMPRODUCT(AN$9:AN$229,Nutrients!$FC$8:$FC$228)+(IF($A$7=Nutrients!$B$8,Nutrients!$FC$8,Nutrients!$FC$9)*AN$7)+(((IF($A$8=Nutrients!$B$79,Nutrients!$FC$79,(IF($A$8=Nutrients!$B$77,Nutrients!$FC$77,Nutrients!$FC$78)))))*AN$8))</f>
        <v>0</v>
      </c>
      <c r="AO338" s="21">
        <f>(SUMPRODUCT(AO$9:AO$229,Nutrients!$FC$8:$FC$228)+(IF($A$7=Nutrients!$B$8,Nutrients!$FC$8,Nutrients!$FC$9)*AO$7)+(((IF($A$8=Nutrients!$B$79,Nutrients!$FC$79,(IF($A$8=Nutrients!$B$77,Nutrients!$FC$77,Nutrients!$FC$78)))))*AO$8))</f>
        <v>0</v>
      </c>
      <c r="AP338" s="21">
        <f>(SUMPRODUCT(AP$9:AP$229,Nutrients!$FC$8:$FC$228)+(IF($A$7=Nutrients!$B$8,Nutrients!$FC$8,Nutrients!$FC$9)*AP$7)+(((IF($A$8=Nutrients!$B$79,Nutrients!$FC$79,(IF($A$8=Nutrients!$B$77,Nutrients!$FC$77,Nutrients!$FC$78)))))*AP$8))</f>
        <v>0</v>
      </c>
      <c r="AR338" s="21">
        <f>(SUMPRODUCT(AR$9:AR$229,Nutrients!$FC$8:$FC$228)+(IF($A$7=Nutrients!$B$8,Nutrients!$FC$8,Nutrients!$FC$9)*AR$7)+(((IF($A$8=Nutrients!$B$79,Nutrients!$FC$79,(IF($A$8=Nutrients!$B$77,Nutrients!$FC$77,Nutrients!$FC$78)))))*AR$8))</f>
        <v>0</v>
      </c>
      <c r="AS338" s="21">
        <f>(SUMPRODUCT(AS$9:AS$229,Nutrients!$FC$8:$FC$228)+(IF($A$7=Nutrients!$B$8,Nutrients!$FC$8,Nutrients!$FC$9)*AS$7)+(((IF($A$8=Nutrients!$B$79,Nutrients!$FC$79,(IF($A$8=Nutrients!$B$77,Nutrients!$FC$77,Nutrients!$FC$78)))))*AS$8))</f>
        <v>0</v>
      </c>
      <c r="AT338" s="21">
        <f>(SUMPRODUCT(AT$9:AT$229,Nutrients!$FC$8:$FC$228)+(IF($A$7=Nutrients!$B$8,Nutrients!$FC$8,Nutrients!$FC$9)*AT$7)+(((IF($A$8=Nutrients!$B$79,Nutrients!$FC$79,(IF($A$8=Nutrients!$B$77,Nutrients!$FC$77,Nutrients!$FC$78)))))*AT$8))</f>
        <v>0</v>
      </c>
      <c r="AU338" s="21">
        <f>(SUMPRODUCT(AU$9:AU$229,Nutrients!$FC$8:$FC$228)+(IF($A$7=Nutrients!$B$8,Nutrients!$FC$8,Nutrients!$FC$9)*AU$7)+(((IF($A$8=Nutrients!$B$79,Nutrients!$FC$79,(IF($A$8=Nutrients!$B$77,Nutrients!$FC$77,Nutrients!$FC$78)))))*AU$8))</f>
        <v>0</v>
      </c>
      <c r="AV338" s="21">
        <f>(SUMPRODUCT(AV$9:AV$229,Nutrients!$FC$8:$FC$228)+(IF($A$7=Nutrients!$B$8,Nutrients!$FC$8,Nutrients!$FC$9)*AV$7)+(((IF($A$8=Nutrients!$B$79,Nutrients!$FC$79,(IF($A$8=Nutrients!$B$77,Nutrients!$FC$77,Nutrients!$FC$78)))))*AV$8))</f>
        <v>0</v>
      </c>
      <c r="AW338" s="21">
        <f>(SUMPRODUCT(AW$9:AW$229,Nutrients!$FC$8:$FC$228)+(IF($A$7=Nutrients!$B$8,Nutrients!$FC$8,Nutrients!$FC$9)*AW$7)+(((IF($A$8=Nutrients!$B$79,Nutrients!$FC$79,(IF($A$8=Nutrients!$B$77,Nutrients!$FC$77,Nutrients!$FC$78)))))*AW$8))</f>
        <v>0</v>
      </c>
    </row>
    <row r="339" spans="1:52" x14ac:dyDescent="0.25">
      <c r="A339" s="34" t="s">
        <v>132</v>
      </c>
      <c r="B339" s="21">
        <f>(SUMPRODUCT(B$9:B$229,Nutrients!$FD$8:$FD$228)+(IF($A$7=Nutrients!$B$8,Nutrients!$FD$8,Nutrients!$FD$9)*B$7)+(((IF($A$8=Nutrients!$B$79,Nutrients!$FD$79,(IF($A$8=Nutrients!$B$77,Nutrients!$FD$77,Nutrients!$FD$78)))))*B$8))</f>
        <v>0</v>
      </c>
      <c r="C339" s="21">
        <f>(SUMPRODUCT(C$9:C$229,Nutrients!$FD$8:$FD$228)+(IF($A$7=Nutrients!$B$8,Nutrients!$FD$8,Nutrients!$FD$9)*C$7)+(((IF($A$8=Nutrients!$B$79,Nutrients!$FD$79,(IF($A$8=Nutrients!$B$77,Nutrients!$FD$77,Nutrients!$FD$78)))))*C$8))</f>
        <v>0</v>
      </c>
      <c r="D339" s="21">
        <f>(SUMPRODUCT(D$9:D$229,Nutrients!$FD$8:$FD$228)+(IF($A$7=Nutrients!$B$8,Nutrients!$FD$8,Nutrients!$FD$9)*D$7)+(((IF($A$8=Nutrients!$B$79,Nutrients!$FD$79,(IF($A$8=Nutrients!$B$77,Nutrients!$FD$77,Nutrients!$FD$78)))))*D$8))</f>
        <v>0</v>
      </c>
      <c r="E339" s="21">
        <f>(SUMPRODUCT(E$9:E$229,Nutrients!$FD$8:$FD$228)+(IF($A$7=Nutrients!$B$8,Nutrients!$FD$8,Nutrients!$FD$9)*E$7)+(((IF($A$8=Nutrients!$B$79,Nutrients!$FD$79,(IF($A$8=Nutrients!$B$77,Nutrients!$FD$77,Nutrients!$FD$78)))))*E$8))</f>
        <v>0</v>
      </c>
      <c r="F339" s="21">
        <f>(SUMPRODUCT(F$9:F$229,Nutrients!$FD$8:$FD$228)+(IF($A$7=Nutrients!$B$8,Nutrients!$FD$8,Nutrients!$FD$9)*F$7)+(((IF($A$8=Nutrients!$B$79,Nutrients!$FD$79,(IF($A$8=Nutrients!$B$77,Nutrients!$FD$77,Nutrients!$FD$78)))))*F$8))</f>
        <v>0</v>
      </c>
      <c r="G339" s="21">
        <f>(SUMPRODUCT(G$9:G$229,Nutrients!$FD$8:$FD$228)+(IF($A$7=Nutrients!$B$8,Nutrients!$FD$8,Nutrients!$FD$9)*G$7)+(((IF($A$8=Nutrients!$B$79,Nutrients!$FD$79,(IF($A$8=Nutrients!$B$77,Nutrients!$FD$77,Nutrients!$FD$78)))))*G$8))</f>
        <v>0</v>
      </c>
      <c r="H339" s="226"/>
      <c r="I339" s="21">
        <f>(SUMPRODUCT(I$9:I$229,Nutrients!$FD$8:$FD$228)+(IF($A$7=Nutrients!$B$8,Nutrients!$FD$8,Nutrients!$FD$9)*I$7)+(((IF($A$8=Nutrients!$B$79,Nutrients!$FD$79,(IF($A$8=Nutrients!$B$77,Nutrients!$FD$77,Nutrients!$FD$78)))))*I$8))</f>
        <v>0</v>
      </c>
      <c r="J339" s="21">
        <f>(SUMPRODUCT(J$9:J$229,Nutrients!$FD$8:$FD$228)+(IF($A$7=Nutrients!$B$8,Nutrients!$FD$8,Nutrients!$FD$9)*J$7)+(((IF($A$8=Nutrients!$B$79,Nutrients!$FD$79,(IF($A$8=Nutrients!$B$77,Nutrients!$FD$77,Nutrients!$FD$78)))))*J$8))</f>
        <v>0</v>
      </c>
      <c r="K339" s="21">
        <f>(SUMPRODUCT(K$9:K$229,Nutrients!$FD$8:$FD$228)+(IF($A$7=Nutrients!$B$8,Nutrients!$FD$8,Nutrients!$FD$9)*K$7)+(((IF($A$8=Nutrients!$B$79,Nutrients!$FD$79,(IF($A$8=Nutrients!$B$77,Nutrients!$FD$77,Nutrients!$FD$78)))))*K$8))</f>
        <v>0</v>
      </c>
      <c r="L339" s="21">
        <f>(SUMPRODUCT(L$9:L$229,Nutrients!$FD$8:$FD$228)+(IF($A$7=Nutrients!$B$8,Nutrients!$FD$8,Nutrients!$FD$9)*L$7)+(((IF($A$8=Nutrients!$B$79,Nutrients!$FD$79,(IF($A$8=Nutrients!$B$77,Nutrients!$FD$77,Nutrients!$FD$78)))))*L$8))</f>
        <v>0</v>
      </c>
      <c r="M339" s="21">
        <f>(SUMPRODUCT(M$9:M$229,Nutrients!$FD$8:$FD$228)+(IF($A$7=Nutrients!$B$8,Nutrients!$FD$8,Nutrients!$FD$9)*M$7)+(((IF($A$8=Nutrients!$B$79,Nutrients!$FD$79,(IF($A$8=Nutrients!$B$77,Nutrients!$FD$77,Nutrients!$FD$78)))))*M$8))</f>
        <v>0</v>
      </c>
      <c r="N339" s="21">
        <f>(SUMPRODUCT(N$9:N$229,Nutrients!$FD$8:$FD$228)+(IF($A$7=Nutrients!$B$8,Nutrients!$FD$8,Nutrients!$FD$9)*N$7)+(((IF($A$8=Nutrients!$B$79,Nutrients!$FD$79,(IF($A$8=Nutrients!$B$77,Nutrients!$FD$77,Nutrients!$FD$78)))))*N$8))</f>
        <v>0</v>
      </c>
      <c r="O339" s="234"/>
      <c r="P339" s="21">
        <f>(SUMPRODUCT(P$9:P$229,Nutrients!$FD$8:$FD$228)+(IF($A$7=Nutrients!$B$8,Nutrients!$FD$8,Nutrients!$FD$9)*P$7)+(((IF($A$8=Nutrients!$B$79,Nutrients!$FD$79,(IF($A$8=Nutrients!$B$77,Nutrients!$FD$77,Nutrients!$FD$78)))))*P$8))</f>
        <v>0</v>
      </c>
      <c r="Q339" s="21">
        <f>(SUMPRODUCT(Q$9:Q$229,Nutrients!$FD$8:$FD$228)+(IF($A$7=Nutrients!$B$8,Nutrients!$FD$8,Nutrients!$FD$9)*Q$7)+(((IF($A$8=Nutrients!$B$79,Nutrients!$FD$79,(IF($A$8=Nutrients!$B$77,Nutrients!$FD$77,Nutrients!$FD$78)))))*Q$8))</f>
        <v>0</v>
      </c>
      <c r="R339" s="21">
        <f>(SUMPRODUCT(R$9:R$229,Nutrients!$FD$8:$FD$228)+(IF($A$7=Nutrients!$B$8,Nutrients!$FD$8,Nutrients!$FD$9)*R$7)+(((IF($A$8=Nutrients!$B$79,Nutrients!$FD$79,(IF($A$8=Nutrients!$B$77,Nutrients!$FD$77,Nutrients!$FD$78)))))*R$8))</f>
        <v>0</v>
      </c>
      <c r="S339" s="21">
        <f>(SUMPRODUCT(S$9:S$229,Nutrients!$FD$8:$FD$228)+(IF($A$7=Nutrients!$B$8,Nutrients!$FD$8,Nutrients!$FD$9)*S$7)+(((IF($A$8=Nutrients!$B$79,Nutrients!$FD$79,(IF($A$8=Nutrients!$B$77,Nutrients!$FD$77,Nutrients!$FD$78)))))*S$8))</f>
        <v>0</v>
      </c>
      <c r="T339" s="21">
        <f>(SUMPRODUCT(T$9:T$229,Nutrients!$FD$8:$FD$228)+(IF($A$7=Nutrients!$B$8,Nutrients!$FD$8,Nutrients!$FD$9)*T$7)+(((IF($A$8=Nutrients!$B$79,Nutrients!$FD$79,(IF($A$8=Nutrients!$B$77,Nutrients!$FD$77,Nutrients!$FD$78)))))*T$8))</f>
        <v>0</v>
      </c>
      <c r="U339" s="21">
        <f>(SUMPRODUCT(U$9:U$229,Nutrients!$FD$8:$FD$228)+(IF($A$7=Nutrients!$B$8,Nutrients!$FD$8,Nutrients!$FD$9)*U$7)+(((IF($A$8=Nutrients!$B$79,Nutrients!$FD$79,(IF($A$8=Nutrients!$B$77,Nutrients!$FD$77,Nutrients!$FD$78)))))*U$8))</f>
        <v>0</v>
      </c>
      <c r="W339" s="21">
        <f>(SUMPRODUCT(W$9:W$229,Nutrients!$FD$8:$FD$228)+(IF($A$7=Nutrients!$B$8,Nutrients!$FD$8,Nutrients!$FD$9)*W$7)+(((IF($A$8=Nutrients!$B$79,Nutrients!$FD$79,(IF($A$8=Nutrients!$B$77,Nutrients!$FD$77,Nutrients!$FD$78)))))*W$8))</f>
        <v>0</v>
      </c>
      <c r="X339" s="21">
        <f>(SUMPRODUCT(X$9:X$229,Nutrients!$FD$8:$FD$228)+(IF($A$7=Nutrients!$B$8,Nutrients!$FD$8,Nutrients!$FD$9)*X$7)+(((IF($A$8=Nutrients!$B$79,Nutrients!$FD$79,(IF($A$8=Nutrients!$B$77,Nutrients!$FD$77,Nutrients!$FD$78)))))*X$8))</f>
        <v>0</v>
      </c>
      <c r="Y339" s="21">
        <f>(SUMPRODUCT(Y$9:Y$229,Nutrients!$FD$8:$FD$228)+(IF($A$7=Nutrients!$B$8,Nutrients!$FD$8,Nutrients!$FD$9)*Y$7)+(((IF($A$8=Nutrients!$B$79,Nutrients!$FD$79,(IF($A$8=Nutrients!$B$77,Nutrients!$FD$77,Nutrients!$FD$78)))))*Y$8))</f>
        <v>0</v>
      </c>
      <c r="Z339" s="21">
        <f>(SUMPRODUCT(Z$9:Z$229,Nutrients!$FD$8:$FD$228)+(IF($A$7=Nutrients!$B$8,Nutrients!$FD$8,Nutrients!$FD$9)*Z$7)+(((IF($A$8=Nutrients!$B$79,Nutrients!$FD$79,(IF($A$8=Nutrients!$B$77,Nutrients!$FD$77,Nutrients!$FD$78)))))*Z$8))</f>
        <v>0</v>
      </c>
      <c r="AA339" s="21">
        <f>(SUMPRODUCT(AA$9:AA$229,Nutrients!$FD$8:$FD$228)+(IF($A$7=Nutrients!$B$8,Nutrients!$FD$8,Nutrients!$FD$9)*AA$7)+(((IF($A$8=Nutrients!$B$79,Nutrients!$FD$79,(IF($A$8=Nutrients!$B$77,Nutrients!$FD$77,Nutrients!$FD$78)))))*AA$8))</f>
        <v>0</v>
      </c>
      <c r="AB339" s="21">
        <f>(SUMPRODUCT(AB$9:AB$229,Nutrients!$FD$8:$FD$228)+(IF($A$7=Nutrients!$B$8,Nutrients!$FD$8,Nutrients!$FD$9)*AB$7)+(((IF($A$8=Nutrients!$B$79,Nutrients!$FD$79,(IF($A$8=Nutrients!$B$77,Nutrients!$FD$77,Nutrients!$FD$78)))))*AB$8))</f>
        <v>0</v>
      </c>
      <c r="AD339" s="21">
        <f>(SUMPRODUCT(AD$9:AD$229,Nutrients!$FD$8:$FD$228)+(IF($A$7=Nutrients!$B$8,Nutrients!$FD$8,Nutrients!$FD$9)*AD$7)+(((IF($A$8=Nutrients!$B$79,Nutrients!$FD$79,(IF($A$8=Nutrients!$B$77,Nutrients!$FD$77,Nutrients!$FD$78)))))*AD$8))</f>
        <v>0</v>
      </c>
      <c r="AE339" s="21">
        <f>(SUMPRODUCT(AE$9:AE$229,Nutrients!$FD$8:$FD$228)+(IF($A$7=Nutrients!$B$8,Nutrients!$FD$8,Nutrients!$FD$9)*AE$7)+(((IF($A$8=Nutrients!$B$79,Nutrients!$FD$79,(IF($A$8=Nutrients!$B$77,Nutrients!$FD$77,Nutrients!$FD$78)))))*AE$8))</f>
        <v>0</v>
      </c>
      <c r="AF339" s="21">
        <f>(SUMPRODUCT(AF$9:AF$229,Nutrients!$FD$8:$FD$228)+(IF($A$7=Nutrients!$B$8,Nutrients!$FD$8,Nutrients!$FD$9)*AF$7)+(((IF($A$8=Nutrients!$B$79,Nutrients!$FD$79,(IF($A$8=Nutrients!$B$77,Nutrients!$FD$77,Nutrients!$FD$78)))))*AF$8))</f>
        <v>0</v>
      </c>
      <c r="AG339" s="21">
        <f>(SUMPRODUCT(AG$9:AG$229,Nutrients!$FD$8:$FD$228)+(IF($A$7=Nutrients!$B$8,Nutrients!$FD$8,Nutrients!$FD$9)*AG$7)+(((IF($A$8=Nutrients!$B$79,Nutrients!$FD$79,(IF($A$8=Nutrients!$B$77,Nutrients!$FD$77,Nutrients!$FD$78)))))*AG$8))</f>
        <v>0</v>
      </c>
      <c r="AH339" s="21">
        <f>(SUMPRODUCT(AH$9:AH$229,Nutrients!$FD$8:$FD$228)+(IF($A$7=Nutrients!$B$8,Nutrients!$FD$8,Nutrients!$FD$9)*AH$7)+(((IF($A$8=Nutrients!$B$79,Nutrients!$FD$79,(IF($A$8=Nutrients!$B$77,Nutrients!$FD$77,Nutrients!$FD$78)))))*AH$8))</f>
        <v>0</v>
      </c>
      <c r="AI339" s="21">
        <f>(SUMPRODUCT(AI$9:AI$229,Nutrients!$FD$8:$FD$228)+(IF($A$7=Nutrients!$B$8,Nutrients!$FD$8,Nutrients!$FD$9)*AI$7)+(((IF($A$8=Nutrients!$B$79,Nutrients!$FD$79,(IF($A$8=Nutrients!$B$77,Nutrients!$FD$77,Nutrients!$FD$78)))))*AI$8))</f>
        <v>0</v>
      </c>
      <c r="AK339" s="21">
        <f>(SUMPRODUCT(AK$9:AK$229,Nutrients!$FD$8:$FD$228)+(IF($A$7=Nutrients!$B$8,Nutrients!$FD$8,Nutrients!$FD$9)*AK$7)+(((IF($A$8=Nutrients!$B$79,Nutrients!$FD$79,(IF($A$8=Nutrients!$B$77,Nutrients!$FD$77,Nutrients!$FD$78)))))*AK$8))</f>
        <v>0</v>
      </c>
      <c r="AL339" s="21">
        <f>(SUMPRODUCT(AL$9:AL$229,Nutrients!$FD$8:$FD$228)+(IF($A$7=Nutrients!$B$8,Nutrients!$FD$8,Nutrients!$FD$9)*AL$7)+(((IF($A$8=Nutrients!$B$79,Nutrients!$FD$79,(IF($A$8=Nutrients!$B$77,Nutrients!$FD$77,Nutrients!$FD$78)))))*AL$8))</f>
        <v>0</v>
      </c>
      <c r="AM339" s="21">
        <f>(SUMPRODUCT(AM$9:AM$229,Nutrients!$FD$8:$FD$228)+(IF($A$7=Nutrients!$B$8,Nutrients!$FD$8,Nutrients!$FD$9)*AM$7)+(((IF($A$8=Nutrients!$B$79,Nutrients!$FD$79,(IF($A$8=Nutrients!$B$77,Nutrients!$FD$77,Nutrients!$FD$78)))))*AM$8))</f>
        <v>0</v>
      </c>
      <c r="AN339" s="21">
        <f>(SUMPRODUCT(AN$9:AN$229,Nutrients!$FD$8:$FD$228)+(IF($A$7=Nutrients!$B$8,Nutrients!$FD$8,Nutrients!$FD$9)*AN$7)+(((IF($A$8=Nutrients!$B$79,Nutrients!$FD$79,(IF($A$8=Nutrients!$B$77,Nutrients!$FD$77,Nutrients!$FD$78)))))*AN$8))</f>
        <v>0</v>
      </c>
      <c r="AO339" s="21">
        <f>(SUMPRODUCT(AO$9:AO$229,Nutrients!$FD$8:$FD$228)+(IF($A$7=Nutrients!$B$8,Nutrients!$FD$8,Nutrients!$FD$9)*AO$7)+(((IF($A$8=Nutrients!$B$79,Nutrients!$FD$79,(IF($A$8=Nutrients!$B$77,Nutrients!$FD$77,Nutrients!$FD$78)))))*AO$8))</f>
        <v>0</v>
      </c>
      <c r="AP339" s="21">
        <f>(SUMPRODUCT(AP$9:AP$229,Nutrients!$FD$8:$FD$228)+(IF($A$7=Nutrients!$B$8,Nutrients!$FD$8,Nutrients!$FD$9)*AP$7)+(((IF($A$8=Nutrients!$B$79,Nutrients!$FD$79,(IF($A$8=Nutrients!$B$77,Nutrients!$FD$77,Nutrients!$FD$78)))))*AP$8))</f>
        <v>0</v>
      </c>
      <c r="AR339" s="21">
        <f>(SUMPRODUCT(AR$9:AR$229,Nutrients!$FD$8:$FD$228)+(IF($A$7=Nutrients!$B$8,Nutrients!$FD$8,Nutrients!$FD$9)*AR$7)+(((IF($A$8=Nutrients!$B$79,Nutrients!$FD$79,(IF($A$8=Nutrients!$B$77,Nutrients!$FD$77,Nutrients!$FD$78)))))*AR$8))</f>
        <v>0</v>
      </c>
      <c r="AS339" s="21">
        <f>(SUMPRODUCT(AS$9:AS$229,Nutrients!$FD$8:$FD$228)+(IF($A$7=Nutrients!$B$8,Nutrients!$FD$8,Nutrients!$FD$9)*AS$7)+(((IF($A$8=Nutrients!$B$79,Nutrients!$FD$79,(IF($A$8=Nutrients!$B$77,Nutrients!$FD$77,Nutrients!$FD$78)))))*AS$8))</f>
        <v>0</v>
      </c>
      <c r="AT339" s="21">
        <f>(SUMPRODUCT(AT$9:AT$229,Nutrients!$FD$8:$FD$228)+(IF($A$7=Nutrients!$B$8,Nutrients!$FD$8,Nutrients!$FD$9)*AT$7)+(((IF($A$8=Nutrients!$B$79,Nutrients!$FD$79,(IF($A$8=Nutrients!$B$77,Nutrients!$FD$77,Nutrients!$FD$78)))))*AT$8))</f>
        <v>0</v>
      </c>
      <c r="AU339" s="21">
        <f>(SUMPRODUCT(AU$9:AU$229,Nutrients!$FD$8:$FD$228)+(IF($A$7=Nutrients!$B$8,Nutrients!$FD$8,Nutrients!$FD$9)*AU$7)+(((IF($A$8=Nutrients!$B$79,Nutrients!$FD$79,(IF($A$8=Nutrients!$B$77,Nutrients!$FD$77,Nutrients!$FD$78)))))*AU$8))</f>
        <v>0</v>
      </c>
      <c r="AV339" s="21">
        <f>(SUMPRODUCT(AV$9:AV$229,Nutrients!$FD$8:$FD$228)+(IF($A$7=Nutrients!$B$8,Nutrients!$FD$8,Nutrients!$FD$9)*AV$7)+(((IF($A$8=Nutrients!$B$79,Nutrients!$FD$79,(IF($A$8=Nutrients!$B$77,Nutrients!$FD$77,Nutrients!$FD$78)))))*AV$8))</f>
        <v>0</v>
      </c>
      <c r="AW339" s="21">
        <f>(SUMPRODUCT(AW$9:AW$229,Nutrients!$FD$8:$FD$228)+(IF($A$7=Nutrients!$B$8,Nutrients!$FD$8,Nutrients!$FD$9)*AW$7)+(((IF($A$8=Nutrients!$B$79,Nutrients!$FD$79,(IF($A$8=Nutrients!$B$77,Nutrients!$FD$77,Nutrients!$FD$78)))))*AW$8))</f>
        <v>0</v>
      </c>
    </row>
    <row r="340" spans="1:52" x14ac:dyDescent="0.25">
      <c r="A340" s="34" t="s">
        <v>133</v>
      </c>
      <c r="B340" s="21">
        <f>(SUMPRODUCT(B$9:B$229,Nutrients!$FE$8:$FE$228)+(IF($A$7=Nutrients!$B$8,Nutrients!$FE$8,Nutrients!$FE$9)*B$7)+(((IF($A$8=Nutrients!$B$79,Nutrients!$FE$79,(IF($A$8=Nutrients!$B$77,Nutrients!$FE$77,Nutrients!$FE$78)))))*B$8))</f>
        <v>0</v>
      </c>
      <c r="C340" s="21">
        <f>(SUMPRODUCT(C$9:C$229,Nutrients!$FE$8:$FE$228)+(IF($A$7=Nutrients!$B$8,Nutrients!$FE$8,Nutrients!$FE$9)*C$7)+(((IF($A$8=Nutrients!$B$79,Nutrients!$FE$79,(IF($A$8=Nutrients!$B$77,Nutrients!$FE$77,Nutrients!$FE$78)))))*C$8))</f>
        <v>0</v>
      </c>
      <c r="D340" s="21">
        <f>(SUMPRODUCT(D$9:D$229,Nutrients!$FE$8:$FE$228)+(IF($A$7=Nutrients!$B$8,Nutrients!$FE$8,Nutrients!$FE$9)*D$7)+(((IF($A$8=Nutrients!$B$79,Nutrients!$FE$79,(IF($A$8=Nutrients!$B$77,Nutrients!$FE$77,Nutrients!$FE$78)))))*D$8))</f>
        <v>0</v>
      </c>
      <c r="E340" s="21">
        <f>(SUMPRODUCT(E$9:E$229,Nutrients!$FE$8:$FE$228)+(IF($A$7=Nutrients!$B$8,Nutrients!$FE$8,Nutrients!$FE$9)*E$7)+(((IF($A$8=Nutrients!$B$79,Nutrients!$FE$79,(IF($A$8=Nutrients!$B$77,Nutrients!$FE$77,Nutrients!$FE$78)))))*E$8))</f>
        <v>0</v>
      </c>
      <c r="F340" s="21">
        <f>(SUMPRODUCT(F$9:F$229,Nutrients!$FE$8:$FE$228)+(IF($A$7=Nutrients!$B$8,Nutrients!$FE$8,Nutrients!$FE$9)*F$7)+(((IF($A$8=Nutrients!$B$79,Nutrients!$FE$79,(IF($A$8=Nutrients!$B$77,Nutrients!$FE$77,Nutrients!$FE$78)))))*F$8))</f>
        <v>0</v>
      </c>
      <c r="G340" s="21">
        <f>(SUMPRODUCT(G$9:G$229,Nutrients!$FE$8:$FE$228)+(IF($A$7=Nutrients!$B$8,Nutrients!$FE$8,Nutrients!$FE$9)*G$7)+(((IF($A$8=Nutrients!$B$79,Nutrients!$FE$79,(IF($A$8=Nutrients!$B$77,Nutrients!$FE$77,Nutrients!$FE$78)))))*G$8))</f>
        <v>0</v>
      </c>
      <c r="H340" s="226"/>
      <c r="I340" s="21">
        <f>(SUMPRODUCT(I$9:I$229,Nutrients!$FE$8:$FE$228)+(IF($A$7=Nutrients!$B$8,Nutrients!$FE$8,Nutrients!$FE$9)*I$7)+(((IF($A$8=Nutrients!$B$79,Nutrients!$FE$79,(IF($A$8=Nutrients!$B$77,Nutrients!$FE$77,Nutrients!$FE$78)))))*I$8))</f>
        <v>0</v>
      </c>
      <c r="J340" s="21">
        <f>(SUMPRODUCT(J$9:J$229,Nutrients!$FE$8:$FE$228)+(IF($A$7=Nutrients!$B$8,Nutrients!$FE$8,Nutrients!$FE$9)*J$7)+(((IF($A$8=Nutrients!$B$79,Nutrients!$FE$79,(IF($A$8=Nutrients!$B$77,Nutrients!$FE$77,Nutrients!$FE$78)))))*J$8))</f>
        <v>0</v>
      </c>
      <c r="K340" s="21">
        <f>(SUMPRODUCT(K$9:K$229,Nutrients!$FE$8:$FE$228)+(IF($A$7=Nutrients!$B$8,Nutrients!$FE$8,Nutrients!$FE$9)*K$7)+(((IF($A$8=Nutrients!$B$79,Nutrients!$FE$79,(IF($A$8=Nutrients!$B$77,Nutrients!$FE$77,Nutrients!$FE$78)))))*K$8))</f>
        <v>0</v>
      </c>
      <c r="L340" s="21">
        <f>(SUMPRODUCT(L$9:L$229,Nutrients!$FE$8:$FE$228)+(IF($A$7=Nutrients!$B$8,Nutrients!$FE$8,Nutrients!$FE$9)*L$7)+(((IF($A$8=Nutrients!$B$79,Nutrients!$FE$79,(IF($A$8=Nutrients!$B$77,Nutrients!$FE$77,Nutrients!$FE$78)))))*L$8))</f>
        <v>0</v>
      </c>
      <c r="M340" s="21">
        <f>(SUMPRODUCT(M$9:M$229,Nutrients!$FE$8:$FE$228)+(IF($A$7=Nutrients!$B$8,Nutrients!$FE$8,Nutrients!$FE$9)*M$7)+(((IF($A$8=Nutrients!$B$79,Nutrients!$FE$79,(IF($A$8=Nutrients!$B$77,Nutrients!$FE$77,Nutrients!$FE$78)))))*M$8))</f>
        <v>0</v>
      </c>
      <c r="N340" s="21">
        <f>(SUMPRODUCT(N$9:N$229,Nutrients!$FE$8:$FE$228)+(IF($A$7=Nutrients!$B$8,Nutrients!$FE$8,Nutrients!$FE$9)*N$7)+(((IF($A$8=Nutrients!$B$79,Nutrients!$FE$79,(IF($A$8=Nutrients!$B$77,Nutrients!$FE$77,Nutrients!$FE$78)))))*N$8))</f>
        <v>0</v>
      </c>
      <c r="O340" s="234"/>
      <c r="P340" s="21">
        <f>(SUMPRODUCT(P$9:P$229,Nutrients!$FE$8:$FE$228)+(IF($A$7=Nutrients!$B$8,Nutrients!$FE$8,Nutrients!$FE$9)*P$7)+(((IF($A$8=Nutrients!$B$79,Nutrients!$FE$79,(IF($A$8=Nutrients!$B$77,Nutrients!$FE$77,Nutrients!$FE$78)))))*P$8))</f>
        <v>0</v>
      </c>
      <c r="Q340" s="21">
        <f>(SUMPRODUCT(Q$9:Q$229,Nutrients!$FE$8:$FE$228)+(IF($A$7=Nutrients!$B$8,Nutrients!$FE$8,Nutrients!$FE$9)*Q$7)+(((IF($A$8=Nutrients!$B$79,Nutrients!$FE$79,(IF($A$8=Nutrients!$B$77,Nutrients!$FE$77,Nutrients!$FE$78)))))*Q$8))</f>
        <v>0</v>
      </c>
      <c r="R340" s="21">
        <f>(SUMPRODUCT(R$9:R$229,Nutrients!$FE$8:$FE$228)+(IF($A$7=Nutrients!$B$8,Nutrients!$FE$8,Nutrients!$FE$9)*R$7)+(((IF($A$8=Nutrients!$B$79,Nutrients!$FE$79,(IF($A$8=Nutrients!$B$77,Nutrients!$FE$77,Nutrients!$FE$78)))))*R$8))</f>
        <v>0</v>
      </c>
      <c r="S340" s="21">
        <f>(SUMPRODUCT(S$9:S$229,Nutrients!$FE$8:$FE$228)+(IF($A$7=Nutrients!$B$8,Nutrients!$FE$8,Nutrients!$FE$9)*S$7)+(((IF($A$8=Nutrients!$B$79,Nutrients!$FE$79,(IF($A$8=Nutrients!$B$77,Nutrients!$FE$77,Nutrients!$FE$78)))))*S$8))</f>
        <v>0</v>
      </c>
      <c r="T340" s="21">
        <f>(SUMPRODUCT(T$9:T$229,Nutrients!$FE$8:$FE$228)+(IF($A$7=Nutrients!$B$8,Nutrients!$FE$8,Nutrients!$FE$9)*T$7)+(((IF($A$8=Nutrients!$B$79,Nutrients!$FE$79,(IF($A$8=Nutrients!$B$77,Nutrients!$FE$77,Nutrients!$FE$78)))))*T$8))</f>
        <v>0</v>
      </c>
      <c r="U340" s="21">
        <f>(SUMPRODUCT(U$9:U$229,Nutrients!$FE$8:$FE$228)+(IF($A$7=Nutrients!$B$8,Nutrients!$FE$8,Nutrients!$FE$9)*U$7)+(((IF($A$8=Nutrients!$B$79,Nutrients!$FE$79,(IF($A$8=Nutrients!$B$77,Nutrients!$FE$77,Nutrients!$FE$78)))))*U$8))</f>
        <v>0</v>
      </c>
      <c r="W340" s="21">
        <f>(SUMPRODUCT(W$9:W$229,Nutrients!$FE$8:$FE$228)+(IF($A$7=Nutrients!$B$8,Nutrients!$FE$8,Nutrients!$FE$9)*W$7)+(((IF($A$8=Nutrients!$B$79,Nutrients!$FE$79,(IF($A$8=Nutrients!$B$77,Nutrients!$FE$77,Nutrients!$FE$78)))))*W$8))</f>
        <v>0</v>
      </c>
      <c r="X340" s="21">
        <f>(SUMPRODUCT(X$9:X$229,Nutrients!$FE$8:$FE$228)+(IF($A$7=Nutrients!$B$8,Nutrients!$FE$8,Nutrients!$FE$9)*X$7)+(((IF($A$8=Nutrients!$B$79,Nutrients!$FE$79,(IF($A$8=Nutrients!$B$77,Nutrients!$FE$77,Nutrients!$FE$78)))))*X$8))</f>
        <v>0</v>
      </c>
      <c r="Y340" s="21">
        <f>(SUMPRODUCT(Y$9:Y$229,Nutrients!$FE$8:$FE$228)+(IF($A$7=Nutrients!$B$8,Nutrients!$FE$8,Nutrients!$FE$9)*Y$7)+(((IF($A$8=Nutrients!$B$79,Nutrients!$FE$79,(IF($A$8=Nutrients!$B$77,Nutrients!$FE$77,Nutrients!$FE$78)))))*Y$8))</f>
        <v>0</v>
      </c>
      <c r="Z340" s="21">
        <f>(SUMPRODUCT(Z$9:Z$229,Nutrients!$FE$8:$FE$228)+(IF($A$7=Nutrients!$B$8,Nutrients!$FE$8,Nutrients!$FE$9)*Z$7)+(((IF($A$8=Nutrients!$B$79,Nutrients!$FE$79,(IF($A$8=Nutrients!$B$77,Nutrients!$FE$77,Nutrients!$FE$78)))))*Z$8))</f>
        <v>0</v>
      </c>
      <c r="AA340" s="21">
        <f>(SUMPRODUCT(AA$9:AA$229,Nutrients!$FE$8:$FE$228)+(IF($A$7=Nutrients!$B$8,Nutrients!$FE$8,Nutrients!$FE$9)*AA$7)+(((IF($A$8=Nutrients!$B$79,Nutrients!$FE$79,(IF($A$8=Nutrients!$B$77,Nutrients!$FE$77,Nutrients!$FE$78)))))*AA$8))</f>
        <v>0</v>
      </c>
      <c r="AB340" s="21">
        <f>(SUMPRODUCT(AB$9:AB$229,Nutrients!$FE$8:$FE$228)+(IF($A$7=Nutrients!$B$8,Nutrients!$FE$8,Nutrients!$FE$9)*AB$7)+(((IF($A$8=Nutrients!$B$79,Nutrients!$FE$79,(IF($A$8=Nutrients!$B$77,Nutrients!$FE$77,Nutrients!$FE$78)))))*AB$8))</f>
        <v>0</v>
      </c>
      <c r="AD340" s="21">
        <f>(SUMPRODUCT(AD$9:AD$229,Nutrients!$FE$8:$FE$228)+(IF($A$7=Nutrients!$B$8,Nutrients!$FE$8,Nutrients!$FE$9)*AD$7)+(((IF($A$8=Nutrients!$B$79,Nutrients!$FE$79,(IF($A$8=Nutrients!$B$77,Nutrients!$FE$77,Nutrients!$FE$78)))))*AD$8))</f>
        <v>0</v>
      </c>
      <c r="AE340" s="21">
        <f>(SUMPRODUCT(AE$9:AE$229,Nutrients!$FE$8:$FE$228)+(IF($A$7=Nutrients!$B$8,Nutrients!$FE$8,Nutrients!$FE$9)*AE$7)+(((IF($A$8=Nutrients!$B$79,Nutrients!$FE$79,(IF($A$8=Nutrients!$B$77,Nutrients!$FE$77,Nutrients!$FE$78)))))*AE$8))</f>
        <v>0</v>
      </c>
      <c r="AF340" s="21">
        <f>(SUMPRODUCT(AF$9:AF$229,Nutrients!$FE$8:$FE$228)+(IF($A$7=Nutrients!$B$8,Nutrients!$FE$8,Nutrients!$FE$9)*AF$7)+(((IF($A$8=Nutrients!$B$79,Nutrients!$FE$79,(IF($A$8=Nutrients!$B$77,Nutrients!$FE$77,Nutrients!$FE$78)))))*AF$8))</f>
        <v>0</v>
      </c>
      <c r="AG340" s="21">
        <f>(SUMPRODUCT(AG$9:AG$229,Nutrients!$FE$8:$FE$228)+(IF($A$7=Nutrients!$B$8,Nutrients!$FE$8,Nutrients!$FE$9)*AG$7)+(((IF($A$8=Nutrients!$B$79,Nutrients!$FE$79,(IF($A$8=Nutrients!$B$77,Nutrients!$FE$77,Nutrients!$FE$78)))))*AG$8))</f>
        <v>0</v>
      </c>
      <c r="AH340" s="21">
        <f>(SUMPRODUCT(AH$9:AH$229,Nutrients!$FE$8:$FE$228)+(IF($A$7=Nutrients!$B$8,Nutrients!$FE$8,Nutrients!$FE$9)*AH$7)+(((IF($A$8=Nutrients!$B$79,Nutrients!$FE$79,(IF($A$8=Nutrients!$B$77,Nutrients!$FE$77,Nutrients!$FE$78)))))*AH$8))</f>
        <v>0</v>
      </c>
      <c r="AI340" s="21">
        <f>(SUMPRODUCT(AI$9:AI$229,Nutrients!$FE$8:$FE$228)+(IF($A$7=Nutrients!$B$8,Nutrients!$FE$8,Nutrients!$FE$9)*AI$7)+(((IF($A$8=Nutrients!$B$79,Nutrients!$FE$79,(IF($A$8=Nutrients!$B$77,Nutrients!$FE$77,Nutrients!$FE$78)))))*AI$8))</f>
        <v>0</v>
      </c>
      <c r="AK340" s="21">
        <f>(SUMPRODUCT(AK$9:AK$229,Nutrients!$FE$8:$FE$228)+(IF($A$7=Nutrients!$B$8,Nutrients!$FE$8,Nutrients!$FE$9)*AK$7)+(((IF($A$8=Nutrients!$B$79,Nutrients!$FE$79,(IF($A$8=Nutrients!$B$77,Nutrients!$FE$77,Nutrients!$FE$78)))))*AK$8))</f>
        <v>0</v>
      </c>
      <c r="AL340" s="21">
        <f>(SUMPRODUCT(AL$9:AL$229,Nutrients!$FE$8:$FE$228)+(IF($A$7=Nutrients!$B$8,Nutrients!$FE$8,Nutrients!$FE$9)*AL$7)+(((IF($A$8=Nutrients!$B$79,Nutrients!$FE$79,(IF($A$8=Nutrients!$B$77,Nutrients!$FE$77,Nutrients!$FE$78)))))*AL$8))</f>
        <v>0</v>
      </c>
      <c r="AM340" s="21">
        <f>(SUMPRODUCT(AM$9:AM$229,Nutrients!$FE$8:$FE$228)+(IF($A$7=Nutrients!$B$8,Nutrients!$FE$8,Nutrients!$FE$9)*AM$7)+(((IF($A$8=Nutrients!$B$79,Nutrients!$FE$79,(IF($A$8=Nutrients!$B$77,Nutrients!$FE$77,Nutrients!$FE$78)))))*AM$8))</f>
        <v>0</v>
      </c>
      <c r="AN340" s="21">
        <f>(SUMPRODUCT(AN$9:AN$229,Nutrients!$FE$8:$FE$228)+(IF($A$7=Nutrients!$B$8,Nutrients!$FE$8,Nutrients!$FE$9)*AN$7)+(((IF($A$8=Nutrients!$B$79,Nutrients!$FE$79,(IF($A$8=Nutrients!$B$77,Nutrients!$FE$77,Nutrients!$FE$78)))))*AN$8))</f>
        <v>0</v>
      </c>
      <c r="AO340" s="21">
        <f>(SUMPRODUCT(AO$9:AO$229,Nutrients!$FE$8:$FE$228)+(IF($A$7=Nutrients!$B$8,Nutrients!$FE$8,Nutrients!$FE$9)*AO$7)+(((IF($A$8=Nutrients!$B$79,Nutrients!$FE$79,(IF($A$8=Nutrients!$B$77,Nutrients!$FE$77,Nutrients!$FE$78)))))*AO$8))</f>
        <v>0</v>
      </c>
      <c r="AP340" s="21">
        <f>(SUMPRODUCT(AP$9:AP$229,Nutrients!$FE$8:$FE$228)+(IF($A$7=Nutrients!$B$8,Nutrients!$FE$8,Nutrients!$FE$9)*AP$7)+(((IF($A$8=Nutrients!$B$79,Nutrients!$FE$79,(IF($A$8=Nutrients!$B$77,Nutrients!$FE$77,Nutrients!$FE$78)))))*AP$8))</f>
        <v>0</v>
      </c>
      <c r="AR340" s="21">
        <f>(SUMPRODUCT(AR$9:AR$229,Nutrients!$FE$8:$FE$228)+(IF($A$7=Nutrients!$B$8,Nutrients!$FE$8,Nutrients!$FE$9)*AR$7)+(((IF($A$8=Nutrients!$B$79,Nutrients!$FE$79,(IF($A$8=Nutrients!$B$77,Nutrients!$FE$77,Nutrients!$FE$78)))))*AR$8))</f>
        <v>0</v>
      </c>
      <c r="AS340" s="21">
        <f>(SUMPRODUCT(AS$9:AS$229,Nutrients!$FE$8:$FE$228)+(IF($A$7=Nutrients!$B$8,Nutrients!$FE$8,Nutrients!$FE$9)*AS$7)+(((IF($A$8=Nutrients!$B$79,Nutrients!$FE$79,(IF($A$8=Nutrients!$B$77,Nutrients!$FE$77,Nutrients!$FE$78)))))*AS$8))</f>
        <v>0</v>
      </c>
      <c r="AT340" s="21">
        <f>(SUMPRODUCT(AT$9:AT$229,Nutrients!$FE$8:$FE$228)+(IF($A$7=Nutrients!$B$8,Nutrients!$FE$8,Nutrients!$FE$9)*AT$7)+(((IF($A$8=Nutrients!$B$79,Nutrients!$FE$79,(IF($A$8=Nutrients!$B$77,Nutrients!$FE$77,Nutrients!$FE$78)))))*AT$8))</f>
        <v>0</v>
      </c>
      <c r="AU340" s="21">
        <f>(SUMPRODUCT(AU$9:AU$229,Nutrients!$FE$8:$FE$228)+(IF($A$7=Nutrients!$B$8,Nutrients!$FE$8,Nutrients!$FE$9)*AU$7)+(((IF($A$8=Nutrients!$B$79,Nutrients!$FE$79,(IF($A$8=Nutrients!$B$77,Nutrients!$FE$77,Nutrients!$FE$78)))))*AU$8))</f>
        <v>0</v>
      </c>
      <c r="AV340" s="21">
        <f>(SUMPRODUCT(AV$9:AV$229,Nutrients!$FE$8:$FE$228)+(IF($A$7=Nutrients!$B$8,Nutrients!$FE$8,Nutrients!$FE$9)*AV$7)+(((IF($A$8=Nutrients!$B$79,Nutrients!$FE$79,(IF($A$8=Nutrients!$B$77,Nutrients!$FE$77,Nutrients!$FE$78)))))*AV$8))</f>
        <v>0</v>
      </c>
      <c r="AW340" s="21">
        <f>(SUMPRODUCT(AW$9:AW$229,Nutrients!$FE$8:$FE$228)+(IF($A$7=Nutrients!$B$8,Nutrients!$FE$8,Nutrients!$FE$9)*AW$7)+(((IF($A$8=Nutrients!$B$79,Nutrients!$FE$79,(IF($A$8=Nutrients!$B$77,Nutrients!$FE$77,Nutrients!$FE$78)))))*AW$8))</f>
        <v>0</v>
      </c>
    </row>
    <row r="342" spans="1:52" x14ac:dyDescent="0.25">
      <c r="A342" s="298" t="s">
        <v>478</v>
      </c>
      <c r="B342" s="299">
        <f xml:space="preserve"> (-1619.2980797296 + 25.9248064834 * (B251/1000) - 2657.6209162609 * B236 +
123.0469725298 * B253 - 9.2854579989 * B316 + 872.0182830582 * B252 + 26.664395965 * (AVERAGE(B5:B6)*0.453592) +
2599.7646012325 * B236 * B236- 0.1016237102 *  (AVERAGE(B5:B6)*0.453592) *  (AVERAGE(B5:B6)*0.453592) - 71.8618465276 * B236 * B253 -
607.1294449572 * B236 * B252 + 25.6463076451 * B236 * (AVERAGE(B5:B6)*0.453592) - 0.8399854508 * B253 * (AVERAGE(B5:B6)*0.453592) +
0.0967347393 * B316 * (AVERAGE(B5:B6)*0.453592) - 5.2553838048 * B252 * (AVERAGE(B5:B6)*0.453592))</f>
        <v>757.46635553023782</v>
      </c>
      <c r="C342" s="299">
        <f xml:space="preserve"> -1619.2980797296 + 25.9248064834 * (C251/1000) - 2657.6209162609 * C236 +
123.0469725298 * C253 - 9.2854579989 * C316 + 872.0182830582 * C252 + 26.664395965 * (AVERAGE(C5:C6)*0.453592) +
2599.7646012325 * C236 * C236- 0.1016237102 *  (AVERAGE(C5:C6)*0.453592) *  (AVERAGE(C5:C6)*0.453592) - 71.8618465276 * C236 * C253 -
607.1294449572 * C236 * C252 + 25.6463076451 * C236 * (AVERAGE(C5:C6)*0.453592) - 0.8399854508 * C253 * (AVERAGE(C5:C6)*0.453592) +
0.0967347393 * C316 * (AVERAGE(C5:C6)*0.453592) - 5.2553838048 * C252 * (AVERAGE(C5:C6)*0.453592)</f>
        <v>870.42326519783569</v>
      </c>
      <c r="D342" s="299">
        <f xml:space="preserve"> -1619.2980797296 + 25.9248064834 * (D251/1000) - 2657.6209162609 * D236 +
123.0469725298 * D253 - 9.2854579989 * D316 + 872.0182830582 * D252 + 26.664395965 * (AVERAGE(D5:D6)*0.453592) +
2599.7646012325 * D236 * D236- 0.1016237102 *  (AVERAGE(D5:D6)*0.453592) *  (AVERAGE(D5:D6)*0.453592) - 71.8618465276 * D236 * D253 -
607.1294449572 * D236 * D252 + 25.6463076451 * D236 * (AVERAGE(D5:D6)*0.453592) - 0.8399854508 * D253 * (AVERAGE(D5:D6)*0.453592) +
0.0967347393 * D316 * (AVERAGE(D5:D6)*0.453592) - 5.2553838048 * D252 * (AVERAGE(D5:D6)*0.453592)</f>
        <v>946.21888727648684</v>
      </c>
      <c r="E342" s="299">
        <f xml:space="preserve"> -1619.2980797296 + 25.9248064834 * (E251/1000) - 2657.6209162609 * E236 +
123.0469725298 * E253 - 9.2854579989 * E316 + 872.0182830582 * E252 + 26.664395965 * (AVERAGE(E5:E6)*0.453592) +
2599.7646012325 * E236 * E236- 0.1016237102 *  (AVERAGE(E5:E6)*0.453592) *  (AVERAGE(E5:E6)*0.453592) - 71.8618465276 * E236 * E253 -
607.1294449572 * E236 * E252 + 25.6463076451 * E236 * (AVERAGE(E5:E6)*0.453592) - 0.8399854508 * E253 * (AVERAGE(E5:E6)*0.453592) +
0.0967347393 * E316 * (AVERAGE(E5:E6)*0.453592) - 5.2553838048 * E252 * (AVERAGE(E5:E6)*0.453592)</f>
        <v>982.61557306834152</v>
      </c>
      <c r="F342" s="299">
        <f xml:space="preserve"> -1619.2980797296 + 25.9248064834 * (F251/1000) - 2657.6209162609 * F236 +
123.0469725298 * F253 - 9.2854579989 * F316 + 872.0182830582 * F252 + 26.664395965 * (AVERAGE(F5:F6)*0.453592) +
2599.7646012325 * F236 * F236- 0.1016237102 *  (AVERAGE(F5:F6)*0.453592) *  (AVERAGE(F5:F6)*0.453592) - 71.8618465276 * F236 * F253 -
607.1294449572 * F236 * F252 + 25.6463076451 * F236 * (AVERAGE(F5:F6)*0.453592) - 0.8399854508 * F253 * (AVERAGE(F5:F6)*0.453592) +
0.0967347393 * F316 * (AVERAGE(F5:F6)*0.453592) - 5.2553838048 * F252 * (AVERAGE(F5:F6)*0.453592)</f>
        <v>976.63637619430801</v>
      </c>
      <c r="G342" s="299">
        <f xml:space="preserve"> -1619.2980797296 + 25.9248064834 * (G251/1000) - 2657.6209162609 * G236 +
123.0469725298 * G253 - 9.2854579989 * G316 + 872.0182830582 * G252 + 26.664395965 * (AVERAGE(G5:G6)*0.453592) +
2599.7646012325 * G236 * G236- 0.1016237102 *  (AVERAGE(G5:G6)*0.453592) *  (AVERAGE(G5:G6)*0.453592) - 71.8618465276 * G236 * G253 -
607.1294449572 * G236 * G252 + 25.6463076451 * G236 * (AVERAGE(G5:G6)*0.453592) - 0.8399854508 * G253 * (AVERAGE(G5:G6)*0.453592) +
0.0967347393 * G316 * (AVERAGE(G5:G6)*0.453592) - 5.2553838048 * G252 * (AVERAGE(G5:G6)*0.453592)</f>
        <v>919.74779687896194</v>
      </c>
      <c r="I342" s="299">
        <f xml:space="preserve"> (-1619.2980797296 + 25.9248064834 * (I251/1000) - 2657.6209162609 * I236 +
123.0469725298 * I253 - 9.2854579989 * I316 + 872.0182830582 * I252 + 26.664395965 * (AVERAGE(I5:I6)*0.453592) +
2599.7646012325 * I236 * I236- 0.1016237102 *  (AVERAGE(I5:I6)*0.453592) *  (AVERAGE(I5:I6)*0.453592) - 71.8618465276 * I236 * I253 -
607.1294449572 * I236 * I252 + 25.6463076451 * I236 * (AVERAGE(I5:I6)*0.453592) - 0.8399854508 * I253 * (AVERAGE(I5:I6)*0.453592) +
0.0967347393 * I316 * (AVERAGE(I5:I6)*0.453592) - 5.2553838048 * I252 * (AVERAGE(I5:I6)*0.453592))</f>
        <v>754.2853054881557</v>
      </c>
      <c r="J342" s="299">
        <f xml:space="preserve"> -1619.2980797296 + 25.9248064834 * (J251/1000) - 2657.6209162609 * J236 +
123.0469725298 * J253 - 9.2854579989 * J316 + 872.0182830582 * J252 + 26.664395965 * (AVERAGE(J5:J6)*0.453592) +
2599.7646012325 * J236 * J236- 0.1016237102 *  (AVERAGE(J5:J6)*0.453592) *  (AVERAGE(J5:J6)*0.453592) - 71.8618465276 * J236 * J253 -
607.1294449572 * J236 * J252 + 25.6463076451 * J236 * (AVERAGE(J5:J6)*0.453592) - 0.8399854508 * J253 * (AVERAGE(J5:J6)*0.453592) +
0.0967347393 * J316 * (AVERAGE(J5:J6)*0.453592) - 5.2553838048 * J252 * (AVERAGE(J5:J6)*0.453592)</f>
        <v>867.83541072759328</v>
      </c>
      <c r="K342" s="299">
        <f xml:space="preserve"> -1619.2980797296 + 25.9248064834 * (K251/1000) - 2657.6209162609 * K236 +
123.0469725298 * K253 - 9.2854579989 * K316 + 872.0182830582 * K252 + 26.664395965 * (AVERAGE(K5:K6)*0.453592) +
2599.7646012325 * K236 * K236- 0.1016237102 *  (AVERAGE(K5:K6)*0.453592) *  (AVERAGE(K5:K6)*0.453592) - 71.8618465276 * K236 * K253 -
607.1294449572 * K236 * K252 + 25.6463076451 * K236 * (AVERAGE(K5:K6)*0.453592) - 0.8399854508 * K253 * (AVERAGE(K5:K6)*0.453592) +
0.0967347393 * K316 * (AVERAGE(K5:K6)*0.453592) - 5.2553838048 * K252 * (AVERAGE(K5:K6)*0.453592)</f>
        <v>943.65504273479746</v>
      </c>
      <c r="L342" s="299">
        <f xml:space="preserve"> -1619.2980797296 + 25.9248064834 * (L251/1000) - 2657.6209162609 * L236 +
123.0469725298 * L253 - 9.2854579989 * L316 + 872.0182830582 * L252 + 26.664395965 * (AVERAGE(L5:L6)*0.453592) +
2599.7646012325 * L236 * L236- 0.1016237102 *  (AVERAGE(L5:L6)*0.453592) *  (AVERAGE(L5:L6)*0.453592) - 71.8618465276 * L236 * L253 -
607.1294449572 * L236 * L252 + 25.6463076451 * L236 * (AVERAGE(L5:L6)*0.453592) - 0.8399854508 * L253 * (AVERAGE(L5:L6)*0.453592) +
0.0967347393 * L316 * (AVERAGE(L5:L6)*0.453592) - 5.2553838048 * L252 * (AVERAGE(L5:L6)*0.453592)</f>
        <v>979.30093441478289</v>
      </c>
      <c r="M342" s="299">
        <f xml:space="preserve"> -1619.2980797296 + 25.9248064834 * (M251/1000) - 2657.6209162609 * M236 +
123.0469725298 * M253 - 9.2854579989 * M316 + 872.0182830582 * M252 + 26.664395965 * (AVERAGE(M5:M6)*0.453592) +
2599.7646012325 * M236 * M236- 0.1016237102 *  (AVERAGE(M5:M6)*0.453592) *  (AVERAGE(M5:M6)*0.453592) - 71.8618465276 * M236 * M253 -
607.1294449572 * M236 * M252 + 25.6463076451 * M236 * (AVERAGE(M5:M6)*0.453592) - 0.8399854508 * M253 * (AVERAGE(M5:M6)*0.453592) +
0.0967347393 * M316 * (AVERAGE(M5:M6)*0.453592) - 5.2553838048 * M252 * (AVERAGE(M5:M6)*0.453592)</f>
        <v>971.80691655151008</v>
      </c>
      <c r="N342" s="299">
        <f xml:space="preserve"> -1619.2980797296 + 25.9248064834 * (N251/1000) - 2657.6209162609 * N236 +
123.0469725298 * N253 - 9.2854579989 * N316 + 872.0182830582 * N252 + 26.664395965 * (AVERAGE(N5:N6)*0.453592) +
2599.7646012325 * N236 * N236- 0.1016237102 *  (AVERAGE(N5:N6)*0.453592) *  (AVERAGE(N5:N6)*0.453592) - 71.8618465276 * N236 * N253 -
607.1294449572 * N236 * N252 + 25.6463076451 * N236 * (AVERAGE(N5:N6)*0.453592) - 0.8399854508 * N253 * (AVERAGE(N5:N6)*0.453592) +
0.0967347393 * N316 * (AVERAGE(N5:N6)*0.453592) - 5.2553838048 * N252 * (AVERAGE(N5:N6)*0.453592)</f>
        <v>919.74779687896194</v>
      </c>
      <c r="P342" s="299">
        <f xml:space="preserve"> (-1619.2980797296 + 25.9248064834 * (P251/1000) - 2657.6209162609 * P236 +
123.0469725298 * P253 - 9.2854579989 * P316 + 872.0182830582 * P252 + 26.664395965 * (AVERAGE(P5:P6)*0.453592) +
2599.7646012325 * P236 * P236- 0.1016237102 *  (AVERAGE(P5:P6)*0.453592) *  (AVERAGE(P5:P6)*0.453592) - 71.8618465276 * P236 * P253 -
607.1294449572 * P236 * P252 + 25.6463076451 * P236 * (AVERAGE(P5:P6)*0.453592) - 0.8399854508 * P253 * (AVERAGE(P5:P6)*0.453592) +
0.0967347393 * P316 * (AVERAGE(P5:P6)*0.453592) - 5.2553838048 * P252 * (AVERAGE(P5:P6)*0.453592))</f>
        <v>751.12509445025091</v>
      </c>
      <c r="Q342" s="299">
        <f xml:space="preserve"> -1619.2980797296 + 25.9248064834 * (Q251/1000) - 2657.6209162609 * Q236 +
123.0469725298 * Q253 - 9.2854579989 * Q316 + 872.0182830582 * Q252 + 26.664395965 * (AVERAGE(Q5:Q6)*0.453592) +
2599.7646012325 * Q236 * Q236- 0.1016237102 *  (AVERAGE(Q5:Q6)*0.453592) *  (AVERAGE(Q5:Q6)*0.453592) - 71.8618465276 * Q236 * Q253 -
607.1294449572 * Q236 * Q252 + 25.6463076451 * Q236 * (AVERAGE(Q5:Q6)*0.453592) - 0.8399854508 * Q253 * (AVERAGE(Q5:Q6)*0.453592) +
0.0967347393 * Q316 * (AVERAGE(Q5:Q6)*0.453592) - 5.2553838048 * Q252 * (AVERAGE(Q5:Q6)*0.453592)</f>
        <v>865.26365633587625</v>
      </c>
      <c r="R342" s="299">
        <f xml:space="preserve"> -1619.2980797296 + 25.9248064834 * (R251/1000) - 2657.6209162609 * R236 +
123.0469725298 * R253 - 9.2854579989 * R316 + 872.0182830582 * R252 + 26.664395965 * (AVERAGE(R5:R6)*0.453592) +
2599.7646012325 * R236 * R236- 0.1016237102 *  (AVERAGE(R5:R6)*0.453592) *  (AVERAGE(R5:R6)*0.453592) - 71.8618465276 * R236 * R253 -
607.1294449572 * R236 * R252 + 25.6463076451 * R236 * (AVERAGE(R5:R6)*0.453592) - 0.8399854508 * R253 * (AVERAGE(R5:R6)*0.453592) +
0.0967347393 * R316 * (AVERAGE(R5:R6)*0.453592) - 5.2553838048 * R252 * (AVERAGE(R5:R6)*0.453592)</f>
        <v>941.08765007643092</v>
      </c>
      <c r="S342" s="299">
        <f xml:space="preserve"> -1619.2980797296 + 25.9248064834 * (S251/1000) - 2657.6209162609 * S236 +
123.0469725298 * S253 - 9.2854579989 * S316 + 872.0182830582 * S252 + 26.664395965 * (AVERAGE(S5:S6)*0.453592) +
2599.7646012325 * S236 * S236- 0.1016237102 *  (AVERAGE(S5:S6)*0.453592) *  (AVERAGE(S5:S6)*0.453592) - 71.8618465276 * S236 * S253 -
607.1294449572 * S236 * S252 + 25.6463076451 * S236 * (AVERAGE(S5:S6)*0.453592) - 0.8399854508 * S253 * (AVERAGE(S5:S6)*0.453592) +
0.0967347393 * S316 * (AVERAGE(S5:S6)*0.453592) - 5.2553838048 * S252 * (AVERAGE(S5:S6)*0.453592)</f>
        <v>976.00937610562437</v>
      </c>
      <c r="T342" s="299">
        <f xml:space="preserve"> -1619.2980797296 + 25.9248064834 * (T251/1000) - 2657.6209162609 * T236 +
123.0469725298 * T253 - 9.2854579989 * T316 + 872.0182830582 * T252 + 26.664395965 * (AVERAGE(T5:T6)*0.453592) +
2599.7646012325 * T236 * T236- 0.1016237102 *  (AVERAGE(T5:T6)*0.453592) *  (AVERAGE(T5:T6)*0.453592) - 71.8618465276 * T236 * T253 -
607.1294449572 * T236 * T252 + 25.6463076451 * T236 * (AVERAGE(T5:T6)*0.453592) - 0.8399854508 * T253 * (AVERAGE(T5:T6)*0.453592) +
0.0967347393 * T316 * (AVERAGE(T5:T6)*0.453592) - 5.2553838048 * T252 * (AVERAGE(T5:T6)*0.453592)</f>
        <v>966.98610467900244</v>
      </c>
      <c r="U342" s="299">
        <f xml:space="preserve"> -1619.2980797296 + 25.9248064834 * (U251/1000) - 2657.6209162609 * U236 +
123.0469725298 * U253 - 9.2854579989 * U316 + 872.0182830582 * U252 + 26.664395965 * (AVERAGE(U5:U6)*0.453592) +
2599.7646012325 * U236 * U236- 0.1016237102 *  (AVERAGE(U5:U6)*0.453592) *  (AVERAGE(U5:U6)*0.453592) - 71.8618465276 * U236 * U253 -
607.1294449572 * U236 * U252 + 25.6463076451 * U236 * (AVERAGE(U5:U6)*0.453592) - 0.8399854508 * U253 * (AVERAGE(U5:U6)*0.453592) +
0.0967347393 * U316 * (AVERAGE(U5:U6)*0.453592) - 5.2553838048 * U252 * (AVERAGE(U5:U6)*0.453592)</f>
        <v>919.74779687896194</v>
      </c>
      <c r="W342" s="299">
        <f xml:space="preserve"> (-1619.2980797296 + 25.9248064834 * (W251/1000) - 2657.6209162609 * W236 +
123.0469725298 * W253 - 9.2854579989 * W316 + 872.0182830582 * W252 + 26.664395965 * (AVERAGE(W5:W6)*0.453592) +
2599.7646012325 * W236 * W236- 0.1016237102 *  (AVERAGE(W5:W6)*0.453592) *  (AVERAGE(W5:W6)*0.453592) - 71.8618465276 * W236 * W253 -
607.1294449572 * W236 * W252 + 25.6463076451 * W236 * (AVERAGE(W5:W6)*0.453592) - 0.8399854508 * W253 * (AVERAGE(W5:W6)*0.453592) +
0.0967347393 * W316 * (AVERAGE(W5:W6)*0.453592) - 5.2553838048 * W252 * (AVERAGE(W5:W6)*0.453592))</f>
        <v>747.96764329778819</v>
      </c>
      <c r="X342" s="299">
        <f xml:space="preserve"> -1619.2980797296 + 25.9248064834 * (X251/1000) - 2657.6209162609 * X236 +
123.0469725298 * X253 - 9.2854579989 * X316 + 872.0182830582 * X252 + 26.664395965 * (AVERAGE(X5:X6)*0.453592) +
2599.7646012325 * X236 * X236- 0.1016237102 *  (AVERAGE(X5:X6)*0.453592) *  (AVERAGE(X5:X6)*0.453592) - 71.8618465276 * X236 * X253 -
607.1294449572 * X236 * X252 + 25.6463076451 * X236 * (AVERAGE(X5:X6)*0.453592) - 0.8399854508 * X253 * (AVERAGE(X5:X6)*0.453592) +
0.0967347393 * X316 * (AVERAGE(X5:X6)*0.453592) - 5.2553838048 * X252 * (AVERAGE(X5:X6)*0.453592)</f>
        <v>862.69511755903864</v>
      </c>
      <c r="Y342" s="299">
        <f xml:space="preserve"> -1619.2980797296 + 25.9248064834 * (Y251/1000) - 2657.6209162609 * Y236 +
123.0469725298 * Y253 - 9.2854579989 * Y316 + 872.0182830582 * Y252 + 26.664395965 * (AVERAGE(Y5:Y6)*0.453592) +
2599.7646012325 * Y236 * Y236- 0.1016237102 *  (AVERAGE(Y5:Y6)*0.453592) *  (AVERAGE(Y5:Y6)*0.453592) - 71.8618465276 * Y236 * Y253 -
607.1294449572 * Y236 * Y252 + 25.6463076451 * Y236 * (AVERAGE(Y5:Y6)*0.453592) - 0.8399854508 * Y253 * (AVERAGE(Y5:Y6)*0.453592) +
0.0967347393 * Y316 * (AVERAGE(Y5:Y6)*0.453592) - 5.2553838048 * Y252 * (AVERAGE(Y5:Y6)*0.453592)</f>
        <v>938.51681860484973</v>
      </c>
      <c r="Z342" s="299">
        <f xml:space="preserve"> -1619.2980797296 + 25.9248064834 * (Z251/1000) - 2657.6209162609 * Z236 +
123.0469725298 * Z253 - 9.2854579989 * Z316 + 872.0182830582 * Z252 + 26.664395965 * (AVERAGE(Z5:Z6)*0.453592) +
2599.7646012325 * Z236 * Z236- 0.1016237102 *  (AVERAGE(Z5:Z6)*0.453592) *  (AVERAGE(Z5:Z6)*0.453592) - 71.8618465276 * Z236 * Z253 -
607.1294449572 * Z236 * Z252 + 25.6463076451 * Z236 * (AVERAGE(Z5:Z6)*0.453592) - 0.8399854508 * Z253 * (AVERAGE(Z5:Z6)*0.453592) +
0.0967347393 * Z316 * (AVERAGE(Z5:Z6)*0.453592) - 5.2553838048 * Z252 * (AVERAGE(Z5:Z6)*0.453592)</f>
        <v>972.73290617894054</v>
      </c>
      <c r="AA342" s="299">
        <f xml:space="preserve"> -1619.2980797296 + 25.9248064834 * (AA251/1000) - 2657.6209162609 * AA236 +
123.0469725298 * AA253 - 9.2854579989 * AA316 + 872.0182830582 * AA252 + 26.664395965 * (AVERAGE(AA5:AA6)*0.453592) +
2599.7646012325 * AA236 * AA236- 0.1016237102 *  (AVERAGE(AA5:AA6)*0.453592) *  (AVERAGE(AA5:AA6)*0.453592) - 71.8618465276 * AA236 * AA253 -
607.1294449572 * AA236 * AA252 + 25.6463076451 * AA236 * (AVERAGE(AA5:AA6)*0.453592) - 0.8399854508 * AA253 * (AVERAGE(AA5:AA6)*0.453592) +
0.0967347393 * AA316 * (AVERAGE(AA5:AA6)*0.453592) - 5.2553838048 * AA252 * (AVERAGE(AA5:AA6)*0.453592)</f>
        <v>962.14863178115388</v>
      </c>
      <c r="AB342" s="299">
        <f xml:space="preserve"> -1619.2980797296 + 25.9248064834 * (AB251/1000) - 2657.6209162609 * AB236 +
123.0469725298 * AB253 - 9.2854579989 * AB316 + 872.0182830582 * AB252 + 26.664395965 * (AVERAGE(AB5:AB6)*0.453592) +
2599.7646012325 * AB236 * AB236- 0.1016237102 *  (AVERAGE(AB5:AB6)*0.453592) *  (AVERAGE(AB5:AB6)*0.453592) - 71.8618465276 * AB236 * AB253 -
607.1294449572 * AB236 * AB252 + 25.6463076451 * AB236 * (AVERAGE(AB5:AB6)*0.453592) - 0.8399854508 * AB253 * (AVERAGE(AB5:AB6)*0.453592) +
0.0967347393 * AB316 * (AVERAGE(AB5:AB6)*0.453592) - 5.2553838048 * AB252 * (AVERAGE(AB5:AB6)*0.453592)</f>
        <v>919.74779687896194</v>
      </c>
      <c r="AD342" s="299">
        <f xml:space="preserve"> (-1619.2980797296 + 25.9248064834 * (AD251/1000) - 2657.6209162609 * AD236 +
123.0469725298 * AD253 - 9.2854579989 * AD316 + 872.0182830582 * AD252 + 26.664395965 * (AVERAGE(AD5:AD6)*0.453592) +
2599.7646012325 * AD236 * AD236- 0.1016237102 *  (AVERAGE(AD5:AD6)*0.453592) *  (AVERAGE(AD5:AD6)*0.453592) - 71.8618465276 * AD236 * AD253 -
607.1294449572 * AD236 * AD252 + 25.6463076451 * AD236 * (AVERAGE(AD5:AD6)*0.453592) - 0.8399854508 * AD253 * (AVERAGE(AD5:AD6)*0.453592) +
0.0967347393 * AD316 * (AVERAGE(AD5:AD6)*0.453592) - 5.2553838048 * AD252 * (AVERAGE(AD5:AD6)*0.453592))</f>
        <v>744.81662763964982</v>
      </c>
      <c r="AE342" s="299">
        <f xml:space="preserve"> -1619.2980797296 + 25.9248064834 * (AE251/1000) - 2657.6209162609 * AE236 +
123.0469725298 * AE253 - 9.2854579989 * AE316 + 872.0182830582 * AE252 + 26.664395965 * (AVERAGE(AE5:AE6)*0.453592) +
2599.7646012325 * AE236 * AE236- 0.1016237102 *  (AVERAGE(AE5:AE6)*0.453592) *  (AVERAGE(AE5:AE6)*0.453592) - 71.8618465276 * AE236 * AE253 -
607.1294449572 * AE236 * AE252 + 25.6463076451 * AE236 * (AVERAGE(AE5:AE6)*0.453592) - 0.8399854508 * AE253 * (AVERAGE(AE5:AE6)*0.453592) +
0.0967347393 * AE316 * (AVERAGE(AE5:AE6)*0.453592) - 5.2553838048 * AE252 * (AVERAGE(AE5:AE6)*0.453592)</f>
        <v>860.12738034446897</v>
      </c>
      <c r="AF342" s="299">
        <f xml:space="preserve"> -1619.2980797296 + 25.9248064834 * (AF251/1000) - 2657.6209162609 * AF236 +
123.0469725298 * AF253 - 9.2854579989 * AF316 + 872.0182830582 * AF252 + 26.664395965 * (AVERAGE(AF5:AF6)*0.453592) +
2599.7646012325 * AF236 * AF236- 0.1016237102 *  (AVERAGE(AF5:AF6)*0.453592) *  (AVERAGE(AF5:AF6)*0.453592) - 71.8618465276 * AF236 * AF253 -
607.1294449572 * AF236 * AF252 + 25.6463076451 * AF236 * (AVERAGE(AF5:AF6)*0.453592) - 0.8399854508 * AF253 * (AVERAGE(AF5:AF6)*0.453592) +
0.0967347393 * AF316 * (AVERAGE(AF5:AF6)*0.453592) - 5.2553838048 * AF252 * (AVERAGE(AF5:AF6)*0.453592)</f>
        <v>935.92775852071054</v>
      </c>
      <c r="AG342" s="299">
        <f xml:space="preserve"> -1619.2980797296 + 25.9248064834 * (AG251/1000) - 2657.6209162609 * AG236 +
123.0469725298 * AG253 - 9.2854579989 * AG316 + 872.0182830582 * AG252 + 26.664395965 * (AVERAGE(AG5:AG6)*0.453592) +
2599.7646012325 * AG236 * AG236- 0.1016237102 *  (AVERAGE(AG5:AG6)*0.453592) *  (AVERAGE(AG5:AG6)*0.453592) - 71.8618465276 * AG236 * AG253 -
607.1294449572 * AG236 * AG252 + 25.6463076451 * AG236 * (AVERAGE(AG5:AG6)*0.453592) - 0.8399854508 * AG253 * (AVERAGE(AG5:AG6)*0.453592) +
0.0967347393 * AG316 * (AVERAGE(AG5:AG6)*0.453592) - 5.2553838048 * AG252 * (AVERAGE(AG5:AG6)*0.453592)</f>
        <v>969.44372220826813</v>
      </c>
      <c r="AH342" s="299">
        <f xml:space="preserve"> -1619.2980797296 + 25.9248064834 * (AH251/1000) - 2657.6209162609 * AH236 +
123.0469725298 * AH253 - 9.2854579989 * AH316 + 872.0182830582 * AH252 + 26.664395965 * (AVERAGE(AH5:AH6)*0.453592) +
2599.7646012325 * AH236 * AH236- 0.1016237102 *  (AVERAGE(AH5:AH6)*0.453592) *  (AVERAGE(AH5:AH6)*0.453592) - 71.8618465276 * AH236 * AH253 -
607.1294449572 * AH236 * AH252 + 25.6463076451 * AH236 * (AVERAGE(AH5:AH6)*0.453592) - 0.8399854508 * AH253 * (AVERAGE(AH5:AH6)*0.453592) +
0.0967347393 * AH316 * (AVERAGE(AH5:AH6)*0.453592) - 5.2553838048 * AH252 * (AVERAGE(AH5:AH6)*0.453592)</f>
        <v>957.32815546195934</v>
      </c>
      <c r="AI342" s="299">
        <f xml:space="preserve"> -1619.2980797296 + 25.9248064834 * (AI251/1000) - 2657.6209162609 * AI236 +
123.0469725298 * AI253 - 9.2854579989 * AI316 + 872.0182830582 * AI252 + 26.664395965 * (AVERAGE(AI5:AI6)*0.453592) +
2599.7646012325 * AI236 * AI236- 0.1016237102 *  (AVERAGE(AI5:AI6)*0.453592) *  (AVERAGE(AI5:AI6)*0.453592) - 71.8618465276 * AI236 * AI253 -
607.1294449572 * AI236 * AI252 + 25.6463076451 * AI236 * (AVERAGE(AI5:AI6)*0.453592) - 0.8399854508 * AI253 * (AVERAGE(AI5:AI6)*0.453592) +
0.0967347393 * AI316 * (AVERAGE(AI5:AI6)*0.453592) - 5.2553838048 * AI252 * (AVERAGE(AI5:AI6)*0.453592)</f>
        <v>919.74779687896194</v>
      </c>
      <c r="AK342" s="299">
        <f xml:space="preserve"> (-1619.2980797296 + 25.9248064834 * (AK251/1000) - 2657.6209162609 * AK236 +
123.0469725298 * AK253 - 9.2854579989 * AK316 + 872.0182830582 * AK252 + 26.664395965 * (AVERAGE(AK5:AK6)*0.453592) +
2599.7646012325 * AK236 * AK236- 0.1016237102 *  (AVERAGE(AK5:AK6)*0.453592) *  (AVERAGE(AK5:AK6)*0.453592) - 71.8618465276 * AK236 * AK253 -
607.1294449572 * AK236 * AK252 + 25.6463076451 * AK236 * (AVERAGE(AK5:AK6)*0.453592) - 0.8399854508 * AK253 * (AVERAGE(AK5:AK6)*0.453592) +
0.0967347393 * AK316 * (AVERAGE(AK5:AK6)*0.453592) - 5.2553838048 * AK252 * (AVERAGE(AK5:AK6)*0.453592))</f>
        <v>741.69090139868376</v>
      </c>
      <c r="AL342" s="299">
        <f xml:space="preserve"> -1619.2980797296 + 25.9248064834 * (AL251/1000) - 2657.6209162609 * AL236 +
123.0469725298 * AL253 - 9.2854579989 * AL316 + 872.0182830582 * AL252 + 26.664395965 * (AVERAGE(AL5:AL6)*0.453592) +
2599.7646012325 * AL236 * AL236- 0.1016237102 *  (AVERAGE(AL5:AL6)*0.453592) *  (AVERAGE(AL5:AL6)*0.453592) - 71.8618465276 * AL236 * AL253 -
607.1294449572 * AL236 * AL252 + 25.6463076451 * AL236 * (AVERAGE(AL5:AL6)*0.453592) - 0.8399854508 * AL253 * (AVERAGE(AL5:AL6)*0.453592) +
0.0967347393 * AL316 * (AVERAGE(AL5:AL6)*0.453592) - 5.2553838048 * AL252 * (AVERAGE(AL5:AL6)*0.453592)</f>
        <v>857.56075020428375</v>
      </c>
      <c r="AM342" s="299">
        <f xml:space="preserve"> -1619.2980797296 + 25.9248064834 * (AM251/1000) - 2657.6209162609 * AM236 +
123.0469725298 * AM253 - 9.2854579989 * AM316 + 872.0182830582 * AM252 + 26.664395965 * (AVERAGE(AM5:AM6)*0.453592) +
2599.7646012325 * AM236 * AM236- 0.1016237102 *  (AVERAGE(AM5:AM6)*0.453592) *  (AVERAGE(AM5:AM6)*0.453592) - 71.8618465276 * AM236 * AM253 -
607.1294449572 * AM236 * AM252 + 25.6463076451 * AM236 * (AVERAGE(AM5:AM6)*0.453592) - 0.8399854508 * AM253 * (AVERAGE(AM5:AM6)*0.453592) +
0.0967347393 * AM316 * (AVERAGE(AM5:AM6)*0.453592) - 5.2553838048 * AM252 * (AVERAGE(AM5:AM6)*0.453592)</f>
        <v>933.38079850970121</v>
      </c>
      <c r="AN342" s="299">
        <f xml:space="preserve"> -1619.2980797296 + 25.9248064834 * (AN251/1000) - 2657.6209162609 * AN236 +
123.0469725298 * AN253 - 9.2854579989 * AN316 + 872.0182830582 * AN252 + 26.664395965 * (AVERAGE(AN5:AN6)*0.453592) +
2599.7646012325 * AN236 * AN236- 0.1016237102 *  (AVERAGE(AN5:AN6)*0.453592) *  (AVERAGE(AN5:AN6)*0.453592) - 71.8618465276 * AN236 * AN253 -
607.1294449572 * AN236 * AN252 + 25.6463076451 * AN236 * (AVERAGE(AN5:AN6)*0.453592) - 0.8399854508 * AN253 * (AVERAGE(AN5:AN6)*0.453592) +
0.0967347393 * AN316 * (AVERAGE(AN5:AN6)*0.453592) - 5.2553838048 * AN252 * (AVERAGE(AN5:AN6)*0.453592)</f>
        <v>966.10623674420458</v>
      </c>
      <c r="AO342" s="299">
        <f xml:space="preserve"> -1619.2980797296 + 25.9248064834 * (AO251/1000) - 2657.6209162609 * AO236 +
123.0469725298 * AO253 - 9.2854579989 * AO316 + 872.0182830582 * AO252 + 26.664395965 * (AVERAGE(AO5:AO6)*0.453592) +
2599.7646012325 * AO236 * AO236- 0.1016237102 *  (AVERAGE(AO5:AO6)*0.453592) *  (AVERAGE(AO5:AO6)*0.453592) - 71.8618465276 * AO236 * AO253 -
607.1294449572 * AO236 * AO252 + 25.6463076451 * AO236 * (AVERAGE(AO5:AO6)*0.453592) - 0.8399854508 * AO253 * (AVERAGE(AO5:AO6)*0.453592) +
0.0967347393 * AO316 * (AVERAGE(AO5:AO6)*0.453592) - 5.2553838048 * AO252 * (AVERAGE(AO5:AO6)*0.453592)</f>
        <v>952.59250017741692</v>
      </c>
      <c r="AP342" s="299">
        <f xml:space="preserve"> -1619.2980797296 + 25.9248064834 * (AP251/1000) - 2657.6209162609 * AP236 +
123.0469725298 * AP253 - 9.2854579989 * AP316 + 872.0182830582 * AP252 + 26.664395965 * (AVERAGE(AP5:AP6)*0.453592) +
2599.7646012325 * AP236 * AP236- 0.1016237102 *  (AVERAGE(AP5:AP6)*0.453592) *  (AVERAGE(AP5:AP6)*0.453592) - 71.8618465276 * AP236 * AP253 -
607.1294449572 * AP236 * AP252 + 25.6463076451 * AP236 * (AVERAGE(AP5:AP6)*0.453592) - 0.8399854508 * AP253 * (AVERAGE(AP5:AP6)*0.453592) +
0.0967347393 * AP316 * (AVERAGE(AP5:AP6)*0.453592) - 5.2553838048 * AP252 * (AVERAGE(AP5:AP6)*0.453592)</f>
        <v>919.74779687896194</v>
      </c>
      <c r="AR342" s="299">
        <f xml:space="preserve"> (-1619.2980797296 + 25.9248064834 * (AR251/1000) - 2657.6209162609 * AR236 +
123.0469725298 * AR253 - 9.2854579989 * AR316 + 872.0182830582 * AR252 + 26.664395965 * (AVERAGE(AR5:AR6)*0.453592) +
2599.7646012325 * AR236 * AR236- 0.1016237102 *  (AVERAGE(AR5:AR6)*0.453592) *  (AVERAGE(AR5:AR6)*0.453592) - 71.8618465276 * AR236 * AR253 -
607.1294449572 * AR236 * AR252 + 25.6463076451 * AR236 * (AVERAGE(AR5:AR6)*0.453592) - 0.8399854508 * AR253 * (AVERAGE(AR5:AR6)*0.453592) +
0.0967347393 * AR316 * (AVERAGE(AR5:AR6)*0.453592) - 5.2553838048 * AR252 * (AVERAGE(AR5:AR6)*0.453592))</f>
        <v>738.50601864243959</v>
      </c>
      <c r="AS342" s="299">
        <f xml:space="preserve"> -1619.2980797296 + 25.9248064834 * (AS251/1000) - 2657.6209162609 * AS236 +
123.0469725298 * AS253 - 9.2854579989 * AS316 + 872.0182830582 * AS252 + 26.664395965 * (AVERAGE(AS5:AS6)*0.453592) +
2599.7646012325 * AS236 * AS236- 0.1016237102 *  (AVERAGE(AS5:AS6)*0.453592) *  (AVERAGE(AS5:AS6)*0.453592) - 71.8618465276 * AS236 * AS253 -
607.1294449572 * AS236 * AS252 + 25.6463076451 * AS236 * (AVERAGE(AS5:AS6)*0.453592) - 0.8399854508 * AS253 * (AVERAGE(AS5:AS6)*0.453592) +
0.0967347393 * AS316 * (AVERAGE(AS5:AS6)*0.453592) - 5.2553838048 * AS252 * (AVERAGE(AS5:AS6)*0.453592)</f>
        <v>854.97698349144969</v>
      </c>
      <c r="AT342" s="299">
        <f xml:space="preserve"> -1619.2980797296 + 25.9248064834 * (AT251/1000) - 2657.6209162609 * AT236 +
123.0469725298 * AT253 - 9.2854579989 * AT316 + 872.0182830582 * AT252 + 26.664395965 * (AVERAGE(AT5:AT6)*0.453592) +
2599.7646012325 * AT236 * AT236- 0.1016237102 *  (AVERAGE(AT5:AT6)*0.453592) *  (AVERAGE(AT5:AT6)*0.453592) - 71.8618465276 * AT236 * AT253 -
607.1294449572 * AT236 * AT252 + 25.6463076451 * AT236 * (AVERAGE(AT5:AT6)*0.453592) - 0.8399854508 * AT253 * (AVERAGE(AT5:AT6)*0.453592) +
0.0967347393 * AT316 * (AVERAGE(AT5:AT6)*0.453592) - 5.2553838048 * AT252 * (AVERAGE(AT5:AT6)*0.453592)</f>
        <v>930.7912646648017</v>
      </c>
      <c r="AU342" s="299">
        <f xml:space="preserve"> -1619.2980797296 + 25.9248064834 * (AU251/1000) - 2657.6209162609 * AU236 +
123.0469725298 * AU253 - 9.2854579989 * AU316 + 872.0182830582 * AU252 + 26.664395965 * (AVERAGE(AU5:AU6)*0.453592) +
2599.7646012325 * AU236 * AU236- 0.1016237102 *  (AVERAGE(AU5:AU6)*0.453592) *  (AVERAGE(AU5:AU6)*0.453592) - 71.8618465276 * AU236 * AU253 -
607.1294449572 * AU236 * AU252 + 25.6463076451 * AU236 * (AVERAGE(AU5:AU6)*0.453592) - 0.8399854508 * AU253 * (AVERAGE(AU5:AU6)*0.453592) +
0.0967347393 * AU316 * (AVERAGE(AU5:AU6)*0.453592) - 5.2553838048 * AU252 * (AVERAGE(AU5:AU6)*0.453592)</f>
        <v>962.84976002250392</v>
      </c>
      <c r="AV342" s="299">
        <f xml:space="preserve"> -1619.2980797296 + 25.9248064834 * (AV251/1000) - 2657.6209162609 * AV236 +
123.0469725298 * AV253 - 9.2854579989 * AV316 + 872.0182830582 * AV252 + 26.664395965 * (AVERAGE(AV5:AV6)*0.453592) +
2599.7646012325 * AV236 * AV236- 0.1016237102 *  (AVERAGE(AV5:AV6)*0.453592) *  (AVERAGE(AV5:AV6)*0.453592) - 71.8618465276 * AV236 * AV253 -
607.1294449572 * AV236 * AV252 + 25.6463076451 * AV236 * (AVERAGE(AV5:AV6)*0.453592) - 0.8399854508 * AV253 * (AVERAGE(AV5:AV6)*0.453592) +
0.0967347393 * AV316 * (AVERAGE(AV5:AV6)*0.453592) - 5.2553838048 * AV252 * (AVERAGE(AV5:AV6)*0.453592)</f>
        <v>947.8413410368928</v>
      </c>
      <c r="AW342" s="299">
        <f xml:space="preserve"> -1619.2980797296 + 25.9248064834 * (AW251/1000) - 2657.6209162609 * AW236 +
123.0469725298 * AW253 - 9.2854579989 * AW316 + 872.0182830582 * AW252 + 26.664395965 * (AVERAGE(AW5:AW6)*0.453592) +
2599.7646012325 * AW236 * AW236- 0.1016237102 *  (AVERAGE(AW5:AW6)*0.453592) *  (AVERAGE(AW5:AW6)*0.453592) - 71.8618465276 * AW236 * AW253 -
607.1294449572 * AW236 * AW252 + 25.6463076451 * AW236 * (AVERAGE(AW5:AW6)*0.453592) - 0.8399854508 * AW253 * (AVERAGE(AW5:AW6)*0.453592) +
0.0967347393 * AW316 * (AVERAGE(AW5:AW6)*0.453592) - 5.2553838048 * AW252 * (AVERAGE(AW5:AW6)*0.453592)</f>
        <v>919.74779687896194</v>
      </c>
    </row>
    <row r="343" spans="1:52" x14ac:dyDescent="0.25">
      <c r="A343" s="298" t="s">
        <v>479</v>
      </c>
      <c r="B343" s="300">
        <f t="shared" ref="B343:G343" si="219">B342/B344*1000</f>
        <v>1398.8783014207611</v>
      </c>
      <c r="C343" s="300">
        <f t="shared" si="219"/>
        <v>1847.8320572748494</v>
      </c>
      <c r="D343" s="300">
        <f t="shared" si="219"/>
        <v>2307.7192145327367</v>
      </c>
      <c r="E343" s="300">
        <f t="shared" si="219"/>
        <v>2723.4676222335261</v>
      </c>
      <c r="F343" s="300">
        <f t="shared" si="219"/>
        <v>2993.2160501056624</v>
      </c>
      <c r="G343" s="300">
        <f t="shared" si="219"/>
        <v>3054.344258459666</v>
      </c>
      <c r="I343" s="300">
        <f t="shared" ref="I343:N343" si="220">I342/I344*1000</f>
        <v>1384.8178703440515</v>
      </c>
      <c r="J343" s="300">
        <f t="shared" si="220"/>
        <v>1827.8821510668606</v>
      </c>
      <c r="K343" s="300">
        <f t="shared" si="220"/>
        <v>2281.8852409848309</v>
      </c>
      <c r="L343" s="300">
        <f t="shared" si="220"/>
        <v>2696.3568872501928</v>
      </c>
      <c r="M343" s="300">
        <f t="shared" si="220"/>
        <v>2973.0335700186461</v>
      </c>
      <c r="N343" s="300">
        <f t="shared" si="220"/>
        <v>3054.344258459666</v>
      </c>
      <c r="P343" s="300">
        <f t="shared" ref="P343:U343" si="221">P342/P344*1000</f>
        <v>1370.9248483394197</v>
      </c>
      <c r="Q343" s="300">
        <f t="shared" si="221"/>
        <v>1808.1611070771439</v>
      </c>
      <c r="R343" s="300">
        <f t="shared" si="221"/>
        <v>2256.545152153898</v>
      </c>
      <c r="S343" s="300">
        <f t="shared" si="221"/>
        <v>2669.5965519110086</v>
      </c>
      <c r="T343" s="300">
        <f t="shared" si="221"/>
        <v>2952.7354356657133</v>
      </c>
      <c r="U343" s="300">
        <f t="shared" si="221"/>
        <v>3054.344258459666</v>
      </c>
      <c r="W343" s="300">
        <f t="shared" ref="W343:AB343" si="222">W342/W344*1000</f>
        <v>1357.2007967233028</v>
      </c>
      <c r="X343" s="300">
        <f t="shared" si="222"/>
        <v>1788.7168969347399</v>
      </c>
      <c r="Y343" s="300">
        <f t="shared" si="222"/>
        <v>2231.6475490154621</v>
      </c>
      <c r="Z343" s="300">
        <f t="shared" si="222"/>
        <v>2643.2062063754647</v>
      </c>
      <c r="AA343" s="300">
        <f t="shared" si="222"/>
        <v>2932.2357565168368</v>
      </c>
      <c r="AB343" s="300">
        <f t="shared" si="222"/>
        <v>3054.344258459666</v>
      </c>
      <c r="AD343" s="300">
        <f t="shared" ref="AD343:AI343" si="223">AD342/AD344*1000</f>
        <v>1343.5873925477269</v>
      </c>
      <c r="AE343" s="300">
        <f t="shared" si="223"/>
        <v>1769.5592677108589</v>
      </c>
      <c r="AF343" s="300">
        <f t="shared" si="223"/>
        <v>2207.1280510128104</v>
      </c>
      <c r="AG343" s="300">
        <f t="shared" si="223"/>
        <v>2616.8043508723986</v>
      </c>
      <c r="AH343" s="300">
        <f t="shared" si="223"/>
        <v>2912.5891888139122</v>
      </c>
      <c r="AI343" s="300">
        <f t="shared" si="223"/>
        <v>3054.344258459666</v>
      </c>
      <c r="AK343" s="300">
        <f t="shared" ref="AK343:AP343" si="224">AK342/AK344*1000</f>
        <v>1329.8128544808828</v>
      </c>
      <c r="AL343" s="300">
        <f t="shared" si="224"/>
        <v>1750.6708620967338</v>
      </c>
      <c r="AM343" s="300">
        <f t="shared" si="224"/>
        <v>2182.9396267330862</v>
      </c>
      <c r="AN343" s="300">
        <f t="shared" si="224"/>
        <v>2591.9329441969489</v>
      </c>
      <c r="AO343" s="300">
        <f t="shared" si="224"/>
        <v>2892.8898506768778</v>
      </c>
      <c r="AP343" s="300">
        <f t="shared" si="224"/>
        <v>3054.344258459666</v>
      </c>
      <c r="AR343" s="300">
        <f t="shared" ref="AR343:AW343" si="225">AR342/AR344*1000</f>
        <v>1316.5870523345172</v>
      </c>
      <c r="AS343" s="300">
        <f t="shared" si="225"/>
        <v>1732.0818854807085</v>
      </c>
      <c r="AT343" s="300">
        <f t="shared" si="225"/>
        <v>2159.9157935776343</v>
      </c>
      <c r="AU343" s="300">
        <f t="shared" si="225"/>
        <v>2566.9314733469296</v>
      </c>
      <c r="AV343" s="300">
        <f t="shared" si="225"/>
        <v>2873.118242204031</v>
      </c>
      <c r="AW343" s="300">
        <f t="shared" si="225"/>
        <v>3054.344258459666</v>
      </c>
    </row>
    <row r="344" spans="1:52" x14ac:dyDescent="0.25">
      <c r="A344" s="298" t="s">
        <v>480</v>
      </c>
      <c r="B344" s="299">
        <f t="shared" ref="B344:G344" si="226" xml:space="preserve"> -232.8670000513 - (102.0339177026 * (B251/1000)) + (1386.8135453223 * B236) - (3.1583174866 * B253) + (80.3303777865 * B316) - (115.1570451563 * B252) + (4.1836503117 * (AVERAGE(B5:B6)*0.453592)) + (2553.6417073224 * B236 * B236) + (228.757399518 * B252 * B252) + (12.736240264 *  (B251/1000) * B253) - (24.4502664605 *  (B251/1000) * B316) - (23.0415882284 * B236 * B253) + (101.5847297779 * B236 * B316) - (1559.9331198689 * B236 *B252) - (3.9239483753 * B236 * (AVERAGE(B5:B6)*0.453592)) - (0.1078600966 * B253 * (AVERAGE(B5:B6)*0.453592)) - (28.1879330488 * B316 * B252) - (0.1153929924 * B316 * (AVERAGE(B5:B6)*0.453592))</f>
        <v>541.48123876174384</v>
      </c>
      <c r="C344" s="299">
        <f t="shared" si="226"/>
        <v>471.05106861362759</v>
      </c>
      <c r="D344" s="299">
        <f t="shared" si="226"/>
        <v>410.02340376494885</v>
      </c>
      <c r="E344" s="299">
        <f t="shared" si="226"/>
        <v>360.7957609066396</v>
      </c>
      <c r="F344" s="299">
        <f t="shared" si="226"/>
        <v>326.28328855841602</v>
      </c>
      <c r="G344" s="299">
        <f t="shared" si="226"/>
        <v>301.12774430436968</v>
      </c>
      <c r="I344" s="299">
        <f t="shared" ref="I344:N344" si="227" xml:space="preserve"> -232.8670000513 - (102.0339177026 * (I251/1000)) + (1386.8135453223 * I236) - (3.1583174866 * I253) + (80.3303777865 * I316) - (115.1570451563 * I252) + (4.1836503117 * (AVERAGE(I5:I6)*0.453592)) + (2553.6417073224 * I236 * I236) + (228.757399518 * I252 * I252) + (12.736240264 *  (I251/1000) * I253) - (24.4502664605 *  (I251/1000) * I316) - (23.0415882284 * I236 * I253) + (101.5847297779 * I236 * I316) - (1559.9331198689 * I236 *I252) - (3.9239483753 * I236 * (AVERAGE(I5:I6)*0.453592)) - (0.1078600966 * I253 * (AVERAGE(I5:I6)*0.453592)) - (28.1879330488 * I316 * I252) - (0.1153929924 * I316 * (AVERAGE(I5:I6)*0.453592))</f>
        <v>544.68195539732392</v>
      </c>
      <c r="J344" s="299">
        <f t="shared" si="227"/>
        <v>474.77645657903764</v>
      </c>
      <c r="K344" s="299">
        <f t="shared" si="227"/>
        <v>413.54184942601609</v>
      </c>
      <c r="L344" s="299">
        <f t="shared" si="227"/>
        <v>363.19410796302145</v>
      </c>
      <c r="M344" s="299">
        <f t="shared" si="227"/>
        <v>326.87384574181419</v>
      </c>
      <c r="N344" s="299">
        <f t="shared" si="227"/>
        <v>301.12774430436968</v>
      </c>
      <c r="P344" s="299">
        <f t="shared" ref="P344:U344" si="228" xml:space="preserve"> -232.8670000513 - (102.0339177026 * (P251/1000)) + (1386.8135453223 * P236) - (3.1583174866 * P253) + (80.3303777865 * P316) - (115.1570451563 * P252) + (4.1836503117 * (AVERAGE(P5:P6)*0.453592)) + (2553.6417073224 * P236 * P236) + (228.757399518 * P252 * P252) + (12.736240264 *  (P251/1000) * P253) - (24.4502664605 *  (P251/1000) * P316) - (23.0415882284 * P236 * P253) + (101.5847297779 * P236 * P316) - (1559.9331198689 * P236 *P252) - (3.9239483753 * P236 * (AVERAGE(P5:P6)*0.453592)) - (0.1078600966 * P253 * (AVERAGE(P5:P6)*0.453592)) - (28.1879330488 * P316 * P252) - (0.1153929924 * P316 * (AVERAGE(P5:P6)*0.453592))</f>
        <v>547.89662275074909</v>
      </c>
      <c r="Q344" s="299">
        <f t="shared" si="228"/>
        <v>478.5323901444587</v>
      </c>
      <c r="R344" s="299">
        <f t="shared" si="228"/>
        <v>417.04800330636067</v>
      </c>
      <c r="S344" s="299">
        <f t="shared" si="228"/>
        <v>365.60182676552984</v>
      </c>
      <c r="T344" s="299">
        <f t="shared" si="228"/>
        <v>327.48823108189816</v>
      </c>
      <c r="U344" s="299">
        <f t="shared" si="228"/>
        <v>301.12774430436968</v>
      </c>
      <c r="W344" s="299">
        <f t="shared" ref="W344:AB344" si="229" xml:space="preserve"> -232.8670000513 - (102.0339177026 * (W251/1000)) + (1386.8135453223 * W236) - (3.1583174866 * W253) + (80.3303777865 * W316) - (115.1570451563 * W252) + (4.1836503117 * (AVERAGE(W5:W6)*0.453592)) + (2553.6417073224 * W236 * W236) + (228.757399518 * W252 * W252) + (12.736240264 *  (W251/1000) * W253) - (24.4502664605 *  (W251/1000) * W316) - (23.0415882284 * W236 * W253) + (101.5847297779 * W236 * W316) - (1559.9331198689 * W236 *W252) - (3.9239483753 * W236 * (AVERAGE(W5:W6)*0.453592)) - (0.1078600966 * W253 * (AVERAGE(W5:W6)*0.453592)) - (28.1879330488 * W316 * W252) - (0.1153929924 * W316 * (AVERAGE(W5:W6)*0.453592))</f>
        <v>551.11052476804502</v>
      </c>
      <c r="X344" s="299">
        <f t="shared" si="229"/>
        <v>482.29829943319055</v>
      </c>
      <c r="Y344" s="299">
        <f t="shared" si="229"/>
        <v>420.54885370178459</v>
      </c>
      <c r="Z344" s="299">
        <f t="shared" si="229"/>
        <v>368.01249324880132</v>
      </c>
      <c r="AA344" s="299">
        <f t="shared" si="229"/>
        <v>328.12799231535098</v>
      </c>
      <c r="AB344" s="299">
        <f t="shared" si="229"/>
        <v>301.12774430436968</v>
      </c>
      <c r="AD344" s="299">
        <f t="shared" ref="AD344:AI344" si="230" xml:space="preserve"> -232.8670000513 - (102.0339177026 * (AD251/1000)) + (1386.8135453223 * AD236) - (3.1583174866 * AD253) + (80.3303777865 * AD316) - (115.1570451563 * AD252) + (4.1836503117 * (AVERAGE(AD5:AD6)*0.453592)) + (2553.6417073224 * AD236 * AD236) + (228.757399518 * AD252 * AD252) + (12.736240264 *  (AD251/1000) * AD253) - (24.4502664605 *  (AD251/1000) * AD316) - (23.0415882284 * AD236 * AD253) + (101.5847297779 * AD236 * AD316) - (1559.9331198689 * AD236 *AD252) - (3.9239483753 * AD236 * (AVERAGE(AD5:AD6)*0.453592)) - (0.1078600966 * AD253 * (AVERAGE(AD5:AD6)*0.453592)) - (28.1879330488 * AD316 * AD252) - (0.1153929924 * AD316 * (AVERAGE(AD5:AD6)*0.453592))</f>
        <v>554.34922340802814</v>
      </c>
      <c r="AE344" s="299">
        <f t="shared" si="230"/>
        <v>486.06870424698963</v>
      </c>
      <c r="AF344" s="299">
        <f t="shared" si="230"/>
        <v>424.04778376643372</v>
      </c>
      <c r="AG344" s="299">
        <f t="shared" si="230"/>
        <v>370.46855332729479</v>
      </c>
      <c r="AH344" s="299">
        <f t="shared" si="230"/>
        <v>328.6862971059129</v>
      </c>
      <c r="AI344" s="299">
        <f t="shared" si="230"/>
        <v>301.12774430436968</v>
      </c>
      <c r="AK344" s="299">
        <f t="shared" ref="AK344:AP344" si="231" xml:space="preserve"> -232.8670000513 - (102.0339177026 * (AK251/1000)) + (1386.8135453223 * AK236) - (3.1583174866 * AK253) + (80.3303777865 * AK316) - (115.1570451563 * AK252) + (4.1836503117 * (AVERAGE(AK5:AK6)*0.453592)) + (2553.6417073224 * AK236 * AK236) + (228.757399518 * AK252 * AK252) + (12.736240264 *  (AK251/1000) * AK253) - (24.4502664605 *  (AK251/1000) * AK316) - (23.0415882284 * AK236 * AK253) + (101.5847297779 * AK236 * AK316) - (1559.9331198689 * AK236 *AK252) - (3.9239483753 * AK236 * (AVERAGE(AK5:AK6)*0.453592)) - (0.1078600966 * AK253 * (AVERAGE(AK5:AK6)*0.453592)) - (28.1879330488 * AK316 * AK252) - (0.1153929924 * AK316 * (AVERAGE(AK5:AK6)*0.453592))</f>
        <v>557.74081209962173</v>
      </c>
      <c r="AL344" s="299">
        <f t="shared" si="231"/>
        <v>489.84693169406222</v>
      </c>
      <c r="AM344" s="299">
        <f t="shared" si="231"/>
        <v>427.5797585417273</v>
      </c>
      <c r="AN344" s="299">
        <f t="shared" si="231"/>
        <v>372.73581436865857</v>
      </c>
      <c r="AO344" s="299">
        <f t="shared" si="231"/>
        <v>329.28751157066336</v>
      </c>
      <c r="AP344" s="299">
        <f t="shared" si="231"/>
        <v>301.12774430436968</v>
      </c>
      <c r="AR344" s="299">
        <f t="shared" ref="AR344:AW344" si="232" xml:space="preserve"> -232.8670000513 - (102.0339177026 * (AR251/1000)) + (1386.8135453223 * AR236) - (3.1583174866 * AR253) + (80.3303777865 * AR316) - (115.1570451563 * AR252) + (4.1836503117 * (AVERAGE(AR5:AR6)*0.453592)) + (2553.6417073224 * AR236 * AR236) + (228.757399518 * AR252 * AR252) + (12.736240264 *  (AR251/1000) * AR253) - (24.4502664605 *  (AR251/1000) * AR316) - (23.0415882284 * AR236 * AR253) + (101.5847297779 * AR236 * AR316) - (1559.9331198689 * AR236 *AR252) - (3.9239483753 * AR236 * (AVERAGE(AR5:AR6)*0.453592)) - (0.1078600966 * AR253 * (AVERAGE(AR5:AR6)*0.453592)) - (28.1879330488 * AR316 * AR252) - (0.1153929924 * AR316 * (AVERAGE(AR5:AR6)*0.453592))</f>
        <v>560.92456426101978</v>
      </c>
      <c r="AS344" s="299">
        <f t="shared" si="232"/>
        <v>493.61233476220207</v>
      </c>
      <c r="AT344" s="299">
        <f t="shared" si="232"/>
        <v>430.93868169881779</v>
      </c>
      <c r="AU344" s="299">
        <f t="shared" si="232"/>
        <v>375.09757078441942</v>
      </c>
      <c r="AV344" s="299">
        <f t="shared" si="232"/>
        <v>329.89987224117283</v>
      </c>
      <c r="AW344" s="299">
        <f t="shared" si="232"/>
        <v>301.12774430436968</v>
      </c>
    </row>
    <row r="345" spans="1:52" x14ac:dyDescent="0.25">
      <c r="A345" s="298" t="s">
        <v>134</v>
      </c>
      <c r="B345" s="301">
        <f t="shared" ref="B345:G345" si="233">IF(B323="","0",1/B344*1000)</f>
        <v>1.846786053542306</v>
      </c>
      <c r="C345" s="301">
        <f t="shared" si="233"/>
        <v>2.1229120718123973</v>
      </c>
      <c r="D345" s="301">
        <f t="shared" si="233"/>
        <v>2.4388851729382321</v>
      </c>
      <c r="E345" s="301">
        <f t="shared" si="233"/>
        <v>2.7716511898230491</v>
      </c>
      <c r="F345" s="301">
        <f t="shared" si="233"/>
        <v>3.0648213839519558</v>
      </c>
      <c r="G345" s="301">
        <f t="shared" si="233"/>
        <v>3.3208497686258824</v>
      </c>
      <c r="I345" s="301">
        <f t="shared" ref="I345:N345" si="234">IF(I323="","0",1/I344*1000)</f>
        <v>1.8359337776676292</v>
      </c>
      <c r="J345" s="301">
        <f t="shared" si="234"/>
        <v>2.106254398555095</v>
      </c>
      <c r="K345" s="301">
        <f t="shared" si="234"/>
        <v>2.41813495148791</v>
      </c>
      <c r="L345" s="301">
        <f t="shared" si="234"/>
        <v>2.7533486311452355</v>
      </c>
      <c r="M345" s="301">
        <f t="shared" si="234"/>
        <v>3.0592842254802601</v>
      </c>
      <c r="N345" s="301">
        <f t="shared" si="234"/>
        <v>3.3208497686258824</v>
      </c>
      <c r="P345" s="301">
        <f t="shared" ref="P345:U345" si="235">IF(P323="","0",1/P344*1000)</f>
        <v>1.8251618251987716</v>
      </c>
      <c r="Q345" s="301">
        <f t="shared" si="235"/>
        <v>2.0897227034059727</v>
      </c>
      <c r="R345" s="301">
        <f t="shared" si="235"/>
        <v>2.3978055093706008</v>
      </c>
      <c r="S345" s="301">
        <f t="shared" si="235"/>
        <v>2.7352160924549391</v>
      </c>
      <c r="T345" s="301">
        <f t="shared" si="235"/>
        <v>3.0535448455548324</v>
      </c>
      <c r="U345" s="301">
        <f t="shared" si="235"/>
        <v>3.3208497686258824</v>
      </c>
      <c r="W345" s="301">
        <f t="shared" ref="W345:AB345" si="236">IF(W323="","0",1/W344*1000)</f>
        <v>1.8145180595505528</v>
      </c>
      <c r="X345" s="301">
        <f t="shared" si="236"/>
        <v>2.0734056105427405</v>
      </c>
      <c r="Y345" s="301">
        <f t="shared" si="236"/>
        <v>2.3778450260837238</v>
      </c>
      <c r="Z345" s="301">
        <f t="shared" si="236"/>
        <v>2.7172990546381599</v>
      </c>
      <c r="AA345" s="301">
        <f t="shared" si="236"/>
        <v>3.0475912553018003</v>
      </c>
      <c r="AB345" s="301">
        <f t="shared" si="236"/>
        <v>3.3208497686258824</v>
      </c>
      <c r="AD345" s="301">
        <f t="shared" ref="AD345:AI345" si="237">IF(AD323="","0",1/AD344*1000)</f>
        <v>1.803917021570266</v>
      </c>
      <c r="AE345" s="301">
        <f t="shared" si="237"/>
        <v>2.0573223317250697</v>
      </c>
      <c r="AF345" s="301">
        <f t="shared" si="237"/>
        <v>2.3582247998513344</v>
      </c>
      <c r="AG345" s="301">
        <f t="shared" si="237"/>
        <v>2.6992844359357493</v>
      </c>
      <c r="AH345" s="301">
        <f t="shared" si="237"/>
        <v>3.0424146330559347</v>
      </c>
      <c r="AI345" s="301">
        <f t="shared" si="237"/>
        <v>3.3208497686258824</v>
      </c>
      <c r="AK345" s="301">
        <f t="shared" ref="AK345:AP345" si="238">IF(AK323="","0",1/AK344*1000)</f>
        <v>1.7929475094990599</v>
      </c>
      <c r="AL345" s="301">
        <f t="shared" si="238"/>
        <v>2.0414540447189284</v>
      </c>
      <c r="AM345" s="301">
        <f t="shared" si="238"/>
        <v>2.3387449476339288</v>
      </c>
      <c r="AN345" s="301">
        <f t="shared" si="238"/>
        <v>2.6828653471193911</v>
      </c>
      <c r="AO345" s="301">
        <f t="shared" si="238"/>
        <v>3.0368597801663224</v>
      </c>
      <c r="AP345" s="301">
        <f t="shared" si="238"/>
        <v>3.3208497686258824</v>
      </c>
      <c r="AR345" s="301">
        <f t="shared" ref="AR345:AW345" si="239">IF(AR323="","0",1/AR344*1000)</f>
        <v>1.7827709173646771</v>
      </c>
      <c r="AS345" s="301">
        <f t="shared" si="239"/>
        <v>2.0258813031520986</v>
      </c>
      <c r="AT345" s="301">
        <f t="shared" si="239"/>
        <v>2.320515754255029</v>
      </c>
      <c r="AU345" s="301">
        <f t="shared" si="239"/>
        <v>2.6659730104590094</v>
      </c>
      <c r="AV345" s="301">
        <f t="shared" si="239"/>
        <v>3.0312227561850991</v>
      </c>
      <c r="AW345" s="301">
        <f t="shared" si="239"/>
        <v>3.3208497686258824</v>
      </c>
    </row>
    <row r="346" spans="1:52" x14ac:dyDescent="0.25">
      <c r="A346" s="298" t="s">
        <v>481</v>
      </c>
      <c r="B346" s="301">
        <f t="shared" ref="B346:G346" si="240">(B6-B5)*0.453592/(B342/1000)</f>
        <v>20.958977100556179</v>
      </c>
      <c r="C346" s="301">
        <f t="shared" si="240"/>
        <v>18.239080496534822</v>
      </c>
      <c r="D346" s="301">
        <f t="shared" si="240"/>
        <v>19.17492901903826</v>
      </c>
      <c r="E346" s="301">
        <f t="shared" si="240"/>
        <v>18.464677842774325</v>
      </c>
      <c r="F346" s="301">
        <f t="shared" si="240"/>
        <v>18.577722929695792</v>
      </c>
      <c r="G346" s="301">
        <f t="shared" si="240"/>
        <v>22.192648973190369</v>
      </c>
      <c r="I346" s="301">
        <f>(I351-I5)*0.453592/(I342/1000)</f>
        <v>20.958934901426296</v>
      </c>
      <c r="J346" s="301">
        <f>(J351-I351)*0.453592/(J342/1000)</f>
        <v>18.315905611255403</v>
      </c>
      <c r="K346" s="301">
        <f>(K351-J351)*0.453592/(K342/1000)</f>
        <v>19.224942569212494</v>
      </c>
      <c r="L346" s="301">
        <f>(L351-K351)*0.453592/(L342/1000)</f>
        <v>18.514878486289618</v>
      </c>
      <c r="M346" s="301">
        <f>(M351-L351)*0.453592/(M342/1000)</f>
        <v>18.640702245710891</v>
      </c>
      <c r="N346" s="301">
        <f>(N351-M351)*0.453592/(N342/1000)</f>
        <v>22.290192904558729</v>
      </c>
      <c r="P346" s="301">
        <f>(P351-P5)*0.453592/(P342/1000)</f>
        <v>20.958934723881768</v>
      </c>
      <c r="Q346" s="301">
        <f>(Q351-P351)*0.453592/(Q342/1000)</f>
        <v>18.392682632474418</v>
      </c>
      <c r="R346" s="301">
        <f>(R351-Q351)*0.453592/(R342/1000)</f>
        <v>19.274921803118666</v>
      </c>
      <c r="S346" s="301">
        <f>(S351-R351)*0.453592/(S342/1000)</f>
        <v>18.56548743692343</v>
      </c>
      <c r="T346" s="301">
        <f>(T351-S351)*0.453592/(T342/1000)</f>
        <v>18.703868794762762</v>
      </c>
      <c r="U346" s="301">
        <f>(U351-T351)*0.453592/(U342/1000)</f>
        <v>22.387567106016508</v>
      </c>
      <c r="W346" s="301">
        <f>(W351-W5)*0.453592/(W342/1000)</f>
        <v>20.958934544993976</v>
      </c>
      <c r="X346" s="301">
        <f>(X351-W351)*0.453592/(X342/1000)</f>
        <v>18.469849499526269</v>
      </c>
      <c r="Y346" s="301">
        <f>(Y351-X351)*0.453592/(Y342/1000)</f>
        <v>19.325112539365119</v>
      </c>
      <c r="Z346" s="301">
        <f>(Z351-Y351)*0.453592/(Z342/1000)</f>
        <v>18.616504329922311</v>
      </c>
      <c r="AA346" s="301">
        <f>(AA351-Z351)*0.453592/(AA342/1000)</f>
        <v>18.767382047125935</v>
      </c>
      <c r="AB346" s="301">
        <f>(AB351-AA351)*0.453592/(AB342/1000)</f>
        <v>22.485277838764226</v>
      </c>
      <c r="AD346" s="301">
        <f>(AD351-AD5)*0.453592/(AD342/1000)</f>
        <v>20.958934364958733</v>
      </c>
      <c r="AE346" s="301">
        <f>(AE351-AD351)*0.453592/(AE342/1000)</f>
        <v>18.547320140157048</v>
      </c>
      <c r="AF346" s="301">
        <f>(AF351-AE351)*0.453592/(AF342/1000)</f>
        <v>19.375567288119335</v>
      </c>
      <c r="AG346" s="301">
        <f>(AG351-AF351)*0.453592/(AG342/1000)</f>
        <v>18.66822928046717</v>
      </c>
      <c r="AH346" s="301">
        <f>(AH351-AG351)*0.453592/(AH342/1000)</f>
        <v>18.831777906912002</v>
      </c>
      <c r="AI346" s="301">
        <f>(AI351-AH351)*0.453592/(AI342/1000)</f>
        <v>22.582645262476507</v>
      </c>
      <c r="AK346" s="301">
        <f>(AK351-AK5)*0.453592/(AK342/1000)</f>
        <v>20.958934184857057</v>
      </c>
      <c r="AL346" s="301">
        <f>(AL351-AK351)*0.453592/(AL342/1000)</f>
        <v>18.624636134214544</v>
      </c>
      <c r="AM346" s="301">
        <f>(AM351-AL351)*0.453592/(AM342/1000)</f>
        <v>19.426268986135046</v>
      </c>
      <c r="AN346" s="301">
        <f>(AN351-AM351)*0.453592/(AN342/1000)</f>
        <v>18.719483609966993</v>
      </c>
      <c r="AO346" s="301">
        <f>(AO351-AN351)*0.453592/(AO342/1000)</f>
        <v>18.897733402764203</v>
      </c>
      <c r="AP346" s="301">
        <f>(AP351-AO351)*0.453592/(AP342/1000)</f>
        <v>22.678299410347599</v>
      </c>
      <c r="AR346" s="301">
        <f>(AR351-AR5)*0.453592/(AR342/1000)</f>
        <v>20.958933999778708</v>
      </c>
      <c r="AS346" s="301">
        <f>(AS351-AR351)*0.453592/(AS342/1000)</f>
        <v>18.703875776785974</v>
      </c>
      <c r="AT346" s="301">
        <f>(AT351-AS351)*0.453592/(AT342/1000)</f>
        <v>19.477597768671728</v>
      </c>
      <c r="AU346" s="301">
        <f>(AU351-AT351)*0.453592/(AU342/1000)</f>
        <v>18.771915358733882</v>
      </c>
      <c r="AV346" s="301">
        <f>(AV351-AU351)*0.453592/(AV342/1000)</f>
        <v>18.962776160010314</v>
      </c>
      <c r="AW346" s="301">
        <f>(AW351-AV351)*0.453592/(AW342/1000)</f>
        <v>22.774266716175422</v>
      </c>
    </row>
    <row r="347" spans="1:52" x14ac:dyDescent="0.25">
      <c r="A347" s="298" t="s">
        <v>482</v>
      </c>
      <c r="B347" s="299">
        <f t="shared" ref="B347:G347" si="241" xml:space="preserve"> 51.6684755267 + 7.1030096064 * (B251/1000) + 54.0870565413 * B236 + 1.6439820046 * B253 + 0.4039153805 * B316 - 20.5375389219 * B252 + 0.2869358688 *(AVERAGE(B5:B6)*0.453592) - 0.016597667 * B316 * B316 - 0.1531408962 * (B251/1000) * (AVERAGE(B5:B6)*0.453592) - 4.8153797375 * B236 * B253 + 0.5304361357 * B236 * (AVERAGE(B5:B6)*0.453592) + 0.9830652207 * B253 * B252 - 0.0127129553 * B253 *(AVERAGE(B5:B6)*0.453592)</f>
        <v>59.07643336708562</v>
      </c>
      <c r="C347" s="299">
        <f t="shared" si="241"/>
        <v>66.187005535002854</v>
      </c>
      <c r="D347" s="299">
        <f t="shared" si="241"/>
        <v>71.339528706858943</v>
      </c>
      <c r="E347" s="299">
        <f t="shared" si="241"/>
        <v>74.764464309798441</v>
      </c>
      <c r="F347" s="299">
        <f t="shared" si="241"/>
        <v>76.836980679644768</v>
      </c>
      <c r="G347" s="299">
        <f t="shared" si="241"/>
        <v>78.432360226639787</v>
      </c>
      <c r="I347" s="299">
        <f t="shared" ref="I347:N347" si="242" xml:space="preserve"> 51.6684755267 + 7.1030096064 * (I251/1000) + 54.0870565413 * I236 + 1.6439820046 * I253 + 0.4039153805 * I316 - 20.5375389219 * I252 + 0.2869358688 *(AVERAGE(I5:I6)*0.453592) - 0.016597667 * I316 * I316 - 0.1531408962 * (I251/1000) * (AVERAGE(I5:I6)*0.453592) - 4.8153797375 * I236 * I253 + 0.5304361357 * I236 * (AVERAGE(I5:I6)*0.453592) + 0.9830652207 * I253 * I252 - 0.0127129553 * I253 *(AVERAGE(I5:I6)*0.453592)</f>
        <v>59.243479327988396</v>
      </c>
      <c r="J347" s="299">
        <f t="shared" si="242"/>
        <v>66.314682198181842</v>
      </c>
      <c r="K347" s="299">
        <f t="shared" si="242"/>
        <v>71.423989215062747</v>
      </c>
      <c r="L347" s="299">
        <f t="shared" si="242"/>
        <v>74.794604233590505</v>
      </c>
      <c r="M347" s="299">
        <f t="shared" si="242"/>
        <v>76.806432001497171</v>
      </c>
      <c r="N347" s="299">
        <f t="shared" si="242"/>
        <v>78.432360226639787</v>
      </c>
      <c r="P347" s="299">
        <f t="shared" ref="P347:U347" si="243" xml:space="preserve"> 51.6684755267 + 7.1030096064 * (P251/1000) + 54.0870565413 * P236 + 1.6439820046 * P253 + 0.4039153805 * P316 - 20.5375389219 * P252 + 0.2869358688 *(AVERAGE(P5:P6)*0.453592) - 0.016597667 * P316 * P316 - 0.1531408962 * (P251/1000) * (AVERAGE(P5:P6)*0.453592) - 4.8153797375 * P236 * P253 + 0.5304361357 * P236 * (AVERAGE(P5:P6)*0.453592) + 0.9830652207 * P253 * P252 - 0.0127129553 * P253 *(AVERAGE(P5:P6)*0.453592)</f>
        <v>59.36744799757264</v>
      </c>
      <c r="Q347" s="299">
        <f t="shared" si="243"/>
        <v>66.399315096503798</v>
      </c>
      <c r="R347" s="299">
        <f t="shared" si="243"/>
        <v>71.463555262742716</v>
      </c>
      <c r="S347" s="299">
        <f t="shared" si="243"/>
        <v>74.78052970997615</v>
      </c>
      <c r="T347" s="299">
        <f t="shared" si="243"/>
        <v>76.730534311286107</v>
      </c>
      <c r="U347" s="299">
        <f t="shared" si="243"/>
        <v>78.432360226639787</v>
      </c>
      <c r="W347" s="299">
        <f t="shared" ref="W347:AB347" si="244" xml:space="preserve"> 51.6684755267 + 7.1030096064 * (W251/1000) + 54.0870565413 * W236 + 1.6439820046 * W253 + 0.4039153805 * W316 - 20.5375389219 * W252 + 0.2869358688 *(AVERAGE(W5:W6)*0.453592) - 0.016597667 * W316 * W316 - 0.1531408962 * (W251/1000) * (AVERAGE(W5:W6)*0.453592) - 4.8153797375 * W236 * W253 + 0.5304361357 * W236 * (AVERAGE(W5:W6)*0.453592) + 0.9830652207 * W253 * W252 - 0.0127129553 * W253 *(AVERAGE(W5:W6)*0.453592)</f>
        <v>59.447219082438615</v>
      </c>
      <c r="X347" s="299">
        <f t="shared" si="244"/>
        <v>66.439762970964395</v>
      </c>
      <c r="Y347" s="299">
        <f t="shared" si="244"/>
        <v>71.458544885255478</v>
      </c>
      <c r="Z347" s="299">
        <f t="shared" si="244"/>
        <v>74.722581015382374</v>
      </c>
      <c r="AA347" s="299">
        <f t="shared" si="244"/>
        <v>76.608905340313939</v>
      </c>
      <c r="AB347" s="299">
        <f t="shared" si="244"/>
        <v>78.432360226639787</v>
      </c>
      <c r="AD347" s="299">
        <f t="shared" ref="AD347:AI347" si="245" xml:space="preserve"> 51.6684755267 + 7.1030096064 * (AD251/1000) + 54.0870565413 * AD236 + 1.6439820046 * AD253 + 0.4039153805 * AD316 - 20.5375389219 * AD252 + 0.2869358688 *(AVERAGE(AD5:AD6)*0.453592) - 0.016597667 * AD316 * AD316 - 0.1531408962 * (AD251/1000) * (AVERAGE(AD5:AD6)*0.453592) - 4.8153797375 * AD236 * AD253 + 0.5304361357 * AD236 * (AVERAGE(AD5:AD6)*0.453592) + 0.9830652207 * AD253 * AD252 - 0.0127129553 * AD253 *(AVERAGE(AD5:AD6)*0.453592)</f>
        <v>59.482709418021351</v>
      </c>
      <c r="AE347" s="299">
        <f t="shared" si="245"/>
        <v>66.435812016540055</v>
      </c>
      <c r="AF347" s="299">
        <f t="shared" si="245"/>
        <v>71.409565286860925</v>
      </c>
      <c r="AG347" s="299">
        <f t="shared" si="245"/>
        <v>74.618645670294839</v>
      </c>
      <c r="AH347" s="299">
        <f t="shared" si="245"/>
        <v>76.446831743390234</v>
      </c>
      <c r="AI347" s="299">
        <f t="shared" si="245"/>
        <v>78.432360226639787</v>
      </c>
      <c r="AK347" s="299">
        <f t="shared" ref="AK347:AP347" si="246" xml:space="preserve"> 51.6684755267 + 7.1030096064 * (AK251/1000) + 54.0870565413 * AK236 + 1.6439820046 * AK253 + 0.4039153805 * AK316 - 20.5375389219 * AK252 + 0.2869358688 *(AVERAGE(AK5:AK6)*0.453592) - 0.016597667 * AK316 * AK316 - 0.1531408962 * (AK251/1000) * (AVERAGE(AK5:AK6)*0.453592) - 4.8153797375 * AK236 * AK253 + 0.5304361357 * AK236 * (AVERAGE(AK5:AK6)*0.453592) + 0.9830652207 * AK253 * AK252 - 0.0127129553 * AK253 *(AVERAGE(AK5:AK6)*0.453592)</f>
        <v>59.47349826761198</v>
      </c>
      <c r="AL347" s="299">
        <f t="shared" si="246"/>
        <v>66.387431021857651</v>
      </c>
      <c r="AM347" s="299">
        <f t="shared" si="246"/>
        <v>71.31545090986981</v>
      </c>
      <c r="AN347" s="299">
        <f t="shared" si="246"/>
        <v>74.472489558054363</v>
      </c>
      <c r="AO347" s="299">
        <f t="shared" si="246"/>
        <v>76.24169507308261</v>
      </c>
      <c r="AP347" s="299">
        <f t="shared" si="246"/>
        <v>78.432360226639787</v>
      </c>
      <c r="AR347" s="299">
        <f t="shared" ref="AR347:AW347" si="247" xml:space="preserve"> 51.6684755267 + 7.1030096064 * (AR251/1000) + 54.0870565413 * AR236 + 1.6439820046 * AR253 + 0.4039153805 * AR316 - 20.5375389219 * AR252 + 0.2869358688 *(AVERAGE(AR5:AR6)*0.453592) - 0.016597667 * AR316 * AR316 - 0.1531408962 * (AR251/1000) * (AVERAGE(AR5:AR6)*0.453592) - 4.8153797375 * AR236 * AR253 + 0.5304361357 * AR236 * (AVERAGE(AR5:AR6)*0.453592) + 0.9830652207 * AR253 * AR252 - 0.0127129553 * AR253 *(AVERAGE(AR5:AR6)*0.453592)</f>
        <v>59.419660946152376</v>
      </c>
      <c r="AS347" s="299">
        <f t="shared" si="247"/>
        <v>66.294450943031634</v>
      </c>
      <c r="AT347" s="299">
        <f t="shared" si="247"/>
        <v>71.177011875452706</v>
      </c>
      <c r="AU347" s="299">
        <f t="shared" si="247"/>
        <v>74.283880076076372</v>
      </c>
      <c r="AV347" s="299">
        <f t="shared" si="247"/>
        <v>75.99246713277175</v>
      </c>
      <c r="AW347" s="299">
        <f t="shared" si="247"/>
        <v>78.432360226639787</v>
      </c>
    </row>
    <row r="348" spans="1:52" x14ac:dyDescent="0.25">
      <c r="A348" s="298" t="s">
        <v>474</v>
      </c>
      <c r="B348" s="299">
        <f t="shared" ref="B348:G348" si="248" xml:space="preserve"> 41.4410513954 + (14.8656283053 * B236) - (0.6326892081 * B253) - (12.1380129342 * B252) -
(0.0133880688 * (B253^2)) + (1.1112817574 * (B252^2))</f>
        <v>7.8081201670684095</v>
      </c>
      <c r="C348" s="299">
        <f t="shared" si="248"/>
        <v>9.6497372018873726</v>
      </c>
      <c r="D348" s="299">
        <f t="shared" si="248"/>
        <v>11.707280587456946</v>
      </c>
      <c r="E348" s="299">
        <f t="shared" si="248"/>
        <v>13.756142379711502</v>
      </c>
      <c r="F348" s="299">
        <f t="shared" si="248"/>
        <v>15.307913140289045</v>
      </c>
      <c r="G348" s="299">
        <f t="shared" si="248"/>
        <v>16.16672623849167</v>
      </c>
      <c r="I348" s="299">
        <f t="shared" ref="I348:N348" si="249" xml:space="preserve"> 41.4410513954 + (14.8656283053 * I236) - (0.6326892081 * I253) - (12.1380129342 * I252) -
(0.0133880688 * (I253^2)) + (1.1112817574 * (I252^2))</f>
        <v>7.3965712519540681</v>
      </c>
      <c r="J348" s="299">
        <f t="shared" si="249"/>
        <v>9.2585808082621668</v>
      </c>
      <c r="K348" s="299">
        <f t="shared" si="249"/>
        <v>11.33564432453878</v>
      </c>
      <c r="L348" s="299">
        <f t="shared" si="249"/>
        <v>13.396360195626425</v>
      </c>
      <c r="M348" s="299">
        <f t="shared" si="249"/>
        <v>14.95820516594468</v>
      </c>
      <c r="N348" s="299">
        <f t="shared" si="249"/>
        <v>16.16672623849167</v>
      </c>
      <c r="P348" s="299">
        <f t="shared" ref="P348:U348" si="250" xml:space="preserve"> 41.4410513954 + (14.8656283053 * P236) - (0.6326892081 * P253) - (12.1380129342 * P252) -
(0.0133880688 * (P253^2)) + (1.1112817574 * (P252^2))</f>
        <v>6.9828278317269579</v>
      </c>
      <c r="Q348" s="299">
        <f t="shared" si="250"/>
        <v>8.865238822029351</v>
      </c>
      <c r="R348" s="299">
        <f t="shared" si="250"/>
        <v>10.960534446788438</v>
      </c>
      <c r="S348" s="299">
        <f t="shared" si="250"/>
        <v>13.035429377706016</v>
      </c>
      <c r="T348" s="299">
        <f t="shared" si="250"/>
        <v>14.605084043765288</v>
      </c>
      <c r="U348" s="299">
        <f t="shared" si="250"/>
        <v>16.16672623849167</v>
      </c>
      <c r="W348" s="299">
        <f t="shared" ref="W348:AB348" si="251" xml:space="preserve"> 41.4410513954 + (14.8656283053 * W236) - (0.6326892081 * W253) - (12.1380129342 * W252) -
(0.0133880688 * (W253^2)) + (1.1112817574 * (W252^2))</f>
        <v>6.566215549972533</v>
      </c>
      <c r="X348" s="299">
        <f t="shared" si="251"/>
        <v>8.4692180548235783</v>
      </c>
      <c r="Y348" s="299">
        <f t="shared" si="251"/>
        <v>10.581725706686701</v>
      </c>
      <c r="Z348" s="299">
        <f t="shared" si="251"/>
        <v>12.674084929772935</v>
      </c>
      <c r="AA348" s="299">
        <f t="shared" si="251"/>
        <v>14.24700579792202</v>
      </c>
      <c r="AB348" s="299">
        <f t="shared" si="251"/>
        <v>16.16672623849167</v>
      </c>
      <c r="AD348" s="299">
        <f t="shared" ref="AD348:AI348" si="252" xml:space="preserve"> 41.4410513954 + (14.8656283053 * AD236) - (0.6326892081 * AD253) - (12.1380129342 * AD252) -
(0.0133880688 * (AD253^2)) + (1.1112817574 * (AD252^2))</f>
        <v>6.1470339280943271</v>
      </c>
      <c r="AE348" s="299">
        <f t="shared" si="252"/>
        <v>8.070046440699981</v>
      </c>
      <c r="AF348" s="299">
        <f t="shared" si="252"/>
        <v>10.206494085490409</v>
      </c>
      <c r="AG348" s="299">
        <f t="shared" si="252"/>
        <v>12.303481423881458</v>
      </c>
      <c r="AH348" s="299">
        <f t="shared" si="252"/>
        <v>13.889187174720101</v>
      </c>
      <c r="AI348" s="299">
        <f t="shared" si="252"/>
        <v>16.16672623849167</v>
      </c>
      <c r="AK348" s="299">
        <f t="shared" ref="AK348:AP348" si="253" xml:space="preserve"> 41.4410513954 + (14.8656283053 * AK236) - (0.6326892081 * AK253) - (12.1380129342 * AK252) -
(0.0133880688 * (AK253^2)) + (1.1112817574 * (AK252^2))</f>
        <v>5.7274548126901372</v>
      </c>
      <c r="AL348" s="299">
        <f t="shared" si="253"/>
        <v>7.6678208184835022</v>
      </c>
      <c r="AM348" s="299">
        <f t="shared" si="253"/>
        <v>9.8170298217134011</v>
      </c>
      <c r="AN348" s="299">
        <f t="shared" si="253"/>
        <v>11.930203962508784</v>
      </c>
      <c r="AO348" s="299">
        <f t="shared" si="253"/>
        <v>13.532733677069459</v>
      </c>
      <c r="AP348" s="299">
        <f t="shared" si="253"/>
        <v>16.16672623849167</v>
      </c>
      <c r="AR348" s="299">
        <f t="shared" ref="AR348:AW348" si="254" xml:space="preserve"> 41.4410513954 + (14.8656283053 * AR236) - (0.6326892081 * AR253) - (12.1380129342 * AR252) -
(0.0133880688 * (AR253^2)) + (1.1112817574 * (AR252^2))</f>
        <v>5.302659914214658</v>
      </c>
      <c r="AS348" s="299">
        <f t="shared" si="254"/>
        <v>7.2642063728480295</v>
      </c>
      <c r="AT348" s="299">
        <f t="shared" si="254"/>
        <v>9.4235824207212637</v>
      </c>
      <c r="AU348" s="299">
        <f t="shared" si="254"/>
        <v>11.560843876657216</v>
      </c>
      <c r="AV348" s="299">
        <f t="shared" si="254"/>
        <v>13.17188771098798</v>
      </c>
      <c r="AW348" s="299">
        <f t="shared" si="254"/>
        <v>16.16672623849167</v>
      </c>
    </row>
    <row r="349" spans="1:52" x14ac:dyDescent="0.25">
      <c r="A349" s="298" t="s">
        <v>483</v>
      </c>
      <c r="B349" s="299">
        <f t="shared" ref="B349:G349" si="255" xml:space="preserve"> -16.7992454106 + 17.2658536059 * (B251/1000) - 106.6634904715 * B236 + 0.1550376119 * B253 - 0.0727312562 * B316 + 48.6541457906 * B252 - 0.1535643762 * B253 * B253 - 0.0358142801 * B316 * B316 - 5.4618633046 * B252 * B252 + 4.2267870055 * B236 * B253 - 2.0313848595 * B236 * B316 + 0.1484978883 * B253 * B316</f>
        <v>52.048652387826927</v>
      </c>
      <c r="C349" s="299">
        <f t="shared" si="255"/>
        <v>57.424545894850155</v>
      </c>
      <c r="D349" s="299">
        <f t="shared" si="255"/>
        <v>60.138112629899155</v>
      </c>
      <c r="E349" s="299">
        <f t="shared" si="255"/>
        <v>61.003481994612869</v>
      </c>
      <c r="F349" s="299">
        <f t="shared" si="255"/>
        <v>60.913721975717699</v>
      </c>
      <c r="G349" s="299">
        <f t="shared" si="255"/>
        <v>60.653455485036048</v>
      </c>
      <c r="I349" s="299">
        <f t="shared" ref="I349:N349" si="256" xml:space="preserve"> -16.7992454106 + 17.2658536059 * (I251/1000) - 106.6634904715 * I236 + 0.1550376119 * I253 - 0.0727312562 * I316 + 48.6541457906 * I252 - 0.1535643762 * I253 * I253 - 0.0358142801 * I316 * I316 - 5.4618633046 * I252 * I252 + 4.2267870055 * I236 * I253 - 2.0313848595 * I236 * I316 + 0.1484978883 * I253 * I316</f>
        <v>52.029648828494423</v>
      </c>
      <c r="J349" s="299">
        <f t="shared" si="256"/>
        <v>57.389746218661493</v>
      </c>
      <c r="K349" s="299">
        <f t="shared" si="256"/>
        <v>60.090743298145505</v>
      </c>
      <c r="L349" s="299">
        <f t="shared" si="256"/>
        <v>60.939824450938623</v>
      </c>
      <c r="M349" s="299">
        <f t="shared" si="256"/>
        <v>60.841065722641474</v>
      </c>
      <c r="N349" s="299">
        <f t="shared" si="256"/>
        <v>60.653455485036048</v>
      </c>
      <c r="P349" s="299">
        <f t="shared" ref="P349:U349" si="257" xml:space="preserve"> -16.7992454106 + 17.2658536059 * (P251/1000) - 106.6634904715 * P236 + 0.1550376119 * P253 - 0.0727312562 * P316 + 48.6541457906 * P252 - 0.1535643762 * P253 * P253 - 0.0358142801 * P316 * P316 - 5.4618633046 * P252 * P252 + 4.2267870055 * P236 * P253 - 2.0313848595 * P236 * P316 + 0.1484978883 * P253 * P316</f>
        <v>52.005561038897824</v>
      </c>
      <c r="Q349" s="299">
        <f t="shared" si="257"/>
        <v>57.344714229760882</v>
      </c>
      <c r="R349" s="299">
        <f t="shared" si="257"/>
        <v>60.029009681374546</v>
      </c>
      <c r="S349" s="299">
        <f t="shared" si="257"/>
        <v>60.862233643135781</v>
      </c>
      <c r="T349" s="299">
        <f t="shared" si="257"/>
        <v>60.755224681577914</v>
      </c>
      <c r="U349" s="299">
        <f t="shared" si="257"/>
        <v>60.653455485036048</v>
      </c>
      <c r="W349" s="299">
        <f t="shared" ref="W349:AB349" si="258" xml:space="preserve"> -16.7992454106 + 17.2658536059 * (W251/1000) - 106.6634904715 * W236 + 0.1550376119 * W253 - 0.0727312562 * W316 + 48.6541457906 * W252 - 0.1535643762 * W253 * W253 - 0.0358142801 * W316 * W316 - 5.4618633046 * W252 * W252 + 4.2267870055 * W236 * W253 - 2.0313848595 * W236 * W316 + 0.1484978883 * W253 * W316</f>
        <v>51.968952507299406</v>
      </c>
      <c r="X349" s="299">
        <f t="shared" si="258"/>
        <v>57.28658983370552</v>
      </c>
      <c r="Y349" s="299">
        <f t="shared" si="258"/>
        <v>59.953103644496998</v>
      </c>
      <c r="Z349" s="299">
        <f t="shared" si="258"/>
        <v>60.769293439626431</v>
      </c>
      <c r="AA349" s="299">
        <f t="shared" si="258"/>
        <v>60.657026859387699</v>
      </c>
      <c r="AB349" s="299">
        <f t="shared" si="258"/>
        <v>60.653455485036048</v>
      </c>
      <c r="AD349" s="299">
        <f t="shared" ref="AD349:AI349" si="259" xml:space="preserve"> -16.7992454106 + 17.2658536059 * (AD251/1000) - 106.6634904715 * AD236 + 0.1550376119 * AD253 - 0.0727312562 * AD316 + 48.6541457906 * AD252 - 0.1535643762 * AD253 * AD253 - 0.0358142801 * AD316 * AD316 - 5.4618633046 * AD252 * AD252 + 4.2267870055 * AD236 * AD253 - 2.0313848595 * AD236 * AD316 + 0.1484978883 * AD253 * AD316</f>
        <v>51.921729306831878</v>
      </c>
      <c r="AE349" s="299">
        <f t="shared" si="259"/>
        <v>57.21470287971529</v>
      </c>
      <c r="AF349" s="299">
        <f t="shared" si="259"/>
        <v>59.860029744773321</v>
      </c>
      <c r="AG349" s="299">
        <f t="shared" si="259"/>
        <v>60.666568793346606</v>
      </c>
      <c r="AH349" s="299">
        <f t="shared" si="259"/>
        <v>60.545322645779621</v>
      </c>
      <c r="AI349" s="299">
        <f t="shared" si="259"/>
        <v>60.653455485036048</v>
      </c>
      <c r="AK349" s="299">
        <f t="shared" ref="AK349:AP349" si="260" xml:space="preserve"> -16.7992454106 + 17.2658536059 * (AK251/1000) - 106.6634904715 * AK236 + 0.1550376119 * AK253 - 0.0727312562 * AK316 + 48.6541457906 * AK252 - 0.1535643762 * AK253 * AK253 - 0.0358142801 * AK316 * AK316 - 5.4618633046 * AK252 * AK252 + 4.2267870055 * AK236 * AK253 - 2.0313848595 * AK236 * AK316 + 0.1484978883 * AK253 * AK316</f>
        <v>51.873882788224464</v>
      </c>
      <c r="AL349" s="299">
        <f t="shared" si="260"/>
        <v>57.129138344589478</v>
      </c>
      <c r="AM349" s="299">
        <f t="shared" si="260"/>
        <v>59.759217935422242</v>
      </c>
      <c r="AN349" s="299">
        <f t="shared" si="260"/>
        <v>60.549226277809069</v>
      </c>
      <c r="AO349" s="299">
        <f t="shared" si="260"/>
        <v>60.41888764263328</v>
      </c>
      <c r="AP349" s="299">
        <f t="shared" si="260"/>
        <v>60.653455485036048</v>
      </c>
      <c r="AR349" s="299">
        <f t="shared" ref="AR349:AW349" si="261" xml:space="preserve"> -16.7992454106 + 17.2658536059 * (AR251/1000) - 106.6634904715 * AR236 + 0.1550376119 * AR253 - 0.0727312562 * AR316 + 48.6541457906 * AR252 - 0.1535643762 * AR253 * AR253 - 0.0358142801 * AR316 * AR316 - 5.4618633046 * AR252 * AR252 + 4.2267870055 * AR236 * AR253 - 2.0313848595 * AR236 * AR316 + 0.1484978883 * AR253 * AR316</f>
        <v>51.790983057993152</v>
      </c>
      <c r="AS349" s="299">
        <f t="shared" si="261"/>
        <v>57.027944580405247</v>
      </c>
      <c r="AT349" s="299">
        <f t="shared" si="261"/>
        <v>59.640949723015538</v>
      </c>
      <c r="AU349" s="299">
        <f t="shared" si="261"/>
        <v>60.41770641573207</v>
      </c>
      <c r="AV349" s="299">
        <f t="shared" si="261"/>
        <v>60.279973353152371</v>
      </c>
      <c r="AW349" s="299">
        <f t="shared" si="261"/>
        <v>60.653455485036048</v>
      </c>
    </row>
    <row r="350" spans="1:52" x14ac:dyDescent="0.25">
      <c r="A350" s="298" t="s">
        <v>484</v>
      </c>
      <c r="B350" s="299">
        <f t="shared" ref="B350:G350" si="262" xml:space="preserve"> 49.3215904687 - 4.5564383267 * (B251/1000) + 31.3355706686 * B236 + 0.0864922401 * B253 - 16.201377828 * B236 * B236</f>
        <v>53.954378874327247</v>
      </c>
      <c r="C350" s="299">
        <f t="shared" si="262"/>
        <v>54.343913736532443</v>
      </c>
      <c r="D350" s="299">
        <f t="shared" si="262"/>
        <v>54.182582260957595</v>
      </c>
      <c r="E350" s="299">
        <f t="shared" si="262"/>
        <v>53.680906160604707</v>
      </c>
      <c r="F350" s="299">
        <f t="shared" si="262"/>
        <v>53.144530833046296</v>
      </c>
      <c r="G350" s="299">
        <f t="shared" si="262"/>
        <v>52.790842861934969</v>
      </c>
      <c r="I350" s="299">
        <f t="shared" ref="I350:N350" si="263" xml:space="preserve"> 49.3215904687 - 4.5564383267 * (I251/1000) + 31.3355706686 * I236 + 0.0864922401 * I253 - 16.201377828 * I236 * I236</f>
        <v>53.986741985879277</v>
      </c>
      <c r="J350" s="299">
        <f t="shared" si="263"/>
        <v>54.375511548263077</v>
      </c>
      <c r="K350" s="299">
        <f t="shared" si="263"/>
        <v>54.211713052498474</v>
      </c>
      <c r="L350" s="299">
        <f t="shared" si="263"/>
        <v>53.711452016938907</v>
      </c>
      <c r="M350" s="299">
        <f t="shared" si="263"/>
        <v>53.175298869125847</v>
      </c>
      <c r="N350" s="299">
        <f t="shared" si="263"/>
        <v>52.790842861934969</v>
      </c>
      <c r="P350" s="299">
        <f t="shared" ref="P350:U350" si="264" xml:space="preserve"> 49.3215904687 - 4.5564383267 * (P251/1000) + 31.3355706686 * P236 + 0.0864922401 * P253 - 16.201377828 * P236 * P236</f>
        <v>54.017290176452079</v>
      </c>
      <c r="Q350" s="299">
        <f t="shared" si="264"/>
        <v>54.405665981888021</v>
      </c>
      <c r="R350" s="299">
        <f t="shared" si="264"/>
        <v>54.241273151528993</v>
      </c>
      <c r="S350" s="299">
        <f t="shared" si="264"/>
        <v>53.74124588701099</v>
      </c>
      <c r="T350" s="299">
        <f t="shared" si="264"/>
        <v>53.205202559785491</v>
      </c>
      <c r="U350" s="299">
        <f t="shared" si="264"/>
        <v>52.790842861934969</v>
      </c>
      <c r="W350" s="299">
        <f t="shared" ref="W350:AB350" si="265" xml:space="preserve"> 49.3215904687 - 4.5564383267 * (W251/1000) + 31.3355706686 * W236 + 0.0864922401 * W253 - 16.201377828 * W236 * W236</f>
        <v>54.047527708341519</v>
      </c>
      <c r="X350" s="299">
        <f t="shared" si="265"/>
        <v>54.435447552493699</v>
      </c>
      <c r="Y350" s="299">
        <f t="shared" si="265"/>
        <v>54.271071741030603</v>
      </c>
      <c r="Z350" s="299">
        <f t="shared" si="265"/>
        <v>53.770639019734659</v>
      </c>
      <c r="AA350" s="299">
        <f t="shared" si="265"/>
        <v>53.234629212748196</v>
      </c>
      <c r="AB350" s="299">
        <f t="shared" si="265"/>
        <v>52.790842861934969</v>
      </c>
      <c r="AD350" s="299">
        <f t="shared" ref="AD350:AI350" si="266" xml:space="preserve"> 49.3215904687 - 4.5564383267 * (AD251/1000) + 31.3355706686 * AD236 + 0.0864922401 * AD253 - 16.201377828 * AD236 * AD236</f>
        <v>54.07705821480468</v>
      </c>
      <c r="AE350" s="299">
        <f t="shared" si="266"/>
        <v>54.465146130636654</v>
      </c>
      <c r="AF350" s="299">
        <f t="shared" si="266"/>
        <v>54.300244223028464</v>
      </c>
      <c r="AG350" s="299">
        <f t="shared" si="266"/>
        <v>53.799749067852758</v>
      </c>
      <c r="AH350" s="299">
        <f t="shared" si="266"/>
        <v>53.265813858864178</v>
      </c>
      <c r="AI350" s="299">
        <f t="shared" si="266"/>
        <v>52.790842861934969</v>
      </c>
      <c r="AK350" s="299">
        <f t="shared" ref="AK350:AP350" si="267" xml:space="preserve"> 49.3215904687 - 4.5564383267 * (AK251/1000) + 31.3355706686 * AK236 + 0.0864922401 * AK253 - 16.201377828 * AK236 * AK236</f>
        <v>54.103750702153462</v>
      </c>
      <c r="AL350" s="299">
        <f t="shared" si="267"/>
        <v>54.494721314035743</v>
      </c>
      <c r="AM350" s="299">
        <f t="shared" si="267"/>
        <v>54.329883256626069</v>
      </c>
      <c r="AN350" s="299">
        <f t="shared" si="267"/>
        <v>53.83248986650176</v>
      </c>
      <c r="AO350" s="299">
        <f t="shared" si="267"/>
        <v>53.295224678600192</v>
      </c>
      <c r="AP350" s="299">
        <f t="shared" si="267"/>
        <v>52.790842861934969</v>
      </c>
      <c r="AR350" s="299">
        <f t="shared" ref="AR350:AW350" si="268" xml:space="preserve"> 49.3215904687 - 4.5564383267 * (AR251/1000) + 31.3355706686 * AR236 + 0.0864922401 * AR253 - 16.201377828 * AR236 * AR236</f>
        <v>54.134585674168065</v>
      </c>
      <c r="AS350" s="299">
        <f t="shared" si="268"/>
        <v>54.52439632501455</v>
      </c>
      <c r="AT350" s="299">
        <f t="shared" si="268"/>
        <v>54.362392148605544</v>
      </c>
      <c r="AU350" s="299">
        <f t="shared" si="268"/>
        <v>53.862141434038364</v>
      </c>
      <c r="AV350" s="299">
        <f t="shared" si="268"/>
        <v>53.324540410280648</v>
      </c>
      <c r="AW350" s="299">
        <f t="shared" si="268"/>
        <v>52.790842861934969</v>
      </c>
    </row>
    <row r="351" spans="1:52" x14ac:dyDescent="0.25">
      <c r="A351" s="298" t="s">
        <v>513</v>
      </c>
      <c r="B351" s="364">
        <f t="shared" ref="B351:G351" si="269">B5+(B342*0.00220462*B346)</f>
        <v>84.999929826400006</v>
      </c>
      <c r="C351" s="364">
        <f t="shared" si="269"/>
        <v>119.99992982640001</v>
      </c>
      <c r="D351" s="364">
        <f t="shared" si="269"/>
        <v>159.99991980160002</v>
      </c>
      <c r="E351" s="364">
        <f t="shared" si="269"/>
        <v>199.99991980160002</v>
      </c>
      <c r="F351" s="364">
        <f t="shared" si="269"/>
        <v>239.99991980160002</v>
      </c>
      <c r="G351" s="364">
        <f t="shared" si="269"/>
        <v>284.9999097768</v>
      </c>
      <c r="H351" s="7"/>
      <c r="I351" s="364">
        <f>$B$351-I268</f>
        <v>84.852944088142436</v>
      </c>
      <c r="J351" s="364">
        <f>$C$351-J268</f>
        <v>119.8958713641783</v>
      </c>
      <c r="K351" s="364">
        <f>$D$351-K268</f>
        <v>159.89153707636953</v>
      </c>
      <c r="L351" s="364">
        <f>$E$351-L268</f>
        <v>199.86498855302605</v>
      </c>
      <c r="M351" s="364">
        <f>$F$351-M268</f>
        <v>239.80212009802489</v>
      </c>
      <c r="N351" s="364">
        <f>$G$351-N268</f>
        <v>284.9999097768</v>
      </c>
      <c r="O351" s="2"/>
      <c r="P351" s="364">
        <f>$B$351-P268</f>
        <v>84.706921250931089</v>
      </c>
      <c r="Q351" s="364">
        <f>$C$351-Q268</f>
        <v>119.79246029130258</v>
      </c>
      <c r="R351" s="364">
        <f>$D$351-R268</f>
        <v>159.78300435976919</v>
      </c>
      <c r="S351" s="364">
        <f>$E$351-S268</f>
        <v>199.73099685171888</v>
      </c>
      <c r="T351" s="364">
        <f>$F$351-T268</f>
        <v>239.60467458032696</v>
      </c>
      <c r="U351" s="364">
        <f>$G$351-U268</f>
        <v>284.9999097768</v>
      </c>
      <c r="V351" s="2"/>
      <c r="W351" s="364">
        <f>$B$351-W268</f>
        <v>84.561025938843159</v>
      </c>
      <c r="X351" s="364">
        <f>$C$351-X268</f>
        <v>119.68917851933745</v>
      </c>
      <c r="Y351" s="364">
        <f>$D$351-Y268</f>
        <v>159.67432627244077</v>
      </c>
      <c r="Z351" s="364">
        <f>$E$351-Z268</f>
        <v>199.59761936345242</v>
      </c>
      <c r="AA351" s="364">
        <f>$F$351-AA268</f>
        <v>239.40654667865289</v>
      </c>
      <c r="AB351" s="364">
        <f>$G$351-AB268</f>
        <v>284.9999097768</v>
      </c>
      <c r="AC351" s="2"/>
      <c r="AD351" s="364">
        <f>$B$351-AD268</f>
        <v>84.415427989535374</v>
      </c>
      <c r="AE351" s="364">
        <f>$C$351-AE268</f>
        <v>119.5859289784494</v>
      </c>
      <c r="AF351" s="364">
        <f>$D$351-AF268</f>
        <v>159.56487759755365</v>
      </c>
      <c r="AG351" s="364">
        <f>$E$351-AG268</f>
        <v>199.4637243159558</v>
      </c>
      <c r="AH351" s="364">
        <f>$F$351-AH268</f>
        <v>239.20911490417902</v>
      </c>
      <c r="AI351" s="364">
        <f>$G$351-AI268</f>
        <v>284.9999097768</v>
      </c>
      <c r="AJ351" s="2"/>
      <c r="AK351" s="364">
        <f>$B$351-AK268</f>
        <v>84.270998580050616</v>
      </c>
      <c r="AL351" s="364">
        <f>$C$351-AL268</f>
        <v>119.48272395337915</v>
      </c>
      <c r="AM351" s="364">
        <f>$D$351-AM268</f>
        <v>159.45720864081406</v>
      </c>
      <c r="AN351" s="364">
        <f>$E$351-AN268</f>
        <v>199.32786302673804</v>
      </c>
      <c r="AO351" s="364">
        <f>$F$351-AO268</f>
        <v>239.01515713647859</v>
      </c>
      <c r="AP351" s="364">
        <f>$G$351-AP268</f>
        <v>284.9999097768</v>
      </c>
      <c r="AQ351" s="2"/>
      <c r="AR351" s="364">
        <f>$B$351-AR268</f>
        <v>84.123835744824063</v>
      </c>
      <c r="AS351" s="364">
        <f>$C$351-AS268</f>
        <v>119.37882986120016</v>
      </c>
      <c r="AT351" s="364">
        <f>$D$351-AT268</f>
        <v>159.34773993839349</v>
      </c>
      <c r="AU351" s="364">
        <f>$E$351-AU268</f>
        <v>199.19529941545585</v>
      </c>
      <c r="AV351" s="364">
        <f>$F$351-AV268</f>
        <v>238.82056437887363</v>
      </c>
      <c r="AW351" s="364">
        <f>$G$351-AW268</f>
        <v>284.9999097768</v>
      </c>
      <c r="AX351" s="2"/>
      <c r="AY351" s="7"/>
      <c r="AZ351" s="2"/>
    </row>
    <row r="352" spans="1:52" x14ac:dyDescent="0.25">
      <c r="A352" s="298" t="s">
        <v>514</v>
      </c>
      <c r="B352" s="364">
        <v>0</v>
      </c>
      <c r="C352" s="364">
        <v>0</v>
      </c>
      <c r="D352" s="364">
        <v>0</v>
      </c>
      <c r="E352" s="364">
        <v>0</v>
      </c>
      <c r="F352" s="364">
        <v>0</v>
      </c>
      <c r="G352" s="364">
        <v>0</v>
      </c>
      <c r="H352" s="7"/>
      <c r="I352" s="364">
        <v>0</v>
      </c>
      <c r="J352" s="364">
        <v>0</v>
      </c>
      <c r="K352" s="364">
        <v>0</v>
      </c>
      <c r="L352" s="364">
        <v>0</v>
      </c>
      <c r="M352" s="364">
        <v>0</v>
      </c>
      <c r="N352" s="364">
        <v>0</v>
      </c>
      <c r="O352" s="2"/>
      <c r="P352" s="364">
        <v>0</v>
      </c>
      <c r="Q352" s="364">
        <v>0</v>
      </c>
      <c r="R352" s="364">
        <v>0</v>
      </c>
      <c r="S352" s="364">
        <v>0</v>
      </c>
      <c r="T352" s="364">
        <v>0</v>
      </c>
      <c r="U352" s="364">
        <v>0</v>
      </c>
      <c r="V352" s="2"/>
      <c r="W352" s="364">
        <v>0</v>
      </c>
      <c r="X352" s="364">
        <v>0</v>
      </c>
      <c r="Y352" s="364">
        <v>0</v>
      </c>
      <c r="Z352" s="364">
        <v>0</v>
      </c>
      <c r="AA352" s="364">
        <v>0</v>
      </c>
      <c r="AB352" s="364">
        <v>0</v>
      </c>
      <c r="AC352" s="2"/>
      <c r="AD352" s="364">
        <v>0</v>
      </c>
      <c r="AE352" s="364">
        <v>0</v>
      </c>
      <c r="AF352" s="364">
        <v>0</v>
      </c>
      <c r="AG352" s="364">
        <v>0</v>
      </c>
      <c r="AH352" s="364">
        <v>0</v>
      </c>
      <c r="AI352" s="364">
        <v>0</v>
      </c>
      <c r="AJ352" s="2"/>
      <c r="AK352" s="364">
        <v>0</v>
      </c>
      <c r="AL352" s="364">
        <v>0</v>
      </c>
      <c r="AM352" s="364">
        <v>0</v>
      </c>
      <c r="AN352" s="364">
        <v>0</v>
      </c>
      <c r="AO352" s="364">
        <v>0</v>
      </c>
      <c r="AP352" s="364">
        <v>0</v>
      </c>
      <c r="AQ352" s="2"/>
      <c r="AR352" s="364">
        <v>0</v>
      </c>
      <c r="AS352" s="364">
        <v>0</v>
      </c>
      <c r="AT352" s="364">
        <v>0</v>
      </c>
      <c r="AU352" s="364">
        <v>0</v>
      </c>
      <c r="AV352" s="364">
        <v>0</v>
      </c>
      <c r="AW352" s="364">
        <v>0</v>
      </c>
      <c r="AX352" s="2"/>
    </row>
    <row r="353" spans="1:57" ht="14.4" x14ac:dyDescent="0.3">
      <c r="A353" s="365" t="s">
        <v>515</v>
      </c>
      <c r="B353" s="462">
        <f xml:space="preserve"> 0.03492* B352 - 0.05092 * B316 - 0.06897 * B316 - 0.00289 * (B316 * B352) + 'DDGS Calculator'!$G$9</f>
        <v>73.97283598564384</v>
      </c>
      <c r="C353" s="462">
        <f xml:space="preserve"> 0.03492* C352 - 0.05092 * B316- 0.06897 * C316 - 0.00289 * (C316 * C352) + 'DDGS Calculator'!$G$9</f>
        <v>73.967856887824908</v>
      </c>
      <c r="D353" s="462">
        <f xml:space="preserve"> 0.03492* D352 - 0.05092 * C316- 0.06897 * D316 - 0.00289 * (D316 * D352) + 'DDGS Calculator'!$G$9</f>
        <v>73.959733111485349</v>
      </c>
      <c r="E353" s="462">
        <f xml:space="preserve"> 0.03492* E352 - 0.05092 * D316- 0.06897 * E316 - 0.00289 * (E316 * E352) + 'DDGS Calculator'!$G$9</f>
        <v>73.952776279957178</v>
      </c>
      <c r="F353" s="462">
        <f xml:space="preserve"> 0.03492* F352 - 0.05092 * E316- 0.06897 * F316 - 0.00289 * (F316 * F352) + 'DDGS Calculator'!$G$9</f>
        <v>73.947268075350891</v>
      </c>
      <c r="G353" s="462">
        <f xml:space="preserve"> 0.03492* G352 - 0.05092 * F316- 0.06897 * G316 - 0.00289 * (G316 * G352) + 'DDGS Calculator'!$G$9</f>
        <v>73.944010160900064</v>
      </c>
      <c r="H353" s="7"/>
      <c r="I353" s="462">
        <f xml:space="preserve"> 0.03492* I352 - 0.05092 * I316 - 0.06897 * I316 - 0.00289 * (I316 * I352) + 'DDGS Calculator'!$G$9</f>
        <v>73.834080431928655</v>
      </c>
      <c r="J353" s="462">
        <f xml:space="preserve"> 0.03492* J352 - 0.05092 * I316- 0.06897 * J316 - 0.00289 * (J316 * J352) + 'DDGS Calculator'!$G$9</f>
        <v>73.829143407400977</v>
      </c>
      <c r="K353" s="462">
        <f xml:space="preserve"> 0.03492* K352 - 0.05092 * J316- 0.06897 * K316 - 0.00289 * (K316 * K352) + 'DDGS Calculator'!$G$9</f>
        <v>73.820974753418596</v>
      </c>
      <c r="L353" s="462">
        <f xml:space="preserve"> 0.03492* L352 - 0.05092 * K316- 0.06897 * L316 - 0.00289 * (L316 * L352) + 'DDGS Calculator'!$G$9</f>
        <v>73.813849432711763</v>
      </c>
      <c r="M353" s="462">
        <f xml:space="preserve"> 0.03492* M352 - 0.05092 * L316- 0.06897 * M316 - 0.00289 * (M316 * M352) + 'DDGS Calculator'!$G$9</f>
        <v>73.808339005563724</v>
      </c>
      <c r="N353" s="462">
        <f xml:space="preserve"> 0.03492* N352 - 0.05092 * M316- 0.06897 * N316 - 0.00289 * (N316 * N352) + 'DDGS Calculator'!$G$9</f>
        <v>73.885029166201647</v>
      </c>
      <c r="O353" s="7"/>
      <c r="P353" s="462">
        <f xml:space="preserve"> 0.03492* P352 - 0.05092 * P316 - 0.06897 * P316 - 0.00289 * (P316 * P352) + 'DDGS Calculator'!$G$9</f>
        <v>73.695335883530831</v>
      </c>
      <c r="Q353" s="462">
        <f xml:space="preserve"> 0.03492* Q352 - 0.05092 * P316- 0.06897 * Q316 - 0.00289 * (Q316 * Q352) + 'DDGS Calculator'!$G$9</f>
        <v>73.690410864041397</v>
      </c>
      <c r="R353" s="462">
        <f xml:space="preserve"> 0.03492* R352 - 0.05092 * Q316- 0.06897 * R316 - 0.00289 * (R316 * R352) + 'DDGS Calculator'!$G$9</f>
        <v>73.68226919362229</v>
      </c>
      <c r="S353" s="462">
        <f xml:space="preserve"> 0.03492* S352 - 0.05092 * R316- 0.06897 * S316 - 0.00289 * (S316 * S352) + 'DDGS Calculator'!$G$9</f>
        <v>73.675150123701016</v>
      </c>
      <c r="T353" s="462">
        <f xml:space="preserve"> 0.03492* T352 - 0.05092 * S316- 0.06897 * T316 - 0.00289 * (T316 * T352) + 'DDGS Calculator'!$G$9</f>
        <v>73.669652206421773</v>
      </c>
      <c r="U353" s="462">
        <f xml:space="preserve"> 0.03492* U352 - 0.05092 * T316- 0.06897 * U316 - 0.00289 * (U316 * U352) + 'DDGS Calculator'!$G$9</f>
        <v>73.826131312350782</v>
      </c>
      <c r="V353" s="7"/>
      <c r="W353" s="462">
        <f xml:space="preserve"> 0.03492* W352 - 0.05092 * W316 - 0.06897 * W316 - 0.00289 * (W316 * W352) + 'DDGS Calculator'!$G$9</f>
        <v>73.556607799367754</v>
      </c>
      <c r="X353" s="462">
        <f xml:space="preserve"> 0.03492* X352 - 0.05092 * W316- 0.06897 * X316 - 0.00289 * (X316 * X352) + 'DDGS Calculator'!$G$9</f>
        <v>73.551696681430258</v>
      </c>
      <c r="Y353" s="462">
        <f xml:space="preserve"> 0.03492* Y352 - 0.05092 * X316- 0.06897 * Y316 - 0.00289 * (Y316 * Y352) + 'DDGS Calculator'!$G$9</f>
        <v>73.543544892755449</v>
      </c>
      <c r="Z353" s="462">
        <f xml:space="preserve"> 0.03492* Z352 - 0.05092 * Y316- 0.06897 * Z316 - 0.00289 * (Z316 * Z352) + 'DDGS Calculator'!$G$9</f>
        <v>73.53639754714915</v>
      </c>
      <c r="AA353" s="462">
        <f xml:space="preserve"> 0.03492* AA352 - 0.05092 * Z316- 0.06897 * AA316 - 0.00289 * (AA316 * AA352) + 'DDGS Calculator'!$G$9</f>
        <v>73.530963176582731</v>
      </c>
      <c r="AB353" s="462">
        <f xml:space="preserve"> 0.03492* AB352 - 0.05092 * AA316- 0.06897 * AB316 - 0.00289 * (AB316 * AB352) + 'DDGS Calculator'!$G$9</f>
        <v>73.767249927021339</v>
      </c>
      <c r="AC353" s="7"/>
      <c r="AD353" s="462">
        <f xml:space="preserve"> 0.03492* AD352 - 0.05092 * AD316 - 0.06897 * AD316 - 0.00289 * (AD316 * AD352) + 'DDGS Calculator'!$G$9</f>
        <v>73.417899922358515</v>
      </c>
      <c r="AE353" s="462">
        <f xml:space="preserve"> 0.03492* AE352 - 0.05092 * AD316- 0.06897 * AE316 - 0.00289 * (AE316 * AE352) + 'DDGS Calculator'!$G$9</f>
        <v>73.412983680176325</v>
      </c>
      <c r="AF353" s="462">
        <f xml:space="preserve"> 0.03492* AF352 - 0.05092 * AE316- 0.06897 * AF316 - 0.00289 * (AF316 * AF352) + 'DDGS Calculator'!$G$9</f>
        <v>73.404785487512427</v>
      </c>
      <c r="AG353" s="462">
        <f xml:space="preserve"> 0.03492* AG352 - 0.05092 * AF316- 0.06897 * AG316 - 0.00289 * (AG316 * AG352) + 'DDGS Calculator'!$G$9</f>
        <v>73.397715984531047</v>
      </c>
      <c r="AH353" s="462">
        <f xml:space="preserve"> 0.03492* AH352 - 0.05092 * AG316- 0.06897 * AH316 - 0.00289 * (AH316 * AH352) + 'DDGS Calculator'!$G$9</f>
        <v>73.393078886161902</v>
      </c>
      <c r="AI353" s="462">
        <f xml:space="preserve"> 0.03492* AI352 - 0.05092 * AH316- 0.06897 * AI316 - 0.00289 * (AI316 * AI352) + 'DDGS Calculator'!$G$9</f>
        <v>73.708912038495924</v>
      </c>
      <c r="AJ353" s="7"/>
      <c r="AK353" s="462">
        <f xml:space="preserve"> 0.03492* AK352 - 0.05092 * AK316 - 0.06897 * AK316 - 0.00289 * (AK316 * AK352) + 'DDGS Calculator'!$G$9</f>
        <v>73.279333822363441</v>
      </c>
      <c r="AL353" s="462">
        <f xml:space="preserve"> 0.03492* AL352 - 0.05092 * AK316- 0.06897 * AL316 - 0.00289 * (AL316 * AL352) + 'DDGS Calculator'!$G$9</f>
        <v>73.274329691252404</v>
      </c>
      <c r="AM353" s="462">
        <f xml:space="preserve"> 0.03492* AM352 - 0.05092 * AL316- 0.06897 * AM316 - 0.00289 * (AM316 * AM352) + 'DDGS Calculator'!$G$9</f>
        <v>73.266113409254928</v>
      </c>
      <c r="AN353" s="462">
        <f xml:space="preserve"> 0.03492* AN352 - 0.05092 * AM316- 0.06897 * AN316 - 0.00289 * (AN316 * AN352) + 'DDGS Calculator'!$G$9</f>
        <v>73.259732752503851</v>
      </c>
      <c r="AO353" s="462">
        <f xml:space="preserve"> 0.03492* AO352 - 0.05092 * AN316- 0.06897 * AO316 - 0.00289 * (AO316 * AO352) + 'DDGS Calculator'!$G$9</f>
        <v>73.255847888088184</v>
      </c>
      <c r="AP353" s="462">
        <f xml:space="preserve"> 0.03492* AP352 - 0.05092 * AO316- 0.06897 * AP316 - 0.00289 * (AP316 * AP352) + 'DDGS Calculator'!$G$9</f>
        <v>73.650711327997314</v>
      </c>
      <c r="AQ353" s="7"/>
      <c r="AR353" s="462">
        <f xml:space="preserve"> 0.03492* AR352 - 0.05092 * AR316 - 0.06897 * AR316 - 0.00289 * (AR316 * AR352) + 'DDGS Calculator'!$G$9</f>
        <v>73.140554622500986</v>
      </c>
      <c r="AS353" s="462">
        <f xml:space="preserve"> 0.03492* AS352 - 0.05092 * AR316- 0.06897 * AS316 - 0.00289 * (AS316 * AS352) + 'DDGS Calculator'!$G$9</f>
        <v>73.135585857209648</v>
      </c>
      <c r="AT353" s="462">
        <f xml:space="preserve"> 0.03492* AT352 - 0.05092 * AS316- 0.06897 * AT316 - 0.00289 * (AT316 * AT352) + 'DDGS Calculator'!$G$9</f>
        <v>73.127607321545909</v>
      </c>
      <c r="AU353" s="462">
        <f xml:space="preserve"> 0.03492* AU352 - 0.05092 * AT316- 0.06897 * AU316 - 0.00289 * (AU316 * AU352) + 'DDGS Calculator'!$G$9</f>
        <v>73.122138400847618</v>
      </c>
      <c r="AV353" s="462">
        <f xml:space="preserve"> 0.03492* AV352 - 0.05092 * AU316- 0.06897 * AV316 - 0.00289 * (AV316 * AV352) + 'DDGS Calculator'!$G$9</f>
        <v>73.118827146313436</v>
      </c>
      <c r="AW353" s="462">
        <f xml:space="preserve"> 0.03492* AW352 - 0.05092 * AV316- 0.06897 * AW316 - 0.00289 * (AW316 * AW352) + 'DDGS Calculator'!$G$9</f>
        <v>73.592520480669378</v>
      </c>
      <c r="AX353" s="7"/>
    </row>
    <row r="355" spans="1:57" x14ac:dyDescent="0.25">
      <c r="I355" s="7"/>
      <c r="J355" s="7"/>
      <c r="K355" s="7"/>
      <c r="L355" s="7"/>
      <c r="M355" s="7"/>
      <c r="N355" s="7"/>
      <c r="P355" s="7"/>
      <c r="Q355" s="7"/>
      <c r="R355" s="7"/>
      <c r="S355" s="7"/>
      <c r="T355" s="7"/>
      <c r="U355" s="7"/>
      <c r="W355" s="7"/>
      <c r="X355" s="7"/>
      <c r="Y355" s="7"/>
      <c r="Z355" s="7"/>
      <c r="AA355" s="7"/>
      <c r="AB355" s="7"/>
      <c r="AC355" s="6"/>
      <c r="AD355" s="7"/>
      <c r="AE355" s="7"/>
      <c r="AF355" s="7"/>
      <c r="AG355" s="7"/>
      <c r="AH355" s="7"/>
      <c r="AI355" s="7"/>
      <c r="AK355" s="7"/>
      <c r="AL355" s="7"/>
      <c r="AM355" s="7"/>
      <c r="AN355" s="7"/>
      <c r="AO355" s="7"/>
      <c r="AP355" s="7"/>
      <c r="AR355" s="7"/>
      <c r="AS355" s="7"/>
      <c r="AT355" s="7"/>
      <c r="AU355" s="7"/>
      <c r="AV355" s="7"/>
      <c r="AW355" s="7"/>
      <c r="AX355" s="6"/>
      <c r="AZ355" s="7"/>
      <c r="BA355" s="7"/>
      <c r="BB355" s="7"/>
      <c r="BC355" s="7"/>
      <c r="BD355" s="7"/>
      <c r="BE355" s="7"/>
    </row>
    <row r="356" spans="1:57" x14ac:dyDescent="0.25">
      <c r="A356" s="71"/>
      <c r="B356" s="7"/>
      <c r="C356" s="7"/>
      <c r="D356" s="7"/>
      <c r="E356" s="7"/>
      <c r="F356" s="7"/>
      <c r="G356" s="7"/>
      <c r="I356" s="7"/>
      <c r="J356" s="7"/>
      <c r="K356" s="7"/>
      <c r="L356" s="7"/>
      <c r="M356" s="7"/>
      <c r="N356" s="7"/>
      <c r="P356" s="7"/>
      <c r="Q356" s="7"/>
      <c r="R356" s="7"/>
      <c r="S356" s="7"/>
      <c r="T356" s="7"/>
      <c r="U356" s="7"/>
      <c r="W356" s="7"/>
      <c r="X356" s="7"/>
      <c r="Y356" s="7"/>
      <c r="Z356" s="7"/>
      <c r="AA356" s="7"/>
      <c r="AB356" s="7"/>
      <c r="AC356" s="6"/>
      <c r="AD356" s="7"/>
      <c r="AE356" s="7"/>
      <c r="AF356" s="7"/>
      <c r="AG356" s="7"/>
      <c r="AH356" s="7"/>
      <c r="AI356" s="7"/>
      <c r="AK356" s="7"/>
      <c r="AL356" s="7"/>
      <c r="AM356" s="7"/>
      <c r="AN356" s="7"/>
      <c r="AO356" s="7"/>
      <c r="AP356" s="7"/>
      <c r="AR356" s="7"/>
      <c r="AS356" s="7"/>
      <c r="AT356" s="7"/>
      <c r="AU356" s="7"/>
      <c r="AV356" s="7"/>
      <c r="AW356" s="7"/>
      <c r="AX356" s="6"/>
      <c r="AZ356" s="7"/>
      <c r="BA356" s="7"/>
      <c r="BB356" s="7"/>
      <c r="BC356" s="7"/>
      <c r="BD356" s="7"/>
      <c r="BE356" s="7"/>
    </row>
    <row r="357" spans="1:57" x14ac:dyDescent="0.25">
      <c r="A357" s="71"/>
      <c r="B357" s="7"/>
      <c r="C357" s="7"/>
      <c r="D357" s="7"/>
      <c r="E357" s="7"/>
      <c r="F357" s="7"/>
      <c r="G357" s="7"/>
      <c r="I357" s="7"/>
      <c r="J357" s="7"/>
      <c r="K357" s="7"/>
      <c r="L357" s="7"/>
      <c r="M357" s="7"/>
      <c r="N357" s="7"/>
      <c r="P357" s="7"/>
      <c r="Q357" s="7"/>
      <c r="R357" s="7"/>
      <c r="S357" s="7"/>
      <c r="T357" s="7"/>
      <c r="U357" s="7"/>
      <c r="W357" s="7"/>
      <c r="X357" s="7"/>
      <c r="Y357" s="7"/>
      <c r="Z357" s="7"/>
      <c r="AA357" s="7"/>
      <c r="AB357" s="7"/>
      <c r="AC357" s="6"/>
      <c r="AD357" s="7"/>
      <c r="AE357" s="7"/>
      <c r="AF357" s="7"/>
      <c r="AG357" s="7"/>
      <c r="AH357" s="7"/>
      <c r="AI357" s="7"/>
      <c r="AK357" s="7"/>
      <c r="AL357" s="7"/>
      <c r="AM357" s="7"/>
      <c r="AN357" s="7"/>
      <c r="AO357" s="7"/>
      <c r="AP357" s="7"/>
      <c r="AR357" s="7"/>
      <c r="AS357" s="7"/>
      <c r="AT357" s="7"/>
      <c r="AU357" s="7"/>
      <c r="AV357" s="7"/>
      <c r="AW357" s="7"/>
      <c r="AX357" s="6"/>
      <c r="AZ357" s="7"/>
      <c r="BA357" s="7"/>
      <c r="BB357" s="7"/>
      <c r="BC357" s="7"/>
      <c r="BD357" s="7"/>
      <c r="BE357" s="7"/>
    </row>
    <row r="358" spans="1:57" x14ac:dyDescent="0.25">
      <c r="A358" s="34"/>
      <c r="B358" s="7"/>
      <c r="C358" s="7"/>
      <c r="D358" s="7"/>
      <c r="E358" s="7"/>
      <c r="F358" s="7"/>
      <c r="G358" s="7"/>
      <c r="I358" s="7"/>
      <c r="J358" s="7"/>
      <c r="K358" s="7"/>
      <c r="L358" s="7"/>
      <c r="M358" s="7"/>
      <c r="N358" s="7"/>
      <c r="P358" s="7"/>
      <c r="Q358" s="7"/>
      <c r="R358" s="7"/>
      <c r="S358" s="7"/>
      <c r="T358" s="7"/>
      <c r="U358" s="7"/>
      <c r="W358" s="7"/>
      <c r="X358" s="7"/>
      <c r="Y358" s="7"/>
      <c r="Z358" s="7"/>
      <c r="AA358" s="7"/>
      <c r="AB358" s="7"/>
      <c r="AC358" s="6"/>
      <c r="AD358" s="7"/>
      <c r="AE358" s="7"/>
      <c r="AF358" s="7"/>
      <c r="AG358" s="7"/>
      <c r="AH358" s="7"/>
      <c r="AI358" s="7"/>
      <c r="AK358" s="7"/>
      <c r="AL358" s="7"/>
      <c r="AM358" s="7"/>
      <c r="AN358" s="7"/>
      <c r="AO358" s="7"/>
      <c r="AP358" s="7"/>
      <c r="AR358" s="7"/>
      <c r="AS358" s="7"/>
      <c r="AT358" s="7"/>
      <c r="AU358" s="7"/>
      <c r="AV358" s="7"/>
      <c r="AW358" s="7"/>
      <c r="AX358" s="6"/>
      <c r="AZ358" s="7"/>
      <c r="BA358" s="7"/>
      <c r="BB358" s="7"/>
      <c r="BC358" s="7"/>
      <c r="BD358" s="7"/>
      <c r="BE358" s="7"/>
    </row>
    <row r="359" spans="1:57" x14ac:dyDescent="0.25">
      <c r="A359" s="71"/>
      <c r="B359" s="7"/>
      <c r="C359" s="7"/>
      <c r="D359" s="7"/>
      <c r="E359" s="7"/>
      <c r="F359" s="7"/>
      <c r="G359" s="7"/>
    </row>
    <row r="360" spans="1:57" x14ac:dyDescent="0.25">
      <c r="A360" s="71"/>
      <c r="B360" s="7"/>
      <c r="C360" s="7"/>
      <c r="D360" s="7"/>
      <c r="E360" s="7"/>
      <c r="F360" s="7"/>
      <c r="G360" s="7"/>
    </row>
    <row r="361" spans="1:57" x14ac:dyDescent="0.25">
      <c r="A361" s="34"/>
      <c r="B361" s="7"/>
      <c r="C361" s="7"/>
      <c r="D361" s="7"/>
      <c r="E361" s="7"/>
      <c r="F361" s="7"/>
      <c r="G361" s="7"/>
    </row>
    <row r="362" spans="1:57" x14ac:dyDescent="0.25">
      <c r="A362" s="71"/>
      <c r="B362" s="7"/>
      <c r="C362" s="7"/>
      <c r="D362" s="7"/>
      <c r="E362" s="7"/>
      <c r="F362" s="7"/>
      <c r="G362" s="7"/>
    </row>
    <row r="363" spans="1:57" x14ac:dyDescent="0.25">
      <c r="B363" s="7"/>
      <c r="C363" s="7"/>
      <c r="D363" s="7"/>
      <c r="E363" s="7"/>
      <c r="F363" s="7"/>
      <c r="G363" s="7"/>
    </row>
    <row r="364" spans="1:57" x14ac:dyDescent="0.25">
      <c r="A364" s="71"/>
    </row>
    <row r="365" spans="1:57" x14ac:dyDescent="0.25">
      <c r="A365" s="71"/>
      <c r="B365" s="7"/>
      <c r="C365" s="7"/>
      <c r="D365" s="7"/>
      <c r="E365" s="7"/>
      <c r="F365" s="7"/>
      <c r="G365" s="7"/>
    </row>
    <row r="366" spans="1:57" x14ac:dyDescent="0.25">
      <c r="A366" s="34"/>
      <c r="B366" s="7"/>
      <c r="C366" s="7"/>
      <c r="D366" s="7"/>
      <c r="E366" s="7"/>
      <c r="F366" s="7"/>
      <c r="G366" s="7"/>
    </row>
    <row r="367" spans="1:57" x14ac:dyDescent="0.25">
      <c r="A367" s="71"/>
      <c r="B367" s="7"/>
      <c r="C367" s="7"/>
      <c r="D367" s="7"/>
      <c r="E367" s="7"/>
      <c r="F367" s="7"/>
      <c r="G367" s="7"/>
    </row>
    <row r="368" spans="1:57" x14ac:dyDescent="0.25">
      <c r="A368" s="71"/>
      <c r="B368" s="7"/>
      <c r="C368" s="7"/>
      <c r="D368" s="7"/>
      <c r="E368" s="7"/>
      <c r="F368" s="7"/>
      <c r="G368" s="7"/>
    </row>
    <row r="369" spans="1:7" x14ac:dyDescent="0.25">
      <c r="A369" s="34"/>
      <c r="B369" s="7"/>
      <c r="C369" s="7"/>
      <c r="D369" s="7"/>
      <c r="E369" s="7"/>
      <c r="F369" s="7"/>
      <c r="G369" s="7"/>
    </row>
    <row r="370" spans="1:7" x14ac:dyDescent="0.25">
      <c r="A370" s="71"/>
      <c r="B370" s="7"/>
      <c r="C370" s="7"/>
      <c r="D370" s="7"/>
      <c r="E370" s="7"/>
      <c r="F370" s="7"/>
      <c r="G370" s="7"/>
    </row>
    <row r="373" spans="1:7" x14ac:dyDescent="0.25">
      <c r="B373" s="7"/>
      <c r="C373" s="7"/>
      <c r="D373" s="7"/>
      <c r="E373" s="7"/>
      <c r="F373" s="7"/>
      <c r="G373" s="7"/>
    </row>
    <row r="374" spans="1:7" x14ac:dyDescent="0.25">
      <c r="B374" s="7"/>
      <c r="C374" s="7"/>
      <c r="D374" s="7"/>
      <c r="E374" s="7"/>
      <c r="F374" s="7"/>
      <c r="G374" s="7"/>
    </row>
    <row r="375" spans="1:7" x14ac:dyDescent="0.25">
      <c r="B375" s="7"/>
      <c r="C375" s="7"/>
      <c r="D375" s="7"/>
      <c r="E375" s="7"/>
      <c r="F375" s="7"/>
      <c r="G375" s="7"/>
    </row>
    <row r="376" spans="1:7" x14ac:dyDescent="0.25">
      <c r="B376" s="7"/>
      <c r="C376" s="7"/>
      <c r="D376" s="7"/>
      <c r="E376" s="7"/>
      <c r="F376" s="7"/>
      <c r="G376" s="7"/>
    </row>
    <row r="377" spans="1:7" x14ac:dyDescent="0.25">
      <c r="B377" s="7"/>
      <c r="C377" s="7"/>
      <c r="D377" s="7"/>
      <c r="E377" s="7"/>
      <c r="F377" s="7"/>
      <c r="G377" s="7"/>
    </row>
    <row r="378" spans="1:7" x14ac:dyDescent="0.25">
      <c r="B378" s="7"/>
      <c r="C378" s="7"/>
      <c r="D378" s="7"/>
      <c r="E378" s="7"/>
      <c r="F378" s="7"/>
      <c r="G378" s="7"/>
    </row>
  </sheetData>
  <mergeCells count="7">
    <mergeCell ref="AK4:AO4"/>
    <mergeCell ref="AR4:AV4"/>
    <mergeCell ref="B4:F4"/>
    <mergeCell ref="I4:M4"/>
    <mergeCell ref="P4:T4"/>
    <mergeCell ref="W4:AA4"/>
    <mergeCell ref="AD4:AH4"/>
  </mergeCells>
  <conditionalFormatting sqref="B273:N280 P273:U280 W273:AB280 AD273:AI280 AK273:AP280 AR273:AW280 O274:O281">
    <cfRule type="cellIs" dxfId="92" priority="31" stopIfTrue="1" operator="greaterThan">
      <formula>B237/100</formula>
    </cfRule>
  </conditionalFormatting>
  <conditionalFormatting sqref="B281:N281 P281:U281 O282">
    <cfRule type="cellIs" dxfId="91" priority="30" stopIfTrue="1" operator="greaterThan">
      <formula>B258</formula>
    </cfRule>
  </conditionalFormatting>
  <conditionalFormatting sqref="B283:N283 P283:U283 O284">
    <cfRule type="cellIs" dxfId="90" priority="29" stopIfTrue="1" operator="greaterThan">
      <formula>B257</formula>
    </cfRule>
  </conditionalFormatting>
  <conditionalFormatting sqref="B284:N284 P284:U284 O285">
    <cfRule type="cellIs" dxfId="89" priority="25" stopIfTrue="1" operator="greaterThan">
      <formula>B254</formula>
    </cfRule>
  </conditionalFormatting>
  <conditionalFormatting sqref="B285:N285 P285:U285 O286">
    <cfRule type="cellIs" dxfId="88" priority="28" stopIfTrue="1" operator="greaterThan">
      <formula>B254/B255</formula>
    </cfRule>
  </conditionalFormatting>
  <conditionalFormatting sqref="B286:N286 P286:U286 O287">
    <cfRule type="cellIs" dxfId="87" priority="27" stopIfTrue="1" operator="lessThan">
      <formula>B254/B255</formula>
    </cfRule>
  </conditionalFormatting>
  <conditionalFormatting sqref="B290:N290 P290:U290">
    <cfRule type="cellIs" dxfId="86" priority="26" stopIfTrue="1" operator="lessThan">
      <formula>B300</formula>
    </cfRule>
  </conditionalFormatting>
  <conditionalFormatting sqref="W281:AB281">
    <cfRule type="cellIs" dxfId="85" priority="23" stopIfTrue="1" operator="greaterThan">
      <formula>W258</formula>
    </cfRule>
  </conditionalFormatting>
  <conditionalFormatting sqref="W283:AB283">
    <cfRule type="cellIs" dxfId="84" priority="22" stopIfTrue="1" operator="greaterThan">
      <formula>W257</formula>
    </cfRule>
  </conditionalFormatting>
  <conditionalFormatting sqref="W284:AB284">
    <cfRule type="cellIs" dxfId="83" priority="19" stopIfTrue="1" operator="greaterThan">
      <formula>W254</formula>
    </cfRule>
  </conditionalFormatting>
  <conditionalFormatting sqref="W285:AB285">
    <cfRule type="cellIs" dxfId="82" priority="21" stopIfTrue="1" operator="greaterThan">
      <formula>W254/W255</formula>
    </cfRule>
  </conditionalFormatting>
  <conditionalFormatting sqref="W286:AB286">
    <cfRule type="cellIs" dxfId="81" priority="20" stopIfTrue="1" operator="lessThan">
      <formula>W254/W255</formula>
    </cfRule>
  </conditionalFormatting>
  <conditionalFormatting sqref="W290:AB290">
    <cfRule type="cellIs" dxfId="80" priority="24" stopIfTrue="1" operator="lessThan">
      <formula>W300</formula>
    </cfRule>
  </conditionalFormatting>
  <conditionalFormatting sqref="AD281:AI281">
    <cfRule type="cellIs" dxfId="79" priority="17" stopIfTrue="1" operator="greaterThan">
      <formula>AD258</formula>
    </cfRule>
  </conditionalFormatting>
  <conditionalFormatting sqref="AD283:AI283">
    <cfRule type="cellIs" dxfId="78" priority="16" stopIfTrue="1" operator="greaterThan">
      <formula>AD257</formula>
    </cfRule>
  </conditionalFormatting>
  <conditionalFormatting sqref="AD284:AI284">
    <cfRule type="cellIs" dxfId="77" priority="13" stopIfTrue="1" operator="greaterThan">
      <formula>AD254</formula>
    </cfRule>
  </conditionalFormatting>
  <conditionalFormatting sqref="AD285:AI285">
    <cfRule type="cellIs" dxfId="76" priority="15" stopIfTrue="1" operator="greaterThan">
      <formula>AD254/AD255</formula>
    </cfRule>
  </conditionalFormatting>
  <conditionalFormatting sqref="AD286:AI286">
    <cfRule type="cellIs" dxfId="75" priority="14" stopIfTrue="1" operator="lessThan">
      <formula>AD254/AD255</formula>
    </cfRule>
  </conditionalFormatting>
  <conditionalFormatting sqref="AD290:AI290">
    <cfRule type="cellIs" dxfId="74" priority="18" stopIfTrue="1" operator="lessThan">
      <formula>AD300</formula>
    </cfRule>
  </conditionalFormatting>
  <conditionalFormatting sqref="AK281:AP281">
    <cfRule type="cellIs" dxfId="73" priority="11" stopIfTrue="1" operator="greaterThan">
      <formula>AK258</formula>
    </cfRule>
  </conditionalFormatting>
  <conditionalFormatting sqref="AK283:AP283">
    <cfRule type="cellIs" dxfId="72" priority="10" stopIfTrue="1" operator="greaterThan">
      <formula>AK257</formula>
    </cfRule>
  </conditionalFormatting>
  <conditionalFormatting sqref="AK284:AP284">
    <cfRule type="cellIs" dxfId="71" priority="7" stopIfTrue="1" operator="greaterThan">
      <formula>AK254</formula>
    </cfRule>
  </conditionalFormatting>
  <conditionalFormatting sqref="AK285:AP285">
    <cfRule type="cellIs" dxfId="70" priority="9" stopIfTrue="1" operator="greaterThan">
      <formula>AK254/AK255</formula>
    </cfRule>
  </conditionalFormatting>
  <conditionalFormatting sqref="AK286:AP286">
    <cfRule type="cellIs" dxfId="69" priority="8" stopIfTrue="1" operator="lessThan">
      <formula>AK254/AK255</formula>
    </cfRule>
  </conditionalFormatting>
  <conditionalFormatting sqref="AK290:AP290">
    <cfRule type="cellIs" dxfId="68" priority="12" stopIfTrue="1" operator="lessThan">
      <formula>AK300</formula>
    </cfRule>
  </conditionalFormatting>
  <conditionalFormatting sqref="AR281:AW281">
    <cfRule type="cellIs" dxfId="67" priority="5" stopIfTrue="1" operator="greaterThan">
      <formula>AR258</formula>
    </cfRule>
  </conditionalFormatting>
  <conditionalFormatting sqref="AR283:AW283">
    <cfRule type="cellIs" dxfId="66" priority="4" stopIfTrue="1" operator="greaterThan">
      <formula>AR257</formula>
    </cfRule>
  </conditionalFormatting>
  <conditionalFormatting sqref="AR284:AW284">
    <cfRule type="cellIs" dxfId="65" priority="1" stopIfTrue="1" operator="greaterThan">
      <formula>AR254</formula>
    </cfRule>
  </conditionalFormatting>
  <conditionalFormatting sqref="AR285:AW285">
    <cfRule type="cellIs" dxfId="64" priority="3" stopIfTrue="1" operator="greaterThan">
      <formula>AR254/AR255</formula>
    </cfRule>
  </conditionalFormatting>
  <conditionalFormatting sqref="AR286:AW286">
    <cfRule type="cellIs" dxfId="63" priority="2" stopIfTrue="1" operator="lessThan">
      <formula>AR254/AR255</formula>
    </cfRule>
  </conditionalFormatting>
  <conditionalFormatting sqref="AR290:AW290">
    <cfRule type="cellIs" dxfId="62" priority="6" stopIfTrue="1" operator="lessThan">
      <formula>AR300</formula>
    </cfRule>
  </conditionalFormatting>
  <dataValidations count="2">
    <dataValidation type="list" allowBlank="1" showInputMessage="1" showErrorMessage="1" sqref="A7" xr:uid="{599FC784-FF0D-4FC2-9176-182839480A06}">
      <formula1>$A$9:$A$10</formula1>
    </dataValidation>
    <dataValidation type="list" allowBlank="1" showInputMessage="1" showErrorMessage="1" sqref="A8" xr:uid="{65FEF122-1B00-46B8-8540-E5978630D4B2}">
      <formula1>$A$78:$A$80</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693AA-C1C8-3E4E-B3C6-3F358738AEDC}">
  <sheetPr codeName="Sheet14">
    <tabColor theme="9" tint="-0.249977111117893"/>
  </sheetPr>
  <dimension ref="A1:BL378"/>
  <sheetViews>
    <sheetView workbookViewId="0">
      <pane xSplit="1" ySplit="5" topLeftCell="B6" activePane="bottomRight" state="frozen"/>
      <selection activeCell="A271" sqref="A271:XFD272"/>
      <selection pane="topRight" activeCell="A271" sqref="A271:XFD272"/>
      <selection pane="bottomLeft" activeCell="A271" sqref="A271:XFD272"/>
      <selection pane="bottomRight" activeCell="J365" sqref="J365"/>
    </sheetView>
  </sheetViews>
  <sheetFormatPr defaultColWidth="8.77734375" defaultRowHeight="13.2" x14ac:dyDescent="0.25"/>
  <cols>
    <col min="1" max="1" width="42.6640625" bestFit="1" customWidth="1"/>
    <col min="2" max="10" width="10.109375" style="6" customWidth="1"/>
    <col min="11" max="11" width="10.33203125" style="6" customWidth="1"/>
    <col min="12" max="14" width="10.109375" style="6" customWidth="1"/>
    <col min="15" max="15" width="10.109375" customWidth="1"/>
    <col min="16" max="21" width="10.109375" style="6" customWidth="1"/>
    <col min="23" max="28" width="10.109375" style="6" customWidth="1"/>
    <col min="30" max="35" width="10.109375" style="6" customWidth="1"/>
    <col min="37" max="42" width="10.109375" style="6" customWidth="1"/>
    <col min="44" max="49" width="10.109375" style="6" customWidth="1"/>
    <col min="51" max="51" width="12.33203125" bestFit="1" customWidth="1"/>
    <col min="52" max="53" width="8.88671875" bestFit="1" customWidth="1"/>
    <col min="54" max="56" width="9.88671875" bestFit="1" customWidth="1"/>
    <col min="57" max="57" width="17.88671875" bestFit="1" customWidth="1"/>
  </cols>
  <sheetData>
    <row r="1" spans="1:64" x14ac:dyDescent="0.25">
      <c r="A1" t="s">
        <v>1</v>
      </c>
      <c r="I1" s="8">
        <f>B7-I7</f>
        <v>63.789109889335123</v>
      </c>
      <c r="J1" s="8">
        <f t="shared" ref="J1:N2" si="0">C7-J7</f>
        <v>65.149994542463219</v>
      </c>
      <c r="K1" s="8">
        <f t="shared" si="0"/>
        <v>66.11510081960364</v>
      </c>
      <c r="L1" s="8">
        <f t="shared" si="0"/>
        <v>66.788938181161939</v>
      </c>
      <c r="M1" s="8">
        <f t="shared" si="0"/>
        <v>66.688859631779451</v>
      </c>
      <c r="N1" s="8">
        <f t="shared" si="0"/>
        <v>0</v>
      </c>
      <c r="P1" s="8">
        <f>I7-P7</f>
        <v>65.418531271642451</v>
      </c>
      <c r="Q1" s="8">
        <f t="shared" ref="Q1:U2" si="1">J7-Q7</f>
        <v>66.283963308040256</v>
      </c>
      <c r="R1" s="8">
        <f t="shared" si="1"/>
        <v>67.035655773499684</v>
      </c>
      <c r="S1" s="8">
        <f t="shared" si="1"/>
        <v>66.728602693196535</v>
      </c>
      <c r="T1" s="8">
        <f t="shared" si="1"/>
        <v>67.384062196562354</v>
      </c>
      <c r="U1" s="8">
        <f t="shared" si="1"/>
        <v>0</v>
      </c>
      <c r="W1" s="8">
        <f>P7-W7</f>
        <v>65.471590096287173</v>
      </c>
      <c r="X1" s="8">
        <f t="shared" ref="X1:AB2" si="2">Q7-X7</f>
        <v>66.247123285707858</v>
      </c>
      <c r="Y1" s="8">
        <f t="shared" si="2"/>
        <v>65.984796659512995</v>
      </c>
      <c r="Z1" s="8">
        <f t="shared" si="2"/>
        <v>67.127401431758244</v>
      </c>
      <c r="AA1" s="8">
        <f t="shared" si="2"/>
        <v>67.816410698558457</v>
      </c>
      <c r="AB1" s="8">
        <f t="shared" si="2"/>
        <v>0</v>
      </c>
      <c r="AD1" s="8">
        <f>W7-AD7</f>
        <v>65.462625375353809</v>
      </c>
      <c r="AE1" s="8">
        <f t="shared" ref="AE1:AI2" si="3">X7-AE7</f>
        <v>65.221158447268863</v>
      </c>
      <c r="AF1" s="8">
        <f t="shared" si="3"/>
        <v>66.362261066153678</v>
      </c>
      <c r="AG1" s="8">
        <f t="shared" si="3"/>
        <v>67.426293862590455</v>
      </c>
      <c r="AH1" s="8">
        <f t="shared" si="3"/>
        <v>68.860809922171484</v>
      </c>
      <c r="AI1" s="8">
        <f t="shared" si="3"/>
        <v>0</v>
      </c>
      <c r="AK1" s="8">
        <f>AD7-AK7</f>
        <v>65.776218580573413</v>
      </c>
      <c r="AL1" s="8">
        <f t="shared" ref="AL1:AP2" si="4">AE7-AL7</f>
        <v>65.465737091472647</v>
      </c>
      <c r="AM1" s="8">
        <f t="shared" si="4"/>
        <v>66.604811735053318</v>
      </c>
      <c r="AN1" s="8">
        <f t="shared" si="4"/>
        <v>68.211780203257831</v>
      </c>
      <c r="AO1" s="8">
        <f t="shared" si="4"/>
        <v>69.213371174924987</v>
      </c>
      <c r="AP1" s="8">
        <f t="shared" si="4"/>
        <v>0</v>
      </c>
      <c r="AR1" s="8">
        <f>AK7-AR7</f>
        <v>67.892536930548317</v>
      </c>
      <c r="AS1" s="8">
        <f t="shared" ref="AS1:AW2" si="5">AL7-AS7</f>
        <v>65.652092522674138</v>
      </c>
      <c r="AT1" s="8">
        <f t="shared" si="5"/>
        <v>66.991285188586744</v>
      </c>
      <c r="AU1" s="8">
        <f t="shared" si="5"/>
        <v>68.861672265394873</v>
      </c>
      <c r="AV1" s="8">
        <f t="shared" si="5"/>
        <v>69.218974661154789</v>
      </c>
      <c r="AW1" s="8">
        <f t="shared" si="5"/>
        <v>0</v>
      </c>
    </row>
    <row r="2" spans="1:64" x14ac:dyDescent="0.25">
      <c r="A2" t="s">
        <v>569</v>
      </c>
      <c r="I2" s="8">
        <f>B8-I8</f>
        <v>35.320222042977775</v>
      </c>
      <c r="J2" s="8">
        <f t="shared" si="0"/>
        <v>34.116983925017394</v>
      </c>
      <c r="K2" s="8">
        <f t="shared" si="0"/>
        <v>33.138379984742187</v>
      </c>
      <c r="L2" s="8">
        <f t="shared" si="0"/>
        <v>32.486249419974229</v>
      </c>
      <c r="M2" s="8">
        <f t="shared" si="0"/>
        <v>32.536482658629893</v>
      </c>
      <c r="N2" s="8">
        <f t="shared" si="0"/>
        <v>0</v>
      </c>
      <c r="P2" s="8">
        <f>I8-P8</f>
        <v>33.779747158007467</v>
      </c>
      <c r="Q2" s="8">
        <f t="shared" si="1"/>
        <v>33.048764602227266</v>
      </c>
      <c r="R2" s="8">
        <f t="shared" si="1"/>
        <v>32.280583008157237</v>
      </c>
      <c r="S2" s="8">
        <f t="shared" si="1"/>
        <v>32.635298298839416</v>
      </c>
      <c r="T2" s="8">
        <f t="shared" si="1"/>
        <v>32.003339981902855</v>
      </c>
      <c r="U2" s="8">
        <f t="shared" si="1"/>
        <v>0</v>
      </c>
      <c r="W2" s="8">
        <f>P8-W8</f>
        <v>33.776757545360852</v>
      </c>
      <c r="X2" s="8">
        <f t="shared" si="2"/>
        <v>33.04840831111801</v>
      </c>
      <c r="Y2" s="8">
        <f t="shared" si="2"/>
        <v>33.389395431325511</v>
      </c>
      <c r="Z2" s="8">
        <f t="shared" si="2"/>
        <v>32.342598568241783</v>
      </c>
      <c r="AA2" s="8">
        <f t="shared" si="2"/>
        <v>31.903589301441571</v>
      </c>
      <c r="AB2" s="8">
        <f t="shared" si="2"/>
        <v>0</v>
      </c>
      <c r="AD2" s="8">
        <f>W8-AD8</f>
        <v>33.858637056689986</v>
      </c>
      <c r="AE2" s="8">
        <f t="shared" si="3"/>
        <v>34.13786518117513</v>
      </c>
      <c r="AF2" s="8">
        <f t="shared" si="3"/>
        <v>33.11773893384634</v>
      </c>
      <c r="AG2" s="8">
        <f t="shared" si="3"/>
        <v>32.3390201510324</v>
      </c>
      <c r="AH2" s="8">
        <f t="shared" si="3"/>
        <v>32.223858555663583</v>
      </c>
      <c r="AI2" s="8">
        <f t="shared" si="3"/>
        <v>0</v>
      </c>
      <c r="AK2" s="8">
        <f>AD8-AK8</f>
        <v>33.568713645087428</v>
      </c>
      <c r="AL2" s="8">
        <f t="shared" si="4"/>
        <v>33.827251635648963</v>
      </c>
      <c r="AM2" s="8">
        <f t="shared" si="4"/>
        <v>32.982406726295039</v>
      </c>
      <c r="AN2" s="8">
        <f t="shared" si="4"/>
        <v>32.591101927869204</v>
      </c>
      <c r="AO2" s="8">
        <f t="shared" si="4"/>
        <v>32.333858893615115</v>
      </c>
      <c r="AP2" s="8">
        <f t="shared" si="4"/>
        <v>0</v>
      </c>
      <c r="AR2" s="8">
        <f>AK8-AR8</f>
        <v>31.424187924327839</v>
      </c>
      <c r="AS2" s="8">
        <f t="shared" si="5"/>
        <v>33.807907477325898</v>
      </c>
      <c r="AT2" s="8">
        <f t="shared" si="5"/>
        <v>32.757426012777842</v>
      </c>
      <c r="AU2" s="8">
        <f t="shared" si="5"/>
        <v>32.696921624659808</v>
      </c>
      <c r="AV2" s="8">
        <f t="shared" si="5"/>
        <v>32.328334223451748</v>
      </c>
      <c r="AW2" s="8">
        <f t="shared" si="5"/>
        <v>0</v>
      </c>
    </row>
    <row r="3" spans="1:64" ht="15.6" x14ac:dyDescent="0.3">
      <c r="A3" s="4"/>
      <c r="B3" s="196" t="s">
        <v>37</v>
      </c>
      <c r="C3" s="196" t="s">
        <v>38</v>
      </c>
      <c r="D3" s="196" t="s">
        <v>39</v>
      </c>
      <c r="E3" s="196" t="s">
        <v>40</v>
      </c>
      <c r="F3" s="196" t="s">
        <v>41</v>
      </c>
      <c r="G3" s="196" t="s">
        <v>141</v>
      </c>
      <c r="H3" s="196"/>
      <c r="I3" s="196" t="s">
        <v>37</v>
      </c>
      <c r="J3" s="196" t="s">
        <v>38</v>
      </c>
      <c r="K3" s="196" t="s">
        <v>39</v>
      </c>
      <c r="L3" s="196" t="s">
        <v>40</v>
      </c>
      <c r="M3" s="196" t="s">
        <v>41</v>
      </c>
      <c r="N3" s="196" t="s">
        <v>141</v>
      </c>
      <c r="O3" s="196"/>
      <c r="P3" s="196" t="s">
        <v>37</v>
      </c>
      <c r="Q3" s="196" t="s">
        <v>38</v>
      </c>
      <c r="R3" s="196" t="s">
        <v>39</v>
      </c>
      <c r="S3" s="196" t="s">
        <v>40</v>
      </c>
      <c r="T3" s="196" t="s">
        <v>41</v>
      </c>
      <c r="U3" s="196" t="s">
        <v>141</v>
      </c>
      <c r="W3" s="196" t="s">
        <v>37</v>
      </c>
      <c r="X3" s="196" t="s">
        <v>38</v>
      </c>
      <c r="Y3" s="196" t="s">
        <v>39</v>
      </c>
      <c r="Z3" s="196" t="s">
        <v>40</v>
      </c>
      <c r="AA3" s="196" t="s">
        <v>41</v>
      </c>
      <c r="AB3" s="196" t="s">
        <v>141</v>
      </c>
      <c r="AD3" s="196" t="s">
        <v>37</v>
      </c>
      <c r="AE3" s="196" t="s">
        <v>38</v>
      </c>
      <c r="AF3" s="196" t="s">
        <v>39</v>
      </c>
      <c r="AG3" s="196" t="s">
        <v>40</v>
      </c>
      <c r="AH3" s="196" t="s">
        <v>41</v>
      </c>
      <c r="AI3" s="196" t="s">
        <v>141</v>
      </c>
      <c r="AK3" s="196" t="s">
        <v>37</v>
      </c>
      <c r="AL3" s="196" t="s">
        <v>38</v>
      </c>
      <c r="AM3" s="196" t="s">
        <v>39</v>
      </c>
      <c r="AN3" s="196" t="s">
        <v>40</v>
      </c>
      <c r="AO3" s="196" t="s">
        <v>41</v>
      </c>
      <c r="AP3" s="196" t="s">
        <v>141</v>
      </c>
      <c r="AR3" s="196" t="s">
        <v>37</v>
      </c>
      <c r="AS3" s="196" t="s">
        <v>38</v>
      </c>
      <c r="AT3" s="196" t="s">
        <v>39</v>
      </c>
      <c r="AU3" s="196" t="s">
        <v>40</v>
      </c>
      <c r="AV3" s="196" t="s">
        <v>41</v>
      </c>
      <c r="AW3" s="196" t="s">
        <v>141</v>
      </c>
    </row>
    <row r="4" spans="1:64" ht="12.75" customHeight="1" x14ac:dyDescent="0.25">
      <c r="B4" s="565" t="s">
        <v>72</v>
      </c>
      <c r="C4" s="565"/>
      <c r="D4" s="565"/>
      <c r="E4" s="565"/>
      <c r="F4" s="565"/>
      <c r="G4" s="75"/>
      <c r="I4" s="565" t="s">
        <v>72</v>
      </c>
      <c r="J4" s="565"/>
      <c r="K4" s="565"/>
      <c r="L4" s="565"/>
      <c r="M4" s="565"/>
      <c r="N4" s="75"/>
      <c r="O4" s="6"/>
      <c r="P4" s="565" t="s">
        <v>72</v>
      </c>
      <c r="Q4" s="565"/>
      <c r="R4" s="565"/>
      <c r="S4" s="565"/>
      <c r="T4" s="565"/>
      <c r="U4" s="75"/>
      <c r="W4" s="565" t="s">
        <v>72</v>
      </c>
      <c r="X4" s="565"/>
      <c r="Y4" s="565"/>
      <c r="Z4" s="565"/>
      <c r="AA4" s="565"/>
      <c r="AB4" s="75"/>
      <c r="AD4" s="565" t="s">
        <v>72</v>
      </c>
      <c r="AE4" s="565"/>
      <c r="AF4" s="565"/>
      <c r="AG4" s="565"/>
      <c r="AH4" s="565"/>
      <c r="AI4" s="75"/>
      <c r="AK4" s="565" t="s">
        <v>72</v>
      </c>
      <c r="AL4" s="565"/>
      <c r="AM4" s="565"/>
      <c r="AN4" s="565"/>
      <c r="AO4" s="565"/>
      <c r="AP4" s="75"/>
      <c r="AR4" s="565" t="s">
        <v>72</v>
      </c>
      <c r="AS4" s="565"/>
      <c r="AT4" s="565"/>
      <c r="AU4" s="565"/>
      <c r="AV4" s="565"/>
      <c r="AW4" s="75"/>
    </row>
    <row r="5" spans="1:64" x14ac:dyDescent="0.25">
      <c r="B5" s="376">
        <v>50</v>
      </c>
      <c r="C5" s="376">
        <v>85</v>
      </c>
      <c r="D5" s="376">
        <v>120</v>
      </c>
      <c r="E5" s="376">
        <v>160</v>
      </c>
      <c r="F5" s="376">
        <v>200</v>
      </c>
      <c r="G5" s="376">
        <v>240</v>
      </c>
      <c r="H5" s="99"/>
      <c r="I5" s="376">
        <v>50</v>
      </c>
      <c r="J5" s="376">
        <v>85</v>
      </c>
      <c r="K5" s="376">
        <v>120</v>
      </c>
      <c r="L5" s="376">
        <v>160</v>
      </c>
      <c r="M5" s="376">
        <v>200</v>
      </c>
      <c r="N5" s="376">
        <v>240</v>
      </c>
      <c r="O5" s="99"/>
      <c r="P5" s="376">
        <v>50</v>
      </c>
      <c r="Q5" s="376">
        <v>85</v>
      </c>
      <c r="R5" s="376">
        <v>120</v>
      </c>
      <c r="S5" s="376">
        <v>160</v>
      </c>
      <c r="T5" s="376">
        <v>200</v>
      </c>
      <c r="U5" s="376">
        <v>240</v>
      </c>
      <c r="W5" s="376">
        <v>50</v>
      </c>
      <c r="X5" s="376">
        <v>85</v>
      </c>
      <c r="Y5" s="376">
        <v>120</v>
      </c>
      <c r="Z5" s="376">
        <v>160</v>
      </c>
      <c r="AA5" s="376">
        <v>200</v>
      </c>
      <c r="AB5" s="376">
        <v>240</v>
      </c>
      <c r="AD5" s="376">
        <v>50</v>
      </c>
      <c r="AE5" s="376">
        <v>85</v>
      </c>
      <c r="AF5" s="376">
        <v>120</v>
      </c>
      <c r="AG5" s="376">
        <v>160</v>
      </c>
      <c r="AH5" s="376">
        <v>200</v>
      </c>
      <c r="AI5" s="376">
        <v>240</v>
      </c>
      <c r="AK5" s="376">
        <v>50</v>
      </c>
      <c r="AL5" s="376">
        <v>85</v>
      </c>
      <c r="AM5" s="376">
        <v>120</v>
      </c>
      <c r="AN5" s="376">
        <v>160</v>
      </c>
      <c r="AO5" s="376">
        <v>200</v>
      </c>
      <c r="AP5" s="376">
        <v>240</v>
      </c>
      <c r="AR5" s="376">
        <v>50</v>
      </c>
      <c r="AS5" s="376">
        <v>85</v>
      </c>
      <c r="AT5" s="376">
        <v>120</v>
      </c>
      <c r="AU5" s="376">
        <v>160</v>
      </c>
      <c r="AV5" s="376">
        <v>200</v>
      </c>
      <c r="AW5" s="376">
        <v>240</v>
      </c>
    </row>
    <row r="6" spans="1:64" ht="13.8" thickBot="1" x14ac:dyDescent="0.3">
      <c r="A6" s="306" t="s">
        <v>15</v>
      </c>
      <c r="B6" s="11">
        <v>85</v>
      </c>
      <c r="C6" s="11">
        <v>120</v>
      </c>
      <c r="D6" s="11">
        <v>160</v>
      </c>
      <c r="E6" s="11">
        <v>200</v>
      </c>
      <c r="F6" s="11">
        <v>240</v>
      </c>
      <c r="G6" s="11">
        <v>285</v>
      </c>
      <c r="H6" s="222"/>
      <c r="I6" s="11">
        <v>85</v>
      </c>
      <c r="J6" s="11">
        <v>120</v>
      </c>
      <c r="K6" s="11">
        <v>160</v>
      </c>
      <c r="L6" s="11">
        <v>200</v>
      </c>
      <c r="M6" s="11">
        <v>240</v>
      </c>
      <c r="N6" s="11">
        <v>285</v>
      </c>
      <c r="O6" s="94"/>
      <c r="P6" s="11">
        <v>85</v>
      </c>
      <c r="Q6" s="11">
        <v>120</v>
      </c>
      <c r="R6" s="11">
        <v>160</v>
      </c>
      <c r="S6" s="11">
        <v>200</v>
      </c>
      <c r="T6" s="11">
        <v>240</v>
      </c>
      <c r="U6" s="11">
        <v>285</v>
      </c>
      <c r="W6" s="11">
        <v>85</v>
      </c>
      <c r="X6" s="11">
        <v>120</v>
      </c>
      <c r="Y6" s="11">
        <v>160</v>
      </c>
      <c r="Z6" s="11">
        <v>200</v>
      </c>
      <c r="AA6" s="11">
        <v>240</v>
      </c>
      <c r="AB6" s="11">
        <v>285</v>
      </c>
      <c r="AD6" s="11">
        <v>85</v>
      </c>
      <c r="AE6" s="11">
        <v>120</v>
      </c>
      <c r="AF6" s="11">
        <v>160</v>
      </c>
      <c r="AG6" s="11">
        <v>200</v>
      </c>
      <c r="AH6" s="11">
        <v>240</v>
      </c>
      <c r="AI6" s="11">
        <v>285</v>
      </c>
      <c r="AK6" s="11">
        <v>85</v>
      </c>
      <c r="AL6" s="11">
        <v>120</v>
      </c>
      <c r="AM6" s="11">
        <v>160</v>
      </c>
      <c r="AN6" s="11">
        <v>200</v>
      </c>
      <c r="AO6" s="11">
        <v>240</v>
      </c>
      <c r="AP6" s="11">
        <v>285</v>
      </c>
      <c r="AR6" s="11">
        <v>85</v>
      </c>
      <c r="AS6" s="11">
        <v>120</v>
      </c>
      <c r="AT6" s="11">
        <v>160</v>
      </c>
      <c r="AU6" s="11">
        <v>200</v>
      </c>
      <c r="AV6" s="11">
        <v>240</v>
      </c>
      <c r="AW6" s="11">
        <v>285</v>
      </c>
    </row>
    <row r="7" spans="1:64" x14ac:dyDescent="0.25">
      <c r="A7" t="s">
        <v>1</v>
      </c>
      <c r="B7" s="291">
        <f>IF(B5="","",((((B236-B297)*2000)+((SUM(B9:B229)-2000)*((IF($A8=Nutrients!$B$79,Nutrients!$DA$79,(IF($A8=Nutrients!$B$77,Nutrients!$DA$77,Nutrients!$DA$78)))))))/((IF($A7=Nutrients!$B$8,Nutrients!$DA$8,Nutrients!$DA$9))-((IF($A8=Nutrients!$B$79,Nutrients!$DA$79,(IF($A8=Nutrients!$B$77,Nutrients!$DA$77,Nutrients!$DA$78))))))))</f>
        <v>1401.204118179855</v>
      </c>
      <c r="C7" s="291">
        <f>IF(C5="","",((((C236-C297)*2000)+((SUM(C9:C229)-2000)*((IF($A8=Nutrients!$B$79,Nutrients!$DA$79,(IF($A8=Nutrients!$B$77,Nutrients!$DA$77,Nutrients!$DA$78)))))))/((IF($A7=Nutrients!$B$8,Nutrients!$DA$8,Nutrients!$DA$9))-((IF($A8=Nutrients!$B$79,Nutrients!$DA$79,(IF($A8=Nutrients!$B$77,Nutrients!$DA$77,Nutrients!$DA$78))))))))</f>
        <v>1489.6346777263973</v>
      </c>
      <c r="D7" s="291">
        <f>IF(D5="","",((((D236-D297)*2000)+((SUM(D9:D229)-2000)*((IF($A8=Nutrients!$B$79,Nutrients!$DA$79,(IF($A8=Nutrients!$B$77,Nutrients!$DA$77,Nutrients!$DA$78)))))))/((IF($A7=Nutrients!$B$8,Nutrients!$DA$8,Nutrients!$DA$9))-((IF($A8=Nutrients!$B$79,Nutrients!$DA$79,(IF($A8=Nutrients!$B$77,Nutrients!$DA$77,Nutrients!$DA$78))))))))</f>
        <v>1564.8539711032211</v>
      </c>
      <c r="E7" s="291">
        <f>IF(E5="","",((((E236-E297)*2000)+((SUM(E9:E229)-2000)*((IF($A8=Nutrients!$B$79,Nutrients!$DA$79,(IF($A8=Nutrients!$B$77,Nutrients!$DA$77,Nutrients!$DA$78)))))))/((IF($A7=Nutrients!$B$8,Nutrients!$DA$8,Nutrients!$DA$9))-((IF($A8=Nutrients!$B$79,Nutrients!$DA$79,(IF($A8=Nutrients!$B$77,Nutrients!$DA$77,Nutrients!$DA$78))))))))</f>
        <v>1637.2122226458096</v>
      </c>
      <c r="F7" s="291">
        <f>IF(F5="","",((((F236-F297)*2000)+((SUM(F9:F229)-2000)*((IF($A8=Nutrients!$B$79,Nutrients!$DA$79,(IF($A8=Nutrients!$B$77,Nutrients!$DA$77,Nutrients!$DA$78)))))))/((IF($A7=Nutrients!$B$8,Nutrients!$DA$8,Nutrients!$DA$9))-((IF($A8=Nutrients!$B$79,Nutrients!$DA$79,(IF($A8=Nutrients!$B$77,Nutrients!$DA$77,Nutrients!$DA$78))))))))</f>
        <v>1697.3820399240099</v>
      </c>
      <c r="G7" s="291">
        <f>IF(G5="","",((((G236-G297)*2000)+((SUM(G9:G229)-2000)*((IF($A8=Nutrients!$B$79,Nutrients!$DA$79,(IF($A8=Nutrients!$B$77,Nutrients!$DA$77,Nutrients!$DA$78)))))))/((IF($A7=Nutrients!$B$8,Nutrients!$DA$8,Nutrients!$DA$9))-((IF($A8=Nutrients!$B$79,Nutrients!$DA$79,(IF($A8=Nutrients!$B$77,Nutrients!$DA$77,Nutrients!$DA$78))))))))</f>
        <v>1729.7239606988965</v>
      </c>
      <c r="H7" s="291"/>
      <c r="I7" s="291">
        <f>IF(I5="","",((((I236-I297)*2000)+((SUM(I9:I229)-2000)*((IF($A8=Nutrients!$B$79,Nutrients!$DA$79,(IF($A8=Nutrients!$B$77,Nutrients!$DA$77,Nutrients!$DA$78)))))))/((IF($A7=Nutrients!$B$8,Nutrients!$DA$8,Nutrients!$DA$9))-((IF($A8=Nutrients!$B$79,Nutrients!$DA$79,(IF($A8=Nutrients!$B$77,Nutrients!$DA$77,Nutrients!$DA$78))))))))</f>
        <v>1337.4150082905198</v>
      </c>
      <c r="J7" s="291">
        <f>IF(J5="","",((((J236-J297)*2000)+((SUM(J9:J229)-2000)*((IF($A8=Nutrients!$B$79,Nutrients!$DA$79,(IF($A8=Nutrients!$B$77,Nutrients!$DA$77,Nutrients!$DA$78)))))))/((IF($A7=Nutrients!$B$8,Nutrients!$DA$8,Nutrients!$DA$9))-((IF($A8=Nutrients!$B$79,Nutrients!$DA$79,(IF($A8=Nutrients!$B$77,Nutrients!$DA$77,Nutrients!$DA$78))))))))</f>
        <v>1424.4846831839341</v>
      </c>
      <c r="K7" s="291">
        <f>IF(K5="","",((((K236-K297)*2000)+((SUM(K9:K229)-2000)*((IF($A8=Nutrients!$B$79,Nutrients!$DA$79,(IF($A8=Nutrients!$B$77,Nutrients!$DA$77,Nutrients!$DA$78)))))))/((IF($A7=Nutrients!$B$8,Nutrients!$DA$8,Nutrients!$DA$9))-((IF($A8=Nutrients!$B$79,Nutrients!$DA$79,(IF($A8=Nutrients!$B$77,Nutrients!$DA$77,Nutrients!$DA$78))))))))</f>
        <v>1498.7388702836174</v>
      </c>
      <c r="L7" s="291">
        <f>IF(L5="","",((((L236-L297)*2000)+((SUM(L9:L229)-2000)*((IF($A8=Nutrients!$B$79,Nutrients!$DA$79,(IF($A8=Nutrients!$B$77,Nutrients!$DA$77,Nutrients!$DA$78)))))))/((IF($A7=Nutrients!$B$8,Nutrients!$DA$8,Nutrients!$DA$9))-((IF($A8=Nutrients!$B$79,Nutrients!$DA$79,(IF($A8=Nutrients!$B$77,Nutrients!$DA$77,Nutrients!$DA$78))))))))</f>
        <v>1570.4232844646476</v>
      </c>
      <c r="M7" s="291">
        <f>IF(M5="","",((((M236-M297)*2000)+((SUM(M9:M229)-2000)*((IF($A8=Nutrients!$B$79,Nutrients!$DA$79,(IF($A8=Nutrients!$B$77,Nutrients!$DA$77,Nutrients!$DA$78)))))))/((IF($A7=Nutrients!$B$8,Nutrients!$DA$8,Nutrients!$DA$9))-((IF($A8=Nutrients!$B$79,Nutrients!$DA$79,(IF($A8=Nutrients!$B$77,Nutrients!$DA$77,Nutrients!$DA$78))))))))</f>
        <v>1630.6931802922304</v>
      </c>
      <c r="N7" s="291">
        <f>IF(N5="","",((((N236-N297)*2000)+((SUM(N9:N229)-2000)*((IF($A8=Nutrients!$B$79,Nutrients!$DA$79,(IF($A8=Nutrients!$B$77,Nutrients!$DA$77,Nutrients!$DA$78)))))))/((IF($A7=Nutrients!$B$8,Nutrients!$DA$8,Nutrients!$DA$9))-((IF($A8=Nutrients!$B$79,Nutrients!$DA$79,(IF($A8=Nutrients!$B$77,Nutrients!$DA$77,Nutrients!$DA$78))))))))</f>
        <v>1729.7239606988965</v>
      </c>
      <c r="O7" s="30"/>
      <c r="P7" s="291">
        <f>IF(P5="","",((((P236-P297)*2000)+((SUM(P9:P229)-2000)*((IF($A8=Nutrients!$B$79,Nutrients!$DA$79,(IF($A8=Nutrients!$B$77,Nutrients!$DA$77,Nutrients!$DA$78)))))))/((IF($A7=Nutrients!$B$8,Nutrients!$DA$8,Nutrients!$DA$9))-((IF($A8=Nutrients!$B$79,Nutrients!$DA$79,(IF($A8=Nutrients!$B$77,Nutrients!$DA$77,Nutrients!$DA$78))))))))</f>
        <v>1271.9964770188774</v>
      </c>
      <c r="Q7" s="291">
        <f>IF(Q5="","",((((Q236-Q297)*2000)+((SUM(Q9:Q229)-2000)*((IF($A8=Nutrients!$B$79,Nutrients!$DA$79,(IF($A8=Nutrients!$B$77,Nutrients!$DA$77,Nutrients!$DA$78)))))))/((IF($A7=Nutrients!$B$8,Nutrients!$DA$8,Nutrients!$DA$9))-((IF($A8=Nutrients!$B$79,Nutrients!$DA$79,(IF($A8=Nutrients!$B$77,Nutrients!$DA$77,Nutrients!$DA$78))))))))</f>
        <v>1358.2007198758938</v>
      </c>
      <c r="R7" s="291">
        <f>IF(R5="","",((((R236-R297)*2000)+((SUM(R9:R229)-2000)*((IF($A8=Nutrients!$B$79,Nutrients!$DA$79,(IF($A8=Nutrients!$B$77,Nutrients!$DA$77,Nutrients!$DA$78)))))))/((IF($A7=Nutrients!$B$8,Nutrients!$DA$8,Nutrients!$DA$9))-((IF($A8=Nutrients!$B$79,Nutrients!$DA$79,(IF($A8=Nutrients!$B$77,Nutrients!$DA$77,Nutrients!$DA$78))))))))</f>
        <v>1431.7032145101177</v>
      </c>
      <c r="S7" s="291">
        <f>IF(S5="","",((((S236-S297)*2000)+((SUM(S9:S229)-2000)*((IF($A8=Nutrients!$B$79,Nutrients!$DA$79,(IF($A8=Nutrients!$B$77,Nutrients!$DA$77,Nutrients!$DA$78)))))))/((IF($A7=Nutrients!$B$8,Nutrients!$DA$8,Nutrients!$DA$9))-((IF($A8=Nutrients!$B$79,Nutrients!$DA$79,(IF($A8=Nutrients!$B$77,Nutrients!$DA$77,Nutrients!$DA$78))))))))</f>
        <v>1503.6946817714511</v>
      </c>
      <c r="T7" s="291">
        <f>IF(T5="","",((((T236-T297)*2000)+((SUM(T9:T229)-2000)*((IF($A8=Nutrients!$B$79,Nutrients!$DA$79,(IF($A8=Nutrients!$B$77,Nutrients!$DA$77,Nutrients!$DA$78)))))))/((IF($A7=Nutrients!$B$8,Nutrients!$DA$8,Nutrients!$DA$9))-((IF($A8=Nutrients!$B$79,Nutrients!$DA$79,(IF($A8=Nutrients!$B$77,Nutrients!$DA$77,Nutrients!$DA$78))))))))</f>
        <v>1563.3091180956681</v>
      </c>
      <c r="U7" s="291">
        <f>IF(U5="","",((((U236-U297)*2000)+((SUM(U9:U229)-2000)*((IF($A8=Nutrients!$B$79,Nutrients!$DA$79,(IF($A8=Nutrients!$B$77,Nutrients!$DA$77,Nutrients!$DA$78)))))))/((IF($A7=Nutrients!$B$8,Nutrients!$DA$8,Nutrients!$DA$9))-((IF($A8=Nutrients!$B$79,Nutrients!$DA$79,(IF($A8=Nutrients!$B$77,Nutrients!$DA$77,Nutrients!$DA$78))))))))</f>
        <v>1729.7239606988965</v>
      </c>
      <c r="W7" s="291">
        <f>IF(W5="","",((((W236-W297)*2000)+((SUM(W9:W229)-2000)*((IF($A8=Nutrients!$B$79,Nutrients!$DA$79,(IF($A8=Nutrients!$B$77,Nutrients!$DA$77,Nutrients!$DA$78)))))))/((IF($A7=Nutrients!$B$8,Nutrients!$DA$8,Nutrients!$DA$9))-((IF($A8=Nutrients!$B$79,Nutrients!$DA$79,(IF($A8=Nutrients!$B$77,Nutrients!$DA$77,Nutrients!$DA$78))))))))</f>
        <v>1206.5248869225902</v>
      </c>
      <c r="X7" s="291">
        <f>IF(X5="","",((((X236-X297)*2000)+((SUM(X9:X229)-2000)*((IF($A8=Nutrients!$B$79,Nutrients!$DA$79,(IF($A8=Nutrients!$B$77,Nutrients!$DA$77,Nutrients!$DA$78)))))))/((IF($A7=Nutrients!$B$8,Nutrients!$DA$8,Nutrients!$DA$9))-((IF($A8=Nutrients!$B$79,Nutrients!$DA$79,(IF($A8=Nutrients!$B$77,Nutrients!$DA$77,Nutrients!$DA$78))))))))</f>
        <v>1291.953596590186</v>
      </c>
      <c r="Y7" s="291">
        <f>IF(Y5="","",((((Y236-Y297)*2000)+((SUM(Y9:Y229)-2000)*((IF($A8=Nutrients!$B$79,Nutrients!$DA$79,(IF($A8=Nutrients!$B$77,Nutrients!$DA$77,Nutrients!$DA$78)))))))/((IF($A7=Nutrients!$B$8,Nutrients!$DA$8,Nutrients!$DA$9))-((IF($A8=Nutrients!$B$79,Nutrients!$DA$79,(IF($A8=Nutrients!$B$77,Nutrients!$DA$77,Nutrients!$DA$78))))))))</f>
        <v>1365.7184178506047</v>
      </c>
      <c r="Z7" s="291">
        <f>IF(Z5="","",((((Z236-Z297)*2000)+((SUM(Z9:Z229)-2000)*((IF($A8=Nutrients!$B$79,Nutrients!$DA$79,(IF($A8=Nutrients!$B$77,Nutrients!$DA$77,Nutrients!$DA$78)))))))/((IF($A7=Nutrients!$B$8,Nutrients!$DA$8,Nutrients!$DA$9))-((IF($A8=Nutrients!$B$79,Nutrients!$DA$79,(IF($A8=Nutrients!$B$77,Nutrients!$DA$77,Nutrients!$DA$78))))))))</f>
        <v>1436.5672803396928</v>
      </c>
      <c r="AA7" s="291">
        <f>IF(AA5="","",((((AA236-AA297)*2000)+((SUM(AA9:AA229)-2000)*((IF($A8=Nutrients!$B$79,Nutrients!$DA$79,(IF($A8=Nutrients!$B$77,Nutrients!$DA$77,Nutrients!$DA$78)))))))/((IF($A7=Nutrients!$B$8,Nutrients!$DA$8,Nutrients!$DA$9))-((IF($A8=Nutrients!$B$79,Nutrients!$DA$79,(IF($A8=Nutrients!$B$77,Nutrients!$DA$77,Nutrients!$DA$78))))))))</f>
        <v>1495.4927073971096</v>
      </c>
      <c r="AB7" s="291">
        <f>IF(AB5="","",((((AB236-AB297)*2000)+((SUM(AB9:AB229)-2000)*((IF($A8=Nutrients!$B$79,Nutrients!$DA$79,(IF($A8=Nutrients!$B$77,Nutrients!$DA$77,Nutrients!$DA$78)))))))/((IF($A7=Nutrients!$B$8,Nutrients!$DA$8,Nutrients!$DA$9))-((IF($A8=Nutrients!$B$79,Nutrients!$DA$79,(IF($A8=Nutrients!$B$77,Nutrients!$DA$77,Nutrients!$DA$78))))))))</f>
        <v>1729.7239606988965</v>
      </c>
      <c r="AC7" s="13"/>
      <c r="AD7" s="291">
        <f>IF(AD5="","",((((AD236-AD297)*2000)+((SUM(AD9:AD229)-2000)*((IF($A8=Nutrients!$B$79,Nutrients!$DA$79,(IF($A8=Nutrients!$B$77,Nutrients!$DA$77,Nutrients!$DA$78)))))))/((IF($A7=Nutrients!$B$8,Nutrients!$DA$8,Nutrients!$DA$9))-((IF($A8=Nutrients!$B$79,Nutrients!$DA$79,(IF($A8=Nutrients!$B$77,Nutrients!$DA$77,Nutrients!$DA$78))))))))</f>
        <v>1141.0622615472364</v>
      </c>
      <c r="AE7" s="291">
        <f>IF(AE5="","",((((AE236-AE297)*2000)+((SUM(AE9:AE229)-2000)*((IF($A8=Nutrients!$B$79,Nutrients!$DA$79,(IF($A8=Nutrients!$B$77,Nutrients!$DA$77,Nutrients!$DA$78)))))))/((IF($A7=Nutrients!$B$8,Nutrients!$DA$8,Nutrients!$DA$9))-((IF($A8=Nutrients!$B$79,Nutrients!$DA$79,(IF($A8=Nutrients!$B$77,Nutrients!$DA$77,Nutrients!$DA$78))))))))</f>
        <v>1226.7324381429171</v>
      </c>
      <c r="AF7" s="291">
        <f>IF(AF5="","",((((AF236-AF297)*2000)+((SUM(AF9:AF229)-2000)*((IF($A8=Nutrients!$B$79,Nutrients!$DA$79,(IF($A8=Nutrients!$B$77,Nutrients!$DA$77,Nutrients!$DA$78)))))))/((IF($A7=Nutrients!$B$8,Nutrients!$DA$8,Nutrients!$DA$9))-((IF($A8=Nutrients!$B$79,Nutrients!$DA$79,(IF($A8=Nutrients!$B$77,Nutrients!$DA$77,Nutrients!$DA$78))))))))</f>
        <v>1299.3561567844511</v>
      </c>
      <c r="AG7" s="291">
        <f>IF(AG5="","",((((AG236-AG297)*2000)+((SUM(AG9:AG229)-2000)*((IF($A8=Nutrients!$B$79,Nutrients!$DA$79,(IF($A8=Nutrients!$B$77,Nutrients!$DA$77,Nutrients!$DA$78)))))))/((IF($A7=Nutrients!$B$8,Nutrients!$DA$8,Nutrients!$DA$9))-((IF($A8=Nutrients!$B$79,Nutrients!$DA$79,(IF($A8=Nutrients!$B$77,Nutrients!$DA$77,Nutrients!$DA$78))))))))</f>
        <v>1369.1409864771024</v>
      </c>
      <c r="AH7" s="291">
        <f>IF(AH5="","",((((AH236-AH297)*2000)+((SUM(AH9:AH229)-2000)*((IF($A8=Nutrients!$B$79,Nutrients!$DA$79,(IF($A8=Nutrients!$B$77,Nutrients!$DA$77,Nutrients!$DA$78)))))))/((IF($A7=Nutrients!$B$8,Nutrients!$DA$8,Nutrients!$DA$9))-((IF($A8=Nutrients!$B$79,Nutrients!$DA$79,(IF($A8=Nutrients!$B$77,Nutrients!$DA$77,Nutrients!$DA$78))))))))</f>
        <v>1426.6318974749381</v>
      </c>
      <c r="AI7" s="291">
        <f>IF(AI5="","",((((AI236-AI297)*2000)+((SUM(AI9:AI229)-2000)*((IF($A8=Nutrients!$B$79,Nutrients!$DA$79,(IF($A8=Nutrients!$B$77,Nutrients!$DA$77,Nutrients!$DA$78)))))))/((IF($A7=Nutrients!$B$8,Nutrients!$DA$8,Nutrients!$DA$9))-((IF($A8=Nutrients!$B$79,Nutrients!$DA$79,(IF($A8=Nutrients!$B$77,Nutrients!$DA$77,Nutrients!$DA$78))))))))</f>
        <v>1729.7239606988965</v>
      </c>
      <c r="AJ7" s="13"/>
      <c r="AK7" s="291">
        <f>IF(AK5="","",((((AK236-AK297)*2000)+((SUM(AK9:AK229)-2000)*((IF($A8=Nutrients!$B$79,Nutrients!$DA$79,(IF($A8=Nutrients!$B$77,Nutrients!$DA$77,Nutrients!$DA$78)))))))/((IF($A7=Nutrients!$B$8,Nutrients!$DA$8,Nutrients!$DA$9))-((IF($A8=Nutrients!$B$79,Nutrients!$DA$79,(IF($A8=Nutrients!$B$77,Nutrients!$DA$77,Nutrients!$DA$78))))))))</f>
        <v>1075.286042966663</v>
      </c>
      <c r="AL7" s="291">
        <f>IF(AL5="","",((((AL236-AL297)*2000)+((SUM(AL9:AL229)-2000)*((IF($A8=Nutrients!$B$79,Nutrients!$DA$79,(IF($A8=Nutrients!$B$77,Nutrients!$DA$77,Nutrients!$DA$78)))))))/((IF($A7=Nutrients!$B$8,Nutrients!$DA$8,Nutrients!$DA$9))-((IF($A8=Nutrients!$B$79,Nutrients!$DA$79,(IF($A8=Nutrients!$B$77,Nutrients!$DA$77,Nutrients!$DA$78))))))))</f>
        <v>1161.2667010514444</v>
      </c>
      <c r="AM7" s="291">
        <f>IF(AM5="","",((((AM236-AM297)*2000)+((SUM(AM9:AM229)-2000)*((IF($A8=Nutrients!$B$79,Nutrients!$DA$79,(IF($A8=Nutrients!$B$77,Nutrients!$DA$77,Nutrients!$DA$78)))))))/((IF($A7=Nutrients!$B$8,Nutrients!$DA$8,Nutrients!$DA$9))-((IF($A8=Nutrients!$B$79,Nutrients!$DA$79,(IF($A8=Nutrients!$B$77,Nutrients!$DA$77,Nutrients!$DA$78))))))))</f>
        <v>1232.7513450493977</v>
      </c>
      <c r="AN7" s="291">
        <f>IF(AN5="","",((((AN236-AN297)*2000)+((SUM(AN9:AN229)-2000)*((IF($A8=Nutrients!$B$79,Nutrients!$DA$79,(IF($A8=Nutrients!$B$77,Nutrients!$DA$77,Nutrients!$DA$78)))))))/((IF($A7=Nutrients!$B$8,Nutrients!$DA$8,Nutrients!$DA$9))-((IF($A8=Nutrients!$B$79,Nutrients!$DA$79,(IF($A8=Nutrients!$B$77,Nutrients!$DA$77,Nutrients!$DA$78))))))))</f>
        <v>1300.9292062738446</v>
      </c>
      <c r="AO7" s="291">
        <f>IF(AO5="","",((((AO236-AO297)*2000)+((SUM(AO9:AO229)-2000)*((IF($A8=Nutrients!$B$79,Nutrients!$DA$79,(IF($A8=Nutrients!$B$77,Nutrients!$DA$77,Nutrients!$DA$78)))))))/((IF($A7=Nutrients!$B$8,Nutrients!$DA$8,Nutrients!$DA$9))-((IF($A8=Nutrients!$B$79,Nutrients!$DA$79,(IF($A8=Nutrients!$B$77,Nutrients!$DA$77,Nutrients!$DA$78))))))))</f>
        <v>1357.4185263000131</v>
      </c>
      <c r="AP7" s="291">
        <f>IF(AP5="","",((((AP236-AP297)*2000)+((SUM(AP9:AP229)-2000)*((IF($A8=Nutrients!$B$79,Nutrients!$DA$79,(IF($A8=Nutrients!$B$77,Nutrients!$DA$77,Nutrients!$DA$78)))))))/((IF($A7=Nutrients!$B$8,Nutrients!$DA$8,Nutrients!$DA$9))-((IF($A8=Nutrients!$B$79,Nutrients!$DA$79,(IF($A8=Nutrients!$B$77,Nutrients!$DA$77,Nutrients!$DA$78))))))))</f>
        <v>1729.7239606988965</v>
      </c>
      <c r="AQ7" s="13"/>
      <c r="AR7" s="291">
        <f>IF(AR5="","",((((AR236-AR297)*2000)+((SUM(AR9:AR229)-2000)*((IF($A8=Nutrients!$B$79,Nutrients!$DA$79,(IF($A8=Nutrients!$B$77,Nutrients!$DA$77,Nutrients!$DA$78)))))))/((IF($A7=Nutrients!$B$8,Nutrients!$DA$8,Nutrients!$DA$9))-((IF($A8=Nutrients!$B$79,Nutrients!$DA$79,(IF($A8=Nutrients!$B$77,Nutrients!$DA$77,Nutrients!$DA$78))))))))</f>
        <v>1007.3935060361147</v>
      </c>
      <c r="AS7" s="291">
        <f>IF(AS5="","",((((AS236-AS297)*2000)+((SUM(AS9:AS229)-2000)*((IF($A8=Nutrients!$B$79,Nutrients!$DA$79,(IF($A8=Nutrients!$B$77,Nutrients!$DA$77,Nutrients!$DA$78)))))))/((IF($A7=Nutrients!$B$8,Nutrients!$DA$8,Nutrients!$DA$9))-((IF($A8=Nutrients!$B$79,Nutrients!$DA$79,(IF($A8=Nutrients!$B$77,Nutrients!$DA$77,Nutrients!$DA$78))))))))</f>
        <v>1095.6146085287703</v>
      </c>
      <c r="AT7" s="291">
        <f>IF(AT5="","",((((AT236-AT297)*2000)+((SUM(AT9:AT229)-2000)*((IF($A8=Nutrients!$B$79,Nutrients!$DA$79,(IF($A8=Nutrients!$B$77,Nutrients!$DA$77,Nutrients!$DA$78)))))))/((IF($A7=Nutrients!$B$8,Nutrients!$DA$8,Nutrients!$DA$9))-((IF($A8=Nutrients!$B$79,Nutrients!$DA$79,(IF($A8=Nutrients!$B$77,Nutrients!$DA$77,Nutrients!$DA$78))))))))</f>
        <v>1165.760059860811</v>
      </c>
      <c r="AU7" s="291">
        <f>IF(AU5="","",((((AU236-AU297)*2000)+((SUM(AU9:AU229)-2000)*((IF($A8=Nutrients!$B$79,Nutrients!$DA$79,(IF($A8=Nutrients!$B$77,Nutrients!$DA$77,Nutrients!$DA$78)))))))/((IF($A7=Nutrients!$B$8,Nutrients!$DA$8,Nutrients!$DA$9))-((IF($A8=Nutrients!$B$79,Nutrients!$DA$79,(IF($A8=Nutrients!$B$77,Nutrients!$DA$77,Nutrients!$DA$78))))))))</f>
        <v>1232.0675340084497</v>
      </c>
      <c r="AV7" s="291">
        <f>IF(AV5="","",((((AV236-AV297)*2000)+((SUM(AV9:AV229)-2000)*((IF($A8=Nutrients!$B$79,Nutrients!$DA$79,(IF($A8=Nutrients!$B$77,Nutrients!$DA$77,Nutrients!$DA$78)))))))/((IF($A7=Nutrients!$B$8,Nutrients!$DA$8,Nutrients!$DA$9))-((IF($A8=Nutrients!$B$79,Nutrients!$DA$79,(IF($A8=Nutrients!$B$77,Nutrients!$DA$77,Nutrients!$DA$78))))))))</f>
        <v>1288.1995516388583</v>
      </c>
      <c r="AW7" s="291">
        <f>IF(AW5="","",((((AW236-AW297)*2000)+((SUM(AW9:AW229)-2000)*((IF($A8=Nutrients!$B$79,Nutrients!$DA$79,(IF($A8=Nutrients!$B$77,Nutrients!$DA$77,Nutrients!$DA$78)))))))/((IF($A7=Nutrients!$B$8,Nutrients!$DA$8,Nutrients!$DA$9))-((IF($A8=Nutrients!$B$79,Nutrients!$DA$79,(IF($A8=Nutrients!$B$77,Nutrients!$DA$77,Nutrients!$DA$78))))))))</f>
        <v>1729.7239606988965</v>
      </c>
      <c r="AY7" s="291" t="str">
        <f>IF(AY5="","",((((AY236-AY297)*2000)+((SUM(AY9:AY229)-2000)*((IF($A8=Nutrients!$B$79,Nutrients!$DA$79,(IF($A8=Nutrients!$B$77,Nutrients!$DA$77,Nutrients!$DA$78)))))))/((IF($A7=Nutrients!$B$8,Nutrients!$DA$8,Nutrients!$DA$9))-((IF($A8=Nutrients!$B$79,Nutrients!$DA$79,(IF($A8=Nutrients!$B$77,Nutrients!$DA$77,Nutrients!$DA$78))))))))</f>
        <v/>
      </c>
      <c r="AZ7" s="8"/>
      <c r="BA7" s="8"/>
      <c r="BB7" s="8"/>
      <c r="BC7" s="8"/>
      <c r="BD7" s="8"/>
      <c r="BE7" s="8"/>
      <c r="BG7" s="447"/>
      <c r="BH7" s="447"/>
      <c r="BI7" s="447"/>
      <c r="BJ7" s="447"/>
      <c r="BK7" s="447"/>
      <c r="BL7" s="447"/>
    </row>
    <row r="8" spans="1:64" x14ac:dyDescent="0.25">
      <c r="A8" t="s">
        <v>295</v>
      </c>
      <c r="B8" s="291">
        <f t="shared" ref="B8:G8" si="6">IF(B5="","",2000-SUM(B9:B218)-B7)</f>
        <v>532.87319453405121</v>
      </c>
      <c r="C8" s="291">
        <f t="shared" si="6"/>
        <v>452.27140406672561</v>
      </c>
      <c r="D8" s="291">
        <f t="shared" si="6"/>
        <v>384.4341908979336</v>
      </c>
      <c r="E8" s="291">
        <f t="shared" si="6"/>
        <v>317.11390951924227</v>
      </c>
      <c r="F8" s="291">
        <f t="shared" si="6"/>
        <v>260.24813699960987</v>
      </c>
      <c r="G8" s="291">
        <f t="shared" si="6"/>
        <v>228.872010022209</v>
      </c>
      <c r="H8" s="291"/>
      <c r="I8" s="291">
        <f t="shared" ref="I8:N8" si="7">IF(I5="","",2000-SUM(I9:I220)-I7)</f>
        <v>497.55297249107343</v>
      </c>
      <c r="J8" s="291">
        <f t="shared" si="7"/>
        <v>418.15442014170821</v>
      </c>
      <c r="K8" s="291">
        <f t="shared" si="7"/>
        <v>351.29581091319142</v>
      </c>
      <c r="L8" s="291">
        <f t="shared" si="7"/>
        <v>284.62766009926804</v>
      </c>
      <c r="M8" s="291">
        <f t="shared" si="7"/>
        <v>227.71165434097998</v>
      </c>
      <c r="N8" s="291">
        <f t="shared" si="7"/>
        <v>228.872010022209</v>
      </c>
      <c r="O8" s="30"/>
      <c r="P8" s="291">
        <f t="shared" ref="P8:U8" si="8">IF(P5="","",2000-SUM(P9:P220)-P7)</f>
        <v>463.77322533306597</v>
      </c>
      <c r="Q8" s="291">
        <f t="shared" si="8"/>
        <v>385.10565553948095</v>
      </c>
      <c r="R8" s="291">
        <f t="shared" si="8"/>
        <v>319.01522790503418</v>
      </c>
      <c r="S8" s="291">
        <f t="shared" si="8"/>
        <v>251.99236180042863</v>
      </c>
      <c r="T8" s="291">
        <f t="shared" si="8"/>
        <v>195.70831435907712</v>
      </c>
      <c r="U8" s="291">
        <f t="shared" si="8"/>
        <v>228.872010022209</v>
      </c>
      <c r="W8" s="291">
        <f t="shared" ref="W8:AB8" si="9">IF(W5="","",2000-SUM(W9:W220)-W7)</f>
        <v>429.99646778770511</v>
      </c>
      <c r="X8" s="291">
        <f t="shared" si="9"/>
        <v>352.05724722836294</v>
      </c>
      <c r="Y8" s="291">
        <f t="shared" si="9"/>
        <v>285.62583247370867</v>
      </c>
      <c r="Z8" s="291">
        <f t="shared" si="9"/>
        <v>219.64976323218684</v>
      </c>
      <c r="AA8" s="291">
        <f t="shared" si="9"/>
        <v>163.80472505763555</v>
      </c>
      <c r="AB8" s="291">
        <f t="shared" si="9"/>
        <v>228.872010022209</v>
      </c>
      <c r="AC8" s="13"/>
      <c r="AD8" s="291">
        <f t="shared" ref="AD8:AI8" si="10">IF(AD5="","",2000-SUM(AD9:AD220)-AD7)</f>
        <v>396.13783073101513</v>
      </c>
      <c r="AE8" s="291">
        <f t="shared" si="10"/>
        <v>317.91938204718781</v>
      </c>
      <c r="AF8" s="291">
        <f t="shared" si="10"/>
        <v>252.50809353986233</v>
      </c>
      <c r="AG8" s="291">
        <f t="shared" si="10"/>
        <v>187.31074308115444</v>
      </c>
      <c r="AH8" s="291">
        <f t="shared" si="10"/>
        <v>131.58086650197197</v>
      </c>
      <c r="AI8" s="291">
        <f t="shared" si="10"/>
        <v>228.872010022209</v>
      </c>
      <c r="AJ8" s="13"/>
      <c r="AK8" s="291">
        <f t="shared" ref="AK8" si="11">IF(AK5="","",2000-SUM(AK9:AK220)-AK7)</f>
        <v>362.5691170859277</v>
      </c>
      <c r="AL8" s="291">
        <f t="shared" ref="AL8:AP8" si="12">IF(AL5="","",2000-SUM(AL9:AL220)-AL7)</f>
        <v>284.09213041153885</v>
      </c>
      <c r="AM8" s="291">
        <f t="shared" si="12"/>
        <v>219.52568681356729</v>
      </c>
      <c r="AN8" s="291">
        <f t="shared" si="12"/>
        <v>154.71964115328524</v>
      </c>
      <c r="AO8" s="291">
        <f t="shared" si="12"/>
        <v>99.247007608356853</v>
      </c>
      <c r="AP8" s="291">
        <f t="shared" si="12"/>
        <v>228.872010022209</v>
      </c>
      <c r="AQ8" s="13"/>
      <c r="AR8" s="291">
        <f t="shared" ref="AR8:AW8" si="13">IF(AR5="","",2000-SUM(AR9:AR220)-AR7)</f>
        <v>331.14492916159986</v>
      </c>
      <c r="AS8" s="291">
        <f t="shared" si="13"/>
        <v>250.28422293421295</v>
      </c>
      <c r="AT8" s="291">
        <f t="shared" si="13"/>
        <v>186.76826080078945</v>
      </c>
      <c r="AU8" s="291">
        <f t="shared" si="13"/>
        <v>122.02271952862543</v>
      </c>
      <c r="AV8" s="291">
        <f t="shared" si="13"/>
        <v>66.918673384905105</v>
      </c>
      <c r="AW8" s="291">
        <f t="shared" si="13"/>
        <v>228.872010022209</v>
      </c>
      <c r="AX8" s="291"/>
      <c r="AY8" s="291" t="str">
        <f t="shared" ref="AY8" si="14">IF(AY5="","",2000-SUM(AY9:AY220)-AY7)</f>
        <v/>
      </c>
      <c r="AZ8" s="8"/>
      <c r="BA8" s="8"/>
      <c r="BB8" s="8"/>
      <c r="BC8" s="8"/>
      <c r="BD8" s="8"/>
      <c r="BE8" s="8"/>
      <c r="BG8" s="447"/>
      <c r="BH8" s="447"/>
      <c r="BI8" s="447"/>
      <c r="BJ8" s="447"/>
      <c r="BK8" s="447"/>
      <c r="BL8" s="447"/>
    </row>
    <row r="9" spans="1:64" ht="13.05" hidden="1" customHeight="1" x14ac:dyDescent="0.25">
      <c r="A9" t="str">
        <f>Nutrients!B8</f>
        <v>Corn</v>
      </c>
      <c r="B9" s="99"/>
      <c r="C9" s="99"/>
      <c r="D9" s="99"/>
      <c r="E9" s="99"/>
      <c r="F9" s="99"/>
      <c r="G9" s="99"/>
      <c r="H9" s="99"/>
      <c r="I9" s="99"/>
      <c r="J9" s="99"/>
      <c r="K9" s="99"/>
      <c r="L9" s="99"/>
      <c r="M9" s="99"/>
      <c r="N9" s="99"/>
      <c r="O9" s="10"/>
      <c r="P9" s="99"/>
      <c r="Q9" s="99"/>
      <c r="R9" s="99"/>
      <c r="S9" s="99"/>
      <c r="T9" s="99"/>
      <c r="U9" s="99"/>
      <c r="W9" s="99"/>
      <c r="X9" s="99"/>
      <c r="Y9" s="99"/>
      <c r="Z9" s="99"/>
      <c r="AA9" s="99"/>
      <c r="AB9" s="99"/>
      <c r="AD9" s="99"/>
      <c r="AE9" s="99"/>
      <c r="AF9" s="99"/>
      <c r="AG9" s="99"/>
      <c r="AH9" s="99"/>
      <c r="AI9" s="99"/>
      <c r="AK9" s="99"/>
      <c r="AL9" s="99"/>
      <c r="AM9" s="99"/>
      <c r="AN9" s="99"/>
      <c r="AO9" s="99"/>
      <c r="AP9" s="99"/>
      <c r="AR9" s="99"/>
      <c r="AS9" s="99"/>
      <c r="AT9" s="99"/>
      <c r="AU9" s="99"/>
      <c r="AV9" s="99"/>
      <c r="AW9" s="99"/>
      <c r="AY9" s="99"/>
      <c r="AZ9" s="117"/>
      <c r="BA9" s="117"/>
      <c r="BB9" s="117"/>
      <c r="BC9" s="117"/>
      <c r="BD9" s="117"/>
      <c r="BE9" s="117"/>
      <c r="BG9" s="446"/>
      <c r="BH9" s="446"/>
      <c r="BI9" s="446"/>
      <c r="BJ9" s="446"/>
      <c r="BK9" s="446"/>
      <c r="BL9" s="446"/>
    </row>
    <row r="10" spans="1:64" ht="13.05" hidden="1" customHeight="1" x14ac:dyDescent="0.25">
      <c r="A10" t="str">
        <f>Nutrients!B9</f>
        <v>Milo</v>
      </c>
      <c r="B10" s="99"/>
      <c r="C10" s="99"/>
      <c r="D10" s="99"/>
      <c r="E10" s="99"/>
      <c r="F10" s="99"/>
      <c r="G10" s="99"/>
      <c r="H10" s="99"/>
      <c r="I10" s="99"/>
      <c r="J10" s="99"/>
      <c r="K10" s="99"/>
      <c r="L10" s="99"/>
      <c r="M10" s="99"/>
      <c r="N10" s="99"/>
      <c r="O10" s="10"/>
      <c r="P10" s="99"/>
      <c r="Q10" s="99"/>
      <c r="R10" s="99"/>
      <c r="S10" s="99"/>
      <c r="T10" s="99"/>
      <c r="U10" s="99"/>
      <c r="W10" s="99"/>
      <c r="X10" s="99"/>
      <c r="Y10" s="99"/>
      <c r="Z10" s="99"/>
      <c r="AA10" s="99"/>
      <c r="AB10" s="99"/>
      <c r="AD10" s="99"/>
      <c r="AE10" s="99"/>
      <c r="AF10" s="99"/>
      <c r="AG10" s="99"/>
      <c r="AH10" s="99"/>
      <c r="AI10" s="99"/>
      <c r="AK10" s="99"/>
      <c r="AL10" s="99"/>
      <c r="AM10" s="99"/>
      <c r="AN10" s="99"/>
      <c r="AO10" s="99"/>
      <c r="AP10" s="99"/>
      <c r="AR10" s="99"/>
      <c r="AS10" s="99"/>
      <c r="AT10" s="99"/>
      <c r="AU10" s="99"/>
      <c r="AV10" s="99"/>
      <c r="AW10" s="99"/>
      <c r="AY10" s="99"/>
      <c r="AZ10" s="117"/>
      <c r="BA10" s="117"/>
      <c r="BB10" s="117"/>
      <c r="BC10" s="117"/>
      <c r="BD10" s="117"/>
      <c r="BE10" s="117"/>
      <c r="BG10" s="446"/>
      <c r="BH10" s="446"/>
      <c r="BI10" s="446"/>
      <c r="BJ10" s="446"/>
      <c r="BK10" s="446"/>
      <c r="BL10" s="446"/>
    </row>
    <row r="11" spans="1:64" ht="13.05" hidden="1" customHeight="1" x14ac:dyDescent="0.25">
      <c r="A11" t="str">
        <f>Nutrients!B10</f>
        <v>Alfalfa Meal</v>
      </c>
      <c r="B11" s="106"/>
      <c r="C11" s="106"/>
      <c r="D11" s="106"/>
      <c r="E11" s="106"/>
      <c r="F11" s="106"/>
      <c r="G11" s="106"/>
      <c r="H11" s="106"/>
      <c r="I11" s="106"/>
      <c r="J11" s="106"/>
      <c r="K11" s="106"/>
      <c r="L11" s="106"/>
      <c r="M11" s="106"/>
      <c r="N11" s="106"/>
      <c r="O11" s="29"/>
      <c r="P11" s="106"/>
      <c r="Q11" s="106"/>
      <c r="R11" s="106"/>
      <c r="S11" s="106"/>
      <c r="T11" s="106"/>
      <c r="U11" s="106"/>
      <c r="W11" s="106"/>
      <c r="X11" s="106"/>
      <c r="Y11" s="106"/>
      <c r="Z11" s="106"/>
      <c r="AA11" s="106"/>
      <c r="AB11" s="106"/>
      <c r="AD11" s="106"/>
      <c r="AE11" s="106"/>
      <c r="AF11" s="106"/>
      <c r="AG11" s="106"/>
      <c r="AH11" s="106"/>
      <c r="AI11" s="106"/>
      <c r="AK11" s="106"/>
      <c r="AL11" s="106"/>
      <c r="AM11" s="106"/>
      <c r="AN11" s="106"/>
      <c r="AO11" s="106"/>
      <c r="AP11" s="106"/>
      <c r="AR11" s="106"/>
      <c r="AS11" s="106"/>
      <c r="AT11" s="106"/>
      <c r="AU11" s="106"/>
      <c r="AV11" s="106"/>
      <c r="AW11" s="106"/>
      <c r="AY11" s="106"/>
      <c r="AZ11" s="117"/>
      <c r="BA11" s="117"/>
      <c r="BB11" s="117"/>
      <c r="BC11" s="117"/>
      <c r="BD11" s="117"/>
      <c r="BE11" s="117"/>
      <c r="BG11" s="446"/>
      <c r="BH11" s="446"/>
      <c r="BI11" s="446"/>
      <c r="BJ11" s="446"/>
      <c r="BK11" s="446"/>
      <c r="BL11" s="446"/>
    </row>
    <row r="12" spans="1:64" ht="13.05" hidden="1" customHeight="1" x14ac:dyDescent="0.25">
      <c r="A12" t="str">
        <f>Nutrients!B11</f>
        <v>Bakery Meal</v>
      </c>
      <c r="B12" s="106"/>
      <c r="C12" s="106"/>
      <c r="D12" s="106"/>
      <c r="E12" s="106"/>
      <c r="F12" s="106"/>
      <c r="G12" s="106"/>
      <c r="H12" s="106"/>
      <c r="I12" s="106"/>
      <c r="J12" s="106"/>
      <c r="K12" s="106"/>
      <c r="L12" s="106"/>
      <c r="M12" s="106"/>
      <c r="N12" s="106"/>
      <c r="O12" s="29"/>
      <c r="P12" s="106"/>
      <c r="Q12" s="106"/>
      <c r="R12" s="106"/>
      <c r="S12" s="106"/>
      <c r="T12" s="106"/>
      <c r="U12" s="106"/>
      <c r="W12" s="106"/>
      <c r="X12" s="106"/>
      <c r="Y12" s="106"/>
      <c r="Z12" s="106"/>
      <c r="AA12" s="106"/>
      <c r="AB12" s="106"/>
      <c r="AD12" s="106"/>
      <c r="AE12" s="106"/>
      <c r="AF12" s="106"/>
      <c r="AG12" s="106"/>
      <c r="AH12" s="106"/>
      <c r="AI12" s="106"/>
      <c r="AK12" s="106"/>
      <c r="AL12" s="106"/>
      <c r="AM12" s="106"/>
      <c r="AN12" s="106"/>
      <c r="AO12" s="106"/>
      <c r="AP12" s="106"/>
      <c r="AR12" s="106"/>
      <c r="AS12" s="106"/>
      <c r="AT12" s="106"/>
      <c r="AU12" s="106"/>
      <c r="AV12" s="106"/>
      <c r="AW12" s="106"/>
      <c r="AY12" s="106"/>
      <c r="AZ12" s="117"/>
      <c r="BA12" s="117"/>
      <c r="BB12" s="117"/>
      <c r="BC12" s="117"/>
      <c r="BD12" s="117"/>
      <c r="BE12" s="117"/>
      <c r="BG12" s="446"/>
      <c r="BH12" s="446"/>
      <c r="BI12" s="446"/>
      <c r="BJ12" s="446"/>
      <c r="BK12" s="446"/>
      <c r="BL12" s="446"/>
    </row>
    <row r="13" spans="1:64" ht="13.05" hidden="1" customHeight="1" x14ac:dyDescent="0.25">
      <c r="A13" t="str">
        <f>Nutrients!B12</f>
        <v>Barley</v>
      </c>
      <c r="B13" s="99"/>
      <c r="C13" s="99"/>
      <c r="D13" s="99"/>
      <c r="E13" s="99"/>
      <c r="F13" s="99"/>
      <c r="G13" s="99"/>
      <c r="H13" s="99"/>
      <c r="I13" s="99"/>
      <c r="J13" s="99"/>
      <c r="K13" s="99"/>
      <c r="L13" s="99"/>
      <c r="M13" s="99"/>
      <c r="N13" s="99"/>
      <c r="O13" s="10"/>
      <c r="P13" s="99"/>
      <c r="Q13" s="99"/>
      <c r="R13" s="99"/>
      <c r="S13" s="99"/>
      <c r="T13" s="99"/>
      <c r="U13" s="99"/>
      <c r="W13" s="99"/>
      <c r="X13" s="99"/>
      <c r="Y13" s="99"/>
      <c r="Z13" s="99"/>
      <c r="AA13" s="99"/>
      <c r="AB13" s="99"/>
      <c r="AD13" s="99"/>
      <c r="AE13" s="99"/>
      <c r="AF13" s="99"/>
      <c r="AG13" s="99"/>
      <c r="AH13" s="99"/>
      <c r="AI13" s="99"/>
      <c r="AK13" s="99"/>
      <c r="AL13" s="99"/>
      <c r="AM13" s="99"/>
      <c r="AN13" s="99"/>
      <c r="AO13" s="99"/>
      <c r="AP13" s="99"/>
      <c r="AR13" s="99"/>
      <c r="AS13" s="99"/>
      <c r="AT13" s="99"/>
      <c r="AU13" s="99"/>
      <c r="AV13" s="99"/>
      <c r="AW13" s="99"/>
      <c r="AY13" s="99"/>
      <c r="AZ13" s="117"/>
      <c r="BA13" s="117"/>
      <c r="BB13" s="117"/>
      <c r="BC13" s="117"/>
      <c r="BD13" s="117"/>
      <c r="BE13" s="117"/>
      <c r="BG13" s="446"/>
      <c r="BH13" s="446"/>
      <c r="BI13" s="446"/>
      <c r="BJ13" s="446"/>
      <c r="BK13" s="446"/>
      <c r="BL13" s="446"/>
    </row>
    <row r="14" spans="1:64" ht="13.05" hidden="1" customHeight="1" x14ac:dyDescent="0.25">
      <c r="A14" t="str">
        <f>Nutrients!B13</f>
        <v>Barley, Hulless</v>
      </c>
      <c r="B14" s="99"/>
      <c r="C14" s="99"/>
      <c r="D14" s="99"/>
      <c r="E14" s="99"/>
      <c r="F14" s="99"/>
      <c r="G14" s="99"/>
      <c r="H14" s="99"/>
      <c r="I14" s="99"/>
      <c r="J14" s="99"/>
      <c r="K14" s="99"/>
      <c r="L14" s="99"/>
      <c r="M14" s="99"/>
      <c r="N14" s="99"/>
      <c r="O14" s="10"/>
      <c r="P14" s="99"/>
      <c r="Q14" s="99"/>
      <c r="R14" s="99"/>
      <c r="S14" s="99"/>
      <c r="T14" s="99"/>
      <c r="U14" s="99"/>
      <c r="W14" s="99"/>
      <c r="X14" s="99"/>
      <c r="Y14" s="99"/>
      <c r="Z14" s="99"/>
      <c r="AA14" s="99"/>
      <c r="AB14" s="99"/>
      <c r="AD14" s="99"/>
      <c r="AE14" s="99"/>
      <c r="AF14" s="99"/>
      <c r="AG14" s="99"/>
      <c r="AH14" s="99"/>
      <c r="AI14" s="99"/>
      <c r="AK14" s="99"/>
      <c r="AL14" s="99"/>
      <c r="AM14" s="99"/>
      <c r="AN14" s="99"/>
      <c r="AO14" s="99"/>
      <c r="AP14" s="99"/>
      <c r="AR14" s="99"/>
      <c r="AS14" s="99"/>
      <c r="AT14" s="99"/>
      <c r="AU14" s="99"/>
      <c r="AV14" s="99"/>
      <c r="AW14" s="99"/>
      <c r="AY14" s="99"/>
      <c r="AZ14" s="117"/>
      <c r="BA14" s="117"/>
      <c r="BB14" s="117"/>
      <c r="BC14" s="117"/>
      <c r="BD14" s="117"/>
      <c r="BE14" s="117"/>
      <c r="BG14" s="446"/>
      <c r="BH14" s="446"/>
      <c r="BI14" s="446"/>
      <c r="BJ14" s="446"/>
      <c r="BK14" s="446"/>
      <c r="BL14" s="446"/>
    </row>
    <row r="15" spans="1:64" ht="13.05" hidden="1" customHeight="1" x14ac:dyDescent="0.25">
      <c r="A15" t="str">
        <f>Nutrients!B14</f>
        <v>Beans, Faba</v>
      </c>
      <c r="B15" s="99"/>
      <c r="C15" s="99"/>
      <c r="D15" s="99"/>
      <c r="E15" s="99"/>
      <c r="F15" s="99"/>
      <c r="G15" s="99"/>
      <c r="H15" s="99"/>
      <c r="I15" s="99"/>
      <c r="J15" s="99"/>
      <c r="K15" s="99"/>
      <c r="L15" s="99"/>
      <c r="M15" s="99"/>
      <c r="N15" s="99"/>
      <c r="O15" s="10"/>
      <c r="P15" s="99"/>
      <c r="Q15" s="99"/>
      <c r="R15" s="99"/>
      <c r="S15" s="99"/>
      <c r="T15" s="99"/>
      <c r="U15" s="99"/>
      <c r="W15" s="99"/>
      <c r="X15" s="99"/>
      <c r="Y15" s="99"/>
      <c r="Z15" s="99"/>
      <c r="AA15" s="99"/>
      <c r="AB15" s="99"/>
      <c r="AD15" s="99"/>
      <c r="AE15" s="99"/>
      <c r="AF15" s="99"/>
      <c r="AG15" s="99"/>
      <c r="AH15" s="99"/>
      <c r="AI15" s="99"/>
      <c r="AK15" s="99"/>
      <c r="AL15" s="99"/>
      <c r="AM15" s="99"/>
      <c r="AN15" s="99"/>
      <c r="AO15" s="99"/>
      <c r="AP15" s="99"/>
      <c r="AR15" s="99"/>
      <c r="AS15" s="99"/>
      <c r="AT15" s="99"/>
      <c r="AU15" s="99"/>
      <c r="AV15" s="99"/>
      <c r="AW15" s="99"/>
      <c r="AY15" s="99"/>
      <c r="AZ15" s="117"/>
      <c r="BA15" s="117"/>
      <c r="BB15" s="117"/>
      <c r="BC15" s="117"/>
      <c r="BD15" s="117"/>
      <c r="BE15" s="117"/>
      <c r="BG15" s="446"/>
      <c r="BH15" s="446"/>
      <c r="BI15" s="446"/>
      <c r="BJ15" s="446"/>
      <c r="BK15" s="446"/>
      <c r="BL15" s="446"/>
    </row>
    <row r="16" spans="1:64" ht="13.05" hidden="1" customHeight="1" x14ac:dyDescent="0.25">
      <c r="A16" t="str">
        <f>Nutrients!B15</f>
        <v>Blood Meal</v>
      </c>
      <c r="B16" s="99"/>
      <c r="C16" s="99"/>
      <c r="D16" s="99"/>
      <c r="E16" s="99"/>
      <c r="F16" s="99"/>
      <c r="G16" s="99"/>
      <c r="H16" s="99"/>
      <c r="I16" s="99"/>
      <c r="J16" s="99"/>
      <c r="K16" s="99"/>
      <c r="L16" s="99"/>
      <c r="M16" s="99"/>
      <c r="N16" s="99"/>
      <c r="O16" s="10"/>
      <c r="P16" s="99"/>
      <c r="Q16" s="99"/>
      <c r="R16" s="99"/>
      <c r="S16" s="99"/>
      <c r="T16" s="99"/>
      <c r="U16" s="99"/>
      <c r="W16" s="99"/>
      <c r="X16" s="99"/>
      <c r="Y16" s="99"/>
      <c r="Z16" s="99"/>
      <c r="AA16" s="99"/>
      <c r="AB16" s="99"/>
      <c r="AD16" s="99"/>
      <c r="AE16" s="99"/>
      <c r="AF16" s="99"/>
      <c r="AG16" s="99"/>
      <c r="AH16" s="99"/>
      <c r="AI16" s="99"/>
      <c r="AK16" s="99"/>
      <c r="AL16" s="99"/>
      <c r="AM16" s="99"/>
      <c r="AN16" s="99"/>
      <c r="AO16" s="99"/>
      <c r="AP16" s="99"/>
      <c r="AR16" s="99"/>
      <c r="AS16" s="99"/>
      <c r="AT16" s="99"/>
      <c r="AU16" s="99"/>
      <c r="AV16" s="99"/>
      <c r="AW16" s="99"/>
      <c r="AY16" s="99"/>
      <c r="AZ16" s="117"/>
      <c r="BA16" s="117"/>
      <c r="BB16" s="117"/>
      <c r="BC16" s="117"/>
      <c r="BD16" s="117"/>
      <c r="BE16" s="117"/>
      <c r="BG16" s="446"/>
      <c r="BH16" s="446"/>
      <c r="BI16" s="446"/>
      <c r="BJ16" s="446"/>
      <c r="BK16" s="446"/>
      <c r="BL16" s="446"/>
    </row>
    <row r="17" spans="1:64" ht="13.05" hidden="1" customHeight="1" x14ac:dyDescent="0.25">
      <c r="A17" t="str">
        <f>Nutrients!B16</f>
        <v>Blood Plasma</v>
      </c>
      <c r="B17" s="99"/>
      <c r="C17" s="99"/>
      <c r="D17" s="99"/>
      <c r="E17" s="99"/>
      <c r="F17" s="99"/>
      <c r="G17" s="99"/>
      <c r="H17" s="99"/>
      <c r="I17" s="99"/>
      <c r="J17" s="99"/>
      <c r="K17" s="99"/>
      <c r="L17" s="99"/>
      <c r="M17" s="99"/>
      <c r="N17" s="99"/>
      <c r="O17" s="10"/>
      <c r="P17" s="99"/>
      <c r="Q17" s="99"/>
      <c r="R17" s="99"/>
      <c r="S17" s="99"/>
      <c r="T17" s="99"/>
      <c r="U17" s="99"/>
      <c r="W17" s="99"/>
      <c r="X17" s="99"/>
      <c r="Y17" s="99"/>
      <c r="Z17" s="99"/>
      <c r="AA17" s="99"/>
      <c r="AB17" s="99"/>
      <c r="AD17" s="99"/>
      <c r="AE17" s="99"/>
      <c r="AF17" s="99"/>
      <c r="AG17" s="99"/>
      <c r="AH17" s="99"/>
      <c r="AI17" s="99"/>
      <c r="AK17" s="99"/>
      <c r="AL17" s="99"/>
      <c r="AM17" s="99"/>
      <c r="AN17" s="99"/>
      <c r="AO17" s="99"/>
      <c r="AP17" s="99"/>
      <c r="AR17" s="99"/>
      <c r="AS17" s="99"/>
      <c r="AT17" s="99"/>
      <c r="AU17" s="99"/>
      <c r="AV17" s="99"/>
      <c r="AW17" s="99"/>
      <c r="AY17" s="99"/>
      <c r="AZ17" s="117"/>
      <c r="BA17" s="117"/>
      <c r="BB17" s="117"/>
      <c r="BC17" s="117"/>
      <c r="BD17" s="117"/>
      <c r="BE17" s="117"/>
      <c r="BG17" s="446"/>
      <c r="BH17" s="446"/>
      <c r="BI17" s="446"/>
      <c r="BJ17" s="446"/>
      <c r="BK17" s="446"/>
      <c r="BL17" s="446"/>
    </row>
    <row r="18" spans="1:64" ht="13.05" hidden="1" customHeight="1" x14ac:dyDescent="0.25">
      <c r="A18" t="str">
        <f>Nutrients!B17</f>
        <v>Brewers Grain</v>
      </c>
      <c r="B18" s="99"/>
      <c r="C18" s="99"/>
      <c r="D18" s="99"/>
      <c r="E18" s="99"/>
      <c r="F18" s="99"/>
      <c r="G18" s="99"/>
      <c r="H18" s="99"/>
      <c r="I18" s="99"/>
      <c r="J18" s="99"/>
      <c r="K18" s="99"/>
      <c r="L18" s="99"/>
      <c r="M18" s="99"/>
      <c r="N18" s="99"/>
      <c r="O18" s="10"/>
      <c r="P18" s="99"/>
      <c r="Q18" s="99"/>
      <c r="R18" s="99"/>
      <c r="S18" s="99"/>
      <c r="T18" s="99"/>
      <c r="U18" s="99"/>
      <c r="W18" s="99"/>
      <c r="X18" s="99"/>
      <c r="Y18" s="99"/>
      <c r="Z18" s="99"/>
      <c r="AA18" s="99"/>
      <c r="AB18" s="99"/>
      <c r="AD18" s="99"/>
      <c r="AE18" s="99"/>
      <c r="AF18" s="99"/>
      <c r="AG18" s="99"/>
      <c r="AH18" s="99"/>
      <c r="AI18" s="99"/>
      <c r="AK18" s="99"/>
      <c r="AL18" s="99"/>
      <c r="AM18" s="99"/>
      <c r="AN18" s="99"/>
      <c r="AO18" s="99"/>
      <c r="AP18" s="99"/>
      <c r="AR18" s="99"/>
      <c r="AS18" s="99"/>
      <c r="AT18" s="99"/>
      <c r="AU18" s="99"/>
      <c r="AV18" s="99"/>
      <c r="AW18" s="99"/>
      <c r="AY18" s="99"/>
      <c r="AZ18" s="117"/>
      <c r="BA18" s="117"/>
      <c r="BB18" s="117"/>
      <c r="BC18" s="117"/>
      <c r="BD18" s="117"/>
      <c r="BE18" s="117"/>
      <c r="BG18" s="446"/>
      <c r="BH18" s="446"/>
      <c r="BI18" s="446"/>
      <c r="BJ18" s="446"/>
      <c r="BK18" s="446"/>
      <c r="BL18" s="446"/>
    </row>
    <row r="19" spans="1:64" ht="13.05" hidden="1" customHeight="1" x14ac:dyDescent="0.25">
      <c r="A19" t="str">
        <f>Nutrients!B18</f>
        <v>Canola, Full Fat</v>
      </c>
      <c r="B19" s="99"/>
      <c r="C19" s="99"/>
      <c r="D19" s="99"/>
      <c r="E19" s="99"/>
      <c r="F19" s="99"/>
      <c r="G19" s="99"/>
      <c r="H19" s="99"/>
      <c r="I19" s="99"/>
      <c r="J19" s="99"/>
      <c r="K19" s="99"/>
      <c r="L19" s="99"/>
      <c r="M19" s="99"/>
      <c r="N19" s="99"/>
      <c r="O19" s="10"/>
      <c r="P19" s="99"/>
      <c r="Q19" s="99"/>
      <c r="R19" s="99"/>
      <c r="S19" s="99"/>
      <c r="T19" s="99"/>
      <c r="U19" s="99"/>
      <c r="W19" s="99"/>
      <c r="X19" s="99"/>
      <c r="Y19" s="99"/>
      <c r="Z19" s="99"/>
      <c r="AA19" s="99"/>
      <c r="AB19" s="99"/>
      <c r="AD19" s="99"/>
      <c r="AE19" s="99"/>
      <c r="AF19" s="99"/>
      <c r="AG19" s="99"/>
      <c r="AH19" s="99"/>
      <c r="AI19" s="99"/>
      <c r="AK19" s="99"/>
      <c r="AL19" s="99"/>
      <c r="AM19" s="99"/>
      <c r="AN19" s="99"/>
      <c r="AO19" s="99"/>
      <c r="AP19" s="99"/>
      <c r="AR19" s="99"/>
      <c r="AS19" s="99"/>
      <c r="AT19" s="99"/>
      <c r="AU19" s="99"/>
      <c r="AV19" s="99"/>
      <c r="AW19" s="99"/>
      <c r="AY19" s="99"/>
      <c r="AZ19" s="117"/>
      <c r="BA19" s="117"/>
      <c r="BB19" s="117"/>
      <c r="BC19" s="117"/>
      <c r="BD19" s="117"/>
      <c r="BE19" s="117"/>
      <c r="BG19" s="446"/>
      <c r="BH19" s="446"/>
      <c r="BI19" s="446"/>
      <c r="BJ19" s="446"/>
      <c r="BK19" s="446"/>
      <c r="BL19" s="446"/>
    </row>
    <row r="20" spans="1:64" ht="13.05" hidden="1" customHeight="1" x14ac:dyDescent="0.25">
      <c r="A20" t="str">
        <f>Nutrients!B19</f>
        <v>Canola Meal, Expelled</v>
      </c>
      <c r="B20" s="99"/>
      <c r="C20" s="99"/>
      <c r="D20" s="99"/>
      <c r="E20" s="99"/>
      <c r="F20" s="99"/>
      <c r="G20" s="99"/>
      <c r="H20" s="99"/>
      <c r="I20" s="99"/>
      <c r="J20" s="99"/>
      <c r="K20" s="99"/>
      <c r="L20" s="99"/>
      <c r="M20" s="99"/>
      <c r="N20" s="99"/>
      <c r="O20" s="10"/>
      <c r="P20" s="99"/>
      <c r="Q20" s="99"/>
      <c r="R20" s="99"/>
      <c r="S20" s="99"/>
      <c r="T20" s="99"/>
      <c r="U20" s="99"/>
      <c r="W20" s="99"/>
      <c r="X20" s="99"/>
      <c r="Y20" s="99"/>
      <c r="Z20" s="99"/>
      <c r="AA20" s="99"/>
      <c r="AB20" s="99"/>
      <c r="AD20" s="99"/>
      <c r="AE20" s="99"/>
      <c r="AF20" s="99"/>
      <c r="AG20" s="99"/>
      <c r="AH20" s="99"/>
      <c r="AI20" s="99"/>
      <c r="AK20" s="99"/>
      <c r="AL20" s="99"/>
      <c r="AM20" s="99"/>
      <c r="AN20" s="99"/>
      <c r="AO20" s="99"/>
      <c r="AP20" s="99"/>
      <c r="AR20" s="99"/>
      <c r="AS20" s="99"/>
      <c r="AT20" s="99"/>
      <c r="AU20" s="99"/>
      <c r="AV20" s="99"/>
      <c r="AW20" s="99"/>
      <c r="AY20" s="99"/>
      <c r="AZ20" s="117"/>
      <c r="BA20" s="117"/>
      <c r="BB20" s="117"/>
      <c r="BC20" s="117"/>
      <c r="BD20" s="117"/>
      <c r="BE20" s="117"/>
      <c r="BG20" s="446"/>
      <c r="BH20" s="446"/>
      <c r="BI20" s="446"/>
      <c r="BJ20" s="446"/>
      <c r="BK20" s="446"/>
      <c r="BL20" s="446"/>
    </row>
    <row r="21" spans="1:64" ht="13.05" hidden="1" customHeight="1" x14ac:dyDescent="0.25">
      <c r="A21" t="str">
        <f>Nutrients!B20</f>
        <v>Canola Meal, Solvent Extracted</v>
      </c>
      <c r="B21" s="99"/>
      <c r="C21" s="99"/>
      <c r="D21" s="99"/>
      <c r="E21" s="99"/>
      <c r="F21" s="99"/>
      <c r="G21" s="99"/>
      <c r="H21" s="99"/>
      <c r="I21" s="99"/>
      <c r="J21" s="99"/>
      <c r="K21" s="99"/>
      <c r="L21" s="99"/>
      <c r="M21" s="99"/>
      <c r="N21" s="99"/>
      <c r="O21" s="10"/>
      <c r="P21" s="99"/>
      <c r="Q21" s="99"/>
      <c r="R21" s="99"/>
      <c r="S21" s="99"/>
      <c r="T21" s="99"/>
      <c r="U21" s="99"/>
      <c r="W21" s="99"/>
      <c r="X21" s="99"/>
      <c r="Y21" s="99"/>
      <c r="Z21" s="99"/>
      <c r="AA21" s="99"/>
      <c r="AB21" s="99"/>
      <c r="AD21" s="99"/>
      <c r="AE21" s="99"/>
      <c r="AF21" s="99"/>
      <c r="AG21" s="99"/>
      <c r="AH21" s="99"/>
      <c r="AI21" s="99"/>
      <c r="AK21" s="99"/>
      <c r="AL21" s="99"/>
      <c r="AM21" s="99"/>
      <c r="AN21" s="99"/>
      <c r="AO21" s="99"/>
      <c r="AP21" s="99"/>
      <c r="AR21" s="99"/>
      <c r="AS21" s="99"/>
      <c r="AT21" s="99"/>
      <c r="AU21" s="99"/>
      <c r="AV21" s="99"/>
      <c r="AW21" s="99"/>
      <c r="AY21" s="99"/>
      <c r="AZ21" s="117"/>
      <c r="BA21" s="117"/>
      <c r="BB21" s="117"/>
      <c r="BC21" s="117"/>
      <c r="BD21" s="117"/>
      <c r="BE21" s="117"/>
      <c r="BG21" s="446"/>
      <c r="BH21" s="446"/>
      <c r="BI21" s="446"/>
      <c r="BJ21" s="446"/>
      <c r="BK21" s="446"/>
      <c r="BL21" s="446"/>
    </row>
    <row r="22" spans="1:64" ht="13.05" hidden="1" customHeight="1" x14ac:dyDescent="0.25">
      <c r="A22" t="str">
        <f>Nutrients!B21</f>
        <v>Casava Meal</v>
      </c>
      <c r="B22" s="99"/>
      <c r="C22" s="99"/>
      <c r="D22" s="99"/>
      <c r="E22" s="99"/>
      <c r="F22" s="99"/>
      <c r="G22" s="99"/>
      <c r="H22" s="99"/>
      <c r="I22" s="99"/>
      <c r="J22" s="99"/>
      <c r="K22" s="99"/>
      <c r="L22" s="99"/>
      <c r="M22" s="99"/>
      <c r="N22" s="99"/>
      <c r="O22" s="10"/>
      <c r="P22" s="99"/>
      <c r="Q22" s="99"/>
      <c r="R22" s="99"/>
      <c r="S22" s="99"/>
      <c r="T22" s="99"/>
      <c r="U22" s="99"/>
      <c r="W22" s="99"/>
      <c r="X22" s="99"/>
      <c r="Y22" s="99"/>
      <c r="Z22" s="99"/>
      <c r="AA22" s="99"/>
      <c r="AB22" s="99"/>
      <c r="AD22" s="99"/>
      <c r="AE22" s="99"/>
      <c r="AF22" s="99"/>
      <c r="AG22" s="99"/>
      <c r="AH22" s="99"/>
      <c r="AI22" s="99"/>
      <c r="AK22" s="99"/>
      <c r="AL22" s="99"/>
      <c r="AM22" s="99"/>
      <c r="AN22" s="99"/>
      <c r="AO22" s="99"/>
      <c r="AP22" s="99"/>
      <c r="AR22" s="99"/>
      <c r="AS22" s="99"/>
      <c r="AT22" s="99"/>
      <c r="AU22" s="99"/>
      <c r="AV22" s="99"/>
      <c r="AW22" s="99"/>
      <c r="AY22" s="99"/>
      <c r="AZ22" s="117"/>
      <c r="BA22" s="117"/>
      <c r="BB22" s="117"/>
      <c r="BC22" s="117"/>
      <c r="BD22" s="117"/>
      <c r="BE22" s="117"/>
      <c r="BG22" s="446"/>
      <c r="BH22" s="446"/>
      <c r="BI22" s="446"/>
      <c r="BJ22" s="446"/>
      <c r="BK22" s="446"/>
      <c r="BL22" s="446"/>
    </row>
    <row r="23" spans="1:64" ht="13.05" hidden="1" customHeight="1" x14ac:dyDescent="0.25">
      <c r="A23" t="str">
        <f>Nutrients!B22</f>
        <v>Citrus Pulp</v>
      </c>
      <c r="B23" s="99"/>
      <c r="C23" s="99"/>
      <c r="D23" s="99"/>
      <c r="E23" s="99"/>
      <c r="F23" s="99"/>
      <c r="G23" s="99"/>
      <c r="H23" s="99"/>
      <c r="I23" s="99"/>
      <c r="J23" s="99"/>
      <c r="K23" s="99"/>
      <c r="L23" s="99"/>
      <c r="M23" s="99"/>
      <c r="N23" s="99"/>
      <c r="O23" s="10"/>
      <c r="P23" s="99"/>
      <c r="Q23" s="99"/>
      <c r="R23" s="99"/>
      <c r="S23" s="99"/>
      <c r="T23" s="99"/>
      <c r="U23" s="99"/>
      <c r="W23" s="99"/>
      <c r="X23" s="99"/>
      <c r="Y23" s="99"/>
      <c r="Z23" s="99"/>
      <c r="AA23" s="99"/>
      <c r="AB23" s="99"/>
      <c r="AD23" s="99"/>
      <c r="AE23" s="99"/>
      <c r="AF23" s="99"/>
      <c r="AG23" s="99"/>
      <c r="AH23" s="99"/>
      <c r="AI23" s="99"/>
      <c r="AK23" s="99"/>
      <c r="AL23" s="99"/>
      <c r="AM23" s="99"/>
      <c r="AN23" s="99"/>
      <c r="AO23" s="99"/>
      <c r="AP23" s="99"/>
      <c r="AR23" s="99"/>
      <c r="AS23" s="99"/>
      <c r="AT23" s="99"/>
      <c r="AU23" s="99"/>
      <c r="AV23" s="99"/>
      <c r="AW23" s="99"/>
      <c r="AY23" s="99"/>
      <c r="AZ23" s="117"/>
      <c r="BA23" s="117"/>
      <c r="BB23" s="117"/>
      <c r="BC23" s="117"/>
      <c r="BD23" s="117"/>
      <c r="BE23" s="117"/>
      <c r="BG23" s="446"/>
      <c r="BH23" s="446"/>
      <c r="BI23" s="446"/>
      <c r="BJ23" s="446"/>
      <c r="BK23" s="446"/>
      <c r="BL23" s="446"/>
    </row>
    <row r="24" spans="1:64" ht="13.05" hidden="1" customHeight="1" x14ac:dyDescent="0.25">
      <c r="A24" t="str">
        <f>Nutrients!B23</f>
        <v>Copra Meal</v>
      </c>
      <c r="B24" s="99"/>
      <c r="C24" s="99"/>
      <c r="D24" s="99"/>
      <c r="E24" s="99"/>
      <c r="F24" s="99"/>
      <c r="G24" s="99"/>
      <c r="H24" s="99"/>
      <c r="I24" s="99"/>
      <c r="J24" s="99"/>
      <c r="K24" s="99"/>
      <c r="L24" s="99"/>
      <c r="M24" s="99"/>
      <c r="N24" s="99"/>
      <c r="O24" s="10"/>
      <c r="P24" s="99"/>
      <c r="Q24" s="99"/>
      <c r="R24" s="99"/>
      <c r="S24" s="99"/>
      <c r="T24" s="99"/>
      <c r="U24" s="99"/>
      <c r="W24" s="99"/>
      <c r="X24" s="99"/>
      <c r="Y24" s="99"/>
      <c r="Z24" s="99"/>
      <c r="AA24" s="99"/>
      <c r="AB24" s="99"/>
      <c r="AD24" s="99"/>
      <c r="AE24" s="99"/>
      <c r="AF24" s="99"/>
      <c r="AG24" s="99"/>
      <c r="AH24" s="99"/>
      <c r="AI24" s="99"/>
      <c r="AK24" s="99"/>
      <c r="AL24" s="99"/>
      <c r="AM24" s="99"/>
      <c r="AN24" s="99"/>
      <c r="AO24" s="99"/>
      <c r="AP24" s="99"/>
      <c r="AR24" s="99"/>
      <c r="AS24" s="99"/>
      <c r="AT24" s="99"/>
      <c r="AU24" s="99"/>
      <c r="AV24" s="99"/>
      <c r="AW24" s="99"/>
      <c r="AY24" s="99"/>
      <c r="AZ24" s="117"/>
      <c r="BA24" s="117"/>
      <c r="BB24" s="117"/>
      <c r="BC24" s="117"/>
      <c r="BD24" s="117"/>
      <c r="BE24" s="117"/>
      <c r="BG24" s="446"/>
      <c r="BH24" s="446"/>
      <c r="BI24" s="446"/>
      <c r="BJ24" s="446"/>
      <c r="BK24" s="446"/>
      <c r="BL24" s="446"/>
    </row>
    <row r="25" spans="1:64" ht="13.05" hidden="1" customHeight="1" x14ac:dyDescent="0.25">
      <c r="A25" t="str">
        <f>Nutrients!B24</f>
        <v>Corn, Yellow Dent</v>
      </c>
      <c r="B25" s="99"/>
      <c r="C25" s="99"/>
      <c r="D25" s="99"/>
      <c r="E25" s="99"/>
      <c r="F25" s="99"/>
      <c r="G25" s="99"/>
      <c r="H25" s="99"/>
      <c r="I25" s="99"/>
      <c r="J25" s="99"/>
      <c r="K25" s="99"/>
      <c r="L25" s="99"/>
      <c r="M25" s="99"/>
      <c r="N25" s="99"/>
      <c r="O25" s="10"/>
      <c r="P25" s="99"/>
      <c r="Q25" s="99"/>
      <c r="R25" s="99"/>
      <c r="S25" s="99"/>
      <c r="T25" s="99"/>
      <c r="U25" s="99"/>
      <c r="W25" s="99"/>
      <c r="X25" s="99"/>
      <c r="Y25" s="99"/>
      <c r="Z25" s="99"/>
      <c r="AA25" s="99"/>
      <c r="AB25" s="99"/>
      <c r="AD25" s="99"/>
      <c r="AE25" s="99"/>
      <c r="AF25" s="99"/>
      <c r="AG25" s="99"/>
      <c r="AH25" s="99"/>
      <c r="AI25" s="99"/>
      <c r="AK25" s="99"/>
      <c r="AL25" s="99"/>
      <c r="AM25" s="99"/>
      <c r="AN25" s="99"/>
      <c r="AO25" s="99"/>
      <c r="AP25" s="99"/>
      <c r="AR25" s="99"/>
      <c r="AS25" s="99"/>
      <c r="AT25" s="99"/>
      <c r="AU25" s="99"/>
      <c r="AV25" s="99"/>
      <c r="AW25" s="99"/>
      <c r="AY25" s="99"/>
      <c r="AZ25" s="117"/>
      <c r="BA25" s="117"/>
      <c r="BB25" s="117"/>
      <c r="BC25" s="117"/>
      <c r="BD25" s="117"/>
      <c r="BE25" s="117"/>
      <c r="BG25" s="446"/>
      <c r="BH25" s="446"/>
      <c r="BI25" s="446"/>
      <c r="BJ25" s="446"/>
      <c r="BK25" s="446"/>
      <c r="BL25" s="446"/>
    </row>
    <row r="26" spans="1:64" ht="13.05" hidden="1" customHeight="1" x14ac:dyDescent="0.25">
      <c r="A26" t="str">
        <f>Nutrients!B25</f>
        <v>Corn, Nutridense</v>
      </c>
      <c r="B26" s="99"/>
      <c r="C26" s="99"/>
      <c r="D26" s="99"/>
      <c r="E26" s="99"/>
      <c r="F26" s="99"/>
      <c r="G26" s="99"/>
      <c r="H26" s="99"/>
      <c r="I26" s="99"/>
      <c r="J26" s="99"/>
      <c r="K26" s="99"/>
      <c r="L26" s="99"/>
      <c r="M26" s="99"/>
      <c r="N26" s="99"/>
      <c r="O26" s="10"/>
      <c r="P26" s="99"/>
      <c r="Q26" s="99"/>
      <c r="R26" s="99"/>
      <c r="S26" s="99"/>
      <c r="T26" s="99"/>
      <c r="U26" s="99"/>
      <c r="W26" s="99"/>
      <c r="X26" s="99"/>
      <c r="Y26" s="99"/>
      <c r="Z26" s="99"/>
      <c r="AA26" s="99"/>
      <c r="AB26" s="99"/>
      <c r="AD26" s="99"/>
      <c r="AE26" s="99"/>
      <c r="AF26" s="99"/>
      <c r="AG26" s="99"/>
      <c r="AH26" s="99"/>
      <c r="AI26" s="99"/>
      <c r="AK26" s="99"/>
      <c r="AL26" s="99"/>
      <c r="AM26" s="99"/>
      <c r="AN26" s="99"/>
      <c r="AO26" s="99"/>
      <c r="AP26" s="99"/>
      <c r="AR26" s="99"/>
      <c r="AS26" s="99"/>
      <c r="AT26" s="99"/>
      <c r="AU26" s="99"/>
      <c r="AV26" s="99"/>
      <c r="AW26" s="99"/>
      <c r="AY26" s="99"/>
      <c r="AZ26" s="117"/>
      <c r="BA26" s="117"/>
      <c r="BB26" s="117"/>
      <c r="BC26" s="117"/>
      <c r="BD26" s="117"/>
      <c r="BE26" s="117"/>
      <c r="BG26" s="446"/>
      <c r="BH26" s="446"/>
      <c r="BI26" s="446"/>
      <c r="BJ26" s="446"/>
      <c r="BK26" s="446"/>
      <c r="BL26" s="446"/>
    </row>
    <row r="27" spans="1:64" ht="13.05" hidden="1" customHeight="1" x14ac:dyDescent="0.25">
      <c r="A27" t="str">
        <f>Nutrients!B26</f>
        <v>Corn Bran</v>
      </c>
      <c r="B27" s="99"/>
      <c r="C27" s="99"/>
      <c r="D27" s="99"/>
      <c r="E27" s="99"/>
      <c r="F27" s="99"/>
      <c r="G27" s="99"/>
      <c r="H27" s="99"/>
      <c r="I27" s="99"/>
      <c r="J27" s="99"/>
      <c r="K27" s="99"/>
      <c r="L27" s="99"/>
      <c r="M27" s="99"/>
      <c r="N27" s="99"/>
      <c r="O27" s="10"/>
      <c r="P27" s="99"/>
      <c r="Q27" s="99"/>
      <c r="R27" s="99"/>
      <c r="S27" s="99"/>
      <c r="T27" s="99"/>
      <c r="U27" s="99"/>
      <c r="W27" s="99"/>
      <c r="X27" s="99"/>
      <c r="Y27" s="99"/>
      <c r="Z27" s="99"/>
      <c r="AA27" s="99"/>
      <c r="AB27" s="99"/>
      <c r="AD27" s="99"/>
      <c r="AE27" s="99"/>
      <c r="AF27" s="99"/>
      <c r="AG27" s="99"/>
      <c r="AH27" s="99"/>
      <c r="AI27" s="99"/>
      <c r="AK27" s="99"/>
      <c r="AL27" s="99"/>
      <c r="AM27" s="99"/>
      <c r="AN27" s="99"/>
      <c r="AO27" s="99"/>
      <c r="AP27" s="99"/>
      <c r="AR27" s="99"/>
      <c r="AS27" s="99"/>
      <c r="AT27" s="99"/>
      <c r="AU27" s="99"/>
      <c r="AV27" s="99"/>
      <c r="AW27" s="99"/>
      <c r="AY27" s="99"/>
      <c r="AZ27" s="117"/>
      <c r="BA27" s="117"/>
      <c r="BB27" s="117"/>
      <c r="BC27" s="117"/>
      <c r="BD27" s="117"/>
      <c r="BE27" s="117"/>
      <c r="BG27" s="446"/>
      <c r="BH27" s="446"/>
      <c r="BI27" s="446"/>
      <c r="BJ27" s="446"/>
      <c r="BK27" s="446"/>
      <c r="BL27" s="446"/>
    </row>
    <row r="28" spans="1:64" ht="13.05" hidden="1" customHeight="1" x14ac:dyDescent="0.25">
      <c r="A28" t="str">
        <f>Nutrients!B27</f>
        <v>Corn DDG</v>
      </c>
      <c r="B28" s="99"/>
      <c r="C28" s="99"/>
      <c r="D28" s="99"/>
      <c r="E28" s="99"/>
      <c r="F28" s="99"/>
      <c r="G28" s="99"/>
      <c r="H28" s="99"/>
      <c r="I28" s="99"/>
      <c r="J28" s="99"/>
      <c r="K28" s="99"/>
      <c r="L28" s="99"/>
      <c r="M28" s="99"/>
      <c r="N28" s="99"/>
      <c r="O28" s="10"/>
      <c r="P28" s="99"/>
      <c r="Q28" s="99"/>
      <c r="R28" s="99"/>
      <c r="S28" s="99"/>
      <c r="T28" s="99"/>
      <c r="U28" s="99"/>
      <c r="W28" s="99"/>
      <c r="X28" s="99"/>
      <c r="Y28" s="99"/>
      <c r="Z28" s="99"/>
      <c r="AA28" s="99"/>
      <c r="AB28" s="99"/>
      <c r="AD28" s="99"/>
      <c r="AE28" s="99"/>
      <c r="AF28" s="99"/>
      <c r="AG28" s="99"/>
      <c r="AH28" s="99"/>
      <c r="AI28" s="99"/>
      <c r="AK28" s="99"/>
      <c r="AL28" s="99"/>
      <c r="AM28" s="99"/>
      <c r="AN28" s="99"/>
      <c r="AO28" s="99"/>
      <c r="AP28" s="99"/>
      <c r="AR28" s="99"/>
      <c r="AS28" s="99"/>
      <c r="AT28" s="99"/>
      <c r="AU28" s="99"/>
      <c r="AV28" s="99"/>
      <c r="AW28" s="99"/>
      <c r="AY28" s="99"/>
      <c r="AZ28" s="117"/>
      <c r="BA28" s="117"/>
      <c r="BB28" s="117"/>
      <c r="BC28" s="117"/>
      <c r="BD28" s="117"/>
      <c r="BE28" s="117"/>
      <c r="BG28" s="446"/>
      <c r="BH28" s="446"/>
      <c r="BI28" s="446"/>
      <c r="BJ28" s="446"/>
      <c r="BK28" s="446"/>
      <c r="BL28" s="446"/>
    </row>
    <row r="29" spans="1:64" ht="13.05" hidden="1" customHeight="1" x14ac:dyDescent="0.25">
      <c r="A29" t="str">
        <f>Nutrients!B28</f>
        <v>Corn DDGS, &gt;10% Oil</v>
      </c>
      <c r="B29" s="99"/>
      <c r="C29" s="99"/>
      <c r="D29" s="99"/>
      <c r="E29" s="99"/>
      <c r="F29" s="99"/>
      <c r="G29" s="99"/>
      <c r="H29" s="99"/>
      <c r="I29" s="99"/>
      <c r="J29" s="99"/>
      <c r="K29" s="99"/>
      <c r="L29" s="99"/>
      <c r="M29" s="99"/>
      <c r="N29" s="99"/>
      <c r="O29" s="10"/>
      <c r="P29" s="99"/>
      <c r="Q29" s="99"/>
      <c r="R29" s="99"/>
      <c r="S29" s="99"/>
      <c r="T29" s="99"/>
      <c r="U29" s="99"/>
      <c r="W29" s="99"/>
      <c r="X29" s="99"/>
      <c r="Y29" s="99"/>
      <c r="Z29" s="99"/>
      <c r="AA29" s="99"/>
      <c r="AB29" s="99"/>
      <c r="AD29" s="99"/>
      <c r="AE29" s="99"/>
      <c r="AF29" s="99"/>
      <c r="AG29" s="99"/>
      <c r="AH29" s="99"/>
      <c r="AI29" s="99"/>
      <c r="AK29" s="99"/>
      <c r="AL29" s="99"/>
      <c r="AM29" s="99"/>
      <c r="AN29" s="99"/>
      <c r="AO29" s="99"/>
      <c r="AP29" s="99"/>
      <c r="AR29" s="99"/>
      <c r="AS29" s="99"/>
      <c r="AT29" s="99"/>
      <c r="AU29" s="99"/>
      <c r="AV29" s="99"/>
      <c r="AW29" s="99"/>
      <c r="AY29" s="99"/>
      <c r="AZ29" s="117"/>
      <c r="BA29" s="117"/>
      <c r="BB29" s="117"/>
      <c r="BC29" s="117"/>
      <c r="BD29" s="117"/>
      <c r="BE29" s="117"/>
      <c r="BG29" s="446"/>
      <c r="BH29" s="446"/>
      <c r="BI29" s="446"/>
      <c r="BJ29" s="446"/>
      <c r="BK29" s="446"/>
      <c r="BL29" s="446"/>
    </row>
    <row r="30" spans="1:64" ht="13.05" hidden="1" customHeight="1" x14ac:dyDescent="0.25">
      <c r="A30" t="str">
        <f>Nutrients!B29</f>
        <v>Corn DDGS, &gt;6 and &lt;9% Oil</v>
      </c>
      <c r="B30" s="99"/>
      <c r="C30" s="99"/>
      <c r="D30" s="99"/>
      <c r="E30" s="99"/>
      <c r="F30" s="99"/>
      <c r="G30" s="99"/>
      <c r="H30" s="99"/>
      <c r="I30" s="99"/>
      <c r="J30" s="99"/>
      <c r="K30" s="99"/>
      <c r="L30" s="99"/>
      <c r="M30" s="99"/>
      <c r="N30" s="99"/>
      <c r="O30" s="10"/>
      <c r="P30" s="99"/>
      <c r="Q30" s="99"/>
      <c r="R30" s="99"/>
      <c r="S30" s="99"/>
      <c r="T30" s="99"/>
      <c r="U30" s="99"/>
      <c r="W30" s="99"/>
      <c r="X30" s="99"/>
      <c r="Y30" s="99"/>
      <c r="Z30" s="99"/>
      <c r="AA30" s="99"/>
      <c r="AB30" s="99"/>
      <c r="AD30" s="99"/>
      <c r="AE30" s="99"/>
      <c r="AF30" s="99"/>
      <c r="AG30" s="99"/>
      <c r="AH30" s="99"/>
      <c r="AI30" s="99"/>
      <c r="AK30" s="99"/>
      <c r="AL30" s="99"/>
      <c r="AM30" s="99"/>
      <c r="AN30" s="99"/>
      <c r="AO30" s="99"/>
      <c r="AP30" s="99"/>
      <c r="AR30" s="99"/>
      <c r="AS30" s="99"/>
      <c r="AT30" s="99"/>
      <c r="AU30" s="99"/>
      <c r="AV30" s="99"/>
      <c r="AW30" s="99"/>
      <c r="AY30" s="99"/>
      <c r="AZ30" s="117"/>
      <c r="BA30" s="117"/>
      <c r="BB30" s="117"/>
      <c r="BC30" s="117"/>
      <c r="BD30" s="117"/>
      <c r="BE30" s="117"/>
      <c r="BG30" s="446"/>
      <c r="BH30" s="446"/>
      <c r="BI30" s="446"/>
      <c r="BJ30" s="446"/>
      <c r="BK30" s="446"/>
      <c r="BL30" s="446"/>
    </row>
    <row r="31" spans="1:64" ht="13.05" hidden="1" customHeight="1" x14ac:dyDescent="0.25">
      <c r="A31" t="str">
        <f>Nutrients!B30</f>
        <v>Corn DDGS, &lt;4% Oil</v>
      </c>
      <c r="B31" s="99"/>
      <c r="C31" s="99"/>
      <c r="D31" s="99"/>
      <c r="E31" s="99"/>
      <c r="F31" s="99"/>
      <c r="G31" s="99"/>
      <c r="H31" s="99"/>
      <c r="I31" s="99"/>
      <c r="J31" s="99"/>
      <c r="K31" s="99"/>
      <c r="L31" s="99"/>
      <c r="M31" s="99"/>
      <c r="N31" s="99"/>
      <c r="O31" s="10"/>
      <c r="P31" s="99"/>
      <c r="Q31" s="99"/>
      <c r="R31" s="99"/>
      <c r="S31" s="99"/>
      <c r="T31" s="99"/>
      <c r="U31" s="99"/>
      <c r="W31" s="99"/>
      <c r="X31" s="99"/>
      <c r="Y31" s="99"/>
      <c r="Z31" s="99"/>
      <c r="AA31" s="99"/>
      <c r="AB31" s="99"/>
      <c r="AD31" s="99"/>
      <c r="AE31" s="99"/>
      <c r="AF31" s="99"/>
      <c r="AG31" s="99"/>
      <c r="AH31" s="99"/>
      <c r="AI31" s="99"/>
      <c r="AK31" s="99"/>
      <c r="AL31" s="99"/>
      <c r="AM31" s="99"/>
      <c r="AN31" s="99"/>
      <c r="AO31" s="99"/>
      <c r="AP31" s="99"/>
      <c r="AR31" s="99"/>
      <c r="AS31" s="99"/>
      <c r="AT31" s="99"/>
      <c r="AU31" s="99"/>
      <c r="AV31" s="99"/>
      <c r="AW31" s="99"/>
      <c r="AY31" s="99"/>
      <c r="AZ31" s="117"/>
      <c r="BA31" s="117"/>
      <c r="BB31" s="117"/>
      <c r="BC31" s="117"/>
      <c r="BD31" s="117"/>
      <c r="BE31" s="117"/>
      <c r="BG31" s="446"/>
      <c r="BH31" s="446"/>
      <c r="BI31" s="446"/>
      <c r="BJ31" s="446"/>
      <c r="BK31" s="446"/>
      <c r="BL31" s="446"/>
    </row>
    <row r="32" spans="1:64" ht="13.05" hidden="1" customHeight="1" x14ac:dyDescent="0.25">
      <c r="A32" t="str">
        <f>Nutrients!B31</f>
        <v>Corn HP DDG</v>
      </c>
      <c r="B32" s="99"/>
      <c r="C32" s="99"/>
      <c r="D32" s="99"/>
      <c r="E32" s="99"/>
      <c r="F32" s="99"/>
      <c r="G32" s="99"/>
      <c r="H32" s="99"/>
      <c r="I32" s="99"/>
      <c r="J32" s="99"/>
      <c r="K32" s="99"/>
      <c r="L32" s="99"/>
      <c r="M32" s="99"/>
      <c r="N32" s="99"/>
      <c r="O32" s="10"/>
      <c r="P32" s="99"/>
      <c r="Q32" s="99"/>
      <c r="R32" s="99"/>
      <c r="S32" s="99"/>
      <c r="T32" s="99"/>
      <c r="U32" s="99"/>
      <c r="W32" s="99"/>
      <c r="X32" s="99"/>
      <c r="Y32" s="99"/>
      <c r="Z32" s="99"/>
      <c r="AA32" s="99"/>
      <c r="AB32" s="99"/>
      <c r="AD32" s="99"/>
      <c r="AE32" s="99"/>
      <c r="AF32" s="99"/>
      <c r="AG32" s="99"/>
      <c r="AH32" s="99"/>
      <c r="AI32" s="99"/>
      <c r="AK32" s="99"/>
      <c r="AL32" s="99"/>
      <c r="AM32" s="99"/>
      <c r="AN32" s="99"/>
      <c r="AO32" s="99"/>
      <c r="AP32" s="99"/>
      <c r="AR32" s="99"/>
      <c r="AS32" s="99"/>
      <c r="AT32" s="99"/>
      <c r="AU32" s="99"/>
      <c r="AV32" s="99"/>
      <c r="AW32" s="99"/>
      <c r="AY32" s="99"/>
      <c r="AZ32" s="117"/>
      <c r="BA32" s="117"/>
      <c r="BB32" s="117"/>
      <c r="BC32" s="117"/>
      <c r="BD32" s="117"/>
      <c r="BE32" s="117"/>
      <c r="BG32" s="446"/>
      <c r="BH32" s="446"/>
      <c r="BI32" s="446"/>
      <c r="BJ32" s="446"/>
      <c r="BK32" s="446"/>
      <c r="BL32" s="446"/>
    </row>
    <row r="33" spans="1:64" ht="13.05" hidden="1" customHeight="1" x14ac:dyDescent="0.25">
      <c r="A33" t="str">
        <f>Nutrients!B32</f>
        <v>Corn Germ</v>
      </c>
      <c r="B33" s="99"/>
      <c r="C33" s="99"/>
      <c r="D33" s="99"/>
      <c r="E33" s="99"/>
      <c r="F33" s="99"/>
      <c r="G33" s="99"/>
      <c r="H33" s="99"/>
      <c r="I33" s="99"/>
      <c r="J33" s="99"/>
      <c r="K33" s="99"/>
      <c r="L33" s="99"/>
      <c r="M33" s="99"/>
      <c r="N33" s="99"/>
      <c r="O33" s="10"/>
      <c r="P33" s="99"/>
      <c r="Q33" s="99"/>
      <c r="R33" s="99"/>
      <c r="S33" s="99"/>
      <c r="T33" s="99"/>
      <c r="U33" s="99"/>
      <c r="W33" s="99"/>
      <c r="X33" s="99"/>
      <c r="Y33" s="99"/>
      <c r="Z33" s="99"/>
      <c r="AA33" s="99"/>
      <c r="AB33" s="99"/>
      <c r="AD33" s="99"/>
      <c r="AE33" s="99"/>
      <c r="AF33" s="99"/>
      <c r="AG33" s="99"/>
      <c r="AH33" s="99"/>
      <c r="AI33" s="99"/>
      <c r="AK33" s="99"/>
      <c r="AL33" s="99"/>
      <c r="AM33" s="99"/>
      <c r="AN33" s="99"/>
      <c r="AO33" s="99"/>
      <c r="AP33" s="99"/>
      <c r="AR33" s="99"/>
      <c r="AS33" s="99"/>
      <c r="AT33" s="99"/>
      <c r="AU33" s="99"/>
      <c r="AV33" s="99"/>
      <c r="AW33" s="99"/>
      <c r="AY33" s="99"/>
      <c r="AZ33" s="117"/>
      <c r="BA33" s="117"/>
      <c r="BB33" s="117"/>
      <c r="BC33" s="117"/>
      <c r="BD33" s="117"/>
      <c r="BE33" s="117"/>
      <c r="BG33" s="446"/>
      <c r="BH33" s="446"/>
      <c r="BI33" s="446"/>
      <c r="BJ33" s="446"/>
      <c r="BK33" s="446"/>
      <c r="BL33" s="446"/>
    </row>
    <row r="34" spans="1:64" ht="13.05" hidden="1" customHeight="1" x14ac:dyDescent="0.25">
      <c r="A34" t="str">
        <f>Nutrients!B33</f>
        <v>Corn Germ Meal</v>
      </c>
      <c r="B34" s="99"/>
      <c r="C34" s="99"/>
      <c r="D34" s="99"/>
      <c r="E34" s="99"/>
      <c r="F34" s="99"/>
      <c r="G34" s="99"/>
      <c r="H34" s="99"/>
      <c r="I34" s="99"/>
      <c r="J34" s="99"/>
      <c r="K34" s="99"/>
      <c r="L34" s="99"/>
      <c r="M34" s="99"/>
      <c r="N34" s="99"/>
      <c r="O34" s="10"/>
      <c r="P34" s="99"/>
      <c r="Q34" s="99"/>
      <c r="R34" s="99"/>
      <c r="S34" s="99"/>
      <c r="T34" s="99"/>
      <c r="U34" s="99"/>
      <c r="W34" s="99"/>
      <c r="X34" s="99"/>
      <c r="Y34" s="99"/>
      <c r="Z34" s="99"/>
      <c r="AA34" s="99"/>
      <c r="AB34" s="99"/>
      <c r="AD34" s="99"/>
      <c r="AE34" s="99"/>
      <c r="AF34" s="99"/>
      <c r="AG34" s="99"/>
      <c r="AH34" s="99"/>
      <c r="AI34" s="99"/>
      <c r="AK34" s="99"/>
      <c r="AL34" s="99"/>
      <c r="AM34" s="99"/>
      <c r="AN34" s="99"/>
      <c r="AO34" s="99"/>
      <c r="AP34" s="99"/>
      <c r="AR34" s="99"/>
      <c r="AS34" s="99"/>
      <c r="AT34" s="99"/>
      <c r="AU34" s="99"/>
      <c r="AV34" s="99"/>
      <c r="AW34" s="99"/>
      <c r="AY34" s="99"/>
      <c r="AZ34" s="117"/>
      <c r="BA34" s="117"/>
      <c r="BB34" s="117"/>
      <c r="BC34" s="117"/>
      <c r="BD34" s="117"/>
      <c r="BE34" s="117"/>
      <c r="BG34" s="446"/>
      <c r="BH34" s="446"/>
      <c r="BI34" s="446"/>
      <c r="BJ34" s="446"/>
      <c r="BK34" s="446"/>
      <c r="BL34" s="446"/>
    </row>
    <row r="35" spans="1:64" ht="13.05" hidden="1" customHeight="1" x14ac:dyDescent="0.25">
      <c r="A35" t="str">
        <f>Nutrients!B34</f>
        <v>Corn Gluten Feed</v>
      </c>
      <c r="B35" s="99"/>
      <c r="C35" s="99"/>
      <c r="D35" s="99"/>
      <c r="E35" s="99"/>
      <c r="F35" s="99"/>
      <c r="G35" s="99"/>
      <c r="H35" s="99"/>
      <c r="I35" s="99"/>
      <c r="J35" s="99"/>
      <c r="K35" s="99"/>
      <c r="L35" s="99"/>
      <c r="M35" s="99"/>
      <c r="N35" s="99"/>
      <c r="O35" s="10"/>
      <c r="P35" s="99"/>
      <c r="Q35" s="99"/>
      <c r="R35" s="99"/>
      <c r="S35" s="99"/>
      <c r="T35" s="99"/>
      <c r="U35" s="99"/>
      <c r="W35" s="99"/>
      <c r="X35" s="99"/>
      <c r="Y35" s="99"/>
      <c r="Z35" s="99"/>
      <c r="AA35" s="99"/>
      <c r="AB35" s="99"/>
      <c r="AD35" s="99"/>
      <c r="AE35" s="99"/>
      <c r="AF35" s="99"/>
      <c r="AG35" s="99"/>
      <c r="AH35" s="99"/>
      <c r="AI35" s="99"/>
      <c r="AK35" s="99"/>
      <c r="AL35" s="99"/>
      <c r="AM35" s="99"/>
      <c r="AN35" s="99"/>
      <c r="AO35" s="99"/>
      <c r="AP35" s="99"/>
      <c r="AR35" s="99"/>
      <c r="AS35" s="99"/>
      <c r="AT35" s="99"/>
      <c r="AU35" s="99"/>
      <c r="AV35" s="99"/>
      <c r="AW35" s="99"/>
      <c r="AY35" s="99"/>
      <c r="AZ35" s="117"/>
      <c r="BA35" s="117"/>
      <c r="BB35" s="117"/>
      <c r="BC35" s="117"/>
      <c r="BD35" s="117"/>
      <c r="BE35" s="117"/>
      <c r="BG35" s="446"/>
      <c r="BH35" s="446"/>
      <c r="BI35" s="446"/>
      <c r="BJ35" s="446"/>
      <c r="BK35" s="446"/>
      <c r="BL35" s="446"/>
    </row>
    <row r="36" spans="1:64" ht="13.05" hidden="1" customHeight="1" x14ac:dyDescent="0.25">
      <c r="A36" t="str">
        <f>Nutrients!B35</f>
        <v>Corn Gluten Meal</v>
      </c>
      <c r="B36" s="99"/>
      <c r="C36" s="99"/>
      <c r="D36" s="99"/>
      <c r="E36" s="99"/>
      <c r="F36" s="99"/>
      <c r="G36" s="99"/>
      <c r="H36" s="99"/>
      <c r="I36" s="99"/>
      <c r="J36" s="99"/>
      <c r="K36" s="99"/>
      <c r="L36" s="99"/>
      <c r="M36" s="99"/>
      <c r="N36" s="99"/>
      <c r="O36" s="10"/>
      <c r="P36" s="99"/>
      <c r="Q36" s="99"/>
      <c r="R36" s="99"/>
      <c r="S36" s="99"/>
      <c r="T36" s="99"/>
      <c r="U36" s="99"/>
      <c r="W36" s="99"/>
      <c r="X36" s="99"/>
      <c r="Y36" s="99"/>
      <c r="Z36" s="99"/>
      <c r="AA36" s="99"/>
      <c r="AB36" s="99"/>
      <c r="AD36" s="99"/>
      <c r="AE36" s="99"/>
      <c r="AF36" s="99"/>
      <c r="AG36" s="99"/>
      <c r="AH36" s="99"/>
      <c r="AI36" s="99"/>
      <c r="AK36" s="99"/>
      <c r="AL36" s="99"/>
      <c r="AM36" s="99"/>
      <c r="AN36" s="99"/>
      <c r="AO36" s="99"/>
      <c r="AP36" s="99"/>
      <c r="AR36" s="99"/>
      <c r="AS36" s="99"/>
      <c r="AT36" s="99"/>
      <c r="AU36" s="99"/>
      <c r="AV36" s="99"/>
      <c r="AW36" s="99"/>
      <c r="AY36" s="99"/>
      <c r="AZ36" s="117"/>
      <c r="BA36" s="117"/>
      <c r="BB36" s="117"/>
      <c r="BC36" s="117"/>
      <c r="BD36" s="117"/>
      <c r="BE36" s="117"/>
      <c r="BG36" s="446"/>
      <c r="BH36" s="446"/>
      <c r="BI36" s="446"/>
      <c r="BJ36" s="446"/>
      <c r="BK36" s="446"/>
      <c r="BL36" s="446"/>
    </row>
    <row r="37" spans="1:64" ht="13.05" hidden="1" customHeight="1" x14ac:dyDescent="0.25">
      <c r="A37" t="str">
        <f>Nutrients!B36</f>
        <v>Corn Grits, Hominy Feed</v>
      </c>
      <c r="B37" s="99"/>
      <c r="C37" s="99"/>
      <c r="D37" s="99"/>
      <c r="E37" s="99"/>
      <c r="F37" s="99"/>
      <c r="G37" s="99"/>
      <c r="H37" s="99"/>
      <c r="I37" s="99"/>
      <c r="J37" s="99"/>
      <c r="K37" s="99"/>
      <c r="L37" s="99"/>
      <c r="M37" s="99"/>
      <c r="N37" s="99"/>
      <c r="O37" s="10"/>
      <c r="P37" s="99"/>
      <c r="Q37" s="99"/>
      <c r="R37" s="99"/>
      <c r="S37" s="99"/>
      <c r="T37" s="99"/>
      <c r="U37" s="99"/>
      <c r="W37" s="99"/>
      <c r="X37" s="99"/>
      <c r="Y37" s="99"/>
      <c r="Z37" s="99"/>
      <c r="AA37" s="99"/>
      <c r="AB37" s="99"/>
      <c r="AD37" s="99"/>
      <c r="AE37" s="99"/>
      <c r="AF37" s="99"/>
      <c r="AG37" s="99"/>
      <c r="AH37" s="99"/>
      <c r="AI37" s="99"/>
      <c r="AK37" s="99"/>
      <c r="AL37" s="99"/>
      <c r="AM37" s="99"/>
      <c r="AN37" s="99"/>
      <c r="AO37" s="99"/>
      <c r="AP37" s="99"/>
      <c r="AR37" s="99"/>
      <c r="AS37" s="99"/>
      <c r="AT37" s="99"/>
      <c r="AU37" s="99"/>
      <c r="AV37" s="99"/>
      <c r="AW37" s="99"/>
      <c r="AY37" s="99"/>
      <c r="AZ37" s="117"/>
      <c r="BA37" s="117"/>
      <c r="BB37" s="117"/>
      <c r="BC37" s="117"/>
      <c r="BD37" s="117"/>
      <c r="BE37" s="117"/>
      <c r="BG37" s="446"/>
      <c r="BH37" s="446"/>
      <c r="BI37" s="446"/>
      <c r="BJ37" s="446"/>
      <c r="BK37" s="446"/>
      <c r="BL37" s="446"/>
    </row>
    <row r="38" spans="1:64" ht="13.05" hidden="1" customHeight="1" x14ac:dyDescent="0.25">
      <c r="A38" t="str">
        <f>Nutrients!B37</f>
        <v>Cotton Seeds, Fullfat</v>
      </c>
      <c r="B38" s="99"/>
      <c r="C38" s="99"/>
      <c r="D38" s="99"/>
      <c r="E38" s="99"/>
      <c r="F38" s="99"/>
      <c r="G38" s="99"/>
      <c r="H38" s="99"/>
      <c r="I38" s="99"/>
      <c r="J38" s="99"/>
      <c r="K38" s="99"/>
      <c r="L38" s="99"/>
      <c r="M38" s="99"/>
      <c r="N38" s="99"/>
      <c r="O38" s="10"/>
      <c r="P38" s="99"/>
      <c r="Q38" s="99"/>
      <c r="R38" s="99"/>
      <c r="S38" s="99"/>
      <c r="T38" s="99"/>
      <c r="U38" s="99"/>
      <c r="W38" s="99"/>
      <c r="X38" s="99"/>
      <c r="Y38" s="99"/>
      <c r="Z38" s="99"/>
      <c r="AA38" s="99"/>
      <c r="AB38" s="99"/>
      <c r="AD38" s="99"/>
      <c r="AE38" s="99"/>
      <c r="AF38" s="99"/>
      <c r="AG38" s="99"/>
      <c r="AH38" s="99"/>
      <c r="AI38" s="99"/>
      <c r="AK38" s="99"/>
      <c r="AL38" s="99"/>
      <c r="AM38" s="99"/>
      <c r="AN38" s="99"/>
      <c r="AO38" s="99"/>
      <c r="AP38" s="99"/>
      <c r="AR38" s="99"/>
      <c r="AS38" s="99"/>
      <c r="AT38" s="99"/>
      <c r="AU38" s="99"/>
      <c r="AV38" s="99"/>
      <c r="AW38" s="99"/>
      <c r="AY38" s="99"/>
      <c r="AZ38" s="117"/>
      <c r="BA38" s="117"/>
      <c r="BB38" s="117"/>
      <c r="BC38" s="117"/>
      <c r="BD38" s="117"/>
      <c r="BE38" s="117"/>
      <c r="BG38" s="446"/>
      <c r="BH38" s="446"/>
      <c r="BI38" s="446"/>
      <c r="BJ38" s="446"/>
      <c r="BK38" s="446"/>
      <c r="BL38" s="446"/>
    </row>
    <row r="39" spans="1:64" ht="13.05" hidden="1" customHeight="1" x14ac:dyDescent="0.25">
      <c r="A39" t="str">
        <f>Nutrients!B38</f>
        <v>Cotton Seed Meal</v>
      </c>
      <c r="B39" s="99"/>
      <c r="C39" s="99"/>
      <c r="D39" s="99"/>
      <c r="E39" s="99"/>
      <c r="F39" s="99"/>
      <c r="G39" s="99"/>
      <c r="H39" s="99"/>
      <c r="I39" s="99"/>
      <c r="J39" s="99"/>
      <c r="K39" s="99"/>
      <c r="L39" s="99"/>
      <c r="M39" s="99"/>
      <c r="N39" s="99"/>
      <c r="O39" s="10"/>
      <c r="P39" s="99"/>
      <c r="Q39" s="99"/>
      <c r="R39" s="99"/>
      <c r="S39" s="99"/>
      <c r="T39" s="99"/>
      <c r="U39" s="99"/>
      <c r="W39" s="99"/>
      <c r="X39" s="99"/>
      <c r="Y39" s="99"/>
      <c r="Z39" s="99"/>
      <c r="AA39" s="99"/>
      <c r="AB39" s="99"/>
      <c r="AD39" s="99"/>
      <c r="AE39" s="99"/>
      <c r="AF39" s="99"/>
      <c r="AG39" s="99"/>
      <c r="AH39" s="99"/>
      <c r="AI39" s="99"/>
      <c r="AK39" s="99"/>
      <c r="AL39" s="99"/>
      <c r="AM39" s="99"/>
      <c r="AN39" s="99"/>
      <c r="AO39" s="99"/>
      <c r="AP39" s="99"/>
      <c r="AR39" s="99"/>
      <c r="AS39" s="99"/>
      <c r="AT39" s="99"/>
      <c r="AU39" s="99"/>
      <c r="AV39" s="99"/>
      <c r="AW39" s="99"/>
      <c r="AY39" s="99"/>
      <c r="AZ39" s="117"/>
      <c r="BA39" s="117"/>
      <c r="BB39" s="117"/>
      <c r="BC39" s="117"/>
      <c r="BD39" s="117"/>
      <c r="BE39" s="117"/>
      <c r="BG39" s="446"/>
      <c r="BH39" s="446"/>
      <c r="BI39" s="446"/>
      <c r="BJ39" s="446"/>
      <c r="BK39" s="446"/>
      <c r="BL39" s="446"/>
    </row>
    <row r="40" spans="1:64" ht="13.05" hidden="1" customHeight="1" x14ac:dyDescent="0.25">
      <c r="A40" t="str">
        <f>Nutrients!B39</f>
        <v>Feather Meal</v>
      </c>
      <c r="B40" s="99"/>
      <c r="C40" s="99"/>
      <c r="D40" s="99"/>
      <c r="E40" s="99"/>
      <c r="F40" s="99"/>
      <c r="G40" s="99"/>
      <c r="H40" s="99"/>
      <c r="I40" s="99"/>
      <c r="J40" s="99"/>
      <c r="K40" s="99"/>
      <c r="L40" s="99"/>
      <c r="M40" s="99"/>
      <c r="N40" s="99"/>
      <c r="O40" s="10"/>
      <c r="P40" s="99"/>
      <c r="Q40" s="99"/>
      <c r="R40" s="99"/>
      <c r="S40" s="99"/>
      <c r="T40" s="99"/>
      <c r="U40" s="99"/>
      <c r="W40" s="99"/>
      <c r="X40" s="99"/>
      <c r="Y40" s="99"/>
      <c r="Z40" s="99"/>
      <c r="AA40" s="99"/>
      <c r="AB40" s="99"/>
      <c r="AD40" s="99"/>
      <c r="AE40" s="99"/>
      <c r="AF40" s="99"/>
      <c r="AG40" s="99"/>
      <c r="AH40" s="99"/>
      <c r="AI40" s="99"/>
      <c r="AK40" s="99"/>
      <c r="AL40" s="99"/>
      <c r="AM40" s="99"/>
      <c r="AN40" s="99"/>
      <c r="AO40" s="99"/>
      <c r="AP40" s="99"/>
      <c r="AR40" s="99"/>
      <c r="AS40" s="99"/>
      <c r="AT40" s="99"/>
      <c r="AU40" s="99"/>
      <c r="AV40" s="99"/>
      <c r="AW40" s="99"/>
      <c r="AY40" s="99"/>
      <c r="AZ40" s="117"/>
      <c r="BA40" s="117"/>
      <c r="BB40" s="117"/>
      <c r="BC40" s="117"/>
      <c r="BD40" s="117"/>
      <c r="BE40" s="117"/>
      <c r="BG40" s="446"/>
      <c r="BH40" s="446"/>
      <c r="BI40" s="446"/>
      <c r="BJ40" s="446"/>
      <c r="BK40" s="446"/>
      <c r="BL40" s="446"/>
    </row>
    <row r="41" spans="1:64" ht="13.05" hidden="1" customHeight="1" x14ac:dyDescent="0.25">
      <c r="A41" t="str">
        <f>Nutrients!B40</f>
        <v>Fish Meal Combined</v>
      </c>
      <c r="B41" s="99"/>
      <c r="C41" s="99"/>
      <c r="D41" s="99"/>
      <c r="E41" s="99"/>
      <c r="F41" s="99"/>
      <c r="G41" s="99"/>
      <c r="H41" s="99"/>
      <c r="I41" s="99"/>
      <c r="J41" s="99"/>
      <c r="K41" s="99"/>
      <c r="L41" s="99"/>
      <c r="M41" s="99"/>
      <c r="N41" s="99"/>
      <c r="O41" s="10"/>
      <c r="P41" s="99"/>
      <c r="Q41" s="99"/>
      <c r="R41" s="99"/>
      <c r="S41" s="99"/>
      <c r="T41" s="99"/>
      <c r="U41" s="99"/>
      <c r="W41" s="99"/>
      <c r="X41" s="99"/>
      <c r="Y41" s="99"/>
      <c r="Z41" s="99"/>
      <c r="AA41" s="99"/>
      <c r="AB41" s="99"/>
      <c r="AD41" s="99"/>
      <c r="AE41" s="99"/>
      <c r="AF41" s="99"/>
      <c r="AG41" s="99"/>
      <c r="AH41" s="99"/>
      <c r="AI41" s="99"/>
      <c r="AK41" s="99"/>
      <c r="AL41" s="99"/>
      <c r="AM41" s="99"/>
      <c r="AN41" s="99"/>
      <c r="AO41" s="99"/>
      <c r="AP41" s="99"/>
      <c r="AR41" s="99"/>
      <c r="AS41" s="99"/>
      <c r="AT41" s="99"/>
      <c r="AU41" s="99"/>
      <c r="AV41" s="99"/>
      <c r="AW41" s="99"/>
      <c r="AY41" s="99"/>
      <c r="AZ41" s="117"/>
      <c r="BA41" s="117"/>
      <c r="BB41" s="117"/>
      <c r="BC41" s="117"/>
      <c r="BD41" s="117"/>
      <c r="BE41" s="117"/>
      <c r="BG41" s="446"/>
      <c r="BH41" s="446"/>
      <c r="BI41" s="446"/>
      <c r="BJ41" s="446"/>
      <c r="BK41" s="446"/>
      <c r="BL41" s="446"/>
    </row>
    <row r="42" spans="1:64" ht="13.05" hidden="1" customHeight="1" x14ac:dyDescent="0.25">
      <c r="A42" t="str">
        <f>Nutrients!B41</f>
        <v>Flaxseed</v>
      </c>
      <c r="B42" s="99"/>
      <c r="C42" s="99"/>
      <c r="D42" s="99"/>
      <c r="E42" s="99"/>
      <c r="F42" s="99"/>
      <c r="G42" s="99"/>
      <c r="H42" s="99"/>
      <c r="I42" s="99"/>
      <c r="J42" s="99"/>
      <c r="K42" s="99"/>
      <c r="L42" s="99"/>
      <c r="M42" s="99"/>
      <c r="N42" s="99"/>
      <c r="O42" s="10"/>
      <c r="P42" s="99"/>
      <c r="Q42" s="99"/>
      <c r="R42" s="99"/>
      <c r="S42" s="99"/>
      <c r="T42" s="99"/>
      <c r="U42" s="99"/>
      <c r="W42" s="99"/>
      <c r="X42" s="99"/>
      <c r="Y42" s="99"/>
      <c r="Z42" s="99"/>
      <c r="AA42" s="99"/>
      <c r="AB42" s="99"/>
      <c r="AD42" s="99"/>
      <c r="AE42" s="99"/>
      <c r="AF42" s="99"/>
      <c r="AG42" s="99"/>
      <c r="AH42" s="99"/>
      <c r="AI42" s="99"/>
      <c r="AK42" s="99"/>
      <c r="AL42" s="99"/>
      <c r="AM42" s="99"/>
      <c r="AN42" s="99"/>
      <c r="AO42" s="99"/>
      <c r="AP42" s="99"/>
      <c r="AR42" s="99"/>
      <c r="AS42" s="99"/>
      <c r="AT42" s="99"/>
      <c r="AU42" s="99"/>
      <c r="AV42" s="99"/>
      <c r="AW42" s="99"/>
      <c r="AY42" s="99"/>
      <c r="AZ42" s="117"/>
      <c r="BA42" s="117"/>
      <c r="BB42" s="117"/>
      <c r="BC42" s="117"/>
      <c r="BD42" s="117"/>
      <c r="BE42" s="117"/>
      <c r="BG42" s="446"/>
      <c r="BH42" s="446"/>
      <c r="BI42" s="446"/>
      <c r="BJ42" s="446"/>
      <c r="BK42" s="446"/>
      <c r="BL42" s="446"/>
    </row>
    <row r="43" spans="1:64" ht="13.05" hidden="1" customHeight="1" x14ac:dyDescent="0.25">
      <c r="A43" t="str">
        <f>Nutrients!B42</f>
        <v>Flaxseed Meal</v>
      </c>
      <c r="B43" s="99"/>
      <c r="C43" s="99"/>
      <c r="D43" s="99"/>
      <c r="E43" s="99"/>
      <c r="F43" s="99"/>
      <c r="G43" s="99"/>
      <c r="H43" s="99"/>
      <c r="I43" s="99"/>
      <c r="J43" s="99"/>
      <c r="K43" s="99"/>
      <c r="L43" s="99"/>
      <c r="M43" s="99"/>
      <c r="N43" s="99"/>
      <c r="O43" s="10"/>
      <c r="P43" s="99"/>
      <c r="Q43" s="99"/>
      <c r="R43" s="99"/>
      <c r="S43" s="99"/>
      <c r="T43" s="99"/>
      <c r="U43" s="99"/>
      <c r="W43" s="99"/>
      <c r="X43" s="99"/>
      <c r="Y43" s="99"/>
      <c r="Z43" s="99"/>
      <c r="AA43" s="99"/>
      <c r="AB43" s="99"/>
      <c r="AD43" s="99"/>
      <c r="AE43" s="99"/>
      <c r="AF43" s="99"/>
      <c r="AG43" s="99"/>
      <c r="AH43" s="99"/>
      <c r="AI43" s="99"/>
      <c r="AK43" s="99"/>
      <c r="AL43" s="99"/>
      <c r="AM43" s="99"/>
      <c r="AN43" s="99"/>
      <c r="AO43" s="99"/>
      <c r="AP43" s="99"/>
      <c r="AR43" s="99"/>
      <c r="AS43" s="99"/>
      <c r="AT43" s="99"/>
      <c r="AU43" s="99"/>
      <c r="AV43" s="99"/>
      <c r="AW43" s="99"/>
      <c r="AY43" s="99"/>
      <c r="AZ43" s="117"/>
      <c r="BA43" s="117"/>
      <c r="BB43" s="117"/>
      <c r="BC43" s="117"/>
      <c r="BD43" s="117"/>
      <c r="BE43" s="117"/>
      <c r="BG43" s="446"/>
      <c r="BH43" s="446"/>
      <c r="BI43" s="446"/>
      <c r="BJ43" s="446"/>
      <c r="BK43" s="446"/>
      <c r="BL43" s="446"/>
    </row>
    <row r="44" spans="1:64" ht="13.05" hidden="1" customHeight="1" x14ac:dyDescent="0.25">
      <c r="A44" t="str">
        <f>Nutrients!B43</f>
        <v>Lupins</v>
      </c>
      <c r="B44" s="99"/>
      <c r="C44" s="99"/>
      <c r="D44" s="99"/>
      <c r="E44" s="99"/>
      <c r="F44" s="99"/>
      <c r="G44" s="99"/>
      <c r="H44" s="99"/>
      <c r="I44" s="99"/>
      <c r="J44" s="99"/>
      <c r="K44" s="99"/>
      <c r="L44" s="99"/>
      <c r="M44" s="99"/>
      <c r="N44" s="99"/>
      <c r="O44" s="10"/>
      <c r="P44" s="99"/>
      <c r="Q44" s="99"/>
      <c r="R44" s="99"/>
      <c r="S44" s="99"/>
      <c r="T44" s="99"/>
      <c r="U44" s="99"/>
      <c r="W44" s="99"/>
      <c r="X44" s="99"/>
      <c r="Y44" s="99"/>
      <c r="Z44" s="99"/>
      <c r="AA44" s="99"/>
      <c r="AB44" s="99"/>
      <c r="AD44" s="99"/>
      <c r="AE44" s="99"/>
      <c r="AF44" s="99"/>
      <c r="AG44" s="99"/>
      <c r="AH44" s="99"/>
      <c r="AI44" s="99"/>
      <c r="AK44" s="99"/>
      <c r="AL44" s="99"/>
      <c r="AM44" s="99"/>
      <c r="AN44" s="99"/>
      <c r="AO44" s="99"/>
      <c r="AP44" s="99"/>
      <c r="AR44" s="99"/>
      <c r="AS44" s="99"/>
      <c r="AT44" s="99"/>
      <c r="AU44" s="99"/>
      <c r="AV44" s="99"/>
      <c r="AW44" s="99"/>
      <c r="AY44" s="99"/>
      <c r="AZ44" s="117"/>
      <c r="BA44" s="117"/>
      <c r="BB44" s="117"/>
      <c r="BC44" s="117"/>
      <c r="BD44" s="117"/>
      <c r="BE44" s="117"/>
      <c r="BG44" s="446"/>
      <c r="BH44" s="446"/>
      <c r="BI44" s="446"/>
      <c r="BJ44" s="446"/>
      <c r="BK44" s="446"/>
      <c r="BL44" s="446"/>
    </row>
    <row r="45" spans="1:64" ht="13.05" hidden="1" customHeight="1" x14ac:dyDescent="0.25">
      <c r="A45" t="str">
        <f>Nutrients!B44</f>
        <v>Meat Meal</v>
      </c>
      <c r="B45" s="99"/>
      <c r="C45" s="99"/>
      <c r="D45" s="99"/>
      <c r="E45" s="99"/>
      <c r="F45" s="99"/>
      <c r="G45" s="99"/>
      <c r="H45" s="99"/>
      <c r="I45" s="99"/>
      <c r="J45" s="99"/>
      <c r="K45" s="99"/>
      <c r="L45" s="99"/>
      <c r="M45" s="99"/>
      <c r="N45" s="99"/>
      <c r="O45" s="10"/>
      <c r="P45" s="99"/>
      <c r="Q45" s="99"/>
      <c r="R45" s="99"/>
      <c r="S45" s="99"/>
      <c r="T45" s="99"/>
      <c r="U45" s="99"/>
      <c r="W45" s="99"/>
      <c r="X45" s="99"/>
      <c r="Y45" s="99"/>
      <c r="Z45" s="99"/>
      <c r="AA45" s="99"/>
      <c r="AB45" s="99"/>
      <c r="AD45" s="99"/>
      <c r="AE45" s="99"/>
      <c r="AF45" s="99"/>
      <c r="AG45" s="99"/>
      <c r="AH45" s="99"/>
      <c r="AI45" s="99"/>
      <c r="AK45" s="99"/>
      <c r="AL45" s="99"/>
      <c r="AM45" s="99"/>
      <c r="AN45" s="99"/>
      <c r="AO45" s="99"/>
      <c r="AP45" s="99"/>
      <c r="AR45" s="99"/>
      <c r="AS45" s="99"/>
      <c r="AT45" s="99"/>
      <c r="AU45" s="99"/>
      <c r="AV45" s="99"/>
      <c r="AW45" s="99"/>
      <c r="AY45" s="99"/>
      <c r="AZ45" s="117"/>
      <c r="BA45" s="117"/>
      <c r="BB45" s="117"/>
      <c r="BC45" s="117"/>
      <c r="BD45" s="117"/>
      <c r="BE45" s="117"/>
      <c r="BG45" s="446"/>
      <c r="BH45" s="446"/>
      <c r="BI45" s="446"/>
      <c r="BJ45" s="446"/>
      <c r="BK45" s="446"/>
      <c r="BL45" s="446"/>
    </row>
    <row r="46" spans="1:64" ht="13.05" hidden="1" customHeight="1" x14ac:dyDescent="0.25">
      <c r="A46" t="str">
        <f>Nutrients!B45</f>
        <v>Meat and Bone Meal, P &gt;4%</v>
      </c>
      <c r="B46" s="99"/>
      <c r="C46" s="99"/>
      <c r="D46" s="99"/>
      <c r="E46" s="99"/>
      <c r="F46" s="99"/>
      <c r="G46" s="99"/>
      <c r="H46" s="99"/>
      <c r="I46" s="99"/>
      <c r="J46" s="99"/>
      <c r="K46" s="99"/>
      <c r="L46" s="99"/>
      <c r="M46" s="99"/>
      <c r="N46" s="99"/>
      <c r="O46" s="10"/>
      <c r="P46" s="99"/>
      <c r="Q46" s="99"/>
      <c r="R46" s="99"/>
      <c r="S46" s="99"/>
      <c r="T46" s="99"/>
      <c r="U46" s="99"/>
      <c r="W46" s="99"/>
      <c r="X46" s="99"/>
      <c r="Y46" s="99"/>
      <c r="Z46" s="99"/>
      <c r="AA46" s="99"/>
      <c r="AB46" s="99"/>
      <c r="AD46" s="99"/>
      <c r="AE46" s="99"/>
      <c r="AF46" s="99"/>
      <c r="AG46" s="99"/>
      <c r="AH46" s="99"/>
      <c r="AI46" s="99"/>
      <c r="AK46" s="99"/>
      <c r="AL46" s="99"/>
      <c r="AM46" s="99"/>
      <c r="AN46" s="99"/>
      <c r="AO46" s="99"/>
      <c r="AP46" s="99"/>
      <c r="AR46" s="99"/>
      <c r="AS46" s="99"/>
      <c r="AT46" s="99"/>
      <c r="AU46" s="99"/>
      <c r="AV46" s="99"/>
      <c r="AW46" s="99"/>
      <c r="AY46" s="99"/>
      <c r="AZ46" s="117"/>
      <c r="BA46" s="117"/>
      <c r="BB46" s="117"/>
      <c r="BC46" s="117"/>
      <c r="BD46" s="117"/>
      <c r="BE46" s="117"/>
      <c r="BG46" s="446"/>
      <c r="BH46" s="446"/>
      <c r="BI46" s="446"/>
      <c r="BJ46" s="446"/>
      <c r="BK46" s="446"/>
      <c r="BL46" s="446"/>
    </row>
    <row r="47" spans="1:64" ht="13.05" hidden="1" customHeight="1" x14ac:dyDescent="0.25">
      <c r="A47" t="str">
        <f>Nutrients!B46</f>
        <v>Milk, Casein</v>
      </c>
      <c r="B47" s="99"/>
      <c r="C47" s="99"/>
      <c r="D47" s="99"/>
      <c r="E47" s="99"/>
      <c r="F47" s="99"/>
      <c r="G47" s="99"/>
      <c r="H47" s="99"/>
      <c r="I47" s="99"/>
      <c r="J47" s="99"/>
      <c r="K47" s="99"/>
      <c r="L47" s="99"/>
      <c r="M47" s="99"/>
      <c r="N47" s="99"/>
      <c r="O47" s="10"/>
      <c r="P47" s="99"/>
      <c r="Q47" s="99"/>
      <c r="R47" s="99"/>
      <c r="S47" s="99"/>
      <c r="T47" s="99"/>
      <c r="U47" s="99"/>
      <c r="W47" s="99"/>
      <c r="X47" s="99"/>
      <c r="Y47" s="99"/>
      <c r="Z47" s="99"/>
      <c r="AA47" s="99"/>
      <c r="AB47" s="99"/>
      <c r="AD47" s="99"/>
      <c r="AE47" s="99"/>
      <c r="AF47" s="99"/>
      <c r="AG47" s="99"/>
      <c r="AH47" s="99"/>
      <c r="AI47" s="99"/>
      <c r="AK47" s="99"/>
      <c r="AL47" s="99"/>
      <c r="AM47" s="99"/>
      <c r="AN47" s="99"/>
      <c r="AO47" s="99"/>
      <c r="AP47" s="99"/>
      <c r="AR47" s="99"/>
      <c r="AS47" s="99"/>
      <c r="AT47" s="99"/>
      <c r="AU47" s="99"/>
      <c r="AV47" s="99"/>
      <c r="AW47" s="99"/>
      <c r="AY47" s="99"/>
      <c r="AZ47" s="117"/>
      <c r="BA47" s="117"/>
      <c r="BB47" s="117"/>
      <c r="BC47" s="117"/>
      <c r="BD47" s="117"/>
      <c r="BE47" s="117"/>
      <c r="BG47" s="446"/>
      <c r="BH47" s="446"/>
      <c r="BI47" s="446"/>
      <c r="BJ47" s="446"/>
      <c r="BK47" s="446"/>
      <c r="BL47" s="446"/>
    </row>
    <row r="48" spans="1:64" ht="13.05" hidden="1" customHeight="1" x14ac:dyDescent="0.25">
      <c r="A48" t="str">
        <f>Nutrients!B47</f>
        <v>Milk, Lactose</v>
      </c>
      <c r="B48" s="99"/>
      <c r="C48" s="99"/>
      <c r="D48" s="99"/>
      <c r="E48" s="99"/>
      <c r="F48" s="99"/>
      <c r="G48" s="99"/>
      <c r="H48" s="99"/>
      <c r="I48" s="99"/>
      <c r="J48" s="99"/>
      <c r="K48" s="99"/>
      <c r="L48" s="99"/>
      <c r="M48" s="99"/>
      <c r="N48" s="99"/>
      <c r="O48" s="10"/>
      <c r="P48" s="99"/>
      <c r="Q48" s="99"/>
      <c r="R48" s="99"/>
      <c r="S48" s="99"/>
      <c r="T48" s="99"/>
      <c r="U48" s="99"/>
      <c r="W48" s="99"/>
      <c r="X48" s="99"/>
      <c r="Y48" s="99"/>
      <c r="Z48" s="99"/>
      <c r="AA48" s="99"/>
      <c r="AB48" s="99"/>
      <c r="AD48" s="99"/>
      <c r="AE48" s="99"/>
      <c r="AF48" s="99"/>
      <c r="AG48" s="99"/>
      <c r="AH48" s="99"/>
      <c r="AI48" s="99"/>
      <c r="AK48" s="99"/>
      <c r="AL48" s="99"/>
      <c r="AM48" s="99"/>
      <c r="AN48" s="99"/>
      <c r="AO48" s="99"/>
      <c r="AP48" s="99"/>
      <c r="AR48" s="99"/>
      <c r="AS48" s="99"/>
      <c r="AT48" s="99"/>
      <c r="AU48" s="99"/>
      <c r="AV48" s="99"/>
      <c r="AW48" s="99"/>
      <c r="AY48" s="99"/>
      <c r="AZ48" s="117"/>
      <c r="BA48" s="117"/>
      <c r="BB48" s="117"/>
      <c r="BC48" s="117"/>
      <c r="BD48" s="117"/>
      <c r="BE48" s="117"/>
      <c r="BG48" s="446"/>
      <c r="BH48" s="446"/>
      <c r="BI48" s="446"/>
      <c r="BJ48" s="446"/>
      <c r="BK48" s="446"/>
      <c r="BL48" s="446"/>
    </row>
    <row r="49" spans="1:64" ht="13.05" hidden="1" customHeight="1" x14ac:dyDescent="0.25">
      <c r="A49" t="str">
        <f>Nutrients!B48</f>
        <v>Milk, Skim Milk Powder</v>
      </c>
      <c r="B49" s="99"/>
      <c r="C49" s="99"/>
      <c r="D49" s="99"/>
      <c r="E49" s="99"/>
      <c r="F49" s="99"/>
      <c r="G49" s="99"/>
      <c r="H49" s="99"/>
      <c r="I49" s="99"/>
      <c r="J49" s="99"/>
      <c r="K49" s="99"/>
      <c r="L49" s="99"/>
      <c r="M49" s="99"/>
      <c r="N49" s="99"/>
      <c r="O49" s="10"/>
      <c r="P49" s="99"/>
      <c r="Q49" s="99"/>
      <c r="R49" s="99"/>
      <c r="S49" s="99"/>
      <c r="T49" s="99"/>
      <c r="U49" s="99"/>
      <c r="W49" s="99"/>
      <c r="X49" s="99"/>
      <c r="Y49" s="99"/>
      <c r="Z49" s="99"/>
      <c r="AA49" s="99"/>
      <c r="AB49" s="99"/>
      <c r="AD49" s="99"/>
      <c r="AE49" s="99"/>
      <c r="AF49" s="99"/>
      <c r="AG49" s="99"/>
      <c r="AH49" s="99"/>
      <c r="AI49" s="99"/>
      <c r="AK49" s="99"/>
      <c r="AL49" s="99"/>
      <c r="AM49" s="99"/>
      <c r="AN49" s="99"/>
      <c r="AO49" s="99"/>
      <c r="AP49" s="99"/>
      <c r="AR49" s="99"/>
      <c r="AS49" s="99"/>
      <c r="AT49" s="99"/>
      <c r="AU49" s="99"/>
      <c r="AV49" s="99"/>
      <c r="AW49" s="99"/>
      <c r="AY49" s="99"/>
      <c r="AZ49" s="117"/>
      <c r="BA49" s="117"/>
      <c r="BB49" s="117"/>
      <c r="BC49" s="117"/>
      <c r="BD49" s="117"/>
      <c r="BE49" s="117"/>
      <c r="BG49" s="446"/>
      <c r="BH49" s="446"/>
      <c r="BI49" s="446"/>
      <c r="BJ49" s="446"/>
      <c r="BK49" s="446"/>
      <c r="BL49" s="446"/>
    </row>
    <row r="50" spans="1:64" ht="13.05" hidden="1" customHeight="1" x14ac:dyDescent="0.25">
      <c r="A50" t="str">
        <f>Nutrients!B49</f>
        <v>Milk, Whey Powder</v>
      </c>
      <c r="B50" s="99"/>
      <c r="C50" s="99"/>
      <c r="D50" s="99"/>
      <c r="E50" s="99"/>
      <c r="F50" s="99"/>
      <c r="G50" s="99"/>
      <c r="H50" s="99"/>
      <c r="I50" s="99"/>
      <c r="J50" s="99"/>
      <c r="K50" s="99"/>
      <c r="L50" s="99"/>
      <c r="M50" s="99"/>
      <c r="N50" s="99"/>
      <c r="O50" s="10"/>
      <c r="P50" s="99"/>
      <c r="Q50" s="99"/>
      <c r="R50" s="99"/>
      <c r="S50" s="99"/>
      <c r="T50" s="99"/>
      <c r="U50" s="99"/>
      <c r="W50" s="99"/>
      <c r="X50" s="99"/>
      <c r="Y50" s="99"/>
      <c r="Z50" s="99"/>
      <c r="AA50" s="99"/>
      <c r="AB50" s="99"/>
      <c r="AD50" s="99"/>
      <c r="AE50" s="99"/>
      <c r="AF50" s="99"/>
      <c r="AG50" s="99"/>
      <c r="AH50" s="99"/>
      <c r="AI50" s="99"/>
      <c r="AK50" s="99"/>
      <c r="AL50" s="99"/>
      <c r="AM50" s="99"/>
      <c r="AN50" s="99"/>
      <c r="AO50" s="99"/>
      <c r="AP50" s="99"/>
      <c r="AR50" s="99"/>
      <c r="AS50" s="99"/>
      <c r="AT50" s="99"/>
      <c r="AU50" s="99"/>
      <c r="AV50" s="99"/>
      <c r="AW50" s="99"/>
      <c r="AY50" s="99"/>
      <c r="AZ50" s="117"/>
      <c r="BA50" s="117"/>
      <c r="BB50" s="117"/>
      <c r="BC50" s="117"/>
      <c r="BD50" s="117"/>
      <c r="BE50" s="117"/>
      <c r="BG50" s="446"/>
      <c r="BH50" s="446"/>
      <c r="BI50" s="446"/>
      <c r="BJ50" s="446"/>
      <c r="BK50" s="446"/>
      <c r="BL50" s="446"/>
    </row>
    <row r="51" spans="1:64" ht="13.05" hidden="1" customHeight="1" x14ac:dyDescent="0.25">
      <c r="A51" t="str">
        <f>Nutrients!B50</f>
        <v>Milk, Whey Permeate, 80% lactose</v>
      </c>
      <c r="B51" s="99"/>
      <c r="C51" s="99"/>
      <c r="D51" s="99"/>
      <c r="E51" s="99"/>
      <c r="F51" s="99"/>
      <c r="G51" s="99"/>
      <c r="H51" s="99"/>
      <c r="I51" s="99"/>
      <c r="J51" s="99"/>
      <c r="K51" s="99"/>
      <c r="L51" s="99"/>
      <c r="M51" s="99"/>
      <c r="N51" s="99"/>
      <c r="O51" s="10"/>
      <c r="P51" s="99"/>
      <c r="Q51" s="99"/>
      <c r="R51" s="99"/>
      <c r="S51" s="99"/>
      <c r="T51" s="99"/>
      <c r="U51" s="99"/>
      <c r="W51" s="99"/>
      <c r="X51" s="99"/>
      <c r="Y51" s="99"/>
      <c r="Z51" s="99"/>
      <c r="AA51" s="99"/>
      <c r="AB51" s="99"/>
      <c r="AD51" s="99"/>
      <c r="AE51" s="99"/>
      <c r="AF51" s="99"/>
      <c r="AG51" s="99"/>
      <c r="AH51" s="99"/>
      <c r="AI51" s="99"/>
      <c r="AK51" s="99"/>
      <c r="AL51" s="99"/>
      <c r="AM51" s="99"/>
      <c r="AN51" s="99"/>
      <c r="AO51" s="99"/>
      <c r="AP51" s="99"/>
      <c r="AR51" s="99"/>
      <c r="AS51" s="99"/>
      <c r="AT51" s="99"/>
      <c r="AU51" s="99"/>
      <c r="AV51" s="99"/>
      <c r="AW51" s="99"/>
      <c r="AY51" s="99"/>
      <c r="AZ51" s="117"/>
      <c r="BA51" s="117"/>
      <c r="BB51" s="117"/>
      <c r="BC51" s="117"/>
      <c r="BD51" s="117"/>
      <c r="BE51" s="117"/>
      <c r="BG51" s="446"/>
      <c r="BH51" s="446"/>
      <c r="BI51" s="446"/>
      <c r="BJ51" s="446"/>
      <c r="BK51" s="446"/>
      <c r="BL51" s="446"/>
    </row>
    <row r="52" spans="1:64" ht="12.75" hidden="1" customHeight="1" x14ac:dyDescent="0.25">
      <c r="A52" t="str">
        <f>Nutrients!B51</f>
        <v>Milk, Whey Protein Concentrate</v>
      </c>
      <c r="B52" s="99"/>
      <c r="C52" s="99"/>
      <c r="D52" s="99"/>
      <c r="E52" s="99"/>
      <c r="F52" s="99"/>
      <c r="G52" s="99"/>
      <c r="H52" s="99"/>
      <c r="I52" s="99"/>
      <c r="J52" s="99"/>
      <c r="K52" s="99"/>
      <c r="L52" s="99"/>
      <c r="M52" s="99"/>
      <c r="N52" s="99"/>
      <c r="O52" s="10"/>
      <c r="P52" s="99"/>
      <c r="Q52" s="99"/>
      <c r="R52" s="99"/>
      <c r="S52" s="99"/>
      <c r="T52" s="99"/>
      <c r="U52" s="99"/>
      <c r="W52" s="99"/>
      <c r="X52" s="99"/>
      <c r="Y52" s="99"/>
      <c r="Z52" s="99"/>
      <c r="AA52" s="99"/>
      <c r="AB52" s="99"/>
      <c r="AD52" s="99"/>
      <c r="AE52" s="99"/>
      <c r="AF52" s="99"/>
      <c r="AG52" s="99"/>
      <c r="AH52" s="99"/>
      <c r="AI52" s="99"/>
      <c r="AK52" s="99"/>
      <c r="AL52" s="99"/>
      <c r="AM52" s="99"/>
      <c r="AN52" s="99"/>
      <c r="AO52" s="99"/>
      <c r="AP52" s="99"/>
      <c r="AR52" s="99"/>
      <c r="AS52" s="99"/>
      <c r="AT52" s="99"/>
      <c r="AU52" s="99"/>
      <c r="AV52" s="99"/>
      <c r="AW52" s="99"/>
      <c r="AY52" s="99"/>
      <c r="AZ52" s="117"/>
      <c r="BA52" s="117"/>
      <c r="BB52" s="117"/>
      <c r="BC52" s="117"/>
      <c r="BD52" s="117"/>
      <c r="BE52" s="117"/>
      <c r="BG52" s="446"/>
      <c r="BH52" s="446"/>
      <c r="BI52" s="446"/>
      <c r="BJ52" s="446"/>
      <c r="BK52" s="446"/>
      <c r="BL52" s="446"/>
    </row>
    <row r="53" spans="1:64" ht="12.75" hidden="1" customHeight="1" x14ac:dyDescent="0.25">
      <c r="A53" t="str">
        <f>Nutrients!B52</f>
        <v>Millet</v>
      </c>
      <c r="B53" s="99"/>
      <c r="C53" s="99"/>
      <c r="D53" s="99"/>
      <c r="E53" s="99"/>
      <c r="F53" s="99"/>
      <c r="G53" s="99"/>
      <c r="H53" s="99"/>
      <c r="I53" s="99"/>
      <c r="J53" s="99"/>
      <c r="K53" s="99"/>
      <c r="L53" s="99"/>
      <c r="M53" s="99"/>
      <c r="N53" s="99"/>
      <c r="O53" s="10"/>
      <c r="P53" s="99"/>
      <c r="Q53" s="99"/>
      <c r="R53" s="99"/>
      <c r="S53" s="99"/>
      <c r="T53" s="99"/>
      <c r="U53" s="99"/>
      <c r="W53" s="99"/>
      <c r="X53" s="99"/>
      <c r="Y53" s="99"/>
      <c r="Z53" s="99"/>
      <c r="AA53" s="99"/>
      <c r="AB53" s="99"/>
      <c r="AD53" s="99"/>
      <c r="AE53" s="99"/>
      <c r="AF53" s="99"/>
      <c r="AG53" s="99"/>
      <c r="AH53" s="99"/>
      <c r="AI53" s="99"/>
      <c r="AK53" s="99"/>
      <c r="AL53" s="99"/>
      <c r="AM53" s="99"/>
      <c r="AN53" s="99"/>
      <c r="AO53" s="99"/>
      <c r="AP53" s="99"/>
      <c r="AR53" s="99"/>
      <c r="AS53" s="99"/>
      <c r="AT53" s="99"/>
      <c r="AU53" s="99"/>
      <c r="AV53" s="99"/>
      <c r="AW53" s="99"/>
      <c r="AY53" s="99"/>
      <c r="AZ53" s="117"/>
      <c r="BA53" s="117"/>
      <c r="BB53" s="117"/>
      <c r="BC53" s="117"/>
      <c r="BD53" s="117"/>
      <c r="BE53" s="117"/>
      <c r="BG53" s="446"/>
      <c r="BH53" s="446"/>
      <c r="BI53" s="446"/>
      <c r="BJ53" s="446"/>
      <c r="BK53" s="446"/>
      <c r="BL53" s="446"/>
    </row>
    <row r="54" spans="1:64" ht="12.75" hidden="1" customHeight="1" x14ac:dyDescent="0.25">
      <c r="A54" t="str">
        <f>Nutrients!B53</f>
        <v>Molasses, Sugarbeet</v>
      </c>
      <c r="B54" s="99"/>
      <c r="C54" s="99"/>
      <c r="D54" s="99"/>
      <c r="E54" s="99"/>
      <c r="F54" s="99"/>
      <c r="G54" s="99"/>
      <c r="H54" s="99"/>
      <c r="I54" s="99"/>
      <c r="J54" s="99"/>
      <c r="K54" s="99"/>
      <c r="L54" s="99"/>
      <c r="M54" s="99"/>
      <c r="N54" s="99"/>
      <c r="O54" s="10"/>
      <c r="P54" s="99"/>
      <c r="Q54" s="99"/>
      <c r="R54" s="99"/>
      <c r="S54" s="99"/>
      <c r="T54" s="99"/>
      <c r="U54" s="99"/>
      <c r="W54" s="99"/>
      <c r="X54" s="99"/>
      <c r="Y54" s="99"/>
      <c r="Z54" s="99"/>
      <c r="AA54" s="99"/>
      <c r="AB54" s="99"/>
      <c r="AD54" s="99"/>
      <c r="AE54" s="99"/>
      <c r="AF54" s="99"/>
      <c r="AG54" s="99"/>
      <c r="AH54" s="99"/>
      <c r="AI54" s="99"/>
      <c r="AK54" s="99"/>
      <c r="AL54" s="99"/>
      <c r="AM54" s="99"/>
      <c r="AN54" s="99"/>
      <c r="AO54" s="99"/>
      <c r="AP54" s="99"/>
      <c r="AR54" s="99"/>
      <c r="AS54" s="99"/>
      <c r="AT54" s="99"/>
      <c r="AU54" s="99"/>
      <c r="AV54" s="99"/>
      <c r="AW54" s="99"/>
      <c r="AY54" s="99"/>
      <c r="AZ54" s="117"/>
      <c r="BA54" s="117"/>
      <c r="BB54" s="117"/>
      <c r="BC54" s="117"/>
      <c r="BD54" s="117"/>
      <c r="BE54" s="117"/>
      <c r="BG54" s="446"/>
      <c r="BH54" s="446"/>
      <c r="BI54" s="446"/>
      <c r="BJ54" s="446"/>
      <c r="BK54" s="446"/>
      <c r="BL54" s="446"/>
    </row>
    <row r="55" spans="1:64" ht="12.75" hidden="1" customHeight="1" x14ac:dyDescent="0.25">
      <c r="A55" t="str">
        <f>Nutrients!B54</f>
        <v>Molasses, Sugarcane</v>
      </c>
      <c r="B55" s="99"/>
      <c r="C55" s="99"/>
      <c r="D55" s="99"/>
      <c r="E55" s="99"/>
      <c r="F55" s="99"/>
      <c r="G55" s="99"/>
      <c r="H55" s="99"/>
      <c r="I55" s="99"/>
      <c r="J55" s="99"/>
      <c r="K55" s="99"/>
      <c r="L55" s="99"/>
      <c r="M55" s="99"/>
      <c r="N55" s="99"/>
      <c r="O55" s="10"/>
      <c r="P55" s="99"/>
      <c r="Q55" s="99"/>
      <c r="R55" s="99"/>
      <c r="S55" s="99"/>
      <c r="T55" s="99"/>
      <c r="U55" s="99"/>
      <c r="W55" s="99"/>
      <c r="X55" s="99"/>
      <c r="Y55" s="99"/>
      <c r="Z55" s="99"/>
      <c r="AA55" s="99"/>
      <c r="AB55" s="99"/>
      <c r="AD55" s="99"/>
      <c r="AE55" s="99"/>
      <c r="AF55" s="99"/>
      <c r="AG55" s="99"/>
      <c r="AH55" s="99"/>
      <c r="AI55" s="99"/>
      <c r="AK55" s="99"/>
      <c r="AL55" s="99"/>
      <c r="AM55" s="99"/>
      <c r="AN55" s="99"/>
      <c r="AO55" s="99"/>
      <c r="AP55" s="99"/>
      <c r="AR55" s="99"/>
      <c r="AS55" s="99"/>
      <c r="AT55" s="99"/>
      <c r="AU55" s="99"/>
      <c r="AV55" s="99"/>
      <c r="AW55" s="99"/>
      <c r="AY55" s="99"/>
      <c r="AZ55" s="117"/>
      <c r="BA55" s="117"/>
      <c r="BB55" s="117"/>
      <c r="BC55" s="117"/>
      <c r="BD55" s="117"/>
      <c r="BE55" s="117"/>
      <c r="BG55" s="446"/>
      <c r="BH55" s="446"/>
      <c r="BI55" s="446"/>
      <c r="BJ55" s="446"/>
      <c r="BK55" s="446"/>
      <c r="BL55" s="446"/>
    </row>
    <row r="56" spans="1:64" ht="12.75" hidden="1" customHeight="1" x14ac:dyDescent="0.25">
      <c r="A56" t="str">
        <f>Nutrients!B55</f>
        <v>Oats</v>
      </c>
      <c r="B56" s="99"/>
      <c r="C56" s="99"/>
      <c r="D56" s="99"/>
      <c r="E56" s="99"/>
      <c r="F56" s="99"/>
      <c r="G56" s="99"/>
      <c r="H56" s="99"/>
      <c r="I56" s="99"/>
      <c r="J56" s="99"/>
      <c r="K56" s="99"/>
      <c r="L56" s="99"/>
      <c r="M56" s="99"/>
      <c r="N56" s="99"/>
      <c r="O56" s="10"/>
      <c r="P56" s="99"/>
      <c r="Q56" s="99"/>
      <c r="R56" s="99"/>
      <c r="S56" s="99"/>
      <c r="T56" s="99"/>
      <c r="U56" s="99"/>
      <c r="W56" s="99"/>
      <c r="X56" s="99"/>
      <c r="Y56" s="99"/>
      <c r="Z56" s="99"/>
      <c r="AA56" s="99"/>
      <c r="AB56" s="99"/>
      <c r="AD56" s="99"/>
      <c r="AE56" s="99"/>
      <c r="AF56" s="99"/>
      <c r="AG56" s="99"/>
      <c r="AH56" s="99"/>
      <c r="AI56" s="99"/>
      <c r="AK56" s="99"/>
      <c r="AL56" s="99"/>
      <c r="AM56" s="99"/>
      <c r="AN56" s="99"/>
      <c r="AO56" s="99"/>
      <c r="AP56" s="99"/>
      <c r="AR56" s="99"/>
      <c r="AS56" s="99"/>
      <c r="AT56" s="99"/>
      <c r="AU56" s="99"/>
      <c r="AV56" s="99"/>
      <c r="AW56" s="99"/>
      <c r="AY56" s="99"/>
      <c r="AZ56" s="117"/>
      <c r="BA56" s="117"/>
      <c r="BB56" s="117"/>
      <c r="BC56" s="117"/>
      <c r="BD56" s="117"/>
      <c r="BE56" s="117"/>
      <c r="BG56" s="446"/>
      <c r="BH56" s="446"/>
      <c r="BI56" s="446"/>
      <c r="BJ56" s="446"/>
      <c r="BK56" s="446"/>
      <c r="BL56" s="446"/>
    </row>
    <row r="57" spans="1:64" ht="12.75" hidden="1" customHeight="1" x14ac:dyDescent="0.25">
      <c r="A57" t="str">
        <f>Nutrients!B56</f>
        <v>Oats, Naked</v>
      </c>
      <c r="B57" s="99"/>
      <c r="C57" s="99"/>
      <c r="D57" s="99"/>
      <c r="E57" s="99"/>
      <c r="F57" s="99"/>
      <c r="G57" s="99"/>
      <c r="H57" s="99"/>
      <c r="I57" s="99"/>
      <c r="J57" s="99"/>
      <c r="K57" s="99"/>
      <c r="L57" s="99"/>
      <c r="M57" s="99"/>
      <c r="N57" s="99"/>
      <c r="O57" s="10"/>
      <c r="P57" s="99"/>
      <c r="Q57" s="99"/>
      <c r="R57" s="99"/>
      <c r="S57" s="99"/>
      <c r="T57" s="99"/>
      <c r="U57" s="99"/>
      <c r="W57" s="99"/>
      <c r="X57" s="99"/>
      <c r="Y57" s="99"/>
      <c r="Z57" s="99"/>
      <c r="AA57" s="99"/>
      <c r="AB57" s="99"/>
      <c r="AD57" s="99"/>
      <c r="AE57" s="99"/>
      <c r="AF57" s="99"/>
      <c r="AG57" s="99"/>
      <c r="AH57" s="99"/>
      <c r="AI57" s="99"/>
      <c r="AK57" s="99"/>
      <c r="AL57" s="99"/>
      <c r="AM57" s="99"/>
      <c r="AN57" s="99"/>
      <c r="AO57" s="99"/>
      <c r="AP57" s="99"/>
      <c r="AR57" s="99"/>
      <c r="AS57" s="99"/>
      <c r="AT57" s="99"/>
      <c r="AU57" s="99"/>
      <c r="AV57" s="99"/>
      <c r="AW57" s="99"/>
      <c r="AY57" s="99"/>
      <c r="AZ57" s="117"/>
      <c r="BA57" s="117"/>
      <c r="BB57" s="117"/>
      <c r="BC57" s="117"/>
      <c r="BD57" s="117"/>
      <c r="BE57" s="117"/>
      <c r="BG57" s="446"/>
      <c r="BH57" s="446"/>
      <c r="BI57" s="446"/>
      <c r="BJ57" s="446"/>
      <c r="BK57" s="446"/>
      <c r="BL57" s="446"/>
    </row>
    <row r="58" spans="1:64" ht="12.75" hidden="1" customHeight="1" x14ac:dyDescent="0.25">
      <c r="A58" t="str">
        <f>Nutrients!B57</f>
        <v>Oat Groats</v>
      </c>
      <c r="B58" s="99"/>
      <c r="C58" s="99"/>
      <c r="D58" s="99"/>
      <c r="E58" s="99"/>
      <c r="F58" s="99"/>
      <c r="G58" s="99"/>
      <c r="H58" s="99"/>
      <c r="I58" s="99"/>
      <c r="J58" s="99"/>
      <c r="K58" s="99"/>
      <c r="L58" s="99"/>
      <c r="M58" s="99"/>
      <c r="N58" s="99"/>
      <c r="O58" s="10"/>
      <c r="P58" s="99"/>
      <c r="Q58" s="99"/>
      <c r="R58" s="99"/>
      <c r="S58" s="99"/>
      <c r="T58" s="99"/>
      <c r="U58" s="99"/>
      <c r="W58" s="99"/>
      <c r="X58" s="99"/>
      <c r="Y58" s="99"/>
      <c r="Z58" s="99"/>
      <c r="AA58" s="99"/>
      <c r="AB58" s="99"/>
      <c r="AD58" s="99"/>
      <c r="AE58" s="99"/>
      <c r="AF58" s="99"/>
      <c r="AG58" s="99"/>
      <c r="AH58" s="99"/>
      <c r="AI58" s="99"/>
      <c r="AK58" s="99"/>
      <c r="AL58" s="99"/>
      <c r="AM58" s="99"/>
      <c r="AN58" s="99"/>
      <c r="AO58" s="99"/>
      <c r="AP58" s="99"/>
      <c r="AR58" s="99"/>
      <c r="AS58" s="99"/>
      <c r="AT58" s="99"/>
      <c r="AU58" s="99"/>
      <c r="AV58" s="99"/>
      <c r="AW58" s="99"/>
      <c r="AY58" s="99"/>
      <c r="AZ58" s="117"/>
      <c r="BA58" s="117"/>
      <c r="BB58" s="117"/>
      <c r="BC58" s="117"/>
      <c r="BD58" s="117"/>
      <c r="BE58" s="117"/>
      <c r="BG58" s="446"/>
      <c r="BH58" s="446"/>
      <c r="BI58" s="446"/>
      <c r="BJ58" s="446"/>
      <c r="BK58" s="446"/>
      <c r="BL58" s="446"/>
    </row>
    <row r="59" spans="1:64" ht="12.75" hidden="1" customHeight="1" x14ac:dyDescent="0.25">
      <c r="A59" t="str">
        <f>Nutrients!B58</f>
        <v>Peanut Meal, Expelled</v>
      </c>
      <c r="B59" s="99"/>
      <c r="C59" s="99"/>
      <c r="D59" s="99"/>
      <c r="E59" s="99"/>
      <c r="F59" s="99"/>
      <c r="G59" s="99"/>
      <c r="H59" s="99"/>
      <c r="I59" s="99"/>
      <c r="J59" s="99"/>
      <c r="K59" s="99"/>
      <c r="L59" s="99"/>
      <c r="M59" s="99"/>
      <c r="N59" s="99"/>
      <c r="O59" s="10"/>
      <c r="P59" s="99"/>
      <c r="Q59" s="99"/>
      <c r="R59" s="99"/>
      <c r="S59" s="99"/>
      <c r="T59" s="99"/>
      <c r="U59" s="99"/>
      <c r="W59" s="99"/>
      <c r="X59" s="99"/>
      <c r="Y59" s="99"/>
      <c r="Z59" s="99"/>
      <c r="AA59" s="99"/>
      <c r="AB59" s="99"/>
      <c r="AD59" s="99"/>
      <c r="AE59" s="99"/>
      <c r="AF59" s="99"/>
      <c r="AG59" s="99"/>
      <c r="AH59" s="99"/>
      <c r="AI59" s="99"/>
      <c r="AK59" s="99"/>
      <c r="AL59" s="99"/>
      <c r="AM59" s="99"/>
      <c r="AN59" s="99"/>
      <c r="AO59" s="99"/>
      <c r="AP59" s="99"/>
      <c r="AR59" s="99"/>
      <c r="AS59" s="99"/>
      <c r="AT59" s="99"/>
      <c r="AU59" s="99"/>
      <c r="AV59" s="99"/>
      <c r="AW59" s="99"/>
      <c r="AY59" s="99"/>
      <c r="AZ59" s="117"/>
      <c r="BA59" s="117"/>
      <c r="BB59" s="117"/>
      <c r="BC59" s="117"/>
      <c r="BD59" s="117"/>
      <c r="BE59" s="117"/>
      <c r="BG59" s="446"/>
      <c r="BH59" s="446"/>
      <c r="BI59" s="446"/>
      <c r="BJ59" s="446"/>
      <c r="BK59" s="446"/>
      <c r="BL59" s="446"/>
    </row>
    <row r="60" spans="1:64" ht="12.75" hidden="1" customHeight="1" x14ac:dyDescent="0.25">
      <c r="A60" t="str">
        <f>Nutrients!B59</f>
        <v>Peanut Meal, Extracted</v>
      </c>
      <c r="B60" s="99"/>
      <c r="C60" s="99"/>
      <c r="D60" s="99"/>
      <c r="E60" s="99"/>
      <c r="F60" s="99"/>
      <c r="G60" s="99"/>
      <c r="H60" s="99"/>
      <c r="I60" s="99"/>
      <c r="J60" s="99"/>
      <c r="K60" s="99"/>
      <c r="L60" s="99"/>
      <c r="M60" s="99"/>
      <c r="N60" s="99"/>
      <c r="O60" s="10"/>
      <c r="P60" s="99"/>
      <c r="Q60" s="99"/>
      <c r="R60" s="99"/>
      <c r="S60" s="99"/>
      <c r="T60" s="99"/>
      <c r="U60" s="99"/>
      <c r="W60" s="99"/>
      <c r="X60" s="99"/>
      <c r="Y60" s="99"/>
      <c r="Z60" s="99"/>
      <c r="AA60" s="99"/>
      <c r="AB60" s="99"/>
      <c r="AD60" s="99"/>
      <c r="AE60" s="99"/>
      <c r="AF60" s="99"/>
      <c r="AG60" s="99"/>
      <c r="AH60" s="99"/>
      <c r="AI60" s="99"/>
      <c r="AK60" s="99"/>
      <c r="AL60" s="99"/>
      <c r="AM60" s="99"/>
      <c r="AN60" s="99"/>
      <c r="AO60" s="99"/>
      <c r="AP60" s="99"/>
      <c r="AR60" s="99"/>
      <c r="AS60" s="99"/>
      <c r="AT60" s="99"/>
      <c r="AU60" s="99"/>
      <c r="AV60" s="99"/>
      <c r="AW60" s="99"/>
      <c r="AY60" s="99"/>
      <c r="AZ60" s="117"/>
      <c r="BA60" s="117"/>
      <c r="BB60" s="117"/>
      <c r="BC60" s="117"/>
      <c r="BD60" s="117"/>
      <c r="BE60" s="117"/>
      <c r="BG60" s="446"/>
      <c r="BH60" s="446"/>
      <c r="BI60" s="446"/>
      <c r="BJ60" s="446"/>
      <c r="BK60" s="446"/>
      <c r="BL60" s="446"/>
    </row>
    <row r="61" spans="1:64" ht="12.75" hidden="1" customHeight="1" x14ac:dyDescent="0.25">
      <c r="A61" t="str">
        <f>Nutrients!B60</f>
        <v>Peas, Field Peas</v>
      </c>
      <c r="B61" s="99"/>
      <c r="C61" s="99"/>
      <c r="D61" s="99"/>
      <c r="E61" s="99"/>
      <c r="F61" s="99"/>
      <c r="G61" s="99"/>
      <c r="H61" s="99"/>
      <c r="I61" s="99"/>
      <c r="J61" s="99"/>
      <c r="K61" s="99"/>
      <c r="L61" s="99"/>
      <c r="M61" s="99"/>
      <c r="N61" s="99"/>
      <c r="O61" s="10"/>
      <c r="P61" s="99"/>
      <c r="Q61" s="99"/>
      <c r="R61" s="99"/>
      <c r="S61" s="99"/>
      <c r="T61" s="99"/>
      <c r="U61" s="99"/>
      <c r="W61" s="99"/>
      <c r="X61" s="99"/>
      <c r="Y61" s="99"/>
      <c r="Z61" s="99"/>
      <c r="AA61" s="99"/>
      <c r="AB61" s="99"/>
      <c r="AD61" s="99"/>
      <c r="AE61" s="99"/>
      <c r="AF61" s="99"/>
      <c r="AG61" s="99"/>
      <c r="AH61" s="99"/>
      <c r="AI61" s="99"/>
      <c r="AK61" s="99"/>
      <c r="AL61" s="99"/>
      <c r="AM61" s="99"/>
      <c r="AN61" s="99"/>
      <c r="AO61" s="99"/>
      <c r="AP61" s="99"/>
      <c r="AR61" s="99"/>
      <c r="AS61" s="99"/>
      <c r="AT61" s="99"/>
      <c r="AU61" s="99"/>
      <c r="AV61" s="99"/>
      <c r="AW61" s="99"/>
      <c r="AY61" s="99"/>
      <c r="AZ61" s="117"/>
      <c r="BA61" s="117"/>
      <c r="BB61" s="117"/>
      <c r="BC61" s="117"/>
      <c r="BD61" s="117"/>
      <c r="BE61" s="117"/>
      <c r="BG61" s="446"/>
      <c r="BH61" s="446"/>
      <c r="BI61" s="446"/>
      <c r="BJ61" s="446"/>
      <c r="BK61" s="446"/>
      <c r="BL61" s="446"/>
    </row>
    <row r="62" spans="1:64" ht="12.75" hidden="1" customHeight="1" x14ac:dyDescent="0.25">
      <c r="A62" t="str">
        <f>Nutrients!B61</f>
        <v>Pea Protein Concentrate</v>
      </c>
      <c r="B62" s="99"/>
      <c r="C62" s="99"/>
      <c r="D62" s="99"/>
      <c r="E62" s="99"/>
      <c r="F62" s="99"/>
      <c r="G62" s="99"/>
      <c r="H62" s="99"/>
      <c r="I62" s="99"/>
      <c r="J62" s="99"/>
      <c r="K62" s="99"/>
      <c r="L62" s="99"/>
      <c r="M62" s="99"/>
      <c r="N62" s="99"/>
      <c r="O62" s="10"/>
      <c r="P62" s="99"/>
      <c r="Q62" s="99"/>
      <c r="R62" s="99"/>
      <c r="S62" s="99"/>
      <c r="T62" s="99"/>
      <c r="U62" s="99"/>
      <c r="W62" s="99"/>
      <c r="X62" s="99"/>
      <c r="Y62" s="99"/>
      <c r="Z62" s="99"/>
      <c r="AA62" s="99"/>
      <c r="AB62" s="99"/>
      <c r="AD62" s="99"/>
      <c r="AE62" s="99"/>
      <c r="AF62" s="99"/>
      <c r="AG62" s="99"/>
      <c r="AH62" s="99"/>
      <c r="AI62" s="99"/>
      <c r="AK62" s="99"/>
      <c r="AL62" s="99"/>
      <c r="AM62" s="99"/>
      <c r="AN62" s="99"/>
      <c r="AO62" s="99"/>
      <c r="AP62" s="99"/>
      <c r="AR62" s="99"/>
      <c r="AS62" s="99"/>
      <c r="AT62" s="99"/>
      <c r="AU62" s="99"/>
      <c r="AV62" s="99"/>
      <c r="AW62" s="99"/>
      <c r="AY62" s="99"/>
      <c r="AZ62" s="117"/>
      <c r="BA62" s="117"/>
      <c r="BB62" s="117"/>
      <c r="BC62" s="117"/>
      <c r="BD62" s="117"/>
      <c r="BE62" s="117"/>
      <c r="BG62" s="446"/>
      <c r="BH62" s="446"/>
      <c r="BI62" s="446"/>
      <c r="BJ62" s="446"/>
      <c r="BK62" s="446"/>
      <c r="BL62" s="446"/>
    </row>
    <row r="63" spans="1:64" ht="12.75" hidden="1" customHeight="1" x14ac:dyDescent="0.25">
      <c r="A63" t="str">
        <f>Nutrients!B62</f>
        <v>Potato Protein Concentrate</v>
      </c>
      <c r="B63" s="99"/>
      <c r="C63" s="99"/>
      <c r="D63" s="99"/>
      <c r="E63" s="99"/>
      <c r="F63" s="99"/>
      <c r="G63" s="99"/>
      <c r="H63" s="99"/>
      <c r="I63" s="99"/>
      <c r="J63" s="99"/>
      <c r="K63" s="99"/>
      <c r="L63" s="99"/>
      <c r="M63" s="99"/>
      <c r="N63" s="99"/>
      <c r="O63" s="10"/>
      <c r="P63" s="99"/>
      <c r="Q63" s="99"/>
      <c r="R63" s="99"/>
      <c r="S63" s="99"/>
      <c r="T63" s="99"/>
      <c r="U63" s="99"/>
      <c r="W63" s="99"/>
      <c r="X63" s="99"/>
      <c r="Y63" s="99"/>
      <c r="Z63" s="99"/>
      <c r="AA63" s="99"/>
      <c r="AB63" s="99"/>
      <c r="AD63" s="99"/>
      <c r="AE63" s="99"/>
      <c r="AF63" s="99"/>
      <c r="AG63" s="99"/>
      <c r="AH63" s="99"/>
      <c r="AI63" s="99"/>
      <c r="AK63" s="99"/>
      <c r="AL63" s="99"/>
      <c r="AM63" s="99"/>
      <c r="AN63" s="99"/>
      <c r="AO63" s="99"/>
      <c r="AP63" s="99"/>
      <c r="AR63" s="99"/>
      <c r="AS63" s="99"/>
      <c r="AT63" s="99"/>
      <c r="AU63" s="99"/>
      <c r="AV63" s="99"/>
      <c r="AW63" s="99"/>
      <c r="AY63" s="99"/>
      <c r="AZ63" s="117"/>
      <c r="BA63" s="117"/>
      <c r="BB63" s="117"/>
      <c r="BC63" s="117"/>
      <c r="BD63" s="117"/>
      <c r="BE63" s="117"/>
      <c r="BG63" s="446"/>
      <c r="BH63" s="446"/>
      <c r="BI63" s="446"/>
      <c r="BJ63" s="446"/>
      <c r="BK63" s="446"/>
      <c r="BL63" s="446"/>
    </row>
    <row r="64" spans="1:64" ht="12.75" hidden="1" customHeight="1" x14ac:dyDescent="0.25">
      <c r="A64" t="str">
        <f>Nutrients!B63</f>
        <v>Poultry Byproduct</v>
      </c>
      <c r="B64" s="99"/>
      <c r="C64" s="99"/>
      <c r="D64" s="99"/>
      <c r="E64" s="99"/>
      <c r="F64" s="99"/>
      <c r="G64" s="99"/>
      <c r="H64" s="99"/>
      <c r="I64" s="99"/>
      <c r="J64" s="99"/>
      <c r="K64" s="99"/>
      <c r="L64" s="99"/>
      <c r="M64" s="99"/>
      <c r="N64" s="99"/>
      <c r="O64" s="10"/>
      <c r="P64" s="99"/>
      <c r="Q64" s="99"/>
      <c r="R64" s="99"/>
      <c r="S64" s="99"/>
      <c r="T64" s="99"/>
      <c r="U64" s="99"/>
      <c r="W64" s="99"/>
      <c r="X64" s="99"/>
      <c r="Y64" s="99"/>
      <c r="Z64" s="99"/>
      <c r="AA64" s="99"/>
      <c r="AB64" s="99"/>
      <c r="AD64" s="99"/>
      <c r="AE64" s="99"/>
      <c r="AF64" s="99"/>
      <c r="AG64" s="99"/>
      <c r="AH64" s="99"/>
      <c r="AI64" s="99"/>
      <c r="AK64" s="99"/>
      <c r="AL64" s="99"/>
      <c r="AM64" s="99"/>
      <c r="AN64" s="99"/>
      <c r="AO64" s="99"/>
      <c r="AP64" s="99"/>
      <c r="AR64" s="99"/>
      <c r="AS64" s="99"/>
      <c r="AT64" s="99"/>
      <c r="AU64" s="99"/>
      <c r="AV64" s="99"/>
      <c r="AW64" s="99"/>
      <c r="AY64" s="99"/>
      <c r="AZ64" s="117"/>
      <c r="BA64" s="117"/>
      <c r="BB64" s="117"/>
      <c r="BC64" s="117"/>
      <c r="BD64" s="117"/>
      <c r="BE64" s="117"/>
      <c r="BG64" s="446"/>
      <c r="BH64" s="446"/>
      <c r="BI64" s="446"/>
      <c r="BJ64" s="446"/>
      <c r="BK64" s="446"/>
      <c r="BL64" s="446"/>
    </row>
    <row r="65" spans="1:64" ht="12.75" hidden="1" customHeight="1" x14ac:dyDescent="0.25">
      <c r="A65" t="str">
        <f>Nutrients!B64</f>
        <v>Rice</v>
      </c>
      <c r="B65" s="99"/>
      <c r="C65" s="99"/>
      <c r="D65" s="99"/>
      <c r="E65" s="99"/>
      <c r="F65" s="99"/>
      <c r="G65" s="99"/>
      <c r="H65" s="99"/>
      <c r="I65" s="99"/>
      <c r="J65" s="99"/>
      <c r="K65" s="99"/>
      <c r="L65" s="99"/>
      <c r="M65" s="99"/>
      <c r="N65" s="99"/>
      <c r="O65" s="10"/>
      <c r="P65" s="99"/>
      <c r="Q65" s="99"/>
      <c r="R65" s="99"/>
      <c r="S65" s="99"/>
      <c r="T65" s="99"/>
      <c r="U65" s="99"/>
      <c r="W65" s="99"/>
      <c r="X65" s="99"/>
      <c r="Y65" s="99"/>
      <c r="Z65" s="99"/>
      <c r="AA65" s="99"/>
      <c r="AB65" s="99"/>
      <c r="AD65" s="99"/>
      <c r="AE65" s="99"/>
      <c r="AF65" s="99"/>
      <c r="AG65" s="99"/>
      <c r="AH65" s="99"/>
      <c r="AI65" s="99"/>
      <c r="AK65" s="99"/>
      <c r="AL65" s="99"/>
      <c r="AM65" s="99"/>
      <c r="AN65" s="99"/>
      <c r="AO65" s="99"/>
      <c r="AP65" s="99"/>
      <c r="AR65" s="99"/>
      <c r="AS65" s="99"/>
      <c r="AT65" s="99"/>
      <c r="AU65" s="99"/>
      <c r="AV65" s="99"/>
      <c r="AW65" s="99"/>
      <c r="AY65" s="99"/>
      <c r="AZ65" s="117"/>
      <c r="BA65" s="117"/>
      <c r="BB65" s="117"/>
      <c r="BC65" s="117"/>
      <c r="BD65" s="117"/>
      <c r="BE65" s="117"/>
      <c r="BG65" s="446"/>
      <c r="BH65" s="446"/>
      <c r="BI65" s="446"/>
      <c r="BJ65" s="446"/>
      <c r="BK65" s="446"/>
      <c r="BL65" s="446"/>
    </row>
    <row r="66" spans="1:64" ht="12.75" hidden="1" customHeight="1" x14ac:dyDescent="0.25">
      <c r="A66" t="str">
        <f>Nutrients!B65</f>
        <v>Rice Bran</v>
      </c>
      <c r="B66" s="99"/>
      <c r="C66" s="99"/>
      <c r="D66" s="99"/>
      <c r="E66" s="99"/>
      <c r="F66" s="99"/>
      <c r="G66" s="99"/>
      <c r="H66" s="99"/>
      <c r="I66" s="99"/>
      <c r="J66" s="99"/>
      <c r="K66" s="99"/>
      <c r="L66" s="99"/>
      <c r="M66" s="99"/>
      <c r="N66" s="99"/>
      <c r="O66" s="10"/>
      <c r="P66" s="99"/>
      <c r="Q66" s="99"/>
      <c r="R66" s="99"/>
      <c r="S66" s="99"/>
      <c r="T66" s="99"/>
      <c r="U66" s="99"/>
      <c r="W66" s="99"/>
      <c r="X66" s="99"/>
      <c r="Y66" s="99"/>
      <c r="Z66" s="99"/>
      <c r="AA66" s="99"/>
      <c r="AB66" s="99"/>
      <c r="AD66" s="99"/>
      <c r="AE66" s="99"/>
      <c r="AF66" s="99"/>
      <c r="AG66" s="99"/>
      <c r="AH66" s="99"/>
      <c r="AI66" s="99"/>
      <c r="AK66" s="99"/>
      <c r="AL66" s="99"/>
      <c r="AM66" s="99"/>
      <c r="AN66" s="99"/>
      <c r="AO66" s="99"/>
      <c r="AP66" s="99"/>
      <c r="AR66" s="99"/>
      <c r="AS66" s="99"/>
      <c r="AT66" s="99"/>
      <c r="AU66" s="99"/>
      <c r="AV66" s="99"/>
      <c r="AW66" s="99"/>
      <c r="AY66" s="99"/>
      <c r="AZ66" s="117"/>
      <c r="BA66" s="117"/>
      <c r="BB66" s="117"/>
      <c r="BC66" s="117"/>
      <c r="BD66" s="117"/>
      <c r="BE66" s="117"/>
      <c r="BG66" s="446"/>
      <c r="BH66" s="446"/>
      <c r="BI66" s="446"/>
      <c r="BJ66" s="446"/>
      <c r="BK66" s="446"/>
      <c r="BL66" s="446"/>
    </row>
    <row r="67" spans="1:64" ht="12.75" hidden="1" customHeight="1" x14ac:dyDescent="0.25">
      <c r="A67" t="str">
        <f>Nutrients!B66</f>
        <v>Rice Bran, Defatted</v>
      </c>
      <c r="B67" s="99"/>
      <c r="C67" s="99"/>
      <c r="D67" s="99"/>
      <c r="E67" s="99"/>
      <c r="F67" s="99"/>
      <c r="G67" s="99"/>
      <c r="H67" s="99"/>
      <c r="I67" s="99"/>
      <c r="J67" s="99"/>
      <c r="K67" s="99"/>
      <c r="L67" s="99"/>
      <c r="M67" s="99"/>
      <c r="N67" s="99"/>
      <c r="O67" s="10"/>
      <c r="P67" s="99"/>
      <c r="Q67" s="99"/>
      <c r="R67" s="99"/>
      <c r="S67" s="99"/>
      <c r="T67" s="99"/>
      <c r="U67" s="99"/>
      <c r="W67" s="99"/>
      <c r="X67" s="99"/>
      <c r="Y67" s="99"/>
      <c r="Z67" s="99"/>
      <c r="AA67" s="99"/>
      <c r="AB67" s="99"/>
      <c r="AD67" s="99"/>
      <c r="AE67" s="99"/>
      <c r="AF67" s="99"/>
      <c r="AG67" s="99"/>
      <c r="AH67" s="99"/>
      <c r="AI67" s="99"/>
      <c r="AK67" s="99"/>
      <c r="AL67" s="99"/>
      <c r="AM67" s="99"/>
      <c r="AN67" s="99"/>
      <c r="AO67" s="99"/>
      <c r="AP67" s="99"/>
      <c r="AR67" s="99"/>
      <c r="AS67" s="99"/>
      <c r="AT67" s="99"/>
      <c r="AU67" s="99"/>
      <c r="AV67" s="99"/>
      <c r="AW67" s="99"/>
      <c r="AY67" s="99"/>
      <c r="AZ67" s="117"/>
      <c r="BA67" s="117"/>
      <c r="BB67" s="117"/>
      <c r="BC67" s="117"/>
      <c r="BD67" s="117"/>
      <c r="BE67" s="117"/>
      <c r="BG67" s="446"/>
      <c r="BH67" s="446"/>
      <c r="BI67" s="446"/>
      <c r="BJ67" s="446"/>
      <c r="BK67" s="446"/>
      <c r="BL67" s="446"/>
    </row>
    <row r="68" spans="1:64" ht="12.75" hidden="1" customHeight="1" x14ac:dyDescent="0.25">
      <c r="A68" t="str">
        <f>Nutrients!B67</f>
        <v>Rice, Broken</v>
      </c>
      <c r="B68" s="99"/>
      <c r="C68" s="99"/>
      <c r="D68" s="99"/>
      <c r="E68" s="99"/>
      <c r="F68" s="99"/>
      <c r="G68" s="99"/>
      <c r="H68" s="99"/>
      <c r="I68" s="99"/>
      <c r="J68" s="99"/>
      <c r="K68" s="99"/>
      <c r="L68" s="99"/>
      <c r="M68" s="99"/>
      <c r="N68" s="99"/>
      <c r="O68" s="10"/>
      <c r="P68" s="99"/>
      <c r="Q68" s="99"/>
      <c r="R68" s="99"/>
      <c r="S68" s="99"/>
      <c r="T68" s="99"/>
      <c r="U68" s="99"/>
      <c r="W68" s="99"/>
      <c r="X68" s="99"/>
      <c r="Y68" s="99"/>
      <c r="Z68" s="99"/>
      <c r="AA68" s="99"/>
      <c r="AB68" s="99"/>
      <c r="AD68" s="99"/>
      <c r="AE68" s="99"/>
      <c r="AF68" s="99"/>
      <c r="AG68" s="99"/>
      <c r="AH68" s="99"/>
      <c r="AI68" s="99"/>
      <c r="AK68" s="99"/>
      <c r="AL68" s="99"/>
      <c r="AM68" s="99"/>
      <c r="AN68" s="99"/>
      <c r="AO68" s="99"/>
      <c r="AP68" s="99"/>
      <c r="AR68" s="99"/>
      <c r="AS68" s="99"/>
      <c r="AT68" s="99"/>
      <c r="AU68" s="99"/>
      <c r="AV68" s="99"/>
      <c r="AW68" s="99"/>
      <c r="AY68" s="99"/>
      <c r="AZ68" s="117"/>
      <c r="BA68" s="117"/>
      <c r="BB68" s="117"/>
      <c r="BC68" s="117"/>
      <c r="BD68" s="117"/>
      <c r="BE68" s="117"/>
      <c r="BG68" s="446"/>
      <c r="BH68" s="446"/>
      <c r="BI68" s="446"/>
      <c r="BJ68" s="446"/>
      <c r="BK68" s="446"/>
      <c r="BL68" s="446"/>
    </row>
    <row r="69" spans="1:64" ht="12.75" hidden="1" customHeight="1" x14ac:dyDescent="0.25">
      <c r="A69" t="str">
        <f>Nutrients!B68</f>
        <v>Rye</v>
      </c>
      <c r="B69" s="99"/>
      <c r="C69" s="99"/>
      <c r="D69" s="99"/>
      <c r="E69" s="99"/>
      <c r="F69" s="99"/>
      <c r="G69" s="99"/>
      <c r="H69" s="99"/>
      <c r="I69" s="99"/>
      <c r="J69" s="99"/>
      <c r="K69" s="99"/>
      <c r="L69" s="99"/>
      <c r="M69" s="99"/>
      <c r="N69" s="99"/>
      <c r="O69" s="10"/>
      <c r="P69" s="99"/>
      <c r="Q69" s="99"/>
      <c r="R69" s="99"/>
      <c r="S69" s="99"/>
      <c r="T69" s="99"/>
      <c r="U69" s="99"/>
      <c r="W69" s="99"/>
      <c r="X69" s="99"/>
      <c r="Y69" s="99"/>
      <c r="Z69" s="99"/>
      <c r="AA69" s="99"/>
      <c r="AB69" s="99"/>
      <c r="AD69" s="99"/>
      <c r="AE69" s="99"/>
      <c r="AF69" s="99"/>
      <c r="AG69" s="99"/>
      <c r="AH69" s="99"/>
      <c r="AI69" s="99"/>
      <c r="AK69" s="99"/>
      <c r="AL69" s="99"/>
      <c r="AM69" s="99"/>
      <c r="AN69" s="99"/>
      <c r="AO69" s="99"/>
      <c r="AP69" s="99"/>
      <c r="AR69" s="99"/>
      <c r="AS69" s="99"/>
      <c r="AT69" s="99"/>
      <c r="AU69" s="99"/>
      <c r="AV69" s="99"/>
      <c r="AW69" s="99"/>
      <c r="AY69" s="99"/>
      <c r="AZ69" s="117"/>
      <c r="BA69" s="117"/>
      <c r="BB69" s="117"/>
      <c r="BC69" s="117"/>
      <c r="BD69" s="117"/>
      <c r="BE69" s="117"/>
      <c r="BG69" s="446"/>
      <c r="BH69" s="446"/>
      <c r="BI69" s="446"/>
      <c r="BJ69" s="446"/>
      <c r="BK69" s="446"/>
      <c r="BL69" s="446"/>
    </row>
    <row r="70" spans="1:64" ht="12.75" hidden="1" customHeight="1" x14ac:dyDescent="0.25">
      <c r="A70" t="str">
        <f>Nutrients!B69</f>
        <v>Sesame Meal</v>
      </c>
      <c r="B70" s="99"/>
      <c r="C70" s="99"/>
      <c r="D70" s="99"/>
      <c r="E70" s="99"/>
      <c r="F70" s="99"/>
      <c r="G70" s="99"/>
      <c r="H70" s="99"/>
      <c r="I70" s="99"/>
      <c r="J70" s="99"/>
      <c r="K70" s="99"/>
      <c r="L70" s="99"/>
      <c r="M70" s="99"/>
      <c r="N70" s="99"/>
      <c r="O70" s="10"/>
      <c r="P70" s="99"/>
      <c r="Q70" s="99"/>
      <c r="R70" s="99"/>
      <c r="S70" s="99"/>
      <c r="T70" s="99"/>
      <c r="U70" s="99"/>
      <c r="W70" s="99"/>
      <c r="X70" s="99"/>
      <c r="Y70" s="99"/>
      <c r="Z70" s="99"/>
      <c r="AA70" s="99"/>
      <c r="AB70" s="99"/>
      <c r="AD70" s="99"/>
      <c r="AE70" s="99"/>
      <c r="AF70" s="99"/>
      <c r="AG70" s="99"/>
      <c r="AH70" s="99"/>
      <c r="AI70" s="99"/>
      <c r="AK70" s="99"/>
      <c r="AL70" s="99"/>
      <c r="AM70" s="99"/>
      <c r="AN70" s="99"/>
      <c r="AO70" s="99"/>
      <c r="AP70" s="99"/>
      <c r="AR70" s="99"/>
      <c r="AS70" s="99"/>
      <c r="AT70" s="99"/>
      <c r="AU70" s="99"/>
      <c r="AV70" s="99"/>
      <c r="AW70" s="99"/>
      <c r="AY70" s="99"/>
      <c r="AZ70" s="117"/>
      <c r="BA70" s="117"/>
      <c r="BB70" s="117"/>
      <c r="BC70" s="117"/>
      <c r="BD70" s="117"/>
      <c r="BE70" s="117"/>
      <c r="BG70" s="446"/>
      <c r="BH70" s="446"/>
      <c r="BI70" s="446"/>
      <c r="BJ70" s="446"/>
      <c r="BK70" s="446"/>
      <c r="BL70" s="446"/>
    </row>
    <row r="71" spans="1:64" ht="12.75" hidden="1" customHeight="1" x14ac:dyDescent="0.25">
      <c r="A71" t="str">
        <f>Nutrients!B70</f>
        <v>Sorghum</v>
      </c>
      <c r="B71" s="99"/>
      <c r="C71" s="99"/>
      <c r="D71" s="99"/>
      <c r="E71" s="99"/>
      <c r="F71" s="99"/>
      <c r="G71" s="99"/>
      <c r="H71" s="99"/>
      <c r="I71" s="99"/>
      <c r="J71" s="99"/>
      <c r="K71" s="99"/>
      <c r="L71" s="99"/>
      <c r="M71" s="99"/>
      <c r="N71" s="99"/>
      <c r="O71" s="10"/>
      <c r="P71" s="99"/>
      <c r="Q71" s="99"/>
      <c r="R71" s="99"/>
      <c r="S71" s="99"/>
      <c r="T71" s="99"/>
      <c r="U71" s="99"/>
      <c r="W71" s="99"/>
      <c r="X71" s="99"/>
      <c r="Y71" s="99"/>
      <c r="Z71" s="99"/>
      <c r="AA71" s="99"/>
      <c r="AB71" s="99"/>
      <c r="AD71" s="99"/>
      <c r="AE71" s="99"/>
      <c r="AF71" s="99"/>
      <c r="AG71" s="99"/>
      <c r="AH71" s="99"/>
      <c r="AI71" s="99"/>
      <c r="AK71" s="99"/>
      <c r="AL71" s="99"/>
      <c r="AM71" s="99"/>
      <c r="AN71" s="99"/>
      <c r="AO71" s="99"/>
      <c r="AP71" s="99"/>
      <c r="AR71" s="99"/>
      <c r="AS71" s="99"/>
      <c r="AT71" s="99"/>
      <c r="AU71" s="99"/>
      <c r="AV71" s="99"/>
      <c r="AW71" s="99"/>
      <c r="AY71" s="99"/>
      <c r="AZ71" s="117"/>
      <c r="BA71" s="117"/>
      <c r="BB71" s="117"/>
      <c r="BC71" s="117"/>
      <c r="BD71" s="117"/>
      <c r="BE71" s="117"/>
      <c r="BG71" s="446"/>
      <c r="BH71" s="446"/>
      <c r="BI71" s="446"/>
      <c r="BJ71" s="446"/>
      <c r="BK71" s="446"/>
      <c r="BL71" s="446"/>
    </row>
    <row r="72" spans="1:64" ht="12.75" hidden="1" customHeight="1" x14ac:dyDescent="0.25">
      <c r="A72" t="str">
        <f>Nutrients!B71</f>
        <v>Soybeans, Full Fat</v>
      </c>
      <c r="B72" s="99"/>
      <c r="C72" s="99"/>
      <c r="D72" s="99"/>
      <c r="E72" s="99"/>
      <c r="F72" s="99"/>
      <c r="G72" s="99"/>
      <c r="H72" s="99"/>
      <c r="I72" s="99"/>
      <c r="J72" s="99"/>
      <c r="K72" s="99"/>
      <c r="L72" s="99"/>
      <c r="M72" s="99"/>
      <c r="N72" s="99"/>
      <c r="O72" s="10"/>
      <c r="P72" s="99"/>
      <c r="Q72" s="99"/>
      <c r="R72" s="99"/>
      <c r="S72" s="99"/>
      <c r="T72" s="99"/>
      <c r="U72" s="99"/>
      <c r="W72" s="99"/>
      <c r="X72" s="99"/>
      <c r="Y72" s="99"/>
      <c r="Z72" s="99"/>
      <c r="AA72" s="99"/>
      <c r="AB72" s="99"/>
      <c r="AD72" s="99"/>
      <c r="AE72" s="99"/>
      <c r="AF72" s="99"/>
      <c r="AG72" s="99"/>
      <c r="AH72" s="99"/>
      <c r="AI72" s="99"/>
      <c r="AK72" s="99"/>
      <c r="AL72" s="99"/>
      <c r="AM72" s="99"/>
      <c r="AN72" s="99"/>
      <c r="AO72" s="99"/>
      <c r="AP72" s="99"/>
      <c r="AR72" s="99"/>
      <c r="AS72" s="99"/>
      <c r="AT72" s="99"/>
      <c r="AU72" s="99"/>
      <c r="AV72" s="99"/>
      <c r="AW72" s="99"/>
      <c r="AY72" s="99"/>
      <c r="AZ72" s="117"/>
      <c r="BA72" s="117"/>
      <c r="BB72" s="117"/>
      <c r="BC72" s="117"/>
      <c r="BD72" s="117"/>
      <c r="BE72" s="117"/>
      <c r="BG72" s="446"/>
      <c r="BH72" s="446"/>
      <c r="BI72" s="446"/>
      <c r="BJ72" s="446"/>
      <c r="BK72" s="446"/>
      <c r="BL72" s="446"/>
    </row>
    <row r="73" spans="1:64" ht="12.75" hidden="1" customHeight="1" x14ac:dyDescent="0.25">
      <c r="A73" t="str">
        <f>Nutrients!B72</f>
        <v>Soybeans, High Protein, Full Fat</v>
      </c>
      <c r="B73" s="99"/>
      <c r="C73" s="99"/>
      <c r="D73" s="99"/>
      <c r="E73" s="99"/>
      <c r="F73" s="99"/>
      <c r="G73" s="99"/>
      <c r="H73" s="99"/>
      <c r="I73" s="99"/>
      <c r="J73" s="99"/>
      <c r="K73" s="99"/>
      <c r="L73" s="99"/>
      <c r="M73" s="99"/>
      <c r="N73" s="99"/>
      <c r="O73" s="10"/>
      <c r="P73" s="99"/>
      <c r="Q73" s="99"/>
      <c r="R73" s="99"/>
      <c r="S73" s="99"/>
      <c r="T73" s="99"/>
      <c r="U73" s="99"/>
      <c r="W73" s="99"/>
      <c r="X73" s="99"/>
      <c r="Y73" s="99"/>
      <c r="Z73" s="99"/>
      <c r="AA73" s="99"/>
      <c r="AB73" s="99"/>
      <c r="AD73" s="99"/>
      <c r="AE73" s="99"/>
      <c r="AF73" s="99"/>
      <c r="AG73" s="99"/>
      <c r="AH73" s="99"/>
      <c r="AI73" s="99"/>
      <c r="AK73" s="99"/>
      <c r="AL73" s="99"/>
      <c r="AM73" s="99"/>
      <c r="AN73" s="99"/>
      <c r="AO73" s="99"/>
      <c r="AP73" s="99"/>
      <c r="AR73" s="99"/>
      <c r="AS73" s="99"/>
      <c r="AT73" s="99"/>
      <c r="AU73" s="99"/>
      <c r="AV73" s="99"/>
      <c r="AW73" s="99"/>
      <c r="AY73" s="99"/>
      <c r="AZ73" s="117"/>
      <c r="BA73" s="117"/>
      <c r="BB73" s="117"/>
      <c r="BC73" s="117"/>
      <c r="BD73" s="117"/>
      <c r="BE73" s="117"/>
      <c r="BG73" s="446"/>
      <c r="BH73" s="446"/>
      <c r="BI73" s="446"/>
      <c r="BJ73" s="446"/>
      <c r="BK73" s="446"/>
      <c r="BL73" s="446"/>
    </row>
    <row r="74" spans="1:64" ht="12.75" hidden="1" customHeight="1" x14ac:dyDescent="0.25">
      <c r="A74" t="str">
        <f>Nutrients!B73</f>
        <v>Soybeans, Low Oligosaccharide, Full Fat</v>
      </c>
      <c r="B74" s="99"/>
      <c r="C74" s="99"/>
      <c r="D74" s="99"/>
      <c r="E74" s="99"/>
      <c r="F74" s="99"/>
      <c r="G74" s="99"/>
      <c r="H74" s="99"/>
      <c r="I74" s="99"/>
      <c r="J74" s="99"/>
      <c r="K74" s="99"/>
      <c r="L74" s="99"/>
      <c r="M74" s="99"/>
      <c r="N74" s="99"/>
      <c r="O74" s="10"/>
      <c r="P74" s="99"/>
      <c r="Q74" s="99"/>
      <c r="R74" s="99"/>
      <c r="S74" s="99"/>
      <c r="T74" s="99"/>
      <c r="U74" s="99"/>
      <c r="W74" s="99"/>
      <c r="X74" s="99"/>
      <c r="Y74" s="99"/>
      <c r="Z74" s="99"/>
      <c r="AA74" s="99"/>
      <c r="AB74" s="99"/>
      <c r="AD74" s="99"/>
      <c r="AE74" s="99"/>
      <c r="AF74" s="99"/>
      <c r="AG74" s="99"/>
      <c r="AH74" s="99"/>
      <c r="AI74" s="99"/>
      <c r="AK74" s="99"/>
      <c r="AL74" s="99"/>
      <c r="AM74" s="99"/>
      <c r="AN74" s="99"/>
      <c r="AO74" s="99"/>
      <c r="AP74" s="99"/>
      <c r="AR74" s="99"/>
      <c r="AS74" s="99"/>
      <c r="AT74" s="99"/>
      <c r="AU74" s="99"/>
      <c r="AV74" s="99"/>
      <c r="AW74" s="99"/>
      <c r="AY74" s="99"/>
      <c r="AZ74" s="117"/>
      <c r="BA74" s="117"/>
      <c r="BB74" s="117"/>
      <c r="BC74" s="117"/>
      <c r="BD74" s="117"/>
      <c r="BE74" s="117"/>
      <c r="BG74" s="446"/>
      <c r="BH74" s="446"/>
      <c r="BI74" s="446"/>
      <c r="BJ74" s="446"/>
      <c r="BK74" s="446"/>
      <c r="BL74" s="446"/>
    </row>
    <row r="75" spans="1:64" ht="12.75" hidden="1" customHeight="1" x14ac:dyDescent="0.25">
      <c r="A75" t="str">
        <f>Nutrients!B74</f>
        <v>Soybean Meal, High Protein, Expelled</v>
      </c>
      <c r="B75" s="99"/>
      <c r="C75" s="99"/>
      <c r="D75" s="99"/>
      <c r="E75" s="99"/>
      <c r="F75" s="99"/>
      <c r="G75" s="99"/>
      <c r="H75" s="99"/>
      <c r="I75" s="99"/>
      <c r="J75" s="99"/>
      <c r="K75" s="99"/>
      <c r="L75" s="99"/>
      <c r="M75" s="99"/>
      <c r="N75" s="99"/>
      <c r="O75" s="10"/>
      <c r="P75" s="99"/>
      <c r="Q75" s="99"/>
      <c r="R75" s="99"/>
      <c r="S75" s="99"/>
      <c r="T75" s="99"/>
      <c r="U75" s="99"/>
      <c r="W75" s="99"/>
      <c r="X75" s="99"/>
      <c r="Y75" s="99"/>
      <c r="Z75" s="99"/>
      <c r="AA75" s="99"/>
      <c r="AB75" s="99"/>
      <c r="AD75" s="99"/>
      <c r="AE75" s="99"/>
      <c r="AF75" s="99"/>
      <c r="AG75" s="99"/>
      <c r="AH75" s="99"/>
      <c r="AI75" s="99"/>
      <c r="AK75" s="99"/>
      <c r="AL75" s="99"/>
      <c r="AM75" s="99"/>
      <c r="AN75" s="99"/>
      <c r="AO75" s="99"/>
      <c r="AP75" s="99"/>
      <c r="AR75" s="99"/>
      <c r="AS75" s="99"/>
      <c r="AT75" s="99"/>
      <c r="AU75" s="99"/>
      <c r="AV75" s="99"/>
      <c r="AW75" s="99"/>
      <c r="AY75" s="99"/>
      <c r="AZ75" s="117"/>
      <c r="BA75" s="117"/>
      <c r="BB75" s="117"/>
      <c r="BC75" s="117"/>
      <c r="BD75" s="117"/>
      <c r="BE75" s="117"/>
      <c r="BG75" s="446"/>
      <c r="BH75" s="446"/>
      <c r="BI75" s="446"/>
      <c r="BJ75" s="446"/>
      <c r="BK75" s="446"/>
      <c r="BL75" s="446"/>
    </row>
    <row r="76" spans="1:64" ht="12.75" hidden="1" customHeight="1" x14ac:dyDescent="0.25">
      <c r="A76" t="str">
        <f>Nutrients!B75</f>
        <v>Soybean Meal, Low Oligosacch, Expell</v>
      </c>
      <c r="B76" s="99"/>
      <c r="C76" s="99"/>
      <c r="D76" s="99"/>
      <c r="E76" s="99"/>
      <c r="F76" s="99"/>
      <c r="G76" s="99"/>
      <c r="H76" s="99"/>
      <c r="I76" s="99"/>
      <c r="J76" s="99"/>
      <c r="K76" s="99"/>
      <c r="L76" s="99"/>
      <c r="M76" s="99"/>
      <c r="N76" s="99"/>
      <c r="O76" s="10"/>
      <c r="P76" s="99"/>
      <c r="Q76" s="99"/>
      <c r="R76" s="99"/>
      <c r="S76" s="99"/>
      <c r="T76" s="99"/>
      <c r="U76" s="99"/>
      <c r="W76" s="99"/>
      <c r="X76" s="99"/>
      <c r="Y76" s="99"/>
      <c r="Z76" s="99"/>
      <c r="AA76" s="99"/>
      <c r="AB76" s="99"/>
      <c r="AD76" s="99"/>
      <c r="AE76" s="99"/>
      <c r="AF76" s="99"/>
      <c r="AG76" s="99"/>
      <c r="AH76" s="99"/>
      <c r="AI76" s="99"/>
      <c r="AK76" s="99"/>
      <c r="AL76" s="99"/>
      <c r="AM76" s="99"/>
      <c r="AN76" s="99"/>
      <c r="AO76" s="99"/>
      <c r="AP76" s="99"/>
      <c r="AR76" s="99"/>
      <c r="AS76" s="99"/>
      <c r="AT76" s="99"/>
      <c r="AU76" s="99"/>
      <c r="AV76" s="99"/>
      <c r="AW76" s="99"/>
      <c r="AY76" s="99"/>
      <c r="AZ76" s="117"/>
      <c r="BA76" s="117"/>
      <c r="BB76" s="117"/>
      <c r="BC76" s="117"/>
      <c r="BD76" s="117"/>
      <c r="BE76" s="117"/>
      <c r="BG76" s="446"/>
      <c r="BH76" s="446"/>
      <c r="BI76" s="446"/>
      <c r="BJ76" s="446"/>
      <c r="BK76" s="446"/>
      <c r="BL76" s="446"/>
    </row>
    <row r="77" spans="1:64" ht="12.75" hidden="1" customHeight="1" x14ac:dyDescent="0.25">
      <c r="A77" t="str">
        <f>Nutrients!B76</f>
        <v>Soybean Meal, Expelled</v>
      </c>
      <c r="B77" s="99"/>
      <c r="C77" s="99"/>
      <c r="D77" s="99"/>
      <c r="E77" s="99"/>
      <c r="F77" s="99"/>
      <c r="G77" s="99"/>
      <c r="H77" s="99"/>
      <c r="I77" s="99"/>
      <c r="J77" s="99"/>
      <c r="K77" s="99"/>
      <c r="L77" s="99"/>
      <c r="M77" s="99"/>
      <c r="N77" s="99"/>
      <c r="O77" s="10"/>
      <c r="P77" s="99"/>
      <c r="Q77" s="99"/>
      <c r="R77" s="99"/>
      <c r="S77" s="99"/>
      <c r="T77" s="99"/>
      <c r="U77" s="99"/>
      <c r="W77" s="99"/>
      <c r="X77" s="99"/>
      <c r="Y77" s="99"/>
      <c r="Z77" s="99"/>
      <c r="AA77" s="99"/>
      <c r="AB77" s="99"/>
      <c r="AD77" s="99"/>
      <c r="AE77" s="99"/>
      <c r="AF77" s="99"/>
      <c r="AG77" s="99"/>
      <c r="AH77" s="99"/>
      <c r="AI77" s="99"/>
      <c r="AK77" s="99"/>
      <c r="AL77" s="99"/>
      <c r="AM77" s="99"/>
      <c r="AN77" s="99"/>
      <c r="AO77" s="99"/>
      <c r="AP77" s="99"/>
      <c r="AR77" s="99"/>
      <c r="AS77" s="99"/>
      <c r="AT77" s="99"/>
      <c r="AU77" s="99"/>
      <c r="AV77" s="99"/>
      <c r="AW77" s="99"/>
      <c r="AY77" s="99"/>
      <c r="AZ77" s="117"/>
      <c r="BA77" s="117"/>
      <c r="BB77" s="117"/>
      <c r="BC77" s="117"/>
      <c r="BD77" s="117"/>
      <c r="BE77" s="117"/>
      <c r="BG77" s="446"/>
      <c r="BH77" s="446"/>
      <c r="BI77" s="446"/>
      <c r="BJ77" s="446"/>
      <c r="BK77" s="446"/>
      <c r="BL77" s="446"/>
    </row>
    <row r="78" spans="1:64" ht="12.75" hidden="1" customHeight="1" x14ac:dyDescent="0.25">
      <c r="A78" t="str">
        <f>Nutrients!B77</f>
        <v>Soybean Meal, Dehulled, Expelled</v>
      </c>
      <c r="B78" s="99"/>
      <c r="C78" s="99"/>
      <c r="D78" s="99"/>
      <c r="E78" s="99"/>
      <c r="F78" s="99"/>
      <c r="G78" s="99"/>
      <c r="H78" s="99"/>
      <c r="I78" s="99"/>
      <c r="J78" s="99"/>
      <c r="K78" s="99"/>
      <c r="L78" s="99"/>
      <c r="M78" s="99"/>
      <c r="N78" s="99"/>
      <c r="O78" s="10"/>
      <c r="P78" s="99"/>
      <c r="Q78" s="99"/>
      <c r="R78" s="99"/>
      <c r="S78" s="99"/>
      <c r="T78" s="99"/>
      <c r="U78" s="99"/>
      <c r="W78" s="99"/>
      <c r="X78" s="99"/>
      <c r="Y78" s="99"/>
      <c r="Z78" s="99"/>
      <c r="AA78" s="99"/>
      <c r="AB78" s="99"/>
      <c r="AD78" s="99"/>
      <c r="AE78" s="99"/>
      <c r="AF78" s="99"/>
      <c r="AG78" s="99"/>
      <c r="AH78" s="99"/>
      <c r="AI78" s="99"/>
      <c r="AK78" s="99"/>
      <c r="AL78" s="99"/>
      <c r="AM78" s="99"/>
      <c r="AN78" s="99"/>
      <c r="AO78" s="99"/>
      <c r="AP78" s="99"/>
      <c r="AR78" s="99"/>
      <c r="AS78" s="99"/>
      <c r="AT78" s="99"/>
      <c r="AU78" s="99"/>
      <c r="AV78" s="99"/>
      <c r="AW78" s="99"/>
      <c r="AY78" s="99"/>
      <c r="AZ78" s="117"/>
      <c r="BA78" s="117"/>
      <c r="BB78" s="117"/>
      <c r="BC78" s="117"/>
      <c r="BD78" s="117"/>
      <c r="BE78" s="117"/>
      <c r="BG78" s="446"/>
      <c r="BH78" s="446"/>
      <c r="BI78" s="446"/>
      <c r="BJ78" s="446"/>
      <c r="BK78" s="446"/>
      <c r="BL78" s="446"/>
    </row>
    <row r="79" spans="1:64" ht="12.75" hidden="1" customHeight="1" x14ac:dyDescent="0.25">
      <c r="A79" t="str">
        <f>Nutrients!B78</f>
        <v>Soybean Meal, Solvent Extracted</v>
      </c>
      <c r="B79" s="99"/>
      <c r="C79" s="99"/>
      <c r="D79" s="99"/>
      <c r="E79" s="99"/>
      <c r="F79" s="99"/>
      <c r="G79" s="99"/>
      <c r="H79" s="99"/>
      <c r="I79" s="99"/>
      <c r="J79" s="99"/>
      <c r="K79" s="99"/>
      <c r="L79" s="99"/>
      <c r="M79" s="99"/>
      <c r="N79" s="99"/>
      <c r="O79" s="10"/>
      <c r="P79" s="99"/>
      <c r="Q79" s="99"/>
      <c r="R79" s="99"/>
      <c r="S79" s="99"/>
      <c r="T79" s="99"/>
      <c r="U79" s="99"/>
      <c r="W79" s="99"/>
      <c r="X79" s="99"/>
      <c r="Y79" s="99"/>
      <c r="Z79" s="99"/>
      <c r="AA79" s="99"/>
      <c r="AB79" s="99"/>
      <c r="AD79" s="99"/>
      <c r="AE79" s="99"/>
      <c r="AF79" s="99"/>
      <c r="AG79" s="99"/>
      <c r="AH79" s="99"/>
      <c r="AI79" s="99"/>
      <c r="AK79" s="99"/>
      <c r="AL79" s="99"/>
      <c r="AM79" s="99"/>
      <c r="AN79" s="99"/>
      <c r="AO79" s="99"/>
      <c r="AP79" s="99"/>
      <c r="AR79" s="99"/>
      <c r="AS79" s="99"/>
      <c r="AT79" s="99"/>
      <c r="AU79" s="99"/>
      <c r="AV79" s="99"/>
      <c r="AW79" s="99"/>
      <c r="AY79" s="99"/>
      <c r="AZ79" s="117"/>
      <c r="BA79" s="117"/>
      <c r="BB79" s="117"/>
      <c r="BC79" s="117"/>
      <c r="BD79" s="117"/>
      <c r="BE79" s="117"/>
      <c r="BG79" s="446"/>
      <c r="BH79" s="446"/>
      <c r="BI79" s="446"/>
      <c r="BJ79" s="446"/>
      <c r="BK79" s="446"/>
      <c r="BL79" s="446"/>
    </row>
    <row r="80" spans="1:64" ht="12.75" hidden="1" customHeight="1" x14ac:dyDescent="0.25">
      <c r="A80" t="str">
        <f>Nutrients!B79</f>
        <v>Soybean Meal, Dehull, Sol Extr</v>
      </c>
      <c r="B80" s="99"/>
      <c r="C80" s="99"/>
      <c r="D80" s="99"/>
      <c r="E80" s="99"/>
      <c r="F80" s="99"/>
      <c r="G80" s="99"/>
      <c r="H80" s="99"/>
      <c r="I80" s="99"/>
      <c r="J80" s="99"/>
      <c r="K80" s="99"/>
      <c r="L80" s="99"/>
      <c r="M80" s="99"/>
      <c r="N80" s="99"/>
      <c r="O80" s="10"/>
      <c r="P80" s="99"/>
      <c r="Q80" s="99"/>
      <c r="R80" s="99"/>
      <c r="S80" s="99"/>
      <c r="T80" s="99"/>
      <c r="U80" s="99"/>
      <c r="W80" s="99"/>
      <c r="X80" s="99"/>
      <c r="Y80" s="99"/>
      <c r="Z80" s="99"/>
      <c r="AA80" s="99"/>
      <c r="AB80" s="99"/>
      <c r="AD80" s="99"/>
      <c r="AE80" s="99"/>
      <c r="AF80" s="99"/>
      <c r="AG80" s="99"/>
      <c r="AH80" s="99"/>
      <c r="AI80" s="99"/>
      <c r="AK80" s="99"/>
      <c r="AL80" s="99"/>
      <c r="AM80" s="99"/>
      <c r="AN80" s="99"/>
      <c r="AO80" s="99"/>
      <c r="AP80" s="99"/>
      <c r="AR80" s="99"/>
      <c r="AS80" s="99"/>
      <c r="AT80" s="99"/>
      <c r="AU80" s="99"/>
      <c r="AV80" s="99"/>
      <c r="AW80" s="99"/>
      <c r="AY80" s="99"/>
      <c r="AZ80" s="117"/>
      <c r="BA80" s="117"/>
      <c r="BB80" s="117"/>
      <c r="BC80" s="117"/>
      <c r="BD80" s="117"/>
      <c r="BE80" s="117"/>
      <c r="BG80" s="446"/>
      <c r="BH80" s="446"/>
      <c r="BI80" s="446"/>
      <c r="BJ80" s="446"/>
      <c r="BK80" s="446"/>
      <c r="BL80" s="446"/>
    </row>
    <row r="81" spans="1:64" ht="12.75" hidden="1" customHeight="1" x14ac:dyDescent="0.25">
      <c r="A81" t="str">
        <f>Nutrients!B80</f>
        <v>Soybean Meal, High Prot, Dehull, Solv Extr</v>
      </c>
      <c r="B81" s="99"/>
      <c r="C81" s="99"/>
      <c r="D81" s="99"/>
      <c r="E81" s="99"/>
      <c r="F81" s="99"/>
      <c r="G81" s="99"/>
      <c r="H81" s="99"/>
      <c r="I81" s="99"/>
      <c r="J81" s="99"/>
      <c r="K81" s="99"/>
      <c r="L81" s="99"/>
      <c r="M81" s="99"/>
      <c r="N81" s="99"/>
      <c r="O81" s="10"/>
      <c r="P81" s="99"/>
      <c r="Q81" s="99"/>
      <c r="R81" s="99"/>
      <c r="S81" s="99"/>
      <c r="T81" s="99"/>
      <c r="U81" s="99"/>
      <c r="W81" s="99"/>
      <c r="X81" s="99"/>
      <c r="Y81" s="99"/>
      <c r="Z81" s="99"/>
      <c r="AA81" s="99"/>
      <c r="AB81" s="99"/>
      <c r="AD81" s="99"/>
      <c r="AE81" s="99"/>
      <c r="AF81" s="99"/>
      <c r="AG81" s="99"/>
      <c r="AH81" s="99"/>
      <c r="AI81" s="99"/>
      <c r="AK81" s="99"/>
      <c r="AL81" s="99"/>
      <c r="AM81" s="99"/>
      <c r="AN81" s="99"/>
      <c r="AO81" s="99"/>
      <c r="AP81" s="99"/>
      <c r="AR81" s="99"/>
      <c r="AS81" s="99"/>
      <c r="AT81" s="99"/>
      <c r="AU81" s="99"/>
      <c r="AV81" s="99"/>
      <c r="AW81" s="99"/>
      <c r="AY81" s="99"/>
      <c r="AZ81" s="117"/>
      <c r="BA81" s="117"/>
      <c r="BB81" s="117"/>
      <c r="BC81" s="117"/>
      <c r="BD81" s="117"/>
      <c r="BE81" s="117"/>
      <c r="BG81" s="446"/>
      <c r="BH81" s="446"/>
      <c r="BI81" s="446"/>
      <c r="BJ81" s="446"/>
      <c r="BK81" s="446"/>
      <c r="BL81" s="446"/>
    </row>
    <row r="82" spans="1:64" ht="12.75" hidden="1" customHeight="1" x14ac:dyDescent="0.25">
      <c r="A82" t="str">
        <f>Nutrients!B81</f>
        <v>Soybean Meal, Enzyme Treated</v>
      </c>
      <c r="B82" s="99"/>
      <c r="C82" s="99"/>
      <c r="D82" s="99"/>
      <c r="E82" s="99"/>
      <c r="F82" s="99"/>
      <c r="G82" s="99"/>
      <c r="H82" s="99"/>
      <c r="I82" s="99"/>
      <c r="J82" s="99"/>
      <c r="K82" s="99"/>
      <c r="L82" s="99"/>
      <c r="M82" s="99"/>
      <c r="N82" s="99"/>
      <c r="O82" s="10"/>
      <c r="P82" s="99"/>
      <c r="Q82" s="99"/>
      <c r="R82" s="99"/>
      <c r="S82" s="99"/>
      <c r="T82" s="99"/>
      <c r="U82" s="99"/>
      <c r="W82" s="99"/>
      <c r="X82" s="99"/>
      <c r="Y82" s="99"/>
      <c r="Z82" s="99"/>
      <c r="AA82" s="99"/>
      <c r="AB82" s="99"/>
      <c r="AD82" s="99"/>
      <c r="AE82" s="99"/>
      <c r="AF82" s="99"/>
      <c r="AG82" s="99"/>
      <c r="AH82" s="99"/>
      <c r="AI82" s="99"/>
      <c r="AK82" s="99"/>
      <c r="AL82" s="99"/>
      <c r="AM82" s="99"/>
      <c r="AN82" s="99"/>
      <c r="AO82" s="99"/>
      <c r="AP82" s="99"/>
      <c r="AR82" s="99"/>
      <c r="AS82" s="99"/>
      <c r="AT82" s="99"/>
      <c r="AU82" s="99"/>
      <c r="AV82" s="99"/>
      <c r="AW82" s="99"/>
      <c r="AY82" s="99"/>
      <c r="AZ82" s="117"/>
      <c r="BA82" s="117"/>
      <c r="BB82" s="117"/>
      <c r="BC82" s="117"/>
      <c r="BD82" s="117"/>
      <c r="BE82" s="117"/>
      <c r="BG82" s="446"/>
      <c r="BH82" s="446"/>
      <c r="BI82" s="446"/>
      <c r="BJ82" s="446"/>
      <c r="BK82" s="446"/>
      <c r="BL82" s="446"/>
    </row>
    <row r="83" spans="1:64" ht="12.75" hidden="1" customHeight="1" x14ac:dyDescent="0.25">
      <c r="A83" t="str">
        <f>Nutrients!B82</f>
        <v>Soybean Meal, Fermented</v>
      </c>
      <c r="B83" s="99"/>
      <c r="C83" s="99"/>
      <c r="D83" s="99"/>
      <c r="E83" s="99"/>
      <c r="F83" s="99"/>
      <c r="G83" s="99"/>
      <c r="H83" s="99"/>
      <c r="I83" s="99"/>
      <c r="J83" s="99"/>
      <c r="K83" s="99"/>
      <c r="L83" s="99"/>
      <c r="M83" s="99"/>
      <c r="N83" s="99"/>
      <c r="O83" s="10"/>
      <c r="P83" s="99"/>
      <c r="Q83" s="99"/>
      <c r="R83" s="99"/>
      <c r="S83" s="99"/>
      <c r="T83" s="99"/>
      <c r="U83" s="99"/>
      <c r="W83" s="99"/>
      <c r="X83" s="99"/>
      <c r="Y83" s="99"/>
      <c r="Z83" s="99"/>
      <c r="AA83" s="99"/>
      <c r="AB83" s="99"/>
      <c r="AD83" s="99"/>
      <c r="AE83" s="99"/>
      <c r="AF83" s="99"/>
      <c r="AG83" s="99"/>
      <c r="AH83" s="99"/>
      <c r="AI83" s="99"/>
      <c r="AK83" s="99"/>
      <c r="AL83" s="99"/>
      <c r="AM83" s="99"/>
      <c r="AN83" s="99"/>
      <c r="AO83" s="99"/>
      <c r="AP83" s="99"/>
      <c r="AR83" s="99"/>
      <c r="AS83" s="99"/>
      <c r="AT83" s="99"/>
      <c r="AU83" s="99"/>
      <c r="AV83" s="99"/>
      <c r="AW83" s="99"/>
      <c r="AY83" s="99"/>
      <c r="AZ83" s="117"/>
      <c r="BA83" s="117"/>
      <c r="BB83" s="117"/>
      <c r="BC83" s="117"/>
      <c r="BD83" s="117"/>
      <c r="BE83" s="117"/>
      <c r="BG83" s="446"/>
      <c r="BH83" s="446"/>
      <c r="BI83" s="446"/>
      <c r="BJ83" s="446"/>
      <c r="BK83" s="446"/>
      <c r="BL83" s="446"/>
    </row>
    <row r="84" spans="1:64" ht="12.75" hidden="1" customHeight="1" x14ac:dyDescent="0.25">
      <c r="A84" t="str">
        <f>Nutrients!B83</f>
        <v>Soybean Hulls</v>
      </c>
      <c r="B84" s="99"/>
      <c r="C84" s="99"/>
      <c r="D84" s="99"/>
      <c r="E84" s="99"/>
      <c r="F84" s="99"/>
      <c r="G84" s="99"/>
      <c r="H84" s="99"/>
      <c r="I84" s="99"/>
      <c r="J84" s="99"/>
      <c r="K84" s="99"/>
      <c r="L84" s="99"/>
      <c r="M84" s="99"/>
      <c r="N84" s="99"/>
      <c r="O84" s="10"/>
      <c r="P84" s="99"/>
      <c r="Q84" s="99"/>
      <c r="R84" s="99"/>
      <c r="S84" s="99"/>
      <c r="T84" s="99"/>
      <c r="U84" s="99"/>
      <c r="W84" s="99"/>
      <c r="X84" s="99"/>
      <c r="Y84" s="99"/>
      <c r="Z84" s="99"/>
      <c r="AA84" s="99"/>
      <c r="AB84" s="99"/>
      <c r="AD84" s="99"/>
      <c r="AE84" s="99"/>
      <c r="AF84" s="99"/>
      <c r="AG84" s="99"/>
      <c r="AH84" s="99"/>
      <c r="AI84" s="99"/>
      <c r="AK84" s="99"/>
      <c r="AL84" s="99"/>
      <c r="AM84" s="99"/>
      <c r="AN84" s="99"/>
      <c r="AO84" s="99"/>
      <c r="AP84" s="99"/>
      <c r="AR84" s="99"/>
      <c r="AS84" s="99"/>
      <c r="AT84" s="99"/>
      <c r="AU84" s="99"/>
      <c r="AV84" s="99"/>
      <c r="AW84" s="99"/>
      <c r="AY84" s="99"/>
      <c r="AZ84" s="117"/>
      <c r="BA84" s="117"/>
      <c r="BB84" s="117"/>
      <c r="BC84" s="117"/>
      <c r="BD84" s="117"/>
      <c r="BE84" s="117"/>
      <c r="BG84" s="446"/>
      <c r="BH84" s="446"/>
      <c r="BI84" s="446"/>
      <c r="BJ84" s="446"/>
      <c r="BK84" s="446"/>
      <c r="BL84" s="446"/>
    </row>
    <row r="85" spans="1:64" ht="12.75" hidden="1" customHeight="1" x14ac:dyDescent="0.25">
      <c r="A85" t="str">
        <f>Nutrients!B84</f>
        <v>Soy Protein Concentrate</v>
      </c>
      <c r="B85" s="99"/>
      <c r="C85" s="99"/>
      <c r="D85" s="99"/>
      <c r="E85" s="99"/>
      <c r="F85" s="99"/>
      <c r="G85" s="99"/>
      <c r="H85" s="99"/>
      <c r="I85" s="99"/>
      <c r="J85" s="99"/>
      <c r="K85" s="99"/>
      <c r="L85" s="99"/>
      <c r="M85" s="99"/>
      <c r="N85" s="99"/>
      <c r="O85" s="10"/>
      <c r="P85" s="99"/>
      <c r="Q85" s="99"/>
      <c r="R85" s="99"/>
      <c r="S85" s="99"/>
      <c r="T85" s="99"/>
      <c r="U85" s="99"/>
      <c r="W85" s="99"/>
      <c r="X85" s="99"/>
      <c r="Y85" s="99"/>
      <c r="Z85" s="99"/>
      <c r="AA85" s="99"/>
      <c r="AB85" s="99"/>
      <c r="AD85" s="99"/>
      <c r="AE85" s="99"/>
      <c r="AF85" s="99"/>
      <c r="AG85" s="99"/>
      <c r="AH85" s="99"/>
      <c r="AI85" s="99"/>
      <c r="AK85" s="99"/>
      <c r="AL85" s="99"/>
      <c r="AM85" s="99"/>
      <c r="AN85" s="99"/>
      <c r="AO85" s="99"/>
      <c r="AP85" s="99"/>
      <c r="AR85" s="99"/>
      <c r="AS85" s="99"/>
      <c r="AT85" s="99"/>
      <c r="AU85" s="99"/>
      <c r="AV85" s="99"/>
      <c r="AW85" s="99"/>
      <c r="AY85" s="99"/>
      <c r="AZ85" s="117"/>
      <c r="BA85" s="117"/>
      <c r="BB85" s="117"/>
      <c r="BC85" s="117"/>
      <c r="BD85" s="117"/>
      <c r="BE85" s="117"/>
      <c r="BG85" s="446"/>
      <c r="BH85" s="446"/>
      <c r="BI85" s="446"/>
      <c r="BJ85" s="446"/>
      <c r="BK85" s="446"/>
      <c r="BL85" s="446"/>
    </row>
    <row r="86" spans="1:64" ht="12.75" hidden="1" customHeight="1" x14ac:dyDescent="0.25">
      <c r="A86" t="str">
        <f>Nutrients!B85</f>
        <v>Soy Protein Isolate</v>
      </c>
      <c r="B86" s="99"/>
      <c r="C86" s="99"/>
      <c r="D86" s="99"/>
      <c r="E86" s="99"/>
      <c r="F86" s="99"/>
      <c r="G86" s="99"/>
      <c r="H86" s="99"/>
      <c r="I86" s="99"/>
      <c r="J86" s="99"/>
      <c r="K86" s="99"/>
      <c r="L86" s="99"/>
      <c r="M86" s="99"/>
      <c r="N86" s="99"/>
      <c r="O86" s="10"/>
      <c r="P86" s="99"/>
      <c r="Q86" s="99"/>
      <c r="R86" s="99"/>
      <c r="S86" s="99"/>
      <c r="T86" s="99"/>
      <c r="U86" s="99"/>
      <c r="W86" s="99"/>
      <c r="X86" s="99"/>
      <c r="Y86" s="99"/>
      <c r="Z86" s="99"/>
      <c r="AA86" s="99"/>
      <c r="AB86" s="99"/>
      <c r="AD86" s="99"/>
      <c r="AE86" s="99"/>
      <c r="AF86" s="99"/>
      <c r="AG86" s="99"/>
      <c r="AH86" s="99"/>
      <c r="AI86" s="99"/>
      <c r="AK86" s="99"/>
      <c r="AL86" s="99"/>
      <c r="AM86" s="99"/>
      <c r="AN86" s="99"/>
      <c r="AO86" s="99"/>
      <c r="AP86" s="99"/>
      <c r="AR86" s="99"/>
      <c r="AS86" s="99"/>
      <c r="AT86" s="99"/>
      <c r="AU86" s="99"/>
      <c r="AV86" s="99"/>
      <c r="AW86" s="99"/>
      <c r="AY86" s="99"/>
      <c r="AZ86" s="117"/>
      <c r="BA86" s="117"/>
      <c r="BB86" s="117"/>
      <c r="BC86" s="117"/>
      <c r="BD86" s="117"/>
      <c r="BE86" s="117"/>
      <c r="BG86" s="446"/>
      <c r="BH86" s="446"/>
      <c r="BI86" s="446"/>
      <c r="BJ86" s="446"/>
      <c r="BK86" s="446"/>
      <c r="BL86" s="446"/>
    </row>
    <row r="87" spans="1:64" ht="12.75" hidden="1" customHeight="1" x14ac:dyDescent="0.25">
      <c r="A87" t="str">
        <f>Nutrients!B86</f>
        <v>Sugar Beet Pulp</v>
      </c>
      <c r="B87" s="99"/>
      <c r="C87" s="99"/>
      <c r="D87" s="99"/>
      <c r="E87" s="99"/>
      <c r="F87" s="99"/>
      <c r="G87" s="99"/>
      <c r="H87" s="99"/>
      <c r="I87" s="99"/>
      <c r="J87" s="99"/>
      <c r="K87" s="99"/>
      <c r="L87" s="99"/>
      <c r="M87" s="99"/>
      <c r="N87" s="99"/>
      <c r="O87" s="10"/>
      <c r="P87" s="99"/>
      <c r="Q87" s="99"/>
      <c r="R87" s="99"/>
      <c r="S87" s="99"/>
      <c r="T87" s="99"/>
      <c r="U87" s="99"/>
      <c r="W87" s="99"/>
      <c r="X87" s="99"/>
      <c r="Y87" s="99"/>
      <c r="Z87" s="99"/>
      <c r="AA87" s="99"/>
      <c r="AB87" s="99"/>
      <c r="AD87" s="99"/>
      <c r="AE87" s="99"/>
      <c r="AF87" s="99"/>
      <c r="AG87" s="99"/>
      <c r="AH87" s="99"/>
      <c r="AI87" s="99"/>
      <c r="AK87" s="99"/>
      <c r="AL87" s="99"/>
      <c r="AM87" s="99"/>
      <c r="AN87" s="99"/>
      <c r="AO87" s="99"/>
      <c r="AP87" s="99"/>
      <c r="AR87" s="99"/>
      <c r="AS87" s="99"/>
      <c r="AT87" s="99"/>
      <c r="AU87" s="99"/>
      <c r="AV87" s="99"/>
      <c r="AW87" s="99"/>
      <c r="AY87" s="99"/>
      <c r="AZ87" s="117"/>
      <c r="BA87" s="117"/>
      <c r="BB87" s="117"/>
      <c r="BC87" s="117"/>
      <c r="BD87" s="117"/>
      <c r="BE87" s="117"/>
      <c r="BG87" s="446"/>
      <c r="BH87" s="446"/>
      <c r="BI87" s="446"/>
      <c r="BJ87" s="446"/>
      <c r="BK87" s="446"/>
      <c r="BL87" s="446"/>
    </row>
    <row r="88" spans="1:64" ht="12.75" hidden="1" customHeight="1" x14ac:dyDescent="0.25">
      <c r="A88" t="str">
        <f>Nutrients!B87</f>
        <v>Sunflower, Full Fat</v>
      </c>
      <c r="B88" s="99"/>
      <c r="C88" s="99"/>
      <c r="D88" s="99"/>
      <c r="E88" s="99"/>
      <c r="F88" s="99"/>
      <c r="G88" s="99"/>
      <c r="H88" s="99"/>
      <c r="I88" s="99"/>
      <c r="J88" s="99"/>
      <c r="K88" s="99"/>
      <c r="L88" s="99"/>
      <c r="M88" s="99"/>
      <c r="N88" s="99"/>
      <c r="O88" s="10"/>
      <c r="P88" s="99"/>
      <c r="Q88" s="99"/>
      <c r="R88" s="99"/>
      <c r="S88" s="99"/>
      <c r="T88" s="99"/>
      <c r="U88" s="99"/>
      <c r="W88" s="99"/>
      <c r="X88" s="99"/>
      <c r="Y88" s="99"/>
      <c r="Z88" s="99"/>
      <c r="AA88" s="99"/>
      <c r="AB88" s="99"/>
      <c r="AD88" s="99"/>
      <c r="AE88" s="99"/>
      <c r="AF88" s="99"/>
      <c r="AG88" s="99"/>
      <c r="AH88" s="99"/>
      <c r="AI88" s="99"/>
      <c r="AK88" s="99"/>
      <c r="AL88" s="99"/>
      <c r="AM88" s="99"/>
      <c r="AN88" s="99"/>
      <c r="AO88" s="99"/>
      <c r="AP88" s="99"/>
      <c r="AR88" s="99"/>
      <c r="AS88" s="99"/>
      <c r="AT88" s="99"/>
      <c r="AU88" s="99"/>
      <c r="AV88" s="99"/>
      <c r="AW88" s="99"/>
      <c r="AY88" s="99"/>
      <c r="AZ88" s="117"/>
      <c r="BA88" s="117"/>
      <c r="BB88" s="117"/>
      <c r="BC88" s="117"/>
      <c r="BD88" s="117"/>
      <c r="BE88" s="117"/>
      <c r="BG88" s="446"/>
      <c r="BH88" s="446"/>
      <c r="BI88" s="446"/>
      <c r="BJ88" s="446"/>
      <c r="BK88" s="446"/>
      <c r="BL88" s="446"/>
    </row>
    <row r="89" spans="1:64" ht="12.75" hidden="1" customHeight="1" x14ac:dyDescent="0.25">
      <c r="A89" t="str">
        <f>Nutrients!B88</f>
        <v>Sunflower Meal, Solvent Extracted</v>
      </c>
      <c r="B89" s="99"/>
      <c r="C89" s="99"/>
      <c r="D89" s="99"/>
      <c r="E89" s="99"/>
      <c r="F89" s="99"/>
      <c r="G89" s="99"/>
      <c r="H89" s="99"/>
      <c r="I89" s="99"/>
      <c r="J89" s="99"/>
      <c r="K89" s="99"/>
      <c r="L89" s="99"/>
      <c r="M89" s="99"/>
      <c r="N89" s="99"/>
      <c r="O89" s="10"/>
      <c r="P89" s="99"/>
      <c r="Q89" s="99"/>
      <c r="R89" s="99"/>
      <c r="S89" s="99"/>
      <c r="T89" s="99"/>
      <c r="U89" s="99"/>
      <c r="W89" s="99"/>
      <c r="X89" s="99"/>
      <c r="Y89" s="99"/>
      <c r="Z89" s="99"/>
      <c r="AA89" s="99"/>
      <c r="AB89" s="99"/>
      <c r="AD89" s="99"/>
      <c r="AE89" s="99"/>
      <c r="AF89" s="99"/>
      <c r="AG89" s="99"/>
      <c r="AH89" s="99"/>
      <c r="AI89" s="99"/>
      <c r="AK89" s="99"/>
      <c r="AL89" s="99"/>
      <c r="AM89" s="99"/>
      <c r="AN89" s="99"/>
      <c r="AO89" s="99"/>
      <c r="AP89" s="99"/>
      <c r="AR89" s="99"/>
      <c r="AS89" s="99"/>
      <c r="AT89" s="99"/>
      <c r="AU89" s="99"/>
      <c r="AV89" s="99"/>
      <c r="AW89" s="99"/>
      <c r="AY89" s="99"/>
      <c r="AZ89" s="117"/>
      <c r="BA89" s="117"/>
      <c r="BB89" s="117"/>
      <c r="BC89" s="117"/>
      <c r="BD89" s="117"/>
      <c r="BE89" s="117"/>
      <c r="BG89" s="446"/>
      <c r="BH89" s="446"/>
      <c r="BI89" s="446"/>
      <c r="BJ89" s="446"/>
      <c r="BK89" s="446"/>
      <c r="BL89" s="446"/>
    </row>
    <row r="90" spans="1:64" ht="12.75" hidden="1" customHeight="1" x14ac:dyDescent="0.25">
      <c r="A90" t="str">
        <f>Nutrients!B89</f>
        <v>Sunflower Meal, Dehulled, Solvent Extr</v>
      </c>
      <c r="B90" s="99"/>
      <c r="C90" s="99"/>
      <c r="D90" s="99"/>
      <c r="E90" s="99"/>
      <c r="F90" s="99"/>
      <c r="G90" s="99"/>
      <c r="H90" s="99"/>
      <c r="I90" s="99"/>
      <c r="J90" s="99"/>
      <c r="K90" s="99"/>
      <c r="L90" s="99"/>
      <c r="M90" s="99"/>
      <c r="N90" s="99"/>
      <c r="O90" s="10"/>
      <c r="P90" s="99"/>
      <c r="Q90" s="99"/>
      <c r="R90" s="99"/>
      <c r="S90" s="99"/>
      <c r="T90" s="99"/>
      <c r="U90" s="99"/>
      <c r="W90" s="99"/>
      <c r="X90" s="99"/>
      <c r="Y90" s="99"/>
      <c r="Z90" s="99"/>
      <c r="AA90" s="99"/>
      <c r="AB90" s="99"/>
      <c r="AD90" s="99"/>
      <c r="AE90" s="99"/>
      <c r="AF90" s="99"/>
      <c r="AG90" s="99"/>
      <c r="AH90" s="99"/>
      <c r="AI90" s="99"/>
      <c r="AK90" s="99"/>
      <c r="AL90" s="99"/>
      <c r="AM90" s="99"/>
      <c r="AN90" s="99"/>
      <c r="AO90" s="99"/>
      <c r="AP90" s="99"/>
      <c r="AR90" s="99"/>
      <c r="AS90" s="99"/>
      <c r="AT90" s="99"/>
      <c r="AU90" s="99"/>
      <c r="AV90" s="99"/>
      <c r="AW90" s="99"/>
      <c r="AY90" s="99"/>
      <c r="AZ90" s="117"/>
      <c r="BA90" s="117"/>
      <c r="BB90" s="117"/>
      <c r="BC90" s="117"/>
      <c r="BD90" s="117"/>
      <c r="BE90" s="117"/>
      <c r="BG90" s="446"/>
      <c r="BH90" s="446"/>
      <c r="BI90" s="446"/>
      <c r="BJ90" s="446"/>
      <c r="BK90" s="446"/>
      <c r="BL90" s="446"/>
    </row>
    <row r="91" spans="1:64" ht="12.75" hidden="1" customHeight="1" x14ac:dyDescent="0.25">
      <c r="A91" t="str">
        <f>Nutrients!B90</f>
        <v>Triticale</v>
      </c>
      <c r="B91" s="99"/>
      <c r="C91" s="99"/>
      <c r="D91" s="99"/>
      <c r="E91" s="99"/>
      <c r="F91" s="99"/>
      <c r="G91" s="99"/>
      <c r="H91" s="99"/>
      <c r="I91" s="99"/>
      <c r="J91" s="99"/>
      <c r="K91" s="99"/>
      <c r="L91" s="99"/>
      <c r="M91" s="99"/>
      <c r="N91" s="99"/>
      <c r="O91" s="10"/>
      <c r="P91" s="99"/>
      <c r="Q91" s="99"/>
      <c r="R91" s="99"/>
      <c r="S91" s="99"/>
      <c r="T91" s="99"/>
      <c r="U91" s="99"/>
      <c r="W91" s="99"/>
      <c r="X91" s="99"/>
      <c r="Y91" s="99"/>
      <c r="Z91" s="99"/>
      <c r="AA91" s="99"/>
      <c r="AB91" s="99"/>
      <c r="AD91" s="99"/>
      <c r="AE91" s="99"/>
      <c r="AF91" s="99"/>
      <c r="AG91" s="99"/>
      <c r="AH91" s="99"/>
      <c r="AI91" s="99"/>
      <c r="AK91" s="99"/>
      <c r="AL91" s="99"/>
      <c r="AM91" s="99"/>
      <c r="AN91" s="99"/>
      <c r="AO91" s="99"/>
      <c r="AP91" s="99"/>
      <c r="AR91" s="99"/>
      <c r="AS91" s="99"/>
      <c r="AT91" s="99"/>
      <c r="AU91" s="99"/>
      <c r="AV91" s="99"/>
      <c r="AW91" s="99"/>
      <c r="AY91" s="99"/>
      <c r="AZ91" s="117"/>
      <c r="BA91" s="117"/>
      <c r="BB91" s="117"/>
      <c r="BC91" s="117"/>
      <c r="BD91" s="117"/>
      <c r="BE91" s="117"/>
      <c r="BG91" s="446"/>
      <c r="BH91" s="446"/>
      <c r="BI91" s="446"/>
      <c r="BJ91" s="446"/>
      <c r="BK91" s="446"/>
      <c r="BL91" s="446"/>
    </row>
    <row r="92" spans="1:64" ht="12.75" hidden="1" customHeight="1" x14ac:dyDescent="0.25">
      <c r="A92" t="str">
        <f>Nutrients!B91</f>
        <v>Wheat, Hard Red</v>
      </c>
      <c r="B92" s="99"/>
      <c r="C92" s="99"/>
      <c r="D92" s="99"/>
      <c r="E92" s="99"/>
      <c r="F92" s="99"/>
      <c r="G92" s="99"/>
      <c r="H92" s="99"/>
      <c r="I92" s="99"/>
      <c r="J92" s="99"/>
      <c r="K92" s="99"/>
      <c r="L92" s="99"/>
      <c r="M92" s="99"/>
      <c r="N92" s="99"/>
      <c r="O92" s="10"/>
      <c r="P92" s="99"/>
      <c r="Q92" s="99"/>
      <c r="R92" s="99"/>
      <c r="S92" s="99"/>
      <c r="T92" s="99"/>
      <c r="U92" s="99"/>
      <c r="W92" s="99"/>
      <c r="X92" s="99"/>
      <c r="Y92" s="99"/>
      <c r="Z92" s="99"/>
      <c r="AA92" s="99"/>
      <c r="AB92" s="99"/>
      <c r="AD92" s="99"/>
      <c r="AE92" s="99"/>
      <c r="AF92" s="99"/>
      <c r="AG92" s="99"/>
      <c r="AH92" s="99"/>
      <c r="AI92" s="99"/>
      <c r="AK92" s="99"/>
      <c r="AL92" s="99"/>
      <c r="AM92" s="99"/>
      <c r="AN92" s="99"/>
      <c r="AO92" s="99"/>
      <c r="AP92" s="99"/>
      <c r="AR92" s="99"/>
      <c r="AS92" s="99"/>
      <c r="AT92" s="99"/>
      <c r="AU92" s="99"/>
      <c r="AV92" s="99"/>
      <c r="AW92" s="99"/>
      <c r="AY92" s="99"/>
      <c r="AZ92" s="117"/>
      <c r="BA92" s="117"/>
      <c r="BB92" s="117"/>
      <c r="BC92" s="117"/>
      <c r="BD92" s="117"/>
      <c r="BE92" s="117"/>
      <c r="BG92" s="446"/>
      <c r="BH92" s="446"/>
      <c r="BI92" s="446"/>
      <c r="BJ92" s="446"/>
      <c r="BK92" s="446"/>
      <c r="BL92" s="446"/>
    </row>
    <row r="93" spans="1:64" ht="12.75" hidden="1" customHeight="1" x14ac:dyDescent="0.25">
      <c r="A93" t="str">
        <f>Nutrients!B92</f>
        <v>Wheat, Soft Red</v>
      </c>
      <c r="B93" s="99"/>
      <c r="C93" s="99"/>
      <c r="D93" s="99"/>
      <c r="E93" s="99"/>
      <c r="F93" s="99"/>
      <c r="G93" s="99"/>
      <c r="H93" s="99"/>
      <c r="I93" s="99"/>
      <c r="J93" s="99"/>
      <c r="K93" s="99"/>
      <c r="L93" s="99"/>
      <c r="M93" s="99"/>
      <c r="N93" s="99"/>
      <c r="O93" s="10"/>
      <c r="P93" s="99"/>
      <c r="Q93" s="99"/>
      <c r="R93" s="99"/>
      <c r="S93" s="99"/>
      <c r="T93" s="99"/>
      <c r="U93" s="99"/>
      <c r="W93" s="99"/>
      <c r="X93" s="99"/>
      <c r="Y93" s="99"/>
      <c r="Z93" s="99"/>
      <c r="AA93" s="99"/>
      <c r="AB93" s="99"/>
      <c r="AD93" s="99"/>
      <c r="AE93" s="99"/>
      <c r="AF93" s="99"/>
      <c r="AG93" s="99"/>
      <c r="AH93" s="99"/>
      <c r="AI93" s="99"/>
      <c r="AK93" s="99"/>
      <c r="AL93" s="99"/>
      <c r="AM93" s="99"/>
      <c r="AN93" s="99"/>
      <c r="AO93" s="99"/>
      <c r="AP93" s="99"/>
      <c r="AR93" s="99"/>
      <c r="AS93" s="99"/>
      <c r="AT93" s="99"/>
      <c r="AU93" s="99"/>
      <c r="AV93" s="99"/>
      <c r="AW93" s="99"/>
      <c r="AY93" s="99"/>
      <c r="AZ93" s="117"/>
      <c r="BA93" s="117"/>
      <c r="BB93" s="117"/>
      <c r="BC93" s="117"/>
      <c r="BD93" s="117"/>
      <c r="BE93" s="117"/>
      <c r="BG93" s="446"/>
      <c r="BH93" s="446"/>
      <c r="BI93" s="446"/>
      <c r="BJ93" s="446"/>
      <c r="BK93" s="446"/>
      <c r="BL93" s="446"/>
    </row>
    <row r="94" spans="1:64" ht="12.75" hidden="1" customHeight="1" x14ac:dyDescent="0.25">
      <c r="A94" t="str">
        <f>Nutrients!B93</f>
        <v>Wheat Bran</v>
      </c>
      <c r="B94" s="99"/>
      <c r="C94" s="99"/>
      <c r="D94" s="99"/>
      <c r="E94" s="99"/>
      <c r="F94" s="99"/>
      <c r="G94" s="99"/>
      <c r="H94" s="99"/>
      <c r="I94" s="99"/>
      <c r="J94" s="99"/>
      <c r="K94" s="99"/>
      <c r="L94" s="99"/>
      <c r="M94" s="99"/>
      <c r="N94" s="99"/>
      <c r="O94" s="10"/>
      <c r="P94" s="99"/>
      <c r="Q94" s="99"/>
      <c r="R94" s="99"/>
      <c r="S94" s="99"/>
      <c r="T94" s="99"/>
      <c r="U94" s="99"/>
      <c r="W94" s="99"/>
      <c r="X94" s="99"/>
      <c r="Y94" s="99"/>
      <c r="Z94" s="99"/>
      <c r="AA94" s="99"/>
      <c r="AB94" s="99"/>
      <c r="AD94" s="99"/>
      <c r="AE94" s="99"/>
      <c r="AF94" s="99"/>
      <c r="AG94" s="99"/>
      <c r="AH94" s="99"/>
      <c r="AI94" s="99"/>
      <c r="AK94" s="99"/>
      <c r="AL94" s="99"/>
      <c r="AM94" s="99"/>
      <c r="AN94" s="99"/>
      <c r="AO94" s="99"/>
      <c r="AP94" s="99"/>
      <c r="AR94" s="99"/>
      <c r="AS94" s="99"/>
      <c r="AT94" s="99"/>
      <c r="AU94" s="99"/>
      <c r="AV94" s="99"/>
      <c r="AW94" s="99"/>
      <c r="AY94" s="99"/>
      <c r="AZ94" s="117"/>
      <c r="BA94" s="117"/>
      <c r="BB94" s="117"/>
      <c r="BC94" s="117"/>
      <c r="BD94" s="117"/>
      <c r="BE94" s="117"/>
      <c r="BG94" s="446"/>
      <c r="BH94" s="446"/>
      <c r="BI94" s="446"/>
      <c r="BJ94" s="446"/>
      <c r="BK94" s="446"/>
      <c r="BL94" s="446"/>
    </row>
    <row r="95" spans="1:64" ht="12.75" hidden="1" customHeight="1" x14ac:dyDescent="0.25">
      <c r="A95" t="str">
        <f>Nutrients!B94</f>
        <v>Wheat Middlings</v>
      </c>
      <c r="B95" s="99"/>
      <c r="C95" s="99"/>
      <c r="D95" s="99"/>
      <c r="E95" s="99"/>
      <c r="F95" s="99"/>
      <c r="G95" s="99"/>
      <c r="H95" s="99"/>
      <c r="I95" s="99"/>
      <c r="J95" s="99"/>
      <c r="K95" s="99"/>
      <c r="L95" s="99"/>
      <c r="M95" s="99"/>
      <c r="N95" s="99"/>
      <c r="O95" s="10"/>
      <c r="P95" s="99"/>
      <c r="Q95" s="99"/>
      <c r="R95" s="99"/>
      <c r="S95" s="99"/>
      <c r="T95" s="99"/>
      <c r="U95" s="99"/>
      <c r="W95" s="99"/>
      <c r="X95" s="99"/>
      <c r="Y95" s="99"/>
      <c r="Z95" s="99"/>
      <c r="AA95" s="99"/>
      <c r="AB95" s="99"/>
      <c r="AD95" s="99"/>
      <c r="AE95" s="99"/>
      <c r="AF95" s="99"/>
      <c r="AG95" s="99"/>
      <c r="AH95" s="99"/>
      <c r="AI95" s="99"/>
      <c r="AK95" s="99"/>
      <c r="AL95" s="99"/>
      <c r="AM95" s="99"/>
      <c r="AN95" s="99"/>
      <c r="AO95" s="99"/>
      <c r="AP95" s="99"/>
      <c r="AR95" s="99"/>
      <c r="AS95" s="99"/>
      <c r="AT95" s="99"/>
      <c r="AU95" s="99"/>
      <c r="AV95" s="99"/>
      <c r="AW95" s="99"/>
      <c r="AY95" s="99"/>
      <c r="AZ95" s="117"/>
      <c r="BA95" s="117"/>
      <c r="BB95" s="117"/>
      <c r="BC95" s="117"/>
      <c r="BD95" s="117"/>
      <c r="BE95" s="117"/>
      <c r="BG95" s="446"/>
      <c r="BH95" s="446"/>
      <c r="BI95" s="446"/>
      <c r="BJ95" s="446"/>
      <c r="BK95" s="446"/>
      <c r="BL95" s="446"/>
    </row>
    <row r="96" spans="1:64" ht="12.75" hidden="1" customHeight="1" x14ac:dyDescent="0.25">
      <c r="A96" t="str">
        <f>Nutrients!B95</f>
        <v>Wheat Shorts</v>
      </c>
      <c r="B96" s="99"/>
      <c r="C96" s="99"/>
      <c r="D96" s="99"/>
      <c r="E96" s="99"/>
      <c r="F96" s="99"/>
      <c r="G96" s="99"/>
      <c r="H96" s="99"/>
      <c r="I96" s="99"/>
      <c r="J96" s="99"/>
      <c r="K96" s="99"/>
      <c r="L96" s="99"/>
      <c r="M96" s="99"/>
      <c r="N96" s="99"/>
      <c r="O96" s="10"/>
      <c r="P96" s="99"/>
      <c r="Q96" s="99"/>
      <c r="R96" s="99"/>
      <c r="S96" s="99"/>
      <c r="T96" s="99"/>
      <c r="U96" s="99"/>
      <c r="W96" s="99"/>
      <c r="X96" s="99"/>
      <c r="Y96" s="99"/>
      <c r="Z96" s="99"/>
      <c r="AA96" s="99"/>
      <c r="AB96" s="99"/>
      <c r="AD96" s="99"/>
      <c r="AE96" s="99"/>
      <c r="AF96" s="99"/>
      <c r="AG96" s="99"/>
      <c r="AH96" s="99"/>
      <c r="AI96" s="99"/>
      <c r="AK96" s="99"/>
      <c r="AL96" s="99"/>
      <c r="AM96" s="99"/>
      <c r="AN96" s="99"/>
      <c r="AO96" s="99"/>
      <c r="AP96" s="99"/>
      <c r="AR96" s="99"/>
      <c r="AS96" s="99"/>
      <c r="AT96" s="99"/>
      <c r="AU96" s="99"/>
      <c r="AV96" s="99"/>
      <c r="AW96" s="99"/>
      <c r="AY96" s="99"/>
      <c r="AZ96" s="117"/>
      <c r="BA96" s="117"/>
      <c r="BB96" s="117"/>
      <c r="BC96" s="117"/>
      <c r="BD96" s="117"/>
      <c r="BE96" s="117"/>
      <c r="BG96" s="446"/>
      <c r="BH96" s="446"/>
      <c r="BI96" s="446"/>
      <c r="BJ96" s="446"/>
      <c r="BK96" s="446"/>
      <c r="BL96" s="446"/>
    </row>
    <row r="97" spans="1:64" ht="12.75" hidden="1" customHeight="1" x14ac:dyDescent="0.25">
      <c r="A97" t="str">
        <f>Nutrients!B96</f>
        <v>Wheat DDGS</v>
      </c>
      <c r="B97" s="99"/>
      <c r="C97" s="99"/>
      <c r="D97" s="99"/>
      <c r="E97" s="99"/>
      <c r="F97" s="99"/>
      <c r="G97" s="99"/>
      <c r="H97" s="99"/>
      <c r="I97" s="99"/>
      <c r="J97" s="99"/>
      <c r="K97" s="99"/>
      <c r="L97" s="99"/>
      <c r="M97" s="99"/>
      <c r="N97" s="99"/>
      <c r="O97" s="10"/>
      <c r="P97" s="99"/>
      <c r="Q97" s="99"/>
      <c r="R97" s="99"/>
      <c r="S97" s="99"/>
      <c r="T97" s="99"/>
      <c r="U97" s="99"/>
      <c r="W97" s="99"/>
      <c r="X97" s="99"/>
      <c r="Y97" s="99"/>
      <c r="Z97" s="99"/>
      <c r="AA97" s="99"/>
      <c r="AB97" s="99"/>
      <c r="AD97" s="99"/>
      <c r="AE97" s="99"/>
      <c r="AF97" s="99"/>
      <c r="AG97" s="99"/>
      <c r="AH97" s="99"/>
      <c r="AI97" s="99"/>
      <c r="AK97" s="99"/>
      <c r="AL97" s="99"/>
      <c r="AM97" s="99"/>
      <c r="AN97" s="99"/>
      <c r="AO97" s="99"/>
      <c r="AP97" s="99"/>
      <c r="AR97" s="99"/>
      <c r="AS97" s="99"/>
      <c r="AT97" s="99"/>
      <c r="AU97" s="99"/>
      <c r="AV97" s="99"/>
      <c r="AW97" s="99"/>
      <c r="AY97" s="99"/>
      <c r="AZ97" s="117"/>
      <c r="BA97" s="117"/>
      <c r="BB97" s="117"/>
      <c r="BC97" s="117"/>
      <c r="BD97" s="117"/>
      <c r="BE97" s="117"/>
      <c r="BG97" s="446"/>
      <c r="BH97" s="446"/>
      <c r="BI97" s="446"/>
      <c r="BJ97" s="446"/>
      <c r="BK97" s="446"/>
      <c r="BL97" s="446"/>
    </row>
    <row r="98" spans="1:64" ht="12.75" hidden="1" customHeight="1" x14ac:dyDescent="0.25">
      <c r="A98" t="str">
        <f>Nutrients!B97</f>
        <v>Yeast, Brewers' Yeast</v>
      </c>
      <c r="B98" s="99"/>
      <c r="C98" s="99"/>
      <c r="D98" s="99"/>
      <c r="E98" s="99"/>
      <c r="F98" s="99"/>
      <c r="G98" s="99"/>
      <c r="H98" s="99"/>
      <c r="I98" s="99"/>
      <c r="J98" s="99"/>
      <c r="K98" s="99"/>
      <c r="L98" s="99"/>
      <c r="M98" s="99"/>
      <c r="N98" s="99"/>
      <c r="O98" s="10"/>
      <c r="P98" s="99"/>
      <c r="Q98" s="99"/>
      <c r="R98" s="99"/>
      <c r="S98" s="99"/>
      <c r="T98" s="99"/>
      <c r="U98" s="99"/>
      <c r="W98" s="99"/>
      <c r="X98" s="99"/>
      <c r="Y98" s="99"/>
      <c r="Z98" s="99"/>
      <c r="AA98" s="99"/>
      <c r="AB98" s="99"/>
      <c r="AD98" s="99"/>
      <c r="AE98" s="99"/>
      <c r="AF98" s="99"/>
      <c r="AG98" s="99"/>
      <c r="AH98" s="99"/>
      <c r="AI98" s="99"/>
      <c r="AK98" s="99"/>
      <c r="AL98" s="99"/>
      <c r="AM98" s="99"/>
      <c r="AN98" s="99"/>
      <c r="AO98" s="99"/>
      <c r="AP98" s="99"/>
      <c r="AR98" s="99"/>
      <c r="AS98" s="99"/>
      <c r="AT98" s="99"/>
      <c r="AU98" s="99"/>
      <c r="AV98" s="99"/>
      <c r="AW98" s="99"/>
      <c r="AY98" s="99"/>
      <c r="AZ98" s="117"/>
      <c r="BA98" s="117"/>
      <c r="BB98" s="117"/>
      <c r="BC98" s="117"/>
      <c r="BD98" s="117"/>
      <c r="BE98" s="117"/>
      <c r="BG98" s="446"/>
      <c r="BH98" s="446"/>
      <c r="BI98" s="446"/>
      <c r="BJ98" s="446"/>
      <c r="BK98" s="446"/>
      <c r="BL98" s="446"/>
    </row>
    <row r="99" spans="1:64" ht="12.75" hidden="1" customHeight="1" x14ac:dyDescent="0.25">
      <c r="A99" t="str">
        <f>Nutrients!B98</f>
        <v>Yeast, Single Cell Protein</v>
      </c>
      <c r="B99" s="99"/>
      <c r="C99" s="99"/>
      <c r="D99" s="99"/>
      <c r="E99" s="99"/>
      <c r="F99" s="99"/>
      <c r="G99" s="99"/>
      <c r="H99" s="99"/>
      <c r="I99" s="99"/>
      <c r="J99" s="99"/>
      <c r="K99" s="99"/>
      <c r="L99" s="99"/>
      <c r="M99" s="99"/>
      <c r="N99" s="99"/>
      <c r="O99" s="10"/>
      <c r="P99" s="99"/>
      <c r="Q99" s="99"/>
      <c r="R99" s="99"/>
      <c r="S99" s="99"/>
      <c r="T99" s="99"/>
      <c r="U99" s="99"/>
      <c r="W99" s="99"/>
      <c r="X99" s="99"/>
      <c r="Y99" s="99"/>
      <c r="Z99" s="99"/>
      <c r="AA99" s="99"/>
      <c r="AB99" s="99"/>
      <c r="AD99" s="99"/>
      <c r="AE99" s="99"/>
      <c r="AF99" s="99"/>
      <c r="AG99" s="99"/>
      <c r="AH99" s="99"/>
      <c r="AI99" s="99"/>
      <c r="AK99" s="99"/>
      <c r="AL99" s="99"/>
      <c r="AM99" s="99"/>
      <c r="AN99" s="99"/>
      <c r="AO99" s="99"/>
      <c r="AP99" s="99"/>
      <c r="AR99" s="99"/>
      <c r="AS99" s="99"/>
      <c r="AT99" s="99"/>
      <c r="AU99" s="99"/>
      <c r="AV99" s="99"/>
      <c r="AW99" s="99"/>
      <c r="AY99" s="99"/>
      <c r="AZ99" s="117"/>
      <c r="BA99" s="117"/>
      <c r="BB99" s="117"/>
      <c r="BC99" s="117"/>
      <c r="BD99" s="117"/>
      <c r="BE99" s="117"/>
      <c r="BG99" s="446"/>
      <c r="BH99" s="446"/>
      <c r="BI99" s="446"/>
      <c r="BJ99" s="446"/>
      <c r="BK99" s="446"/>
      <c r="BL99" s="446"/>
    </row>
    <row r="100" spans="1:64" ht="12.75" hidden="1" customHeight="1" x14ac:dyDescent="0.25">
      <c r="A100" t="str">
        <f>Nutrients!B99</f>
        <v>Beef Tallow</v>
      </c>
      <c r="B100" s="99"/>
      <c r="C100" s="99"/>
      <c r="D100" s="99"/>
      <c r="E100" s="99"/>
      <c r="F100" s="99"/>
      <c r="G100" s="99"/>
      <c r="H100" s="99"/>
      <c r="I100" s="99"/>
      <c r="J100" s="99"/>
      <c r="K100" s="99"/>
      <c r="L100" s="99"/>
      <c r="M100" s="99"/>
      <c r="N100" s="99"/>
      <c r="O100" s="10"/>
      <c r="P100" s="99"/>
      <c r="Q100" s="99"/>
      <c r="R100" s="99"/>
      <c r="S100" s="99"/>
      <c r="T100" s="99"/>
      <c r="U100" s="99"/>
      <c r="W100" s="99"/>
      <c r="X100" s="99"/>
      <c r="Y100" s="99"/>
      <c r="Z100" s="99"/>
      <c r="AA100" s="99"/>
      <c r="AB100" s="99"/>
      <c r="AD100" s="99"/>
      <c r="AE100" s="99"/>
      <c r="AF100" s="99"/>
      <c r="AG100" s="99"/>
      <c r="AH100" s="99"/>
      <c r="AI100" s="99"/>
      <c r="AK100" s="99"/>
      <c r="AL100" s="99"/>
      <c r="AM100" s="99"/>
      <c r="AN100" s="99"/>
      <c r="AO100" s="99"/>
      <c r="AP100" s="99"/>
      <c r="AR100" s="99"/>
      <c r="AS100" s="99"/>
      <c r="AT100" s="99"/>
      <c r="AU100" s="99"/>
      <c r="AV100" s="99"/>
      <c r="AW100" s="99"/>
      <c r="AY100" s="99"/>
      <c r="AZ100" s="117"/>
      <c r="BA100" s="117"/>
      <c r="BB100" s="117"/>
      <c r="BC100" s="117"/>
      <c r="BD100" s="117"/>
      <c r="BE100" s="117"/>
      <c r="BG100" s="446"/>
      <c r="BH100" s="446"/>
      <c r="BI100" s="446"/>
      <c r="BJ100" s="446"/>
      <c r="BK100" s="446"/>
      <c r="BL100" s="446"/>
    </row>
    <row r="101" spans="1:64" x14ac:dyDescent="0.25">
      <c r="A101" t="str">
        <f>Nutrients!B100</f>
        <v>Choice White Grease</v>
      </c>
      <c r="B101" s="99"/>
      <c r="C101" s="99"/>
      <c r="D101" s="99"/>
      <c r="E101" s="99"/>
      <c r="F101" s="99"/>
      <c r="G101" s="99"/>
      <c r="H101" s="99"/>
      <c r="I101" s="106"/>
      <c r="J101" s="106"/>
      <c r="K101" s="106"/>
      <c r="L101" s="106"/>
      <c r="M101" s="106"/>
      <c r="N101" s="106"/>
      <c r="O101" s="29"/>
      <c r="P101" s="106"/>
      <c r="Q101" s="106"/>
      <c r="R101" s="106"/>
      <c r="S101" s="106"/>
      <c r="T101" s="106"/>
      <c r="U101" s="106"/>
      <c r="V101" s="9"/>
      <c r="W101" s="106"/>
      <c r="X101" s="106"/>
      <c r="Y101" s="106"/>
      <c r="Z101" s="106"/>
      <c r="AA101" s="106"/>
      <c r="AB101" s="106"/>
      <c r="AC101" s="9"/>
      <c r="AD101" s="106"/>
      <c r="AE101" s="106"/>
      <c r="AF101" s="106"/>
      <c r="AG101" s="106"/>
      <c r="AH101" s="106"/>
      <c r="AI101" s="106"/>
      <c r="AJ101" s="9"/>
      <c r="AK101" s="106"/>
      <c r="AL101" s="106"/>
      <c r="AM101" s="106"/>
      <c r="AN101" s="106"/>
      <c r="AO101" s="106"/>
      <c r="AP101" s="106"/>
      <c r="AQ101" s="9"/>
      <c r="AR101" s="106"/>
      <c r="AS101" s="106"/>
      <c r="AT101" s="106"/>
      <c r="AU101" s="106"/>
      <c r="AV101" s="106"/>
      <c r="AW101" s="106"/>
      <c r="AX101" s="9"/>
      <c r="AY101" s="99"/>
      <c r="AZ101" s="117"/>
      <c r="BA101" s="117"/>
      <c r="BB101" s="117"/>
      <c r="BC101" s="117"/>
      <c r="BD101" s="117"/>
      <c r="BE101" s="117"/>
      <c r="BG101" s="446"/>
      <c r="BH101" s="446"/>
      <c r="BI101" s="446"/>
      <c r="BJ101" s="446"/>
      <c r="BK101" s="446"/>
      <c r="BL101" s="446"/>
    </row>
    <row r="102" spans="1:64" ht="13.05" hidden="1" customHeight="1" x14ac:dyDescent="0.25">
      <c r="A102" t="str">
        <f>Nutrients!B101</f>
        <v>Poultry Fat</v>
      </c>
      <c r="B102" s="99"/>
      <c r="C102" s="99"/>
      <c r="D102" s="99"/>
      <c r="E102" s="99"/>
      <c r="F102" s="99"/>
      <c r="G102" s="99"/>
      <c r="H102" s="99"/>
      <c r="I102" s="99"/>
      <c r="J102" s="99"/>
      <c r="K102" s="99"/>
      <c r="L102" s="99"/>
      <c r="M102" s="99"/>
      <c r="N102" s="99"/>
      <c r="O102" s="10"/>
      <c r="P102" s="99"/>
      <c r="Q102" s="99"/>
      <c r="R102" s="99"/>
      <c r="S102" s="99"/>
      <c r="T102" s="99"/>
      <c r="U102" s="99"/>
      <c r="W102" s="99"/>
      <c r="X102" s="99"/>
      <c r="Y102" s="99"/>
      <c r="Z102" s="99"/>
      <c r="AA102" s="99"/>
      <c r="AB102" s="99"/>
      <c r="AD102" s="99"/>
      <c r="AE102" s="99"/>
      <c r="AF102" s="99"/>
      <c r="AG102" s="99"/>
      <c r="AH102" s="99"/>
      <c r="AI102" s="99"/>
      <c r="AK102" s="99"/>
      <c r="AL102" s="99"/>
      <c r="AM102" s="99"/>
      <c r="AN102" s="99"/>
      <c r="AO102" s="99"/>
      <c r="AP102" s="99"/>
      <c r="AR102" s="99"/>
      <c r="AS102" s="99"/>
      <c r="AT102" s="99"/>
      <c r="AU102" s="99"/>
      <c r="AV102" s="99"/>
      <c r="AW102" s="99"/>
      <c r="AY102" s="99"/>
      <c r="AZ102" s="117"/>
      <c r="BA102" s="117"/>
      <c r="BB102" s="117"/>
      <c r="BC102" s="117"/>
      <c r="BD102" s="117"/>
      <c r="BE102" s="117"/>
      <c r="BG102" s="446"/>
      <c r="BH102" s="446"/>
      <c r="BI102" s="446"/>
      <c r="BJ102" s="446"/>
      <c r="BK102" s="446"/>
      <c r="BL102" s="446"/>
    </row>
    <row r="103" spans="1:64" ht="13.05" hidden="1" customHeight="1" x14ac:dyDescent="0.25">
      <c r="A103" t="str">
        <f>Nutrients!B102</f>
        <v>Lard</v>
      </c>
      <c r="B103" s="99"/>
      <c r="C103" s="99"/>
      <c r="D103" s="99"/>
      <c r="E103" s="99"/>
      <c r="F103" s="99"/>
      <c r="G103" s="99"/>
      <c r="H103" s="99"/>
      <c r="I103" s="99"/>
      <c r="J103" s="99"/>
      <c r="K103" s="99"/>
      <c r="L103" s="99"/>
      <c r="M103" s="99"/>
      <c r="N103" s="99"/>
      <c r="O103" s="10"/>
      <c r="P103" s="99"/>
      <c r="Q103" s="99"/>
      <c r="R103" s="99"/>
      <c r="S103" s="99"/>
      <c r="T103" s="99"/>
      <c r="U103" s="99"/>
      <c r="W103" s="99"/>
      <c r="X103" s="99"/>
      <c r="Y103" s="99"/>
      <c r="Z103" s="99"/>
      <c r="AA103" s="99"/>
      <c r="AB103" s="99"/>
      <c r="AD103" s="99"/>
      <c r="AE103" s="99"/>
      <c r="AF103" s="99"/>
      <c r="AG103" s="99"/>
      <c r="AH103" s="99"/>
      <c r="AI103" s="99"/>
      <c r="AK103" s="99"/>
      <c r="AL103" s="99"/>
      <c r="AM103" s="99"/>
      <c r="AN103" s="99"/>
      <c r="AO103" s="99"/>
      <c r="AP103" s="99"/>
      <c r="AR103" s="99"/>
      <c r="AS103" s="99"/>
      <c r="AT103" s="99"/>
      <c r="AU103" s="99"/>
      <c r="AV103" s="99"/>
      <c r="AW103" s="99"/>
      <c r="AY103" s="99"/>
      <c r="AZ103" s="117"/>
      <c r="BA103" s="117"/>
      <c r="BB103" s="117"/>
      <c r="BC103" s="117"/>
      <c r="BD103" s="117"/>
      <c r="BE103" s="117"/>
      <c r="BG103" s="446"/>
      <c r="BH103" s="446"/>
      <c r="BI103" s="446"/>
      <c r="BJ103" s="446"/>
      <c r="BK103" s="446"/>
      <c r="BL103" s="446"/>
    </row>
    <row r="104" spans="1:64" ht="13.05" hidden="1" customHeight="1" x14ac:dyDescent="0.25">
      <c r="A104" t="str">
        <f>Nutrients!B103</f>
        <v>Restaurant Grease</v>
      </c>
      <c r="B104" s="99"/>
      <c r="C104" s="99"/>
      <c r="D104" s="99"/>
      <c r="E104" s="99"/>
      <c r="F104" s="99"/>
      <c r="G104" s="99"/>
      <c r="H104" s="99"/>
      <c r="I104" s="99"/>
      <c r="J104" s="99"/>
      <c r="K104" s="99"/>
      <c r="L104" s="99"/>
      <c r="M104" s="99"/>
      <c r="N104" s="99"/>
      <c r="O104" s="10"/>
      <c r="P104" s="99"/>
      <c r="Q104" s="99"/>
      <c r="R104" s="99"/>
      <c r="S104" s="99"/>
      <c r="T104" s="99"/>
      <c r="U104" s="99"/>
      <c r="W104" s="99"/>
      <c r="X104" s="99"/>
      <c r="Y104" s="99"/>
      <c r="Z104" s="99"/>
      <c r="AA104" s="99"/>
      <c r="AB104" s="99"/>
      <c r="AD104" s="99"/>
      <c r="AE104" s="99"/>
      <c r="AF104" s="99"/>
      <c r="AG104" s="99"/>
      <c r="AH104" s="99"/>
      <c r="AI104" s="99"/>
      <c r="AK104" s="99"/>
      <c r="AL104" s="99"/>
      <c r="AM104" s="99"/>
      <c r="AN104" s="99"/>
      <c r="AO104" s="99"/>
      <c r="AP104" s="99"/>
      <c r="AR104" s="99"/>
      <c r="AS104" s="99"/>
      <c r="AT104" s="99"/>
      <c r="AU104" s="99"/>
      <c r="AV104" s="99"/>
      <c r="AW104" s="99"/>
      <c r="AY104" s="99"/>
      <c r="AZ104" s="117"/>
      <c r="BA104" s="117"/>
      <c r="BB104" s="117"/>
      <c r="BC104" s="117"/>
      <c r="BD104" s="117"/>
      <c r="BE104" s="117"/>
      <c r="BG104" s="446"/>
      <c r="BH104" s="446"/>
      <c r="BI104" s="446"/>
      <c r="BJ104" s="446"/>
      <c r="BK104" s="446"/>
      <c r="BL104" s="446"/>
    </row>
    <row r="105" spans="1:64" ht="13.05" hidden="1" customHeight="1" x14ac:dyDescent="0.25">
      <c r="A105" t="str">
        <f>Nutrients!B104</f>
        <v>Canola oil</v>
      </c>
      <c r="B105" s="99"/>
      <c r="C105" s="99"/>
      <c r="D105" s="99"/>
      <c r="E105" s="99"/>
      <c r="F105" s="99"/>
      <c r="G105" s="99"/>
      <c r="H105" s="99"/>
      <c r="I105" s="99"/>
      <c r="J105" s="99"/>
      <c r="K105" s="99"/>
      <c r="L105" s="99"/>
      <c r="M105" s="99"/>
      <c r="N105" s="99"/>
      <c r="O105" s="10"/>
      <c r="P105" s="99"/>
      <c r="Q105" s="99"/>
      <c r="R105" s="99"/>
      <c r="S105" s="99"/>
      <c r="T105" s="99"/>
      <c r="U105" s="99"/>
      <c r="W105" s="99"/>
      <c r="X105" s="99"/>
      <c r="Y105" s="99"/>
      <c r="Z105" s="99"/>
      <c r="AA105" s="99"/>
      <c r="AB105" s="99"/>
      <c r="AD105" s="99"/>
      <c r="AE105" s="99"/>
      <c r="AF105" s="99"/>
      <c r="AG105" s="99"/>
      <c r="AH105" s="99"/>
      <c r="AI105" s="99"/>
      <c r="AK105" s="99"/>
      <c r="AL105" s="99"/>
      <c r="AM105" s="99"/>
      <c r="AN105" s="99"/>
      <c r="AO105" s="99"/>
      <c r="AP105" s="99"/>
      <c r="AR105" s="99"/>
      <c r="AS105" s="99"/>
      <c r="AT105" s="99"/>
      <c r="AU105" s="99"/>
      <c r="AV105" s="99"/>
      <c r="AW105" s="99"/>
      <c r="AY105" s="99"/>
      <c r="AZ105" s="117"/>
      <c r="BA105" s="117"/>
      <c r="BB105" s="117"/>
      <c r="BC105" s="117"/>
      <c r="BD105" s="117"/>
      <c r="BE105" s="117"/>
      <c r="BG105" s="446"/>
      <c r="BH105" s="446"/>
      <c r="BI105" s="446"/>
      <c r="BJ105" s="446"/>
      <c r="BK105" s="446"/>
      <c r="BL105" s="446"/>
    </row>
    <row r="106" spans="1:64" ht="13.05" hidden="1" customHeight="1" x14ac:dyDescent="0.25">
      <c r="A106" t="str">
        <f>Nutrients!B105</f>
        <v>Coconut oil</v>
      </c>
      <c r="B106" s="99"/>
      <c r="C106" s="99"/>
      <c r="D106" s="99"/>
      <c r="E106" s="99"/>
      <c r="F106" s="99"/>
      <c r="G106" s="99"/>
      <c r="H106" s="99"/>
      <c r="I106" s="99"/>
      <c r="J106" s="99"/>
      <c r="K106" s="99"/>
      <c r="L106" s="99"/>
      <c r="M106" s="99"/>
      <c r="N106" s="99"/>
      <c r="O106" s="10"/>
      <c r="P106" s="99"/>
      <c r="Q106" s="99"/>
      <c r="R106" s="99"/>
      <c r="S106" s="99"/>
      <c r="T106" s="99"/>
      <c r="U106" s="99"/>
      <c r="W106" s="99"/>
      <c r="X106" s="99"/>
      <c r="Y106" s="99"/>
      <c r="Z106" s="99"/>
      <c r="AA106" s="99"/>
      <c r="AB106" s="99"/>
      <c r="AD106" s="99"/>
      <c r="AE106" s="99"/>
      <c r="AF106" s="99"/>
      <c r="AG106" s="99"/>
      <c r="AH106" s="99"/>
      <c r="AI106" s="99"/>
      <c r="AK106" s="99"/>
      <c r="AL106" s="99"/>
      <c r="AM106" s="99"/>
      <c r="AN106" s="99"/>
      <c r="AO106" s="99"/>
      <c r="AP106" s="99"/>
      <c r="AR106" s="99"/>
      <c r="AS106" s="99"/>
      <c r="AT106" s="99"/>
      <c r="AU106" s="99"/>
      <c r="AV106" s="99"/>
      <c r="AW106" s="99"/>
      <c r="AY106" s="99"/>
      <c r="AZ106" s="117"/>
      <c r="BA106" s="117"/>
      <c r="BB106" s="117"/>
      <c r="BC106" s="117"/>
      <c r="BD106" s="117"/>
      <c r="BE106" s="117"/>
      <c r="BG106" s="446"/>
      <c r="BH106" s="446"/>
      <c r="BI106" s="446"/>
      <c r="BJ106" s="446"/>
      <c r="BK106" s="446"/>
      <c r="BL106" s="446"/>
    </row>
    <row r="107" spans="1:64" ht="13.05" hidden="1" customHeight="1" x14ac:dyDescent="0.25">
      <c r="A107" t="str">
        <f>Nutrients!B106</f>
        <v>Corn oil</v>
      </c>
      <c r="B107" s="99"/>
      <c r="C107" s="99"/>
      <c r="D107" s="99"/>
      <c r="E107" s="99"/>
      <c r="F107" s="99"/>
      <c r="G107" s="99"/>
      <c r="H107" s="99"/>
      <c r="I107" s="99"/>
      <c r="J107" s="99"/>
      <c r="K107" s="99"/>
      <c r="L107" s="99"/>
      <c r="M107" s="99"/>
      <c r="N107" s="99"/>
      <c r="O107" s="10"/>
      <c r="P107" s="99"/>
      <c r="Q107" s="99"/>
      <c r="R107" s="99"/>
      <c r="S107" s="99"/>
      <c r="T107" s="99"/>
      <c r="U107" s="99"/>
      <c r="W107" s="99"/>
      <c r="X107" s="99"/>
      <c r="Y107" s="99"/>
      <c r="Z107" s="99"/>
      <c r="AA107" s="99"/>
      <c r="AB107" s="99"/>
      <c r="AD107" s="99"/>
      <c r="AE107" s="99"/>
      <c r="AF107" s="99"/>
      <c r="AG107" s="99"/>
      <c r="AH107" s="99"/>
      <c r="AI107" s="99"/>
      <c r="AK107" s="99"/>
      <c r="AL107" s="99"/>
      <c r="AM107" s="99"/>
      <c r="AN107" s="99"/>
      <c r="AO107" s="99"/>
      <c r="AP107" s="99"/>
      <c r="AR107" s="99"/>
      <c r="AS107" s="99"/>
      <c r="AT107" s="99"/>
      <c r="AU107" s="99"/>
      <c r="AV107" s="99"/>
      <c r="AW107" s="99"/>
      <c r="AY107" s="99"/>
      <c r="AZ107" s="117"/>
      <c r="BA107" s="117"/>
      <c r="BB107" s="117"/>
      <c r="BC107" s="117"/>
      <c r="BD107" s="117"/>
      <c r="BE107" s="117"/>
      <c r="BG107" s="446"/>
      <c r="BH107" s="446"/>
      <c r="BI107" s="446"/>
      <c r="BJ107" s="446"/>
      <c r="BK107" s="446"/>
      <c r="BL107" s="446"/>
    </row>
    <row r="108" spans="1:64" ht="13.05" hidden="1" customHeight="1" x14ac:dyDescent="0.25">
      <c r="A108" t="str">
        <f>Nutrients!B107</f>
        <v>Palm Kernel oil</v>
      </c>
      <c r="B108" s="99"/>
      <c r="C108" s="99"/>
      <c r="D108" s="99"/>
      <c r="E108" s="99"/>
      <c r="F108" s="99"/>
      <c r="G108" s="99"/>
      <c r="H108" s="99"/>
      <c r="I108" s="99"/>
      <c r="J108" s="99"/>
      <c r="K108" s="99"/>
      <c r="L108" s="99"/>
      <c r="M108" s="99"/>
      <c r="N108" s="99"/>
      <c r="O108" s="10"/>
      <c r="P108" s="99"/>
      <c r="Q108" s="99"/>
      <c r="R108" s="99"/>
      <c r="S108" s="99"/>
      <c r="T108" s="99"/>
      <c r="U108" s="99"/>
      <c r="W108" s="99"/>
      <c r="X108" s="99"/>
      <c r="Y108" s="99"/>
      <c r="Z108" s="99"/>
      <c r="AA108" s="99"/>
      <c r="AB108" s="99"/>
      <c r="AD108" s="99"/>
      <c r="AE108" s="99"/>
      <c r="AF108" s="99"/>
      <c r="AG108" s="99"/>
      <c r="AH108" s="99"/>
      <c r="AI108" s="99"/>
      <c r="AK108" s="99"/>
      <c r="AL108" s="99"/>
      <c r="AM108" s="99"/>
      <c r="AN108" s="99"/>
      <c r="AO108" s="99"/>
      <c r="AP108" s="99"/>
      <c r="AR108" s="99"/>
      <c r="AS108" s="99"/>
      <c r="AT108" s="99"/>
      <c r="AU108" s="99"/>
      <c r="AV108" s="99"/>
      <c r="AW108" s="99"/>
      <c r="AY108" s="99"/>
      <c r="AZ108" s="117"/>
      <c r="BA108" s="117"/>
      <c r="BB108" s="117"/>
      <c r="BC108" s="117"/>
      <c r="BD108" s="117"/>
      <c r="BE108" s="117"/>
      <c r="BG108" s="446"/>
      <c r="BH108" s="446"/>
      <c r="BI108" s="446"/>
      <c r="BJ108" s="446"/>
      <c r="BK108" s="446"/>
      <c r="BL108" s="446"/>
    </row>
    <row r="109" spans="1:64" ht="13.05" hidden="1" customHeight="1" x14ac:dyDescent="0.25">
      <c r="A109" t="str">
        <f>Nutrients!B108</f>
        <v>Soybean oil</v>
      </c>
      <c r="B109" s="99"/>
      <c r="C109" s="99"/>
      <c r="D109" s="99"/>
      <c r="E109" s="99"/>
      <c r="F109" s="99"/>
      <c r="G109" s="99"/>
      <c r="H109" s="99"/>
      <c r="I109" s="99"/>
      <c r="J109" s="99"/>
      <c r="K109" s="99"/>
      <c r="L109" s="99"/>
      <c r="M109" s="99"/>
      <c r="N109" s="99"/>
      <c r="O109" s="10"/>
      <c r="P109" s="99"/>
      <c r="Q109" s="99"/>
      <c r="R109" s="99"/>
      <c r="S109" s="99"/>
      <c r="T109" s="99"/>
      <c r="U109" s="99"/>
      <c r="W109" s="99"/>
      <c r="X109" s="99"/>
      <c r="Y109" s="99"/>
      <c r="Z109" s="99"/>
      <c r="AA109" s="99"/>
      <c r="AB109" s="99"/>
      <c r="AD109" s="99"/>
      <c r="AE109" s="99"/>
      <c r="AF109" s="99"/>
      <c r="AG109" s="99"/>
      <c r="AH109" s="99"/>
      <c r="AI109" s="99"/>
      <c r="AK109" s="99"/>
      <c r="AL109" s="99"/>
      <c r="AM109" s="99"/>
      <c r="AN109" s="99"/>
      <c r="AO109" s="99"/>
      <c r="AP109" s="99"/>
      <c r="AR109" s="99"/>
      <c r="AS109" s="99"/>
      <c r="AT109" s="99"/>
      <c r="AU109" s="99"/>
      <c r="AV109" s="99"/>
      <c r="AW109" s="99"/>
      <c r="AY109" s="99"/>
      <c r="AZ109" s="117"/>
      <c r="BA109" s="117"/>
      <c r="BB109" s="117"/>
      <c r="BC109" s="117"/>
      <c r="BD109" s="117"/>
      <c r="BE109" s="117"/>
      <c r="BG109" s="446"/>
      <c r="BH109" s="446"/>
      <c r="BI109" s="446"/>
      <c r="BJ109" s="446"/>
      <c r="BK109" s="446"/>
      <c r="BL109" s="446"/>
    </row>
    <row r="110" spans="1:64" ht="13.05" hidden="1" customHeight="1" x14ac:dyDescent="0.25">
      <c r="A110" t="str">
        <f>Nutrients!B109</f>
        <v>Soybean Lecithin</v>
      </c>
      <c r="B110" s="99"/>
      <c r="C110" s="99"/>
      <c r="D110" s="99"/>
      <c r="E110" s="99"/>
      <c r="F110" s="99"/>
      <c r="G110" s="99"/>
      <c r="H110" s="99"/>
      <c r="I110" s="99"/>
      <c r="J110" s="99"/>
      <c r="K110" s="99"/>
      <c r="L110" s="99"/>
      <c r="M110" s="99"/>
      <c r="N110" s="99"/>
      <c r="O110" s="10"/>
      <c r="P110" s="99"/>
      <c r="Q110" s="99"/>
      <c r="R110" s="99"/>
      <c r="S110" s="99"/>
      <c r="T110" s="99"/>
      <c r="U110" s="99"/>
      <c r="W110" s="99"/>
      <c r="X110" s="99"/>
      <c r="Y110" s="99"/>
      <c r="Z110" s="99"/>
      <c r="AA110" s="99"/>
      <c r="AB110" s="99"/>
      <c r="AD110" s="99"/>
      <c r="AE110" s="99"/>
      <c r="AF110" s="99"/>
      <c r="AG110" s="99"/>
      <c r="AH110" s="99"/>
      <c r="AI110" s="99"/>
      <c r="AK110" s="99"/>
      <c r="AL110" s="99"/>
      <c r="AM110" s="99"/>
      <c r="AN110" s="99"/>
      <c r="AO110" s="99"/>
      <c r="AP110" s="99"/>
      <c r="AR110" s="99"/>
      <c r="AS110" s="99"/>
      <c r="AT110" s="99"/>
      <c r="AU110" s="99"/>
      <c r="AV110" s="99"/>
      <c r="AW110" s="99"/>
      <c r="AY110" s="99"/>
      <c r="AZ110" s="117"/>
      <c r="BA110" s="117"/>
      <c r="BB110" s="117"/>
      <c r="BC110" s="117"/>
      <c r="BD110" s="117"/>
      <c r="BE110" s="117"/>
      <c r="BG110" s="446"/>
      <c r="BH110" s="446"/>
      <c r="BI110" s="446"/>
      <c r="BJ110" s="446"/>
      <c r="BK110" s="446"/>
      <c r="BL110" s="446"/>
    </row>
    <row r="111" spans="1:64" ht="13.05" hidden="1" customHeight="1" x14ac:dyDescent="0.25">
      <c r="A111" t="str">
        <f>Nutrients!B110</f>
        <v>Sunflower oil</v>
      </c>
      <c r="B111" s="99"/>
      <c r="C111" s="99"/>
      <c r="D111" s="99"/>
      <c r="E111" s="99"/>
      <c r="F111" s="99"/>
      <c r="G111" s="99"/>
      <c r="H111" s="99"/>
      <c r="I111" s="99"/>
      <c r="J111" s="99"/>
      <c r="K111" s="99"/>
      <c r="L111" s="99"/>
      <c r="M111" s="99"/>
      <c r="N111" s="99"/>
      <c r="O111" s="10"/>
      <c r="P111" s="99"/>
      <c r="Q111" s="99"/>
      <c r="R111" s="99"/>
      <c r="S111" s="99"/>
      <c r="T111" s="99"/>
      <c r="U111" s="99"/>
      <c r="W111" s="99"/>
      <c r="X111" s="99"/>
      <c r="Y111" s="99"/>
      <c r="Z111" s="99"/>
      <c r="AA111" s="99"/>
      <c r="AB111" s="99"/>
      <c r="AD111" s="99"/>
      <c r="AE111" s="99"/>
      <c r="AF111" s="99"/>
      <c r="AG111" s="99"/>
      <c r="AH111" s="99"/>
      <c r="AI111" s="99"/>
      <c r="AK111" s="99"/>
      <c r="AL111" s="99"/>
      <c r="AM111" s="99"/>
      <c r="AN111" s="99"/>
      <c r="AO111" s="99"/>
      <c r="AP111" s="99"/>
      <c r="AR111" s="99"/>
      <c r="AS111" s="99"/>
      <c r="AT111" s="99"/>
      <c r="AU111" s="99"/>
      <c r="AV111" s="99"/>
      <c r="AW111" s="99"/>
      <c r="AY111" s="99"/>
      <c r="AZ111" s="117"/>
      <c r="BA111" s="117"/>
      <c r="BB111" s="117"/>
      <c r="BC111" s="117"/>
      <c r="BD111" s="117"/>
      <c r="BE111" s="117"/>
      <c r="BG111" s="446"/>
      <c r="BH111" s="446"/>
      <c r="BI111" s="446"/>
      <c r="BJ111" s="446"/>
      <c r="BK111" s="446"/>
      <c r="BL111" s="446"/>
    </row>
    <row r="112" spans="1:64" ht="13.05" hidden="1" customHeight="1" x14ac:dyDescent="0.25">
      <c r="A112" t="str">
        <f>Nutrients!B111</f>
        <v>Fat, A/V blend</v>
      </c>
      <c r="B112" s="99"/>
      <c r="C112" s="99"/>
      <c r="D112" s="99"/>
      <c r="E112" s="99"/>
      <c r="F112" s="99"/>
      <c r="G112" s="99"/>
      <c r="H112" s="99"/>
      <c r="I112" s="99"/>
      <c r="J112" s="99"/>
      <c r="K112" s="99"/>
      <c r="L112" s="99"/>
      <c r="M112" s="99"/>
      <c r="N112" s="99"/>
      <c r="O112" s="10"/>
      <c r="P112" s="99"/>
      <c r="Q112" s="99"/>
      <c r="R112" s="99"/>
      <c r="S112" s="99"/>
      <c r="T112" s="99"/>
      <c r="U112" s="99"/>
      <c r="W112" s="99"/>
      <c r="X112" s="99"/>
      <c r="Y112" s="99"/>
      <c r="Z112" s="99"/>
      <c r="AA112" s="99"/>
      <c r="AB112" s="99"/>
      <c r="AD112" s="99"/>
      <c r="AE112" s="99"/>
      <c r="AF112" s="99"/>
      <c r="AG112" s="99"/>
      <c r="AH112" s="99"/>
      <c r="AI112" s="99"/>
      <c r="AK112" s="99"/>
      <c r="AL112" s="99"/>
      <c r="AM112" s="99"/>
      <c r="AN112" s="99"/>
      <c r="AO112" s="99"/>
      <c r="AP112" s="99"/>
      <c r="AR112" s="99"/>
      <c r="AS112" s="99"/>
      <c r="AT112" s="99"/>
      <c r="AU112" s="99"/>
      <c r="AV112" s="99"/>
      <c r="AW112" s="99"/>
      <c r="AY112" s="99"/>
      <c r="AZ112" s="117"/>
      <c r="BA112" s="117"/>
      <c r="BB112" s="117"/>
      <c r="BC112" s="117"/>
      <c r="BD112" s="117"/>
      <c r="BE112" s="117"/>
      <c r="BG112" s="446"/>
      <c r="BH112" s="446"/>
      <c r="BI112" s="446"/>
      <c r="BJ112" s="446"/>
      <c r="BK112" s="446"/>
      <c r="BL112" s="446"/>
    </row>
    <row r="113" spans="1:64" x14ac:dyDescent="0.25">
      <c r="A113" t="s">
        <v>327</v>
      </c>
      <c r="B113" s="106">
        <v>20.784768068928035</v>
      </c>
      <c r="C113" s="106">
        <v>19.294892849162764</v>
      </c>
      <c r="D113" s="106">
        <v>19.202445555729952</v>
      </c>
      <c r="E113" s="106">
        <v>18.570305542378705</v>
      </c>
      <c r="F113" s="106">
        <v>18</v>
      </c>
      <c r="G113" s="106">
        <v>17.663512601760306</v>
      </c>
      <c r="H113" s="106"/>
      <c r="I113" s="106">
        <v>21.444409694945055</v>
      </c>
      <c r="J113" s="106">
        <v>19.98553862860571</v>
      </c>
      <c r="K113" s="106">
        <v>19.840873680160215</v>
      </c>
      <c r="L113" s="106">
        <v>19.236124633910652</v>
      </c>
      <c r="M113" s="106">
        <v>18.688958388234227</v>
      </c>
      <c r="N113" s="106">
        <v>17.663512601760306</v>
      </c>
      <c r="O113" s="29"/>
      <c r="P113" s="106">
        <v>22.108119813047963</v>
      </c>
      <c r="Q113" s="106">
        <v>20.660220383685797</v>
      </c>
      <c r="R113" s="106">
        <v>20.500873680160215</v>
      </c>
      <c r="S113" s="106">
        <v>19.896124633910652</v>
      </c>
      <c r="T113" s="106">
        <v>19.348958388234227</v>
      </c>
      <c r="U113" s="106">
        <v>17.663512601760306</v>
      </c>
      <c r="V113" s="9"/>
      <c r="W113" s="106">
        <v>22.768119813047964</v>
      </c>
      <c r="X113" s="106">
        <v>21.320220383685797</v>
      </c>
      <c r="Y113" s="106">
        <v>21.160873680160215</v>
      </c>
      <c r="Z113" s="106">
        <v>20.556124633910652</v>
      </c>
      <c r="AA113" s="106">
        <v>20.008958388234227</v>
      </c>
      <c r="AB113" s="106">
        <v>17.663512601760306</v>
      </c>
      <c r="AC113" s="2"/>
      <c r="AD113" s="106">
        <v>23.428119813047964</v>
      </c>
      <c r="AE113" s="106">
        <v>21.980220383685797</v>
      </c>
      <c r="AF113" s="106">
        <v>21.820873680160215</v>
      </c>
      <c r="AG113" s="106">
        <v>21.243448046973779</v>
      </c>
      <c r="AH113" s="106">
        <v>21.073538708709563</v>
      </c>
      <c r="AI113" s="106">
        <v>17.663512601760306</v>
      </c>
      <c r="AJ113" s="2"/>
      <c r="AK113" s="106">
        <v>24.088119813047964</v>
      </c>
      <c r="AL113" s="106">
        <v>22.640220383685797</v>
      </c>
      <c r="AM113" s="106">
        <v>22.480873680160215</v>
      </c>
      <c r="AN113" s="106">
        <v>22.222553735248766</v>
      </c>
      <c r="AO113" s="106">
        <v>22.260768777249535</v>
      </c>
      <c r="AP113" s="106">
        <v>17.663512601760306</v>
      </c>
      <c r="AQ113" s="2"/>
      <c r="AR113" s="106">
        <v>24.748119813047964</v>
      </c>
      <c r="AS113" s="106">
        <v>23.300220383685797</v>
      </c>
      <c r="AT113" s="106">
        <v>23.169584881524777</v>
      </c>
      <c r="AU113" s="106">
        <v>23.421147625303597</v>
      </c>
      <c r="AV113" s="106">
        <v>23.448077661856235</v>
      </c>
      <c r="AW113" s="106">
        <v>17.663512601760306</v>
      </c>
      <c r="AX113" s="9"/>
      <c r="AY113" s="106"/>
      <c r="AZ113" s="117"/>
      <c r="BA113" s="106"/>
      <c r="BB113" s="117"/>
      <c r="BC113" s="117"/>
      <c r="BD113" s="117"/>
      <c r="BE113" s="117"/>
      <c r="BG113" s="447"/>
      <c r="BH113" s="447"/>
      <c r="BI113" s="447"/>
      <c r="BJ113" s="447"/>
      <c r="BK113" s="447"/>
      <c r="BL113" s="447"/>
    </row>
    <row r="114" spans="1:64" ht="13.05" hidden="1" customHeight="1" x14ac:dyDescent="0.25">
      <c r="A114" t="str">
        <f>Nutrients!B113</f>
        <v>Calcium phosphate (tricalcium)</v>
      </c>
      <c r="B114" s="106"/>
      <c r="C114" s="106"/>
      <c r="D114" s="106"/>
      <c r="E114" s="106"/>
      <c r="F114" s="106"/>
      <c r="G114" s="106"/>
      <c r="H114" s="106"/>
      <c r="I114" s="106"/>
      <c r="J114" s="106"/>
      <c r="K114" s="106"/>
      <c r="L114" s="106"/>
      <c r="M114" s="106"/>
      <c r="N114" s="106"/>
      <c r="O114" s="29"/>
      <c r="P114" s="106"/>
      <c r="Q114" s="106"/>
      <c r="R114" s="106"/>
      <c r="S114" s="106"/>
      <c r="T114" s="106"/>
      <c r="U114" s="106"/>
      <c r="V114" s="9"/>
      <c r="W114" s="106"/>
      <c r="X114" s="106"/>
      <c r="Y114" s="106"/>
      <c r="Z114" s="106"/>
      <c r="AA114" s="106"/>
      <c r="AB114" s="106"/>
      <c r="AC114" s="2"/>
      <c r="AD114" s="106"/>
      <c r="AE114" s="106"/>
      <c r="AF114" s="106"/>
      <c r="AG114" s="106"/>
      <c r="AH114" s="106"/>
      <c r="AI114" s="106"/>
      <c r="AJ114" s="2"/>
      <c r="AK114" s="106"/>
      <c r="AL114" s="106"/>
      <c r="AM114" s="106"/>
      <c r="AN114" s="106"/>
      <c r="AO114" s="106"/>
      <c r="AP114" s="106"/>
      <c r="AQ114" s="2"/>
      <c r="AR114" s="106"/>
      <c r="AS114" s="106"/>
      <c r="AT114" s="106"/>
      <c r="AU114" s="106"/>
      <c r="AV114" s="106"/>
      <c r="AW114" s="106"/>
      <c r="AX114" s="9"/>
      <c r="AY114" s="106"/>
      <c r="AZ114" s="117"/>
      <c r="BA114" s="117"/>
      <c r="BB114" s="117"/>
      <c r="BC114" s="117"/>
      <c r="BD114" s="117"/>
      <c r="BE114" s="117"/>
      <c r="BG114" s="446"/>
      <c r="BH114" s="446"/>
      <c r="BI114" s="446"/>
      <c r="BJ114" s="446"/>
      <c r="BK114" s="446"/>
      <c r="BL114" s="446"/>
    </row>
    <row r="115" spans="1:64" hidden="1" x14ac:dyDescent="0.25">
      <c r="A115" t="str">
        <f>Nutrients!B114</f>
        <v>Calcium phosphate (dicalcium)</v>
      </c>
      <c r="B115" s="106"/>
      <c r="C115" s="106"/>
      <c r="D115" s="106"/>
      <c r="E115" s="106"/>
      <c r="F115" s="106"/>
      <c r="G115" s="106"/>
      <c r="H115" s="106"/>
      <c r="I115" s="106"/>
      <c r="J115" s="106"/>
      <c r="K115" s="106"/>
      <c r="L115" s="106"/>
      <c r="M115" s="106"/>
      <c r="N115" s="106"/>
      <c r="O115" s="29"/>
      <c r="P115" s="106"/>
      <c r="Q115" s="106"/>
      <c r="R115" s="106"/>
      <c r="S115" s="106"/>
      <c r="T115" s="106"/>
      <c r="U115" s="106"/>
      <c r="V115" s="9"/>
      <c r="W115" s="106"/>
      <c r="X115" s="106"/>
      <c r="Y115" s="106"/>
      <c r="Z115" s="106"/>
      <c r="AA115" s="106"/>
      <c r="AB115" s="106"/>
      <c r="AC115" s="2"/>
      <c r="AD115" s="106"/>
      <c r="AE115" s="106"/>
      <c r="AF115" s="106"/>
      <c r="AG115" s="106"/>
      <c r="AH115" s="106"/>
      <c r="AI115" s="106"/>
      <c r="AJ115" s="2"/>
      <c r="AK115" s="106"/>
      <c r="AL115" s="106"/>
      <c r="AM115" s="106"/>
      <c r="AN115" s="106"/>
      <c r="AO115" s="106"/>
      <c r="AP115" s="106"/>
      <c r="AQ115" s="2"/>
      <c r="AR115" s="106"/>
      <c r="AS115" s="106"/>
      <c r="AT115" s="106"/>
      <c r="AU115" s="106"/>
      <c r="AV115" s="106"/>
      <c r="AW115" s="106"/>
      <c r="AX115" s="9"/>
      <c r="AY115" s="106"/>
      <c r="AZ115" s="117"/>
      <c r="BA115" s="117"/>
      <c r="BB115" s="117"/>
      <c r="BC115" s="117"/>
      <c r="BD115" s="117"/>
      <c r="BE115" s="117"/>
      <c r="BG115" s="446"/>
      <c r="BH115" s="446"/>
      <c r="BI115" s="446"/>
      <c r="BJ115" s="446"/>
      <c r="BK115" s="446"/>
      <c r="BL115" s="446"/>
    </row>
    <row r="116" spans="1:64" x14ac:dyDescent="0.25">
      <c r="A116" t="s">
        <v>330</v>
      </c>
      <c r="B116" s="106">
        <v>14.460830899366599</v>
      </c>
      <c r="C116" s="106">
        <v>11.269382271474324</v>
      </c>
      <c r="D116" s="106">
        <v>7.9992000000000001</v>
      </c>
      <c r="E116" s="106">
        <v>5.7362235571478868</v>
      </c>
      <c r="F116" s="106">
        <v>4.249911842640179</v>
      </c>
      <c r="G116" s="106">
        <v>3.6237362366975527</v>
      </c>
      <c r="H116" s="106"/>
      <c r="I116" s="106">
        <v>13.135843328864507</v>
      </c>
      <c r="J116" s="106">
        <v>10.032841615499999</v>
      </c>
      <c r="K116" s="106">
        <v>6.6376572816597772</v>
      </c>
      <c r="L116" s="106">
        <v>4.436223557147887</v>
      </c>
      <c r="M116" s="106">
        <v>2.9499118426401791</v>
      </c>
      <c r="N116" s="106">
        <v>3.6237362366975527</v>
      </c>
      <c r="O116" s="29"/>
      <c r="P116" s="106">
        <v>11.835843328864506</v>
      </c>
      <c r="Q116" s="106">
        <v>8.7328416154999982</v>
      </c>
      <c r="R116" s="106">
        <v>5.3376572816597774</v>
      </c>
      <c r="S116" s="106">
        <v>3.1362235571478871</v>
      </c>
      <c r="T116" s="106">
        <v>1.6499118426401791</v>
      </c>
      <c r="U116" s="106">
        <v>3.6237362366975527</v>
      </c>
      <c r="V116" s="9"/>
      <c r="W116" s="106">
        <v>10.535843328864505</v>
      </c>
      <c r="X116" s="106">
        <v>7.4328416154999983</v>
      </c>
      <c r="Y116" s="106">
        <v>4.0376572816597776</v>
      </c>
      <c r="Z116" s="106">
        <v>1.8362235571478871</v>
      </c>
      <c r="AA116" s="106">
        <v>0.34991184264017905</v>
      </c>
      <c r="AB116" s="106">
        <v>3.6237362366975527</v>
      </c>
      <c r="AC116" s="2"/>
      <c r="AD116" s="106">
        <v>9.2358433288645045</v>
      </c>
      <c r="AE116" s="106">
        <v>6.1328416154999985</v>
      </c>
      <c r="AF116" s="106">
        <v>2.7376572816597777</v>
      </c>
      <c r="AG116" s="106">
        <v>0.53622355714788705</v>
      </c>
      <c r="AH116" s="106"/>
      <c r="AI116" s="106">
        <v>3.6237362366975527</v>
      </c>
      <c r="AJ116" s="2"/>
      <c r="AK116" s="106">
        <v>7.9358433288645047</v>
      </c>
      <c r="AL116" s="106">
        <v>4.8328416154999987</v>
      </c>
      <c r="AM116" s="106">
        <v>1.4376572816597777</v>
      </c>
      <c r="AN116" s="106"/>
      <c r="AO116" s="106"/>
      <c r="AP116" s="106">
        <v>3.6237362366975527</v>
      </c>
      <c r="AQ116" s="2"/>
      <c r="AR116" s="106">
        <v>6.6358433288645049</v>
      </c>
      <c r="AS116" s="106">
        <v>3.5328416154999989</v>
      </c>
      <c r="AT116" s="106">
        <v>0.13765728165977764</v>
      </c>
      <c r="AU116" s="106"/>
      <c r="AV116" s="106"/>
      <c r="AW116" s="106">
        <v>3.6237362366975527</v>
      </c>
      <c r="AX116" s="9"/>
      <c r="AY116" s="106"/>
      <c r="AZ116" s="117"/>
      <c r="BA116" s="117"/>
      <c r="BB116" s="117"/>
      <c r="BC116" s="117"/>
      <c r="BD116" s="117"/>
      <c r="BE116" s="117"/>
      <c r="BG116" s="446"/>
      <c r="BH116" s="446"/>
      <c r="BI116" s="446"/>
      <c r="BJ116" s="446"/>
      <c r="BK116" s="446"/>
      <c r="BL116" s="446"/>
    </row>
    <row r="117" spans="1:64" ht="13.05" hidden="1" customHeight="1" x14ac:dyDescent="0.25">
      <c r="A117" t="str">
        <f>Nutrients!B116</f>
        <v>Calcium sulfate, dihydrate</v>
      </c>
      <c r="B117" s="106"/>
      <c r="C117" s="106"/>
      <c r="D117" s="106"/>
      <c r="E117" s="106"/>
      <c r="F117" s="106"/>
      <c r="G117" s="106"/>
      <c r="H117" s="106"/>
      <c r="I117" s="106"/>
      <c r="J117" s="106"/>
      <c r="K117" s="106"/>
      <c r="L117" s="106"/>
      <c r="M117" s="106"/>
      <c r="N117" s="106"/>
      <c r="O117" s="29"/>
      <c r="P117" s="106"/>
      <c r="Q117" s="106"/>
      <c r="R117" s="106"/>
      <c r="S117" s="106"/>
      <c r="T117" s="106"/>
      <c r="U117" s="106"/>
      <c r="V117" s="9"/>
      <c r="W117" s="106"/>
      <c r="X117" s="106"/>
      <c r="Y117" s="106"/>
      <c r="Z117" s="106"/>
      <c r="AA117" s="106"/>
      <c r="AB117" s="106"/>
      <c r="AC117" s="2"/>
      <c r="AD117" s="106"/>
      <c r="AE117" s="106"/>
      <c r="AF117" s="106"/>
      <c r="AG117" s="106"/>
      <c r="AH117" s="106"/>
      <c r="AI117" s="106"/>
      <c r="AJ117" s="2"/>
      <c r="AK117" s="106"/>
      <c r="AL117" s="106"/>
      <c r="AM117" s="106"/>
      <c r="AN117" s="106"/>
      <c r="AO117" s="106"/>
      <c r="AP117" s="106"/>
      <c r="AQ117" s="2"/>
      <c r="AR117" s="106"/>
      <c r="AS117" s="106"/>
      <c r="AT117" s="106"/>
      <c r="AU117" s="106"/>
      <c r="AV117" s="106"/>
      <c r="AW117" s="106"/>
      <c r="AX117" s="9"/>
      <c r="AY117" s="106"/>
      <c r="AZ117" s="117"/>
      <c r="BA117" s="117"/>
      <c r="BB117" s="117"/>
      <c r="BC117" s="117"/>
      <c r="BD117" s="117"/>
      <c r="BE117" s="117"/>
      <c r="BG117" s="446"/>
      <c r="BH117" s="446"/>
      <c r="BI117" s="446"/>
      <c r="BJ117" s="446"/>
      <c r="BK117" s="446"/>
      <c r="BL117" s="446"/>
    </row>
    <row r="118" spans="1:64" ht="13.05" hidden="1" customHeight="1" x14ac:dyDescent="0.25">
      <c r="A118" t="str">
        <f>Nutrients!B117</f>
        <v>Limestone, ground</v>
      </c>
      <c r="B118" s="106"/>
      <c r="C118" s="106"/>
      <c r="D118" s="106"/>
      <c r="E118" s="106"/>
      <c r="F118" s="106"/>
      <c r="G118" s="106"/>
      <c r="H118" s="106"/>
      <c r="I118" s="106"/>
      <c r="J118" s="106"/>
      <c r="K118" s="106"/>
      <c r="L118" s="106"/>
      <c r="M118" s="106"/>
      <c r="N118" s="106"/>
      <c r="O118" s="29"/>
      <c r="P118" s="106"/>
      <c r="Q118" s="106"/>
      <c r="R118" s="106"/>
      <c r="S118" s="106"/>
      <c r="T118" s="106"/>
      <c r="U118" s="106"/>
      <c r="V118" s="9"/>
      <c r="W118" s="106"/>
      <c r="X118" s="106"/>
      <c r="Y118" s="106"/>
      <c r="Z118" s="106"/>
      <c r="AA118" s="106"/>
      <c r="AB118" s="106"/>
      <c r="AC118" s="2"/>
      <c r="AD118" s="106"/>
      <c r="AE118" s="106"/>
      <c r="AF118" s="106"/>
      <c r="AG118" s="106"/>
      <c r="AH118" s="106"/>
      <c r="AI118" s="106"/>
      <c r="AJ118" s="2"/>
      <c r="AK118" s="106"/>
      <c r="AL118" s="106"/>
      <c r="AM118" s="106"/>
      <c r="AN118" s="106"/>
      <c r="AO118" s="106"/>
      <c r="AP118" s="106"/>
      <c r="AQ118" s="2"/>
      <c r="AR118" s="106"/>
      <c r="AS118" s="106"/>
      <c r="AT118" s="106"/>
      <c r="AU118" s="106"/>
      <c r="AV118" s="106"/>
      <c r="AW118" s="106"/>
      <c r="AX118" s="9"/>
      <c r="AY118" s="106"/>
      <c r="AZ118" s="117"/>
      <c r="BA118" s="117"/>
      <c r="BB118" s="117"/>
      <c r="BC118" s="117"/>
      <c r="BD118" s="117"/>
      <c r="BE118" s="117"/>
      <c r="BG118" s="446"/>
      <c r="BH118" s="446"/>
      <c r="BI118" s="446"/>
      <c r="BJ118" s="446"/>
      <c r="BK118" s="446"/>
      <c r="BL118" s="446"/>
    </row>
    <row r="119" spans="1:64" ht="13.05" hidden="1" customHeight="1" x14ac:dyDescent="0.25">
      <c r="A119" t="str">
        <f>Nutrients!B118</f>
        <v>Magnesium phosphate</v>
      </c>
      <c r="B119" s="106"/>
      <c r="C119" s="106"/>
      <c r="D119" s="106"/>
      <c r="E119" s="106"/>
      <c r="F119" s="106"/>
      <c r="G119" s="106"/>
      <c r="H119" s="106"/>
      <c r="I119" s="106"/>
      <c r="J119" s="106"/>
      <c r="K119" s="106"/>
      <c r="L119" s="106"/>
      <c r="M119" s="106"/>
      <c r="N119" s="106"/>
      <c r="O119" s="29"/>
      <c r="P119" s="106"/>
      <c r="Q119" s="106"/>
      <c r="R119" s="106"/>
      <c r="S119" s="106"/>
      <c r="T119" s="106"/>
      <c r="U119" s="106"/>
      <c r="V119" s="9"/>
      <c r="W119" s="106"/>
      <c r="X119" s="106"/>
      <c r="Y119" s="106"/>
      <c r="Z119" s="106"/>
      <c r="AA119" s="106"/>
      <c r="AB119" s="106"/>
      <c r="AC119" s="2"/>
      <c r="AD119" s="106"/>
      <c r="AE119" s="106"/>
      <c r="AF119" s="106"/>
      <c r="AG119" s="106"/>
      <c r="AH119" s="106"/>
      <c r="AI119" s="106"/>
      <c r="AJ119" s="2"/>
      <c r="AK119" s="106"/>
      <c r="AL119" s="106"/>
      <c r="AM119" s="106"/>
      <c r="AN119" s="106"/>
      <c r="AO119" s="106"/>
      <c r="AP119" s="106"/>
      <c r="AQ119" s="2"/>
      <c r="AR119" s="106"/>
      <c r="AS119" s="106"/>
      <c r="AT119" s="106"/>
      <c r="AU119" s="106"/>
      <c r="AV119" s="106"/>
      <c r="AW119" s="106"/>
      <c r="AX119" s="9"/>
      <c r="AY119" s="106"/>
      <c r="AZ119" s="117"/>
      <c r="BA119" s="117"/>
      <c r="BB119" s="117"/>
      <c r="BC119" s="117"/>
      <c r="BD119" s="117"/>
      <c r="BE119" s="117"/>
      <c r="BG119" s="446"/>
      <c r="BH119" s="446"/>
      <c r="BI119" s="446"/>
      <c r="BJ119" s="446"/>
      <c r="BK119" s="446"/>
      <c r="BL119" s="446"/>
    </row>
    <row r="120" spans="1:64" ht="13.05" hidden="1" customHeight="1" x14ac:dyDescent="0.25">
      <c r="A120" t="str">
        <f>Nutrients!B119</f>
        <v>Sodium carbonate</v>
      </c>
      <c r="B120" s="106"/>
      <c r="C120" s="106"/>
      <c r="D120" s="106"/>
      <c r="E120" s="106"/>
      <c r="F120" s="106"/>
      <c r="G120" s="106"/>
      <c r="H120" s="106"/>
      <c r="I120" s="106"/>
      <c r="J120" s="106"/>
      <c r="K120" s="106"/>
      <c r="L120" s="106"/>
      <c r="M120" s="106"/>
      <c r="N120" s="106"/>
      <c r="O120" s="29"/>
      <c r="P120" s="106"/>
      <c r="Q120" s="106"/>
      <c r="R120" s="106"/>
      <c r="S120" s="106"/>
      <c r="T120" s="106"/>
      <c r="U120" s="106"/>
      <c r="V120" s="9"/>
      <c r="W120" s="106"/>
      <c r="X120" s="106"/>
      <c r="Y120" s="106"/>
      <c r="Z120" s="106"/>
      <c r="AA120" s="106"/>
      <c r="AB120" s="106"/>
      <c r="AC120" s="2"/>
      <c r="AD120" s="106"/>
      <c r="AE120" s="106"/>
      <c r="AF120" s="106"/>
      <c r="AG120" s="106"/>
      <c r="AH120" s="106"/>
      <c r="AI120" s="106"/>
      <c r="AJ120" s="2"/>
      <c r="AK120" s="106"/>
      <c r="AL120" s="106"/>
      <c r="AM120" s="106"/>
      <c r="AN120" s="106"/>
      <c r="AO120" s="106"/>
      <c r="AP120" s="106"/>
      <c r="AQ120" s="2"/>
      <c r="AR120" s="106"/>
      <c r="AS120" s="106"/>
      <c r="AT120" s="106"/>
      <c r="AU120" s="106"/>
      <c r="AV120" s="106"/>
      <c r="AW120" s="106"/>
      <c r="AX120" s="9"/>
      <c r="AY120" s="106"/>
      <c r="AZ120" s="117"/>
      <c r="BA120" s="117"/>
      <c r="BB120" s="117"/>
      <c r="BC120" s="117"/>
      <c r="BD120" s="117"/>
      <c r="BE120" s="117"/>
      <c r="BG120" s="446"/>
      <c r="BH120" s="446"/>
      <c r="BI120" s="446"/>
      <c r="BJ120" s="446"/>
      <c r="BK120" s="446"/>
      <c r="BL120" s="446"/>
    </row>
    <row r="121" spans="1:64" ht="13.05" hidden="1" customHeight="1" x14ac:dyDescent="0.25">
      <c r="A121" t="str">
        <f>Nutrients!B120</f>
        <v>Sodium bicarbonate</v>
      </c>
      <c r="B121" s="106"/>
      <c r="C121" s="106"/>
      <c r="D121" s="106"/>
      <c r="E121" s="106"/>
      <c r="F121" s="106"/>
      <c r="G121" s="106"/>
      <c r="H121" s="106"/>
      <c r="I121" s="106"/>
      <c r="J121" s="106"/>
      <c r="K121" s="106"/>
      <c r="L121" s="106"/>
      <c r="M121" s="106"/>
      <c r="N121" s="106"/>
      <c r="O121" s="29"/>
      <c r="P121" s="106"/>
      <c r="Q121" s="106"/>
      <c r="R121" s="106"/>
      <c r="S121" s="106"/>
      <c r="T121" s="106"/>
      <c r="U121" s="106"/>
      <c r="V121" s="9"/>
      <c r="W121" s="106"/>
      <c r="X121" s="106"/>
      <c r="Y121" s="106"/>
      <c r="Z121" s="106"/>
      <c r="AA121" s="106"/>
      <c r="AB121" s="106"/>
      <c r="AC121" s="2"/>
      <c r="AD121" s="106"/>
      <c r="AE121" s="106"/>
      <c r="AF121" s="106"/>
      <c r="AG121" s="106"/>
      <c r="AH121" s="106"/>
      <c r="AI121" s="106"/>
      <c r="AJ121" s="2"/>
      <c r="AK121" s="106"/>
      <c r="AL121" s="106"/>
      <c r="AM121" s="106"/>
      <c r="AN121" s="106"/>
      <c r="AO121" s="106"/>
      <c r="AP121" s="106"/>
      <c r="AQ121" s="2"/>
      <c r="AR121" s="106"/>
      <c r="AS121" s="106"/>
      <c r="AT121" s="106"/>
      <c r="AU121" s="106"/>
      <c r="AV121" s="106"/>
      <c r="AW121" s="106"/>
      <c r="AX121" s="9"/>
      <c r="AY121" s="106"/>
      <c r="AZ121" s="117"/>
      <c r="BA121" s="117"/>
      <c r="BB121" s="117"/>
      <c r="BC121" s="117"/>
      <c r="BD121" s="117"/>
      <c r="BE121" s="117"/>
      <c r="BG121" s="446"/>
      <c r="BH121" s="446"/>
      <c r="BI121" s="446"/>
      <c r="BJ121" s="446"/>
      <c r="BK121" s="446"/>
      <c r="BL121" s="446"/>
    </row>
    <row r="122" spans="1:64" x14ac:dyDescent="0.25">
      <c r="A122" t="str">
        <f>Nutrients!B121</f>
        <v>Sodium chloride</v>
      </c>
      <c r="B122" s="106">
        <v>7</v>
      </c>
      <c r="C122" s="106">
        <v>7</v>
      </c>
      <c r="D122" s="106">
        <v>7</v>
      </c>
      <c r="E122" s="106">
        <v>7</v>
      </c>
      <c r="F122" s="106">
        <v>7</v>
      </c>
      <c r="G122" s="106">
        <v>7</v>
      </c>
      <c r="H122" s="106"/>
      <c r="I122" s="106">
        <v>7</v>
      </c>
      <c r="J122" s="106">
        <v>7</v>
      </c>
      <c r="K122" s="106">
        <v>7</v>
      </c>
      <c r="L122" s="106">
        <v>7</v>
      </c>
      <c r="M122" s="106">
        <v>7</v>
      </c>
      <c r="N122" s="106">
        <v>7</v>
      </c>
      <c r="O122" s="29"/>
      <c r="P122" s="106">
        <v>7</v>
      </c>
      <c r="Q122" s="106">
        <v>7</v>
      </c>
      <c r="R122" s="106">
        <v>7</v>
      </c>
      <c r="S122" s="106">
        <v>7</v>
      </c>
      <c r="T122" s="106">
        <v>7</v>
      </c>
      <c r="U122" s="106">
        <v>7</v>
      </c>
      <c r="V122" s="9"/>
      <c r="W122" s="106">
        <v>7</v>
      </c>
      <c r="X122" s="106">
        <v>7</v>
      </c>
      <c r="Y122" s="106">
        <v>7</v>
      </c>
      <c r="Z122" s="106">
        <v>7</v>
      </c>
      <c r="AA122" s="106">
        <v>7</v>
      </c>
      <c r="AB122" s="106">
        <v>7</v>
      </c>
      <c r="AC122" s="2"/>
      <c r="AD122" s="106">
        <v>7</v>
      </c>
      <c r="AE122" s="106">
        <v>7</v>
      </c>
      <c r="AF122" s="106">
        <v>7</v>
      </c>
      <c r="AG122" s="106">
        <v>7</v>
      </c>
      <c r="AH122" s="106">
        <v>7</v>
      </c>
      <c r="AI122" s="106">
        <v>7</v>
      </c>
      <c r="AJ122" s="2"/>
      <c r="AK122" s="106">
        <v>7</v>
      </c>
      <c r="AL122" s="106">
        <v>7</v>
      </c>
      <c r="AM122" s="106">
        <v>7</v>
      </c>
      <c r="AN122" s="106">
        <v>7</v>
      </c>
      <c r="AO122" s="106">
        <v>7</v>
      </c>
      <c r="AP122" s="106">
        <v>7</v>
      </c>
      <c r="AQ122" s="2"/>
      <c r="AR122" s="106">
        <v>7</v>
      </c>
      <c r="AS122" s="106">
        <v>7</v>
      </c>
      <c r="AT122" s="106">
        <v>7</v>
      </c>
      <c r="AU122" s="106">
        <v>7</v>
      </c>
      <c r="AV122" s="106">
        <v>7</v>
      </c>
      <c r="AW122" s="106">
        <v>7</v>
      </c>
      <c r="AX122" s="9"/>
      <c r="AY122" s="106"/>
      <c r="AZ122" s="117"/>
      <c r="BA122" s="106"/>
      <c r="BB122" s="117"/>
      <c r="BC122" s="117"/>
      <c r="BD122" s="117"/>
      <c r="BE122" s="117"/>
      <c r="BG122" s="447"/>
      <c r="BH122" s="447"/>
      <c r="BI122" s="447"/>
      <c r="BJ122" s="447"/>
      <c r="BK122" s="447"/>
      <c r="BL122" s="447"/>
    </row>
    <row r="123" spans="1:64" ht="13.05" hidden="1" customHeight="1" x14ac:dyDescent="0.25">
      <c r="A123" t="str">
        <f>Nutrients!B122</f>
        <v>Sodium phosphate, monobasic</v>
      </c>
      <c r="B123" s="106"/>
      <c r="C123" s="106"/>
      <c r="D123" s="106"/>
      <c r="E123" s="106"/>
      <c r="F123" s="106"/>
      <c r="G123" s="106"/>
      <c r="H123" s="106"/>
      <c r="I123" s="106"/>
      <c r="J123" s="106"/>
      <c r="K123" s="106"/>
      <c r="L123" s="106"/>
      <c r="M123" s="106"/>
      <c r="N123" s="106"/>
      <c r="O123" s="29"/>
      <c r="P123" s="106"/>
      <c r="Q123" s="106"/>
      <c r="R123" s="106"/>
      <c r="S123" s="106"/>
      <c r="T123" s="106"/>
      <c r="U123" s="106"/>
      <c r="V123" s="9"/>
      <c r="W123" s="106"/>
      <c r="X123" s="106"/>
      <c r="Y123" s="106"/>
      <c r="Z123" s="106"/>
      <c r="AA123" s="106"/>
      <c r="AB123" s="106"/>
      <c r="AC123" s="2"/>
      <c r="AD123" s="106"/>
      <c r="AE123" s="106"/>
      <c r="AF123" s="106"/>
      <c r="AG123" s="106"/>
      <c r="AH123" s="106"/>
      <c r="AI123" s="106"/>
      <c r="AJ123" s="2"/>
      <c r="AK123" s="106"/>
      <c r="AL123" s="106"/>
      <c r="AM123" s="106"/>
      <c r="AN123" s="106"/>
      <c r="AO123" s="106"/>
      <c r="AP123" s="106"/>
      <c r="AQ123" s="2"/>
      <c r="AR123" s="106"/>
      <c r="AS123" s="106"/>
      <c r="AT123" s="106"/>
      <c r="AU123" s="106"/>
      <c r="AV123" s="106"/>
      <c r="AW123" s="106"/>
      <c r="AX123" s="9"/>
      <c r="AY123" s="106"/>
      <c r="AZ123" s="117"/>
      <c r="BA123" s="117"/>
      <c r="BB123" s="117"/>
      <c r="BC123" s="117"/>
      <c r="BD123" s="117"/>
      <c r="BE123" s="117"/>
      <c r="BG123" s="447"/>
      <c r="BH123" s="447"/>
      <c r="BI123" s="447"/>
      <c r="BJ123" s="447"/>
      <c r="BK123" s="447"/>
      <c r="BL123" s="447"/>
    </row>
    <row r="124" spans="1:64" ht="13.05" hidden="1" customHeight="1" x14ac:dyDescent="0.25">
      <c r="A124" t="str">
        <f>Nutrients!B123</f>
        <v>Sodium sulfate, decahydrate</v>
      </c>
      <c r="B124" s="106"/>
      <c r="C124" s="106"/>
      <c r="D124" s="106"/>
      <c r="E124" s="106"/>
      <c r="F124" s="106"/>
      <c r="G124" s="106"/>
      <c r="H124" s="106"/>
      <c r="I124" s="106"/>
      <c r="J124" s="106"/>
      <c r="K124" s="106"/>
      <c r="L124" s="106"/>
      <c r="M124" s="106"/>
      <c r="N124" s="106"/>
      <c r="O124" s="29"/>
      <c r="P124" s="106"/>
      <c r="Q124" s="106"/>
      <c r="R124" s="106"/>
      <c r="S124" s="106"/>
      <c r="T124" s="106"/>
      <c r="U124" s="106"/>
      <c r="V124" s="9"/>
      <c r="W124" s="106"/>
      <c r="X124" s="106"/>
      <c r="Y124" s="106"/>
      <c r="Z124" s="106"/>
      <c r="AA124" s="106"/>
      <c r="AB124" s="106"/>
      <c r="AC124" s="2"/>
      <c r="AD124" s="106"/>
      <c r="AE124" s="106"/>
      <c r="AF124" s="106"/>
      <c r="AG124" s="106"/>
      <c r="AH124" s="106"/>
      <c r="AI124" s="106"/>
      <c r="AJ124" s="2"/>
      <c r="AK124" s="106"/>
      <c r="AL124" s="106"/>
      <c r="AM124" s="106"/>
      <c r="AN124" s="106"/>
      <c r="AO124" s="106"/>
      <c r="AP124" s="106"/>
      <c r="AQ124" s="2"/>
      <c r="AR124" s="106"/>
      <c r="AS124" s="106"/>
      <c r="AT124" s="106"/>
      <c r="AU124" s="106"/>
      <c r="AV124" s="106"/>
      <c r="AW124" s="106"/>
      <c r="AX124" s="9"/>
      <c r="AY124" s="106"/>
      <c r="AZ124" s="117"/>
      <c r="BA124" s="117"/>
      <c r="BB124" s="117"/>
      <c r="BC124" s="117"/>
      <c r="BD124" s="117"/>
      <c r="BE124" s="117"/>
      <c r="BG124" s="447"/>
      <c r="BH124" s="447"/>
      <c r="BI124" s="447"/>
      <c r="BJ124" s="447"/>
      <c r="BK124" s="447"/>
      <c r="BL124" s="447"/>
    </row>
    <row r="125" spans="1:64" x14ac:dyDescent="0.25">
      <c r="A125" t="s">
        <v>377</v>
      </c>
      <c r="B125" s="106">
        <v>9</v>
      </c>
      <c r="C125" s="106">
        <v>8</v>
      </c>
      <c r="D125" s="106">
        <v>7</v>
      </c>
      <c r="E125" s="106">
        <v>6.5209098242968704</v>
      </c>
      <c r="F125" s="106">
        <v>6.5209098242968704</v>
      </c>
      <c r="G125" s="106">
        <v>6.5209098242968704</v>
      </c>
      <c r="H125" s="106"/>
      <c r="I125" s="106">
        <v>9.43</v>
      </c>
      <c r="J125" s="106">
        <v>8.43</v>
      </c>
      <c r="K125" s="106">
        <v>7.43</v>
      </c>
      <c r="L125" s="106">
        <v>6.9509098242968701</v>
      </c>
      <c r="M125" s="106">
        <v>6.9509098242968701</v>
      </c>
      <c r="N125" s="106">
        <v>6.5209098242968704</v>
      </c>
      <c r="O125" s="106"/>
      <c r="P125" s="106">
        <v>9.86</v>
      </c>
      <c r="Q125" s="106">
        <v>8.86</v>
      </c>
      <c r="R125" s="106">
        <v>7.8599999999999994</v>
      </c>
      <c r="S125" s="106">
        <v>7.3809098242968698</v>
      </c>
      <c r="T125" s="106">
        <v>7.3809098242968698</v>
      </c>
      <c r="U125" s="106">
        <v>6.5209098242968704</v>
      </c>
      <c r="V125" s="106"/>
      <c r="W125" s="106">
        <v>10.29</v>
      </c>
      <c r="X125" s="106">
        <v>9.2899999999999991</v>
      </c>
      <c r="Y125" s="106">
        <v>8.2899999999999991</v>
      </c>
      <c r="Z125" s="106">
        <v>7.8109098242968695</v>
      </c>
      <c r="AA125" s="106">
        <v>7.8109098242968695</v>
      </c>
      <c r="AB125" s="106">
        <v>6.5209098242968704</v>
      </c>
      <c r="AC125" s="2"/>
      <c r="AD125" s="106">
        <v>10.719999999999999</v>
      </c>
      <c r="AE125" s="106">
        <v>9.7199999999999989</v>
      </c>
      <c r="AF125" s="106">
        <v>8.7199999999999989</v>
      </c>
      <c r="AG125" s="106">
        <v>8.2409098242968692</v>
      </c>
      <c r="AH125" s="106">
        <v>8.2409098242968692</v>
      </c>
      <c r="AI125" s="106">
        <v>6.5209098242968704</v>
      </c>
      <c r="AJ125" s="2"/>
      <c r="AK125" s="106">
        <v>11.149999999999999</v>
      </c>
      <c r="AL125" s="106">
        <v>10.149999999999999</v>
      </c>
      <c r="AM125" s="106">
        <v>9.1499999999999986</v>
      </c>
      <c r="AN125" s="106">
        <v>8.670909824296869</v>
      </c>
      <c r="AO125" s="106">
        <v>8.670909824296869</v>
      </c>
      <c r="AP125" s="106">
        <v>6.5209098242968704</v>
      </c>
      <c r="AQ125" s="2"/>
      <c r="AR125" s="106">
        <v>11.579999999999998</v>
      </c>
      <c r="AS125" s="106">
        <v>10.579999999999998</v>
      </c>
      <c r="AT125" s="106">
        <v>9.5799999999999983</v>
      </c>
      <c r="AU125" s="106">
        <v>9.1009098242968687</v>
      </c>
      <c r="AV125" s="106">
        <v>9.1009098242968687</v>
      </c>
      <c r="AW125" s="106">
        <v>6.5209098242968704</v>
      </c>
      <c r="AX125" s="9"/>
      <c r="AY125" s="106"/>
      <c r="AZ125" s="117"/>
      <c r="BA125" s="106"/>
      <c r="BB125" s="117"/>
      <c r="BC125" s="117"/>
      <c r="BD125" s="117"/>
      <c r="BE125" s="117"/>
      <c r="BG125" s="447"/>
      <c r="BH125" s="447"/>
      <c r="BI125" s="447"/>
      <c r="BJ125" s="447"/>
      <c r="BK125" s="447"/>
      <c r="BL125" s="447"/>
    </row>
    <row r="126" spans="1:64" x14ac:dyDescent="0.25">
      <c r="A126" t="s">
        <v>338</v>
      </c>
      <c r="B126" s="106">
        <v>2.7899868108851815</v>
      </c>
      <c r="C126" s="106">
        <v>1.9290679550175049</v>
      </c>
      <c r="D126" s="106">
        <v>1.13207908850893</v>
      </c>
      <c r="E126" s="106">
        <v>0.75200939944039891</v>
      </c>
      <c r="F126" s="106">
        <v>0.4642187503637718</v>
      </c>
      <c r="G126" s="106">
        <v>0.41815988679019511</v>
      </c>
      <c r="H126" s="106"/>
      <c r="I126" s="106">
        <v>2.5299868108851813</v>
      </c>
      <c r="J126" s="106">
        <v>1.6690679550175049</v>
      </c>
      <c r="K126" s="106">
        <v>0.88278153865148223</v>
      </c>
      <c r="L126" s="106">
        <v>0.4920093994403989</v>
      </c>
      <c r="M126" s="106">
        <v>0.18898309487451329</v>
      </c>
      <c r="N126" s="106">
        <v>0.41815988679019511</v>
      </c>
      <c r="O126" s="29"/>
      <c r="P126" s="106">
        <v>2.2799868108851813</v>
      </c>
      <c r="Q126" s="106">
        <v>1.4190679550175049</v>
      </c>
      <c r="R126" s="106">
        <v>0.63278153865148223</v>
      </c>
      <c r="S126" s="106">
        <v>0.2420093994403989</v>
      </c>
      <c r="T126" s="106"/>
      <c r="U126" s="106">
        <v>0.41815988679019511</v>
      </c>
      <c r="V126" s="9"/>
      <c r="W126" s="106">
        <v>2.0199868108851815</v>
      </c>
      <c r="X126" s="106">
        <v>1.1690679550175049</v>
      </c>
      <c r="Y126" s="106">
        <v>0.38278153865148223</v>
      </c>
      <c r="Z126" s="106">
        <v>-7.990600559601102E-3</v>
      </c>
      <c r="AA126" s="106"/>
      <c r="AB126" s="106">
        <v>0.41815988679019511</v>
      </c>
      <c r="AC126" s="2"/>
      <c r="AD126" s="106">
        <v>1.7599868108851815</v>
      </c>
      <c r="AE126" s="106">
        <v>0.91906795501750493</v>
      </c>
      <c r="AF126" s="106">
        <v>0.13278153865148223</v>
      </c>
      <c r="AG126" s="106"/>
      <c r="AH126" s="106"/>
      <c r="AI126" s="106">
        <v>0.41815988679019511</v>
      </c>
      <c r="AJ126" s="2"/>
      <c r="AK126" s="106">
        <v>1.5199868108851815</v>
      </c>
      <c r="AL126" s="106">
        <v>0.65906795501750493</v>
      </c>
      <c r="AM126" s="106"/>
      <c r="AN126" s="106"/>
      <c r="AO126" s="106"/>
      <c r="AP126" s="106">
        <v>0.41815988679019511</v>
      </c>
      <c r="AQ126" s="2"/>
      <c r="AR126" s="106">
        <v>1.2599868108851815</v>
      </c>
      <c r="AS126" s="106">
        <v>0.39906795501750492</v>
      </c>
      <c r="AT126" s="106"/>
      <c r="AU126" s="106"/>
      <c r="AV126" s="106"/>
      <c r="AW126" s="106">
        <v>0.41815988679019511</v>
      </c>
      <c r="AX126" s="9"/>
      <c r="AY126" s="106"/>
      <c r="AZ126" s="117"/>
      <c r="BA126" s="117"/>
      <c r="BB126" s="117"/>
      <c r="BC126" s="117"/>
      <c r="BD126" s="117"/>
      <c r="BE126" s="117"/>
      <c r="BG126" s="446"/>
      <c r="BH126" s="446"/>
      <c r="BI126" s="446"/>
      <c r="BJ126" s="446"/>
      <c r="BK126" s="446"/>
      <c r="BL126" s="446"/>
    </row>
    <row r="127" spans="1:64" x14ac:dyDescent="0.25">
      <c r="A127" t="s">
        <v>339</v>
      </c>
      <c r="B127" s="106">
        <v>3.311714981497218</v>
      </c>
      <c r="C127" s="106">
        <v>2.6822978939662598</v>
      </c>
      <c r="D127" s="106">
        <v>2.0730406828281205</v>
      </c>
      <c r="E127" s="106">
        <v>1.9101926587313733</v>
      </c>
      <c r="F127" s="106">
        <v>1.8273540665098165</v>
      </c>
      <c r="G127" s="106">
        <v>1.8754623140236151</v>
      </c>
      <c r="H127" s="106"/>
      <c r="I127" s="106">
        <v>3.1748372375899616</v>
      </c>
      <c r="J127" s="106">
        <v>2.5422978939662597</v>
      </c>
      <c r="K127" s="106">
        <v>1.9406205514746149</v>
      </c>
      <c r="L127" s="106">
        <v>1.7602215425154948</v>
      </c>
      <c r="M127" s="106">
        <v>1.6537673570424269</v>
      </c>
      <c r="N127" s="106">
        <v>1.8754623140236151</v>
      </c>
      <c r="O127" s="29"/>
      <c r="P127" s="106">
        <v>3.0403521048893358</v>
      </c>
      <c r="Q127" s="106">
        <v>2.4143454920119956</v>
      </c>
      <c r="R127" s="106">
        <v>1.8082894669109586</v>
      </c>
      <c r="S127" s="106">
        <v>1.6260816125761768</v>
      </c>
      <c r="T127" s="106">
        <v>1.5209850918036218</v>
      </c>
      <c r="U127" s="106">
        <v>1.8754623140236151</v>
      </c>
      <c r="V127" s="9"/>
      <c r="W127" s="106">
        <v>2.9103521048893359</v>
      </c>
      <c r="X127" s="106">
        <v>2.2843454920119957</v>
      </c>
      <c r="Y127" s="106">
        <v>1.6782894669109587</v>
      </c>
      <c r="Z127" s="106">
        <v>1.4960816125761767</v>
      </c>
      <c r="AA127" s="106">
        <v>1.3909850918036217</v>
      </c>
      <c r="AB127" s="106">
        <v>1.8754623140236151</v>
      </c>
      <c r="AC127" s="2"/>
      <c r="AD127" s="106">
        <v>2.780352104889336</v>
      </c>
      <c r="AE127" s="106">
        <v>2.1543454920119958</v>
      </c>
      <c r="AF127" s="106">
        <v>1.5482894669109588</v>
      </c>
      <c r="AG127" s="106">
        <v>1.3660816125761768</v>
      </c>
      <c r="AH127" s="106">
        <v>1.2609850918036218</v>
      </c>
      <c r="AI127" s="106">
        <v>1.8754623140236151</v>
      </c>
      <c r="AJ127" s="2"/>
      <c r="AK127" s="106">
        <v>2.6503521048893361</v>
      </c>
      <c r="AL127" s="106">
        <v>2.0243454920119959</v>
      </c>
      <c r="AM127" s="106">
        <v>1.4182894669109589</v>
      </c>
      <c r="AN127" s="106">
        <v>1.2360816125761769</v>
      </c>
      <c r="AO127" s="106">
        <v>1.1309850918036219</v>
      </c>
      <c r="AP127" s="106">
        <v>1.8754623140236151</v>
      </c>
      <c r="AQ127" s="2"/>
      <c r="AR127" s="106">
        <v>2.5203521048893363</v>
      </c>
      <c r="AS127" s="106">
        <v>1.894345492011996</v>
      </c>
      <c r="AT127" s="106">
        <v>1.288289466910959</v>
      </c>
      <c r="AU127" s="106">
        <v>1.106081612576177</v>
      </c>
      <c r="AV127" s="106">
        <v>1.0009850918036221</v>
      </c>
      <c r="AW127" s="106">
        <v>1.8754623140236151</v>
      </c>
      <c r="AX127" s="9"/>
      <c r="AY127" s="106"/>
      <c r="AZ127" s="117"/>
      <c r="BA127" s="106"/>
      <c r="BB127" s="117"/>
      <c r="BC127" s="117"/>
      <c r="BD127" s="117"/>
      <c r="BE127" s="117"/>
      <c r="BG127" s="447"/>
      <c r="BH127" s="447"/>
      <c r="BI127" s="447"/>
      <c r="BJ127" s="447"/>
      <c r="BK127" s="447"/>
      <c r="BL127" s="447"/>
    </row>
    <row r="128" spans="1:64" x14ac:dyDescent="0.25">
      <c r="A128" t="s">
        <v>340</v>
      </c>
      <c r="B128" s="106">
        <v>0.64715411983197724</v>
      </c>
      <c r="C128" s="106">
        <v>0.56508100549263673</v>
      </c>
      <c r="D128" s="106">
        <v>0.47170370784158877</v>
      </c>
      <c r="E128" s="106">
        <v>0.46467722263870981</v>
      </c>
      <c r="F128" s="106">
        <v>0.5242318057378007</v>
      </c>
      <c r="G128" s="106">
        <v>0.53625865021646124</v>
      </c>
      <c r="H128" s="106"/>
      <c r="I128" s="106">
        <v>0.71347901910320866</v>
      </c>
      <c r="J128" s="106">
        <v>0.6303749007613858</v>
      </c>
      <c r="K128" s="106">
        <v>0.53614770830416902</v>
      </c>
      <c r="L128" s="106">
        <v>0.52160740074835188</v>
      </c>
      <c r="M128" s="106">
        <v>0.57180239827998214</v>
      </c>
      <c r="N128" s="106">
        <v>0.53625865021646124</v>
      </c>
      <c r="O128" s="29"/>
      <c r="P128" s="106">
        <v>0.77844506115054912</v>
      </c>
      <c r="Q128" s="106">
        <v>0.69469309080141695</v>
      </c>
      <c r="R128" s="106">
        <v>0.59614770830416908</v>
      </c>
      <c r="S128" s="106">
        <v>0.58160740074835182</v>
      </c>
      <c r="T128" s="106">
        <v>0.63180239827998208</v>
      </c>
      <c r="U128" s="106">
        <v>0.53625865021646124</v>
      </c>
      <c r="V128" s="9"/>
      <c r="W128" s="106">
        <v>0.83844506115054918</v>
      </c>
      <c r="X128" s="106">
        <v>0.75469309080141689</v>
      </c>
      <c r="Y128" s="106">
        <v>0.65614770830416913</v>
      </c>
      <c r="Z128" s="106">
        <v>0.64160740074835187</v>
      </c>
      <c r="AA128" s="106">
        <v>0.69180239827998213</v>
      </c>
      <c r="AB128" s="106">
        <v>0.53625865021646124</v>
      </c>
      <c r="AC128" s="2"/>
      <c r="AD128" s="106">
        <v>0.90844506115054924</v>
      </c>
      <c r="AE128" s="106">
        <v>0.82469309080141695</v>
      </c>
      <c r="AF128" s="106">
        <v>0.72614770830416919</v>
      </c>
      <c r="AG128" s="106">
        <v>0.71160740074835194</v>
      </c>
      <c r="AH128" s="106">
        <v>0.7618023982799822</v>
      </c>
      <c r="AI128" s="106">
        <v>0.53625865021646124</v>
      </c>
      <c r="AJ128" s="2"/>
      <c r="AK128" s="106">
        <v>0.96844506115054929</v>
      </c>
      <c r="AL128" s="106">
        <v>0.884693090801417</v>
      </c>
      <c r="AM128" s="106">
        <v>0.78614770830416925</v>
      </c>
      <c r="AN128" s="106">
        <v>0.77160740074835199</v>
      </c>
      <c r="AO128" s="106">
        <v>0.82180239827998225</v>
      </c>
      <c r="AP128" s="106">
        <v>0.53625865021646124</v>
      </c>
      <c r="AQ128" s="2"/>
      <c r="AR128" s="106">
        <v>1.0284450611505493</v>
      </c>
      <c r="AS128" s="106">
        <v>0.94469309080141706</v>
      </c>
      <c r="AT128" s="106">
        <v>0.8461477083041693</v>
      </c>
      <c r="AU128" s="106">
        <v>0.83160740074835204</v>
      </c>
      <c r="AV128" s="106">
        <v>0.8818023982799823</v>
      </c>
      <c r="AW128" s="106">
        <v>0.53625865021646124</v>
      </c>
      <c r="AX128" s="9"/>
      <c r="AY128" s="106"/>
      <c r="AZ128" s="117"/>
      <c r="BA128" s="117"/>
      <c r="BB128" s="117"/>
      <c r="BC128" s="117"/>
      <c r="BD128" s="117"/>
      <c r="BE128" s="117"/>
      <c r="BG128" s="447"/>
      <c r="BH128" s="447"/>
      <c r="BI128" s="447"/>
      <c r="BJ128" s="447"/>
      <c r="BK128" s="447"/>
      <c r="BL128" s="447"/>
    </row>
    <row r="129" spans="1:64" x14ac:dyDescent="0.25">
      <c r="A129" t="s">
        <v>341</v>
      </c>
      <c r="B129" s="106">
        <v>1.4782324055847444</v>
      </c>
      <c r="C129" s="106">
        <v>0.90319623176357955</v>
      </c>
      <c r="D129" s="106">
        <v>0.3833689639367559</v>
      </c>
      <c r="E129" s="106">
        <v>0.26954963031428469</v>
      </c>
      <c r="F129" s="106">
        <v>0.33319678683181891</v>
      </c>
      <c r="G129" s="106">
        <v>0.31598976510963955</v>
      </c>
      <c r="H129" s="106"/>
      <c r="I129" s="106">
        <v>1.1534631270189402</v>
      </c>
      <c r="J129" s="106">
        <v>0.62077568050685106</v>
      </c>
      <c r="K129" s="106">
        <v>0.2472380429409072</v>
      </c>
      <c r="L129" s="106">
        <v>0.10195907802470887</v>
      </c>
      <c r="M129" s="91">
        <v>0.14083246142135958</v>
      </c>
      <c r="N129" s="106">
        <v>0.31598976510963955</v>
      </c>
      <c r="O129" s="29"/>
      <c r="P129" s="106">
        <v>0.87755052921916477</v>
      </c>
      <c r="Q129" s="106">
        <v>0.46245604760860204</v>
      </c>
      <c r="R129" s="106">
        <v>9.5807909161483171E-2</v>
      </c>
      <c r="S129" s="106"/>
      <c r="T129" s="106"/>
      <c r="U129" s="106">
        <v>0.31598976510963955</v>
      </c>
      <c r="V129" s="9"/>
      <c r="W129" s="106">
        <v>0.66589817086726644</v>
      </c>
      <c r="X129" s="106">
        <v>0.2879876444344644</v>
      </c>
      <c r="Y129" s="106"/>
      <c r="Z129" s="106"/>
      <c r="AA129" s="106"/>
      <c r="AB129" s="106">
        <v>0.31598976510963955</v>
      </c>
      <c r="AC129" s="2"/>
      <c r="AD129" s="106">
        <v>0.51716060291089117</v>
      </c>
      <c r="AE129" s="106">
        <v>0.16701127287845019</v>
      </c>
      <c r="AF129" s="106"/>
      <c r="AG129" s="106"/>
      <c r="AH129" s="106"/>
      <c r="AI129" s="106">
        <v>0.31598976510963955</v>
      </c>
      <c r="AJ129" s="2"/>
      <c r="AK129" s="106">
        <v>0.38209282857183691</v>
      </c>
      <c r="AL129" s="106"/>
      <c r="AM129" s="106"/>
      <c r="AN129" s="106"/>
      <c r="AO129" s="106"/>
      <c r="AP129" s="106">
        <v>0.31598976510963955</v>
      </c>
      <c r="AQ129" s="2"/>
      <c r="AR129" s="106">
        <v>0.23881768344794968</v>
      </c>
      <c r="AS129" s="106"/>
      <c r="AT129" s="106"/>
      <c r="AU129" s="106"/>
      <c r="AV129" s="106"/>
      <c r="AW129" s="106">
        <v>0.31598976510963955</v>
      </c>
      <c r="AX129" s="9"/>
      <c r="AY129" s="106"/>
      <c r="AZ129" s="117"/>
      <c r="BA129" s="117"/>
      <c r="BB129" s="117"/>
      <c r="BC129" s="117"/>
      <c r="BD129" s="117"/>
      <c r="BE129" s="117"/>
      <c r="BG129" s="446"/>
      <c r="BH129" s="446"/>
      <c r="BI129" s="446"/>
      <c r="BJ129" s="446"/>
      <c r="BK129" s="446"/>
      <c r="BL129" s="446"/>
    </row>
    <row r="130" spans="1:64" ht="13.05" hidden="1" customHeight="1" x14ac:dyDescent="0.25">
      <c r="A130" t="str">
        <f>Nutrients!B129</f>
        <v>L-Ile</v>
      </c>
      <c r="B130" s="106"/>
      <c r="C130" s="106"/>
      <c r="D130" s="106"/>
      <c r="E130" s="106"/>
      <c r="F130" s="106"/>
      <c r="G130" s="106"/>
      <c r="H130" s="106"/>
      <c r="I130" s="106"/>
      <c r="J130" s="106"/>
      <c r="K130" s="106"/>
      <c r="L130" s="106"/>
      <c r="M130" s="106"/>
      <c r="N130" s="106"/>
      <c r="O130" s="29"/>
      <c r="P130" s="106"/>
      <c r="Q130" s="106"/>
      <c r="R130" s="106"/>
      <c r="S130" s="106"/>
      <c r="T130" s="106"/>
      <c r="U130" s="106"/>
      <c r="V130" s="9"/>
      <c r="W130" s="106"/>
      <c r="X130" s="106"/>
      <c r="Y130" s="106"/>
      <c r="Z130" s="106"/>
      <c r="AA130" s="106"/>
      <c r="AB130" s="106"/>
      <c r="AC130" s="2"/>
      <c r="AD130" s="106"/>
      <c r="AE130" s="106"/>
      <c r="AF130" s="106"/>
      <c r="AG130" s="106"/>
      <c r="AH130" s="106"/>
      <c r="AI130" s="106"/>
      <c r="AJ130" s="2"/>
      <c r="AK130" s="106"/>
      <c r="AL130" s="106"/>
      <c r="AM130" s="106"/>
      <c r="AN130" s="106"/>
      <c r="AO130" s="106"/>
      <c r="AP130" s="106"/>
      <c r="AQ130" s="2"/>
      <c r="AR130" s="106"/>
      <c r="AS130" s="106"/>
      <c r="AT130" s="106"/>
      <c r="AU130" s="106"/>
      <c r="AV130" s="106"/>
      <c r="AW130" s="106"/>
      <c r="AX130" s="9"/>
      <c r="AY130" s="106"/>
      <c r="AZ130" s="117"/>
      <c r="BA130" s="117"/>
      <c r="BB130" s="117"/>
      <c r="BC130" s="117"/>
      <c r="BD130" s="117"/>
      <c r="BE130" s="117"/>
      <c r="BG130" s="446"/>
      <c r="BH130" s="446"/>
      <c r="BI130" s="446"/>
      <c r="BJ130" s="446"/>
      <c r="BK130" s="446"/>
      <c r="BL130" s="446"/>
    </row>
    <row r="131" spans="1:64" ht="13.05" hidden="1" customHeight="1" x14ac:dyDescent="0.25">
      <c r="A131" t="str">
        <f>Nutrients!B130</f>
        <v>Methionine hydroxy analog</v>
      </c>
      <c r="B131" s="106"/>
      <c r="C131" s="106"/>
      <c r="D131" s="106"/>
      <c r="E131" s="106"/>
      <c r="F131" s="106"/>
      <c r="G131" s="106"/>
      <c r="H131" s="106"/>
      <c r="I131" s="106"/>
      <c r="J131" s="106"/>
      <c r="K131" s="106"/>
      <c r="L131" s="106"/>
      <c r="M131" s="106"/>
      <c r="N131" s="106"/>
      <c r="O131" s="29"/>
      <c r="P131" s="106"/>
      <c r="Q131" s="106"/>
      <c r="R131" s="106"/>
      <c r="S131" s="106"/>
      <c r="T131" s="106"/>
      <c r="U131" s="106"/>
      <c r="V131" s="9"/>
      <c r="W131" s="106"/>
      <c r="X131" s="106"/>
      <c r="Y131" s="106"/>
      <c r="Z131" s="106"/>
      <c r="AA131" s="106"/>
      <c r="AB131" s="106"/>
      <c r="AC131" s="2"/>
      <c r="AD131" s="106"/>
      <c r="AE131" s="106"/>
      <c r="AF131" s="106"/>
      <c r="AG131" s="106"/>
      <c r="AH131" s="106"/>
      <c r="AI131" s="106"/>
      <c r="AJ131" s="2"/>
      <c r="AK131" s="106"/>
      <c r="AL131" s="106"/>
      <c r="AM131" s="106"/>
      <c r="AN131" s="106"/>
      <c r="AO131" s="106"/>
      <c r="AP131" s="106"/>
      <c r="AQ131" s="2"/>
      <c r="AR131" s="106"/>
      <c r="AS131" s="106"/>
      <c r="AT131" s="106"/>
      <c r="AU131" s="106"/>
      <c r="AV131" s="106"/>
      <c r="AW131" s="106"/>
      <c r="AX131" s="9"/>
      <c r="AY131" s="106"/>
      <c r="AZ131" s="117"/>
      <c r="BA131" s="117"/>
      <c r="BB131" s="117"/>
      <c r="BC131" s="117"/>
      <c r="BD131" s="117"/>
      <c r="BE131" s="117"/>
      <c r="BG131" s="446"/>
      <c r="BH131" s="446"/>
      <c r="BI131" s="446"/>
      <c r="BJ131" s="446"/>
      <c r="BK131" s="446"/>
      <c r="BL131" s="446"/>
    </row>
    <row r="132" spans="1:64" ht="13.05" hidden="1" customHeight="1" x14ac:dyDescent="0.25">
      <c r="A132" t="str">
        <f>Nutrients!B131</f>
        <v>Glutamine</v>
      </c>
      <c r="B132" s="106"/>
      <c r="C132" s="106"/>
      <c r="D132" s="106"/>
      <c r="E132" s="106"/>
      <c r="F132" s="106"/>
      <c r="G132" s="106"/>
      <c r="H132" s="106"/>
      <c r="I132" s="106"/>
      <c r="J132" s="106"/>
      <c r="K132" s="106"/>
      <c r="L132" s="106"/>
      <c r="M132" s="106"/>
      <c r="N132" s="106"/>
      <c r="O132" s="29"/>
      <c r="P132" s="106"/>
      <c r="Q132" s="106"/>
      <c r="R132" s="106"/>
      <c r="S132" s="106"/>
      <c r="T132" s="106"/>
      <c r="U132" s="106"/>
      <c r="V132" s="9"/>
      <c r="W132" s="106"/>
      <c r="X132" s="106"/>
      <c r="Y132" s="106"/>
      <c r="Z132" s="106"/>
      <c r="AA132" s="106"/>
      <c r="AB132" s="106"/>
      <c r="AC132" s="2"/>
      <c r="AD132" s="106"/>
      <c r="AE132" s="106"/>
      <c r="AF132" s="106"/>
      <c r="AG132" s="106"/>
      <c r="AH132" s="106"/>
      <c r="AI132" s="106"/>
      <c r="AJ132" s="2"/>
      <c r="AK132" s="106"/>
      <c r="AL132" s="106"/>
      <c r="AM132" s="106"/>
      <c r="AN132" s="106"/>
      <c r="AO132" s="106"/>
      <c r="AP132" s="106"/>
      <c r="AQ132" s="2"/>
      <c r="AR132" s="106"/>
      <c r="AS132" s="106"/>
      <c r="AT132" s="106"/>
      <c r="AU132" s="106"/>
      <c r="AV132" s="106"/>
      <c r="AW132" s="106"/>
      <c r="AX132" s="9"/>
      <c r="AY132" s="106"/>
      <c r="AZ132" s="117"/>
      <c r="BA132" s="117"/>
      <c r="BB132" s="117"/>
      <c r="BC132" s="117"/>
      <c r="BD132" s="117"/>
      <c r="BE132" s="117"/>
      <c r="BG132" s="446"/>
      <c r="BH132" s="446"/>
      <c r="BI132" s="446"/>
      <c r="BJ132" s="446"/>
      <c r="BK132" s="446"/>
      <c r="BL132" s="446"/>
    </row>
    <row r="133" spans="1:64" ht="13.05" hidden="1" customHeight="1" x14ac:dyDescent="0.25">
      <c r="A133" t="str">
        <f>Nutrients!B132</f>
        <v>Glutamic acid</v>
      </c>
      <c r="B133" s="106"/>
      <c r="C133" s="106"/>
      <c r="D133" s="106"/>
      <c r="E133" s="106"/>
      <c r="F133" s="106"/>
      <c r="G133" s="106"/>
      <c r="H133" s="106"/>
      <c r="I133" s="106"/>
      <c r="J133" s="106"/>
      <c r="K133" s="106"/>
      <c r="L133" s="106"/>
      <c r="M133" s="106"/>
      <c r="N133" s="106"/>
      <c r="O133" s="29"/>
      <c r="P133" s="106"/>
      <c r="Q133" s="106"/>
      <c r="R133" s="106"/>
      <c r="S133" s="106"/>
      <c r="T133" s="106"/>
      <c r="U133" s="106"/>
      <c r="V133" s="9"/>
      <c r="W133" s="106"/>
      <c r="X133" s="106"/>
      <c r="Y133" s="106"/>
      <c r="Z133" s="106"/>
      <c r="AA133" s="106"/>
      <c r="AB133" s="106"/>
      <c r="AC133" s="2"/>
      <c r="AD133" s="106"/>
      <c r="AE133" s="106"/>
      <c r="AF133" s="106"/>
      <c r="AG133" s="106"/>
      <c r="AH133" s="106"/>
      <c r="AI133" s="106"/>
      <c r="AJ133" s="2"/>
      <c r="AK133" s="106"/>
      <c r="AL133" s="106"/>
      <c r="AM133" s="106"/>
      <c r="AN133" s="106"/>
      <c r="AO133" s="106"/>
      <c r="AP133" s="106"/>
      <c r="AQ133" s="2"/>
      <c r="AR133" s="106"/>
      <c r="AS133" s="106"/>
      <c r="AT133" s="106"/>
      <c r="AU133" s="106"/>
      <c r="AV133" s="106"/>
      <c r="AW133" s="106"/>
      <c r="AX133" s="9"/>
      <c r="AY133" s="106"/>
      <c r="AZ133" s="117"/>
      <c r="BA133" s="117"/>
      <c r="BB133" s="117"/>
      <c r="BC133" s="117"/>
      <c r="BD133" s="117"/>
      <c r="BE133" s="117"/>
      <c r="BG133" s="446"/>
      <c r="BH133" s="446"/>
      <c r="BI133" s="446"/>
      <c r="BJ133" s="446"/>
      <c r="BK133" s="446"/>
      <c r="BL133" s="446"/>
    </row>
    <row r="134" spans="1:64" ht="13.05" hidden="1" customHeight="1" x14ac:dyDescent="0.25">
      <c r="A134" t="str">
        <f>Nutrients!B133</f>
        <v>Biolys</v>
      </c>
      <c r="B134" s="106"/>
      <c r="C134" s="106"/>
      <c r="D134" s="106"/>
      <c r="E134" s="106"/>
      <c r="F134" s="106"/>
      <c r="G134" s="106"/>
      <c r="H134" s="106"/>
      <c r="I134" s="106"/>
      <c r="J134" s="106"/>
      <c r="K134" s="106"/>
      <c r="L134" s="106"/>
      <c r="M134" s="106"/>
      <c r="N134" s="106"/>
      <c r="O134" s="29"/>
      <c r="P134" s="106"/>
      <c r="Q134" s="106"/>
      <c r="R134" s="106"/>
      <c r="S134" s="106"/>
      <c r="T134" s="106"/>
      <c r="U134" s="106"/>
      <c r="V134" s="9"/>
      <c r="W134" s="106"/>
      <c r="X134" s="106"/>
      <c r="Y134" s="106"/>
      <c r="Z134" s="106"/>
      <c r="AA134" s="106"/>
      <c r="AB134" s="106"/>
      <c r="AC134" s="2"/>
      <c r="AD134" s="106"/>
      <c r="AE134" s="106"/>
      <c r="AF134" s="106"/>
      <c r="AG134" s="106"/>
      <c r="AH134" s="106"/>
      <c r="AI134" s="106"/>
      <c r="AJ134" s="2"/>
      <c r="AK134" s="106"/>
      <c r="AL134" s="106"/>
      <c r="AM134" s="106"/>
      <c r="AN134" s="106"/>
      <c r="AO134" s="106"/>
      <c r="AP134" s="106"/>
      <c r="AQ134" s="2"/>
      <c r="AR134" s="106"/>
      <c r="AS134" s="106"/>
      <c r="AT134" s="106"/>
      <c r="AU134" s="106"/>
      <c r="AV134" s="106"/>
      <c r="AW134" s="106"/>
      <c r="AX134" s="9"/>
      <c r="AY134" s="106"/>
      <c r="AZ134" s="117"/>
      <c r="BA134" s="117"/>
      <c r="BB134" s="117"/>
      <c r="BC134" s="117"/>
      <c r="BD134" s="117"/>
      <c r="BE134" s="117"/>
      <c r="BG134" s="446"/>
      <c r="BH134" s="446"/>
      <c r="BI134" s="446"/>
      <c r="BJ134" s="446"/>
      <c r="BK134" s="446"/>
      <c r="BL134" s="446"/>
    </row>
    <row r="135" spans="1:64" ht="13.05" hidden="1" customHeight="1" x14ac:dyDescent="0.25">
      <c r="A135" t="str">
        <f>Nutrients!B134</f>
        <v>Liquid lysine 60%</v>
      </c>
      <c r="B135" s="106"/>
      <c r="C135" s="106"/>
      <c r="D135" s="106"/>
      <c r="E135" s="106"/>
      <c r="F135" s="106"/>
      <c r="G135" s="106"/>
      <c r="H135" s="106"/>
      <c r="I135" s="106"/>
      <c r="J135" s="106"/>
      <c r="K135" s="106"/>
      <c r="L135" s="106"/>
      <c r="M135" s="106"/>
      <c r="N135" s="106"/>
      <c r="O135" s="29"/>
      <c r="P135" s="106"/>
      <c r="Q135" s="106"/>
      <c r="R135" s="106"/>
      <c r="S135" s="106"/>
      <c r="T135" s="106"/>
      <c r="U135" s="106"/>
      <c r="V135" s="9"/>
      <c r="W135" s="106"/>
      <c r="X135" s="106"/>
      <c r="Y135" s="106"/>
      <c r="Z135" s="106"/>
      <c r="AA135" s="106"/>
      <c r="AB135" s="106"/>
      <c r="AC135" s="2"/>
      <c r="AD135" s="106"/>
      <c r="AE135" s="106"/>
      <c r="AF135" s="106"/>
      <c r="AG135" s="106"/>
      <c r="AH135" s="106"/>
      <c r="AI135" s="106"/>
      <c r="AJ135" s="2"/>
      <c r="AK135" s="106"/>
      <c r="AL135" s="106"/>
      <c r="AM135" s="106"/>
      <c r="AN135" s="106"/>
      <c r="AO135" s="106"/>
      <c r="AP135" s="106"/>
      <c r="AQ135" s="2"/>
      <c r="AR135" s="106"/>
      <c r="AS135" s="106"/>
      <c r="AT135" s="106"/>
      <c r="AU135" s="106"/>
      <c r="AV135" s="106"/>
      <c r="AW135" s="106"/>
      <c r="AX135" s="9"/>
      <c r="AY135" s="106"/>
      <c r="AZ135" s="117"/>
      <c r="BA135" s="117"/>
      <c r="BB135" s="117"/>
      <c r="BC135" s="117"/>
      <c r="BD135" s="117"/>
      <c r="BE135" s="117"/>
      <c r="BG135" s="446"/>
      <c r="BH135" s="446"/>
      <c r="BI135" s="446"/>
      <c r="BJ135" s="446"/>
      <c r="BK135" s="446"/>
      <c r="BL135" s="446"/>
    </row>
    <row r="136" spans="1:64" ht="13.05" hidden="1" customHeight="1" x14ac:dyDescent="0.25">
      <c r="A136" t="str">
        <f>Nutrients!B135</f>
        <v>MHA dry</v>
      </c>
      <c r="B136" s="106"/>
      <c r="C136" s="106"/>
      <c r="D136" s="106"/>
      <c r="E136" s="106"/>
      <c r="F136" s="106"/>
      <c r="G136" s="106"/>
      <c r="H136" s="106"/>
      <c r="I136" s="106"/>
      <c r="J136" s="106"/>
      <c r="K136" s="106"/>
      <c r="L136" s="106"/>
      <c r="M136" s="106"/>
      <c r="N136" s="106"/>
      <c r="O136" s="29"/>
      <c r="P136" s="106"/>
      <c r="Q136" s="106"/>
      <c r="R136" s="106"/>
      <c r="S136" s="106"/>
      <c r="T136" s="106"/>
      <c r="U136" s="106"/>
      <c r="V136" s="9"/>
      <c r="W136" s="106"/>
      <c r="X136" s="106"/>
      <c r="Y136" s="106"/>
      <c r="Z136" s="106"/>
      <c r="AA136" s="106"/>
      <c r="AB136" s="106"/>
      <c r="AC136" s="2"/>
      <c r="AD136" s="106"/>
      <c r="AE136" s="106"/>
      <c r="AF136" s="106"/>
      <c r="AG136" s="106"/>
      <c r="AH136" s="106"/>
      <c r="AI136" s="106"/>
      <c r="AJ136" s="2"/>
      <c r="AK136" s="106"/>
      <c r="AL136" s="106"/>
      <c r="AM136" s="106"/>
      <c r="AN136" s="106"/>
      <c r="AO136" s="106"/>
      <c r="AP136" s="106"/>
      <c r="AQ136" s="2"/>
      <c r="AR136" s="106"/>
      <c r="AS136" s="106"/>
      <c r="AT136" s="106"/>
      <c r="AU136" s="106"/>
      <c r="AV136" s="106"/>
      <c r="AW136" s="106"/>
      <c r="AX136" s="9"/>
      <c r="AY136" s="106"/>
      <c r="AZ136" s="117"/>
      <c r="BA136" s="117"/>
      <c r="BB136" s="117"/>
      <c r="BC136" s="117"/>
      <c r="BD136" s="117"/>
      <c r="BE136" s="117"/>
      <c r="BG136" s="446"/>
      <c r="BH136" s="446"/>
      <c r="BI136" s="446"/>
      <c r="BJ136" s="446"/>
      <c r="BK136" s="446"/>
      <c r="BL136" s="446"/>
    </row>
    <row r="137" spans="1:64" ht="13.05" hidden="1" customHeight="1" x14ac:dyDescent="0.25">
      <c r="A137" t="str">
        <f>Nutrients!B136</f>
        <v>Paylean, 9 g/lb</v>
      </c>
      <c r="B137" s="106"/>
      <c r="C137" s="106"/>
      <c r="D137" s="106"/>
      <c r="E137" s="106"/>
      <c r="F137" s="106"/>
      <c r="G137" s="106"/>
      <c r="H137" s="106"/>
      <c r="I137" s="106"/>
      <c r="J137" s="106"/>
      <c r="K137" s="106"/>
      <c r="L137" s="106"/>
      <c r="M137" s="106"/>
      <c r="N137" s="106"/>
      <c r="O137" s="29"/>
      <c r="P137" s="106"/>
      <c r="Q137" s="106"/>
      <c r="R137" s="106"/>
      <c r="S137" s="106"/>
      <c r="T137" s="106"/>
      <c r="U137" s="106"/>
      <c r="V137" s="9"/>
      <c r="W137" s="106"/>
      <c r="X137" s="106"/>
      <c r="Y137" s="106"/>
      <c r="Z137" s="106"/>
      <c r="AA137" s="106"/>
      <c r="AB137" s="106"/>
      <c r="AC137" s="2"/>
      <c r="AD137" s="106"/>
      <c r="AE137" s="106"/>
      <c r="AF137" s="106"/>
      <c r="AG137" s="106"/>
      <c r="AH137" s="106"/>
      <c r="AI137" s="106"/>
      <c r="AJ137" s="2"/>
      <c r="AK137" s="106"/>
      <c r="AL137" s="106"/>
      <c r="AM137" s="106"/>
      <c r="AN137" s="106"/>
      <c r="AO137" s="106"/>
      <c r="AP137" s="106"/>
      <c r="AQ137" s="2"/>
      <c r="AR137" s="106"/>
      <c r="AS137" s="106"/>
      <c r="AT137" s="106"/>
      <c r="AU137" s="106"/>
      <c r="AV137" s="106"/>
      <c r="AW137" s="106"/>
      <c r="AX137" s="9"/>
      <c r="AY137" s="106"/>
      <c r="AZ137" s="117"/>
      <c r="BA137" s="117"/>
      <c r="BB137" s="117"/>
      <c r="BC137" s="117"/>
      <c r="BD137" s="117"/>
      <c r="BE137" s="117"/>
      <c r="BG137" s="446"/>
      <c r="BH137" s="446"/>
      <c r="BI137" s="446"/>
      <c r="BJ137" s="446"/>
      <c r="BK137" s="446"/>
      <c r="BL137" s="446"/>
    </row>
    <row r="138" spans="1:64" ht="13.05" hidden="1" customHeight="1" x14ac:dyDescent="0.25">
      <c r="A138" t="str">
        <f>Nutrients!B137</f>
        <v>Tribasic copper chloride</v>
      </c>
      <c r="B138" s="106"/>
      <c r="C138" s="106"/>
      <c r="D138" s="106"/>
      <c r="E138" s="106"/>
      <c r="F138" s="106"/>
      <c r="G138" s="106"/>
      <c r="H138" s="106"/>
      <c r="I138" s="106"/>
      <c r="J138" s="106"/>
      <c r="K138" s="106"/>
      <c r="L138" s="106"/>
      <c r="M138" s="106"/>
      <c r="N138" s="106"/>
      <c r="O138" s="29"/>
      <c r="P138" s="106"/>
      <c r="Q138" s="106"/>
      <c r="R138" s="106"/>
      <c r="S138" s="106"/>
      <c r="T138" s="106"/>
      <c r="U138" s="106"/>
      <c r="V138" s="9"/>
      <c r="W138" s="106"/>
      <c r="X138" s="106"/>
      <c r="Y138" s="106"/>
      <c r="Z138" s="106"/>
      <c r="AA138" s="106"/>
      <c r="AB138" s="106"/>
      <c r="AC138" s="2"/>
      <c r="AD138" s="106"/>
      <c r="AE138" s="106"/>
      <c r="AF138" s="106"/>
      <c r="AG138" s="106"/>
      <c r="AH138" s="106"/>
      <c r="AI138" s="106"/>
      <c r="AJ138" s="2"/>
      <c r="AK138" s="106"/>
      <c r="AL138" s="106"/>
      <c r="AM138" s="106"/>
      <c r="AN138" s="106"/>
      <c r="AO138" s="106"/>
      <c r="AP138" s="106"/>
      <c r="AQ138" s="2"/>
      <c r="AR138" s="106"/>
      <c r="AS138" s="106"/>
      <c r="AT138" s="106"/>
      <c r="AU138" s="106"/>
      <c r="AV138" s="106"/>
      <c r="AW138" s="106"/>
      <c r="AX138" s="9"/>
      <c r="AY138" s="106"/>
      <c r="AZ138" s="117"/>
      <c r="BA138" s="117"/>
      <c r="BB138" s="117"/>
      <c r="BC138" s="117"/>
      <c r="BD138" s="117"/>
      <c r="BE138" s="117"/>
      <c r="BG138" s="446"/>
      <c r="BH138" s="446"/>
      <c r="BI138" s="446"/>
      <c r="BJ138" s="446"/>
      <c r="BK138" s="446"/>
      <c r="BL138" s="446"/>
    </row>
    <row r="139" spans="1:64" ht="13.05" hidden="1" customHeight="1" x14ac:dyDescent="0.25">
      <c r="A139" t="str">
        <f>Nutrients!B138</f>
        <v>2018 Starter base mix</v>
      </c>
      <c r="B139" s="106"/>
      <c r="C139" s="106"/>
      <c r="D139" s="106"/>
      <c r="E139" s="106"/>
      <c r="F139" s="106"/>
      <c r="G139" s="106"/>
      <c r="H139" s="106"/>
      <c r="I139" s="106"/>
      <c r="J139" s="106"/>
      <c r="K139" s="106"/>
      <c r="L139" s="106"/>
      <c r="M139" s="106"/>
      <c r="N139" s="106"/>
      <c r="O139" s="29"/>
      <c r="P139" s="106"/>
      <c r="Q139" s="106"/>
      <c r="R139" s="106"/>
      <c r="S139" s="106"/>
      <c r="T139" s="106"/>
      <c r="U139" s="106"/>
      <c r="V139" s="9"/>
      <c r="W139" s="106"/>
      <c r="X139" s="106"/>
      <c r="Y139" s="106"/>
      <c r="Z139" s="106"/>
      <c r="AA139" s="106"/>
      <c r="AB139" s="106"/>
      <c r="AC139" s="2"/>
      <c r="AD139" s="106"/>
      <c r="AE139" s="106"/>
      <c r="AF139" s="106"/>
      <c r="AG139" s="106"/>
      <c r="AH139" s="106"/>
      <c r="AI139" s="106"/>
      <c r="AJ139" s="2"/>
      <c r="AK139" s="106"/>
      <c r="AL139" s="106"/>
      <c r="AM139" s="106"/>
      <c r="AN139" s="106"/>
      <c r="AO139" s="106"/>
      <c r="AP139" s="106"/>
      <c r="AQ139" s="2"/>
      <c r="AR139" s="106"/>
      <c r="AS139" s="106"/>
      <c r="AT139" s="106"/>
      <c r="AU139" s="106"/>
      <c r="AV139" s="106"/>
      <c r="AW139" s="106"/>
      <c r="AX139" s="9"/>
      <c r="AY139" s="106"/>
      <c r="AZ139" s="117"/>
      <c r="BA139" s="117"/>
      <c r="BB139" s="117"/>
      <c r="BC139" s="117"/>
      <c r="BD139" s="117"/>
      <c r="BE139" s="117"/>
      <c r="BG139" s="446"/>
      <c r="BH139" s="446"/>
      <c r="BI139" s="446"/>
      <c r="BJ139" s="446"/>
      <c r="BK139" s="446"/>
      <c r="BL139" s="446"/>
    </row>
    <row r="140" spans="1:64" ht="13.05" hidden="1" customHeight="1" x14ac:dyDescent="0.25">
      <c r="A140" t="str">
        <f>Nutrients!B139</f>
        <v>2018 Grow-finish base mix</v>
      </c>
      <c r="B140" s="106"/>
      <c r="C140" s="106"/>
      <c r="D140" s="106"/>
      <c r="E140" s="106"/>
      <c r="F140" s="106"/>
      <c r="G140" s="106"/>
      <c r="H140" s="106"/>
      <c r="I140" s="106"/>
      <c r="J140" s="106"/>
      <c r="K140" s="106"/>
      <c r="L140" s="106"/>
      <c r="M140" s="106"/>
      <c r="N140" s="106"/>
      <c r="O140" s="29"/>
      <c r="P140" s="106"/>
      <c r="Q140" s="106"/>
      <c r="R140" s="106"/>
      <c r="S140" s="106"/>
      <c r="T140" s="106"/>
      <c r="U140" s="106"/>
      <c r="V140" s="9"/>
      <c r="W140" s="106"/>
      <c r="X140" s="106"/>
      <c r="Y140" s="106"/>
      <c r="Z140" s="106"/>
      <c r="AA140" s="106"/>
      <c r="AB140" s="106"/>
      <c r="AC140" s="2"/>
      <c r="AD140" s="106"/>
      <c r="AE140" s="106"/>
      <c r="AF140" s="106"/>
      <c r="AG140" s="106"/>
      <c r="AH140" s="106"/>
      <c r="AI140" s="106"/>
      <c r="AJ140" s="2"/>
      <c r="AK140" s="106"/>
      <c r="AL140" s="106"/>
      <c r="AM140" s="106"/>
      <c r="AN140" s="106"/>
      <c r="AO140" s="106"/>
      <c r="AP140" s="106"/>
      <c r="AQ140" s="2"/>
      <c r="AR140" s="106"/>
      <c r="AS140" s="106"/>
      <c r="AT140" s="106"/>
      <c r="AU140" s="106"/>
      <c r="AV140" s="106"/>
      <c r="AW140" s="106"/>
      <c r="AX140" s="9"/>
      <c r="AY140" s="106"/>
      <c r="AZ140" s="117"/>
      <c r="BA140" s="117"/>
      <c r="BB140" s="117"/>
      <c r="BC140" s="117"/>
      <c r="BD140" s="117"/>
      <c r="BE140" s="117"/>
      <c r="BG140" s="446"/>
      <c r="BH140" s="446"/>
      <c r="BI140" s="446"/>
      <c r="BJ140" s="446"/>
      <c r="BK140" s="446"/>
      <c r="BL140" s="446"/>
    </row>
    <row r="141" spans="1:64" ht="13.05" hidden="1" customHeight="1" x14ac:dyDescent="0.25">
      <c r="A141" t="str">
        <f>Nutrients!B140</f>
        <v>Developer base mix</v>
      </c>
      <c r="B141" s="106"/>
      <c r="C141" s="106"/>
      <c r="D141" s="106"/>
      <c r="E141" s="106"/>
      <c r="F141" s="106"/>
      <c r="G141" s="106"/>
      <c r="H141" s="106"/>
      <c r="I141" s="106"/>
      <c r="J141" s="106"/>
      <c r="K141" s="106"/>
      <c r="L141" s="106"/>
      <c r="M141" s="106"/>
      <c r="N141" s="106"/>
      <c r="O141" s="29"/>
      <c r="P141" s="106"/>
      <c r="Q141" s="106"/>
      <c r="R141" s="106"/>
      <c r="S141" s="106"/>
      <c r="T141" s="106"/>
      <c r="U141" s="106"/>
      <c r="V141" s="9"/>
      <c r="W141" s="106"/>
      <c r="X141" s="106"/>
      <c r="Y141" s="106"/>
      <c r="Z141" s="106"/>
      <c r="AA141" s="106"/>
      <c r="AB141" s="106"/>
      <c r="AC141" s="2"/>
      <c r="AD141" s="106"/>
      <c r="AE141" s="106"/>
      <c r="AF141" s="106"/>
      <c r="AG141" s="106"/>
      <c r="AH141" s="106"/>
      <c r="AI141" s="106"/>
      <c r="AJ141" s="2"/>
      <c r="AK141" s="106"/>
      <c r="AL141" s="106"/>
      <c r="AM141" s="106"/>
      <c r="AN141" s="106"/>
      <c r="AO141" s="106"/>
      <c r="AP141" s="106"/>
      <c r="AQ141" s="2"/>
      <c r="AR141" s="106"/>
      <c r="AS141" s="106"/>
      <c r="AT141" s="106"/>
      <c r="AU141" s="106"/>
      <c r="AV141" s="106"/>
      <c r="AW141" s="106"/>
      <c r="AX141" s="9"/>
      <c r="AY141" s="106"/>
      <c r="AZ141" s="117"/>
      <c r="BA141" s="117"/>
      <c r="BB141" s="117"/>
      <c r="BC141" s="117"/>
      <c r="BD141" s="117"/>
      <c r="BE141" s="117"/>
      <c r="BG141" s="446"/>
      <c r="BH141" s="446"/>
      <c r="BI141" s="446"/>
      <c r="BJ141" s="446"/>
      <c r="BK141" s="446"/>
      <c r="BL141" s="446"/>
    </row>
    <row r="142" spans="1:64" ht="13.05" hidden="1" customHeight="1" x14ac:dyDescent="0.25">
      <c r="A142" t="str">
        <f>Nutrients!B141</f>
        <v>2018 Sow base mix</v>
      </c>
      <c r="B142" s="106"/>
      <c r="C142" s="106"/>
      <c r="D142" s="106"/>
      <c r="E142" s="106"/>
      <c r="F142" s="106"/>
      <c r="G142" s="106"/>
      <c r="H142" s="106"/>
      <c r="I142" s="106"/>
      <c r="J142" s="106"/>
      <c r="K142" s="106"/>
      <c r="L142" s="106"/>
      <c r="M142" s="106"/>
      <c r="N142" s="106"/>
      <c r="O142" s="29"/>
      <c r="P142" s="106"/>
      <c r="Q142" s="106"/>
      <c r="R142" s="106"/>
      <c r="S142" s="106"/>
      <c r="T142" s="106"/>
      <c r="U142" s="106"/>
      <c r="V142" s="9"/>
      <c r="W142" s="106"/>
      <c r="X142" s="106"/>
      <c r="Y142" s="106"/>
      <c r="Z142" s="106"/>
      <c r="AA142" s="106"/>
      <c r="AB142" s="106"/>
      <c r="AC142" s="2"/>
      <c r="AD142" s="106"/>
      <c r="AE142" s="106"/>
      <c r="AF142" s="106"/>
      <c r="AG142" s="106"/>
      <c r="AH142" s="106"/>
      <c r="AI142" s="106"/>
      <c r="AJ142" s="2"/>
      <c r="AK142" s="106"/>
      <c r="AL142" s="106"/>
      <c r="AM142" s="106"/>
      <c r="AN142" s="106"/>
      <c r="AO142" s="106"/>
      <c r="AP142" s="106"/>
      <c r="AQ142" s="2"/>
      <c r="AR142" s="106"/>
      <c r="AS142" s="106"/>
      <c r="AT142" s="106"/>
      <c r="AU142" s="106"/>
      <c r="AV142" s="106"/>
      <c r="AW142" s="106"/>
      <c r="AX142" s="9"/>
      <c r="AY142" s="106"/>
      <c r="AZ142" s="117"/>
      <c r="BA142" s="117"/>
      <c r="BB142" s="117"/>
      <c r="BC142" s="117"/>
      <c r="BD142" s="117"/>
      <c r="BE142" s="117"/>
      <c r="BG142" s="446"/>
      <c r="BH142" s="446"/>
      <c r="BI142" s="446"/>
      <c r="BJ142" s="446"/>
      <c r="BK142" s="446"/>
      <c r="BL142" s="446"/>
    </row>
    <row r="143" spans="1:64" hidden="1" x14ac:dyDescent="0.25">
      <c r="A143" t="str">
        <f>Nutrients!B142</f>
        <v>Vitamin premix with phytase</v>
      </c>
      <c r="B143" s="106"/>
      <c r="C143" s="106"/>
      <c r="D143" s="106"/>
      <c r="E143" s="106"/>
      <c r="F143" s="106"/>
      <c r="G143" s="106"/>
      <c r="H143" s="106"/>
      <c r="I143" s="106"/>
      <c r="J143" s="106"/>
      <c r="K143" s="106"/>
      <c r="L143" s="106"/>
      <c r="M143" s="106"/>
      <c r="N143" s="106"/>
      <c r="O143" s="29"/>
      <c r="P143" s="106"/>
      <c r="Q143" s="106"/>
      <c r="R143" s="106"/>
      <c r="S143" s="106"/>
      <c r="T143" s="106"/>
      <c r="U143" s="106"/>
      <c r="V143" s="9"/>
      <c r="W143" s="106"/>
      <c r="X143" s="106"/>
      <c r="Y143" s="106"/>
      <c r="Z143" s="106"/>
      <c r="AA143" s="106"/>
      <c r="AB143" s="106"/>
      <c r="AC143" s="2"/>
      <c r="AD143" s="106"/>
      <c r="AE143" s="106"/>
      <c r="AF143" s="106"/>
      <c r="AG143" s="106"/>
      <c r="AH143" s="106"/>
      <c r="AI143" s="106"/>
      <c r="AJ143" s="2"/>
      <c r="AK143" s="106"/>
      <c r="AL143" s="106"/>
      <c r="AM143" s="106"/>
      <c r="AN143" s="106"/>
      <c r="AO143" s="106"/>
      <c r="AP143" s="106"/>
      <c r="AQ143" s="2"/>
      <c r="AR143" s="106"/>
      <c r="AS143" s="106"/>
      <c r="AT143" s="106"/>
      <c r="AU143" s="106"/>
      <c r="AV143" s="106"/>
      <c r="AW143" s="106"/>
      <c r="AX143" s="9"/>
      <c r="AY143" s="106"/>
      <c r="AZ143" s="117"/>
      <c r="BA143" s="117"/>
      <c r="BB143" s="117"/>
      <c r="BC143" s="117"/>
      <c r="BD143" s="117"/>
      <c r="BE143" s="117"/>
      <c r="BG143" s="446"/>
      <c r="BH143" s="446"/>
      <c r="BI143" s="446"/>
      <c r="BJ143" s="446"/>
      <c r="BK143" s="446"/>
      <c r="BL143" s="446"/>
    </row>
    <row r="144" spans="1:64" x14ac:dyDescent="0.25">
      <c r="A144" t="str">
        <f>Nutrients!B143</f>
        <v>Trace mineral premix</v>
      </c>
      <c r="B144" s="106">
        <v>3</v>
      </c>
      <c r="C144" s="106">
        <v>3</v>
      </c>
      <c r="D144" s="106">
        <v>2.5</v>
      </c>
      <c r="E144" s="106">
        <v>2</v>
      </c>
      <c r="F144" s="106">
        <v>1.5</v>
      </c>
      <c r="G144" s="106">
        <v>1.5</v>
      </c>
      <c r="H144" s="106"/>
      <c r="I144" s="106">
        <v>3</v>
      </c>
      <c r="J144" s="106">
        <v>3</v>
      </c>
      <c r="K144" s="106">
        <v>2.5</v>
      </c>
      <c r="L144" s="106">
        <v>2</v>
      </c>
      <c r="M144" s="106">
        <v>1.5</v>
      </c>
      <c r="N144" s="106">
        <v>1.5</v>
      </c>
      <c r="O144" s="29"/>
      <c r="P144" s="106">
        <v>3</v>
      </c>
      <c r="Q144" s="106">
        <v>3</v>
      </c>
      <c r="R144" s="106">
        <v>2.5</v>
      </c>
      <c r="S144" s="106">
        <v>2</v>
      </c>
      <c r="T144" s="106">
        <v>1.5</v>
      </c>
      <c r="U144" s="106">
        <v>1.5</v>
      </c>
      <c r="V144" s="9"/>
      <c r="W144" s="106">
        <v>3</v>
      </c>
      <c r="X144" s="106">
        <v>3</v>
      </c>
      <c r="Y144" s="106">
        <v>2.5</v>
      </c>
      <c r="Z144" s="106">
        <v>2</v>
      </c>
      <c r="AA144" s="106">
        <v>1.5</v>
      </c>
      <c r="AB144" s="106">
        <v>1.5</v>
      </c>
      <c r="AC144" s="2"/>
      <c r="AD144" s="106">
        <v>3</v>
      </c>
      <c r="AE144" s="106">
        <v>3</v>
      </c>
      <c r="AF144" s="106">
        <v>2.5</v>
      </c>
      <c r="AG144" s="106">
        <v>2</v>
      </c>
      <c r="AH144" s="106">
        <v>1.5</v>
      </c>
      <c r="AI144" s="106">
        <v>1.5</v>
      </c>
      <c r="AJ144" s="2"/>
      <c r="AK144" s="106">
        <v>3</v>
      </c>
      <c r="AL144" s="106">
        <v>3</v>
      </c>
      <c r="AM144" s="106">
        <v>2.5</v>
      </c>
      <c r="AN144" s="106">
        <v>2</v>
      </c>
      <c r="AO144" s="106">
        <v>1.5</v>
      </c>
      <c r="AP144" s="106">
        <v>1.5</v>
      </c>
      <c r="AQ144" s="2"/>
      <c r="AR144" s="106">
        <v>3</v>
      </c>
      <c r="AS144" s="106">
        <v>3</v>
      </c>
      <c r="AT144" s="106">
        <v>2.5</v>
      </c>
      <c r="AU144" s="106">
        <v>2</v>
      </c>
      <c r="AV144" s="106">
        <v>1.5</v>
      </c>
      <c r="AW144" s="106">
        <v>1.5</v>
      </c>
      <c r="AX144" s="9"/>
      <c r="AY144" s="106"/>
      <c r="AZ144" s="117"/>
      <c r="BA144" s="117"/>
      <c r="BB144" s="117"/>
      <c r="BC144" s="117"/>
      <c r="BD144" s="117"/>
      <c r="BE144" s="117"/>
      <c r="BG144" s="447"/>
      <c r="BH144" s="447"/>
      <c r="BI144" s="447"/>
      <c r="BJ144" s="447"/>
      <c r="BK144" s="447"/>
      <c r="BL144" s="447"/>
    </row>
    <row r="145" spans="1:64" ht="13.05" hidden="1" customHeight="1" x14ac:dyDescent="0.25">
      <c r="A145" t="str">
        <f>Nutrients!B144</f>
        <v>Sow add pack</v>
      </c>
      <c r="B145" s="106"/>
      <c r="C145" s="106"/>
      <c r="D145" s="106"/>
      <c r="E145" s="106"/>
      <c r="F145" s="106"/>
      <c r="G145" s="106"/>
      <c r="H145" s="106"/>
      <c r="I145" s="106"/>
      <c r="J145" s="106"/>
      <c r="K145" s="106"/>
      <c r="L145" s="106"/>
      <c r="M145" s="106"/>
      <c r="N145" s="106"/>
      <c r="O145" s="29"/>
      <c r="P145" s="106"/>
      <c r="Q145" s="106"/>
      <c r="R145" s="106"/>
      <c r="S145" s="106"/>
      <c r="T145" s="106"/>
      <c r="U145" s="106"/>
      <c r="V145" s="9"/>
      <c r="W145" s="106"/>
      <c r="X145" s="106"/>
      <c r="Y145" s="106"/>
      <c r="Z145" s="106"/>
      <c r="AA145" s="106"/>
      <c r="AB145" s="106"/>
      <c r="AC145" s="2"/>
      <c r="AD145" s="106"/>
      <c r="AE145" s="106"/>
      <c r="AF145" s="106"/>
      <c r="AG145" s="106"/>
      <c r="AH145" s="106"/>
      <c r="AI145" s="106"/>
      <c r="AJ145" s="2"/>
      <c r="AK145" s="106"/>
      <c r="AL145" s="106"/>
      <c r="AM145" s="106"/>
      <c r="AN145" s="106"/>
      <c r="AO145" s="106"/>
      <c r="AP145" s="106"/>
      <c r="AQ145" s="2"/>
      <c r="AR145" s="106"/>
      <c r="AS145" s="106"/>
      <c r="AT145" s="106"/>
      <c r="AU145" s="106"/>
      <c r="AV145" s="106"/>
      <c r="AW145" s="106"/>
      <c r="AX145" s="9"/>
      <c r="AY145" s="106"/>
      <c r="AZ145" s="117"/>
      <c r="BA145" s="117"/>
      <c r="BB145" s="117"/>
      <c r="BC145" s="117"/>
      <c r="BD145" s="117"/>
      <c r="BE145" s="117"/>
      <c r="BG145" s="447"/>
      <c r="BH145" s="447"/>
      <c r="BI145" s="447"/>
      <c r="BJ145" s="447"/>
      <c r="BK145" s="447"/>
      <c r="BL145" s="447"/>
    </row>
    <row r="146" spans="1:64" x14ac:dyDescent="0.25">
      <c r="A146" t="str">
        <f>Nutrients!B145</f>
        <v>Vitamin premix without phytase</v>
      </c>
      <c r="B146" s="106">
        <v>3</v>
      </c>
      <c r="C146" s="106">
        <v>3</v>
      </c>
      <c r="D146" s="106">
        <v>2.5</v>
      </c>
      <c r="E146" s="106">
        <v>2</v>
      </c>
      <c r="F146" s="106">
        <v>1.5</v>
      </c>
      <c r="G146" s="106">
        <v>1.5</v>
      </c>
      <c r="H146" s="106"/>
      <c r="I146" s="106">
        <v>3</v>
      </c>
      <c r="J146" s="106">
        <v>3</v>
      </c>
      <c r="K146" s="106">
        <v>2.5</v>
      </c>
      <c r="L146" s="106">
        <v>2</v>
      </c>
      <c r="M146" s="106">
        <v>1.5</v>
      </c>
      <c r="N146" s="106">
        <v>1.5</v>
      </c>
      <c r="O146" s="29"/>
      <c r="P146" s="106">
        <v>3</v>
      </c>
      <c r="Q146" s="106">
        <v>3</v>
      </c>
      <c r="R146" s="106">
        <v>2.5</v>
      </c>
      <c r="S146" s="106">
        <v>2</v>
      </c>
      <c r="T146" s="106">
        <v>1.5</v>
      </c>
      <c r="U146" s="106">
        <v>1.5</v>
      </c>
      <c r="V146" s="9"/>
      <c r="W146" s="106">
        <v>3</v>
      </c>
      <c r="X146" s="106">
        <v>3</v>
      </c>
      <c r="Y146" s="106">
        <v>2.5</v>
      </c>
      <c r="Z146" s="106">
        <v>2</v>
      </c>
      <c r="AA146" s="106">
        <v>1.5</v>
      </c>
      <c r="AB146" s="106">
        <v>1.5</v>
      </c>
      <c r="AC146" s="2"/>
      <c r="AD146" s="106">
        <v>3</v>
      </c>
      <c r="AE146" s="106">
        <v>3</v>
      </c>
      <c r="AF146" s="106">
        <v>2.5</v>
      </c>
      <c r="AG146" s="106">
        <v>2</v>
      </c>
      <c r="AH146" s="106">
        <v>1.5</v>
      </c>
      <c r="AI146" s="106">
        <v>1.5</v>
      </c>
      <c r="AJ146" s="2"/>
      <c r="AK146" s="106">
        <v>3</v>
      </c>
      <c r="AL146" s="106">
        <v>3</v>
      </c>
      <c r="AM146" s="106">
        <v>2.5</v>
      </c>
      <c r="AN146" s="106">
        <v>2</v>
      </c>
      <c r="AO146" s="106">
        <v>1.5</v>
      </c>
      <c r="AP146" s="106">
        <v>1.5</v>
      </c>
      <c r="AQ146" s="2"/>
      <c r="AR146" s="106">
        <v>3</v>
      </c>
      <c r="AS146" s="106">
        <v>3</v>
      </c>
      <c r="AT146" s="106">
        <v>2.5</v>
      </c>
      <c r="AU146" s="106">
        <v>2</v>
      </c>
      <c r="AV146" s="106">
        <v>1.5</v>
      </c>
      <c r="AW146" s="106">
        <v>1.5</v>
      </c>
      <c r="AX146" s="9"/>
      <c r="AY146" s="106"/>
      <c r="AZ146" s="117"/>
      <c r="BA146" s="117"/>
      <c r="BB146" s="117"/>
      <c r="BC146" s="117"/>
      <c r="BD146" s="117"/>
      <c r="BE146" s="117"/>
      <c r="BG146" s="447"/>
      <c r="BH146" s="447"/>
      <c r="BI146" s="447"/>
      <c r="BJ146" s="447"/>
      <c r="BK146" s="447"/>
      <c r="BL146" s="447"/>
    </row>
    <row r="147" spans="1:64" ht="13.05" hidden="1" customHeight="1" x14ac:dyDescent="0.25">
      <c r="A147" t="str">
        <f>Nutrients!B146</f>
        <v>GF DDGS Base Mix</v>
      </c>
      <c r="B147" s="106"/>
      <c r="C147" s="106"/>
      <c r="D147" s="106"/>
      <c r="E147" s="106"/>
      <c r="F147" s="106"/>
      <c r="G147" s="106"/>
      <c r="H147" s="106"/>
      <c r="I147" s="106"/>
      <c r="J147" s="106"/>
      <c r="K147" s="106"/>
      <c r="L147" s="106"/>
      <c r="M147" s="106"/>
      <c r="N147" s="106"/>
      <c r="O147" s="29"/>
      <c r="P147" s="106"/>
      <c r="Q147" s="106"/>
      <c r="R147" s="106"/>
      <c r="S147" s="106"/>
      <c r="T147" s="106"/>
      <c r="U147" s="106"/>
      <c r="V147" s="9"/>
      <c r="W147" s="106"/>
      <c r="X147" s="106"/>
      <c r="Y147" s="106"/>
      <c r="Z147" s="106"/>
      <c r="AA147" s="106"/>
      <c r="AB147" s="106"/>
      <c r="AC147" s="2"/>
      <c r="AD147" s="106"/>
      <c r="AE147" s="106"/>
      <c r="AF147" s="106"/>
      <c r="AG147" s="106"/>
      <c r="AH147" s="106"/>
      <c r="AI147" s="106"/>
      <c r="AJ147" s="2"/>
      <c r="AK147" s="106"/>
      <c r="AL147" s="106"/>
      <c r="AM147" s="106"/>
      <c r="AN147" s="106"/>
      <c r="AO147" s="106"/>
      <c r="AP147" s="106"/>
      <c r="AQ147" s="2"/>
      <c r="AR147" s="106"/>
      <c r="AS147" s="106"/>
      <c r="AT147" s="106"/>
      <c r="AU147" s="106"/>
      <c r="AV147" s="106"/>
      <c r="AW147" s="106"/>
      <c r="AX147" s="9"/>
      <c r="AY147" s="106"/>
      <c r="AZ147" s="117"/>
      <c r="BA147" s="117"/>
      <c r="BB147" s="117"/>
      <c r="BC147" s="117"/>
      <c r="BD147" s="117"/>
      <c r="BE147" s="117"/>
      <c r="BG147" s="447"/>
      <c r="BH147" s="447"/>
      <c r="BI147" s="447"/>
      <c r="BJ147" s="447"/>
      <c r="BK147" s="447"/>
      <c r="BL147" s="447"/>
    </row>
    <row r="148" spans="1:64" ht="13.05" hidden="1" customHeight="1" x14ac:dyDescent="0.25">
      <c r="A148" t="str">
        <f>Nutrients!B147</f>
        <v>GF synthetics Base Mix</v>
      </c>
      <c r="B148" s="106"/>
      <c r="C148" s="106"/>
      <c r="D148" s="106"/>
      <c r="E148" s="106"/>
      <c r="F148" s="106"/>
      <c r="G148" s="106"/>
      <c r="H148" s="106"/>
      <c r="I148" s="106"/>
      <c r="J148" s="106"/>
      <c r="K148" s="106"/>
      <c r="L148" s="106"/>
      <c r="M148" s="106"/>
      <c r="N148" s="106"/>
      <c r="O148" s="29"/>
      <c r="P148" s="106"/>
      <c r="Q148" s="106"/>
      <c r="R148" s="106"/>
      <c r="S148" s="106"/>
      <c r="T148" s="106"/>
      <c r="U148" s="106"/>
      <c r="V148" s="9"/>
      <c r="W148" s="106"/>
      <c r="X148" s="106"/>
      <c r="Y148" s="106"/>
      <c r="Z148" s="106"/>
      <c r="AA148" s="106"/>
      <c r="AB148" s="106"/>
      <c r="AC148" s="2"/>
      <c r="AD148" s="106"/>
      <c r="AE148" s="106"/>
      <c r="AF148" s="106"/>
      <c r="AG148" s="106"/>
      <c r="AH148" s="106"/>
      <c r="AI148" s="106"/>
      <c r="AJ148" s="2"/>
      <c r="AK148" s="106"/>
      <c r="AL148" s="106"/>
      <c r="AM148" s="106"/>
      <c r="AN148" s="106"/>
      <c r="AO148" s="106"/>
      <c r="AP148" s="106"/>
      <c r="AQ148" s="2"/>
      <c r="AR148" s="106"/>
      <c r="AS148" s="106"/>
      <c r="AT148" s="106"/>
      <c r="AU148" s="106"/>
      <c r="AV148" s="106"/>
      <c r="AW148" s="106"/>
      <c r="AX148" s="9"/>
      <c r="AY148" s="106"/>
      <c r="AZ148" s="117"/>
      <c r="BA148" s="117"/>
      <c r="BB148" s="117"/>
      <c r="BC148" s="117"/>
      <c r="BD148" s="117"/>
      <c r="BE148" s="117"/>
      <c r="BG148" s="447"/>
      <c r="BH148" s="447"/>
      <c r="BI148" s="447"/>
      <c r="BJ148" s="447"/>
      <c r="BK148" s="447"/>
      <c r="BL148" s="447"/>
    </row>
    <row r="149" spans="1:64" ht="13.05" hidden="1" customHeight="1" x14ac:dyDescent="0.25">
      <c r="A149" t="str">
        <f>Nutrients!B148</f>
        <v>Choline chloride 60%</v>
      </c>
      <c r="B149" s="106"/>
      <c r="C149" s="106"/>
      <c r="D149" s="106"/>
      <c r="E149" s="106"/>
      <c r="F149" s="106"/>
      <c r="G149" s="106"/>
      <c r="H149" s="106"/>
      <c r="I149" s="106"/>
      <c r="J149" s="106"/>
      <c r="K149" s="106"/>
      <c r="L149" s="106"/>
      <c r="M149" s="106"/>
      <c r="N149" s="106"/>
      <c r="O149" s="29"/>
      <c r="P149" s="106"/>
      <c r="Q149" s="106"/>
      <c r="R149" s="106"/>
      <c r="S149" s="106"/>
      <c r="T149" s="106"/>
      <c r="U149" s="106"/>
      <c r="V149" s="9"/>
      <c r="W149" s="106"/>
      <c r="X149" s="106"/>
      <c r="Y149" s="106"/>
      <c r="Z149" s="106"/>
      <c r="AA149" s="106"/>
      <c r="AB149" s="106"/>
      <c r="AC149" s="2"/>
      <c r="AD149" s="106"/>
      <c r="AE149" s="106"/>
      <c r="AF149" s="106"/>
      <c r="AG149" s="106"/>
      <c r="AH149" s="106"/>
      <c r="AI149" s="106"/>
      <c r="AJ149" s="2"/>
      <c r="AK149" s="106"/>
      <c r="AL149" s="106"/>
      <c r="AM149" s="106"/>
      <c r="AN149" s="106"/>
      <c r="AO149" s="106"/>
      <c r="AP149" s="106"/>
      <c r="AQ149" s="2"/>
      <c r="AR149" s="106"/>
      <c r="AS149" s="106"/>
      <c r="AT149" s="106"/>
      <c r="AU149" s="106"/>
      <c r="AV149" s="106"/>
      <c r="AW149" s="106"/>
      <c r="AX149" s="9"/>
      <c r="AY149" s="106"/>
      <c r="AZ149" s="117"/>
      <c r="BA149" s="117"/>
      <c r="BB149" s="117"/>
      <c r="BC149" s="117"/>
      <c r="BD149" s="117"/>
      <c r="BE149" s="117"/>
      <c r="BG149" s="447"/>
      <c r="BH149" s="447"/>
      <c r="BI149" s="447"/>
      <c r="BJ149" s="447"/>
      <c r="BK149" s="447"/>
      <c r="BL149" s="447"/>
    </row>
    <row r="150" spans="1:64" ht="13.05" hidden="1" customHeight="1" x14ac:dyDescent="0.25">
      <c r="A150" t="str">
        <f>Nutrients!B149</f>
        <v>Natuphos 600</v>
      </c>
      <c r="B150" s="106"/>
      <c r="C150" s="106"/>
      <c r="D150" s="106"/>
      <c r="E150" s="106"/>
      <c r="F150" s="106"/>
      <c r="G150" s="106"/>
      <c r="H150" s="106"/>
      <c r="I150" s="106"/>
      <c r="J150" s="106"/>
      <c r="K150" s="106"/>
      <c r="L150" s="106"/>
      <c r="M150" s="106"/>
      <c r="N150" s="106"/>
      <c r="O150" s="29"/>
      <c r="P150" s="106"/>
      <c r="Q150" s="106"/>
      <c r="R150" s="106"/>
      <c r="S150" s="106"/>
      <c r="T150" s="106"/>
      <c r="U150" s="106"/>
      <c r="V150" s="9"/>
      <c r="W150" s="106"/>
      <c r="X150" s="106"/>
      <c r="Y150" s="106"/>
      <c r="Z150" s="106"/>
      <c r="AA150" s="106"/>
      <c r="AB150" s="106"/>
      <c r="AC150" s="2"/>
      <c r="AD150" s="106"/>
      <c r="AE150" s="106"/>
      <c r="AF150" s="106"/>
      <c r="AG150" s="106"/>
      <c r="AH150" s="106"/>
      <c r="AI150" s="106"/>
      <c r="AJ150" s="2"/>
      <c r="AK150" s="106"/>
      <c r="AL150" s="106"/>
      <c r="AM150" s="106"/>
      <c r="AN150" s="106"/>
      <c r="AO150" s="106"/>
      <c r="AP150" s="106"/>
      <c r="AQ150" s="2"/>
      <c r="AR150" s="106"/>
      <c r="AS150" s="106"/>
      <c r="AT150" s="106"/>
      <c r="AU150" s="106"/>
      <c r="AV150" s="106"/>
      <c r="AW150" s="106"/>
      <c r="AX150" s="9"/>
      <c r="AY150" s="106"/>
      <c r="AZ150" s="117"/>
      <c r="BA150" s="117"/>
      <c r="BB150" s="117"/>
      <c r="BC150" s="117"/>
      <c r="BD150" s="117"/>
      <c r="BE150" s="117"/>
      <c r="BG150" s="447"/>
      <c r="BH150" s="447"/>
      <c r="BI150" s="447"/>
      <c r="BJ150" s="447"/>
      <c r="BK150" s="447"/>
      <c r="BL150" s="447"/>
    </row>
    <row r="151" spans="1:64" ht="13.05" hidden="1" customHeight="1" x14ac:dyDescent="0.25">
      <c r="A151" t="str">
        <f>Nutrients!B150</f>
        <v>Natuphos 1200</v>
      </c>
      <c r="B151" s="106"/>
      <c r="C151" s="106"/>
      <c r="D151" s="106"/>
      <c r="E151" s="106"/>
      <c r="F151" s="106"/>
      <c r="G151" s="106"/>
      <c r="H151" s="106"/>
      <c r="I151" s="106"/>
      <c r="J151" s="106"/>
      <c r="K151" s="106"/>
      <c r="L151" s="106"/>
      <c r="M151" s="106"/>
      <c r="N151" s="106"/>
      <c r="O151" s="29"/>
      <c r="P151" s="106"/>
      <c r="Q151" s="106"/>
      <c r="R151" s="106"/>
      <c r="S151" s="106"/>
      <c r="T151" s="106"/>
      <c r="U151" s="106"/>
      <c r="V151" s="9"/>
      <c r="W151" s="106"/>
      <c r="X151" s="106"/>
      <c r="Y151" s="106"/>
      <c r="Z151" s="106"/>
      <c r="AA151" s="106"/>
      <c r="AB151" s="106"/>
      <c r="AC151" s="2"/>
      <c r="AD151" s="106"/>
      <c r="AE151" s="106"/>
      <c r="AF151" s="106"/>
      <c r="AG151" s="106"/>
      <c r="AH151" s="106"/>
      <c r="AI151" s="106"/>
      <c r="AJ151" s="2"/>
      <c r="AK151" s="106"/>
      <c r="AL151" s="106"/>
      <c r="AM151" s="106"/>
      <c r="AN151" s="106"/>
      <c r="AO151" s="106"/>
      <c r="AP151" s="106"/>
      <c r="AQ151" s="2"/>
      <c r="AR151" s="106"/>
      <c r="AS151" s="106"/>
      <c r="AT151" s="106"/>
      <c r="AU151" s="106"/>
      <c r="AV151" s="106"/>
      <c r="AW151" s="106"/>
      <c r="AX151" s="9"/>
      <c r="AY151" s="106"/>
      <c r="AZ151" s="117"/>
      <c r="BA151" s="117"/>
      <c r="BB151" s="117"/>
      <c r="BC151" s="117"/>
      <c r="BD151" s="117"/>
      <c r="BE151" s="117"/>
      <c r="BG151" s="447"/>
      <c r="BH151" s="447"/>
      <c r="BI151" s="447"/>
      <c r="BJ151" s="447"/>
      <c r="BK151" s="447"/>
      <c r="BL151" s="447"/>
    </row>
    <row r="152" spans="1:64" ht="13.05" hidden="1" customHeight="1" x14ac:dyDescent="0.25">
      <c r="A152" t="str">
        <f>Nutrients!B151</f>
        <v>Optiphos 2000</v>
      </c>
      <c r="B152" s="106"/>
      <c r="C152" s="106"/>
      <c r="D152" s="106"/>
      <c r="E152" s="106"/>
      <c r="F152" s="106"/>
      <c r="G152" s="106"/>
      <c r="H152" s="106"/>
      <c r="I152" s="106"/>
      <c r="J152" s="106"/>
      <c r="K152" s="106"/>
      <c r="L152" s="106"/>
      <c r="M152" s="106"/>
      <c r="N152" s="106"/>
      <c r="O152" s="29"/>
      <c r="P152" s="106"/>
      <c r="Q152" s="106"/>
      <c r="R152" s="106"/>
      <c r="S152" s="106"/>
      <c r="T152" s="106"/>
      <c r="U152" s="106"/>
      <c r="V152" s="9"/>
      <c r="W152" s="106"/>
      <c r="X152" s="106"/>
      <c r="Y152" s="106"/>
      <c r="Z152" s="106"/>
      <c r="AA152" s="106"/>
      <c r="AB152" s="106"/>
      <c r="AC152" s="2"/>
      <c r="AD152" s="106"/>
      <c r="AE152" s="106"/>
      <c r="AF152" s="106"/>
      <c r="AG152" s="106"/>
      <c r="AH152" s="106"/>
      <c r="AI152" s="106"/>
      <c r="AJ152" s="2"/>
      <c r="AK152" s="106"/>
      <c r="AL152" s="106"/>
      <c r="AM152" s="106"/>
      <c r="AN152" s="106"/>
      <c r="AO152" s="106"/>
      <c r="AP152" s="106"/>
      <c r="AQ152" s="2"/>
      <c r="AR152" s="106"/>
      <c r="AS152" s="106"/>
      <c r="AT152" s="106"/>
      <c r="AU152" s="106"/>
      <c r="AV152" s="106"/>
      <c r="AW152" s="106"/>
      <c r="AX152" s="9"/>
      <c r="AY152" s="106"/>
      <c r="AZ152" s="117"/>
      <c r="BA152" s="117"/>
      <c r="BB152" s="117"/>
      <c r="BC152" s="117"/>
      <c r="BD152" s="117"/>
      <c r="BE152" s="117"/>
      <c r="BG152" s="447"/>
      <c r="BH152" s="447"/>
      <c r="BI152" s="447"/>
      <c r="BJ152" s="447"/>
      <c r="BK152" s="447"/>
      <c r="BL152" s="447"/>
    </row>
    <row r="153" spans="1:64" ht="13.05" hidden="1" customHeight="1" x14ac:dyDescent="0.25">
      <c r="A153" t="str">
        <f>Nutrients!B152</f>
        <v>Phyzyme 1200</v>
      </c>
      <c r="B153" s="106"/>
      <c r="C153" s="106"/>
      <c r="D153" s="106"/>
      <c r="E153" s="106"/>
      <c r="F153" s="106"/>
      <c r="G153" s="106"/>
      <c r="H153" s="106"/>
      <c r="I153" s="106"/>
      <c r="J153" s="106"/>
      <c r="K153" s="106"/>
      <c r="L153" s="106"/>
      <c r="M153" s="106"/>
      <c r="N153" s="106"/>
      <c r="O153" s="29"/>
      <c r="P153" s="106"/>
      <c r="Q153" s="106"/>
      <c r="R153" s="106"/>
      <c r="S153" s="106"/>
      <c r="T153" s="106"/>
      <c r="U153" s="106"/>
      <c r="V153" s="9"/>
      <c r="W153" s="106"/>
      <c r="X153" s="106"/>
      <c r="Y153" s="106"/>
      <c r="Z153" s="106"/>
      <c r="AA153" s="106"/>
      <c r="AB153" s="106"/>
      <c r="AC153" s="2"/>
      <c r="AD153" s="106"/>
      <c r="AE153" s="106"/>
      <c r="AF153" s="106"/>
      <c r="AG153" s="106"/>
      <c r="AH153" s="106"/>
      <c r="AI153" s="106"/>
      <c r="AJ153" s="2"/>
      <c r="AK153" s="106"/>
      <c r="AL153" s="106"/>
      <c r="AM153" s="106"/>
      <c r="AN153" s="106"/>
      <c r="AO153" s="106"/>
      <c r="AP153" s="106"/>
      <c r="AQ153" s="2"/>
      <c r="AR153" s="106"/>
      <c r="AS153" s="106"/>
      <c r="AT153" s="106"/>
      <c r="AU153" s="106"/>
      <c r="AV153" s="106"/>
      <c r="AW153" s="106"/>
      <c r="AX153" s="9"/>
      <c r="AY153" s="106"/>
      <c r="AZ153" s="117"/>
      <c r="BA153" s="117"/>
      <c r="BB153" s="117"/>
      <c r="BC153" s="117"/>
      <c r="BD153" s="117"/>
      <c r="BE153" s="117"/>
      <c r="BG153" s="447"/>
      <c r="BH153" s="447"/>
      <c r="BI153" s="447"/>
      <c r="BJ153" s="447"/>
      <c r="BK153" s="447"/>
      <c r="BL153" s="447"/>
    </row>
    <row r="154" spans="1:64" ht="13.05" hidden="1" customHeight="1" x14ac:dyDescent="0.25">
      <c r="A154" t="str">
        <f>Nutrients!B153</f>
        <v>Phyzyme 5000</v>
      </c>
      <c r="B154" s="106"/>
      <c r="C154" s="106"/>
      <c r="D154" s="106"/>
      <c r="E154" s="106"/>
      <c r="F154" s="106"/>
      <c r="G154" s="106"/>
      <c r="H154" s="106"/>
      <c r="I154" s="106"/>
      <c r="J154" s="106"/>
      <c r="K154" s="106"/>
      <c r="L154" s="106"/>
      <c r="M154" s="106"/>
      <c r="N154" s="106"/>
      <c r="O154" s="29"/>
      <c r="P154" s="106"/>
      <c r="Q154" s="106"/>
      <c r="R154" s="106"/>
      <c r="S154" s="106"/>
      <c r="T154" s="106"/>
      <c r="U154" s="106"/>
      <c r="V154" s="9"/>
      <c r="W154" s="106"/>
      <c r="X154" s="106"/>
      <c r="Y154" s="106"/>
      <c r="Z154" s="106"/>
      <c r="AA154" s="106"/>
      <c r="AB154" s="106"/>
      <c r="AC154" s="2"/>
      <c r="AD154" s="106"/>
      <c r="AE154" s="106"/>
      <c r="AF154" s="106"/>
      <c r="AG154" s="106"/>
      <c r="AH154" s="106"/>
      <c r="AI154" s="106"/>
      <c r="AJ154" s="2"/>
      <c r="AK154" s="106"/>
      <c r="AL154" s="106"/>
      <c r="AM154" s="106"/>
      <c r="AN154" s="106"/>
      <c r="AO154" s="106"/>
      <c r="AP154" s="106"/>
      <c r="AQ154" s="2"/>
      <c r="AR154" s="106"/>
      <c r="AS154" s="106"/>
      <c r="AT154" s="106"/>
      <c r="AU154" s="106"/>
      <c r="AV154" s="106"/>
      <c r="AW154" s="106"/>
      <c r="AX154" s="9"/>
      <c r="AY154" s="106"/>
      <c r="AZ154" s="117"/>
      <c r="BA154" s="117"/>
      <c r="BB154" s="117"/>
      <c r="BC154" s="117"/>
      <c r="BD154" s="117"/>
      <c r="BE154" s="117"/>
      <c r="BG154" s="447"/>
      <c r="BH154" s="447"/>
      <c r="BI154" s="447"/>
      <c r="BJ154" s="447"/>
      <c r="BK154" s="447"/>
      <c r="BL154" s="447"/>
    </row>
    <row r="155" spans="1:64" ht="13.05" hidden="1" customHeight="1" x14ac:dyDescent="0.25">
      <c r="A155" t="str">
        <f>Nutrients!B154</f>
        <v>Ronozyme Hiphos GT (10,000)</v>
      </c>
      <c r="B155" s="106"/>
      <c r="C155" s="106"/>
      <c r="D155" s="106"/>
      <c r="E155" s="106"/>
      <c r="F155" s="106"/>
      <c r="G155" s="106"/>
      <c r="H155" s="106"/>
      <c r="I155" s="106"/>
      <c r="J155" s="106"/>
      <c r="K155" s="106"/>
      <c r="L155" s="106"/>
      <c r="M155" s="106"/>
      <c r="N155" s="106"/>
      <c r="O155" s="29"/>
      <c r="P155" s="106"/>
      <c r="Q155" s="106"/>
      <c r="R155" s="106"/>
      <c r="S155" s="106"/>
      <c r="T155" s="106"/>
      <c r="U155" s="106"/>
      <c r="V155" s="9"/>
      <c r="W155" s="106"/>
      <c r="X155" s="106"/>
      <c r="Y155" s="106"/>
      <c r="Z155" s="106"/>
      <c r="AA155" s="106"/>
      <c r="AB155" s="106"/>
      <c r="AC155" s="2"/>
      <c r="AD155" s="106"/>
      <c r="AE155" s="106"/>
      <c r="AF155" s="106"/>
      <c r="AG155" s="106"/>
      <c r="AH155" s="106"/>
      <c r="AI155" s="106"/>
      <c r="AJ155" s="2"/>
      <c r="AK155" s="106"/>
      <c r="AL155" s="106"/>
      <c r="AM155" s="106"/>
      <c r="AN155" s="106"/>
      <c r="AO155" s="106"/>
      <c r="AP155" s="106"/>
      <c r="AQ155" s="2"/>
      <c r="AR155" s="106"/>
      <c r="AS155" s="106"/>
      <c r="AT155" s="106"/>
      <c r="AU155" s="106"/>
      <c r="AV155" s="106"/>
      <c r="AW155" s="106"/>
      <c r="AX155" s="9"/>
      <c r="AY155" s="106"/>
      <c r="AZ155" s="117"/>
      <c r="BA155" s="117"/>
      <c r="BB155" s="117"/>
      <c r="BC155" s="117"/>
      <c r="BD155" s="117"/>
      <c r="BE155" s="117"/>
      <c r="BG155" s="447"/>
      <c r="BH155" s="447"/>
      <c r="BI155" s="447"/>
      <c r="BJ155" s="447"/>
      <c r="BK155" s="447"/>
      <c r="BL155" s="447"/>
    </row>
    <row r="156" spans="1:64" ht="13.05" hidden="1" customHeight="1" x14ac:dyDescent="0.25">
      <c r="A156" t="str">
        <f>Nutrients!B155</f>
        <v>Ronozyme Hiphos M (50,000)</v>
      </c>
      <c r="B156" s="106"/>
      <c r="C156" s="106"/>
      <c r="D156" s="106"/>
      <c r="E156" s="106"/>
      <c r="F156" s="106"/>
      <c r="G156" s="106"/>
      <c r="H156" s="106"/>
      <c r="I156" s="106"/>
      <c r="J156" s="106"/>
      <c r="K156" s="106"/>
      <c r="L156" s="106"/>
      <c r="M156" s="106"/>
      <c r="N156" s="106"/>
      <c r="O156" s="29"/>
      <c r="P156" s="106"/>
      <c r="Q156" s="106"/>
      <c r="R156" s="106"/>
      <c r="S156" s="106"/>
      <c r="T156" s="106"/>
      <c r="U156" s="106"/>
      <c r="V156" s="9"/>
      <c r="W156" s="106"/>
      <c r="X156" s="106"/>
      <c r="Y156" s="106"/>
      <c r="Z156" s="106"/>
      <c r="AA156" s="106"/>
      <c r="AB156" s="106"/>
      <c r="AC156" s="2"/>
      <c r="AD156" s="106"/>
      <c r="AE156" s="106"/>
      <c r="AF156" s="106"/>
      <c r="AG156" s="106"/>
      <c r="AH156" s="106"/>
      <c r="AI156" s="106"/>
      <c r="AJ156" s="2"/>
      <c r="AK156" s="106"/>
      <c r="AL156" s="106"/>
      <c r="AM156" s="106"/>
      <c r="AN156" s="106"/>
      <c r="AO156" s="106"/>
      <c r="AP156" s="106"/>
      <c r="AQ156" s="2"/>
      <c r="AR156" s="106"/>
      <c r="AS156" s="106"/>
      <c r="AT156" s="106"/>
      <c r="AU156" s="106"/>
      <c r="AV156" s="106"/>
      <c r="AW156" s="106"/>
      <c r="AX156" s="9"/>
      <c r="AY156" s="106"/>
      <c r="AZ156" s="117"/>
      <c r="BA156" s="117"/>
      <c r="BB156" s="117"/>
      <c r="BC156" s="117"/>
      <c r="BD156" s="117"/>
      <c r="BE156" s="117"/>
      <c r="BG156" s="447"/>
      <c r="BH156" s="447"/>
      <c r="BI156" s="447"/>
      <c r="BJ156" s="447"/>
      <c r="BK156" s="447"/>
      <c r="BL156" s="447"/>
    </row>
    <row r="157" spans="1:64" ht="13.05" customHeight="1" x14ac:dyDescent="0.25">
      <c r="A157" t="str">
        <f>Nutrients!B156</f>
        <v>Ronozyme HiPhos 2700</v>
      </c>
      <c r="B157" s="106">
        <v>0.45</v>
      </c>
      <c r="C157" s="106">
        <v>0.45</v>
      </c>
      <c r="D157" s="106">
        <v>0.45</v>
      </c>
      <c r="E157" s="106">
        <v>0.45</v>
      </c>
      <c r="F157" s="106">
        <v>0.45</v>
      </c>
      <c r="G157" s="106">
        <v>0.45</v>
      </c>
      <c r="H157" s="106"/>
      <c r="I157" s="106">
        <v>0.45</v>
      </c>
      <c r="J157" s="106">
        <v>0.45</v>
      </c>
      <c r="K157" s="106">
        <v>0.45</v>
      </c>
      <c r="L157" s="106">
        <v>0.45</v>
      </c>
      <c r="M157" s="106">
        <v>0.45</v>
      </c>
      <c r="N157" s="106">
        <v>0.45</v>
      </c>
      <c r="O157" s="29"/>
      <c r="P157" s="106">
        <v>0.45</v>
      </c>
      <c r="Q157" s="106">
        <v>0.45</v>
      </c>
      <c r="R157" s="106">
        <v>0.45</v>
      </c>
      <c r="S157" s="106">
        <v>0.45</v>
      </c>
      <c r="T157" s="106">
        <v>0.45</v>
      </c>
      <c r="U157" s="106">
        <v>0.45</v>
      </c>
      <c r="V157" s="9"/>
      <c r="W157" s="106">
        <v>0.45</v>
      </c>
      <c r="X157" s="106">
        <v>0.45</v>
      </c>
      <c r="Y157" s="106">
        <v>0.45</v>
      </c>
      <c r="Z157" s="106">
        <v>0.45</v>
      </c>
      <c r="AA157" s="106">
        <v>0.45</v>
      </c>
      <c r="AB157" s="106">
        <v>0.45</v>
      </c>
      <c r="AC157" s="2"/>
      <c r="AD157" s="106">
        <v>0.45</v>
      </c>
      <c r="AE157" s="106">
        <v>0.45</v>
      </c>
      <c r="AF157" s="106">
        <v>0.45</v>
      </c>
      <c r="AG157" s="106">
        <v>0.45</v>
      </c>
      <c r="AH157" s="106">
        <v>0.45</v>
      </c>
      <c r="AI157" s="106">
        <v>0.45</v>
      </c>
      <c r="AJ157" s="2"/>
      <c r="AK157" s="106">
        <v>0.45</v>
      </c>
      <c r="AL157" s="106">
        <v>0.45</v>
      </c>
      <c r="AM157" s="106">
        <v>0.45</v>
      </c>
      <c r="AN157" s="106">
        <v>0.45</v>
      </c>
      <c r="AO157" s="106">
        <v>0.45</v>
      </c>
      <c r="AP157" s="106">
        <v>0.45</v>
      </c>
      <c r="AQ157" s="2"/>
      <c r="AR157" s="106">
        <v>0.45</v>
      </c>
      <c r="AS157" s="106">
        <v>0.45</v>
      </c>
      <c r="AT157" s="106">
        <v>0.45</v>
      </c>
      <c r="AU157" s="106">
        <v>0.45</v>
      </c>
      <c r="AV157" s="106">
        <v>0.45</v>
      </c>
      <c r="AW157" s="106">
        <v>0.45</v>
      </c>
      <c r="AX157" s="9"/>
      <c r="AY157" s="106"/>
      <c r="AZ157" s="117"/>
      <c r="BA157" s="117"/>
      <c r="BB157" s="117"/>
      <c r="BC157" s="117"/>
      <c r="BD157" s="117"/>
      <c r="BE157" s="117"/>
      <c r="BG157" s="447"/>
      <c r="BH157" s="447"/>
      <c r="BI157" s="447"/>
      <c r="BJ157" s="447"/>
      <c r="BK157" s="447"/>
      <c r="BL157" s="447"/>
    </row>
    <row r="158" spans="1:64" ht="13.05" hidden="1" customHeight="1" x14ac:dyDescent="0.25">
      <c r="A158" t="str">
        <f>Nutrients!B157</f>
        <v>Zinc oxide</v>
      </c>
      <c r="B158" s="106"/>
      <c r="C158" s="106"/>
      <c r="D158" s="106"/>
      <c r="E158" s="106"/>
      <c r="F158" s="106"/>
      <c r="G158" s="106"/>
      <c r="H158" s="106"/>
      <c r="I158" s="106"/>
      <c r="J158" s="106"/>
      <c r="K158" s="106"/>
      <c r="L158" s="106"/>
      <c r="M158" s="106"/>
      <c r="N158" s="106"/>
      <c r="O158" s="29"/>
      <c r="P158" s="106"/>
      <c r="Q158" s="106"/>
      <c r="R158" s="106"/>
      <c r="S158" s="106"/>
      <c r="T158" s="106"/>
      <c r="U158" s="106"/>
      <c r="V158" s="9"/>
      <c r="W158" s="106"/>
      <c r="X158" s="106"/>
      <c r="Y158" s="106"/>
      <c r="Z158" s="106"/>
      <c r="AA158" s="106"/>
      <c r="AB158" s="106"/>
      <c r="AC158" s="2"/>
      <c r="AD158" s="106"/>
      <c r="AE158" s="106"/>
      <c r="AF158" s="106"/>
      <c r="AG158" s="106"/>
      <c r="AH158" s="106"/>
      <c r="AI158" s="106"/>
      <c r="AJ158" s="2"/>
      <c r="AK158" s="106"/>
      <c r="AL158" s="106"/>
      <c r="AM158" s="106"/>
      <c r="AN158" s="106"/>
      <c r="AO158" s="106"/>
      <c r="AP158" s="106"/>
      <c r="AQ158" s="2"/>
      <c r="AR158" s="106"/>
      <c r="AS158" s="106"/>
      <c r="AT158" s="106"/>
      <c r="AU158" s="106"/>
      <c r="AV158" s="106"/>
      <c r="AW158" s="106"/>
      <c r="AX158" s="9"/>
      <c r="AY158" s="106"/>
      <c r="AZ158" s="117"/>
      <c r="BA158" s="117"/>
      <c r="BB158" s="117"/>
      <c r="BC158" s="117"/>
      <c r="BD158" s="117"/>
      <c r="BE158" s="117"/>
    </row>
    <row r="159" spans="1:64" ht="13.05" hidden="1" customHeight="1" x14ac:dyDescent="0.25">
      <c r="A159" t="str">
        <f>Nutrients!B158</f>
        <v>Copper sulfate</v>
      </c>
      <c r="B159" s="106"/>
      <c r="C159" s="106"/>
      <c r="D159" s="106"/>
      <c r="E159" s="106"/>
      <c r="F159" s="106"/>
      <c r="G159" s="106"/>
      <c r="H159" s="106"/>
      <c r="I159" s="106"/>
      <c r="J159" s="106"/>
      <c r="K159" s="106"/>
      <c r="L159" s="106"/>
      <c r="M159" s="106"/>
      <c r="N159" s="106"/>
      <c r="O159" s="29"/>
      <c r="P159" s="106"/>
      <c r="Q159" s="106"/>
      <c r="R159" s="106"/>
      <c r="S159" s="106"/>
      <c r="T159" s="106"/>
      <c r="U159" s="106"/>
      <c r="V159" s="9"/>
      <c r="W159" s="106"/>
      <c r="X159" s="106"/>
      <c r="Y159" s="106"/>
      <c r="Z159" s="106"/>
      <c r="AA159" s="106"/>
      <c r="AB159" s="106"/>
      <c r="AC159" s="2"/>
      <c r="AD159" s="106"/>
      <c r="AE159" s="106"/>
      <c r="AF159" s="106"/>
      <c r="AG159" s="106"/>
      <c r="AH159" s="106"/>
      <c r="AI159" s="106"/>
      <c r="AJ159" s="2"/>
      <c r="AK159" s="106"/>
      <c r="AL159" s="106"/>
      <c r="AM159" s="106"/>
      <c r="AN159" s="106"/>
      <c r="AO159" s="106"/>
      <c r="AP159" s="106"/>
      <c r="AQ159" s="2"/>
      <c r="AR159" s="106"/>
      <c r="AS159" s="106"/>
      <c r="AT159" s="106"/>
      <c r="AU159" s="106"/>
      <c r="AV159" s="106"/>
      <c r="AW159" s="106"/>
      <c r="AX159" s="9"/>
      <c r="AY159" s="106"/>
      <c r="AZ159" s="117"/>
      <c r="BA159" s="117"/>
      <c r="BB159" s="117"/>
      <c r="BC159" s="117"/>
      <c r="BD159" s="117"/>
      <c r="BE159" s="117"/>
    </row>
    <row r="160" spans="1:64" ht="13.05" hidden="1" customHeight="1" x14ac:dyDescent="0.25">
      <c r="A160" t="str">
        <f>Nutrients!B159</f>
        <v>Potassium chloride</v>
      </c>
      <c r="B160" s="106"/>
      <c r="C160" s="106"/>
      <c r="D160" s="106"/>
      <c r="E160" s="106"/>
      <c r="F160" s="106"/>
      <c r="G160" s="106"/>
      <c r="H160" s="106"/>
      <c r="I160" s="106"/>
      <c r="J160" s="106"/>
      <c r="K160" s="106"/>
      <c r="L160" s="106"/>
      <c r="M160" s="106"/>
      <c r="N160" s="106"/>
      <c r="O160" s="29"/>
      <c r="P160" s="106"/>
      <c r="Q160" s="106"/>
      <c r="R160" s="106"/>
      <c r="S160" s="106"/>
      <c r="T160" s="106"/>
      <c r="U160" s="106"/>
      <c r="V160" s="9"/>
      <c r="W160" s="106"/>
      <c r="X160" s="106"/>
      <c r="Y160" s="106"/>
      <c r="Z160" s="106"/>
      <c r="AA160" s="106"/>
      <c r="AB160" s="106"/>
      <c r="AC160" s="2"/>
      <c r="AD160" s="106"/>
      <c r="AE160" s="106"/>
      <c r="AF160" s="106"/>
      <c r="AG160" s="106"/>
      <c r="AH160" s="106"/>
      <c r="AI160" s="106"/>
      <c r="AJ160" s="2"/>
      <c r="AK160" s="106"/>
      <c r="AL160" s="106"/>
      <c r="AM160" s="106"/>
      <c r="AN160" s="106"/>
      <c r="AO160" s="106"/>
      <c r="AP160" s="106"/>
      <c r="AQ160" s="2"/>
      <c r="AR160" s="106"/>
      <c r="AS160" s="106"/>
      <c r="AT160" s="106"/>
      <c r="AU160" s="106"/>
      <c r="AV160" s="106"/>
      <c r="AW160" s="106"/>
      <c r="AX160" s="9"/>
      <c r="AY160" s="106"/>
      <c r="AZ160" s="117"/>
      <c r="BA160" s="117"/>
      <c r="BB160" s="117"/>
      <c r="BC160" s="117"/>
      <c r="BD160" s="117"/>
      <c r="BE160" s="117"/>
    </row>
    <row r="161" spans="1:57" ht="13.05" hidden="1" customHeight="1" x14ac:dyDescent="0.25">
      <c r="A161" t="str">
        <f>Nutrients!B160</f>
        <v>Calcium chloride</v>
      </c>
      <c r="B161" s="106"/>
      <c r="C161" s="106"/>
      <c r="D161" s="106"/>
      <c r="E161" s="106"/>
      <c r="F161" s="106"/>
      <c r="G161" s="106"/>
      <c r="H161" s="106"/>
      <c r="I161" s="106"/>
      <c r="J161" s="106"/>
      <c r="K161" s="106"/>
      <c r="L161" s="106"/>
      <c r="M161" s="106"/>
      <c r="N161" s="106"/>
      <c r="O161" s="29"/>
      <c r="P161" s="106"/>
      <c r="Q161" s="106"/>
      <c r="R161" s="106"/>
      <c r="S161" s="106"/>
      <c r="T161" s="106"/>
      <c r="U161" s="106"/>
      <c r="V161" s="9"/>
      <c r="W161" s="106"/>
      <c r="X161" s="106"/>
      <c r="Y161" s="106"/>
      <c r="Z161" s="106"/>
      <c r="AA161" s="106"/>
      <c r="AB161" s="106"/>
      <c r="AC161" s="2"/>
      <c r="AD161" s="106"/>
      <c r="AE161" s="106"/>
      <c r="AF161" s="106"/>
      <c r="AG161" s="106"/>
      <c r="AH161" s="106"/>
      <c r="AI161" s="106"/>
      <c r="AJ161" s="2"/>
      <c r="AK161" s="106"/>
      <c r="AL161" s="106"/>
      <c r="AM161" s="106"/>
      <c r="AN161" s="106"/>
      <c r="AO161" s="106"/>
      <c r="AP161" s="106"/>
      <c r="AQ161" s="2"/>
      <c r="AR161" s="106"/>
      <c r="AS161" s="106"/>
      <c r="AT161" s="106"/>
      <c r="AU161" s="106"/>
      <c r="AV161" s="106"/>
      <c r="AW161" s="106"/>
      <c r="AX161" s="9"/>
      <c r="AY161" s="106"/>
      <c r="AZ161" s="117"/>
      <c r="BA161" s="117"/>
      <c r="BB161" s="117"/>
      <c r="BC161" s="117"/>
      <c r="BD161" s="117"/>
      <c r="BE161" s="117"/>
    </row>
    <row r="162" spans="1:57" ht="13.05" hidden="1" customHeight="1" x14ac:dyDescent="0.25">
      <c r="A162" t="str">
        <f>Nutrients!B161</f>
        <v>Acidifier</v>
      </c>
      <c r="B162" s="106"/>
      <c r="C162" s="106"/>
      <c r="D162" s="106"/>
      <c r="E162" s="106"/>
      <c r="F162" s="106"/>
      <c r="G162" s="106"/>
      <c r="H162" s="106"/>
      <c r="I162" s="106"/>
      <c r="J162" s="106"/>
      <c r="K162" s="106"/>
      <c r="L162" s="106"/>
      <c r="M162" s="106"/>
      <c r="N162" s="106"/>
      <c r="O162" s="29"/>
      <c r="P162" s="106"/>
      <c r="Q162" s="106"/>
      <c r="R162" s="106"/>
      <c r="S162" s="106"/>
      <c r="T162" s="106"/>
      <c r="U162" s="106"/>
      <c r="V162" s="9"/>
      <c r="W162" s="106"/>
      <c r="X162" s="106"/>
      <c r="Y162" s="106"/>
      <c r="Z162" s="106"/>
      <c r="AA162" s="106"/>
      <c r="AB162" s="106"/>
      <c r="AC162" s="2"/>
      <c r="AD162" s="106"/>
      <c r="AE162" s="106"/>
      <c r="AF162" s="106"/>
      <c r="AG162" s="106"/>
      <c r="AH162" s="106"/>
      <c r="AI162" s="106"/>
      <c r="AJ162" s="2"/>
      <c r="AK162" s="106"/>
      <c r="AL162" s="106"/>
      <c r="AM162" s="106"/>
      <c r="AN162" s="106"/>
      <c r="AO162" s="106"/>
      <c r="AP162" s="106"/>
      <c r="AQ162" s="2"/>
      <c r="AR162" s="106"/>
      <c r="AS162" s="106"/>
      <c r="AT162" s="106"/>
      <c r="AU162" s="106"/>
      <c r="AV162" s="106"/>
      <c r="AW162" s="106"/>
      <c r="AX162" s="9"/>
      <c r="AY162" s="106"/>
      <c r="AZ162" s="117"/>
      <c r="BA162" s="117"/>
      <c r="BB162" s="117"/>
      <c r="BC162" s="117"/>
      <c r="BD162" s="117"/>
      <c r="BE162" s="117"/>
    </row>
    <row r="163" spans="1:57" ht="13.05" hidden="1" customHeight="1" x14ac:dyDescent="0.25">
      <c r="A163" t="str">
        <f>Nutrients!B162</f>
        <v>Vitamin E, 20,000 IU</v>
      </c>
      <c r="B163" s="106"/>
      <c r="C163" s="106"/>
      <c r="D163" s="106"/>
      <c r="E163" s="106"/>
      <c r="F163" s="106"/>
      <c r="G163" s="106"/>
      <c r="H163" s="106"/>
      <c r="I163" s="106"/>
      <c r="J163" s="106"/>
      <c r="K163" s="106"/>
      <c r="L163" s="106"/>
      <c r="M163" s="106"/>
      <c r="N163" s="106"/>
      <c r="O163" s="29"/>
      <c r="P163" s="106"/>
      <c r="Q163" s="106"/>
      <c r="R163" s="106"/>
      <c r="S163" s="106"/>
      <c r="T163" s="106"/>
      <c r="U163" s="106"/>
      <c r="V163" s="9"/>
      <c r="W163" s="106"/>
      <c r="X163" s="106"/>
      <c r="Y163" s="106"/>
      <c r="Z163" s="106"/>
      <c r="AA163" s="106"/>
      <c r="AB163" s="106"/>
      <c r="AC163" s="2"/>
      <c r="AD163" s="106"/>
      <c r="AE163" s="106"/>
      <c r="AF163" s="106"/>
      <c r="AG163" s="106"/>
      <c r="AH163" s="106"/>
      <c r="AI163" s="106"/>
      <c r="AJ163" s="2"/>
      <c r="AK163" s="106"/>
      <c r="AL163" s="106"/>
      <c r="AM163" s="106"/>
      <c r="AN163" s="106"/>
      <c r="AO163" s="106"/>
      <c r="AP163" s="106"/>
      <c r="AQ163" s="2"/>
      <c r="AR163" s="106"/>
      <c r="AS163" s="106"/>
      <c r="AT163" s="106"/>
      <c r="AU163" s="106"/>
      <c r="AV163" s="106"/>
      <c r="AW163" s="106"/>
      <c r="AX163" s="9"/>
      <c r="AY163" s="106"/>
      <c r="AZ163" s="117"/>
      <c r="BA163" s="117"/>
      <c r="BB163" s="117"/>
      <c r="BC163" s="117"/>
      <c r="BD163" s="117"/>
      <c r="BE163" s="117"/>
    </row>
    <row r="164" spans="1:57" ht="13.05" hidden="1" customHeight="1" x14ac:dyDescent="0.25">
      <c r="A164" t="str">
        <f>Nutrients!B163</f>
        <v>Other ingredient</v>
      </c>
      <c r="B164" s="106"/>
      <c r="C164" s="106"/>
      <c r="D164" s="106"/>
      <c r="E164" s="106"/>
      <c r="F164" s="106"/>
      <c r="G164" s="106"/>
      <c r="H164" s="106"/>
      <c r="I164" s="106"/>
      <c r="J164" s="106"/>
      <c r="K164" s="106"/>
      <c r="L164" s="106"/>
      <c r="M164" s="106"/>
      <c r="N164" s="106"/>
      <c r="O164" s="29"/>
      <c r="P164" s="106"/>
      <c r="Q164" s="106"/>
      <c r="R164" s="106"/>
      <c r="S164" s="106"/>
      <c r="T164" s="106"/>
      <c r="U164" s="106"/>
      <c r="V164" s="9"/>
      <c r="W164" s="106"/>
      <c r="X164" s="106"/>
      <c r="Y164" s="106"/>
      <c r="Z164" s="106"/>
      <c r="AA164" s="106"/>
      <c r="AB164" s="106"/>
      <c r="AC164" s="2"/>
      <c r="AD164" s="106"/>
      <c r="AE164" s="106"/>
      <c r="AF164" s="106"/>
      <c r="AG164" s="106"/>
      <c r="AH164" s="106"/>
      <c r="AI164" s="106"/>
      <c r="AJ164" s="2"/>
      <c r="AK164" s="106"/>
      <c r="AL164" s="106"/>
      <c r="AM164" s="106"/>
      <c r="AN164" s="106"/>
      <c r="AO164" s="106"/>
      <c r="AP164" s="106"/>
      <c r="AQ164" s="2"/>
      <c r="AR164" s="106"/>
      <c r="AS164" s="106"/>
      <c r="AT164" s="106"/>
      <c r="AU164" s="106"/>
      <c r="AV164" s="106"/>
      <c r="AW164" s="106"/>
      <c r="AX164" s="9"/>
      <c r="AY164" s="106"/>
      <c r="AZ164" s="117"/>
      <c r="BA164" s="117"/>
      <c r="BB164" s="117"/>
      <c r="BC164" s="117"/>
      <c r="BD164" s="117"/>
      <c r="BE164" s="117"/>
    </row>
    <row r="165" spans="1:57" ht="13.05" hidden="1" customHeight="1" x14ac:dyDescent="0.25">
      <c r="A165" t="str">
        <f>Nutrients!B164</f>
        <v>DPS 50</v>
      </c>
      <c r="B165" s="106"/>
      <c r="C165" s="106"/>
      <c r="D165" s="106"/>
      <c r="E165" s="106"/>
      <c r="F165" s="106"/>
      <c r="G165" s="106"/>
      <c r="H165" s="106"/>
      <c r="I165" s="106"/>
      <c r="J165" s="106"/>
      <c r="K165" s="106"/>
      <c r="L165" s="106"/>
      <c r="M165" s="106"/>
      <c r="N165" s="106"/>
      <c r="O165" s="29"/>
      <c r="P165" s="106"/>
      <c r="Q165" s="106"/>
      <c r="R165" s="106"/>
      <c r="S165" s="106"/>
      <c r="T165" s="106"/>
      <c r="U165" s="106"/>
      <c r="V165" s="9"/>
      <c r="W165" s="106"/>
      <c r="X165" s="106"/>
      <c r="Y165" s="106"/>
      <c r="Z165" s="106"/>
      <c r="AA165" s="106"/>
      <c r="AB165" s="106"/>
      <c r="AC165" s="2"/>
      <c r="AD165" s="106"/>
      <c r="AE165" s="106"/>
      <c r="AF165" s="106"/>
      <c r="AG165" s="106"/>
      <c r="AH165" s="106"/>
      <c r="AI165" s="106"/>
      <c r="AJ165" s="2"/>
      <c r="AK165" s="106"/>
      <c r="AL165" s="106"/>
      <c r="AM165" s="106"/>
      <c r="AN165" s="106"/>
      <c r="AO165" s="106"/>
      <c r="AP165" s="106"/>
      <c r="AQ165" s="2"/>
      <c r="AR165" s="106"/>
      <c r="AS165" s="106"/>
      <c r="AT165" s="106"/>
      <c r="AU165" s="106"/>
      <c r="AV165" s="106"/>
      <c r="AW165" s="106"/>
      <c r="AX165" s="9"/>
      <c r="AY165" s="106"/>
      <c r="AZ165" s="117"/>
      <c r="BA165" s="117"/>
      <c r="BB165" s="117"/>
      <c r="BC165" s="117"/>
      <c r="BD165" s="117"/>
      <c r="BE165" s="117"/>
    </row>
    <row r="166" spans="1:57" ht="13.05" hidden="1" customHeight="1" x14ac:dyDescent="0.25">
      <c r="A166" t="str">
        <f>Nutrients!B165</f>
        <v>PEP2+</v>
      </c>
      <c r="B166" s="106"/>
      <c r="C166" s="106"/>
      <c r="D166" s="106"/>
      <c r="E166" s="106"/>
      <c r="F166" s="106"/>
      <c r="G166" s="106"/>
      <c r="H166" s="106"/>
      <c r="I166" s="106"/>
      <c r="J166" s="106"/>
      <c r="K166" s="106"/>
      <c r="L166" s="106"/>
      <c r="M166" s="106"/>
      <c r="N166" s="106"/>
      <c r="O166" s="29"/>
      <c r="P166" s="106"/>
      <c r="Q166" s="106"/>
      <c r="R166" s="106"/>
      <c r="S166" s="106"/>
      <c r="T166" s="106"/>
      <c r="U166" s="106"/>
      <c r="V166" s="9"/>
      <c r="W166" s="106"/>
      <c r="X166" s="106"/>
      <c r="Y166" s="106"/>
      <c r="Z166" s="106"/>
      <c r="AA166" s="106"/>
      <c r="AB166" s="106"/>
      <c r="AC166" s="2"/>
      <c r="AD166" s="106"/>
      <c r="AE166" s="106"/>
      <c r="AF166" s="106"/>
      <c r="AG166" s="106"/>
      <c r="AH166" s="106"/>
      <c r="AI166" s="106"/>
      <c r="AJ166" s="2"/>
      <c r="AK166" s="106"/>
      <c r="AL166" s="106"/>
      <c r="AM166" s="106"/>
      <c r="AN166" s="106"/>
      <c r="AO166" s="106"/>
      <c r="AP166" s="106"/>
      <c r="AQ166" s="2"/>
      <c r="AR166" s="106"/>
      <c r="AS166" s="106"/>
      <c r="AT166" s="106"/>
      <c r="AU166" s="106"/>
      <c r="AV166" s="106"/>
      <c r="AW166" s="106"/>
      <c r="AX166" s="9"/>
      <c r="AY166" s="106"/>
      <c r="AZ166" s="117"/>
      <c r="BA166" s="117"/>
      <c r="BB166" s="117"/>
      <c r="BC166" s="117"/>
      <c r="BD166" s="117"/>
      <c r="BE166" s="117"/>
    </row>
    <row r="167" spans="1:57" ht="13.05" hidden="1" customHeight="1" x14ac:dyDescent="0.25">
      <c r="A167" t="str">
        <f>Nutrients!B166</f>
        <v>PEP NS</v>
      </c>
      <c r="B167" s="106"/>
      <c r="C167" s="106"/>
      <c r="D167" s="106"/>
      <c r="E167" s="106"/>
      <c r="F167" s="106"/>
      <c r="G167" s="106"/>
      <c r="H167" s="106"/>
      <c r="I167" s="106"/>
      <c r="J167" s="106"/>
      <c r="K167" s="106"/>
      <c r="L167" s="106"/>
      <c r="M167" s="106"/>
      <c r="N167" s="106"/>
      <c r="O167" s="29"/>
      <c r="P167" s="106"/>
      <c r="Q167" s="106"/>
      <c r="R167" s="106"/>
      <c r="S167" s="106"/>
      <c r="T167" s="106"/>
      <c r="U167" s="106"/>
      <c r="V167" s="9"/>
      <c r="W167" s="106"/>
      <c r="X167" s="106"/>
      <c r="Y167" s="106"/>
      <c r="Z167" s="106"/>
      <c r="AA167" s="106"/>
      <c r="AB167" s="106"/>
      <c r="AC167" s="2"/>
      <c r="AD167" s="106"/>
      <c r="AE167" s="106"/>
      <c r="AF167" s="106"/>
      <c r="AG167" s="106"/>
      <c r="AH167" s="106"/>
      <c r="AI167" s="106"/>
      <c r="AJ167" s="2"/>
      <c r="AK167" s="106"/>
      <c r="AL167" s="106"/>
      <c r="AM167" s="106"/>
      <c r="AN167" s="106"/>
      <c r="AO167" s="106"/>
      <c r="AP167" s="106"/>
      <c r="AQ167" s="2"/>
      <c r="AR167" s="106"/>
      <c r="AS167" s="106"/>
      <c r="AT167" s="106"/>
      <c r="AU167" s="106"/>
      <c r="AV167" s="106"/>
      <c r="AW167" s="106"/>
      <c r="AX167" s="9"/>
      <c r="AY167" s="106"/>
      <c r="AZ167" s="117"/>
      <c r="BA167" s="117"/>
      <c r="BB167" s="117"/>
      <c r="BC167" s="117"/>
      <c r="BD167" s="117"/>
      <c r="BE167" s="117"/>
    </row>
    <row r="168" spans="1:57" ht="13.05" hidden="1" customHeight="1" x14ac:dyDescent="0.25">
      <c r="A168" t="str">
        <f>Nutrients!B167</f>
        <v>Vitamin premix (2x) with phytase</v>
      </c>
      <c r="B168" s="106"/>
      <c r="C168" s="106"/>
      <c r="D168" s="106"/>
      <c r="E168" s="106"/>
      <c r="F168" s="106"/>
      <c r="G168" s="106"/>
      <c r="H168" s="106"/>
      <c r="I168" s="106"/>
      <c r="J168" s="106"/>
      <c r="K168" s="106"/>
      <c r="L168" s="106"/>
      <c r="M168" s="106"/>
      <c r="N168" s="106"/>
      <c r="O168" s="29"/>
      <c r="P168" s="106"/>
      <c r="Q168" s="106"/>
      <c r="R168" s="106"/>
      <c r="S168" s="106"/>
      <c r="T168" s="106"/>
      <c r="U168" s="106"/>
      <c r="V168" s="9"/>
      <c r="W168" s="106"/>
      <c r="X168" s="106"/>
      <c r="Y168" s="106"/>
      <c r="Z168" s="106"/>
      <c r="AA168" s="106"/>
      <c r="AB168" s="106"/>
      <c r="AC168" s="2"/>
      <c r="AD168" s="106"/>
      <c r="AE168" s="106"/>
      <c r="AF168" s="106"/>
      <c r="AG168" s="106"/>
      <c r="AH168" s="106"/>
      <c r="AI168" s="106"/>
      <c r="AJ168" s="2"/>
      <c r="AK168" s="106"/>
      <c r="AL168" s="106"/>
      <c r="AM168" s="106"/>
      <c r="AN168" s="106"/>
      <c r="AO168" s="106"/>
      <c r="AP168" s="106"/>
      <c r="AQ168" s="2"/>
      <c r="AR168" s="106"/>
      <c r="AS168" s="106"/>
      <c r="AT168" s="106"/>
      <c r="AU168" s="106"/>
      <c r="AV168" s="106"/>
      <c r="AW168" s="106"/>
      <c r="AX168" s="9"/>
      <c r="AY168" s="106"/>
      <c r="AZ168" s="117"/>
      <c r="BA168" s="117"/>
      <c r="BB168" s="117"/>
      <c r="BC168" s="117"/>
      <c r="BD168" s="117"/>
      <c r="BE168" s="117"/>
    </row>
    <row r="169" spans="1:57" ht="13.05" hidden="1" customHeight="1" x14ac:dyDescent="0.25">
      <c r="A169" t="str">
        <f>Nutrients!B168</f>
        <v>Vitamin premix (2x) without phytase</v>
      </c>
      <c r="B169" s="106"/>
      <c r="C169" s="106"/>
      <c r="D169" s="106"/>
      <c r="E169" s="106"/>
      <c r="F169" s="106"/>
      <c r="G169" s="106"/>
      <c r="H169" s="106"/>
      <c r="I169" s="106"/>
      <c r="J169" s="106"/>
      <c r="K169" s="106"/>
      <c r="L169" s="106"/>
      <c r="M169" s="106"/>
      <c r="N169" s="106"/>
      <c r="O169" s="29"/>
      <c r="P169" s="106"/>
      <c r="Q169" s="106"/>
      <c r="R169" s="106"/>
      <c r="S169" s="106"/>
      <c r="T169" s="106"/>
      <c r="U169" s="106"/>
      <c r="V169" s="9"/>
      <c r="W169" s="106"/>
      <c r="X169" s="106"/>
      <c r="Y169" s="106"/>
      <c r="Z169" s="106"/>
      <c r="AA169" s="106"/>
      <c r="AB169" s="106"/>
      <c r="AC169" s="2"/>
      <c r="AD169" s="106"/>
      <c r="AE169" s="106"/>
      <c r="AF169" s="106"/>
      <c r="AG169" s="106"/>
      <c r="AH169" s="106"/>
      <c r="AI169" s="106"/>
      <c r="AJ169" s="2"/>
      <c r="AK169" s="106"/>
      <c r="AL169" s="106"/>
      <c r="AM169" s="106"/>
      <c r="AN169" s="106"/>
      <c r="AO169" s="106"/>
      <c r="AP169" s="106"/>
      <c r="AQ169" s="2"/>
      <c r="AR169" s="106"/>
      <c r="AS169" s="106"/>
      <c r="AT169" s="106"/>
      <c r="AU169" s="106"/>
      <c r="AV169" s="106"/>
      <c r="AW169" s="106"/>
      <c r="AX169" s="9"/>
      <c r="AY169" s="106"/>
      <c r="AZ169" s="117"/>
      <c r="BA169" s="117"/>
      <c r="BB169" s="117"/>
      <c r="BC169" s="117"/>
      <c r="BD169" s="117"/>
      <c r="BE169" s="117"/>
    </row>
    <row r="170" spans="1:57" hidden="1" x14ac:dyDescent="0.25">
      <c r="A170" t="str">
        <f>Nutrients!B169</f>
        <v>Corn DDGS, 10.5% Oil</v>
      </c>
      <c r="B170" s="106"/>
      <c r="C170" s="106"/>
      <c r="D170" s="106"/>
      <c r="E170" s="106"/>
      <c r="F170" s="106"/>
      <c r="G170" s="106"/>
      <c r="H170" s="106"/>
      <c r="I170" s="106"/>
      <c r="J170" s="106"/>
      <c r="K170" s="106"/>
      <c r="L170" s="106"/>
      <c r="M170" s="106"/>
      <c r="N170" s="106"/>
      <c r="O170" s="29"/>
      <c r="P170" s="106"/>
      <c r="Q170" s="106"/>
      <c r="R170" s="106"/>
      <c r="S170" s="106"/>
      <c r="T170" s="106"/>
      <c r="U170" s="106"/>
      <c r="V170" s="9"/>
      <c r="W170" s="106"/>
      <c r="X170" s="106"/>
      <c r="Y170" s="106"/>
      <c r="Z170" s="106"/>
      <c r="AA170" s="106"/>
      <c r="AB170" s="106"/>
      <c r="AC170" s="2"/>
      <c r="AD170" s="106"/>
      <c r="AE170" s="106"/>
      <c r="AF170" s="106"/>
      <c r="AG170" s="106"/>
      <c r="AH170" s="106"/>
      <c r="AI170" s="106"/>
      <c r="AJ170" s="2"/>
      <c r="AK170" s="106"/>
      <c r="AL170" s="106"/>
      <c r="AM170" s="106"/>
      <c r="AN170" s="106"/>
      <c r="AO170" s="106"/>
      <c r="AP170" s="106"/>
      <c r="AQ170" s="2"/>
      <c r="AR170" s="106"/>
      <c r="AS170" s="106"/>
      <c r="AT170" s="106"/>
      <c r="AU170" s="106"/>
      <c r="AV170" s="106"/>
      <c r="AW170" s="106"/>
      <c r="AX170" s="9"/>
      <c r="AY170" s="106"/>
      <c r="AZ170" s="117"/>
      <c r="BA170" s="117"/>
      <c r="BB170" s="117"/>
      <c r="BC170" s="117"/>
      <c r="BD170" s="117"/>
      <c r="BE170" s="117"/>
    </row>
    <row r="171" spans="1:57" hidden="1" x14ac:dyDescent="0.25">
      <c r="A171" t="str">
        <f>Nutrients!B170</f>
        <v>Corn DDGS, 7.5% Oil</v>
      </c>
      <c r="B171" s="106"/>
      <c r="C171" s="106"/>
      <c r="D171" s="106"/>
      <c r="E171" s="106"/>
      <c r="F171" s="106"/>
      <c r="G171" s="106"/>
      <c r="H171" s="106"/>
      <c r="I171" s="106"/>
      <c r="J171" s="106"/>
      <c r="K171" s="106"/>
      <c r="L171" s="106"/>
      <c r="M171" s="106"/>
      <c r="N171" s="106"/>
      <c r="O171" s="29"/>
      <c r="P171" s="106"/>
      <c r="Q171" s="106"/>
      <c r="R171" s="106"/>
      <c r="S171" s="106"/>
      <c r="T171" s="106"/>
      <c r="U171" s="106"/>
      <c r="V171" s="9"/>
      <c r="W171" s="106"/>
      <c r="X171" s="106"/>
      <c r="Y171" s="106"/>
      <c r="Z171" s="106"/>
      <c r="AA171" s="106"/>
      <c r="AB171" s="106"/>
      <c r="AC171" s="2"/>
      <c r="AD171" s="106"/>
      <c r="AE171" s="106"/>
      <c r="AF171" s="106"/>
      <c r="AG171" s="106"/>
      <c r="AH171" s="106"/>
      <c r="AI171" s="106"/>
      <c r="AJ171" s="2"/>
      <c r="AK171" s="106"/>
      <c r="AL171" s="106"/>
      <c r="AM171" s="106"/>
      <c r="AN171" s="106"/>
      <c r="AO171" s="106"/>
      <c r="AP171" s="106"/>
      <c r="AQ171" s="2"/>
      <c r="AR171" s="106"/>
      <c r="AS171" s="106"/>
      <c r="AT171" s="106"/>
      <c r="AU171" s="106"/>
      <c r="AV171" s="106"/>
      <c r="AW171" s="106"/>
      <c r="AX171" s="9"/>
      <c r="AY171" s="106"/>
      <c r="AZ171" s="117"/>
      <c r="BA171" s="117"/>
      <c r="BB171" s="117"/>
      <c r="BC171" s="117"/>
      <c r="BD171" s="117"/>
      <c r="BE171" s="117"/>
    </row>
    <row r="172" spans="1:57" ht="12.75" hidden="1" customHeight="1" x14ac:dyDescent="0.25">
      <c r="A172" t="str">
        <f>Nutrients!B171</f>
        <v>Corn DDGS, 4.5% Oil</v>
      </c>
      <c r="B172" s="106"/>
      <c r="C172" s="106"/>
      <c r="D172" s="106"/>
      <c r="E172" s="106"/>
      <c r="F172" s="106"/>
      <c r="G172" s="106"/>
      <c r="H172" s="106"/>
      <c r="I172" s="106"/>
      <c r="J172" s="106"/>
      <c r="K172" s="106"/>
      <c r="L172" s="106"/>
      <c r="M172" s="106"/>
      <c r="N172" s="106"/>
      <c r="O172" s="29"/>
      <c r="P172" s="106"/>
      <c r="Q172" s="106"/>
      <c r="R172" s="106"/>
      <c r="S172" s="106"/>
      <c r="T172" s="106"/>
      <c r="U172" s="106"/>
      <c r="V172" s="9"/>
      <c r="W172" s="106"/>
      <c r="X172" s="106"/>
      <c r="Y172" s="106"/>
      <c r="Z172" s="106"/>
      <c r="AA172" s="106"/>
      <c r="AB172" s="106"/>
      <c r="AC172" s="2"/>
      <c r="AD172" s="106"/>
      <c r="AE172" s="106"/>
      <c r="AF172" s="106"/>
      <c r="AG172" s="106"/>
      <c r="AH172" s="106"/>
      <c r="AI172" s="106"/>
      <c r="AJ172" s="2"/>
      <c r="AK172" s="106"/>
      <c r="AL172" s="106"/>
      <c r="AM172" s="106"/>
      <c r="AN172" s="106"/>
      <c r="AO172" s="106"/>
      <c r="AP172" s="106"/>
      <c r="AQ172" s="2"/>
      <c r="AR172" s="106"/>
      <c r="AS172" s="106"/>
      <c r="AT172" s="106"/>
      <c r="AU172" s="106"/>
      <c r="AV172" s="106"/>
      <c r="AW172" s="106"/>
      <c r="AX172" s="9"/>
      <c r="AY172" s="106"/>
      <c r="AZ172" s="117"/>
      <c r="BA172" s="117"/>
      <c r="BB172" s="117"/>
      <c r="BC172" s="117"/>
      <c r="BD172" s="117"/>
      <c r="BE172" s="117"/>
    </row>
    <row r="173" spans="1:57" ht="13.05" hidden="1" customHeight="1" x14ac:dyDescent="0.25">
      <c r="A173" t="str">
        <f>Nutrients!B172</f>
        <v>MEPRO Hubbard</v>
      </c>
      <c r="B173" s="106"/>
      <c r="C173" s="106"/>
      <c r="D173" s="106"/>
      <c r="E173" s="106"/>
      <c r="F173" s="106"/>
      <c r="G173" s="106"/>
      <c r="H173" s="106"/>
      <c r="I173" s="106"/>
      <c r="J173" s="106"/>
      <c r="K173" s="106"/>
      <c r="L173" s="106"/>
      <c r="M173" s="106"/>
      <c r="N173" s="106"/>
      <c r="O173" s="29"/>
      <c r="P173" s="106"/>
      <c r="Q173" s="106"/>
      <c r="R173" s="106"/>
      <c r="S173" s="106"/>
      <c r="T173" s="106"/>
      <c r="U173" s="106"/>
      <c r="V173" s="9"/>
      <c r="W173" s="106"/>
      <c r="X173" s="106"/>
      <c r="Y173" s="106"/>
      <c r="Z173" s="106"/>
      <c r="AA173" s="106"/>
      <c r="AB173" s="106"/>
      <c r="AC173" s="2"/>
      <c r="AD173" s="106"/>
      <c r="AE173" s="106"/>
      <c r="AF173" s="106"/>
      <c r="AG173" s="106"/>
      <c r="AH173" s="106"/>
      <c r="AI173" s="106"/>
      <c r="AJ173" s="2"/>
      <c r="AK173" s="106"/>
      <c r="AL173" s="106"/>
      <c r="AM173" s="106"/>
      <c r="AN173" s="106"/>
      <c r="AO173" s="106"/>
      <c r="AP173" s="106"/>
      <c r="AQ173" s="2"/>
      <c r="AR173" s="106"/>
      <c r="AS173" s="106"/>
      <c r="AT173" s="106"/>
      <c r="AU173" s="106"/>
      <c r="AV173" s="106"/>
      <c r="AW173" s="106"/>
      <c r="AX173" s="9"/>
      <c r="AY173" s="106"/>
      <c r="AZ173" s="117"/>
      <c r="BA173" s="117"/>
      <c r="BB173" s="117"/>
      <c r="BC173" s="117"/>
      <c r="BD173" s="117"/>
      <c r="BE173" s="117"/>
    </row>
    <row r="174" spans="1:57" ht="13.05" hidden="1" customHeight="1" x14ac:dyDescent="0.25">
      <c r="A174" t="str">
        <f>Nutrients!B173</f>
        <v>HP 300 Apr 2022 loadings</v>
      </c>
      <c r="B174" s="106"/>
      <c r="C174" s="106"/>
      <c r="D174" s="106"/>
      <c r="E174" s="106"/>
      <c r="F174" s="106"/>
      <c r="G174" s="106"/>
      <c r="H174" s="106"/>
      <c r="I174" s="106"/>
      <c r="J174" s="106"/>
      <c r="K174" s="106"/>
      <c r="L174" s="106"/>
      <c r="M174" s="106"/>
      <c r="N174" s="106"/>
      <c r="O174" s="29"/>
      <c r="P174" s="106"/>
      <c r="Q174" s="106"/>
      <c r="R174" s="106"/>
      <c r="S174" s="106"/>
      <c r="T174" s="106"/>
      <c r="U174" s="106"/>
      <c r="V174" s="9"/>
      <c r="W174" s="106"/>
      <c r="X174" s="106"/>
      <c r="Y174" s="106"/>
      <c r="Z174" s="106"/>
      <c r="AA174" s="106"/>
      <c r="AB174" s="106"/>
      <c r="AC174" s="2"/>
      <c r="AD174" s="106"/>
      <c r="AE174" s="106"/>
      <c r="AF174" s="106"/>
      <c r="AG174" s="106"/>
      <c r="AH174" s="106"/>
      <c r="AI174" s="106"/>
      <c r="AJ174" s="2"/>
      <c r="AK174" s="106"/>
      <c r="AL174" s="106"/>
      <c r="AM174" s="106"/>
      <c r="AN174" s="106"/>
      <c r="AO174" s="106"/>
      <c r="AP174" s="106"/>
      <c r="AQ174" s="2"/>
      <c r="AR174" s="106"/>
      <c r="AS174" s="106"/>
      <c r="AT174" s="106"/>
      <c r="AU174" s="106"/>
      <c r="AV174" s="106"/>
      <c r="AW174" s="106"/>
      <c r="AX174" s="9"/>
      <c r="AY174" s="106"/>
      <c r="AZ174" s="117"/>
      <c r="BA174" s="117"/>
      <c r="BB174" s="117"/>
      <c r="BC174" s="117"/>
      <c r="BD174" s="117"/>
      <c r="BE174" s="117"/>
    </row>
    <row r="175" spans="1:57" ht="13.05" hidden="1" customHeight="1" x14ac:dyDescent="0.25">
      <c r="A175" t="str">
        <f>Nutrients!B174</f>
        <v>Glycine</v>
      </c>
      <c r="B175" s="106"/>
      <c r="C175" s="106"/>
      <c r="D175" s="106"/>
      <c r="E175" s="106"/>
      <c r="F175" s="106"/>
      <c r="G175" s="106"/>
      <c r="H175" s="106"/>
      <c r="I175" s="106"/>
      <c r="J175" s="106"/>
      <c r="K175" s="106"/>
      <c r="L175" s="106"/>
      <c r="M175" s="106"/>
      <c r="N175" s="106"/>
      <c r="O175" s="29"/>
      <c r="P175" s="106"/>
      <c r="Q175" s="106"/>
      <c r="R175" s="106"/>
      <c r="S175" s="106"/>
      <c r="T175" s="106"/>
      <c r="U175" s="106"/>
      <c r="V175" s="9"/>
      <c r="W175" s="106"/>
      <c r="X175" s="106"/>
      <c r="Y175" s="106"/>
      <c r="Z175" s="106"/>
      <c r="AA175" s="106"/>
      <c r="AB175" s="106"/>
      <c r="AC175" s="2"/>
      <c r="AD175" s="106"/>
      <c r="AE175" s="106"/>
      <c r="AF175" s="106"/>
      <c r="AG175" s="106"/>
      <c r="AH175" s="106"/>
      <c r="AI175" s="106"/>
      <c r="AJ175" s="2"/>
      <c r="AK175" s="106"/>
      <c r="AL175" s="106"/>
      <c r="AM175" s="106"/>
      <c r="AN175" s="106"/>
      <c r="AO175" s="106"/>
      <c r="AP175" s="106"/>
      <c r="AQ175" s="2"/>
      <c r="AR175" s="106"/>
      <c r="AS175" s="106"/>
      <c r="AT175" s="106"/>
      <c r="AU175" s="106"/>
      <c r="AV175" s="106"/>
      <c r="AW175" s="106"/>
      <c r="AX175" s="9"/>
      <c r="AY175" s="106"/>
      <c r="AZ175" s="117"/>
      <c r="BA175" s="117"/>
      <c r="BB175" s="117"/>
      <c r="BC175" s="117"/>
      <c r="BD175" s="117"/>
      <c r="BE175" s="117"/>
    </row>
    <row r="176" spans="1:57" ht="13.05" hidden="1" customHeight="1" x14ac:dyDescent="0.25">
      <c r="A176" t="str">
        <f>Nutrients!B175</f>
        <v>Phase 2 supplement 2018</v>
      </c>
      <c r="B176" s="106"/>
      <c r="C176" s="106"/>
      <c r="D176" s="106"/>
      <c r="E176" s="106"/>
      <c r="F176" s="106"/>
      <c r="G176" s="106"/>
      <c r="H176" s="106"/>
      <c r="I176" s="106"/>
      <c r="J176" s="106"/>
      <c r="K176" s="106"/>
      <c r="L176" s="106"/>
      <c r="M176" s="106"/>
      <c r="N176" s="106"/>
      <c r="O176" s="29"/>
      <c r="P176" s="106"/>
      <c r="Q176" s="106"/>
      <c r="R176" s="106"/>
      <c r="S176" s="106"/>
      <c r="T176" s="106"/>
      <c r="U176" s="106"/>
      <c r="V176" s="9"/>
      <c r="W176" s="106"/>
      <c r="X176" s="106"/>
      <c r="Y176" s="106"/>
      <c r="Z176" s="106"/>
      <c r="AA176" s="106"/>
      <c r="AB176" s="106"/>
      <c r="AC176" s="2"/>
      <c r="AD176" s="106"/>
      <c r="AE176" s="106"/>
      <c r="AF176" s="106"/>
      <c r="AG176" s="106"/>
      <c r="AH176" s="106"/>
      <c r="AI176" s="106"/>
      <c r="AJ176" s="2"/>
      <c r="AK176" s="106"/>
      <c r="AL176" s="106"/>
      <c r="AM176" s="106"/>
      <c r="AN176" s="106"/>
      <c r="AO176" s="106"/>
      <c r="AP176" s="106"/>
      <c r="AQ176" s="2"/>
      <c r="AR176" s="106"/>
      <c r="AS176" s="106"/>
      <c r="AT176" s="106"/>
      <c r="AU176" s="106"/>
      <c r="AV176" s="106"/>
      <c r="AW176" s="106"/>
      <c r="AX176" s="9"/>
      <c r="AY176" s="106"/>
      <c r="AZ176" s="117"/>
      <c r="BA176" s="117"/>
      <c r="BB176" s="117"/>
      <c r="BC176" s="117"/>
      <c r="BD176" s="117"/>
      <c r="BE176" s="117"/>
    </row>
    <row r="177" spans="1:57" ht="13.05" hidden="1" customHeight="1" x14ac:dyDescent="0.25">
      <c r="A177" t="str">
        <f>Nutrients!B176</f>
        <v>Fermex 200</v>
      </c>
      <c r="B177" s="106"/>
      <c r="C177" s="106"/>
      <c r="D177" s="106"/>
      <c r="E177" s="106"/>
      <c r="F177" s="106"/>
      <c r="G177" s="106"/>
      <c r="H177" s="106"/>
      <c r="I177" s="106"/>
      <c r="J177" s="106"/>
      <c r="K177" s="106"/>
      <c r="L177" s="106"/>
      <c r="M177" s="106"/>
      <c r="N177" s="106"/>
      <c r="O177" s="29"/>
      <c r="P177" s="106"/>
      <c r="Q177" s="106"/>
      <c r="R177" s="106"/>
      <c r="S177" s="106"/>
      <c r="T177" s="106"/>
      <c r="U177" s="106"/>
      <c r="V177" s="9"/>
      <c r="W177" s="106"/>
      <c r="X177" s="106"/>
      <c r="Y177" s="106"/>
      <c r="Z177" s="106"/>
      <c r="AA177" s="106"/>
      <c r="AB177" s="106"/>
      <c r="AC177" s="2"/>
      <c r="AD177" s="106"/>
      <c r="AE177" s="106"/>
      <c r="AF177" s="106"/>
      <c r="AG177" s="106"/>
      <c r="AH177" s="106"/>
      <c r="AI177" s="106"/>
      <c r="AJ177" s="2"/>
      <c r="AK177" s="106"/>
      <c r="AL177" s="106"/>
      <c r="AM177" s="106"/>
      <c r="AN177" s="106"/>
      <c r="AO177" s="106"/>
      <c r="AP177" s="106"/>
      <c r="AQ177" s="2"/>
      <c r="AR177" s="106"/>
      <c r="AS177" s="106"/>
      <c r="AT177" s="106"/>
      <c r="AU177" s="106"/>
      <c r="AV177" s="106"/>
      <c r="AW177" s="106"/>
      <c r="AX177" s="9"/>
      <c r="AY177" s="106"/>
      <c r="AZ177" s="117"/>
      <c r="BA177" s="117"/>
      <c r="BB177" s="117"/>
      <c r="BC177" s="117"/>
      <c r="BD177" s="117"/>
      <c r="BE177" s="117"/>
    </row>
    <row r="178" spans="1:57" ht="13.05" hidden="1" customHeight="1" x14ac:dyDescent="0.25">
      <c r="A178" t="str">
        <f>Nutrients!B177</f>
        <v>Soybean meal with 88% NE of corn</v>
      </c>
      <c r="B178" s="106"/>
      <c r="C178" s="106"/>
      <c r="D178" s="106"/>
      <c r="E178" s="106"/>
      <c r="F178" s="106"/>
      <c r="G178" s="106"/>
      <c r="H178" s="106"/>
      <c r="I178" s="106"/>
      <c r="J178" s="106"/>
      <c r="K178" s="106"/>
      <c r="L178" s="106"/>
      <c r="M178" s="106"/>
      <c r="N178" s="106"/>
      <c r="O178" s="29"/>
      <c r="P178" s="106"/>
      <c r="Q178" s="106"/>
      <c r="R178" s="106"/>
      <c r="S178" s="106"/>
      <c r="T178" s="106"/>
      <c r="U178" s="106"/>
      <c r="V178" s="9"/>
      <c r="W178" s="106"/>
      <c r="X178" s="106"/>
      <c r="Y178" s="106"/>
      <c r="Z178" s="106"/>
      <c r="AA178" s="106"/>
      <c r="AB178" s="106"/>
      <c r="AC178" s="2"/>
      <c r="AD178" s="106"/>
      <c r="AE178" s="106"/>
      <c r="AF178" s="106"/>
      <c r="AG178" s="106"/>
      <c r="AH178" s="106"/>
      <c r="AI178" s="106"/>
      <c r="AJ178" s="2"/>
      <c r="AK178" s="106"/>
      <c r="AL178" s="106"/>
      <c r="AM178" s="106"/>
      <c r="AN178" s="106"/>
      <c r="AO178" s="106"/>
      <c r="AP178" s="106"/>
      <c r="AQ178" s="2"/>
      <c r="AR178" s="106"/>
      <c r="AS178" s="106"/>
      <c r="AT178" s="106"/>
      <c r="AU178" s="106"/>
      <c r="AV178" s="106"/>
      <c r="AW178" s="106"/>
      <c r="AX178" s="9"/>
      <c r="AY178" s="106"/>
      <c r="AZ178" s="117"/>
      <c r="BA178" s="117"/>
      <c r="BB178" s="117"/>
      <c r="BC178" s="117"/>
      <c r="BD178" s="117"/>
      <c r="BE178" s="117"/>
    </row>
    <row r="179" spans="1:57" ht="13.05" hidden="1" customHeight="1" x14ac:dyDescent="0.25">
      <c r="A179" t="str">
        <f>Nutrients!B178</f>
        <v>Blue Dye NFP</v>
      </c>
      <c r="B179" s="106"/>
      <c r="C179" s="106"/>
      <c r="D179" s="106"/>
      <c r="E179" s="106"/>
      <c r="F179" s="106"/>
      <c r="G179" s="106"/>
      <c r="H179" s="106"/>
      <c r="I179" s="106"/>
      <c r="J179" s="106"/>
      <c r="K179" s="106"/>
      <c r="L179" s="106"/>
      <c r="M179" s="106"/>
      <c r="N179" s="106"/>
      <c r="O179" s="29"/>
      <c r="P179" s="106"/>
      <c r="Q179" s="106"/>
      <c r="R179" s="106"/>
      <c r="S179" s="106"/>
      <c r="T179" s="106"/>
      <c r="U179" s="106"/>
      <c r="V179" s="9"/>
      <c r="W179" s="106"/>
      <c r="X179" s="106"/>
      <c r="Y179" s="106"/>
      <c r="Z179" s="106"/>
      <c r="AA179" s="106"/>
      <c r="AB179" s="106"/>
      <c r="AC179" s="2"/>
      <c r="AD179" s="106"/>
      <c r="AE179" s="106"/>
      <c r="AF179" s="106"/>
      <c r="AG179" s="106"/>
      <c r="AH179" s="106"/>
      <c r="AI179" s="106"/>
      <c r="AJ179" s="2"/>
      <c r="AK179" s="106"/>
      <c r="AL179" s="106"/>
      <c r="AM179" s="106"/>
      <c r="AN179" s="106"/>
      <c r="AO179" s="106"/>
      <c r="AP179" s="106"/>
      <c r="AQ179" s="2"/>
      <c r="AR179" s="106"/>
      <c r="AS179" s="106"/>
      <c r="AT179" s="106"/>
      <c r="AU179" s="106"/>
      <c r="AV179" s="106"/>
      <c r="AW179" s="106"/>
      <c r="AX179" s="9"/>
      <c r="AY179" s="106"/>
      <c r="AZ179" s="117"/>
      <c r="BA179" s="117"/>
      <c r="BB179" s="117"/>
      <c r="BC179" s="117"/>
      <c r="BD179" s="117"/>
      <c r="BE179" s="117"/>
    </row>
    <row r="180" spans="1:57" ht="13.05" hidden="1" customHeight="1" x14ac:dyDescent="0.25">
      <c r="A180" t="str">
        <f>Nutrients!B179</f>
        <v>HP 300 2022 NFP</v>
      </c>
      <c r="B180" s="106"/>
      <c r="C180" s="106"/>
      <c r="D180" s="106"/>
      <c r="E180" s="106"/>
      <c r="F180" s="106"/>
      <c r="G180" s="106"/>
      <c r="H180" s="106"/>
      <c r="I180" s="106"/>
      <c r="J180" s="106"/>
      <c r="K180" s="106"/>
      <c r="L180" s="106"/>
      <c r="M180" s="106"/>
      <c r="N180" s="106"/>
      <c r="O180" s="29"/>
      <c r="P180" s="106"/>
      <c r="Q180" s="106"/>
      <c r="R180" s="106"/>
      <c r="S180" s="106"/>
      <c r="T180" s="106"/>
      <c r="U180" s="106"/>
      <c r="V180" s="9"/>
      <c r="W180" s="106"/>
      <c r="X180" s="106"/>
      <c r="Y180" s="106"/>
      <c r="Z180" s="106"/>
      <c r="AA180" s="106"/>
      <c r="AB180" s="106"/>
      <c r="AC180" s="2"/>
      <c r="AD180" s="106"/>
      <c r="AE180" s="106"/>
      <c r="AF180" s="106"/>
      <c r="AG180" s="106"/>
      <c r="AH180" s="106"/>
      <c r="AI180" s="106"/>
      <c r="AJ180" s="2"/>
      <c r="AK180" s="106"/>
      <c r="AL180" s="106"/>
      <c r="AM180" s="106"/>
      <c r="AN180" s="106"/>
      <c r="AO180" s="106"/>
      <c r="AP180" s="106"/>
      <c r="AQ180" s="2"/>
      <c r="AR180" s="106"/>
      <c r="AS180" s="106"/>
      <c r="AT180" s="106"/>
      <c r="AU180" s="106"/>
      <c r="AV180" s="106"/>
      <c r="AW180" s="106"/>
      <c r="AX180" s="9"/>
      <c r="AY180" s="106"/>
      <c r="AZ180" s="117"/>
      <c r="BA180" s="117"/>
      <c r="BB180" s="117"/>
      <c r="BC180" s="117"/>
      <c r="BD180" s="117"/>
      <c r="BE180" s="117"/>
    </row>
    <row r="181" spans="1:57" ht="13.05" hidden="1" customHeight="1" x14ac:dyDescent="0.25">
      <c r="A181" t="str">
        <f>Nutrients!B180</f>
        <v>AX3 Digest NFP</v>
      </c>
      <c r="B181" s="106"/>
      <c r="C181" s="106"/>
      <c r="D181" s="106"/>
      <c r="E181" s="106"/>
      <c r="F181" s="106"/>
      <c r="G181" s="106"/>
      <c r="H181" s="106"/>
      <c r="I181" s="106"/>
      <c r="J181" s="106"/>
      <c r="K181" s="106"/>
      <c r="L181" s="106"/>
      <c r="M181" s="106"/>
      <c r="N181" s="106"/>
      <c r="O181" s="29"/>
      <c r="P181" s="106"/>
      <c r="Q181" s="106"/>
      <c r="R181" s="106"/>
      <c r="S181" s="106"/>
      <c r="T181" s="106"/>
      <c r="U181" s="106"/>
      <c r="V181" s="9"/>
      <c r="W181" s="106"/>
      <c r="X181" s="106"/>
      <c r="Y181" s="106"/>
      <c r="Z181" s="106"/>
      <c r="AA181" s="106"/>
      <c r="AB181" s="106"/>
      <c r="AC181" s="2"/>
      <c r="AD181" s="106"/>
      <c r="AE181" s="106"/>
      <c r="AF181" s="106"/>
      <c r="AG181" s="106"/>
      <c r="AH181" s="106"/>
      <c r="AI181" s="106"/>
      <c r="AJ181" s="2"/>
      <c r="AK181" s="106"/>
      <c r="AL181" s="106"/>
      <c r="AM181" s="106"/>
      <c r="AN181" s="106"/>
      <c r="AO181" s="106"/>
      <c r="AP181" s="106"/>
      <c r="AQ181" s="2"/>
      <c r="AR181" s="106"/>
      <c r="AS181" s="106"/>
      <c r="AT181" s="106"/>
      <c r="AU181" s="106"/>
      <c r="AV181" s="106"/>
      <c r="AW181" s="106"/>
      <c r="AX181" s="9"/>
      <c r="AY181" s="106"/>
      <c r="AZ181" s="117"/>
      <c r="BA181" s="117"/>
      <c r="BB181" s="117"/>
      <c r="BC181" s="117"/>
      <c r="BD181" s="117"/>
      <c r="BE181" s="117"/>
    </row>
    <row r="182" spans="1:57" ht="13.05" hidden="1" customHeight="1" x14ac:dyDescent="0.25">
      <c r="A182" t="str">
        <f>Nutrients!B181</f>
        <v>Phase 2 supplement 2018 NFP</v>
      </c>
      <c r="B182" s="106"/>
      <c r="C182" s="106"/>
      <c r="D182" s="106"/>
      <c r="E182" s="106"/>
      <c r="F182" s="106"/>
      <c r="G182" s="106"/>
      <c r="H182" s="106"/>
      <c r="I182" s="106"/>
      <c r="J182" s="106"/>
      <c r="K182" s="106"/>
      <c r="L182" s="106"/>
      <c r="M182" s="106"/>
      <c r="N182" s="106"/>
      <c r="O182" s="29"/>
      <c r="P182" s="106"/>
      <c r="Q182" s="106"/>
      <c r="R182" s="106"/>
      <c r="S182" s="106"/>
      <c r="T182" s="106"/>
      <c r="U182" s="106"/>
      <c r="V182" s="9"/>
      <c r="W182" s="106"/>
      <c r="X182" s="106"/>
      <c r="Y182" s="106"/>
      <c r="Z182" s="106"/>
      <c r="AA182" s="106"/>
      <c r="AB182" s="106"/>
      <c r="AC182" s="2"/>
      <c r="AD182" s="106"/>
      <c r="AE182" s="106"/>
      <c r="AF182" s="106"/>
      <c r="AG182" s="106"/>
      <c r="AH182" s="106"/>
      <c r="AI182" s="106"/>
      <c r="AJ182" s="2"/>
      <c r="AK182" s="106"/>
      <c r="AL182" s="106"/>
      <c r="AM182" s="106"/>
      <c r="AN182" s="106"/>
      <c r="AO182" s="106"/>
      <c r="AP182" s="106"/>
      <c r="AQ182" s="2"/>
      <c r="AR182" s="106"/>
      <c r="AS182" s="106"/>
      <c r="AT182" s="106"/>
      <c r="AU182" s="106"/>
      <c r="AV182" s="106"/>
      <c r="AW182" s="106"/>
      <c r="AX182" s="9"/>
      <c r="AY182" s="106"/>
      <c r="AZ182" s="117"/>
      <c r="BA182" s="117"/>
      <c r="BB182" s="117"/>
      <c r="BC182" s="117"/>
      <c r="BD182" s="117"/>
      <c r="BE182" s="117"/>
    </row>
    <row r="183" spans="1:57" ht="13.05" hidden="1" customHeight="1" x14ac:dyDescent="0.25">
      <c r="A183" t="str">
        <f>Nutrients!B182</f>
        <v>Femex 200 NFP</v>
      </c>
      <c r="B183" s="106"/>
      <c r="C183" s="106"/>
      <c r="D183" s="106"/>
      <c r="E183" s="106"/>
      <c r="F183" s="106"/>
      <c r="G183" s="106"/>
      <c r="H183" s="106"/>
      <c r="I183" s="106"/>
      <c r="J183" s="106"/>
      <c r="K183" s="106"/>
      <c r="L183" s="106"/>
      <c r="M183" s="106"/>
      <c r="N183" s="106"/>
      <c r="O183" s="29"/>
      <c r="P183" s="106"/>
      <c r="Q183" s="106"/>
      <c r="R183" s="106"/>
      <c r="S183" s="106"/>
      <c r="T183" s="106"/>
      <c r="U183" s="106"/>
      <c r="V183" s="9"/>
      <c r="W183" s="106"/>
      <c r="X183" s="106"/>
      <c r="Y183" s="106"/>
      <c r="Z183" s="106"/>
      <c r="AA183" s="106"/>
      <c r="AB183" s="106"/>
      <c r="AC183" s="2"/>
      <c r="AD183" s="106"/>
      <c r="AE183" s="106"/>
      <c r="AF183" s="106"/>
      <c r="AG183" s="106"/>
      <c r="AH183" s="106"/>
      <c r="AI183" s="106"/>
      <c r="AJ183" s="2"/>
      <c r="AK183" s="106"/>
      <c r="AL183" s="106"/>
      <c r="AM183" s="106"/>
      <c r="AN183" s="106"/>
      <c r="AO183" s="106"/>
      <c r="AP183" s="106"/>
      <c r="AQ183" s="2"/>
      <c r="AR183" s="106"/>
      <c r="AS183" s="106"/>
      <c r="AT183" s="106"/>
      <c r="AU183" s="106"/>
      <c r="AV183" s="106"/>
      <c r="AW183" s="106"/>
      <c r="AX183" s="9"/>
      <c r="AY183" s="106"/>
      <c r="AZ183" s="117"/>
      <c r="BA183" s="117"/>
      <c r="BB183" s="117"/>
      <c r="BC183" s="117"/>
      <c r="BD183" s="117"/>
      <c r="BE183" s="117"/>
    </row>
    <row r="184" spans="1:57" ht="13.05" hidden="1" customHeight="1" x14ac:dyDescent="0.25">
      <c r="A184" t="str">
        <f>Nutrients!B183</f>
        <v xml:space="preserve">NFP Soybean meal w/88% NE of corn </v>
      </c>
      <c r="B184" s="106"/>
      <c r="C184" s="106"/>
      <c r="D184" s="106"/>
      <c r="E184" s="106"/>
      <c r="F184" s="106"/>
      <c r="G184" s="106"/>
      <c r="H184" s="106"/>
      <c r="I184" s="106"/>
      <c r="J184" s="106"/>
      <c r="K184" s="106"/>
      <c r="L184" s="106"/>
      <c r="M184" s="106"/>
      <c r="N184" s="106"/>
      <c r="O184" s="29"/>
      <c r="P184" s="106"/>
      <c r="Q184" s="106"/>
      <c r="R184" s="106"/>
      <c r="S184" s="106"/>
      <c r="T184" s="106"/>
      <c r="U184" s="106"/>
      <c r="V184" s="9"/>
      <c r="W184" s="106"/>
      <c r="X184" s="106"/>
      <c r="Y184" s="106"/>
      <c r="Z184" s="106"/>
      <c r="AA184" s="106"/>
      <c r="AB184" s="106"/>
      <c r="AC184" s="2"/>
      <c r="AD184" s="106"/>
      <c r="AE184" s="106"/>
      <c r="AF184" s="106"/>
      <c r="AG184" s="106"/>
      <c r="AH184" s="106"/>
      <c r="AI184" s="106"/>
      <c r="AJ184" s="2"/>
      <c r="AK184" s="106"/>
      <c r="AL184" s="106"/>
      <c r="AM184" s="106"/>
      <c r="AN184" s="106"/>
      <c r="AO184" s="106"/>
      <c r="AP184" s="106"/>
      <c r="AQ184" s="2"/>
      <c r="AR184" s="106"/>
      <c r="AS184" s="106"/>
      <c r="AT184" s="106"/>
      <c r="AU184" s="106"/>
      <c r="AV184" s="106"/>
      <c r="AW184" s="106"/>
      <c r="AX184" s="9"/>
      <c r="AY184" s="106"/>
      <c r="AZ184" s="117"/>
      <c r="BA184" s="117"/>
      <c r="BB184" s="117"/>
      <c r="BC184" s="117"/>
      <c r="BD184" s="117"/>
      <c r="BE184" s="117"/>
    </row>
    <row r="185" spans="1:57" ht="13.05" hidden="1" customHeight="1" x14ac:dyDescent="0.25">
      <c r="A185" t="str">
        <f>Nutrients!B184</f>
        <v>AV-E Digest NFP</v>
      </c>
      <c r="B185" s="106"/>
      <c r="C185" s="106"/>
      <c r="D185" s="106"/>
      <c r="E185" s="106"/>
      <c r="F185" s="106"/>
      <c r="G185" s="106"/>
      <c r="H185" s="106"/>
      <c r="I185" s="106"/>
      <c r="J185" s="106"/>
      <c r="K185" s="106"/>
      <c r="L185" s="106"/>
      <c r="M185" s="106"/>
      <c r="N185" s="106"/>
      <c r="O185" s="29"/>
      <c r="P185" s="106"/>
      <c r="Q185" s="106"/>
      <c r="R185" s="106"/>
      <c r="S185" s="106"/>
      <c r="T185" s="106"/>
      <c r="U185" s="106"/>
      <c r="V185" s="9"/>
      <c r="W185" s="106"/>
      <c r="X185" s="106"/>
      <c r="Y185" s="106"/>
      <c r="Z185" s="106"/>
      <c r="AA185" s="106"/>
      <c r="AB185" s="106"/>
      <c r="AC185" s="2"/>
      <c r="AD185" s="106"/>
      <c r="AE185" s="106"/>
      <c r="AF185" s="106"/>
      <c r="AG185" s="106"/>
      <c r="AH185" s="106"/>
      <c r="AI185" s="106"/>
      <c r="AJ185" s="2"/>
      <c r="AK185" s="106"/>
      <c r="AL185" s="106"/>
      <c r="AM185" s="106"/>
      <c r="AN185" s="106"/>
      <c r="AO185" s="106"/>
      <c r="AP185" s="106"/>
      <c r="AQ185" s="2"/>
      <c r="AR185" s="106"/>
      <c r="AS185" s="106"/>
      <c r="AT185" s="106"/>
      <c r="AU185" s="106"/>
      <c r="AV185" s="106"/>
      <c r="AW185" s="106"/>
      <c r="AX185" s="9"/>
      <c r="AY185" s="106"/>
      <c r="AZ185" s="117"/>
      <c r="BA185" s="117"/>
      <c r="BB185" s="117"/>
      <c r="BC185" s="117"/>
      <c r="BD185" s="117"/>
      <c r="BE185" s="117"/>
    </row>
    <row r="186" spans="1:57" ht="13.05" hidden="1" customHeight="1" x14ac:dyDescent="0.25">
      <c r="A186" t="str">
        <f>Nutrients!B185</f>
        <v>QFP Cereal Blend NFP</v>
      </c>
      <c r="B186" s="106"/>
      <c r="C186" s="106"/>
      <c r="D186" s="106"/>
      <c r="E186" s="106"/>
      <c r="F186" s="106"/>
      <c r="G186" s="106"/>
      <c r="H186" s="106"/>
      <c r="I186" s="106"/>
      <c r="J186" s="106"/>
      <c r="K186" s="106"/>
      <c r="L186" s="106"/>
      <c r="M186" s="106"/>
      <c r="N186" s="106"/>
      <c r="O186" s="29"/>
      <c r="P186" s="106"/>
      <c r="Q186" s="106"/>
      <c r="R186" s="106"/>
      <c r="S186" s="106"/>
      <c r="T186" s="106"/>
      <c r="U186" s="106"/>
      <c r="V186" s="9"/>
      <c r="W186" s="106"/>
      <c r="X186" s="106"/>
      <c r="Y186" s="106"/>
      <c r="Z186" s="106"/>
      <c r="AA186" s="106"/>
      <c r="AB186" s="106"/>
      <c r="AC186" s="2"/>
      <c r="AD186" s="106"/>
      <c r="AE186" s="106"/>
      <c r="AF186" s="106"/>
      <c r="AG186" s="106"/>
      <c r="AH186" s="106"/>
      <c r="AI186" s="106"/>
      <c r="AJ186" s="2"/>
      <c r="AK186" s="106"/>
      <c r="AL186" s="106"/>
      <c r="AM186" s="106"/>
      <c r="AN186" s="106"/>
      <c r="AO186" s="106"/>
      <c r="AP186" s="106"/>
      <c r="AQ186" s="2"/>
      <c r="AR186" s="106"/>
      <c r="AS186" s="106"/>
      <c r="AT186" s="106"/>
      <c r="AU186" s="106"/>
      <c r="AV186" s="106"/>
      <c r="AW186" s="106"/>
      <c r="AX186" s="9"/>
      <c r="AY186" s="106"/>
      <c r="AZ186" s="117"/>
      <c r="BA186" s="117"/>
      <c r="BB186" s="117"/>
      <c r="BC186" s="117"/>
      <c r="BD186" s="117"/>
      <c r="BE186" s="117"/>
    </row>
    <row r="187" spans="1:57" ht="13.05" hidden="1" customHeight="1" x14ac:dyDescent="0.25">
      <c r="A187" t="str">
        <f>Nutrients!B186</f>
        <v>FXP Ani-Tek NFP</v>
      </c>
      <c r="B187" s="106"/>
      <c r="C187" s="106"/>
      <c r="D187" s="106"/>
      <c r="E187" s="106"/>
      <c r="F187" s="106"/>
      <c r="G187" s="106"/>
      <c r="H187" s="106"/>
      <c r="I187" s="106"/>
      <c r="J187" s="106"/>
      <c r="K187" s="106"/>
      <c r="L187" s="106"/>
      <c r="M187" s="106"/>
      <c r="N187" s="106"/>
      <c r="O187" s="29"/>
      <c r="P187" s="106"/>
      <c r="Q187" s="106"/>
      <c r="R187" s="106"/>
      <c r="S187" s="106"/>
      <c r="T187" s="106"/>
      <c r="U187" s="106"/>
      <c r="V187" s="9"/>
      <c r="W187" s="106"/>
      <c r="X187" s="106"/>
      <c r="Y187" s="106"/>
      <c r="Z187" s="106"/>
      <c r="AA187" s="106"/>
      <c r="AB187" s="106"/>
      <c r="AC187" s="2"/>
      <c r="AD187" s="106"/>
      <c r="AE187" s="106"/>
      <c r="AF187" s="106"/>
      <c r="AG187" s="106"/>
      <c r="AH187" s="106"/>
      <c r="AI187" s="106"/>
      <c r="AJ187" s="2"/>
      <c r="AK187" s="106"/>
      <c r="AL187" s="106"/>
      <c r="AM187" s="106"/>
      <c r="AN187" s="106"/>
      <c r="AO187" s="106"/>
      <c r="AP187" s="106"/>
      <c r="AQ187" s="2"/>
      <c r="AR187" s="106"/>
      <c r="AS187" s="106"/>
      <c r="AT187" s="106"/>
      <c r="AU187" s="106"/>
      <c r="AV187" s="106"/>
      <c r="AW187" s="106"/>
      <c r="AX187" s="9"/>
      <c r="AY187" s="106"/>
      <c r="AZ187" s="117"/>
      <c r="BA187" s="117"/>
      <c r="BB187" s="117"/>
      <c r="BC187" s="117"/>
      <c r="BD187" s="117"/>
      <c r="BE187" s="117"/>
    </row>
    <row r="188" spans="1:57" ht="13.05" hidden="1" customHeight="1" x14ac:dyDescent="0.25">
      <c r="A188" t="str">
        <f>Nutrients!B187</f>
        <v>NFP VTM Grower (2021)</v>
      </c>
      <c r="B188" s="106"/>
      <c r="C188" s="106"/>
      <c r="D188" s="106"/>
      <c r="E188" s="106"/>
      <c r="F188" s="106"/>
      <c r="G188" s="106"/>
      <c r="H188" s="106"/>
      <c r="I188" s="106"/>
      <c r="J188" s="106"/>
      <c r="K188" s="106"/>
      <c r="L188" s="106"/>
      <c r="M188" s="106"/>
      <c r="N188" s="106"/>
      <c r="O188" s="29"/>
      <c r="P188" s="106"/>
      <c r="Q188" s="106"/>
      <c r="R188" s="106"/>
      <c r="S188" s="106"/>
      <c r="T188" s="106"/>
      <c r="U188" s="106"/>
      <c r="V188" s="9"/>
      <c r="W188" s="106"/>
      <c r="X188" s="106"/>
      <c r="Y188" s="106"/>
      <c r="Z188" s="106"/>
      <c r="AA188" s="106"/>
      <c r="AB188" s="106"/>
      <c r="AC188" s="2"/>
      <c r="AD188" s="106"/>
      <c r="AE188" s="106"/>
      <c r="AF188" s="106"/>
      <c r="AG188" s="106"/>
      <c r="AH188" s="106"/>
      <c r="AI188" s="106"/>
      <c r="AJ188" s="2"/>
      <c r="AK188" s="106"/>
      <c r="AL188" s="106"/>
      <c r="AM188" s="106"/>
      <c r="AN188" s="106"/>
      <c r="AO188" s="106"/>
      <c r="AP188" s="106"/>
      <c r="AQ188" s="2"/>
      <c r="AR188" s="106"/>
      <c r="AS188" s="106"/>
      <c r="AT188" s="106"/>
      <c r="AU188" s="106"/>
      <c r="AV188" s="106"/>
      <c r="AW188" s="106"/>
      <c r="AX188" s="9"/>
      <c r="AY188" s="106"/>
      <c r="AZ188" s="117"/>
      <c r="BA188" s="117"/>
      <c r="BB188" s="117"/>
      <c r="BC188" s="117"/>
      <c r="BD188" s="117"/>
      <c r="BE188" s="117"/>
    </row>
    <row r="189" spans="1:57" ht="13.05" hidden="1" customHeight="1" x14ac:dyDescent="0.25">
      <c r="A189" t="str">
        <f>Nutrients!B188</f>
        <v>NFP VTM Sow (2021)</v>
      </c>
      <c r="B189" s="106"/>
      <c r="C189" s="106"/>
      <c r="D189" s="106"/>
      <c r="E189" s="106"/>
      <c r="F189" s="106"/>
      <c r="G189" s="106"/>
      <c r="H189" s="106"/>
      <c r="I189" s="106"/>
      <c r="J189" s="106"/>
      <c r="K189" s="106"/>
      <c r="L189" s="106"/>
      <c r="M189" s="106"/>
      <c r="N189" s="106"/>
      <c r="O189" s="29"/>
      <c r="P189" s="106"/>
      <c r="Q189" s="106"/>
      <c r="R189" s="106"/>
      <c r="S189" s="106"/>
      <c r="T189" s="106"/>
      <c r="U189" s="106"/>
      <c r="V189" s="9"/>
      <c r="W189" s="106"/>
      <c r="X189" s="106"/>
      <c r="Y189" s="106"/>
      <c r="Z189" s="106"/>
      <c r="AA189" s="106"/>
      <c r="AB189" s="106"/>
      <c r="AC189" s="2"/>
      <c r="AD189" s="106"/>
      <c r="AE189" s="106"/>
      <c r="AF189" s="106"/>
      <c r="AG189" s="106"/>
      <c r="AH189" s="106"/>
      <c r="AI189" s="106"/>
      <c r="AJ189" s="2"/>
      <c r="AK189" s="106"/>
      <c r="AL189" s="106"/>
      <c r="AM189" s="106"/>
      <c r="AN189" s="106"/>
      <c r="AO189" s="106"/>
      <c r="AP189" s="106"/>
      <c r="AQ189" s="2"/>
      <c r="AR189" s="106"/>
      <c r="AS189" s="106"/>
      <c r="AT189" s="106"/>
      <c r="AU189" s="106"/>
      <c r="AV189" s="106"/>
      <c r="AW189" s="106"/>
      <c r="AX189" s="9"/>
      <c r="AY189" s="106"/>
      <c r="AZ189" s="117"/>
      <c r="BA189" s="117"/>
      <c r="BB189" s="117"/>
      <c r="BC189" s="117"/>
      <c r="BD189" s="117"/>
      <c r="BE189" s="117"/>
    </row>
    <row r="190" spans="1:57" ht="13.05" hidden="1" customHeight="1" x14ac:dyDescent="0.25">
      <c r="A190" t="str">
        <f>Nutrients!B189</f>
        <v>VevoVitall NFP</v>
      </c>
      <c r="B190" s="106"/>
      <c r="C190" s="106"/>
      <c r="D190" s="106"/>
      <c r="E190" s="106"/>
      <c r="F190" s="106"/>
      <c r="G190" s="106"/>
      <c r="H190" s="106"/>
      <c r="I190" s="106"/>
      <c r="J190" s="106"/>
      <c r="K190" s="106"/>
      <c r="L190" s="106"/>
      <c r="M190" s="106"/>
      <c r="N190" s="106"/>
      <c r="O190" s="29"/>
      <c r="P190" s="106"/>
      <c r="Q190" s="106"/>
      <c r="R190" s="106"/>
      <c r="S190" s="106"/>
      <c r="T190" s="106"/>
      <c r="U190" s="106"/>
      <c r="V190" s="9"/>
      <c r="W190" s="106"/>
      <c r="X190" s="106"/>
      <c r="Y190" s="106"/>
      <c r="Z190" s="106"/>
      <c r="AA190" s="106"/>
      <c r="AB190" s="106"/>
      <c r="AC190" s="2"/>
      <c r="AD190" s="106"/>
      <c r="AE190" s="106"/>
      <c r="AF190" s="106"/>
      <c r="AG190" s="106"/>
      <c r="AH190" s="106"/>
      <c r="AI190" s="106"/>
      <c r="AJ190" s="2"/>
      <c r="AK190" s="106"/>
      <c r="AL190" s="106"/>
      <c r="AM190" s="106"/>
      <c r="AN190" s="106"/>
      <c r="AO190" s="106"/>
      <c r="AP190" s="106"/>
      <c r="AQ190" s="2"/>
      <c r="AR190" s="106"/>
      <c r="AS190" s="106"/>
      <c r="AT190" s="106"/>
      <c r="AU190" s="106"/>
      <c r="AV190" s="106"/>
      <c r="AW190" s="106"/>
      <c r="AX190" s="9"/>
      <c r="AY190" s="106"/>
      <c r="AZ190" s="117"/>
      <c r="BA190" s="117"/>
      <c r="BB190" s="117"/>
      <c r="BC190" s="117"/>
      <c r="BD190" s="117"/>
      <c r="BE190" s="117"/>
    </row>
    <row r="191" spans="1:57" ht="13.05" hidden="1" customHeight="1" x14ac:dyDescent="0.25">
      <c r="A191" t="str">
        <f>Nutrients!B190</f>
        <v>MEPRO NFP</v>
      </c>
      <c r="B191" s="106"/>
      <c r="C191" s="106"/>
      <c r="D191" s="106"/>
      <c r="E191" s="106"/>
      <c r="F191" s="106"/>
      <c r="G191" s="106"/>
      <c r="H191" s="106"/>
      <c r="I191" s="106"/>
      <c r="J191" s="106"/>
      <c r="K191" s="106"/>
      <c r="L191" s="106"/>
      <c r="M191" s="106"/>
      <c r="N191" s="106"/>
      <c r="O191" s="29"/>
      <c r="P191" s="106"/>
      <c r="Q191" s="106"/>
      <c r="R191" s="106"/>
      <c r="S191" s="106"/>
      <c r="T191" s="106"/>
      <c r="U191" s="106"/>
      <c r="V191" s="9"/>
      <c r="W191" s="106"/>
      <c r="X191" s="106"/>
      <c r="Y191" s="106"/>
      <c r="Z191" s="106"/>
      <c r="AA191" s="106"/>
      <c r="AB191" s="106"/>
      <c r="AC191" s="2"/>
      <c r="AD191" s="106"/>
      <c r="AE191" s="106"/>
      <c r="AF191" s="106"/>
      <c r="AG191" s="106"/>
      <c r="AH191" s="106"/>
      <c r="AI191" s="106"/>
      <c r="AJ191" s="2"/>
      <c r="AK191" s="106"/>
      <c r="AL191" s="106"/>
      <c r="AM191" s="106"/>
      <c r="AN191" s="106"/>
      <c r="AO191" s="106"/>
      <c r="AP191" s="106"/>
      <c r="AQ191" s="2"/>
      <c r="AR191" s="106"/>
      <c r="AS191" s="106"/>
      <c r="AT191" s="106"/>
      <c r="AU191" s="106"/>
      <c r="AV191" s="106"/>
      <c r="AW191" s="106"/>
      <c r="AX191" s="9"/>
      <c r="AY191" s="106"/>
      <c r="AZ191" s="117"/>
      <c r="BA191" s="117"/>
      <c r="BB191" s="117"/>
      <c r="BC191" s="117"/>
      <c r="BD191" s="117"/>
      <c r="BE191" s="117"/>
    </row>
    <row r="192" spans="1:57" ht="13.05" hidden="1" customHeight="1" x14ac:dyDescent="0.25">
      <c r="A192" t="str">
        <f>Nutrients!B191</f>
        <v>AlphaGal 280 P NFP</v>
      </c>
      <c r="B192" s="106"/>
      <c r="C192" s="106"/>
      <c r="D192" s="106"/>
      <c r="E192" s="106"/>
      <c r="F192" s="106"/>
      <c r="G192" s="106"/>
      <c r="H192" s="106"/>
      <c r="I192" s="106"/>
      <c r="J192" s="106"/>
      <c r="K192" s="106"/>
      <c r="L192" s="106"/>
      <c r="M192" s="106"/>
      <c r="N192" s="106"/>
      <c r="O192" s="29"/>
      <c r="P192" s="106"/>
      <c r="Q192" s="106"/>
      <c r="R192" s="106"/>
      <c r="S192" s="106"/>
      <c r="T192" s="106"/>
      <c r="U192" s="106"/>
      <c r="V192" s="9"/>
      <c r="W192" s="106"/>
      <c r="X192" s="106"/>
      <c r="Y192" s="106"/>
      <c r="Z192" s="106"/>
      <c r="AA192" s="106"/>
      <c r="AB192" s="106"/>
      <c r="AC192" s="2"/>
      <c r="AD192" s="106"/>
      <c r="AE192" s="106"/>
      <c r="AF192" s="106"/>
      <c r="AG192" s="106"/>
      <c r="AH192" s="106"/>
      <c r="AI192" s="106"/>
      <c r="AJ192" s="2"/>
      <c r="AK192" s="106"/>
      <c r="AL192" s="106"/>
      <c r="AM192" s="106"/>
      <c r="AN192" s="106"/>
      <c r="AO192" s="106"/>
      <c r="AP192" s="106"/>
      <c r="AQ192" s="2"/>
      <c r="AR192" s="106"/>
      <c r="AS192" s="106"/>
      <c r="AT192" s="106"/>
      <c r="AU192" s="106"/>
      <c r="AV192" s="106"/>
      <c r="AW192" s="106"/>
      <c r="AX192" s="9"/>
      <c r="AY192" s="106"/>
      <c r="AZ192" s="117"/>
      <c r="BA192" s="117"/>
      <c r="BB192" s="117"/>
      <c r="BC192" s="117"/>
      <c r="BD192" s="117"/>
      <c r="BE192" s="117"/>
    </row>
    <row r="193" spans="1:57" ht="13.05" hidden="1" customHeight="1" x14ac:dyDescent="0.25">
      <c r="A193" t="str">
        <f>Nutrients!B192</f>
        <v xml:space="preserve">NFP Custom Manganese </v>
      </c>
      <c r="B193" s="106"/>
      <c r="C193" s="106"/>
      <c r="D193" s="106"/>
      <c r="E193" s="106"/>
      <c r="F193" s="106"/>
      <c r="G193" s="106"/>
      <c r="H193" s="106"/>
      <c r="I193" s="106"/>
      <c r="J193" s="106"/>
      <c r="K193" s="106"/>
      <c r="L193" s="106"/>
      <c r="M193" s="106"/>
      <c r="N193" s="106"/>
      <c r="O193" s="29"/>
      <c r="P193" s="106"/>
      <c r="Q193" s="106"/>
      <c r="R193" s="106"/>
      <c r="S193" s="106"/>
      <c r="T193" s="106"/>
      <c r="U193" s="106"/>
      <c r="V193" s="9"/>
      <c r="W193" s="106"/>
      <c r="X193" s="106"/>
      <c r="Y193" s="106"/>
      <c r="Z193" s="106"/>
      <c r="AA193" s="106"/>
      <c r="AB193" s="106"/>
      <c r="AC193" s="2"/>
      <c r="AD193" s="106"/>
      <c r="AE193" s="106"/>
      <c r="AF193" s="106"/>
      <c r="AG193" s="106"/>
      <c r="AH193" s="106"/>
      <c r="AI193" s="106"/>
      <c r="AJ193" s="2"/>
      <c r="AK193" s="106"/>
      <c r="AL193" s="106"/>
      <c r="AM193" s="106"/>
      <c r="AN193" s="106"/>
      <c r="AO193" s="106"/>
      <c r="AP193" s="106"/>
      <c r="AQ193" s="2"/>
      <c r="AR193" s="106"/>
      <c r="AS193" s="106"/>
      <c r="AT193" s="106"/>
      <c r="AU193" s="106"/>
      <c r="AV193" s="106"/>
      <c r="AW193" s="106"/>
      <c r="AX193" s="9"/>
      <c r="AY193" s="106"/>
      <c r="AZ193" s="117"/>
      <c r="BA193" s="117"/>
      <c r="BB193" s="117"/>
      <c r="BC193" s="117"/>
      <c r="BD193" s="117"/>
      <c r="BE193" s="117"/>
    </row>
    <row r="194" spans="1:57" ht="13.05" hidden="1" customHeight="1" x14ac:dyDescent="0.25">
      <c r="A194" t="str">
        <f>Nutrients!B193</f>
        <v>Fat Build R2 All Veg 4000 NFP</v>
      </c>
      <c r="B194" s="106"/>
      <c r="C194" s="106"/>
      <c r="D194" s="106"/>
      <c r="E194" s="106"/>
      <c r="F194" s="106"/>
      <c r="G194" s="106"/>
      <c r="H194" s="106"/>
      <c r="I194" s="106"/>
      <c r="J194" s="106"/>
      <c r="K194" s="106"/>
      <c r="L194" s="106"/>
      <c r="M194" s="106"/>
      <c r="N194" s="106"/>
      <c r="O194" s="29"/>
      <c r="P194" s="106"/>
      <c r="Q194" s="106"/>
      <c r="R194" s="106"/>
      <c r="S194" s="106"/>
      <c r="T194" s="106"/>
      <c r="U194" s="106"/>
      <c r="V194" s="9"/>
      <c r="W194" s="106"/>
      <c r="X194" s="106"/>
      <c r="Y194" s="106"/>
      <c r="Z194" s="106"/>
      <c r="AA194" s="106"/>
      <c r="AB194" s="106"/>
      <c r="AC194" s="2"/>
      <c r="AD194" s="106"/>
      <c r="AE194" s="106"/>
      <c r="AF194" s="106"/>
      <c r="AG194" s="106"/>
      <c r="AH194" s="106"/>
      <c r="AI194" s="106"/>
      <c r="AJ194" s="2"/>
      <c r="AK194" s="106"/>
      <c r="AL194" s="106"/>
      <c r="AM194" s="106"/>
      <c r="AN194" s="106"/>
      <c r="AO194" s="106"/>
      <c r="AP194" s="106"/>
      <c r="AQ194" s="2"/>
      <c r="AR194" s="106"/>
      <c r="AS194" s="106"/>
      <c r="AT194" s="106"/>
      <c r="AU194" s="106"/>
      <c r="AV194" s="106"/>
      <c r="AW194" s="106"/>
      <c r="AX194" s="9"/>
      <c r="AY194" s="106"/>
      <c r="AZ194" s="117"/>
      <c r="BA194" s="117"/>
      <c r="BB194" s="117"/>
      <c r="BC194" s="117"/>
      <c r="BD194" s="117"/>
      <c r="BE194" s="117"/>
    </row>
    <row r="195" spans="1:57" ht="13.05" hidden="1" customHeight="1" x14ac:dyDescent="0.25">
      <c r="A195" t="str">
        <f>Nutrients!B194</f>
        <v>LipoVital GL 90 NFP</v>
      </c>
      <c r="B195" s="106"/>
      <c r="C195" s="106"/>
      <c r="D195" s="106"/>
      <c r="E195" s="106"/>
      <c r="F195" s="106"/>
      <c r="G195" s="106"/>
      <c r="H195" s="106"/>
      <c r="I195" s="106"/>
      <c r="J195" s="106"/>
      <c r="K195" s="106"/>
      <c r="L195" s="106"/>
      <c r="M195" s="106"/>
      <c r="N195" s="106"/>
      <c r="O195" s="29"/>
      <c r="P195" s="106"/>
      <c r="Q195" s="106"/>
      <c r="R195" s="106"/>
      <c r="S195" s="106"/>
      <c r="T195" s="106"/>
      <c r="U195" s="106"/>
      <c r="V195" s="9"/>
      <c r="W195" s="106"/>
      <c r="X195" s="106"/>
      <c r="Y195" s="106"/>
      <c r="Z195" s="106"/>
      <c r="AA195" s="106"/>
      <c r="AB195" s="106"/>
      <c r="AC195" s="2"/>
      <c r="AD195" s="106"/>
      <c r="AE195" s="106"/>
      <c r="AF195" s="106"/>
      <c r="AG195" s="106"/>
      <c r="AH195" s="106"/>
      <c r="AI195" s="106"/>
      <c r="AJ195" s="2"/>
      <c r="AK195" s="106"/>
      <c r="AL195" s="106"/>
      <c r="AM195" s="106"/>
      <c r="AN195" s="106"/>
      <c r="AO195" s="106"/>
      <c r="AP195" s="106"/>
      <c r="AQ195" s="2"/>
      <c r="AR195" s="106"/>
      <c r="AS195" s="106"/>
      <c r="AT195" s="106"/>
      <c r="AU195" s="106"/>
      <c r="AV195" s="106"/>
      <c r="AW195" s="106"/>
      <c r="AX195" s="9"/>
      <c r="AY195" s="106"/>
      <c r="AZ195" s="117"/>
      <c r="BA195" s="117"/>
      <c r="BB195" s="117"/>
      <c r="BC195" s="117"/>
      <c r="BD195" s="117"/>
      <c r="BE195" s="117"/>
    </row>
    <row r="196" spans="1:57" ht="13.05" hidden="1" customHeight="1" x14ac:dyDescent="0.25">
      <c r="A196" t="str">
        <f>Nutrients!B195</f>
        <v>NFP Custom Zinc</v>
      </c>
      <c r="B196" s="106"/>
      <c r="C196" s="106"/>
      <c r="D196" s="106"/>
      <c r="E196" s="106"/>
      <c r="F196" s="106"/>
      <c r="G196" s="106"/>
      <c r="H196" s="106"/>
      <c r="I196" s="106"/>
      <c r="J196" s="106"/>
      <c r="K196" s="106"/>
      <c r="L196" s="106"/>
      <c r="M196" s="106"/>
      <c r="N196" s="106"/>
      <c r="O196" s="29"/>
      <c r="P196" s="106"/>
      <c r="Q196" s="106"/>
      <c r="R196" s="106"/>
      <c r="S196" s="106"/>
      <c r="T196" s="106"/>
      <c r="U196" s="106"/>
      <c r="V196" s="9"/>
      <c r="W196" s="106"/>
      <c r="X196" s="106"/>
      <c r="Y196" s="106"/>
      <c r="Z196" s="106"/>
      <c r="AA196" s="106"/>
      <c r="AB196" s="106"/>
      <c r="AC196" s="2"/>
      <c r="AD196" s="106"/>
      <c r="AE196" s="106"/>
      <c r="AF196" s="106"/>
      <c r="AG196" s="106"/>
      <c r="AH196" s="106"/>
      <c r="AI196" s="106"/>
      <c r="AJ196" s="2"/>
      <c r="AK196" s="106"/>
      <c r="AL196" s="106"/>
      <c r="AM196" s="106"/>
      <c r="AN196" s="106"/>
      <c r="AO196" s="106"/>
      <c r="AP196" s="106"/>
      <c r="AQ196" s="2"/>
      <c r="AR196" s="106"/>
      <c r="AS196" s="106"/>
      <c r="AT196" s="106"/>
      <c r="AU196" s="106"/>
      <c r="AV196" s="106"/>
      <c r="AW196" s="106"/>
      <c r="AX196" s="9"/>
      <c r="AY196" s="106"/>
      <c r="AZ196" s="117"/>
      <c r="BA196" s="117"/>
      <c r="BB196" s="117"/>
      <c r="BC196" s="117"/>
      <c r="BD196" s="117"/>
      <c r="BE196" s="117"/>
    </row>
    <row r="197" spans="1:57" ht="13.05" hidden="1" customHeight="1" x14ac:dyDescent="0.25">
      <c r="A197" t="str">
        <f>Nutrients!B196</f>
        <v>THRPRO-L Threonine 80% NFP</v>
      </c>
      <c r="B197" s="106"/>
      <c r="C197" s="106"/>
      <c r="D197" s="106"/>
      <c r="E197" s="106"/>
      <c r="F197" s="106"/>
      <c r="G197" s="106"/>
      <c r="H197" s="106"/>
      <c r="I197" s="106"/>
      <c r="J197" s="106"/>
      <c r="K197" s="106"/>
      <c r="L197" s="106"/>
      <c r="M197" s="106"/>
      <c r="N197" s="106"/>
      <c r="O197" s="29"/>
      <c r="P197" s="106"/>
      <c r="Q197" s="106"/>
      <c r="R197" s="106"/>
      <c r="S197" s="106"/>
      <c r="T197" s="106"/>
      <c r="U197" s="106"/>
      <c r="V197" s="9"/>
      <c r="W197" s="106"/>
      <c r="X197" s="106"/>
      <c r="Y197" s="106"/>
      <c r="Z197" s="106"/>
      <c r="AA197" s="106"/>
      <c r="AB197" s="106"/>
      <c r="AC197" s="2"/>
      <c r="AD197" s="106"/>
      <c r="AE197" s="106"/>
      <c r="AF197" s="106"/>
      <c r="AG197" s="106"/>
      <c r="AH197" s="106"/>
      <c r="AI197" s="106"/>
      <c r="AJ197" s="2"/>
      <c r="AK197" s="106"/>
      <c r="AL197" s="106"/>
      <c r="AM197" s="106"/>
      <c r="AN197" s="106"/>
      <c r="AO197" s="106"/>
      <c r="AP197" s="106"/>
      <c r="AQ197" s="2"/>
      <c r="AR197" s="106"/>
      <c r="AS197" s="106"/>
      <c r="AT197" s="106"/>
      <c r="AU197" s="106"/>
      <c r="AV197" s="106"/>
      <c r="AW197" s="106"/>
      <c r="AX197" s="9"/>
      <c r="AY197" s="106"/>
      <c r="AZ197" s="117"/>
      <c r="BA197" s="117"/>
      <c r="BB197" s="117"/>
      <c r="BC197" s="117"/>
      <c r="BD197" s="117"/>
      <c r="BE197" s="117"/>
    </row>
    <row r="198" spans="1:57" ht="13.05" hidden="1" customHeight="1" x14ac:dyDescent="0.25">
      <c r="A198" t="str">
        <f>Nutrients!B197</f>
        <v>Copper Chloride Intellibond TBCC NFP</v>
      </c>
      <c r="B198" s="106"/>
      <c r="C198" s="106"/>
      <c r="D198" s="106"/>
      <c r="E198" s="106"/>
      <c r="F198" s="106"/>
      <c r="G198" s="106"/>
      <c r="H198" s="106"/>
      <c r="I198" s="106"/>
      <c r="J198" s="106"/>
      <c r="K198" s="106"/>
      <c r="L198" s="106"/>
      <c r="M198" s="106"/>
      <c r="N198" s="106"/>
      <c r="O198" s="29"/>
      <c r="P198" s="106"/>
      <c r="Q198" s="106"/>
      <c r="R198" s="106"/>
      <c r="S198" s="106"/>
      <c r="T198" s="106"/>
      <c r="U198" s="106"/>
      <c r="V198" s="9"/>
      <c r="W198" s="106"/>
      <c r="X198" s="106"/>
      <c r="Y198" s="106"/>
      <c r="Z198" s="106"/>
      <c r="AA198" s="106"/>
      <c r="AB198" s="106"/>
      <c r="AC198" s="2"/>
      <c r="AD198" s="106"/>
      <c r="AE198" s="106"/>
      <c r="AF198" s="106"/>
      <c r="AG198" s="106"/>
      <c r="AH198" s="106"/>
      <c r="AI198" s="106"/>
      <c r="AJ198" s="2"/>
      <c r="AK198" s="106"/>
      <c r="AL198" s="106"/>
      <c r="AM198" s="106"/>
      <c r="AN198" s="106"/>
      <c r="AO198" s="106"/>
      <c r="AP198" s="106"/>
      <c r="AQ198" s="2"/>
      <c r="AR198" s="106"/>
      <c r="AS198" s="106"/>
      <c r="AT198" s="106"/>
      <c r="AU198" s="106"/>
      <c r="AV198" s="106"/>
      <c r="AW198" s="106"/>
      <c r="AX198" s="9"/>
      <c r="AY198" s="106"/>
      <c r="AZ198" s="117"/>
      <c r="BA198" s="117"/>
      <c r="BB198" s="117"/>
      <c r="BC198" s="117"/>
      <c r="BD198" s="117"/>
      <c r="BE198" s="117"/>
    </row>
    <row r="199" spans="1:57" ht="13.05" hidden="1" customHeight="1" x14ac:dyDescent="0.25">
      <c r="A199" t="str">
        <f>Nutrients!B198</f>
        <v>DDGS 7.5% Oil Green Plains NFP</v>
      </c>
      <c r="B199" s="106"/>
      <c r="C199" s="106"/>
      <c r="D199" s="106"/>
      <c r="E199" s="106"/>
      <c r="F199" s="106"/>
      <c r="G199" s="106"/>
      <c r="H199" s="106"/>
      <c r="I199" s="106"/>
      <c r="J199" s="106"/>
      <c r="K199" s="106"/>
      <c r="L199" s="106"/>
      <c r="M199" s="106"/>
      <c r="N199" s="106"/>
      <c r="O199" s="29"/>
      <c r="P199" s="106"/>
      <c r="Q199" s="106"/>
      <c r="R199" s="106"/>
      <c r="S199" s="106"/>
      <c r="T199" s="106"/>
      <c r="U199" s="106"/>
      <c r="V199" s="9"/>
      <c r="W199" s="106"/>
      <c r="X199" s="106"/>
      <c r="Y199" s="106"/>
      <c r="Z199" s="106"/>
      <c r="AA199" s="106"/>
      <c r="AB199" s="106"/>
      <c r="AC199" s="2"/>
      <c r="AD199" s="106"/>
      <c r="AE199" s="106"/>
      <c r="AF199" s="106"/>
      <c r="AG199" s="106"/>
      <c r="AH199" s="106"/>
      <c r="AI199" s="106"/>
      <c r="AJ199" s="2"/>
      <c r="AK199" s="106"/>
      <c r="AL199" s="106"/>
      <c r="AM199" s="106"/>
      <c r="AN199" s="106"/>
      <c r="AO199" s="106"/>
      <c r="AP199" s="106"/>
      <c r="AQ199" s="2"/>
      <c r="AR199" s="106"/>
      <c r="AS199" s="106"/>
      <c r="AT199" s="106"/>
      <c r="AU199" s="106"/>
      <c r="AV199" s="106"/>
      <c r="AW199" s="106"/>
      <c r="AX199" s="9"/>
      <c r="AY199" s="106"/>
      <c r="AZ199" s="117"/>
      <c r="BA199" s="117"/>
      <c r="BB199" s="117"/>
      <c r="BC199" s="117"/>
      <c r="BD199" s="117"/>
      <c r="BE199" s="117"/>
    </row>
    <row r="200" spans="1:57" ht="13.05" hidden="1" customHeight="1" x14ac:dyDescent="0.25">
      <c r="A200" t="str">
        <f>Nutrients!B199</f>
        <v>NHF GF VTM 2#</v>
      </c>
      <c r="B200" s="106"/>
      <c r="C200" s="106"/>
      <c r="D200" s="106"/>
      <c r="E200" s="106"/>
      <c r="F200" s="106"/>
      <c r="G200" s="106"/>
      <c r="H200" s="106"/>
      <c r="I200" s="106"/>
      <c r="J200" s="106"/>
      <c r="K200" s="106"/>
      <c r="L200" s="106"/>
      <c r="M200" s="106"/>
      <c r="N200" s="106"/>
      <c r="O200" s="29"/>
      <c r="P200" s="106"/>
      <c r="Q200" s="106"/>
      <c r="R200" s="106"/>
      <c r="S200" s="106"/>
      <c r="T200" s="106"/>
      <c r="U200" s="106"/>
      <c r="V200" s="9"/>
      <c r="W200" s="106"/>
      <c r="X200" s="106"/>
      <c r="Y200" s="106"/>
      <c r="Z200" s="106"/>
      <c r="AA200" s="106"/>
      <c r="AB200" s="106"/>
      <c r="AC200" s="2"/>
      <c r="AD200" s="106"/>
      <c r="AE200" s="106"/>
      <c r="AF200" s="106"/>
      <c r="AG200" s="106"/>
      <c r="AH200" s="106"/>
      <c r="AI200" s="106"/>
      <c r="AJ200" s="2"/>
      <c r="AK200" s="106"/>
      <c r="AL200" s="106"/>
      <c r="AM200" s="106"/>
      <c r="AN200" s="106"/>
      <c r="AO200" s="106"/>
      <c r="AP200" s="106"/>
      <c r="AQ200" s="2"/>
      <c r="AR200" s="106"/>
      <c r="AS200" s="106"/>
      <c r="AT200" s="106"/>
      <c r="AU200" s="106"/>
      <c r="AV200" s="106"/>
      <c r="AW200" s="106"/>
      <c r="AX200" s="9"/>
      <c r="AY200" s="106"/>
      <c r="AZ200" s="117"/>
      <c r="BA200" s="117"/>
      <c r="BB200" s="117"/>
      <c r="BC200" s="117"/>
      <c r="BD200" s="117"/>
      <c r="BE200" s="117"/>
    </row>
    <row r="201" spans="1:57" ht="13.05" hidden="1" customHeight="1" x14ac:dyDescent="0.25">
      <c r="A201" t="str">
        <f>Nutrients!B200</f>
        <v xml:space="preserve">Hubbard Vit Premix </v>
      </c>
      <c r="B201" s="106"/>
      <c r="C201" s="106"/>
      <c r="D201" s="106"/>
      <c r="E201" s="106"/>
      <c r="F201" s="106"/>
      <c r="G201" s="106"/>
      <c r="H201" s="106"/>
      <c r="I201" s="106"/>
      <c r="J201" s="106"/>
      <c r="K201" s="106"/>
      <c r="L201" s="106"/>
      <c r="M201" s="106"/>
      <c r="N201" s="106"/>
      <c r="O201" s="29"/>
      <c r="P201" s="106"/>
      <c r="Q201" s="106"/>
      <c r="R201" s="106"/>
      <c r="S201" s="106"/>
      <c r="T201" s="106"/>
      <c r="U201" s="106"/>
      <c r="V201" s="9"/>
      <c r="W201" s="106"/>
      <c r="X201" s="106"/>
      <c r="Y201" s="106"/>
      <c r="Z201" s="106"/>
      <c r="AA201" s="106"/>
      <c r="AB201" s="106"/>
      <c r="AC201" s="2"/>
      <c r="AD201" s="106"/>
      <c r="AE201" s="106"/>
      <c r="AF201" s="106"/>
      <c r="AG201" s="106"/>
      <c r="AH201" s="106"/>
      <c r="AI201" s="106"/>
      <c r="AJ201" s="2"/>
      <c r="AK201" s="106"/>
      <c r="AL201" s="106"/>
      <c r="AM201" s="106"/>
      <c r="AN201" s="106"/>
      <c r="AO201" s="106"/>
      <c r="AP201" s="106"/>
      <c r="AQ201" s="2"/>
      <c r="AR201" s="106"/>
      <c r="AS201" s="106"/>
      <c r="AT201" s="106"/>
      <c r="AU201" s="106"/>
      <c r="AV201" s="106"/>
      <c r="AW201" s="106"/>
      <c r="AX201" s="9"/>
      <c r="AY201" s="106"/>
      <c r="AZ201" s="117"/>
      <c r="BA201" s="117"/>
      <c r="BB201" s="117"/>
      <c r="BC201" s="117"/>
      <c r="BD201" s="117"/>
      <c r="BE201" s="117"/>
    </row>
    <row r="202" spans="1:57" ht="13.05" hidden="1" customHeight="1" x14ac:dyDescent="0.25">
      <c r="A202" t="str">
        <f>Nutrients!B201</f>
        <v>Hubbard TMP</v>
      </c>
      <c r="B202" s="106"/>
      <c r="C202" s="106"/>
      <c r="D202" s="106"/>
      <c r="E202" s="106"/>
      <c r="F202" s="106"/>
      <c r="G202" s="106"/>
      <c r="H202" s="106"/>
      <c r="I202" s="106"/>
      <c r="J202" s="106"/>
      <c r="K202" s="106"/>
      <c r="L202" s="106"/>
      <c r="M202" s="106"/>
      <c r="N202" s="106"/>
      <c r="O202" s="29"/>
      <c r="P202" s="106"/>
      <c r="Q202" s="106"/>
      <c r="R202" s="106"/>
      <c r="S202" s="106"/>
      <c r="T202" s="106"/>
      <c r="U202" s="106"/>
      <c r="V202" s="9"/>
      <c r="W202" s="106"/>
      <c r="X202" s="106"/>
      <c r="Y202" s="106"/>
      <c r="Z202" s="106"/>
      <c r="AA202" s="106"/>
      <c r="AB202" s="106"/>
      <c r="AC202" s="2"/>
      <c r="AD202" s="106"/>
      <c r="AE202" s="106"/>
      <c r="AF202" s="106"/>
      <c r="AG202" s="106"/>
      <c r="AH202" s="106"/>
      <c r="AI202" s="106"/>
      <c r="AJ202" s="2"/>
      <c r="AK202" s="106"/>
      <c r="AL202" s="106"/>
      <c r="AM202" s="106"/>
      <c r="AN202" s="106"/>
      <c r="AO202" s="106"/>
      <c r="AP202" s="106"/>
      <c r="AQ202" s="2"/>
      <c r="AR202" s="106"/>
      <c r="AS202" s="106"/>
      <c r="AT202" s="106"/>
      <c r="AU202" s="106"/>
      <c r="AV202" s="106"/>
      <c r="AW202" s="106"/>
      <c r="AX202" s="9"/>
      <c r="AY202" s="106"/>
      <c r="AZ202" s="117"/>
      <c r="BA202" s="117"/>
      <c r="BB202" s="117"/>
      <c r="BC202" s="117"/>
      <c r="BD202" s="117"/>
      <c r="BE202" s="117"/>
    </row>
    <row r="203" spans="1:57" ht="13.05" hidden="1" customHeight="1" x14ac:dyDescent="0.25">
      <c r="A203" t="str">
        <f>Nutrients!B202</f>
        <v>Inorganic Se 600 ppm Hubbard</v>
      </c>
      <c r="B203" s="106"/>
      <c r="C203" s="106"/>
      <c r="D203" s="106"/>
      <c r="E203" s="106"/>
      <c r="F203" s="106"/>
      <c r="G203" s="106"/>
      <c r="H203" s="106"/>
      <c r="I203" s="106"/>
      <c r="J203" s="106"/>
      <c r="K203" s="106"/>
      <c r="L203" s="106"/>
      <c r="M203" s="106"/>
      <c r="N203" s="106"/>
      <c r="O203" s="29"/>
      <c r="P203" s="106"/>
      <c r="Q203" s="106"/>
      <c r="R203" s="106"/>
      <c r="S203" s="106"/>
      <c r="T203" s="106"/>
      <c r="U203" s="106"/>
      <c r="V203" s="9"/>
      <c r="W203" s="106"/>
      <c r="X203" s="106"/>
      <c r="Y203" s="106"/>
      <c r="Z203" s="106"/>
      <c r="AA203" s="106"/>
      <c r="AB203" s="106"/>
      <c r="AC203" s="2"/>
      <c r="AD203" s="106"/>
      <c r="AE203" s="106"/>
      <c r="AF203" s="106"/>
      <c r="AG203" s="106"/>
      <c r="AH203" s="106"/>
      <c r="AI203" s="106"/>
      <c r="AJ203" s="2"/>
      <c r="AK203" s="106"/>
      <c r="AL203" s="106"/>
      <c r="AM203" s="106"/>
      <c r="AN203" s="106"/>
      <c r="AO203" s="106"/>
      <c r="AP203" s="106"/>
      <c r="AQ203" s="2"/>
      <c r="AR203" s="106"/>
      <c r="AS203" s="106"/>
      <c r="AT203" s="106"/>
      <c r="AU203" s="106"/>
      <c r="AV203" s="106"/>
      <c r="AW203" s="106"/>
      <c r="AX203" s="9"/>
      <c r="AY203" s="106"/>
      <c r="AZ203" s="117"/>
      <c r="BA203" s="117"/>
      <c r="BB203" s="117"/>
      <c r="BC203" s="117"/>
      <c r="BD203" s="117"/>
      <c r="BE203" s="117"/>
    </row>
    <row r="204" spans="1:57" ht="13.05" hidden="1" customHeight="1" x14ac:dyDescent="0.25">
      <c r="A204" t="str">
        <f>Nutrients!B203</f>
        <v>Quantum Blue  5G Hubbard</v>
      </c>
      <c r="B204" s="106"/>
      <c r="C204" s="106"/>
      <c r="D204" s="106"/>
      <c r="E204" s="106"/>
      <c r="F204" s="106"/>
      <c r="G204" s="106"/>
      <c r="H204" s="106"/>
      <c r="I204" s="106"/>
      <c r="J204" s="106"/>
      <c r="K204" s="106"/>
      <c r="L204" s="106"/>
      <c r="M204" s="106"/>
      <c r="N204" s="106"/>
      <c r="O204" s="29"/>
      <c r="P204" s="106"/>
      <c r="Q204" s="106"/>
      <c r="R204" s="106"/>
      <c r="S204" s="106"/>
      <c r="T204" s="106"/>
      <c r="U204" s="106"/>
      <c r="V204" s="9"/>
      <c r="W204" s="106"/>
      <c r="X204" s="106"/>
      <c r="Y204" s="106"/>
      <c r="Z204" s="106"/>
      <c r="AA204" s="106"/>
      <c r="AB204" s="106"/>
      <c r="AC204" s="2"/>
      <c r="AD204" s="106"/>
      <c r="AE204" s="106"/>
      <c r="AF204" s="106"/>
      <c r="AG204" s="106"/>
      <c r="AH204" s="106"/>
      <c r="AI204" s="106"/>
      <c r="AJ204" s="2"/>
      <c r="AK204" s="106"/>
      <c r="AL204" s="106"/>
      <c r="AM204" s="106"/>
      <c r="AN204" s="106"/>
      <c r="AO204" s="106"/>
      <c r="AP204" s="106"/>
      <c r="AQ204" s="2"/>
      <c r="AR204" s="106"/>
      <c r="AS204" s="106"/>
      <c r="AT204" s="106"/>
      <c r="AU204" s="106"/>
      <c r="AV204" s="106"/>
      <c r="AW204" s="106"/>
      <c r="AX204" s="9"/>
      <c r="AY204" s="106"/>
      <c r="AZ204" s="117"/>
      <c r="BA204" s="117"/>
      <c r="BB204" s="117"/>
      <c r="BC204" s="117"/>
      <c r="BD204" s="117"/>
      <c r="BE204" s="117"/>
    </row>
    <row r="205" spans="1:57" ht="13.05" hidden="1" customHeight="1" x14ac:dyDescent="0.25">
      <c r="A205" t="str">
        <f>Nutrients!B204</f>
        <v>TASA Prime meal Hubbard</v>
      </c>
      <c r="B205" s="106"/>
      <c r="C205" s="106"/>
      <c r="D205" s="106"/>
      <c r="E205" s="106"/>
      <c r="F205" s="106"/>
      <c r="G205" s="106"/>
      <c r="H205" s="106"/>
      <c r="I205" s="106"/>
      <c r="J205" s="106"/>
      <c r="K205" s="106"/>
      <c r="L205" s="106"/>
      <c r="M205" s="106"/>
      <c r="N205" s="106"/>
      <c r="O205" s="29"/>
      <c r="P205" s="106"/>
      <c r="Q205" s="106"/>
      <c r="R205" s="106"/>
      <c r="S205" s="106"/>
      <c r="T205" s="106"/>
      <c r="U205" s="106"/>
      <c r="V205" s="9"/>
      <c r="W205" s="106"/>
      <c r="X205" s="106"/>
      <c r="Y205" s="106"/>
      <c r="Z205" s="106"/>
      <c r="AA205" s="106"/>
      <c r="AB205" s="106"/>
      <c r="AC205" s="2"/>
      <c r="AD205" s="106"/>
      <c r="AE205" s="106"/>
      <c r="AF205" s="106"/>
      <c r="AG205" s="106"/>
      <c r="AH205" s="106"/>
      <c r="AI205" s="106"/>
      <c r="AJ205" s="2"/>
      <c r="AK205" s="106"/>
      <c r="AL205" s="106"/>
      <c r="AM205" s="106"/>
      <c r="AN205" s="106"/>
      <c r="AO205" s="106"/>
      <c r="AP205" s="106"/>
      <c r="AQ205" s="2"/>
      <c r="AR205" s="106"/>
      <c r="AS205" s="106"/>
      <c r="AT205" s="106"/>
      <c r="AU205" s="106"/>
      <c r="AV205" s="106"/>
      <c r="AW205" s="106"/>
      <c r="AX205" s="9"/>
      <c r="AY205" s="106"/>
      <c r="AZ205" s="117"/>
      <c r="BA205" s="117"/>
      <c r="BB205" s="117"/>
      <c r="BC205" s="117"/>
      <c r="BD205" s="117"/>
      <c r="BE205" s="117"/>
    </row>
    <row r="206" spans="1:57" ht="13.05" hidden="1" customHeight="1" x14ac:dyDescent="0.25">
      <c r="A206" t="str">
        <f>Nutrients!B205</f>
        <v>TASA Swine Hubbard</v>
      </c>
      <c r="B206" s="106"/>
      <c r="C206" s="106"/>
      <c r="D206" s="106"/>
      <c r="E206" s="106"/>
      <c r="F206" s="106"/>
      <c r="G206" s="106"/>
      <c r="H206" s="106"/>
      <c r="I206" s="106"/>
      <c r="J206" s="106"/>
      <c r="K206" s="106"/>
      <c r="L206" s="106"/>
      <c r="M206" s="106"/>
      <c r="N206" s="106"/>
      <c r="O206" s="29"/>
      <c r="P206" s="106"/>
      <c r="Q206" s="106"/>
      <c r="R206" s="106"/>
      <c r="S206" s="106"/>
      <c r="T206" s="106"/>
      <c r="U206" s="106"/>
      <c r="V206" s="9"/>
      <c r="W206" s="106"/>
      <c r="X206" s="106"/>
      <c r="Y206" s="106"/>
      <c r="Z206" s="106"/>
      <c r="AA206" s="106"/>
      <c r="AB206" s="106"/>
      <c r="AC206" s="2"/>
      <c r="AD206" s="106"/>
      <c r="AE206" s="106"/>
      <c r="AF206" s="106"/>
      <c r="AG206" s="106"/>
      <c r="AH206" s="106"/>
      <c r="AI206" s="106"/>
      <c r="AJ206" s="2"/>
      <c r="AK206" s="106"/>
      <c r="AL206" s="106"/>
      <c r="AM206" s="106"/>
      <c r="AN206" s="106"/>
      <c r="AO206" s="106"/>
      <c r="AP206" s="106"/>
      <c r="AQ206" s="2"/>
      <c r="AR206" s="106"/>
      <c r="AS206" s="106"/>
      <c r="AT206" s="106"/>
      <c r="AU206" s="106"/>
      <c r="AV206" s="106"/>
      <c r="AW206" s="106"/>
      <c r="AX206" s="9"/>
      <c r="AY206" s="106"/>
      <c r="AZ206" s="117"/>
      <c r="BA206" s="117"/>
      <c r="BB206" s="117"/>
      <c r="BC206" s="117"/>
      <c r="BD206" s="117"/>
      <c r="BE206" s="117"/>
    </row>
    <row r="207" spans="1:57" ht="13.05" hidden="1" customHeight="1" x14ac:dyDescent="0.25">
      <c r="A207" t="str">
        <f>Nutrients!B206</f>
        <v>TASA fish solubles Hubbard</v>
      </c>
      <c r="B207" s="106"/>
      <c r="C207" s="106"/>
      <c r="D207" s="106"/>
      <c r="E207" s="106"/>
      <c r="F207" s="106"/>
      <c r="G207" s="106"/>
      <c r="H207" s="106"/>
      <c r="I207" s="106"/>
      <c r="J207" s="106"/>
      <c r="K207" s="106"/>
      <c r="L207" s="106"/>
      <c r="M207" s="106"/>
      <c r="N207" s="106"/>
      <c r="O207" s="29"/>
      <c r="P207" s="106"/>
      <c r="Q207" s="106"/>
      <c r="R207" s="106"/>
      <c r="S207" s="106"/>
      <c r="T207" s="106"/>
      <c r="U207" s="106"/>
      <c r="V207" s="9"/>
      <c r="W207" s="106"/>
      <c r="X207" s="106"/>
      <c r="Y207" s="106"/>
      <c r="Z207" s="106"/>
      <c r="AA207" s="106"/>
      <c r="AB207" s="106"/>
      <c r="AC207" s="2"/>
      <c r="AD207" s="106"/>
      <c r="AE207" s="106"/>
      <c r="AF207" s="106"/>
      <c r="AG207" s="106"/>
      <c r="AH207" s="106"/>
      <c r="AI207" s="106"/>
      <c r="AJ207" s="2"/>
      <c r="AK207" s="106"/>
      <c r="AL207" s="106"/>
      <c r="AM207" s="106"/>
      <c r="AN207" s="106"/>
      <c r="AO207" s="106"/>
      <c r="AP207" s="106"/>
      <c r="AQ207" s="2"/>
      <c r="AR207" s="106"/>
      <c r="AS207" s="106"/>
      <c r="AT207" s="106"/>
      <c r="AU207" s="106"/>
      <c r="AV207" s="106"/>
      <c r="AW207" s="106"/>
      <c r="AX207" s="9"/>
      <c r="AY207" s="106"/>
      <c r="AZ207" s="117"/>
      <c r="BA207" s="117"/>
      <c r="BB207" s="117"/>
      <c r="BC207" s="117"/>
      <c r="BD207" s="117"/>
      <c r="BE207" s="117"/>
    </row>
    <row r="208" spans="1:57" ht="13.05" hidden="1" customHeight="1" x14ac:dyDescent="0.25">
      <c r="A208" t="str">
        <f>Nutrients!B207</f>
        <v>Mepro + TASA additive Hubbard</v>
      </c>
      <c r="B208" s="106"/>
      <c r="C208" s="106"/>
      <c r="D208" s="106"/>
      <c r="E208" s="106"/>
      <c r="F208" s="106"/>
      <c r="G208" s="106"/>
      <c r="H208" s="106"/>
      <c r="I208" s="106"/>
      <c r="J208" s="106"/>
      <c r="K208" s="106"/>
      <c r="L208" s="106"/>
      <c r="M208" s="106"/>
      <c r="N208" s="106"/>
      <c r="O208" s="29"/>
      <c r="P208" s="106"/>
      <c r="Q208" s="106"/>
      <c r="R208" s="106"/>
      <c r="S208" s="106"/>
      <c r="T208" s="106"/>
      <c r="U208" s="106"/>
      <c r="V208" s="9"/>
      <c r="W208" s="106"/>
      <c r="X208" s="106"/>
      <c r="Y208" s="106"/>
      <c r="Z208" s="106"/>
      <c r="AA208" s="106"/>
      <c r="AB208" s="106"/>
      <c r="AC208" s="2"/>
      <c r="AD208" s="106"/>
      <c r="AE208" s="106"/>
      <c r="AF208" s="106"/>
      <c r="AG208" s="106"/>
      <c r="AH208" s="106"/>
      <c r="AI208" s="106"/>
      <c r="AJ208" s="2"/>
      <c r="AK208" s="106"/>
      <c r="AL208" s="106"/>
      <c r="AM208" s="106"/>
      <c r="AN208" s="106"/>
      <c r="AO208" s="106"/>
      <c r="AP208" s="106"/>
      <c r="AQ208" s="2"/>
      <c r="AR208" s="106"/>
      <c r="AS208" s="106"/>
      <c r="AT208" s="106"/>
      <c r="AU208" s="106"/>
      <c r="AV208" s="106"/>
      <c r="AW208" s="106"/>
      <c r="AX208" s="9"/>
      <c r="AY208" s="106"/>
      <c r="AZ208" s="117"/>
      <c r="BA208" s="117"/>
      <c r="BB208" s="117"/>
      <c r="BC208" s="117"/>
      <c r="BD208" s="117"/>
      <c r="BE208" s="117"/>
    </row>
    <row r="209" spans="1:57" ht="13.05" hidden="1" customHeight="1" x14ac:dyDescent="0.25">
      <c r="A209" t="str">
        <f>Nutrients!B208</f>
        <v>TASA Prime + TASA additive Hubbard</v>
      </c>
      <c r="B209" s="106"/>
      <c r="C209" s="106"/>
      <c r="D209" s="106"/>
      <c r="E209" s="106"/>
      <c r="F209" s="106"/>
      <c r="G209" s="106"/>
      <c r="H209" s="106"/>
      <c r="I209" s="106"/>
      <c r="J209" s="106"/>
      <c r="K209" s="106"/>
      <c r="L209" s="106"/>
      <c r="M209" s="106"/>
      <c r="N209" s="106"/>
      <c r="O209" s="29"/>
      <c r="P209" s="106"/>
      <c r="Q209" s="106"/>
      <c r="R209" s="106"/>
      <c r="S209" s="106"/>
      <c r="T209" s="106"/>
      <c r="U209" s="106"/>
      <c r="V209" s="9"/>
      <c r="W209" s="106"/>
      <c r="X209" s="106"/>
      <c r="Y209" s="106"/>
      <c r="Z209" s="106"/>
      <c r="AA209" s="106"/>
      <c r="AB209" s="106"/>
      <c r="AC209" s="2"/>
      <c r="AD209" s="106"/>
      <c r="AE209" s="106"/>
      <c r="AF209" s="106"/>
      <c r="AG209" s="106"/>
      <c r="AH209" s="106"/>
      <c r="AI209" s="106"/>
      <c r="AJ209" s="2"/>
      <c r="AK209" s="106"/>
      <c r="AL209" s="106"/>
      <c r="AM209" s="106"/>
      <c r="AN209" s="106"/>
      <c r="AO209" s="106"/>
      <c r="AP209" s="106"/>
      <c r="AQ209" s="2"/>
      <c r="AR209" s="106"/>
      <c r="AS209" s="106"/>
      <c r="AT209" s="106"/>
      <c r="AU209" s="106"/>
      <c r="AV209" s="106"/>
      <c r="AW209" s="106"/>
      <c r="AX209" s="9"/>
      <c r="AY209" s="106"/>
      <c r="AZ209" s="117"/>
      <c r="BA209" s="117"/>
      <c r="BB209" s="117"/>
      <c r="BC209" s="117"/>
      <c r="BD209" s="117"/>
      <c r="BE209" s="117"/>
    </row>
    <row r="210" spans="1:57" ht="13.05" hidden="1" customHeight="1" x14ac:dyDescent="0.25">
      <c r="A210" t="str">
        <f>Nutrients!B209</f>
        <v>NHF SOW VTM 4# 2022</v>
      </c>
      <c r="B210" s="106"/>
      <c r="C210" s="106"/>
      <c r="D210" s="106"/>
      <c r="E210" s="106"/>
      <c r="F210" s="106"/>
      <c r="G210" s="106"/>
      <c r="H210" s="106"/>
      <c r="I210" s="106"/>
      <c r="J210" s="106"/>
      <c r="K210" s="106"/>
      <c r="L210" s="106"/>
      <c r="M210" s="106"/>
      <c r="N210" s="106"/>
      <c r="O210" s="29"/>
      <c r="P210" s="106"/>
      <c r="Q210" s="106"/>
      <c r="R210" s="106"/>
      <c r="S210" s="106"/>
      <c r="T210" s="106"/>
      <c r="U210" s="106"/>
      <c r="V210" s="9"/>
      <c r="W210" s="106"/>
      <c r="X210" s="106"/>
      <c r="Y210" s="106"/>
      <c r="Z210" s="106"/>
      <c r="AA210" s="106"/>
      <c r="AB210" s="106"/>
      <c r="AC210" s="2"/>
      <c r="AD210" s="106"/>
      <c r="AE210" s="106"/>
      <c r="AF210" s="106"/>
      <c r="AG210" s="106"/>
      <c r="AH210" s="106"/>
      <c r="AI210" s="106"/>
      <c r="AJ210" s="2"/>
      <c r="AK210" s="106"/>
      <c r="AL210" s="106"/>
      <c r="AM210" s="106"/>
      <c r="AN210" s="106"/>
      <c r="AO210" s="106"/>
      <c r="AP210" s="106"/>
      <c r="AQ210" s="2"/>
      <c r="AR210" s="106"/>
      <c r="AS210" s="106"/>
      <c r="AT210" s="106"/>
      <c r="AU210" s="106"/>
      <c r="AV210" s="106"/>
      <c r="AW210" s="106"/>
      <c r="AX210" s="9"/>
      <c r="AY210" s="106"/>
      <c r="AZ210" s="117"/>
      <c r="BA210" s="117"/>
      <c r="BB210" s="117"/>
      <c r="BC210" s="117"/>
      <c r="BD210" s="117"/>
      <c r="BE210" s="117"/>
    </row>
    <row r="211" spans="1:57" ht="13.05" hidden="1" customHeight="1" x14ac:dyDescent="0.25">
      <c r="A211" t="str">
        <f>Nutrients!B210</f>
        <v xml:space="preserve">ThrPro </v>
      </c>
      <c r="B211" s="106"/>
      <c r="C211" s="106"/>
      <c r="D211" s="106"/>
      <c r="E211" s="106"/>
      <c r="F211" s="106"/>
      <c r="G211" s="106"/>
      <c r="H211" s="106"/>
      <c r="I211" s="106"/>
      <c r="J211" s="106"/>
      <c r="K211" s="106"/>
      <c r="L211" s="106"/>
      <c r="M211" s="106"/>
      <c r="N211" s="106"/>
      <c r="O211" s="29"/>
      <c r="P211" s="106"/>
      <c r="Q211" s="106"/>
      <c r="R211" s="106"/>
      <c r="S211" s="106"/>
      <c r="T211" s="106"/>
      <c r="U211" s="106"/>
      <c r="V211" s="9"/>
      <c r="W211" s="106"/>
      <c r="X211" s="106"/>
      <c r="Y211" s="106"/>
      <c r="Z211" s="106"/>
      <c r="AA211" s="106"/>
      <c r="AB211" s="106"/>
      <c r="AC211" s="2"/>
      <c r="AD211" s="106"/>
      <c r="AE211" s="106"/>
      <c r="AF211" s="106"/>
      <c r="AG211" s="106"/>
      <c r="AH211" s="106"/>
      <c r="AI211" s="106"/>
      <c r="AJ211" s="2"/>
      <c r="AK211" s="106"/>
      <c r="AL211" s="106"/>
      <c r="AM211" s="106"/>
      <c r="AN211" s="106"/>
      <c r="AO211" s="106"/>
      <c r="AP211" s="106"/>
      <c r="AQ211" s="2"/>
      <c r="AR211" s="106"/>
      <c r="AS211" s="106"/>
      <c r="AT211" s="106"/>
      <c r="AU211" s="106"/>
      <c r="AV211" s="106"/>
      <c r="AW211" s="106"/>
      <c r="AX211" s="9"/>
      <c r="AY211" s="106"/>
      <c r="AZ211" s="117"/>
      <c r="BA211" s="117"/>
      <c r="BB211" s="117"/>
      <c r="BC211" s="117"/>
      <c r="BD211" s="117"/>
      <c r="BE211" s="117"/>
    </row>
    <row r="212" spans="1:57" ht="13.05" hidden="1" customHeight="1" x14ac:dyDescent="0.25">
      <c r="A212" t="str">
        <f>Nutrients!B211</f>
        <v>NHF Optiphos Plus 2500 G</v>
      </c>
      <c r="B212" s="106"/>
      <c r="C212" s="106"/>
      <c r="D212" s="106"/>
      <c r="E212" s="106"/>
      <c r="F212" s="106"/>
      <c r="G212" s="106"/>
      <c r="H212" s="106"/>
      <c r="I212" s="106"/>
      <c r="J212" s="106"/>
      <c r="K212" s="106"/>
      <c r="L212" s="106"/>
      <c r="M212" s="106"/>
      <c r="N212" s="106"/>
      <c r="O212" s="29"/>
      <c r="P212" s="106"/>
      <c r="Q212" s="106"/>
      <c r="R212" s="106"/>
      <c r="S212" s="106"/>
      <c r="T212" s="106"/>
      <c r="U212" s="106"/>
      <c r="V212" s="9"/>
      <c r="W212" s="106"/>
      <c r="X212" s="106"/>
      <c r="Y212" s="106"/>
      <c r="Z212" s="106"/>
      <c r="AA212" s="106"/>
      <c r="AB212" s="106"/>
      <c r="AC212" s="2"/>
      <c r="AD212" s="106"/>
      <c r="AE212" s="106"/>
      <c r="AF212" s="106"/>
      <c r="AG212" s="106"/>
      <c r="AH212" s="106"/>
      <c r="AI212" s="106"/>
      <c r="AJ212" s="2"/>
      <c r="AK212" s="106"/>
      <c r="AL212" s="106"/>
      <c r="AM212" s="106"/>
      <c r="AN212" s="106"/>
      <c r="AO212" s="106"/>
      <c r="AP212" s="106"/>
      <c r="AQ212" s="2"/>
      <c r="AR212" s="106"/>
      <c r="AS212" s="106"/>
      <c r="AT212" s="106"/>
      <c r="AU212" s="106"/>
      <c r="AV212" s="106"/>
      <c r="AW212" s="106"/>
      <c r="AX212" s="9"/>
      <c r="AY212" s="106"/>
      <c r="AZ212" s="117"/>
      <c r="BA212" s="117"/>
      <c r="BB212" s="117"/>
      <c r="BC212" s="117"/>
      <c r="BD212" s="117"/>
      <c r="BE212" s="117"/>
    </row>
    <row r="213" spans="1:57" ht="13.05" hidden="1" customHeight="1" x14ac:dyDescent="0.25">
      <c r="A213" t="str">
        <f>Nutrients!B212</f>
        <v>NHF Corn DDGS, Valero, Aurora</v>
      </c>
      <c r="B213" s="106"/>
      <c r="C213" s="106"/>
      <c r="D213" s="106"/>
      <c r="E213" s="106"/>
      <c r="F213" s="106"/>
      <c r="G213" s="106"/>
      <c r="H213" s="106"/>
      <c r="I213" s="106"/>
      <c r="J213" s="106"/>
      <c r="K213" s="106"/>
      <c r="L213" s="106"/>
      <c r="M213" s="106"/>
      <c r="N213" s="106"/>
      <c r="O213" s="29"/>
      <c r="P213" s="106"/>
      <c r="Q213" s="106"/>
      <c r="R213" s="106"/>
      <c r="S213" s="106"/>
      <c r="T213" s="106"/>
      <c r="U213" s="106"/>
      <c r="V213" s="9"/>
      <c r="W213" s="106"/>
      <c r="X213" s="106"/>
      <c r="Y213" s="106"/>
      <c r="Z213" s="106"/>
      <c r="AA213" s="106"/>
      <c r="AB213" s="106"/>
      <c r="AC213" s="2"/>
      <c r="AD213" s="106"/>
      <c r="AE213" s="106"/>
      <c r="AF213" s="106"/>
      <c r="AG213" s="106"/>
      <c r="AH213" s="106"/>
      <c r="AI213" s="106"/>
      <c r="AJ213" s="2"/>
      <c r="AK213" s="106"/>
      <c r="AL213" s="106"/>
      <c r="AM213" s="106"/>
      <c r="AN213" s="106"/>
      <c r="AO213" s="106"/>
      <c r="AP213" s="106"/>
      <c r="AQ213" s="2"/>
      <c r="AR213" s="106"/>
      <c r="AS213" s="106"/>
      <c r="AT213" s="106"/>
      <c r="AU213" s="106"/>
      <c r="AV213" s="106"/>
      <c r="AW213" s="106"/>
      <c r="AX213" s="9"/>
      <c r="AY213" s="106"/>
      <c r="AZ213" s="117"/>
      <c r="BA213" s="117"/>
      <c r="BB213" s="117"/>
      <c r="BC213" s="117"/>
      <c r="BD213" s="117"/>
      <c r="BE213" s="117"/>
    </row>
    <row r="214" spans="1:57" ht="13.05" hidden="1" customHeight="1" x14ac:dyDescent="0.25">
      <c r="A214" t="str">
        <f>Nutrients!B213</f>
        <v>HP 300 Hubbard</v>
      </c>
      <c r="B214" s="106"/>
      <c r="C214" s="106"/>
      <c r="D214" s="106"/>
      <c r="E214" s="106"/>
      <c r="F214" s="106"/>
      <c r="G214" s="106"/>
      <c r="H214" s="106"/>
      <c r="I214" s="106"/>
      <c r="J214" s="106"/>
      <c r="K214" s="106"/>
      <c r="L214" s="106"/>
      <c r="M214" s="106"/>
      <c r="N214" s="106"/>
      <c r="O214" s="29"/>
      <c r="P214" s="106"/>
      <c r="Q214" s="106"/>
      <c r="R214" s="106"/>
      <c r="S214" s="106"/>
      <c r="T214" s="106"/>
      <c r="U214" s="106"/>
      <c r="V214" s="9"/>
      <c r="W214" s="106"/>
      <c r="X214" s="106"/>
      <c r="Y214" s="106"/>
      <c r="Z214" s="106"/>
      <c r="AA214" s="106"/>
      <c r="AB214" s="106"/>
      <c r="AC214" s="2"/>
      <c r="AD214" s="106"/>
      <c r="AE214" s="106"/>
      <c r="AF214" s="106"/>
      <c r="AG214" s="106"/>
      <c r="AH214" s="106"/>
      <c r="AI214" s="106"/>
      <c r="AJ214" s="2"/>
      <c r="AK214" s="106"/>
      <c r="AL214" s="106"/>
      <c r="AM214" s="106"/>
      <c r="AN214" s="106"/>
      <c r="AO214" s="106"/>
      <c r="AP214" s="106"/>
      <c r="AQ214" s="2"/>
      <c r="AR214" s="106"/>
      <c r="AS214" s="106"/>
      <c r="AT214" s="106"/>
      <c r="AU214" s="106"/>
      <c r="AV214" s="106"/>
      <c r="AW214" s="106"/>
      <c r="AX214" s="9"/>
      <c r="AY214" s="106"/>
      <c r="AZ214" s="117"/>
      <c r="BA214" s="117"/>
      <c r="BB214" s="117"/>
      <c r="BC214" s="117"/>
      <c r="BD214" s="117"/>
      <c r="BE214" s="117"/>
    </row>
    <row r="215" spans="1:57" ht="13.05" hidden="1" customHeight="1" x14ac:dyDescent="0.25">
      <c r="A215" t="str">
        <f>Nutrients!B214</f>
        <v>NHF Corn DDGS, Illuminate for Aurora</v>
      </c>
      <c r="B215" s="106"/>
      <c r="C215" s="106"/>
      <c r="D215" s="106"/>
      <c r="E215" s="106"/>
      <c r="F215" s="106"/>
      <c r="G215" s="106"/>
      <c r="H215" s="106"/>
      <c r="I215" s="106"/>
      <c r="J215" s="106"/>
      <c r="K215" s="106"/>
      <c r="L215" s="106"/>
      <c r="M215" s="106"/>
      <c r="N215" s="106"/>
      <c r="O215" s="29"/>
      <c r="P215" s="106"/>
      <c r="Q215" s="106"/>
      <c r="R215" s="106"/>
      <c r="S215" s="106"/>
      <c r="T215" s="106"/>
      <c r="U215" s="106"/>
      <c r="V215" s="9"/>
      <c r="W215" s="106"/>
      <c r="X215" s="106"/>
      <c r="Y215" s="106"/>
      <c r="Z215" s="106"/>
      <c r="AA215" s="106"/>
      <c r="AB215" s="106"/>
      <c r="AC215" s="2"/>
      <c r="AD215" s="106"/>
      <c r="AE215" s="106"/>
      <c r="AF215" s="106"/>
      <c r="AG215" s="106"/>
      <c r="AH215" s="106"/>
      <c r="AI215" s="106"/>
      <c r="AJ215" s="2"/>
      <c r="AK215" s="106"/>
      <c r="AL215" s="106"/>
      <c r="AM215" s="106"/>
      <c r="AN215" s="106"/>
      <c r="AO215" s="106"/>
      <c r="AP215" s="106"/>
      <c r="AQ215" s="2"/>
      <c r="AR215" s="106"/>
      <c r="AS215" s="106"/>
      <c r="AT215" s="106"/>
      <c r="AU215" s="106"/>
      <c r="AV215" s="106"/>
      <c r="AW215" s="106"/>
      <c r="AX215" s="9"/>
      <c r="AY215" s="106"/>
      <c r="AZ215" s="117"/>
      <c r="BA215" s="117"/>
      <c r="BB215" s="117"/>
      <c r="BC215" s="117"/>
      <c r="BD215" s="117"/>
      <c r="BE215" s="117"/>
    </row>
    <row r="216" spans="1:57" ht="13.05" hidden="1" customHeight="1" x14ac:dyDescent="0.25">
      <c r="A216" t="str">
        <f>Nutrients!B215</f>
        <v>NFP Corn DDGS, MO analysis</v>
      </c>
      <c r="B216" s="106"/>
      <c r="C216" s="106"/>
      <c r="D216" s="106"/>
      <c r="E216" s="106"/>
      <c r="F216" s="106"/>
      <c r="G216" s="106"/>
      <c r="H216" s="106"/>
      <c r="I216" s="106"/>
      <c r="J216" s="106"/>
      <c r="K216" s="106"/>
      <c r="L216" s="106"/>
      <c r="M216" s="106"/>
      <c r="N216" s="106"/>
      <c r="O216" s="29"/>
      <c r="P216" s="106"/>
      <c r="Q216" s="106"/>
      <c r="R216" s="106"/>
      <c r="S216" s="106"/>
      <c r="T216" s="106"/>
      <c r="U216" s="106"/>
      <c r="V216" s="9"/>
      <c r="W216" s="106"/>
      <c r="X216" s="106"/>
      <c r="Y216" s="106"/>
      <c r="Z216" s="106"/>
      <c r="AA216" s="106"/>
      <c r="AB216" s="106"/>
      <c r="AC216" s="2"/>
      <c r="AD216" s="106"/>
      <c r="AE216" s="106"/>
      <c r="AF216" s="106"/>
      <c r="AG216" s="106"/>
      <c r="AH216" s="106"/>
      <c r="AI216" s="106"/>
      <c r="AJ216" s="2"/>
      <c r="AK216" s="106"/>
      <c r="AL216" s="106"/>
      <c r="AM216" s="106"/>
      <c r="AN216" s="106"/>
      <c r="AO216" s="106"/>
      <c r="AP216" s="106"/>
      <c r="AQ216" s="2"/>
      <c r="AR216" s="106"/>
      <c r="AS216" s="106"/>
      <c r="AT216" s="106"/>
      <c r="AU216" s="106"/>
      <c r="AV216" s="106"/>
      <c r="AW216" s="106"/>
      <c r="AX216" s="9"/>
      <c r="AY216" s="106"/>
      <c r="AZ216" s="117"/>
      <c r="BA216" s="117"/>
      <c r="BB216" s="117"/>
      <c r="BC216" s="117"/>
      <c r="BD216" s="117"/>
      <c r="BE216" s="117"/>
    </row>
    <row r="217" spans="1:57" ht="13.05" hidden="1" customHeight="1" x14ac:dyDescent="0.25">
      <c r="A217" t="str">
        <f>Nutrients!B216</f>
        <v>NFP Smizyme 2500</v>
      </c>
      <c r="B217" s="106"/>
      <c r="C217" s="106"/>
      <c r="D217" s="106"/>
      <c r="E217" s="106"/>
      <c r="F217" s="106"/>
      <c r="G217" s="106"/>
      <c r="H217" s="106"/>
      <c r="I217" s="106"/>
      <c r="J217" s="106"/>
      <c r="K217" s="106"/>
      <c r="L217" s="106"/>
      <c r="M217" s="106"/>
      <c r="N217" s="106"/>
      <c r="O217" s="29"/>
      <c r="P217" s="106"/>
      <c r="Q217" s="106"/>
      <c r="R217" s="106"/>
      <c r="S217" s="106"/>
      <c r="T217" s="106"/>
      <c r="U217" s="106"/>
      <c r="V217" s="9"/>
      <c r="W217" s="106"/>
      <c r="X217" s="106"/>
      <c r="Y217" s="106"/>
      <c r="Z217" s="106"/>
      <c r="AA217" s="106"/>
      <c r="AB217" s="106"/>
      <c r="AC217" s="2"/>
      <c r="AD217" s="106"/>
      <c r="AE217" s="106"/>
      <c r="AF217" s="106"/>
      <c r="AG217" s="106"/>
      <c r="AH217" s="106"/>
      <c r="AI217" s="106"/>
      <c r="AJ217" s="2"/>
      <c r="AK217" s="106"/>
      <c r="AL217" s="106"/>
      <c r="AM217" s="106"/>
      <c r="AN217" s="106"/>
      <c r="AO217" s="106"/>
      <c r="AP217" s="106"/>
      <c r="AQ217" s="2"/>
      <c r="AR217" s="106"/>
      <c r="AS217" s="106"/>
      <c r="AT217" s="106"/>
      <c r="AU217" s="106"/>
      <c r="AV217" s="106"/>
      <c r="AW217" s="106"/>
      <c r="AX217" s="9"/>
      <c r="AY217" s="106"/>
      <c r="AZ217" s="117"/>
      <c r="BA217" s="117"/>
      <c r="BB217" s="117"/>
      <c r="BC217" s="117"/>
      <c r="BD217" s="117"/>
      <c r="BE217" s="117"/>
    </row>
    <row r="218" spans="1:57" ht="13.05" hidden="1" customHeight="1" x14ac:dyDescent="0.25">
      <c r="A218" t="str">
        <f>Nutrients!B217</f>
        <v>NHF HP300 2022 loadings</v>
      </c>
      <c r="B218" s="106"/>
      <c r="C218" s="106"/>
      <c r="D218" s="106"/>
      <c r="E218" s="106"/>
      <c r="F218" s="106"/>
      <c r="G218" s="106"/>
      <c r="H218" s="106"/>
      <c r="I218" s="106"/>
      <c r="J218" s="106"/>
      <c r="K218" s="106"/>
      <c r="L218" s="106"/>
      <c r="M218" s="106"/>
      <c r="N218" s="106"/>
      <c r="O218" s="29"/>
      <c r="P218" s="106"/>
      <c r="Q218" s="106"/>
      <c r="R218" s="106"/>
      <c r="S218" s="106"/>
      <c r="T218" s="106"/>
      <c r="U218" s="106"/>
      <c r="V218" s="9"/>
      <c r="W218" s="106"/>
      <c r="X218" s="106"/>
      <c r="Y218" s="106"/>
      <c r="Z218" s="106"/>
      <c r="AA218" s="106"/>
      <c r="AB218" s="106"/>
      <c r="AC218" s="2"/>
      <c r="AD218" s="106"/>
      <c r="AE218" s="106"/>
      <c r="AF218" s="106"/>
      <c r="AG218" s="106"/>
      <c r="AH218" s="106"/>
      <c r="AI218" s="106"/>
      <c r="AJ218" s="2"/>
      <c r="AK218" s="106"/>
      <c r="AL218" s="106"/>
      <c r="AM218" s="106"/>
      <c r="AN218" s="106"/>
      <c r="AO218" s="106"/>
      <c r="AP218" s="106"/>
      <c r="AQ218" s="2"/>
      <c r="AR218" s="106"/>
      <c r="AS218" s="106"/>
      <c r="AT218" s="106"/>
      <c r="AU218" s="106"/>
      <c r="AV218" s="106"/>
      <c r="AW218" s="106"/>
      <c r="AX218" s="9"/>
      <c r="AY218" s="106"/>
      <c r="AZ218" s="117"/>
      <c r="BA218" s="117"/>
      <c r="BB218" s="117"/>
      <c r="BC218" s="117"/>
      <c r="BD218" s="117"/>
      <c r="BE218" s="117"/>
    </row>
    <row r="219" spans="1:57" ht="13.05" hidden="1" customHeight="1" x14ac:dyDescent="0.25">
      <c r="A219" t="str">
        <f>Nutrients!B218</f>
        <v>NHF Liquid Lys 55%</v>
      </c>
      <c r="B219" s="106"/>
      <c r="C219" s="106"/>
      <c r="D219" s="106"/>
      <c r="E219" s="106"/>
      <c r="F219" s="106"/>
      <c r="G219" s="106"/>
      <c r="H219" s="106"/>
      <c r="I219" s="106"/>
      <c r="J219" s="106"/>
      <c r="K219" s="106"/>
      <c r="L219" s="106"/>
      <c r="M219" s="106"/>
      <c r="N219" s="106"/>
      <c r="O219" s="29"/>
      <c r="P219" s="106"/>
      <c r="Q219" s="106"/>
      <c r="R219" s="106"/>
      <c r="S219" s="106"/>
      <c r="T219" s="106"/>
      <c r="U219" s="106"/>
      <c r="V219" s="9"/>
      <c r="W219" s="106"/>
      <c r="X219" s="106"/>
      <c r="Y219" s="106"/>
      <c r="Z219" s="106"/>
      <c r="AA219" s="106"/>
      <c r="AB219" s="106"/>
      <c r="AC219" s="2"/>
      <c r="AD219" s="106"/>
      <c r="AE219" s="106"/>
      <c r="AF219" s="106"/>
      <c r="AG219" s="106"/>
      <c r="AH219" s="106"/>
      <c r="AI219" s="106"/>
      <c r="AJ219" s="2"/>
      <c r="AK219" s="106"/>
      <c r="AL219" s="106"/>
      <c r="AM219" s="106"/>
      <c r="AN219" s="106"/>
      <c r="AO219" s="106"/>
      <c r="AP219" s="106"/>
      <c r="AQ219" s="2"/>
      <c r="AR219" s="106"/>
      <c r="AS219" s="106"/>
      <c r="AT219" s="106"/>
      <c r="AU219" s="106"/>
      <c r="AV219" s="106"/>
      <c r="AW219" s="106"/>
      <c r="AX219" s="9"/>
      <c r="AY219" s="106"/>
      <c r="AZ219" s="117"/>
      <c r="BA219" s="117"/>
      <c r="BB219" s="117"/>
      <c r="BC219" s="117"/>
      <c r="BD219" s="117"/>
      <c r="BE219" s="117"/>
    </row>
    <row r="220" spans="1:57" ht="13.8" thickBot="1" x14ac:dyDescent="0.3">
      <c r="A220" t="str">
        <f>Nutrients!B219</f>
        <v>Corn DDGS with varying energy</v>
      </c>
      <c r="B220" s="106"/>
      <c r="C220" s="106"/>
      <c r="D220" s="106"/>
      <c r="E220" s="106"/>
      <c r="F220" s="106"/>
      <c r="G220" s="106"/>
      <c r="H220" s="106"/>
      <c r="I220" s="106">
        <v>100</v>
      </c>
      <c r="J220" s="106">
        <v>100</v>
      </c>
      <c r="K220" s="106">
        <v>100</v>
      </c>
      <c r="L220" s="106">
        <v>100</v>
      </c>
      <c r="M220" s="106">
        <v>100</v>
      </c>
      <c r="N220" s="106"/>
      <c r="O220" s="29"/>
      <c r="P220" s="106">
        <v>200</v>
      </c>
      <c r="Q220" s="106">
        <v>200</v>
      </c>
      <c r="R220" s="106">
        <v>200</v>
      </c>
      <c r="S220" s="106">
        <v>200</v>
      </c>
      <c r="T220" s="106">
        <v>200</v>
      </c>
      <c r="U220" s="106"/>
      <c r="V220" s="9"/>
      <c r="W220" s="106">
        <v>300</v>
      </c>
      <c r="X220" s="106">
        <v>300</v>
      </c>
      <c r="Y220" s="106">
        <v>300</v>
      </c>
      <c r="Z220" s="106">
        <v>300</v>
      </c>
      <c r="AA220" s="106">
        <v>300</v>
      </c>
      <c r="AB220" s="106"/>
      <c r="AC220" s="2"/>
      <c r="AD220" s="106">
        <v>400</v>
      </c>
      <c r="AE220" s="106">
        <v>400</v>
      </c>
      <c r="AF220" s="106">
        <v>400</v>
      </c>
      <c r="AG220" s="106">
        <v>400</v>
      </c>
      <c r="AH220" s="106">
        <v>400</v>
      </c>
      <c r="AI220" s="106"/>
      <c r="AJ220" s="2"/>
      <c r="AK220" s="106">
        <v>500</v>
      </c>
      <c r="AL220" s="106">
        <v>500</v>
      </c>
      <c r="AM220" s="106">
        <v>500</v>
      </c>
      <c r="AN220" s="106">
        <v>500</v>
      </c>
      <c r="AO220" s="106">
        <v>500</v>
      </c>
      <c r="AP220" s="106"/>
      <c r="AQ220" s="2"/>
      <c r="AR220" s="106">
        <v>600</v>
      </c>
      <c r="AS220" s="106">
        <v>600</v>
      </c>
      <c r="AT220" s="106">
        <v>600</v>
      </c>
      <c r="AU220" s="106">
        <v>600</v>
      </c>
      <c r="AV220" s="106">
        <v>600</v>
      </c>
      <c r="AW220" s="106"/>
      <c r="AX220" s="9"/>
      <c r="AY220" s="106"/>
      <c r="AZ220" s="117"/>
      <c r="BA220" s="117"/>
      <c r="BB220" s="117"/>
      <c r="BC220" s="117"/>
      <c r="BD220" s="117"/>
      <c r="BE220" s="117"/>
    </row>
    <row r="221" spans="1:57" ht="13.05" hidden="1" customHeight="1" x14ac:dyDescent="0.25">
      <c r="A221" t="str">
        <f>Nutrients!B220</f>
        <v>Other ingredient</v>
      </c>
      <c r="B221" s="99"/>
      <c r="C221" s="99"/>
      <c r="D221" s="99"/>
      <c r="E221" s="99"/>
      <c r="F221" s="99"/>
      <c r="G221" s="99"/>
      <c r="H221" s="99"/>
      <c r="I221" s="99"/>
      <c r="J221" s="99"/>
      <c r="K221" s="99"/>
      <c r="L221" s="99"/>
      <c r="M221" s="99"/>
      <c r="N221" s="99"/>
      <c r="O221" s="10"/>
      <c r="P221" s="99"/>
      <c r="Q221" s="99"/>
      <c r="R221" s="99"/>
      <c r="S221" s="99"/>
      <c r="T221" s="99"/>
      <c r="U221" s="99"/>
      <c r="W221" s="99"/>
      <c r="X221" s="99"/>
      <c r="Y221" s="99"/>
      <c r="Z221" s="99"/>
      <c r="AA221" s="99"/>
      <c r="AB221" s="99"/>
      <c r="AD221" s="99"/>
      <c r="AE221" s="99"/>
      <c r="AF221" s="99"/>
      <c r="AG221" s="99"/>
      <c r="AH221" s="99"/>
      <c r="AI221" s="99"/>
      <c r="AK221" s="99"/>
      <c r="AL221" s="99"/>
      <c r="AM221" s="99"/>
      <c r="AN221" s="99"/>
      <c r="AO221" s="99"/>
      <c r="AP221" s="99"/>
      <c r="AR221" s="99"/>
      <c r="AS221" s="99"/>
      <c r="AT221" s="99"/>
      <c r="AU221" s="99"/>
      <c r="AV221" s="99"/>
      <c r="AW221" s="99"/>
    </row>
    <row r="222" spans="1:57" ht="13.05" hidden="1" customHeight="1" x14ac:dyDescent="0.25">
      <c r="A222" t="str">
        <f>Nutrients!B221</f>
        <v>Other ingredient</v>
      </c>
      <c r="B222" s="99"/>
      <c r="C222" s="99"/>
      <c r="D222" s="99"/>
      <c r="E222" s="99"/>
      <c r="F222" s="99"/>
      <c r="G222" s="99"/>
      <c r="H222" s="99"/>
      <c r="I222" s="99"/>
      <c r="J222" s="99"/>
      <c r="K222" s="99"/>
      <c r="L222" s="99"/>
      <c r="M222" s="99"/>
      <c r="N222" s="99"/>
      <c r="O222" s="10"/>
      <c r="P222" s="99"/>
      <c r="Q222" s="99"/>
      <c r="R222" s="99"/>
      <c r="S222" s="99"/>
      <c r="T222" s="99"/>
      <c r="U222" s="99"/>
      <c r="W222" s="99"/>
      <c r="X222" s="99"/>
      <c r="Y222" s="99"/>
      <c r="Z222" s="99"/>
      <c r="AA222" s="99"/>
      <c r="AB222" s="99"/>
      <c r="AD222" s="99"/>
      <c r="AE222" s="99"/>
      <c r="AF222" s="99"/>
      <c r="AG222" s="99"/>
      <c r="AH222" s="99"/>
      <c r="AI222" s="99"/>
      <c r="AK222" s="99"/>
      <c r="AL222" s="99"/>
      <c r="AM222" s="99"/>
      <c r="AN222" s="99"/>
      <c r="AO222" s="99"/>
      <c r="AP222" s="99"/>
      <c r="AR222" s="99"/>
      <c r="AS222" s="99"/>
      <c r="AT222" s="99"/>
      <c r="AU222" s="99"/>
      <c r="AV222" s="99"/>
      <c r="AW222" s="99"/>
    </row>
    <row r="223" spans="1:57" ht="13.05" hidden="1" customHeight="1" x14ac:dyDescent="0.25">
      <c r="A223" t="str">
        <f>Nutrients!B222</f>
        <v>Other ingredient</v>
      </c>
      <c r="B223" s="99"/>
      <c r="C223" s="99"/>
      <c r="D223" s="99"/>
      <c r="E223" s="99"/>
      <c r="F223" s="99"/>
      <c r="G223" s="99"/>
      <c r="H223" s="99"/>
      <c r="I223" s="99"/>
      <c r="J223" s="99"/>
      <c r="K223" s="99"/>
      <c r="L223" s="99"/>
      <c r="M223" s="99"/>
      <c r="N223" s="99"/>
      <c r="O223" s="10"/>
      <c r="P223" s="99"/>
      <c r="Q223" s="99"/>
      <c r="R223" s="99"/>
      <c r="S223" s="99"/>
      <c r="T223" s="99"/>
      <c r="U223" s="99"/>
      <c r="W223" s="99"/>
      <c r="X223" s="99"/>
      <c r="Y223" s="99"/>
      <c r="Z223" s="99"/>
      <c r="AA223" s="99"/>
      <c r="AB223" s="99"/>
      <c r="AD223" s="99"/>
      <c r="AE223" s="99"/>
      <c r="AF223" s="99"/>
      <c r="AG223" s="99"/>
      <c r="AH223" s="99"/>
      <c r="AI223" s="99"/>
      <c r="AK223" s="99"/>
      <c r="AL223" s="99"/>
      <c r="AM223" s="99"/>
      <c r="AN223" s="99"/>
      <c r="AO223" s="99"/>
      <c r="AP223" s="99"/>
      <c r="AR223" s="99"/>
      <c r="AS223" s="99"/>
      <c r="AT223" s="99"/>
      <c r="AU223" s="99"/>
      <c r="AV223" s="99"/>
      <c r="AW223" s="99"/>
    </row>
    <row r="224" spans="1:57" ht="13.05" hidden="1" customHeight="1" x14ac:dyDescent="0.25">
      <c r="A224" t="str">
        <f>Nutrients!B223</f>
        <v>Other ingredient</v>
      </c>
      <c r="B224" s="99"/>
      <c r="C224" s="99"/>
      <c r="D224" s="99"/>
      <c r="E224" s="99"/>
      <c r="F224" s="99"/>
      <c r="G224" s="99"/>
      <c r="H224" s="99"/>
      <c r="I224" s="99"/>
      <c r="J224" s="99"/>
      <c r="K224" s="99"/>
      <c r="L224" s="99"/>
      <c r="M224" s="99"/>
      <c r="N224" s="99"/>
      <c r="O224" s="10"/>
      <c r="P224" s="99"/>
      <c r="Q224" s="99"/>
      <c r="R224" s="99"/>
      <c r="S224" s="99"/>
      <c r="T224" s="99"/>
      <c r="U224" s="99"/>
      <c r="W224" s="99"/>
      <c r="X224" s="99"/>
      <c r="Y224" s="99"/>
      <c r="Z224" s="99"/>
      <c r="AA224" s="99"/>
      <c r="AB224" s="99"/>
      <c r="AD224" s="99"/>
      <c r="AE224" s="99"/>
      <c r="AF224" s="99"/>
      <c r="AG224" s="99"/>
      <c r="AH224" s="99"/>
      <c r="AI224" s="99"/>
      <c r="AK224" s="99"/>
      <c r="AL224" s="99"/>
      <c r="AM224" s="99"/>
      <c r="AN224" s="99"/>
      <c r="AO224" s="99"/>
      <c r="AP224" s="99"/>
      <c r="AR224" s="99"/>
      <c r="AS224" s="99"/>
      <c r="AT224" s="99"/>
      <c r="AU224" s="99"/>
      <c r="AV224" s="99"/>
      <c r="AW224" s="99"/>
    </row>
    <row r="225" spans="1:64" ht="13.05" hidden="1" customHeight="1" x14ac:dyDescent="0.25">
      <c r="A225" t="str">
        <f>Nutrients!B224</f>
        <v>Other ingredient</v>
      </c>
      <c r="B225" s="99"/>
      <c r="C225" s="99"/>
      <c r="D225" s="99"/>
      <c r="E225" s="99"/>
      <c r="F225" s="99"/>
      <c r="G225" s="99"/>
      <c r="H225" s="99"/>
      <c r="I225" s="99"/>
      <c r="J225" s="99"/>
      <c r="K225" s="99"/>
      <c r="L225" s="99"/>
      <c r="M225" s="99"/>
      <c r="N225" s="99"/>
      <c r="O225" s="10"/>
      <c r="P225" s="99"/>
      <c r="Q225" s="99"/>
      <c r="R225" s="99"/>
      <c r="S225" s="99"/>
      <c r="T225" s="99"/>
      <c r="U225" s="99"/>
      <c r="W225" s="99"/>
      <c r="X225" s="99"/>
      <c r="Y225" s="99"/>
      <c r="Z225" s="99"/>
      <c r="AA225" s="99"/>
      <c r="AB225" s="99"/>
      <c r="AD225" s="99"/>
      <c r="AE225" s="99"/>
      <c r="AF225" s="99"/>
      <c r="AG225" s="99"/>
      <c r="AH225" s="99"/>
      <c r="AI225" s="99"/>
      <c r="AK225" s="99"/>
      <c r="AL225" s="99"/>
      <c r="AM225" s="99"/>
      <c r="AN225" s="99"/>
      <c r="AO225" s="99"/>
      <c r="AP225" s="99"/>
      <c r="AR225" s="99"/>
      <c r="AS225" s="99"/>
      <c r="AT225" s="99"/>
      <c r="AU225" s="99"/>
      <c r="AV225" s="99"/>
      <c r="AW225" s="99"/>
    </row>
    <row r="226" spans="1:64" ht="13.05" hidden="1" customHeight="1" x14ac:dyDescent="0.25">
      <c r="A226" t="str">
        <f>Nutrients!B225</f>
        <v>Other ingredient</v>
      </c>
      <c r="B226" s="99"/>
      <c r="C226" s="99"/>
      <c r="D226" s="99"/>
      <c r="E226" s="99"/>
      <c r="F226" s="99"/>
      <c r="G226" s="99"/>
      <c r="H226" s="99"/>
      <c r="I226" s="99"/>
      <c r="J226" s="99"/>
      <c r="K226" s="99"/>
      <c r="L226" s="99"/>
      <c r="M226" s="99"/>
      <c r="N226" s="99"/>
      <c r="O226" s="10"/>
      <c r="P226" s="99"/>
      <c r="Q226" s="99"/>
      <c r="R226" s="99"/>
      <c r="S226" s="99"/>
      <c r="T226" s="99"/>
      <c r="U226" s="99"/>
      <c r="W226" s="99"/>
      <c r="X226" s="99"/>
      <c r="Y226" s="99"/>
      <c r="Z226" s="99"/>
      <c r="AA226" s="99"/>
      <c r="AB226" s="99"/>
      <c r="AD226" s="99"/>
      <c r="AE226" s="99"/>
      <c r="AF226" s="99"/>
      <c r="AG226" s="99"/>
      <c r="AH226" s="99"/>
      <c r="AI226" s="99"/>
      <c r="AK226" s="99"/>
      <c r="AL226" s="99"/>
      <c r="AM226" s="99"/>
      <c r="AN226" s="99"/>
      <c r="AO226" s="99"/>
      <c r="AP226" s="99"/>
      <c r="AR226" s="99"/>
      <c r="AS226" s="99"/>
      <c r="AT226" s="99"/>
      <c r="AU226" s="99"/>
      <c r="AV226" s="99"/>
      <c r="AW226" s="99"/>
    </row>
    <row r="227" spans="1:64" ht="13.05" hidden="1" customHeight="1" x14ac:dyDescent="0.25">
      <c r="A227" t="str">
        <f>Nutrients!B226</f>
        <v>Other ingredient</v>
      </c>
      <c r="B227" s="99"/>
      <c r="C227" s="99"/>
      <c r="D227" s="99"/>
      <c r="E227" s="99"/>
      <c r="F227" s="99"/>
      <c r="G227" s="99"/>
      <c r="H227" s="99"/>
      <c r="I227" s="99"/>
      <c r="J227" s="99"/>
      <c r="K227" s="99"/>
      <c r="L227" s="99"/>
      <c r="M227" s="99"/>
      <c r="N227" s="99"/>
      <c r="O227" s="10"/>
      <c r="P227" s="99"/>
      <c r="Q227" s="99"/>
      <c r="R227" s="99"/>
      <c r="S227" s="99"/>
      <c r="T227" s="99"/>
      <c r="U227" s="99"/>
      <c r="W227" s="99"/>
      <c r="X227" s="99"/>
      <c r="Y227" s="99"/>
      <c r="Z227" s="99"/>
      <c r="AA227" s="99"/>
      <c r="AB227" s="99"/>
      <c r="AD227" s="99"/>
      <c r="AE227" s="99"/>
      <c r="AF227" s="99"/>
      <c r="AG227" s="99"/>
      <c r="AH227" s="99"/>
      <c r="AI227" s="99"/>
      <c r="AK227" s="99"/>
      <c r="AL227" s="99"/>
      <c r="AM227" s="99"/>
      <c r="AN227" s="99"/>
      <c r="AO227" s="99"/>
      <c r="AP227" s="99"/>
      <c r="AR227" s="99"/>
      <c r="AS227" s="99"/>
      <c r="AT227" s="99"/>
      <c r="AU227" s="99"/>
      <c r="AV227" s="99"/>
      <c r="AW227" s="99"/>
    </row>
    <row r="228" spans="1:64" ht="13.05" hidden="1" customHeight="1" x14ac:dyDescent="0.25">
      <c r="A228" t="str">
        <f>Nutrients!B227</f>
        <v>Other ingredient</v>
      </c>
      <c r="B228" s="99"/>
      <c r="C228" s="99"/>
      <c r="D228" s="99"/>
      <c r="E228" s="99"/>
      <c r="F228" s="99"/>
      <c r="G228" s="99"/>
      <c r="H228" s="99"/>
      <c r="I228" s="99"/>
      <c r="J228" s="99"/>
      <c r="K228" s="99"/>
      <c r="L228" s="99"/>
      <c r="M228" s="99"/>
      <c r="N228" s="99"/>
      <c r="O228" s="10"/>
      <c r="P228" s="99"/>
      <c r="Q228" s="99"/>
      <c r="R228" s="99"/>
      <c r="S228" s="99"/>
      <c r="T228" s="99"/>
      <c r="U228" s="99"/>
      <c r="W228" s="99"/>
      <c r="X228" s="99"/>
      <c r="Y228" s="99"/>
      <c r="Z228" s="99"/>
      <c r="AA228" s="99"/>
      <c r="AB228" s="99"/>
      <c r="AD228" s="99"/>
      <c r="AE228" s="99"/>
      <c r="AF228" s="99"/>
      <c r="AG228" s="99"/>
      <c r="AH228" s="99"/>
      <c r="AI228" s="99"/>
      <c r="AK228" s="99"/>
      <c r="AL228" s="99"/>
      <c r="AM228" s="99"/>
      <c r="AN228" s="99"/>
      <c r="AO228" s="99"/>
      <c r="AP228" s="99"/>
      <c r="AR228" s="99"/>
      <c r="AS228" s="99"/>
      <c r="AT228" s="99"/>
      <c r="AU228" s="99"/>
      <c r="AV228" s="99"/>
      <c r="AW228" s="99"/>
    </row>
    <row r="229" spans="1:64" ht="13.95" hidden="1" customHeight="1" thickBot="1" x14ac:dyDescent="0.3">
      <c r="A229" t="str">
        <f>Nutrients!B228</f>
        <v>Other ingredient</v>
      </c>
      <c r="B229" s="99"/>
      <c r="C229" s="99"/>
      <c r="D229" s="99"/>
      <c r="E229" s="99"/>
      <c r="F229" s="99"/>
      <c r="G229" s="99"/>
      <c r="H229" s="99"/>
      <c r="I229" s="99"/>
      <c r="J229" s="99"/>
      <c r="K229" s="99"/>
      <c r="L229" s="99"/>
      <c r="M229" s="99"/>
      <c r="N229" s="99"/>
      <c r="O229" s="10"/>
      <c r="P229" s="99"/>
      <c r="Q229" s="99"/>
      <c r="R229" s="99"/>
      <c r="S229" s="99"/>
      <c r="T229" s="99"/>
      <c r="U229" s="99"/>
      <c r="W229" s="99"/>
      <c r="X229" s="99"/>
      <c r="Y229" s="99"/>
      <c r="Z229" s="99"/>
      <c r="AA229" s="99"/>
      <c r="AB229" s="99"/>
      <c r="AD229" s="99"/>
      <c r="AE229" s="99"/>
      <c r="AF229" s="99"/>
      <c r="AG229" s="99"/>
      <c r="AH229" s="99"/>
      <c r="AI229" s="99"/>
      <c r="AK229" s="99"/>
      <c r="AL229" s="99"/>
      <c r="AM229" s="99"/>
      <c r="AN229" s="99"/>
      <c r="AO229" s="99"/>
      <c r="AP229" s="99"/>
      <c r="AR229" s="99"/>
      <c r="AS229" s="99"/>
      <c r="AT229" s="99"/>
      <c r="AU229" s="99"/>
      <c r="AV229" s="99"/>
      <c r="AW229" s="99"/>
    </row>
    <row r="230" spans="1:64" x14ac:dyDescent="0.25">
      <c r="A230" s="1" t="s">
        <v>17</v>
      </c>
      <c r="B230" s="292">
        <f t="shared" ref="B230:G230" si="15">SUM(B7:B229)</f>
        <v>2000.0000000000002</v>
      </c>
      <c r="C230" s="292">
        <f t="shared" si="15"/>
        <v>2000</v>
      </c>
      <c r="D230" s="292">
        <f t="shared" si="15"/>
        <v>2000.0000000000002</v>
      </c>
      <c r="E230" s="292">
        <f t="shared" si="15"/>
        <v>2000.0000000000002</v>
      </c>
      <c r="F230" s="292">
        <f t="shared" si="15"/>
        <v>2000</v>
      </c>
      <c r="G230" s="292">
        <f t="shared" si="15"/>
        <v>2000.0000000000002</v>
      </c>
      <c r="H230" s="292"/>
      <c r="I230" s="292">
        <f t="shared" ref="I230:N230" si="16">SUM(I7:I229)</f>
        <v>2000.0000000000005</v>
      </c>
      <c r="J230" s="292">
        <f t="shared" si="16"/>
        <v>2000</v>
      </c>
      <c r="K230" s="292">
        <f t="shared" si="16"/>
        <v>2000.0000000000002</v>
      </c>
      <c r="L230" s="292">
        <f t="shared" si="16"/>
        <v>1999.9999999999998</v>
      </c>
      <c r="M230" s="292">
        <f t="shared" si="16"/>
        <v>1999.9999999999995</v>
      </c>
      <c r="N230" s="292">
        <f t="shared" si="16"/>
        <v>2000.0000000000002</v>
      </c>
      <c r="O230" s="9"/>
      <c r="P230" s="292">
        <f t="shared" ref="P230:U230" si="17">SUM(P7:P229)</f>
        <v>2000</v>
      </c>
      <c r="Q230" s="292">
        <f t="shared" si="17"/>
        <v>2000</v>
      </c>
      <c r="R230" s="292">
        <f t="shared" si="17"/>
        <v>2000</v>
      </c>
      <c r="S230" s="292">
        <f t="shared" si="17"/>
        <v>2000</v>
      </c>
      <c r="T230" s="292">
        <f t="shared" si="17"/>
        <v>2000</v>
      </c>
      <c r="U230" s="292">
        <f t="shared" si="17"/>
        <v>2000.0000000000002</v>
      </c>
      <c r="W230" s="292">
        <f t="shared" ref="W230:AB230" si="18">SUM(W7:W229)</f>
        <v>2000.0000000000002</v>
      </c>
      <c r="X230" s="292">
        <f t="shared" si="18"/>
        <v>2000</v>
      </c>
      <c r="Y230" s="292">
        <f t="shared" si="18"/>
        <v>1999.9999999999998</v>
      </c>
      <c r="Z230" s="292">
        <f t="shared" si="18"/>
        <v>2000.0000000000002</v>
      </c>
      <c r="AA230" s="292">
        <f t="shared" si="18"/>
        <v>2000.0000000000005</v>
      </c>
      <c r="AB230" s="292">
        <f t="shared" si="18"/>
        <v>2000.0000000000002</v>
      </c>
      <c r="AD230" s="292">
        <f t="shared" ref="AD230:AI230" si="19">SUM(AD7:AD229)</f>
        <v>2000.0000000000002</v>
      </c>
      <c r="AE230" s="292">
        <f t="shared" si="19"/>
        <v>2000</v>
      </c>
      <c r="AF230" s="292">
        <f t="shared" si="19"/>
        <v>2000</v>
      </c>
      <c r="AG230" s="292">
        <f t="shared" si="19"/>
        <v>2000</v>
      </c>
      <c r="AH230" s="292">
        <f t="shared" si="19"/>
        <v>2000.0000000000002</v>
      </c>
      <c r="AI230" s="292">
        <f t="shared" si="19"/>
        <v>2000.0000000000002</v>
      </c>
      <c r="AK230" s="292">
        <f t="shared" ref="AK230" si="20">SUM(AK7:AK229)</f>
        <v>2000.0000000000002</v>
      </c>
      <c r="AL230" s="292">
        <f t="shared" ref="AL230:AP230" si="21">SUM(AL7:AL229)</f>
        <v>2000</v>
      </c>
      <c r="AM230" s="292">
        <f t="shared" si="21"/>
        <v>2000.0000000000002</v>
      </c>
      <c r="AN230" s="292">
        <f t="shared" si="21"/>
        <v>1999.9999999999998</v>
      </c>
      <c r="AO230" s="292">
        <f t="shared" si="21"/>
        <v>2000</v>
      </c>
      <c r="AP230" s="292">
        <f t="shared" si="21"/>
        <v>2000.0000000000002</v>
      </c>
      <c r="AR230" s="292">
        <f t="shared" ref="AR230:AW230" si="22">SUM(AR7:AR229)</f>
        <v>1999.9999999999998</v>
      </c>
      <c r="AS230" s="292">
        <f t="shared" si="22"/>
        <v>2000</v>
      </c>
      <c r="AT230" s="292">
        <f t="shared" si="22"/>
        <v>2000.0000000000002</v>
      </c>
      <c r="AU230" s="292">
        <f t="shared" si="22"/>
        <v>2000.0000000000002</v>
      </c>
      <c r="AV230" s="292">
        <f t="shared" si="22"/>
        <v>2000</v>
      </c>
      <c r="AW230" s="292">
        <f t="shared" si="22"/>
        <v>2000.0000000000002</v>
      </c>
    </row>
    <row r="231" spans="1:64" x14ac:dyDescent="0.25">
      <c r="A231" s="9"/>
      <c r="B231" s="7"/>
      <c r="C231" s="7"/>
      <c r="D231" s="7"/>
      <c r="E231" s="7"/>
      <c r="F231" s="7"/>
      <c r="G231" s="7"/>
      <c r="H231" s="7"/>
      <c r="I231" s="7"/>
      <c r="J231" s="7"/>
      <c r="K231" s="7"/>
      <c r="L231" s="7"/>
      <c r="M231" s="7"/>
      <c r="N231" s="7"/>
      <c r="O231" s="9"/>
      <c r="P231" s="7"/>
      <c r="Q231" s="7"/>
      <c r="R231" s="7"/>
      <c r="S231" s="7"/>
      <c r="T231" s="7"/>
      <c r="U231" s="7"/>
      <c r="W231" s="7"/>
      <c r="X231" s="7"/>
      <c r="Y231" s="7"/>
      <c r="Z231" s="7"/>
      <c r="AA231" s="7"/>
      <c r="AB231" s="7"/>
      <c r="AD231" s="7"/>
      <c r="AE231" s="7"/>
      <c r="AF231" s="7"/>
      <c r="AG231" s="7"/>
      <c r="AH231" s="7"/>
      <c r="AI231" s="7"/>
      <c r="AK231" s="7"/>
      <c r="AL231" s="7"/>
      <c r="AM231" s="7"/>
      <c r="AN231" s="7"/>
      <c r="AO231" s="7"/>
      <c r="AP231" s="7"/>
      <c r="AR231" s="7"/>
      <c r="AS231" s="7"/>
      <c r="AT231" s="7"/>
      <c r="AU231" s="7"/>
      <c r="AV231" s="7"/>
      <c r="AW231" s="7"/>
      <c r="BA231" s="137"/>
      <c r="BB231" s="369"/>
    </row>
    <row r="232" spans="1:64" x14ac:dyDescent="0.25">
      <c r="A232" s="41" t="s">
        <v>348</v>
      </c>
      <c r="B232" s="33">
        <f t="shared" ref="B232:G232" si="23" xml:space="preserve">  0.0000415*((B5+B6)/2)^2 - 0.0236*((B5+B6)/2) + 6.096</f>
        <v>4.6920843750000003</v>
      </c>
      <c r="C232" s="33">
        <f t="shared" si="23"/>
        <v>4.1130093749999999</v>
      </c>
      <c r="D232" s="33">
        <f t="shared" si="23"/>
        <v>3.6054000000000004</v>
      </c>
      <c r="E232" s="33">
        <f t="shared" si="23"/>
        <v>3.1925999999999997</v>
      </c>
      <c r="F232" s="33">
        <f t="shared" si="23"/>
        <v>2.9125999999999999</v>
      </c>
      <c r="G232" s="33">
        <f t="shared" si="23"/>
        <v>2.7606093749999996</v>
      </c>
      <c r="H232" s="33"/>
      <c r="I232" s="33">
        <f t="shared" ref="I232:N232" si="24" xml:space="preserve">  0.0000415*((I5+I6)/2)^2 - 0.0236*((I5+I6)/2) + 6.096</f>
        <v>4.6920843750000003</v>
      </c>
      <c r="J232" s="33">
        <f t="shared" si="24"/>
        <v>4.1130093749999999</v>
      </c>
      <c r="K232" s="33">
        <f t="shared" si="24"/>
        <v>3.6054000000000004</v>
      </c>
      <c r="L232" s="33">
        <f t="shared" si="24"/>
        <v>3.1925999999999997</v>
      </c>
      <c r="M232" s="33">
        <f t="shared" si="24"/>
        <v>2.9125999999999999</v>
      </c>
      <c r="N232" s="33">
        <f t="shared" si="24"/>
        <v>2.7606093749999996</v>
      </c>
      <c r="O232" s="7"/>
      <c r="P232" s="33">
        <f t="shared" ref="P232:U232" si="25" xml:space="preserve">  0.0000415*((P5+P6)/2)^2 - 0.0236*((P5+P6)/2) + 6.096</f>
        <v>4.6920843750000003</v>
      </c>
      <c r="Q232" s="33">
        <f t="shared" si="25"/>
        <v>4.1130093749999999</v>
      </c>
      <c r="R232" s="33">
        <f t="shared" si="25"/>
        <v>3.6054000000000004</v>
      </c>
      <c r="S232" s="33">
        <f t="shared" si="25"/>
        <v>3.1925999999999997</v>
      </c>
      <c r="T232" s="33">
        <f t="shared" si="25"/>
        <v>2.9125999999999999</v>
      </c>
      <c r="U232" s="33">
        <f t="shared" si="25"/>
        <v>2.7606093749999996</v>
      </c>
      <c r="W232" s="33">
        <f t="shared" ref="W232:AB232" si="26" xml:space="preserve">  0.0000415*((W5+W6)/2)^2 - 0.0236*((W5+W6)/2) + 6.096</f>
        <v>4.6920843750000003</v>
      </c>
      <c r="X232" s="33">
        <f t="shared" si="26"/>
        <v>4.1130093749999999</v>
      </c>
      <c r="Y232" s="33">
        <f t="shared" si="26"/>
        <v>3.6054000000000004</v>
      </c>
      <c r="Z232" s="33">
        <f t="shared" si="26"/>
        <v>3.1925999999999997</v>
      </c>
      <c r="AA232" s="33">
        <f t="shared" si="26"/>
        <v>2.9125999999999999</v>
      </c>
      <c r="AB232" s="33">
        <f t="shared" si="26"/>
        <v>2.7606093749999996</v>
      </c>
      <c r="AD232" s="33">
        <f t="shared" ref="AD232:AI232" si="27" xml:space="preserve">  0.0000415*((AD5+AD6)/2)^2 - 0.0236*((AD5+AD6)/2) + 6.096</f>
        <v>4.6920843750000003</v>
      </c>
      <c r="AE232" s="33">
        <f t="shared" si="27"/>
        <v>4.1130093749999999</v>
      </c>
      <c r="AF232" s="33">
        <f t="shared" si="27"/>
        <v>3.6054000000000004</v>
      </c>
      <c r="AG232" s="33">
        <f t="shared" si="27"/>
        <v>3.1925999999999997</v>
      </c>
      <c r="AH232" s="33">
        <f t="shared" si="27"/>
        <v>2.9125999999999999</v>
      </c>
      <c r="AI232" s="33">
        <f t="shared" si="27"/>
        <v>2.7606093749999996</v>
      </c>
      <c r="AK232" s="33">
        <f t="shared" ref="AK232" si="28" xml:space="preserve">  0.0000415*((AK5+AK6)/2)^2 - 0.0236*((AK5+AK6)/2) + 6.096</f>
        <v>4.6920843750000003</v>
      </c>
      <c r="AL232" s="33">
        <f t="shared" ref="AL232:AP232" si="29" xml:space="preserve">  0.0000415*((AL5+AL6)/2)^2 - 0.0236*((AL5+AL6)/2) + 6.096</f>
        <v>4.1130093749999999</v>
      </c>
      <c r="AM232" s="33">
        <f t="shared" si="29"/>
        <v>3.6054000000000004</v>
      </c>
      <c r="AN232" s="33">
        <f t="shared" si="29"/>
        <v>3.1925999999999997</v>
      </c>
      <c r="AO232" s="33">
        <f t="shared" si="29"/>
        <v>2.9125999999999999</v>
      </c>
      <c r="AP232" s="33">
        <f t="shared" si="29"/>
        <v>2.7606093749999996</v>
      </c>
      <c r="AR232" s="33">
        <f t="shared" ref="AR232:AW232" si="30" xml:space="preserve">  0.0000415*((AR5+AR6)/2)^2 - 0.0236*((AR5+AR6)/2) + 6.096</f>
        <v>4.6920843750000003</v>
      </c>
      <c r="AS232" s="33">
        <f t="shared" si="30"/>
        <v>4.1130093749999999</v>
      </c>
      <c r="AT232" s="33">
        <f t="shared" si="30"/>
        <v>3.6054000000000004</v>
      </c>
      <c r="AU232" s="33">
        <f t="shared" si="30"/>
        <v>3.1925999999999997</v>
      </c>
      <c r="AV232" s="33">
        <f t="shared" si="30"/>
        <v>2.9125999999999999</v>
      </c>
      <c r="AW232" s="33">
        <f t="shared" si="30"/>
        <v>2.7606093749999996</v>
      </c>
      <c r="BA232" s="137"/>
      <c r="BB232" s="369"/>
      <c r="BC232" s="369"/>
    </row>
    <row r="233" spans="1:64" x14ac:dyDescent="0.25">
      <c r="A233" s="40" t="s">
        <v>108</v>
      </c>
      <c r="B233" s="26">
        <f t="shared" ref="B233:G233" si="31">IF(B232="","",B250*2.2046*B232/10000)</f>
        <v>1.1933289345334586</v>
      </c>
      <c r="C233" s="26">
        <f t="shared" si="31"/>
        <v>1.0523868858191809</v>
      </c>
      <c r="D233" s="26">
        <f t="shared" si="31"/>
        <v>0.92731901794478477</v>
      </c>
      <c r="E233" s="26">
        <f t="shared" si="31"/>
        <v>0.82549698291879381</v>
      </c>
      <c r="F233" s="26">
        <f t="shared" si="31"/>
        <v>0.75646982136751284</v>
      </c>
      <c r="G233" s="26">
        <f t="shared" si="31"/>
        <v>0.71849863102392231</v>
      </c>
      <c r="H233" s="308"/>
      <c r="I233" s="26">
        <f t="shared" ref="I233:N233" si="32">IF(I232="","",I250*2.2046*I232/10000)</f>
        <v>1.1833022056984819</v>
      </c>
      <c r="J233" s="26">
        <f t="shared" si="32"/>
        <v>1.0434796386124037</v>
      </c>
      <c r="K233" s="26">
        <f t="shared" si="32"/>
        <v>0.91959577411897075</v>
      </c>
      <c r="L233" s="26">
        <f t="shared" si="32"/>
        <v>0.81857817798280041</v>
      </c>
      <c r="M233" s="26">
        <f t="shared" si="32"/>
        <v>0.75013775739994371</v>
      </c>
      <c r="N233" s="26">
        <f t="shared" si="32"/>
        <v>0.71849863102392231</v>
      </c>
      <c r="O233" s="307"/>
      <c r="P233" s="26">
        <f t="shared" ref="P233:U233" si="33">IF(P232="","",P250*2.2046*P232/10000)</f>
        <v>1.1731825649149317</v>
      </c>
      <c r="Q233" s="26">
        <f t="shared" si="33"/>
        <v>1.0346027980460959</v>
      </c>
      <c r="R233" s="26">
        <f t="shared" si="33"/>
        <v>0.91178474561411771</v>
      </c>
      <c r="S233" s="26">
        <f t="shared" si="33"/>
        <v>0.81168958667566926</v>
      </c>
      <c r="T233" s="26">
        <f t="shared" si="33"/>
        <v>0.743832413489533</v>
      </c>
      <c r="U233" s="26">
        <f t="shared" si="33"/>
        <v>0.71849863102392231</v>
      </c>
      <c r="W233" s="26">
        <f t="shared" ref="W233:AB233" si="34">IF(W232="","",W250*2.2046*W232/10000)</f>
        <v>1.1630843915073792</v>
      </c>
      <c r="X233" s="26">
        <f t="shared" si="34"/>
        <v>1.0257265277242038</v>
      </c>
      <c r="Y233" s="26">
        <f t="shared" si="34"/>
        <v>0.90404382385441473</v>
      </c>
      <c r="Z233" s="26">
        <f t="shared" si="34"/>
        <v>0.80481560797029361</v>
      </c>
      <c r="AA233" s="26">
        <f t="shared" si="34"/>
        <v>0.73759748334783681</v>
      </c>
      <c r="AB233" s="26">
        <f t="shared" si="34"/>
        <v>0.71849863102392231</v>
      </c>
      <c r="AD233" s="26">
        <f t="shared" ref="AD233:AI233" si="35">IF(AD232="","",AD250*2.2046*AD232/10000)</f>
        <v>1.1530207094405109</v>
      </c>
      <c r="AE233" s="26">
        <f t="shared" si="35"/>
        <v>1.0169326530509482</v>
      </c>
      <c r="AF233" s="26">
        <f t="shared" si="35"/>
        <v>0.89632218371363492</v>
      </c>
      <c r="AG233" s="26">
        <f t="shared" si="35"/>
        <v>0.79799343812895596</v>
      </c>
      <c r="AH233" s="26">
        <f t="shared" si="35"/>
        <v>0.73085095236158992</v>
      </c>
      <c r="AI233" s="26">
        <f t="shared" si="35"/>
        <v>0.71849863102392231</v>
      </c>
      <c r="AK233" s="26">
        <f t="shared" ref="AK233" si="36">IF(AK232="","",AK250*2.2046*AK232/10000)</f>
        <v>1.1429460765890198</v>
      </c>
      <c r="AL233" s="26">
        <f t="shared" ref="AL233:AP233" si="37">IF(AL232="","",AL250*2.2046*AL232/10000)</f>
        <v>1.0080987078638128</v>
      </c>
      <c r="AM233" s="26">
        <f t="shared" si="37"/>
        <v>0.88862113939206977</v>
      </c>
      <c r="AN233" s="26">
        <f t="shared" si="37"/>
        <v>0.79072656035556588</v>
      </c>
      <c r="AO233" s="26">
        <f t="shared" si="37"/>
        <v>0.72392174711107149</v>
      </c>
      <c r="AP233" s="26">
        <f t="shared" si="37"/>
        <v>0.71849863102392231</v>
      </c>
      <c r="AR233" s="26">
        <f t="shared" ref="AR233:AW233" si="38">IF(AR232="","",AR250*2.2046*AR232/10000)</f>
        <v>1.1327269621982992</v>
      </c>
      <c r="AS233" s="26">
        <f t="shared" si="38"/>
        <v>0.99932050791454563</v>
      </c>
      <c r="AT233" s="26">
        <f t="shared" si="38"/>
        <v>0.88093044765470518</v>
      </c>
      <c r="AU233" s="26">
        <f t="shared" si="38"/>
        <v>0.78314186135979102</v>
      </c>
      <c r="AV233" s="26">
        <f t="shared" si="38"/>
        <v>0.71699229621355876</v>
      </c>
      <c r="AW233" s="26">
        <f t="shared" si="38"/>
        <v>0.71849863102392231</v>
      </c>
      <c r="BA233" s="137"/>
      <c r="BB233" s="369"/>
      <c r="BC233" s="369"/>
    </row>
    <row r="234" spans="1:64" x14ac:dyDescent="0.25">
      <c r="A234" s="40"/>
      <c r="B234" s="380"/>
      <c r="C234" s="380"/>
      <c r="D234" s="380"/>
      <c r="E234" s="380"/>
      <c r="F234" s="380"/>
      <c r="G234" s="380"/>
      <c r="H234" s="26"/>
      <c r="I234" s="7"/>
      <c r="J234" s="7"/>
      <c r="K234" s="7"/>
      <c r="L234" s="7"/>
      <c r="M234" s="7"/>
      <c r="N234" s="380"/>
      <c r="O234" s="26"/>
      <c r="P234" s="209"/>
      <c r="Q234" s="209"/>
      <c r="R234" s="209"/>
      <c r="S234" s="209"/>
      <c r="T234" s="209"/>
      <c r="U234" s="380"/>
      <c r="W234" s="7"/>
      <c r="X234" s="7"/>
      <c r="Y234" s="7"/>
      <c r="Z234" s="7"/>
      <c r="AA234" s="7"/>
      <c r="AB234" s="380"/>
      <c r="AD234" s="7"/>
      <c r="AE234" s="7"/>
      <c r="AF234" s="7"/>
      <c r="AG234" s="7"/>
      <c r="AH234" s="7"/>
      <c r="AI234" s="380"/>
      <c r="AK234" s="7"/>
      <c r="AL234" s="7"/>
      <c r="AM234" s="7"/>
      <c r="AN234" s="7"/>
      <c r="AO234" s="7"/>
      <c r="AP234" s="380"/>
      <c r="AR234" s="7"/>
      <c r="AS234" s="7"/>
      <c r="AT234" s="7"/>
      <c r="AU234" s="7"/>
      <c r="AV234" s="7"/>
      <c r="AW234" s="380"/>
      <c r="BA234" s="368"/>
      <c r="BB234" s="369"/>
      <c r="BC234" s="369"/>
    </row>
    <row r="235" spans="1:64" x14ac:dyDescent="0.25">
      <c r="A235" s="44" t="s">
        <v>143</v>
      </c>
      <c r="B235" s="26"/>
      <c r="C235" s="26"/>
      <c r="D235" s="26"/>
      <c r="E235" s="26"/>
      <c r="F235" s="26"/>
      <c r="G235" s="26"/>
      <c r="H235" s="26"/>
      <c r="I235" s="26"/>
      <c r="J235" s="26"/>
      <c r="K235" s="26"/>
      <c r="L235" s="26"/>
      <c r="M235" s="26"/>
      <c r="N235" s="26"/>
      <c r="O235" s="26"/>
      <c r="P235" s="26"/>
      <c r="Q235" s="26"/>
      <c r="R235" s="26"/>
      <c r="S235" s="26"/>
      <c r="T235" s="26"/>
      <c r="U235" s="26"/>
      <c r="W235" s="26"/>
      <c r="X235" s="26"/>
      <c r="Y235" s="26"/>
      <c r="Z235" s="26"/>
      <c r="AA235" s="26"/>
      <c r="AB235" s="26"/>
      <c r="AD235" s="26"/>
      <c r="AE235" s="26"/>
      <c r="AF235" s="26"/>
      <c r="AG235" s="26"/>
      <c r="AH235" s="26"/>
      <c r="AI235" s="26"/>
      <c r="AJ235" s="2"/>
      <c r="AK235" s="26"/>
      <c r="AL235" s="26"/>
      <c r="AM235" s="26"/>
      <c r="AN235" s="26"/>
      <c r="AO235" s="26"/>
      <c r="AP235" s="26"/>
      <c r="AR235" s="26"/>
      <c r="AS235" s="26"/>
      <c r="AT235" s="26"/>
      <c r="AU235" s="26"/>
      <c r="AV235" s="26"/>
      <c r="AW235" s="26"/>
      <c r="BA235" s="137"/>
      <c r="BB235" s="369"/>
      <c r="BC235" s="369"/>
    </row>
    <row r="236" spans="1:64" x14ac:dyDescent="0.25">
      <c r="A236" s="34" t="s">
        <v>381</v>
      </c>
      <c r="B236" s="27">
        <v>1.1861119527718891</v>
      </c>
      <c r="C236" s="27">
        <v>1.0487231011263827</v>
      </c>
      <c r="D236" s="27">
        <v>0.92692570857780632</v>
      </c>
      <c r="E236" s="27">
        <v>0.82606841929078001</v>
      </c>
      <c r="F236" s="27">
        <v>0.75673053182615369</v>
      </c>
      <c r="G236" s="27">
        <v>0.71839352504319809</v>
      </c>
      <c r="H236" s="223"/>
      <c r="I236" s="27">
        <v>1.176359663632115</v>
      </c>
      <c r="J236" s="27">
        <v>1.0404298354051722</v>
      </c>
      <c r="K236" s="27">
        <v>0.9198321876360902</v>
      </c>
      <c r="L236" s="27">
        <v>0.81977155477303221</v>
      </c>
      <c r="M236" s="27">
        <v>0.75037675735226672</v>
      </c>
      <c r="N236" s="27">
        <v>0.71839352504319809</v>
      </c>
      <c r="O236" s="7"/>
      <c r="P236" s="27">
        <v>1.1684857665329609</v>
      </c>
      <c r="Q236" s="27">
        <v>1.0334387360651245</v>
      </c>
      <c r="R236" s="27">
        <v>0.91378340553869708</v>
      </c>
      <c r="S236" s="27">
        <v>0.81328394410468086</v>
      </c>
      <c r="T236" s="27">
        <v>0.74466093217492246</v>
      </c>
      <c r="U236" s="27">
        <v>0.71839352504319809</v>
      </c>
      <c r="V236" s="2"/>
      <c r="W236" s="27">
        <v>1.1606108994103048</v>
      </c>
      <c r="X236" s="27">
        <v>1.0264515137337917</v>
      </c>
      <c r="Y236" s="27">
        <v>0.90637130018555012</v>
      </c>
      <c r="Z236" s="27">
        <v>0.80714498863815465</v>
      </c>
      <c r="AA236" s="27">
        <v>0.73903650635744667</v>
      </c>
      <c r="AB236" s="27">
        <v>0.71839352504319809</v>
      </c>
      <c r="AC236" s="2"/>
      <c r="AD236" s="27">
        <v>1.1526290098320124</v>
      </c>
      <c r="AE236" s="27">
        <v>1.0181241605607756</v>
      </c>
      <c r="AF236" s="27">
        <v>0.89928210531326824</v>
      </c>
      <c r="AG236" s="27">
        <v>0.80098309911292542</v>
      </c>
      <c r="AH236" s="27">
        <v>0.73289361495012595</v>
      </c>
      <c r="AI236" s="27">
        <v>0.71839352504319809</v>
      </c>
      <c r="AJ236" s="2"/>
      <c r="AK236" s="27">
        <v>1.145</v>
      </c>
      <c r="AL236" s="309">
        <v>1.0101833240253375</v>
      </c>
      <c r="AM236" s="309">
        <v>0.89234873408789994</v>
      </c>
      <c r="AN236" s="309">
        <v>0.79441650998473456</v>
      </c>
      <c r="AO236" s="309">
        <v>0.72657321918177553</v>
      </c>
      <c r="AP236" s="27">
        <v>0.71839352504319809</v>
      </c>
      <c r="AQ236" s="2"/>
      <c r="AR236" s="309">
        <v>1.1399999999999999</v>
      </c>
      <c r="AS236" s="309">
        <v>1.0022507297378567</v>
      </c>
      <c r="AT236" s="309">
        <v>0.8856759586639249</v>
      </c>
      <c r="AU236" s="309">
        <v>0.78765042013618369</v>
      </c>
      <c r="AV236" s="309">
        <v>0.720259582186488</v>
      </c>
      <c r="AW236" s="27">
        <v>0.71839352504319809</v>
      </c>
      <c r="AX236" s="2"/>
    </row>
    <row r="237" spans="1:64" x14ac:dyDescent="0.25">
      <c r="A237" s="39" t="s">
        <v>382</v>
      </c>
      <c r="B237" s="192">
        <f>(SUMPRODUCT(B$9:B$229,Nutrients!$CY$8:$CY$228)+(IF($A$7=Nutrients!$B$8,Nutrients!$CY$8,Nutrients!$CY$9)*B$7)+(((IF($A$8=Nutrients!$B$79,Nutrients!$CY$79,(IF($A$8=Nutrients!$B$77,Nutrients!$CY$77,Nutrients!$CY$78)))))*B$8))/2000/B$236*100</f>
        <v>56.344881641231822</v>
      </c>
      <c r="C237" s="192">
        <f>(SUMPRODUCT(C$9:C$229,Nutrients!$CY$8:$CY$228)+(IF($A$7=Nutrients!$B$8,Nutrients!$CY$8,Nutrients!$CY$9)*C$7)+(((IF($A$8=Nutrients!$B$79,Nutrients!$CY$79,(IF($A$8=Nutrients!$B$77,Nutrients!$CY$77,Nutrients!$CY$78)))))*C$8))/2000/C$236*100</f>
        <v>57.375308930399996</v>
      </c>
      <c r="D237" s="192">
        <f>(SUMPRODUCT(D$9:D$229,Nutrients!$CY$8:$CY$228)+(IF($A$7=Nutrients!$B$8,Nutrients!$CY$8,Nutrients!$CY$9)*D$7)+(((IF($A$8=Nutrients!$B$79,Nutrients!$CY$79,(IF($A$8=Nutrients!$B$77,Nutrients!$CY$77,Nutrients!$CY$78)))))*D$8))/2000/D$236*100</f>
        <v>58.876554056537131</v>
      </c>
      <c r="E237" s="192">
        <f>(SUMPRODUCT(E$9:E$229,Nutrients!$CY$8:$CY$228)+(IF($A$7=Nutrients!$B$8,Nutrients!$CY$8,Nutrients!$CY$9)*E$7)+(((IF($A$8=Nutrients!$B$79,Nutrients!$CY$79,(IF($A$8=Nutrients!$B$77,Nutrients!$CY$77,Nutrients!$CY$78)))))*E$8))/2000/E$236*100</f>
        <v>59.309801434553123</v>
      </c>
      <c r="F237" s="192">
        <f>(SUMPRODUCT(F$9:F$229,Nutrients!$CY$8:$CY$228)+(IF($A$7=Nutrients!$B$8,Nutrients!$CY$8,Nutrients!$CY$9)*F$7)+(((IF($A$8=Nutrients!$B$79,Nutrients!$CY$79,(IF($A$8=Nutrients!$B$77,Nutrients!$CY$77,Nutrients!$CY$78)))))*F$8))/2000/F$236*100</f>
        <v>58.50084547001024</v>
      </c>
      <c r="G237" s="192">
        <f>(SUMPRODUCT(G$9:G$229,Nutrients!$CY$8:$CY$228)+(IF($A$7=Nutrients!$B$8,Nutrients!$CY$8,Nutrients!$CY$9)*G$7)+(((IF($A$8=Nutrients!$B$79,Nutrients!$CY$79,(IF($A$8=Nutrients!$B$77,Nutrients!$CY$77,Nutrients!$CY$78)))))*G$8))/2000/G$236*100</f>
        <v>57.980356352367814</v>
      </c>
      <c r="H237" s="224"/>
      <c r="I237" s="225">
        <f>(SUMPRODUCT(I$9:I$229,Nutrients!$CY$8:$CY$228)+(IF($A$7=Nutrients!$B$8,Nutrients!$CY$8,Nutrients!$CY$9)*I$7)+(((IF($A$8=Nutrients!$B$79,Nutrients!$CY$79,(IF($A$8=Nutrients!$B$77,Nutrients!$CY$77,Nutrients!$CY$78)))))*I$8))/2000/I$236*100</f>
        <v>56.482295270436168</v>
      </c>
      <c r="J237" s="225">
        <f>(SUMPRODUCT(J$9:J$229,Nutrients!$CY$8:$CY$228)+(IF($A$7=Nutrients!$B$8,Nutrients!$CY$8,Nutrients!$CY$9)*J$7)+(((IF($A$8=Nutrients!$B$79,Nutrients!$CY$79,(IF($A$8=Nutrients!$B$77,Nutrients!$CY$77,Nutrients!$CY$78)))))*J$8))/2000/J$236*100</f>
        <v>57.55499078871258</v>
      </c>
      <c r="K237" s="225">
        <f>(SUMPRODUCT(K$9:K$229,Nutrients!$CY$8:$CY$228)+(IF($A$7=Nutrients!$B$8,Nutrients!$CY$8,Nutrients!$CY$9)*K$7)+(((IF($A$8=Nutrients!$B$79,Nutrients!$CY$79,(IF($A$8=Nutrients!$B$77,Nutrients!$CY$77,Nutrients!$CY$78)))))*K$8))/2000/K$236*100</f>
        <v>59.105805422878213</v>
      </c>
      <c r="L237" s="225">
        <f>(SUMPRODUCT(L$9:L$229,Nutrients!$CY$8:$CY$228)+(IF($A$7=Nutrients!$B$8,Nutrients!$CY$8,Nutrients!$CY$9)*L$7)+(((IF($A$8=Nutrients!$B$79,Nutrients!$CY$79,(IF($A$8=Nutrients!$B$77,Nutrients!$CY$77,Nutrients!$CY$78)))))*L$8))/2000/L$236*100</f>
        <v>59.579465879893903</v>
      </c>
      <c r="M237" s="225">
        <f>(SUMPRODUCT(M$9:M$229,Nutrients!$CY$8:$CY$228)+(IF($A$7=Nutrients!$B$8,Nutrients!$CY$8,Nutrients!$CY$9)*M$7)+(((IF($A$8=Nutrients!$B$79,Nutrients!$CY$79,(IF($A$8=Nutrients!$B$77,Nutrients!$CY$77,Nutrients!$CY$78)))))*M$8))/2000/M$236*100</f>
        <v>58.788252861538439</v>
      </c>
      <c r="N237" s="225">
        <f>(SUMPRODUCT(N$9:N$229,Nutrients!$CY$8:$CY$228)+(IF($A$7=Nutrients!$B$8,Nutrients!$CY$8,Nutrients!$CY$9)*N$7)+(((IF($A$8=Nutrients!$B$79,Nutrients!$CY$79,(IF($A$8=Nutrients!$B$77,Nutrients!$CY$77,Nutrients!$CY$78)))))*N$8))/2000/N$236*100</f>
        <v>57.980356352367814</v>
      </c>
      <c r="O237" s="471"/>
      <c r="P237" s="225">
        <f>(SUMPRODUCT(P$9:P$229,Nutrients!$CY$8:$CY$228)+(IF($A$7=Nutrients!$B$8,Nutrients!$CY$8,Nutrients!$CY$9)*P$7)+(((IF($A$8=Nutrients!$B$79,Nutrients!$CY$79,(IF($A$8=Nutrients!$B$77,Nutrients!$CY$77,Nutrients!$CY$78)))))*P$8))/2000/P$236*100</f>
        <v>56.640522033074902</v>
      </c>
      <c r="Q237" s="225">
        <f>(SUMPRODUCT(Q$9:Q$229,Nutrients!$CY$8:$CY$228)+(IF($A$7=Nutrients!$B$8,Nutrients!$CY$8,Nutrients!$CY$9)*Q$7)+(((IF($A$8=Nutrients!$B$79,Nutrients!$CY$79,(IF($A$8=Nutrients!$B$77,Nutrients!$CY$77,Nutrients!$CY$78)))))*Q$8))/2000/Q$236*100</f>
        <v>57.750647192151561</v>
      </c>
      <c r="R237" s="225">
        <f>(SUMPRODUCT(R$9:R$229,Nutrients!$CY$8:$CY$228)+(IF($A$7=Nutrients!$B$8,Nutrients!$CY$8,Nutrients!$CY$9)*R$7)+(((IF($A$8=Nutrients!$B$79,Nutrients!$CY$79,(IF($A$8=Nutrients!$B$77,Nutrients!$CY$77,Nutrients!$CY$78)))))*R$8))/2000/R$236*100</f>
        <v>59.348607916557242</v>
      </c>
      <c r="S237" s="225">
        <f>(SUMPRODUCT(S$9:S$229,Nutrients!$CY$8:$CY$228)+(IF($A$7=Nutrients!$B$8,Nutrients!$CY$8,Nutrients!$CY$9)*S$7)+(((IF($A$8=Nutrients!$B$79,Nutrients!$CY$79,(IF($A$8=Nutrients!$B$77,Nutrients!$CY$77,Nutrients!$CY$78)))))*S$8))/2000/S$236*100</f>
        <v>59.850742061035753</v>
      </c>
      <c r="T237" s="225">
        <f>(SUMPRODUCT(T$9:T$229,Nutrients!$CY$8:$CY$228)+(IF($A$7=Nutrients!$B$8,Nutrients!$CY$8,Nutrients!$CY$9)*T$7)+(((IF($A$8=Nutrients!$B$79,Nutrients!$CY$79,(IF($A$8=Nutrients!$B$77,Nutrients!$CY$77,Nutrients!$CY$78)))))*T$8))/2000/T$236*100</f>
        <v>59.087417576268756</v>
      </c>
      <c r="U237" s="225">
        <f>(SUMPRODUCT(U$9:U$229,Nutrients!$CY$8:$CY$228)+(IF($A$7=Nutrients!$B$8,Nutrients!$CY$8,Nutrients!$CY$9)*U$7)+(((IF($A$8=Nutrients!$B$79,Nutrients!$CY$79,(IF($A$8=Nutrients!$B$77,Nutrients!$CY$77,Nutrients!$CY$78)))))*U$8))/2000/U$236*100</f>
        <v>57.980356352367814</v>
      </c>
      <c r="V237" s="9"/>
      <c r="W237" s="225">
        <f>(SUMPRODUCT(W$9:W$229,Nutrients!$CY$8:$CY$228)+(IF($A$7=Nutrients!$B$8,Nutrients!$CY$8,Nutrients!$CY$9)*W$7)+(((IF($A$8=Nutrients!$B$79,Nutrients!$CY$79,(IF($A$8=Nutrients!$B$77,Nutrients!$CY$77,Nutrients!$CY$78)))))*W$8))/2000/W$236*100</f>
        <v>56.800663652900006</v>
      </c>
      <c r="X237" s="225">
        <f>(SUMPRODUCT(X$9:X$229,Nutrients!$CY$8:$CY$228)+(IF($A$7=Nutrients!$B$8,Nutrients!$CY$8,Nutrients!$CY$9)*X$7)+(((IF($A$8=Nutrients!$B$79,Nutrients!$CY$79,(IF($A$8=Nutrients!$B$77,Nutrients!$CY$77,Nutrients!$CY$78)))))*X$8))/2000/X$236*100</f>
        <v>57.949195014620926</v>
      </c>
      <c r="Y237" s="225">
        <f>(SUMPRODUCT(Y$9:Y$229,Nutrients!$CY$8:$CY$228)+(IF($A$7=Nutrients!$B$8,Nutrients!$CY$8,Nutrients!$CY$9)*Y$7)+(((IF($A$8=Nutrients!$B$79,Nutrients!$CY$79,(IF($A$8=Nutrients!$B$77,Nutrients!$CY$77,Nutrients!$CY$78)))))*Y$8))/2000/Y$236*100</f>
        <v>59.581096016986557</v>
      </c>
      <c r="Z237" s="225">
        <f>(SUMPRODUCT(Z$9:Z$229,Nutrients!$CY$8:$CY$228)+(IF($A$7=Nutrients!$B$8,Nutrients!$CY$8,Nutrients!$CY$9)*Z$7)+(((IF($A$8=Nutrients!$B$79,Nutrients!$CY$79,(IF($A$8=Nutrients!$B$77,Nutrients!$CY$77,Nutrients!$CY$78)))))*Z$8))/2000/Z$236*100</f>
        <v>60.129270470708853</v>
      </c>
      <c r="AA237" s="225">
        <f>(SUMPRODUCT(AA$9:AA$229,Nutrients!$CY$8:$CY$228)+(IF($A$7=Nutrients!$B$8,Nutrients!$CY$8,Nutrients!$CY$9)*AA$7)+(((IF($A$8=Nutrients!$B$79,Nutrients!$CY$79,(IF($A$8=Nutrients!$B$77,Nutrients!$CY$77,Nutrients!$CY$78)))))*AA$8))/2000/AA$236*100</f>
        <v>59.390002889693108</v>
      </c>
      <c r="AB237" s="225">
        <f>(SUMPRODUCT(AB$9:AB$229,Nutrients!$CY$8:$CY$228)+(IF($A$7=Nutrients!$B$8,Nutrients!$CY$8,Nutrients!$CY$9)*AB$7)+(((IF($A$8=Nutrients!$B$79,Nutrients!$CY$79,(IF($A$8=Nutrients!$B$77,Nutrients!$CY$77,Nutrients!$CY$78)))))*AB$8))/2000/AB$236*100</f>
        <v>57.980356352367814</v>
      </c>
      <c r="AC237" s="9"/>
      <c r="AD237" s="225">
        <f>(SUMPRODUCT(AD$9:AD$229,Nutrients!$CY$8:$CY$228)+(IF($A$7=Nutrients!$B$8,Nutrients!$CY$8,Nutrients!$CY$9)*AD$7)+(((IF($A$8=Nutrients!$B$79,Nutrients!$CY$79,(IF($A$8=Nutrients!$B$77,Nutrients!$CY$77,Nutrients!$CY$78)))))*AD$8))/2000/AD$236*100</f>
        <v>56.961606746862714</v>
      </c>
      <c r="AE237" s="225">
        <f>(SUMPRODUCT(AE$9:AE$229,Nutrients!$CY$8:$CY$228)+(IF($A$7=Nutrients!$B$8,Nutrients!$CY$8,Nutrients!$CY$9)*AE$7)+(((IF($A$8=Nutrients!$B$79,Nutrients!$CY$79,(IF($A$8=Nutrients!$B$77,Nutrients!$CY$77,Nutrients!$CY$78)))))*AE$8))/2000/AE$236*100</f>
        <v>58.136672750829099</v>
      </c>
      <c r="AF237" s="225">
        <f>(SUMPRODUCT(AF$9:AF$229,Nutrients!$CY$8:$CY$228)+(IF($A$7=Nutrients!$B$8,Nutrients!$CY$8,Nutrients!$CY$9)*AF$7)+(((IF($A$8=Nutrients!$B$79,Nutrients!$CY$79,(IF($A$8=Nutrients!$B$77,Nutrients!$CY$77,Nutrients!$CY$78)))))*AF$8))/2000/AF$236*100</f>
        <v>59.819887563477003</v>
      </c>
      <c r="AG237" s="225">
        <f>(SUMPRODUCT(AG$9:AG$229,Nutrients!$CY$8:$CY$228)+(IF($A$7=Nutrients!$B$8,Nutrients!$CY$8,Nutrients!$CY$9)*AG$7)+(((IF($A$8=Nutrients!$B$79,Nutrients!$CY$79,(IF($A$8=Nutrients!$B$77,Nutrients!$CY$77,Nutrients!$CY$78)))))*AG$8))/2000/AG$236*100</f>
        <v>60.409939538004721</v>
      </c>
      <c r="AH237" s="225">
        <f>(SUMPRODUCT(AH$9:AH$229,Nutrients!$CY$8:$CY$228)+(IF($A$7=Nutrients!$B$8,Nutrients!$CY$8,Nutrients!$CY$9)*AH$7)+(((IF($A$8=Nutrients!$B$79,Nutrients!$CY$79,(IF($A$8=Nutrients!$B$77,Nutrients!$CY$77,Nutrients!$CY$78)))))*AH$8))/2000/AH$236*100</f>
        <v>59.68148610896499</v>
      </c>
      <c r="AI237" s="225">
        <f>(SUMPRODUCT(AI$9:AI$229,Nutrients!$CY$8:$CY$228)+(IF($A$7=Nutrients!$B$8,Nutrients!$CY$8,Nutrients!$CY$9)*AI$7)+(((IF($A$8=Nutrients!$B$79,Nutrients!$CY$79,(IF($A$8=Nutrients!$B$77,Nutrients!$CY$77,Nutrients!$CY$78)))))*AI$8))/2000/AI$236*100</f>
        <v>57.980356352367814</v>
      </c>
      <c r="AJ237" s="9"/>
      <c r="AK237" s="225">
        <f>(SUMPRODUCT(AK$9:AK$229,Nutrients!$CY$8:$CY$228)+(IF($A$7=Nutrients!$B$8,Nutrients!$CY$8,Nutrients!$CY$9)*AK$7)+(((IF($A$8=Nutrients!$B$79,Nutrients!$CY$79,(IF($A$8=Nutrients!$B$77,Nutrients!$CY$77,Nutrients!$CY$78)))))*AK$8))/2000/AK$236*100</f>
        <v>57.128157898122431</v>
      </c>
      <c r="AL237" s="225">
        <f>(SUMPRODUCT(AL$9:AL$229,Nutrients!$CY$8:$CY$228)+(IF($A$7=Nutrients!$B$8,Nutrients!$CY$8,Nutrients!$CY$9)*AL$7)+(((IF($A$8=Nutrients!$B$79,Nutrients!$CY$79,(IF($A$8=Nutrients!$B$77,Nutrients!$CY$77,Nutrients!$CY$78)))))*AL$8))/2000/AL$236*100</f>
        <v>58.331427480269369</v>
      </c>
      <c r="AM237" s="225">
        <f>(SUMPRODUCT(AM$9:AM$229,Nutrients!$CY$8:$CY$228)+(IF($A$7=Nutrients!$B$8,Nutrients!$CY$8,Nutrients!$CY$9)*AM$7)+(((IF($A$8=Nutrients!$B$79,Nutrients!$CY$79,(IF($A$8=Nutrients!$B$77,Nutrients!$CY$77,Nutrients!$CY$78)))))*AM$8))/2000/AM$236*100</f>
        <v>60.063307705822922</v>
      </c>
      <c r="AN237" s="225">
        <f>(SUMPRODUCT(AN$9:AN$229,Nutrients!$CY$8:$CY$228)+(IF($A$7=Nutrients!$B$8,Nutrients!$CY$8,Nutrients!$CY$9)*AN$7)+(((IF($A$8=Nutrients!$B$79,Nutrients!$CY$79,(IF($A$8=Nutrients!$B$77,Nutrients!$CY$77,Nutrients!$CY$78)))))*AN$8))/2000/AN$236*100</f>
        <v>60.684311200905746</v>
      </c>
      <c r="AO237" s="225">
        <f>(SUMPRODUCT(AO$9:AO$229,Nutrients!$CY$8:$CY$228)+(IF($A$7=Nutrients!$B$8,Nutrients!$CY$8,Nutrients!$CY$9)*AO$7)+(((IF($A$8=Nutrients!$B$79,Nutrients!$CY$79,(IF($A$8=Nutrients!$B$77,Nutrients!$CY$77,Nutrients!$CY$78)))))*AO$8))/2000/AO$236*100</f>
        <v>59.972561699341185</v>
      </c>
      <c r="AP237" s="225">
        <f>(SUMPRODUCT(AP$9:AP$229,Nutrients!$CY$8:$CY$228)+(IF($A$7=Nutrients!$B$8,Nutrients!$CY$8,Nutrients!$CY$9)*AP$7)+(((IF($A$8=Nutrients!$B$79,Nutrients!$CY$79,(IF($A$8=Nutrients!$B$77,Nutrients!$CY$77,Nutrients!$CY$78)))))*AP$8))/2000/AP$236*100</f>
        <v>57.980356352367814</v>
      </c>
      <c r="AQ237" s="9"/>
      <c r="AR237" s="225">
        <f>(SUMPRODUCT(AR$9:AR$229,Nutrients!$CY$8:$CY$228)+(IF($A$7=Nutrients!$B$8,Nutrients!$CY$8,Nutrients!$CY$9)*AR$7)+(((IF($A$8=Nutrients!$B$79,Nutrients!$CY$79,(IF($A$8=Nutrients!$B$77,Nutrients!$CY$77,Nutrients!$CY$78)))))*AR$8))/2000/AR$236*100</f>
        <v>57.322639520485744</v>
      </c>
      <c r="AS237" s="225">
        <f>(SUMPRODUCT(AS$9:AS$229,Nutrients!$CY$8:$CY$228)+(IF($A$7=Nutrients!$B$8,Nutrients!$CY$8,Nutrients!$CY$9)*AS$7)+(((IF($A$8=Nutrients!$B$79,Nutrients!$CY$79,(IF($A$8=Nutrients!$B$77,Nutrients!$CY$77,Nutrients!$CY$78)))))*AS$8))/2000/AS$236*100</f>
        <v>58.528490441985738</v>
      </c>
      <c r="AT237" s="225">
        <f>(SUMPRODUCT(AT$9:AT$229,Nutrients!$CY$8:$CY$228)+(IF($A$7=Nutrients!$B$8,Nutrients!$CY$8,Nutrients!$CY$9)*AT$7)+(((IF($A$8=Nutrients!$B$79,Nutrients!$CY$79,(IF($A$8=Nutrients!$B$77,Nutrients!$CY$77,Nutrients!$CY$78)))))*AT$8))/2000/AT$236*100</f>
        <v>60.311975774799855</v>
      </c>
      <c r="AU237" s="225">
        <f>(SUMPRODUCT(AU$9:AU$229,Nutrients!$CY$8:$CY$228)+(IF($A$7=Nutrients!$B$8,Nutrients!$CY$8,Nutrients!$CY$9)*AU$7)+(((IF($A$8=Nutrients!$B$79,Nutrients!$CY$79,(IF($A$8=Nutrients!$B$77,Nutrients!$CY$77,Nutrients!$CY$78)))))*AU$8))/2000/AU$236*100</f>
        <v>60.956431487495088</v>
      </c>
      <c r="AV237" s="225">
        <f>(SUMPRODUCT(AV$9:AV$229,Nutrients!$CY$8:$CY$228)+(IF($A$7=Nutrients!$B$8,Nutrients!$CY$8,Nutrients!$CY$9)*AV$7)+(((IF($A$8=Nutrients!$B$79,Nutrients!$CY$79,(IF($A$8=Nutrients!$B$77,Nutrients!$CY$77,Nutrients!$CY$78)))))*AV$8))/2000/AV$236*100</f>
        <v>60.268821398365226</v>
      </c>
      <c r="AW237" s="225">
        <f>(SUMPRODUCT(AW$9:AW$229,Nutrients!$CY$8:$CY$228)+(IF($A$7=Nutrients!$B$8,Nutrients!$CY$8,Nutrients!$CY$9)*AW$7)+(((IF($A$8=Nutrients!$B$79,Nutrients!$CY$79,(IF($A$8=Nutrients!$B$77,Nutrients!$CY$77,Nutrients!$CY$78)))))*AW$8))/2000/AW$236*100</f>
        <v>57.980356352367814</v>
      </c>
      <c r="AX237" s="9"/>
      <c r="AZ237" s="117"/>
      <c r="BA237" s="117"/>
      <c r="BB237" s="117"/>
      <c r="BC237" s="117"/>
      <c r="BD237" s="117"/>
      <c r="BE237" s="117"/>
      <c r="BG237" s="447"/>
      <c r="BH237" s="447"/>
      <c r="BI237" s="447"/>
      <c r="BJ237" s="447"/>
      <c r="BK237" s="447"/>
      <c r="BL237" s="447"/>
    </row>
    <row r="238" spans="1:64" x14ac:dyDescent="0.25">
      <c r="A238" s="39" t="s">
        <v>383</v>
      </c>
      <c r="B238" s="192">
        <f>(SUMPRODUCT(B$9:B$229,Nutrients!$CZ$8:$CZ$228)+(IF($A$7=Nutrients!$B$8,Nutrients!$CZ$8,Nutrients!$CZ$9)*B$7)+(((IF($A$8=Nutrients!$B$79,Nutrients!$CZ$79,(IF($A$8=Nutrients!$B$77,Nutrients!$CZ$77,Nutrients!$CZ$78)))))*B$8))/2000/B$236*100</f>
        <v>120.89105591211504</v>
      </c>
      <c r="C238" s="192">
        <f>(SUMPRODUCT(C$9:C$229,Nutrients!$CZ$8:$CZ$228)+(IF($A$7=Nutrients!$B$8,Nutrients!$CZ$8,Nutrients!$CZ$9)*C$7)+(((IF($A$8=Nutrients!$B$79,Nutrients!$CZ$79,(IF($A$8=Nutrients!$B$77,Nutrients!$CZ$77,Nutrients!$CZ$78)))))*C$8))/2000/C$236*100</f>
        <v>128.00798727272854</v>
      </c>
      <c r="D238" s="192">
        <f>(SUMPRODUCT(D$9:D$229,Nutrients!$CZ$8:$CZ$228)+(IF($A$7=Nutrients!$B$8,Nutrients!$CZ$8,Nutrients!$CZ$9)*D$7)+(((IF($A$8=Nutrients!$B$79,Nutrients!$CZ$79,(IF($A$8=Nutrients!$B$77,Nutrients!$CZ$77,Nutrients!$CZ$78)))))*D$8))/2000/D$236*100</f>
        <v>136.56000538997691</v>
      </c>
      <c r="E238" s="192">
        <f>(SUMPRODUCT(E$9:E$229,Nutrients!$CZ$8:$CZ$228)+(IF($A$7=Nutrients!$B$8,Nutrients!$CZ$8,Nutrients!$CZ$9)*E$7)+(((IF($A$8=Nutrients!$B$79,Nutrients!$CZ$79,(IF($A$8=Nutrients!$B$77,Nutrients!$CZ$77,Nutrients!$CZ$78)))))*E$8))/2000/E$236*100</f>
        <v>143.9104596541508</v>
      </c>
      <c r="F238" s="192">
        <f>(SUMPRODUCT(F$9:F$229,Nutrients!$CZ$8:$CZ$228)+(IF($A$7=Nutrients!$B$8,Nutrients!$CZ$8,Nutrients!$CZ$9)*F$7)+(((IF($A$8=Nutrients!$B$79,Nutrients!$CZ$79,(IF($A$8=Nutrients!$B$77,Nutrients!$CZ$77,Nutrients!$CZ$78)))))*F$8))/2000/F$236*100</f>
        <v>148.44781930158939</v>
      </c>
      <c r="G238" s="192">
        <f>(SUMPRODUCT(G$9:G$229,Nutrients!$CZ$8:$CZ$228)+(IF($A$7=Nutrients!$B$8,Nutrients!$CZ$8,Nutrients!$CZ$9)*G$7)+(((IF($A$8=Nutrients!$B$79,Nutrients!$CZ$79,(IF($A$8=Nutrients!$B$77,Nutrients!$CZ$77,Nutrients!$CZ$78)))))*G$8))/2000/G$236*100</f>
        <v>151.29313192040226</v>
      </c>
      <c r="H238" s="224"/>
      <c r="I238" s="225">
        <f>(SUMPRODUCT(I$9:I$229,Nutrients!$CZ$8:$CZ$228)+(IF($A$7=Nutrients!$B$8,Nutrients!$CZ$8,Nutrients!$CZ$9)*I$7)+(((IF($A$8=Nutrients!$B$79,Nutrients!$CZ$79,(IF($A$8=Nutrients!$B$77,Nutrients!$CZ$77,Nutrients!$CZ$78)))))*I$8))/2000/I$236*100</f>
        <v>126.6795290689207</v>
      </c>
      <c r="J238" s="225">
        <f>(SUMPRODUCT(J$9:J$229,Nutrients!$CZ$8:$CZ$228)+(IF($A$7=Nutrients!$B$8,Nutrients!$CZ$8,Nutrients!$CZ$9)*J$7)+(((IF($A$8=Nutrients!$B$79,Nutrients!$CZ$79,(IF($A$8=Nutrients!$B$77,Nutrients!$CZ$77,Nutrients!$CZ$78)))))*J$8))/2000/J$236*100</f>
        <v>134.56949392018208</v>
      </c>
      <c r="K238" s="225">
        <f>(SUMPRODUCT(K$9:K$229,Nutrients!$CZ$8:$CZ$228)+(IF($A$7=Nutrients!$B$8,Nutrients!$CZ$8,Nutrients!$CZ$9)*K$7)+(((IF($A$8=Nutrients!$B$79,Nutrients!$CZ$79,(IF($A$8=Nutrients!$B$77,Nutrients!$CZ$77,Nutrients!$CZ$78)))))*K$8))/2000/K$236*100</f>
        <v>144.00641091470737</v>
      </c>
      <c r="L238" s="225">
        <f>(SUMPRODUCT(L$9:L$229,Nutrients!$CZ$8:$CZ$228)+(IF($A$7=Nutrients!$B$8,Nutrients!$CZ$8,Nutrients!$CZ$9)*L$7)+(((IF($A$8=Nutrients!$B$79,Nutrients!$CZ$79,(IF($A$8=Nutrients!$B$77,Nutrients!$CZ$77,Nutrients!$CZ$78)))))*L$8))/2000/L$236*100</f>
        <v>152.28190016231801</v>
      </c>
      <c r="M238" s="225">
        <f>(SUMPRODUCT(M$9:M$229,Nutrients!$CZ$8:$CZ$228)+(IF($A$7=Nutrients!$B$8,Nutrients!$CZ$8,Nutrients!$CZ$9)*M$7)+(((IF($A$8=Nutrients!$B$79,Nutrients!$CZ$79,(IF($A$8=Nutrients!$B$77,Nutrients!$CZ$77,Nutrients!$CZ$78)))))*M$8))/2000/M$236*100</f>
        <v>157.63769113773913</v>
      </c>
      <c r="N238" s="225">
        <f>(SUMPRODUCT(N$9:N$229,Nutrients!$CZ$8:$CZ$228)+(IF($A$7=Nutrients!$B$8,Nutrients!$CZ$8,Nutrients!$CZ$9)*N$7)+(((IF($A$8=Nutrients!$B$79,Nutrients!$CZ$79,(IF($A$8=Nutrients!$B$77,Nutrients!$CZ$77,Nutrients!$CZ$78)))))*N$8))/2000/N$236*100</f>
        <v>151.29313192040226</v>
      </c>
      <c r="O238" s="472"/>
      <c r="P238" s="225">
        <f>(SUMPRODUCT(P$9:P$229,Nutrients!$CZ$8:$CZ$228)+(IF($A$7=Nutrients!$B$8,Nutrients!$CZ$8,Nutrients!$CZ$9)*P$7)+(((IF($A$8=Nutrients!$B$79,Nutrients!$CZ$79,(IF($A$8=Nutrients!$B$77,Nutrients!$CZ$77,Nutrients!$CZ$78)))))*P$8))/2000/P$236*100</f>
        <v>132.50343020501964</v>
      </c>
      <c r="Q238" s="225">
        <f>(SUMPRODUCT(Q$9:Q$229,Nutrients!$CZ$8:$CZ$228)+(IF($A$7=Nutrients!$B$8,Nutrients!$CZ$8,Nutrients!$CZ$9)*Q$7)+(((IF($A$8=Nutrients!$B$79,Nutrients!$CZ$79,(IF($A$8=Nutrients!$B$77,Nutrients!$CZ$77,Nutrients!$CZ$78)))))*Q$8))/2000/Q$236*100</f>
        <v>141.1773003902108</v>
      </c>
      <c r="R238" s="225">
        <f>(SUMPRODUCT(R$9:R$229,Nutrients!$CZ$8:$CZ$228)+(IF($A$7=Nutrients!$B$8,Nutrients!$CZ$8,Nutrients!$CZ$9)*R$7)+(((IF($A$8=Nutrients!$B$79,Nutrients!$CZ$79,(IF($A$8=Nutrients!$B$77,Nutrients!$CZ$77,Nutrients!$CZ$78)))))*R$8))/2000/R$236*100</f>
        <v>151.50272033780507</v>
      </c>
      <c r="S238" s="225">
        <f>(SUMPRODUCT(S$9:S$229,Nutrients!$CZ$8:$CZ$228)+(IF($A$7=Nutrients!$B$8,Nutrients!$CZ$8,Nutrients!$CZ$9)*S$7)+(((IF($A$8=Nutrients!$B$79,Nutrients!$CZ$79,(IF($A$8=Nutrients!$B$77,Nutrients!$CZ$77,Nutrients!$CZ$78)))))*S$8))/2000/S$236*100</f>
        <v>160.79455920196546</v>
      </c>
      <c r="T238" s="225">
        <f>(SUMPRODUCT(T$9:T$229,Nutrients!$CZ$8:$CZ$228)+(IF($A$7=Nutrients!$B$8,Nutrients!$CZ$8,Nutrients!$CZ$9)*T$7)+(((IF($A$8=Nutrients!$B$79,Nutrients!$CZ$79,(IF($A$8=Nutrients!$B$77,Nutrients!$CZ$77,Nutrients!$CZ$78)))))*T$8))/2000/T$236*100</f>
        <v>166.91651691697913</v>
      </c>
      <c r="U238" s="225">
        <f>(SUMPRODUCT(U$9:U$229,Nutrients!$CZ$8:$CZ$228)+(IF($A$7=Nutrients!$B$8,Nutrients!$CZ$8,Nutrients!$CZ$9)*U$7)+(((IF($A$8=Nutrients!$B$79,Nutrients!$CZ$79,(IF($A$8=Nutrients!$B$77,Nutrients!$CZ$77,Nutrients!$CZ$78)))))*U$8))/2000/U$236*100</f>
        <v>151.29313192040226</v>
      </c>
      <c r="V238" s="9"/>
      <c r="W238" s="225">
        <f>(SUMPRODUCT(W$9:W$229,Nutrients!$CZ$8:$CZ$228)+(IF($A$7=Nutrients!$B$8,Nutrients!$CZ$8,Nutrients!$CZ$9)*W$7)+(((IF($A$8=Nutrients!$B$79,Nutrients!$CZ$79,(IF($A$8=Nutrients!$B$77,Nutrients!$CZ$77,Nutrients!$CZ$78)))))*W$8))/2000/W$236*100</f>
        <v>138.40496995912218</v>
      </c>
      <c r="X238" s="225">
        <f>(SUMPRODUCT(X$9:X$229,Nutrients!$CZ$8:$CZ$228)+(IF($A$7=Nutrients!$B$8,Nutrients!$CZ$8,Nutrients!$CZ$9)*X$7)+(((IF($A$8=Nutrients!$B$79,Nutrients!$CZ$79,(IF($A$8=Nutrients!$B$77,Nutrients!$CZ$77,Nutrients!$CZ$78)))))*X$8))/2000/X$236*100</f>
        <v>147.8761134853815</v>
      </c>
      <c r="Y238" s="225">
        <f>(SUMPRODUCT(Y$9:Y$229,Nutrients!$CZ$8:$CZ$228)+(IF($A$7=Nutrients!$B$8,Nutrients!$CZ$8,Nutrients!$CZ$9)*Y$7)+(((IF($A$8=Nutrients!$B$79,Nutrients!$CZ$79,(IF($A$8=Nutrients!$B$77,Nutrients!$CZ$77,Nutrients!$CZ$78)))))*Y$8))/2000/Y$236*100</f>
        <v>159.19180549551325</v>
      </c>
      <c r="Z238" s="225">
        <f>(SUMPRODUCT(Z$9:Z$229,Nutrients!$CZ$8:$CZ$228)+(IF($A$7=Nutrients!$B$8,Nutrients!$CZ$8,Nutrients!$CZ$9)*Z$7)+(((IF($A$8=Nutrients!$B$79,Nutrients!$CZ$79,(IF($A$8=Nutrients!$B$77,Nutrients!$CZ$77,Nutrients!$CZ$78)))))*Z$8))/2000/Z$236*100</f>
        <v>169.40805659379222</v>
      </c>
      <c r="AA238" s="225">
        <f>(SUMPRODUCT(AA$9:AA$229,Nutrients!$CZ$8:$CZ$228)+(IF($A$7=Nutrients!$B$8,Nutrients!$CZ$8,Nutrients!$CZ$9)*AA$7)+(((IF($A$8=Nutrients!$B$79,Nutrients!$CZ$79,(IF($A$8=Nutrients!$B$77,Nutrients!$CZ$77,Nutrients!$CZ$78)))))*AA$8))/2000/AA$236*100</f>
        <v>176.31414814718315</v>
      </c>
      <c r="AB238" s="225">
        <f>(SUMPRODUCT(AB$9:AB$229,Nutrients!$CZ$8:$CZ$228)+(IF($A$7=Nutrients!$B$8,Nutrients!$CZ$8,Nutrients!$CZ$9)*AB$7)+(((IF($A$8=Nutrients!$B$79,Nutrients!$CZ$79,(IF($A$8=Nutrients!$B$77,Nutrients!$CZ$77,Nutrients!$CZ$78)))))*AB$8))/2000/AB$236*100</f>
        <v>151.29313192040226</v>
      </c>
      <c r="AC238" s="9"/>
      <c r="AD238" s="225">
        <f>(SUMPRODUCT(AD$9:AD$229,Nutrients!$CZ$8:$CZ$228)+(IF($A$7=Nutrients!$B$8,Nutrients!$CZ$8,Nutrients!$CZ$9)*AD$7)+(((IF($A$8=Nutrients!$B$79,Nutrients!$CZ$79,(IF($A$8=Nutrients!$B$77,Nutrients!$CZ$77,Nutrients!$CZ$78)))))*AD$8))/2000/AD$236*100</f>
        <v>144.38955839338485</v>
      </c>
      <c r="AE238" s="225">
        <f>(SUMPRODUCT(AE$9:AE$229,Nutrients!$CZ$8:$CZ$228)+(IF($A$7=Nutrients!$B$8,Nutrients!$CZ$8,Nutrients!$CZ$9)*AE$7)+(((IF($A$8=Nutrients!$B$79,Nutrients!$CZ$79,(IF($A$8=Nutrients!$B$77,Nutrients!$CZ$77,Nutrients!$CZ$78)))))*AE$8))/2000/AE$236*100</f>
        <v>154.74197734640612</v>
      </c>
      <c r="AF238" s="225">
        <f>(SUMPRODUCT(AF$9:AF$229,Nutrients!$CZ$8:$CZ$228)+(IF($A$7=Nutrients!$B$8,Nutrients!$CZ$8,Nutrients!$CZ$9)*AF$7)+(((IF($A$8=Nutrients!$B$79,Nutrients!$CZ$79,(IF($A$8=Nutrients!$B$77,Nutrients!$CZ$77,Nutrients!$CZ$78)))))*AF$8))/2000/AF$236*100</f>
        <v>166.97830564974819</v>
      </c>
      <c r="AG238" s="225">
        <f>(SUMPRODUCT(AG$9:AG$229,Nutrients!$CZ$8:$CZ$228)+(IF($A$7=Nutrients!$B$8,Nutrients!$CZ$8,Nutrients!$CZ$9)*AG$7)+(((IF($A$8=Nutrients!$B$79,Nutrients!$CZ$79,(IF($A$8=Nutrients!$B$77,Nutrients!$CZ$77,Nutrients!$CZ$78)))))*AG$8))/2000/AG$236*100</f>
        <v>178.14381216192569</v>
      </c>
      <c r="AH238" s="225">
        <f>(SUMPRODUCT(AH$9:AH$229,Nutrients!$CZ$8:$CZ$228)+(IF($A$7=Nutrients!$B$8,Nutrients!$CZ$8,Nutrients!$CZ$9)*AH$7)+(((IF($A$8=Nutrients!$B$79,Nutrients!$CZ$79,(IF($A$8=Nutrients!$B$77,Nutrients!$CZ$77,Nutrients!$CZ$78)))))*AH$8))/2000/AH$236*100</f>
        <v>185.85828239785803</v>
      </c>
      <c r="AI238" s="225">
        <f>(SUMPRODUCT(AI$9:AI$229,Nutrients!$CZ$8:$CZ$228)+(IF($A$7=Nutrients!$B$8,Nutrients!$CZ$8,Nutrients!$CZ$9)*AI$7)+(((IF($A$8=Nutrients!$B$79,Nutrients!$CZ$79,(IF($A$8=Nutrients!$B$77,Nutrients!$CZ$77,Nutrients!$CZ$78)))))*AI$8))/2000/AI$236*100</f>
        <v>151.29313192040226</v>
      </c>
      <c r="AJ238" s="9"/>
      <c r="AK238" s="225">
        <f>(SUMPRODUCT(AK$9:AK$229,Nutrients!$CZ$8:$CZ$228)+(IF($A$7=Nutrients!$B$8,Nutrients!$CZ$8,Nutrients!$CZ$9)*AK$7)+(((IF($A$8=Nutrients!$B$79,Nutrients!$CZ$79,(IF($A$8=Nutrients!$B$77,Nutrients!$CZ$77,Nutrients!$CZ$78)))))*AK$8))/2000/AK$236*100</f>
        <v>150.44013460588158</v>
      </c>
      <c r="AL238" s="225">
        <f>(SUMPRODUCT(AL$9:AL$229,Nutrients!$CZ$8:$CZ$228)+(IF($A$7=Nutrients!$B$8,Nutrients!$CZ$8,Nutrients!$CZ$9)*AL$7)+(((IF($A$8=Nutrients!$B$79,Nutrients!$CZ$79,(IF($A$8=Nutrients!$B$77,Nutrients!$CZ$77,Nutrients!$CZ$78)))))*AL$8))/2000/AL$236*100</f>
        <v>161.69806814565987</v>
      </c>
      <c r="AM238" s="225">
        <f>(SUMPRODUCT(AM$9:AM$229,Nutrients!$CZ$8:$CZ$228)+(IF($A$7=Nutrients!$B$8,Nutrients!$CZ$8,Nutrients!$CZ$9)*AM$7)+(((IF($A$8=Nutrients!$B$79,Nutrients!$CZ$79,(IF($A$8=Nutrients!$B$77,Nutrients!$CZ$77,Nutrients!$CZ$78)))))*AM$8))/2000/AM$236*100</f>
        <v>174.87081182944416</v>
      </c>
      <c r="AN238" s="225">
        <f>(SUMPRODUCT(AN$9:AN$229,Nutrients!$CZ$8:$CZ$228)+(IF($A$7=Nutrients!$B$8,Nutrients!$CZ$8,Nutrients!$CZ$9)*AN$7)+(((IF($A$8=Nutrients!$B$79,Nutrients!$CZ$79,(IF($A$8=Nutrients!$B$77,Nutrients!$CZ$77,Nutrients!$CZ$78)))))*AN$8))/2000/AN$236*100</f>
        <v>187.0184547143235</v>
      </c>
      <c r="AO238" s="225">
        <f>(SUMPRODUCT(AO$9:AO$229,Nutrients!$CZ$8:$CZ$228)+(IF($A$7=Nutrients!$B$8,Nutrients!$CZ$8,Nutrients!$CZ$9)*AO$7)+(((IF($A$8=Nutrients!$B$79,Nutrients!$CZ$79,(IF($A$8=Nutrients!$B$77,Nutrients!$CZ$77,Nutrients!$CZ$78)))))*AO$8))/2000/AO$236*100</f>
        <v>195.56716003125672</v>
      </c>
      <c r="AP238" s="225">
        <f>(SUMPRODUCT(AP$9:AP$229,Nutrients!$CZ$8:$CZ$228)+(IF($A$7=Nutrients!$B$8,Nutrients!$CZ$8,Nutrients!$CZ$9)*AP$7)+(((IF($A$8=Nutrients!$B$79,Nutrients!$CZ$79,(IF($A$8=Nutrients!$B$77,Nutrients!$CZ$77,Nutrients!$CZ$78)))))*AP$8))/2000/AP$236*100</f>
        <v>151.29313192040226</v>
      </c>
      <c r="AQ238" s="9"/>
      <c r="AR238" s="225">
        <f>(SUMPRODUCT(AR$9:AR$229,Nutrients!$CZ$8:$CZ$228)+(IF($A$7=Nutrients!$B$8,Nutrients!$CZ$8,Nutrients!$CZ$9)*AR$7)+(((IF($A$8=Nutrients!$B$79,Nutrients!$CZ$79,(IF($A$8=Nutrients!$B$77,Nutrients!$CZ$77,Nutrients!$CZ$78)))))*AR$8))/2000/AR$236*100</f>
        <v>156.43290976221735</v>
      </c>
      <c r="AS238" s="225">
        <f>(SUMPRODUCT(AS$9:AS$229,Nutrients!$CZ$8:$CZ$228)+(IF($A$7=Nutrients!$B$8,Nutrients!$CZ$8,Nutrients!$CZ$9)*AS$7)+(((IF($A$8=Nutrients!$B$79,Nutrients!$CZ$79,(IF($A$8=Nutrients!$B$77,Nutrients!$CZ$77,Nutrients!$CZ$78)))))*AS$8))/2000/AS$236*100</f>
        <v>168.7583077393835</v>
      </c>
      <c r="AT238" s="225">
        <f>(SUMPRODUCT(AT$9:AT$229,Nutrients!$CZ$8:$CZ$228)+(IF($A$7=Nutrients!$B$8,Nutrients!$CZ$8,Nutrients!$CZ$9)*AT$7)+(((IF($A$8=Nutrients!$B$79,Nutrients!$CZ$79,(IF($A$8=Nutrients!$B$77,Nutrients!$CZ$77,Nutrients!$CZ$78)))))*AT$8))/2000/AT$236*100</f>
        <v>182.85535143625856</v>
      </c>
      <c r="AU238" s="225">
        <f>(SUMPRODUCT(AU$9:AU$229,Nutrients!$CZ$8:$CZ$228)+(IF($A$7=Nutrients!$B$8,Nutrients!$CZ$8,Nutrients!$CZ$9)*AU$7)+(((IF($A$8=Nutrients!$B$79,Nutrients!$CZ$79,(IF($A$8=Nutrients!$B$77,Nutrients!$CZ$77,Nutrients!$CZ$78)))))*AU$8))/2000/AU$236*100</f>
        <v>196.03483352426267</v>
      </c>
      <c r="AV238" s="225">
        <f>(SUMPRODUCT(AV$9:AV$229,Nutrients!$CZ$8:$CZ$228)+(IF($A$7=Nutrients!$B$8,Nutrients!$CZ$8,Nutrients!$CZ$9)*AV$7)+(((IF($A$8=Nutrients!$B$79,Nutrients!$CZ$79,(IF($A$8=Nutrients!$B$77,Nutrients!$CZ$77,Nutrients!$CZ$78)))))*AV$8))/2000/AV$236*100</f>
        <v>205.44540223121018</v>
      </c>
      <c r="AW238" s="225">
        <f>(SUMPRODUCT(AW$9:AW$229,Nutrients!$CZ$8:$CZ$228)+(IF($A$7=Nutrients!$B$8,Nutrients!$CZ$8,Nutrients!$CZ$9)*AW$7)+(((IF($A$8=Nutrients!$B$79,Nutrients!$CZ$79,(IF($A$8=Nutrients!$B$77,Nutrients!$CZ$77,Nutrients!$CZ$78)))))*AW$8))/2000/AW$236*100</f>
        <v>151.29313192040226</v>
      </c>
      <c r="AX238" s="9"/>
      <c r="AZ238" s="117"/>
      <c r="BA238" s="117"/>
      <c r="BB238" s="117"/>
      <c r="BC238" s="117"/>
      <c r="BD238" s="117"/>
      <c r="BE238" s="117"/>
      <c r="BG238" s="447"/>
      <c r="BH238" s="447"/>
      <c r="BI238" s="447"/>
      <c r="BJ238" s="447"/>
      <c r="BK238" s="447"/>
      <c r="BL238" s="447"/>
    </row>
    <row r="239" spans="1:64" x14ac:dyDescent="0.25">
      <c r="A239" s="38" t="s">
        <v>384</v>
      </c>
      <c r="B239" s="20">
        <f>(SUMPRODUCT(B$9:B$229,Nutrients!$DB$8:$DB$228)+(IF($A$7=Nutrients!$B$8,Nutrients!$DB$8,Nutrients!$DB$9)*B$7)+(((IF($A$8=Nutrients!$B$79,Nutrients!$DB$79,(IF($A$8=Nutrients!$B$77,Nutrients!$DB$77,Nutrients!$DB$78)))))*B$8))/2000/B$236*100</f>
        <v>33.81111138845354</v>
      </c>
      <c r="C239" s="20">
        <f>(SUMPRODUCT(C$9:C$229,Nutrients!$DB$8:$DB$228)+(IF($A$7=Nutrients!$B$8,Nutrients!$DB$8,Nutrients!$DB$9)*C$7)+(((IF($A$8=Nutrients!$B$79,Nutrients!$DB$79,(IF($A$8=Nutrients!$B$77,Nutrients!$DB$77,Nutrients!$DB$78)))))*C$8))/2000/C$236*100</f>
        <v>32.524236458699015</v>
      </c>
      <c r="D239" s="20">
        <f>(SUMPRODUCT(D$9:D$229,Nutrients!$DB$8:$DB$228)+(IF($A$7=Nutrients!$B$8,Nutrients!$DB$8,Nutrients!$DB$9)*D$7)+(((IF($A$8=Nutrients!$B$79,Nutrients!$DB$79,(IF($A$8=Nutrients!$B$77,Nutrients!$DB$77,Nutrients!$DB$78)))))*D$8))/2000/D$236*100</f>
        <v>30.974376755587524</v>
      </c>
      <c r="E239" s="20">
        <f>(SUMPRODUCT(E$9:E$229,Nutrients!$DB$8:$DB$228)+(IF($A$7=Nutrients!$B$8,Nutrients!$DB$8,Nutrients!$DB$9)*E$7)+(((IF($A$8=Nutrients!$B$79,Nutrients!$DB$79,(IF($A$8=Nutrients!$B$77,Nutrients!$DB$77,Nutrients!$DB$78)))))*E$8))/2000/E$236*100</f>
        <v>30.712595168445802</v>
      </c>
      <c r="F239" s="20">
        <f>(SUMPRODUCT(F$9:F$229,Nutrients!$DB$8:$DB$228)+(IF($A$7=Nutrients!$B$8,Nutrients!$DB$8,Nutrients!$DB$9)*F$7)+(((IF($A$8=Nutrients!$B$79,Nutrients!$DB$79,(IF($A$8=Nutrients!$B$77,Nutrients!$DB$77,Nutrients!$DB$78)))))*F$8))/2000/F$236*100</f>
        <v>30.00631713197205</v>
      </c>
      <c r="G239" s="20">
        <f>(SUMPRODUCT(G$9:G$229,Nutrients!$DB$8:$DB$228)+(IF($A$7=Nutrients!$B$8,Nutrients!$DB$8,Nutrients!$DB$9)*G$7)+(((IF($A$8=Nutrients!$B$79,Nutrients!$DB$79,(IF($A$8=Nutrients!$B$77,Nutrients!$DB$77,Nutrients!$DB$78)))))*G$8))/2000/G$236*100</f>
        <v>30.329377095070086</v>
      </c>
      <c r="H239" s="224"/>
      <c r="I239" s="451">
        <f>(SUMPRODUCT(I$9:I$229,Nutrients!$DB$8:$DB$228)+(IF($A$7=Nutrients!$B$8,Nutrients!$DB$8,Nutrients!$DB$9)*I$7)+(((IF($A$8=Nutrients!$B$79,Nutrients!$DB$79,(IF($A$8=Nutrients!$B$77,Nutrients!$DB$77,Nutrients!$DB$78)))))*I$8))/2000/I$236*100</f>
        <v>33.570726139031301</v>
      </c>
      <c r="J239" s="451">
        <f>(SUMPRODUCT(J$9:J$229,Nutrients!$DB$8:$DB$228)+(IF($A$7=Nutrients!$B$8,Nutrients!$DB$8,Nutrients!$DB$9)*J$7)+(((IF($A$8=Nutrients!$B$79,Nutrients!$DB$79,(IF($A$8=Nutrients!$B$77,Nutrients!$DB$77,Nutrients!$DB$78)))))*J$8))/2000/J$236*100</f>
        <v>32.219350212957885</v>
      </c>
      <c r="K239" s="451">
        <f>(SUMPRODUCT(K$9:K$229,Nutrients!$DB$8:$DB$228)+(IF($A$7=Nutrients!$B$8,Nutrients!$DB$8,Nutrients!$DB$9)*K$7)+(((IF($A$8=Nutrients!$B$79,Nutrients!$DB$79,(IF($A$8=Nutrients!$B$77,Nutrients!$DB$77,Nutrients!$DB$78)))))*K$8))/2000/K$236*100</f>
        <v>30.656497935709815</v>
      </c>
      <c r="L239" s="451">
        <f>(SUMPRODUCT(L$9:L$229,Nutrients!$DB$8:$DB$228)+(IF($A$7=Nutrients!$B$8,Nutrients!$DB$8,Nutrients!$DB$9)*L$7)+(((IF($A$8=Nutrients!$B$79,Nutrients!$DB$79,(IF($A$8=Nutrients!$B$77,Nutrients!$DB$77,Nutrients!$DB$78)))))*L$8))/2000/L$236*100</f>
        <v>30.276666496437514</v>
      </c>
      <c r="M239" s="451">
        <f>(SUMPRODUCT(M$9:M$229,Nutrients!$DB$8:$DB$228)+(IF($A$7=Nutrients!$B$8,Nutrients!$DB$8,Nutrients!$DB$9)*M$7)+(((IF($A$8=Nutrients!$B$79,Nutrients!$DB$79,(IF($A$8=Nutrients!$B$77,Nutrients!$DB$77,Nutrients!$DB$78)))))*M$8))/2000/M$236*100</f>
        <v>29.424925937536045</v>
      </c>
      <c r="N239" s="451">
        <f>(SUMPRODUCT(N$9:N$229,Nutrients!$DB$8:$DB$228)+(IF($A$7=Nutrients!$B$8,Nutrients!$DB$8,Nutrients!$DB$9)*N$7)+(((IF($A$8=Nutrients!$B$79,Nutrients!$DB$79,(IF($A$8=Nutrients!$B$77,Nutrients!$DB$77,Nutrients!$DB$78)))))*N$8))/2000/N$236*100</f>
        <v>30.329377095070086</v>
      </c>
      <c r="O239" s="472"/>
      <c r="P239" s="451">
        <f>(SUMPRODUCT(P$9:P$229,Nutrients!$DB$8:$DB$228)+(IF($A$7=Nutrients!$B$8,Nutrients!$DB$8,Nutrients!$DB$9)*P$7)+(((IF($A$8=Nutrients!$B$79,Nutrients!$DB$79,(IF($A$8=Nutrients!$B$77,Nutrients!$DB$77,Nutrients!$DB$78)))))*P$8))/2000/P$236*100</f>
        <v>33.343849198274064</v>
      </c>
      <c r="Q239" s="451">
        <f>(SUMPRODUCT(Q$9:Q$229,Nutrients!$DB$8:$DB$228)+(IF($A$7=Nutrients!$B$8,Nutrients!$DB$8,Nutrients!$DB$9)*Q$7)+(((IF($A$8=Nutrients!$B$79,Nutrients!$DB$79,(IF($A$8=Nutrients!$B$77,Nutrients!$DB$77,Nutrients!$DB$78)))))*Q$8))/2000/Q$236*100</f>
        <v>31.93975856760618</v>
      </c>
      <c r="R239" s="451">
        <f>(SUMPRODUCT(R$9:R$229,Nutrients!$DB$8:$DB$228)+(IF($A$7=Nutrients!$B$8,Nutrients!$DB$8,Nutrients!$DB$9)*R$7)+(((IF($A$8=Nutrients!$B$79,Nutrients!$DB$79,(IF($A$8=Nutrients!$B$77,Nutrients!$DB$77,Nutrients!$DB$78)))))*R$8))/2000/R$236*100</f>
        <v>30.315547130300573</v>
      </c>
      <c r="S239" s="451">
        <f>(SUMPRODUCT(S$9:S$229,Nutrients!$DB$8:$DB$228)+(IF($A$7=Nutrients!$B$8,Nutrients!$DB$8,Nutrients!$DB$9)*S$7)+(((IF($A$8=Nutrients!$B$79,Nutrients!$DB$79,(IF($A$8=Nutrients!$B$77,Nutrients!$DB$77,Nutrients!$DB$78)))))*S$8))/2000/S$236*100</f>
        <v>29.896961721410559</v>
      </c>
      <c r="T239" s="451">
        <f>(SUMPRODUCT(T$9:T$229,Nutrients!$DB$8:$DB$228)+(IF($A$7=Nutrients!$B$8,Nutrients!$DB$8,Nutrients!$DB$9)*T$7)+(((IF($A$8=Nutrients!$B$79,Nutrients!$DB$79,(IF($A$8=Nutrients!$B$77,Nutrients!$DB$77,Nutrients!$DB$78)))))*T$8))/2000/T$236*100</f>
        <v>29.396541570542762</v>
      </c>
      <c r="U239" s="451">
        <f>(SUMPRODUCT(U$9:U$229,Nutrients!$DB$8:$DB$228)+(IF($A$7=Nutrients!$B$8,Nutrients!$DB$8,Nutrients!$DB$9)*U$7)+(((IF($A$8=Nutrients!$B$79,Nutrients!$DB$79,(IF($A$8=Nutrients!$B$77,Nutrients!$DB$77,Nutrients!$DB$78)))))*U$8))/2000/U$236*100</f>
        <v>30.329377095070086</v>
      </c>
      <c r="V239" s="9"/>
      <c r="W239" s="451">
        <f>(SUMPRODUCT(W$9:W$229,Nutrients!$DB$8:$DB$228)+(IF($A$7=Nutrients!$B$8,Nutrients!$DB$8,Nutrients!$DB$9)*W$7)+(((IF($A$8=Nutrients!$B$79,Nutrients!$DB$79,(IF($A$8=Nutrients!$B$77,Nutrients!$DB$77,Nutrients!$DB$78)))))*W$8))/2000/W$236*100</f>
        <v>33.071006598326839</v>
      </c>
      <c r="X239" s="451">
        <f>(SUMPRODUCT(X$9:X$229,Nutrients!$DB$8:$DB$228)+(IF($A$7=Nutrients!$B$8,Nutrients!$DB$8,Nutrients!$DB$9)*X$7)+(((IF($A$8=Nutrients!$B$79,Nutrients!$DB$79,(IF($A$8=Nutrients!$B$77,Nutrients!$DB$77,Nutrients!$DB$78)))))*X$8))/2000/X$236*100</f>
        <v>31.65651718740116</v>
      </c>
      <c r="Y239" s="451">
        <f>(SUMPRODUCT(Y$9:Y$229,Nutrients!$DB$8:$DB$228)+(IF($A$7=Nutrients!$B$8,Nutrients!$DB$8,Nutrients!$DB$9)*Y$7)+(((IF($A$8=Nutrients!$B$79,Nutrients!$DB$79,(IF($A$8=Nutrients!$B$77,Nutrients!$DB$77,Nutrients!$DB$78)))))*Y$8))/2000/Y$236*100</f>
        <v>29.987459241674824</v>
      </c>
      <c r="Z239" s="451">
        <f>(SUMPRODUCT(Z$9:Z$229,Nutrients!$DB$8:$DB$228)+(IF($A$7=Nutrients!$B$8,Nutrients!$DB$8,Nutrients!$DB$9)*Z$7)+(((IF($A$8=Nutrients!$B$79,Nutrients!$DB$79,(IF($A$8=Nutrients!$B$77,Nutrients!$DB$77,Nutrients!$DB$78)))))*Z$8))/2000/Z$236*100</f>
        <v>29.505482180525377</v>
      </c>
      <c r="AA239" s="451">
        <f>(SUMPRODUCT(AA$9:AA$229,Nutrients!$DB$8:$DB$228)+(IF($A$7=Nutrients!$B$8,Nutrients!$DB$8,Nutrients!$DB$9)*AA$7)+(((IF($A$8=Nutrients!$B$79,Nutrients!$DB$79,(IF($A$8=Nutrients!$B$77,Nutrients!$DB$77,Nutrients!$DB$78)))))*AA$8))/2000/AA$236*100</f>
        <v>30.629516490379931</v>
      </c>
      <c r="AB239" s="451">
        <f>(SUMPRODUCT(AB$9:AB$229,Nutrients!$DB$8:$DB$228)+(IF($A$7=Nutrients!$B$8,Nutrients!$DB$8,Nutrients!$DB$9)*AB$7)+(((IF($A$8=Nutrients!$B$79,Nutrients!$DB$79,(IF($A$8=Nutrients!$B$77,Nutrients!$DB$77,Nutrients!$DB$78)))))*AB$8))/2000/AB$236*100</f>
        <v>30.329377095070086</v>
      </c>
      <c r="AC239" s="9"/>
      <c r="AD239" s="451">
        <f>(SUMPRODUCT(AD$9:AD$229,Nutrients!$DB$8:$DB$228)+(IF($A$7=Nutrients!$B$8,Nutrients!$DB$8,Nutrients!$DB$9)*AD$7)+(((IF($A$8=Nutrients!$B$79,Nutrients!$DB$79,(IF($A$8=Nutrients!$B$77,Nutrients!$DB$77,Nutrients!$DB$78)))))*AD$8))/2000/AD$236*100</f>
        <v>32.7954294555365</v>
      </c>
      <c r="AE239" s="451">
        <f>(SUMPRODUCT(AE$9:AE$229,Nutrients!$DB$8:$DB$228)+(IF($A$7=Nutrients!$B$8,Nutrients!$DB$8,Nutrients!$DB$9)*AE$7)+(((IF($A$8=Nutrients!$B$79,Nutrients!$DB$79,(IF($A$8=Nutrients!$B$77,Nutrients!$DB$77,Nutrients!$DB$78)))))*AE$8))/2000/AE$236*100</f>
        <v>31.386430628917573</v>
      </c>
      <c r="AF239" s="451">
        <f>(SUMPRODUCT(AF$9:AF$229,Nutrients!$DB$8:$DB$228)+(IF($A$7=Nutrients!$B$8,Nutrients!$DB$8,Nutrients!$DB$9)*AF$7)+(((IF($A$8=Nutrients!$B$79,Nutrients!$DB$79,(IF($A$8=Nutrients!$B$77,Nutrients!$DB$77,Nutrients!$DB$78)))))*AF$8))/2000/AF$236*100</f>
        <v>29.649149391614394</v>
      </c>
      <c r="AG239" s="451">
        <f>(SUMPRODUCT(AG$9:AG$229,Nutrients!$DB$8:$DB$228)+(IF($A$7=Nutrients!$B$8,Nutrients!$DB$8,Nutrients!$DB$9)*AG$7)+(((IF($A$8=Nutrients!$B$79,Nutrients!$DB$79,(IF($A$8=Nutrients!$B$77,Nutrients!$DB$77,Nutrients!$DB$78)))))*AG$8))/2000/AG$236*100</f>
        <v>30.700538208269201</v>
      </c>
      <c r="AH239" s="451">
        <f>(SUMPRODUCT(AH$9:AH$229,Nutrients!$DB$8:$DB$228)+(IF($A$7=Nutrients!$B$8,Nutrients!$DB$8,Nutrients!$DB$9)*AH$7)+(((IF($A$8=Nutrients!$B$79,Nutrients!$DB$79,(IF($A$8=Nutrients!$B$77,Nutrients!$DB$77,Nutrients!$DB$78)))))*AH$8))/2000/AH$236*100</f>
        <v>31.880332332867106</v>
      </c>
      <c r="AI239" s="451">
        <f>(SUMPRODUCT(AI$9:AI$229,Nutrients!$DB$8:$DB$228)+(IF($A$7=Nutrients!$B$8,Nutrients!$DB$8,Nutrients!$DB$9)*AI$7)+(((IF($A$8=Nutrients!$B$79,Nutrients!$DB$79,(IF($A$8=Nutrients!$B$77,Nutrients!$DB$77,Nutrients!$DB$78)))))*AI$8))/2000/AI$236*100</f>
        <v>30.329377095070086</v>
      </c>
      <c r="AJ239" s="9"/>
      <c r="AK239" s="451">
        <f>(SUMPRODUCT(AK$9:AK$229,Nutrients!$DB$8:$DB$228)+(IF($A$7=Nutrients!$B$8,Nutrients!$DB$8,Nutrients!$DB$9)*AK$7)+(((IF($A$8=Nutrients!$B$79,Nutrients!$DB$79,(IF($A$8=Nutrients!$B$77,Nutrients!$DB$77,Nutrients!$DB$78)))))*AK$8))/2000/AK$236*100</f>
        <v>32.59792509370714</v>
      </c>
      <c r="AL239" s="451">
        <f>(SUMPRODUCT(AL$9:AL$229,Nutrients!$DB$8:$DB$228)+(IF($A$7=Nutrients!$B$8,Nutrients!$DB$8,Nutrients!$DB$9)*AL$7)+(((IF($A$8=Nutrients!$B$79,Nutrients!$DB$79,(IF($A$8=Nutrients!$B$77,Nutrients!$DB$77,Nutrients!$DB$78)))))*AL$8))/2000/AL$236*100</f>
        <v>31.05830809242967</v>
      </c>
      <c r="AM239" s="451">
        <f>(SUMPRODUCT(AM$9:AM$229,Nutrients!$DB$8:$DB$228)+(IF($A$7=Nutrients!$B$8,Nutrients!$DB$8,Nutrients!$DB$9)*AM$7)+(((IF($A$8=Nutrients!$B$79,Nutrients!$DB$79,(IF($A$8=Nutrients!$B$77,Nutrients!$DB$77,Nutrients!$DB$78)))))*AM$8))/2000/AM$236*100</f>
        <v>29.953049099354782</v>
      </c>
      <c r="AN239" s="451">
        <f>(SUMPRODUCT(AN$9:AN$229,Nutrients!$DB$8:$DB$228)+(IF($A$7=Nutrients!$B$8,Nutrients!$DB$8,Nutrients!$DB$9)*AN$7)+(((IF($A$8=Nutrients!$B$79,Nutrients!$DB$79,(IF($A$8=Nutrients!$B$77,Nutrients!$DB$77,Nutrients!$DB$78)))))*AN$8))/2000/AN$236*100</f>
        <v>31.863782027395938</v>
      </c>
      <c r="AO239" s="451">
        <f>(SUMPRODUCT(AO$9:AO$229,Nutrients!$DB$8:$DB$228)+(IF($A$7=Nutrients!$B$8,Nutrients!$DB$8,Nutrients!$DB$9)*AO$7)+(((IF($A$8=Nutrients!$B$79,Nutrients!$DB$79,(IF($A$8=Nutrients!$B$77,Nutrients!$DB$77,Nutrients!$DB$78)))))*AO$8))/2000/AO$236*100</f>
        <v>33.15227134927337</v>
      </c>
      <c r="AP239" s="451">
        <f>(SUMPRODUCT(AP$9:AP$229,Nutrients!$DB$8:$DB$228)+(IF($A$7=Nutrients!$B$8,Nutrients!$DB$8,Nutrients!$DB$9)*AP$7)+(((IF($A$8=Nutrients!$B$79,Nutrients!$DB$79,(IF($A$8=Nutrients!$B$77,Nutrients!$DB$77,Nutrients!$DB$78)))))*AP$8))/2000/AP$236*100</f>
        <v>30.329377095070086</v>
      </c>
      <c r="AQ239" s="9"/>
      <c r="AR239" s="451">
        <f>(SUMPRODUCT(AR$9:AR$229,Nutrients!$DB$8:$DB$228)+(IF($A$7=Nutrients!$B$8,Nutrients!$DB$8,Nutrients!$DB$9)*AR$7)+(((IF($A$8=Nutrients!$B$79,Nutrients!$DB$79,(IF($A$8=Nutrients!$B$77,Nutrients!$DB$77,Nutrients!$DB$78)))))*AR$8))/2000/AR$236*100</f>
        <v>32.278218070237678</v>
      </c>
      <c r="AS239" s="451">
        <f>(SUMPRODUCT(AS$9:AS$229,Nutrients!$DB$8:$DB$228)+(IF($A$7=Nutrients!$B$8,Nutrients!$DB$8,Nutrients!$DB$9)*AS$7)+(((IF($A$8=Nutrients!$B$79,Nutrients!$DB$79,(IF($A$8=Nutrients!$B$77,Nutrients!$DB$77,Nutrients!$DB$78)))))*AS$8))/2000/AS$236*100</f>
        <v>30.723917688986624</v>
      </c>
      <c r="AT239" s="451">
        <f>(SUMPRODUCT(AT$9:AT$229,Nutrients!$DB$8:$DB$228)+(IF($A$7=Nutrients!$B$8,Nutrients!$DB$8,Nutrients!$DB$9)*AT$7)+(((IF($A$8=Nutrients!$B$79,Nutrients!$DB$79,(IF($A$8=Nutrients!$B$77,Nutrients!$DB$77,Nutrients!$DB$78)))))*AT$8))/2000/AT$236*100</f>
        <v>30.999198662184497</v>
      </c>
      <c r="AU239" s="451">
        <f>(SUMPRODUCT(AU$9:AU$229,Nutrients!$DB$8:$DB$228)+(IF($A$7=Nutrients!$B$8,Nutrients!$DB$8,Nutrients!$DB$9)*AU$7)+(((IF($A$8=Nutrients!$B$79,Nutrients!$DB$79,(IF($A$8=Nutrients!$B$77,Nutrients!$DB$77,Nutrients!$DB$78)))))*AU$8))/2000/AU$236*100</f>
        <v>33.0446332327775</v>
      </c>
      <c r="AV239" s="451">
        <f>(SUMPRODUCT(AV$9:AV$229,Nutrients!$DB$8:$DB$228)+(IF($A$7=Nutrients!$B$8,Nutrients!$DB$8,Nutrients!$DB$9)*AV$7)+(((IF($A$8=Nutrients!$B$79,Nutrients!$DB$79,(IF($A$8=Nutrients!$B$77,Nutrients!$DB$77,Nutrients!$DB$78)))))*AV$8))/2000/AV$236*100</f>
        <v>34.446379977281744</v>
      </c>
      <c r="AW239" s="451">
        <f>(SUMPRODUCT(AW$9:AW$229,Nutrients!$DB$8:$DB$228)+(IF($A$7=Nutrients!$B$8,Nutrients!$DB$8,Nutrients!$DB$9)*AW$7)+(((IF($A$8=Nutrients!$B$79,Nutrients!$DB$79,(IF($A$8=Nutrients!$B$77,Nutrients!$DB$77,Nutrients!$DB$78)))))*AW$8))/2000/AW$236*100</f>
        <v>30.329377095070086</v>
      </c>
      <c r="AX239" s="9"/>
      <c r="AZ239" s="117"/>
      <c r="BA239" s="117"/>
      <c r="BB239" s="117"/>
      <c r="BC239" s="117"/>
      <c r="BD239" s="117"/>
      <c r="BE239" s="117"/>
      <c r="BG239" s="447"/>
      <c r="BH239" s="447"/>
      <c r="BI239" s="447"/>
      <c r="BJ239" s="447"/>
      <c r="BK239" s="447"/>
      <c r="BL239" s="447"/>
    </row>
    <row r="240" spans="1:64" x14ac:dyDescent="0.25">
      <c r="A240" s="38" t="s">
        <v>385</v>
      </c>
      <c r="B240" s="192">
        <f>(SUMPRODUCT(B$9:B$229,Nutrients!$DC$8:$DC$228)+(IF($A$7=Nutrients!$B$8,Nutrients!$DC$8,Nutrients!$DC$9)*B$7)+(((IF($A$8=Nutrients!$B$79,Nutrients!$DC$79,(IF($A$8=Nutrients!$B$77,Nutrients!$DC$77,Nutrients!$DC$78)))))*B$8))/2000/B$236*100</f>
        <v>55.997569552010205</v>
      </c>
      <c r="C240" s="192">
        <f>(SUMPRODUCT(C$9:C$229,Nutrients!$DC$8:$DC$228)+(IF($A$7=Nutrients!$B$8,Nutrients!$DC$8,Nutrients!$DC$9)*C$7)+(((IF($A$8=Nutrients!$B$79,Nutrients!$DC$79,(IF($A$8=Nutrients!$B$77,Nutrients!$DC$77,Nutrients!$DC$78)))))*C$8))/2000/C$236*100</f>
        <v>55.998500355280811</v>
      </c>
      <c r="D240" s="192">
        <f>(SUMPRODUCT(D$9:D$229,Nutrients!$DC$8:$DC$228)+(IF($A$7=Nutrients!$B$8,Nutrients!$DC$8,Nutrients!$DC$9)*D$7)+(((IF($A$8=Nutrients!$B$79,Nutrients!$DC$79,(IF($A$8=Nutrients!$B$77,Nutrients!$DC$77,Nutrients!$DC$78)))))*D$8))/2000/D$236*100</f>
        <v>55.998232689384523</v>
      </c>
      <c r="E240" s="192">
        <f>(SUMPRODUCT(E$9:E$229,Nutrients!$DC$8:$DC$228)+(IF($A$7=Nutrients!$B$8,Nutrients!$DC$8,Nutrients!$DC$9)*E$7)+(((IF($A$8=Nutrients!$B$79,Nutrients!$DC$79,(IF($A$8=Nutrients!$B$77,Nutrients!$DC$77,Nutrients!$DC$78)))))*E$8))/2000/E$236*100</f>
        <v>57.061456017842524</v>
      </c>
      <c r="F240" s="192">
        <f>(SUMPRODUCT(F$9:F$229,Nutrients!$DC$8:$DC$228)+(IF($A$7=Nutrients!$B$8,Nutrients!$DC$8,Nutrients!$DC$9)*F$7)+(((IF($A$8=Nutrients!$B$79,Nutrients!$DC$79,(IF($A$8=Nutrients!$B$77,Nutrients!$DC$77,Nutrients!$DC$78)))))*F$8))/2000/F$236*100</f>
        <v>57.164463746746605</v>
      </c>
      <c r="G240" s="192">
        <f>(SUMPRODUCT(G$9:G$229,Nutrients!$DC$8:$DC$228)+(IF($A$7=Nutrients!$B$8,Nutrients!$DC$8,Nutrients!$DC$9)*G$7)+(((IF($A$8=Nutrients!$B$79,Nutrients!$DC$79,(IF($A$8=Nutrients!$B$77,Nutrients!$DC$77,Nutrients!$DC$78)))))*G$8))/2000/G$236*100</f>
        <v>57.994909290351856</v>
      </c>
      <c r="H240" s="224"/>
      <c r="I240" s="225">
        <f>(SUMPRODUCT(I$9:I$229,Nutrients!$DC$8:$DC$228)+(IF($A$7=Nutrients!$B$8,Nutrients!$DC$8,Nutrients!$DC$9)*I$7)+(((IF($A$8=Nutrients!$B$79,Nutrients!$DC$79,(IF($A$8=Nutrients!$B$77,Nutrients!$DC$77,Nutrients!$DC$78)))))*I$8))/2000/I$236*100</f>
        <v>56.01149172320482</v>
      </c>
      <c r="J240" s="225">
        <f>(SUMPRODUCT(J$9:J$229,Nutrients!$DC$8:$DC$228)+(IF($A$7=Nutrients!$B$8,Nutrients!$DC$8,Nutrients!$DC$9)*J$7)+(((IF($A$8=Nutrients!$B$79,Nutrients!$DC$79,(IF($A$8=Nutrients!$B$77,Nutrients!$DC$77,Nutrients!$DC$78)))))*J$8))/2000/J$236*100</f>
        <v>55.984358388386838</v>
      </c>
      <c r="K240" s="225">
        <f>(SUMPRODUCT(K$9:K$229,Nutrients!$DC$8:$DC$228)+(IF($A$7=Nutrients!$B$8,Nutrients!$DC$8,Nutrients!$DC$9)*K$7)+(((IF($A$8=Nutrients!$B$79,Nutrients!$DC$79,(IF($A$8=Nutrients!$B$77,Nutrients!$DC$77,Nutrients!$DC$78)))))*K$8))/2000/K$236*100</f>
        <v>56.013853949686464</v>
      </c>
      <c r="L240" s="225">
        <f>(SUMPRODUCT(L$9:L$229,Nutrients!$DC$8:$DC$228)+(IF($A$7=Nutrients!$B$8,Nutrients!$DC$8,Nutrients!$DC$9)*L$7)+(((IF($A$8=Nutrients!$B$79,Nutrients!$DC$79,(IF($A$8=Nutrients!$B$77,Nutrients!$DC$77,Nutrients!$DC$78)))))*L$8))/2000/L$236*100</f>
        <v>57.002734315313909</v>
      </c>
      <c r="M240" s="225">
        <f>(SUMPRODUCT(M$9:M$229,Nutrients!$DC$8:$DC$228)+(IF($A$7=Nutrients!$B$8,Nutrients!$DC$8,Nutrients!$DC$9)*M$7)+(((IF($A$8=Nutrients!$B$79,Nutrients!$DC$79,(IF($A$8=Nutrients!$B$77,Nutrients!$DC$77,Nutrients!$DC$78)))))*M$8))/2000/M$236*100</f>
        <v>57.00305999497315</v>
      </c>
      <c r="N240" s="225">
        <f>(SUMPRODUCT(N$9:N$229,Nutrients!$DC$8:$DC$228)+(IF($A$7=Nutrients!$B$8,Nutrients!$DC$8,Nutrients!$DC$9)*N$7)+(((IF($A$8=Nutrients!$B$79,Nutrients!$DC$79,(IF($A$8=Nutrients!$B$77,Nutrients!$DC$77,Nutrients!$DC$78)))))*N$8))/2000/N$236*100</f>
        <v>57.994909290351856</v>
      </c>
      <c r="O240" s="472"/>
      <c r="P240" s="225">
        <f>(SUMPRODUCT(P$9:P$229,Nutrients!$DC$8:$DC$228)+(IF($A$7=Nutrients!$B$8,Nutrients!$DC$8,Nutrients!$DC$9)*P$7)+(((IF($A$8=Nutrients!$B$79,Nutrients!$DC$79,(IF($A$8=Nutrients!$B$77,Nutrients!$DC$77,Nutrients!$DC$78)))))*P$8))/2000/P$236*100</f>
        <v>56.034845365738015</v>
      </c>
      <c r="Q240" s="225">
        <f>(SUMPRODUCT(Q$9:Q$229,Nutrients!$DC$8:$DC$228)+(IF($A$7=Nutrients!$B$8,Nutrients!$DC$8,Nutrients!$DC$9)*Q$7)+(((IF($A$8=Nutrients!$B$79,Nutrients!$DC$79,(IF($A$8=Nutrients!$B$77,Nutrients!$DC$77,Nutrients!$DC$78)))))*Q$8))/2000/Q$236*100</f>
        <v>55.991916548987632</v>
      </c>
      <c r="R240" s="225">
        <f>(SUMPRODUCT(R$9:R$229,Nutrients!$DC$8:$DC$228)+(IF($A$7=Nutrients!$B$8,Nutrients!$DC$8,Nutrients!$DC$9)*R$7)+(((IF($A$8=Nutrients!$B$79,Nutrients!$DC$79,(IF($A$8=Nutrients!$B$77,Nutrients!$DC$77,Nutrients!$DC$78)))))*R$8))/2000/R$236*100</f>
        <v>56.002150748197963</v>
      </c>
      <c r="S240" s="225">
        <f>(SUMPRODUCT(S$9:S$229,Nutrients!$DC$8:$DC$228)+(IF($A$7=Nutrients!$B$8,Nutrients!$DC$8,Nutrients!$DC$9)*S$7)+(((IF($A$8=Nutrients!$B$79,Nutrients!$DC$79,(IF($A$8=Nutrients!$B$77,Nutrients!$DC$77,Nutrients!$DC$78)))))*S$8))/2000/S$236*100</f>
        <v>57.007610072729378</v>
      </c>
      <c r="T240" s="225">
        <f>(SUMPRODUCT(T$9:T$229,Nutrients!$DC$8:$DC$228)+(IF($A$7=Nutrients!$B$8,Nutrients!$DC$8,Nutrients!$DC$9)*T$7)+(((IF($A$8=Nutrients!$B$79,Nutrients!$DC$79,(IF($A$8=Nutrients!$B$77,Nutrients!$DC$77,Nutrients!$DC$78)))))*T$8))/2000/T$236*100</f>
        <v>57.391797987173121</v>
      </c>
      <c r="U240" s="225">
        <f>(SUMPRODUCT(U$9:U$229,Nutrients!$DC$8:$DC$228)+(IF($A$7=Nutrients!$B$8,Nutrients!$DC$8,Nutrients!$DC$9)*U$7)+(((IF($A$8=Nutrients!$B$79,Nutrients!$DC$79,(IF($A$8=Nutrients!$B$77,Nutrients!$DC$77,Nutrients!$DC$78)))))*U$8))/2000/U$236*100</f>
        <v>57.994909290351856</v>
      </c>
      <c r="V240" s="9"/>
      <c r="W240" s="225">
        <f>(SUMPRODUCT(W$9:W$229,Nutrients!$DC$8:$DC$228)+(IF($A$7=Nutrients!$B$8,Nutrients!$DC$8,Nutrients!$DC$9)*W$7)+(((IF($A$8=Nutrients!$B$79,Nutrients!$DC$79,(IF($A$8=Nutrients!$B$77,Nutrients!$DC$77,Nutrients!$DC$78)))))*W$8))/2000/W$236*100</f>
        <v>56.015376074005907</v>
      </c>
      <c r="X240" s="225">
        <f>(SUMPRODUCT(X$9:X$229,Nutrients!$DC$8:$DC$228)+(IF($A$7=Nutrients!$B$8,Nutrients!$DC$8,Nutrients!$DC$9)*X$7)+(((IF($A$8=Nutrients!$B$79,Nutrients!$DC$79,(IF($A$8=Nutrients!$B$77,Nutrients!$DC$77,Nutrients!$DC$78)))))*X$8))/2000/X$236*100</f>
        <v>55.999927536815584</v>
      </c>
      <c r="Y240" s="225">
        <f>(SUMPRODUCT(Y$9:Y$229,Nutrients!$DC$8:$DC$228)+(IF($A$7=Nutrients!$B$8,Nutrients!$DC$8,Nutrients!$DC$9)*Y$7)+(((IF($A$8=Nutrients!$B$79,Nutrients!$DC$79,(IF($A$8=Nutrients!$B$77,Nutrients!$DC$77,Nutrients!$DC$78)))))*Y$8))/2000/Y$236*100</f>
        <v>56.019681847974631</v>
      </c>
      <c r="Z240" s="225">
        <f>(SUMPRODUCT(Z$9:Z$229,Nutrients!$DC$8:$DC$228)+(IF($A$7=Nutrients!$B$8,Nutrients!$DC$8,Nutrients!$DC$9)*Z$7)+(((IF($A$8=Nutrients!$B$79,Nutrients!$DC$79,(IF($A$8=Nutrients!$B$77,Nutrients!$DC$77,Nutrients!$DC$78)))))*Z$8))/2000/Z$236*100</f>
        <v>57.001922946457483</v>
      </c>
      <c r="AA240" s="225">
        <f>(SUMPRODUCT(AA$9:AA$229,Nutrients!$DC$8:$DC$228)+(IF($A$7=Nutrients!$B$8,Nutrients!$DC$8,Nutrients!$DC$9)*AA$7)+(((IF($A$8=Nutrients!$B$79,Nutrients!$DC$79,(IF($A$8=Nutrients!$B$77,Nutrients!$DC$77,Nutrients!$DC$78)))))*AA$8))/2000/AA$236*100</f>
        <v>59.044355692864102</v>
      </c>
      <c r="AB240" s="225">
        <f>(SUMPRODUCT(AB$9:AB$229,Nutrients!$DC$8:$DC$228)+(IF($A$7=Nutrients!$B$8,Nutrients!$DC$8,Nutrients!$DC$9)*AB$7)+(((IF($A$8=Nutrients!$B$79,Nutrients!$DC$79,(IF($A$8=Nutrients!$B$77,Nutrients!$DC$77,Nutrients!$DC$78)))))*AB$8))/2000/AB$236*100</f>
        <v>57.994909290351856</v>
      </c>
      <c r="AC240" s="9"/>
      <c r="AD240" s="225">
        <f>(SUMPRODUCT(AD$9:AD$229,Nutrients!$DC$8:$DC$228)+(IF($A$7=Nutrients!$B$8,Nutrients!$DC$8,Nutrients!$DC$9)*AD$7)+(((IF($A$8=Nutrients!$B$79,Nutrients!$DC$79,(IF($A$8=Nutrients!$B$77,Nutrients!$DC$77,Nutrients!$DC$78)))))*AD$8))/2000/AD$236*100</f>
        <v>55.996758923331491</v>
      </c>
      <c r="AE240" s="225">
        <f>(SUMPRODUCT(AE$9:AE$229,Nutrients!$DC$8:$DC$228)+(IF($A$7=Nutrients!$B$8,Nutrients!$DC$8,Nutrients!$DC$9)*AE$7)+(((IF($A$8=Nutrients!$B$79,Nutrients!$DC$79,(IF($A$8=Nutrients!$B$77,Nutrients!$DC$77,Nutrients!$DC$78)))))*AE$8))/2000/AE$236*100</f>
        <v>56.033715640061885</v>
      </c>
      <c r="AF240" s="225">
        <f>(SUMPRODUCT(AF$9:AF$229,Nutrients!$DC$8:$DC$228)+(IF($A$7=Nutrients!$B$8,Nutrients!$DC$8,Nutrients!$DC$9)*AF$7)+(((IF($A$8=Nutrients!$B$79,Nutrients!$DC$79,(IF($A$8=Nutrients!$B$77,Nutrients!$DC$77,Nutrients!$DC$78)))))*AF$8))/2000/AF$236*100</f>
        <v>56.028907869483625</v>
      </c>
      <c r="AG240" s="225">
        <f>(SUMPRODUCT(AG$9:AG$229,Nutrients!$DC$8:$DC$228)+(IF($A$7=Nutrients!$B$8,Nutrients!$DC$8,Nutrients!$DC$9)*AG$7)+(((IF($A$8=Nutrients!$B$79,Nutrients!$DC$79,(IF($A$8=Nutrients!$B$77,Nutrients!$DC$77,Nutrients!$DC$78)))))*AG$8))/2000/AG$236*100</f>
        <v>58.586778715152676</v>
      </c>
      <c r="AH240" s="225">
        <f>(SUMPRODUCT(AH$9:AH$229,Nutrients!$DC$8:$DC$228)+(IF($A$7=Nutrients!$B$8,Nutrients!$DC$8,Nutrients!$DC$9)*AH$7)+(((IF($A$8=Nutrients!$B$79,Nutrients!$DC$79,(IF($A$8=Nutrients!$B$77,Nutrients!$DC$77,Nutrients!$DC$78)))))*AH$8))/2000/AH$236*100</f>
        <v>60.71791457514896</v>
      </c>
      <c r="AI240" s="225">
        <f>(SUMPRODUCT(AI$9:AI$229,Nutrients!$DC$8:$DC$228)+(IF($A$7=Nutrients!$B$8,Nutrients!$DC$8,Nutrients!$DC$9)*AI$7)+(((IF($A$8=Nutrients!$B$79,Nutrients!$DC$79,(IF($A$8=Nutrients!$B$77,Nutrients!$DC$77,Nutrients!$DC$78)))))*AI$8))/2000/AI$236*100</f>
        <v>57.994909290351856</v>
      </c>
      <c r="AJ240" s="9"/>
      <c r="AK240" s="225">
        <f>(SUMPRODUCT(AK$9:AK$229,Nutrients!$DC$8:$DC$228)+(IF($A$7=Nutrients!$B$8,Nutrients!$DC$8,Nutrients!$DC$9)*AK$7)+(((IF($A$8=Nutrients!$B$79,Nutrients!$DC$79,(IF($A$8=Nutrients!$B$77,Nutrients!$DC$77,Nutrients!$DC$78)))))*AK$8))/2000/AK$236*100</f>
        <v>56.057930306696576</v>
      </c>
      <c r="AL240" s="225">
        <f>(SUMPRODUCT(AL$9:AL$229,Nutrients!$DC$8:$DC$228)+(IF($A$7=Nutrients!$B$8,Nutrients!$DC$8,Nutrients!$DC$9)*AL$7)+(((IF($A$8=Nutrients!$B$79,Nutrients!$DC$79,(IF($A$8=Nutrients!$B$77,Nutrients!$DC$77,Nutrients!$DC$78)))))*AL$8))/2000/AL$236*100</f>
        <v>56.012130792296333</v>
      </c>
      <c r="AM240" s="225">
        <f>(SUMPRODUCT(AM$9:AM$229,Nutrients!$DC$8:$DC$228)+(IF($A$7=Nutrients!$B$8,Nutrients!$DC$8,Nutrients!$DC$9)*AM$7)+(((IF($A$8=Nutrients!$B$79,Nutrients!$DC$79,(IF($A$8=Nutrients!$B$77,Nutrients!$DC$77,Nutrients!$DC$78)))))*AM$8))/2000/AM$236*100</f>
        <v>56.683591210870446</v>
      </c>
      <c r="AN240" s="225">
        <f>(SUMPRODUCT(AN$9:AN$229,Nutrients!$DC$8:$DC$228)+(IF($A$7=Nutrients!$B$8,Nutrients!$DC$8,Nutrients!$DC$9)*AN$7)+(((IF($A$8=Nutrients!$B$79,Nutrients!$DC$79,(IF($A$8=Nutrients!$B$77,Nutrients!$DC$77,Nutrients!$DC$78)))))*AN$8))/2000/AN$236*100</f>
        <v>60.143430216001072</v>
      </c>
      <c r="AO240" s="225">
        <f>(SUMPRODUCT(AO$9:AO$229,Nutrients!$DC$8:$DC$228)+(IF($A$7=Nutrients!$B$8,Nutrients!$DC$8,Nutrients!$DC$9)*AO$7)+(((IF($A$8=Nutrients!$B$79,Nutrients!$DC$79,(IF($A$8=Nutrients!$B$77,Nutrients!$DC$77,Nutrients!$DC$78)))))*AO$8))/2000/AO$236*100</f>
        <v>62.418754426522405</v>
      </c>
      <c r="AP240" s="225">
        <f>(SUMPRODUCT(AP$9:AP$229,Nutrients!$DC$8:$DC$228)+(IF($A$7=Nutrients!$B$8,Nutrients!$DC$8,Nutrients!$DC$9)*AP$7)+(((IF($A$8=Nutrients!$B$79,Nutrients!$DC$79,(IF($A$8=Nutrients!$B$77,Nutrients!$DC$77,Nutrients!$DC$78)))))*AP$8))/2000/AP$236*100</f>
        <v>57.994909290351856</v>
      </c>
      <c r="AQ240" s="9"/>
      <c r="AR240" s="225">
        <f>(SUMPRODUCT(AR$9:AR$229,Nutrients!$DC$8:$DC$228)+(IF($A$7=Nutrients!$B$8,Nutrients!$DC$8,Nutrients!$DC$9)*AR$7)+(((IF($A$8=Nutrients!$B$79,Nutrients!$DC$79,(IF($A$8=Nutrients!$B$77,Nutrients!$DC$77,Nutrients!$DC$78)))))*AR$8))/2000/AR$236*100</f>
        <v>55.986859792365316</v>
      </c>
      <c r="AS240" s="225">
        <f>(SUMPRODUCT(AS$9:AS$229,Nutrients!$DC$8:$DC$228)+(IF($A$7=Nutrients!$B$8,Nutrients!$DC$8,Nutrients!$DC$9)*AS$7)+(((IF($A$8=Nutrients!$B$79,Nutrients!$DC$79,(IF($A$8=Nutrients!$B$77,Nutrients!$DC$77,Nutrients!$DC$78)))))*AS$8))/2000/AS$236*100</f>
        <v>55.988082062014676</v>
      </c>
      <c r="AT240" s="225">
        <f>(SUMPRODUCT(AT$9:AT$229,Nutrients!$DC$8:$DC$228)+(IF($A$7=Nutrients!$B$8,Nutrients!$DC$8,Nutrients!$DC$9)*AT$7)+(((IF($A$8=Nutrients!$B$79,Nutrients!$DC$79,(IF($A$8=Nutrients!$B$77,Nutrients!$DC$77,Nutrients!$DC$78)))))*AT$8))/2000/AT$236*100</f>
        <v>58.082200168367734</v>
      </c>
      <c r="AU240" s="225">
        <f>(SUMPRODUCT(AU$9:AU$229,Nutrients!$DC$8:$DC$228)+(IF($A$7=Nutrients!$B$8,Nutrients!$DC$8,Nutrients!$DC$9)*AU$7)+(((IF($A$8=Nutrients!$B$79,Nutrients!$DC$79,(IF($A$8=Nutrients!$B$77,Nutrients!$DC$77,Nutrients!$DC$78)))))*AU$8))/2000/AU$236*100</f>
        <v>61.721290586303077</v>
      </c>
      <c r="AV240" s="225">
        <f>(SUMPRODUCT(AV$9:AV$229,Nutrients!$DC$8:$DC$228)+(IF($A$7=Nutrients!$B$8,Nutrients!$DC$8,Nutrients!$DC$9)*AV$7)+(((IF($A$8=Nutrients!$B$79,Nutrients!$DC$79,(IF($A$8=Nutrients!$B$77,Nutrients!$DC$77,Nutrients!$DC$78)))))*AV$8))/2000/AV$236*100</f>
        <v>64.149178966816493</v>
      </c>
      <c r="AW240" s="225">
        <f>(SUMPRODUCT(AW$9:AW$229,Nutrients!$DC$8:$DC$228)+(IF($A$7=Nutrients!$B$8,Nutrients!$DC$8,Nutrients!$DC$9)*AW$7)+(((IF($A$8=Nutrients!$B$79,Nutrients!$DC$79,(IF($A$8=Nutrients!$B$77,Nutrients!$DC$77,Nutrients!$DC$78)))))*AW$8))/2000/AW$236*100</f>
        <v>57.994909290351856</v>
      </c>
      <c r="AX240" s="9"/>
      <c r="AZ240" s="117"/>
      <c r="BA240" s="117"/>
      <c r="BB240" s="117"/>
      <c r="BC240" s="117"/>
      <c r="BD240" s="117"/>
      <c r="BE240" s="117"/>
      <c r="BG240" s="447"/>
      <c r="BH240" s="447"/>
      <c r="BI240" s="447"/>
      <c r="BJ240" s="447"/>
      <c r="BK240" s="447"/>
      <c r="BL240" s="447"/>
    </row>
    <row r="241" spans="1:64" x14ac:dyDescent="0.25">
      <c r="A241" s="38" t="s">
        <v>386</v>
      </c>
      <c r="B241" s="192">
        <f>(SUMPRODUCT(B$9:B$229,Nutrients!$DF$8:$DF$228)+(IF($A$7=Nutrients!$B$8,Nutrients!$DF$8,Nutrients!$DF$9)*B$7)+(((IF($A$8=Nutrients!$B$79,Nutrients!$DF$79,(IF($A$8=Nutrients!$B$77,Nutrients!$DF$77,Nutrients!$DF$78)))))*B$8))/2000/B$236*100</f>
        <v>61.999883344833172</v>
      </c>
      <c r="C241" s="192">
        <f>(SUMPRODUCT(C$9:C$229,Nutrients!$DF$8:$DF$228)+(IF($A$7=Nutrients!$B$8,Nutrients!$DF$8,Nutrients!$DF$9)*C$7)+(((IF($A$8=Nutrients!$B$79,Nutrients!$DF$79,(IF($A$8=Nutrients!$B$77,Nutrients!$DF$77,Nutrients!$DF$78)))))*C$8))/2000/C$236*100</f>
        <v>61.999810412599423</v>
      </c>
      <c r="D241" s="192">
        <f>(SUMPRODUCT(D$9:D$229,Nutrients!$DF$8:$DF$228)+(IF($A$7=Nutrients!$B$8,Nutrients!$DF$8,Nutrients!$DF$9)*D$7)+(((IF($A$8=Nutrients!$B$79,Nutrients!$DF$79,(IF($A$8=Nutrients!$B$77,Nutrients!$DF$77,Nutrients!$DF$78)))))*D$8))/2000/D$236*100</f>
        <v>61.998899620636607</v>
      </c>
      <c r="E241" s="192">
        <f>(SUMPRODUCT(E$9:E$229,Nutrients!$DF$8:$DF$228)+(IF($A$7=Nutrients!$B$8,Nutrients!$DF$8,Nutrients!$DF$9)*E$7)+(((IF($A$8=Nutrients!$B$79,Nutrients!$DF$79,(IF($A$8=Nutrients!$B$77,Nutrients!$DF$77,Nutrients!$DF$78)))))*E$8))/2000/E$236*100</f>
        <v>63.099738392882202</v>
      </c>
      <c r="F241" s="192">
        <f>(SUMPRODUCT(F$9:F$229,Nutrients!$DF$8:$DF$228)+(IF($A$7=Nutrients!$B$8,Nutrients!$DF$8,Nutrients!$DF$9)*F$7)+(((IF($A$8=Nutrients!$B$79,Nutrients!$DF$79,(IF($A$8=Nutrients!$B$77,Nutrients!$DF$77,Nutrients!$DF$78)))))*F$8))/2000/F$236*100</f>
        <v>63.259126445235324</v>
      </c>
      <c r="G241" s="192">
        <f>(SUMPRODUCT(G$9:G$229,Nutrients!$DF$8:$DF$228)+(IF($A$7=Nutrients!$B$8,Nutrients!$DF$8,Nutrients!$DF$9)*G$7)+(((IF($A$8=Nutrients!$B$79,Nutrients!$DF$79,(IF($A$8=Nutrients!$B$77,Nutrients!$DF$77,Nutrients!$DF$78)))))*G$8))/2000/G$236*100</f>
        <v>63.997526400855939</v>
      </c>
      <c r="H241" s="224"/>
      <c r="I241" s="225">
        <f>(SUMPRODUCT(I$9:I$229,Nutrients!$DF$8:$DF$228)+(IF($A$7=Nutrients!$B$8,Nutrients!$DF$8,Nutrients!$DF$9)*I$7)+(((IF($A$8=Nutrients!$B$79,Nutrients!$DF$79,(IF($A$8=Nutrients!$B$77,Nutrients!$DF$77,Nutrients!$DF$78)))))*I$8))/2000/I$236*100</f>
        <v>62.000569991263156</v>
      </c>
      <c r="J241" s="225">
        <f>(SUMPRODUCT(J$9:J$229,Nutrients!$DF$8:$DF$228)+(IF($A$7=Nutrients!$B$8,Nutrients!$DF$8,Nutrients!$DF$9)*J$7)+(((IF($A$8=Nutrients!$B$79,Nutrients!$DF$79,(IF($A$8=Nutrients!$B$77,Nutrients!$DF$77,Nutrients!$DF$78)))))*J$8))/2000/J$236*100</f>
        <v>61.976182084011121</v>
      </c>
      <c r="K241" s="225">
        <f>(SUMPRODUCT(K$9:K$229,Nutrients!$DF$8:$DF$228)+(IF($A$7=Nutrients!$B$8,Nutrients!$DF$8,Nutrients!$DF$9)*K$7)+(((IF($A$8=Nutrients!$B$79,Nutrients!$DF$79,(IF($A$8=Nutrients!$B$77,Nutrients!$DF$77,Nutrients!$DF$78)))))*K$8))/2000/K$236*100</f>
        <v>62.004674175330955</v>
      </c>
      <c r="L241" s="225">
        <f>(SUMPRODUCT(L$9:L$229,Nutrients!$DF$8:$DF$228)+(IF($A$7=Nutrients!$B$8,Nutrients!$DF$8,Nutrients!$DF$9)*L$7)+(((IF($A$8=Nutrients!$B$79,Nutrients!$DF$79,(IF($A$8=Nutrients!$B$77,Nutrients!$DF$77,Nutrients!$DF$78)))))*L$8))/2000/L$236*100</f>
        <v>63.003004109558923</v>
      </c>
      <c r="M241" s="225">
        <f>(SUMPRODUCT(M$9:M$229,Nutrients!$DF$8:$DF$228)+(IF($A$7=Nutrients!$B$8,Nutrients!$DF$8,Nutrients!$DF$9)*M$7)+(((IF($A$8=Nutrients!$B$79,Nutrients!$DF$79,(IF($A$8=Nutrients!$B$77,Nutrients!$DF$77,Nutrients!$DF$78)))))*M$8))/2000/M$236*100</f>
        <v>63.000729339549096</v>
      </c>
      <c r="N241" s="225">
        <f>(SUMPRODUCT(N$9:N$229,Nutrients!$DF$8:$DF$228)+(IF($A$7=Nutrients!$B$8,Nutrients!$DF$8,Nutrients!$DF$9)*N$7)+(((IF($A$8=Nutrients!$B$79,Nutrients!$DF$79,(IF($A$8=Nutrients!$B$77,Nutrients!$DF$77,Nutrients!$DF$78)))))*N$8))/2000/N$236*100</f>
        <v>63.997526400855939</v>
      </c>
      <c r="O241" s="472"/>
      <c r="P241" s="225">
        <f>(SUMPRODUCT(P$9:P$229,Nutrients!$DF$8:$DF$228)+(IF($A$7=Nutrients!$B$8,Nutrients!$DF$8,Nutrients!$DF$9)*P$7)+(((IF($A$8=Nutrients!$B$79,Nutrients!$DF$79,(IF($A$8=Nutrients!$B$77,Nutrients!$DF$77,Nutrients!$DF$78)))))*P$8))/2000/P$236*100</f>
        <v>62.000866143523311</v>
      </c>
      <c r="Q241" s="225">
        <f>(SUMPRODUCT(Q$9:Q$229,Nutrients!$DF$8:$DF$228)+(IF($A$7=Nutrients!$B$8,Nutrients!$DF$8,Nutrients!$DF$9)*Q$7)+(((IF($A$8=Nutrients!$B$79,Nutrients!$DF$79,(IF($A$8=Nutrients!$B$77,Nutrients!$DF$77,Nutrients!$DF$78)))))*Q$8))/2000/Q$236*100</f>
        <v>62.001408639650002</v>
      </c>
      <c r="R241" s="225">
        <f>(SUMPRODUCT(R$9:R$229,Nutrients!$DF$8:$DF$228)+(IF($A$7=Nutrients!$B$8,Nutrients!$DF$8,Nutrients!$DF$9)*R$7)+(((IF($A$8=Nutrients!$B$79,Nutrients!$DF$79,(IF($A$8=Nutrients!$B$77,Nutrients!$DF$77,Nutrients!$DF$78)))))*R$8))/2000/R$236*100</f>
        <v>62.00346788903154</v>
      </c>
      <c r="S241" s="225">
        <f>(SUMPRODUCT(S$9:S$229,Nutrients!$DF$8:$DF$228)+(IF($A$7=Nutrients!$B$8,Nutrients!$DF$8,Nutrients!$DF$9)*S$7)+(((IF($A$8=Nutrients!$B$79,Nutrients!$DF$79,(IF($A$8=Nutrients!$B$77,Nutrients!$DF$77,Nutrients!$DF$78)))))*S$8))/2000/S$236*100</f>
        <v>63.001707070664516</v>
      </c>
      <c r="T241" s="225">
        <f>(SUMPRODUCT(T$9:T$229,Nutrients!$DF$8:$DF$228)+(IF($A$7=Nutrients!$B$8,Nutrients!$DF$8,Nutrients!$DF$9)*T$7)+(((IF($A$8=Nutrients!$B$79,Nutrients!$DF$79,(IF($A$8=Nutrients!$B$77,Nutrients!$DF$77,Nutrients!$DF$78)))))*T$8))/2000/T$236*100</f>
        <v>63.00057394345616</v>
      </c>
      <c r="U241" s="225">
        <f>(SUMPRODUCT(U$9:U$229,Nutrients!$DF$8:$DF$228)+(IF($A$7=Nutrients!$B$8,Nutrients!$DF$8,Nutrients!$DF$9)*U$7)+(((IF($A$8=Nutrients!$B$79,Nutrients!$DF$79,(IF($A$8=Nutrients!$B$77,Nutrients!$DF$77,Nutrients!$DF$78)))))*U$8))/2000/U$236*100</f>
        <v>63.997526400855939</v>
      </c>
      <c r="V241" s="9"/>
      <c r="W241" s="225">
        <f>(SUMPRODUCT(W$9:W$229,Nutrients!$DF$8:$DF$228)+(IF($A$7=Nutrients!$B$8,Nutrients!$DF$8,Nutrients!$DF$9)*W$7)+(((IF($A$8=Nutrients!$B$79,Nutrients!$DF$79,(IF($A$8=Nutrients!$B$77,Nutrients!$DF$77,Nutrients!$DF$78)))))*W$8))/2000/W$236*100</f>
        <v>62.019961395155306</v>
      </c>
      <c r="X241" s="225">
        <f>(SUMPRODUCT(X$9:X$229,Nutrients!$DF$8:$DF$228)+(IF($A$7=Nutrients!$B$8,Nutrients!$DF$8,Nutrients!$DF$9)*X$7)+(((IF($A$8=Nutrients!$B$79,Nutrients!$DF$79,(IF($A$8=Nutrients!$B$77,Nutrients!$DF$77,Nutrients!$DF$78)))))*X$8))/2000/X$236*100</f>
        <v>62.017334341729956</v>
      </c>
      <c r="Y241" s="225">
        <f>(SUMPRODUCT(Y$9:Y$229,Nutrients!$DF$8:$DF$228)+(IF($A$7=Nutrients!$B$8,Nutrients!$DF$8,Nutrients!$DF$9)*Y$7)+(((IF($A$8=Nutrients!$B$79,Nutrients!$DF$79,(IF($A$8=Nutrients!$B$77,Nutrients!$DF$77,Nutrients!$DF$78)))))*Y$8))/2000/Y$236*100</f>
        <v>62.02396547033662</v>
      </c>
      <c r="Z241" s="225">
        <f>(SUMPRODUCT(Z$9:Z$229,Nutrients!$DF$8:$DF$228)+(IF($A$7=Nutrients!$B$8,Nutrients!$DF$8,Nutrients!$DF$9)*Z$7)+(((IF($A$8=Nutrients!$B$79,Nutrients!$DF$79,(IF($A$8=Nutrients!$B$77,Nutrients!$DF$77,Nutrients!$DF$78)))))*Z$8))/2000/Z$236*100</f>
        <v>63.021776413838424</v>
      </c>
      <c r="AA241" s="225">
        <f>(SUMPRODUCT(AA$9:AA$229,Nutrients!$DF$8:$DF$228)+(IF($A$7=Nutrients!$B$8,Nutrients!$DF$8,Nutrients!$DF$9)*AA$7)+(((IF($A$8=Nutrients!$B$79,Nutrients!$DF$79,(IF($A$8=Nutrients!$B$77,Nutrients!$DF$77,Nutrients!$DF$78)))))*AA$8))/2000/AA$236*100</f>
        <v>63.015529108591942</v>
      </c>
      <c r="AB241" s="225">
        <f>(SUMPRODUCT(AB$9:AB$229,Nutrients!$DF$8:$DF$228)+(IF($A$7=Nutrients!$B$8,Nutrients!$DF$8,Nutrients!$DF$9)*AB$7)+(((IF($A$8=Nutrients!$B$79,Nutrients!$DF$79,(IF($A$8=Nutrients!$B$77,Nutrients!$DF$77,Nutrients!$DF$78)))))*AB$8))/2000/AB$236*100</f>
        <v>63.997526400855939</v>
      </c>
      <c r="AC241" s="9"/>
      <c r="AD241" s="225">
        <f>(SUMPRODUCT(AD$9:AD$229,Nutrients!$DF$8:$DF$228)+(IF($A$7=Nutrients!$B$8,Nutrients!$DF$8,Nutrients!$DF$9)*AD$7)+(((IF($A$8=Nutrients!$B$79,Nutrients!$DF$79,(IF($A$8=Nutrients!$B$77,Nutrients!$DF$77,Nutrients!$DF$78)))))*AD$8))/2000/AD$236*100</f>
        <v>62.039546294056755</v>
      </c>
      <c r="AE241" s="225">
        <f>(SUMPRODUCT(AE$9:AE$229,Nutrients!$DF$8:$DF$228)+(IF($A$7=Nutrients!$B$8,Nutrients!$DF$8,Nutrients!$DF$9)*AE$7)+(((IF($A$8=Nutrients!$B$79,Nutrients!$DF$79,(IF($A$8=Nutrients!$B$77,Nutrients!$DF$77,Nutrients!$DF$78)))))*AE$8))/2000/AE$236*100</f>
        <v>62.041405978794003</v>
      </c>
      <c r="AF241" s="225">
        <f>(SUMPRODUCT(AF$9:AF$229,Nutrients!$DF$8:$DF$228)+(IF($A$7=Nutrients!$B$8,Nutrients!$DF$8,Nutrients!$DF$9)*AF$7)+(((IF($A$8=Nutrients!$B$79,Nutrients!$DF$79,(IF($A$8=Nutrients!$B$77,Nutrients!$DF$77,Nutrients!$DF$78)))))*AF$8))/2000/AF$236*100</f>
        <v>62.041877025411537</v>
      </c>
      <c r="AG241" s="225">
        <f>(SUMPRODUCT(AG$9:AG$229,Nutrients!$DF$8:$DF$228)+(IF($A$7=Nutrients!$B$8,Nutrients!$DF$8,Nutrients!$DF$9)*AG$7)+(((IF($A$8=Nutrients!$B$79,Nutrients!$DF$79,(IF($A$8=Nutrients!$B$77,Nutrients!$DF$77,Nutrients!$DF$78)))))*AG$8))/2000/AG$236*100</f>
        <v>63.040288955718957</v>
      </c>
      <c r="AH241" s="225">
        <f>(SUMPRODUCT(AH$9:AH$229,Nutrients!$DF$8:$DF$228)+(IF($A$7=Nutrients!$B$8,Nutrients!$DF$8,Nutrients!$DF$9)*AH$7)+(((IF($A$8=Nutrients!$B$79,Nutrients!$DF$79,(IF($A$8=Nutrients!$B$77,Nutrients!$DF$77,Nutrients!$DF$78)))))*AH$8))/2000/AH$236*100</f>
        <v>63.025396847040184</v>
      </c>
      <c r="AI241" s="225">
        <f>(SUMPRODUCT(AI$9:AI$229,Nutrients!$DF$8:$DF$228)+(IF($A$7=Nutrients!$B$8,Nutrients!$DF$8,Nutrients!$DF$9)*AI$7)+(((IF($A$8=Nutrients!$B$79,Nutrients!$DF$79,(IF($A$8=Nutrients!$B$77,Nutrients!$DF$77,Nutrients!$DF$78)))))*AI$8))/2000/AI$236*100</f>
        <v>63.997526400855939</v>
      </c>
      <c r="AJ241" s="9"/>
      <c r="AK241" s="225">
        <f>(SUMPRODUCT(AK$9:AK$229,Nutrients!$DF$8:$DF$228)+(IF($A$7=Nutrients!$B$8,Nutrients!$DF$8,Nutrients!$DF$9)*AK$7)+(((IF($A$8=Nutrients!$B$79,Nutrients!$DF$79,(IF($A$8=Nutrients!$B$77,Nutrients!$DF$77,Nutrients!$DF$78)))))*AK$8))/2000/AK$236*100</f>
        <v>62.057341803845581</v>
      </c>
      <c r="AL241" s="225">
        <f>(SUMPRODUCT(AL$9:AL$229,Nutrients!$DF$8:$DF$228)+(IF($A$7=Nutrients!$B$8,Nutrients!$DF$8,Nutrients!$DF$9)*AL$7)+(((IF($A$8=Nutrients!$B$79,Nutrients!$DF$79,(IF($A$8=Nutrients!$B$77,Nutrients!$DF$77,Nutrients!$DF$78)))))*AL$8))/2000/AL$236*100</f>
        <v>62.063823469880653</v>
      </c>
      <c r="AM241" s="225">
        <f>(SUMPRODUCT(AM$9:AM$229,Nutrients!$DF$8:$DF$228)+(IF($A$7=Nutrients!$B$8,Nutrients!$DF$8,Nutrients!$DF$9)*AM$7)+(((IF($A$8=Nutrients!$B$79,Nutrients!$DF$79,(IF($A$8=Nutrients!$B$77,Nutrients!$DF$77,Nutrients!$DF$78)))))*AM$8))/2000/AM$236*100</f>
        <v>62.058294645741661</v>
      </c>
      <c r="AN241" s="225">
        <f>(SUMPRODUCT(AN$9:AN$229,Nutrients!$DF$8:$DF$228)+(IF($A$7=Nutrients!$B$8,Nutrients!$DF$8,Nutrients!$DF$9)*AN$7)+(((IF($A$8=Nutrients!$B$79,Nutrients!$DF$79,(IF($A$8=Nutrients!$B$77,Nutrients!$DF$77,Nutrients!$DF$78)))))*AN$8))/2000/AN$236*100</f>
        <v>63.05547000741398</v>
      </c>
      <c r="AO241" s="225">
        <f>(SUMPRODUCT(AO$9:AO$229,Nutrients!$DF$8:$DF$228)+(IF($A$7=Nutrients!$B$8,Nutrients!$DF$8,Nutrients!$DF$9)*AO$7)+(((IF($A$8=Nutrients!$B$79,Nutrients!$DF$79,(IF($A$8=Nutrients!$B$77,Nutrients!$DF$77,Nutrients!$DF$78)))))*AO$8))/2000/AO$236*100</f>
        <v>63.033632444729037</v>
      </c>
      <c r="AP241" s="225">
        <f>(SUMPRODUCT(AP$9:AP$229,Nutrients!$DF$8:$DF$228)+(IF($A$7=Nutrients!$B$8,Nutrients!$DF$8,Nutrients!$DF$9)*AP$7)+(((IF($A$8=Nutrients!$B$79,Nutrients!$DF$79,(IF($A$8=Nutrients!$B$77,Nutrients!$DF$77,Nutrients!$DF$78)))))*AP$8))/2000/AP$236*100</f>
        <v>63.997526400855939</v>
      </c>
      <c r="AQ241" s="9"/>
      <c r="AR241" s="225">
        <f>(SUMPRODUCT(AR$9:AR$229,Nutrients!$DF$8:$DF$228)+(IF($A$7=Nutrients!$B$8,Nutrients!$DF$8,Nutrients!$DF$9)*AR$7)+(((IF($A$8=Nutrients!$B$79,Nutrients!$DF$79,(IF($A$8=Nutrients!$B$77,Nutrients!$DF$77,Nutrients!$DF$78)))))*AR$8))/2000/AR$236*100</f>
        <v>62.060914703398041</v>
      </c>
      <c r="AS241" s="225">
        <f>(SUMPRODUCT(AS$9:AS$229,Nutrients!$DF$8:$DF$228)+(IF($A$7=Nutrients!$B$8,Nutrients!$DF$8,Nutrients!$DF$9)*AS$7)+(((IF($A$8=Nutrients!$B$79,Nutrients!$DF$79,(IF($A$8=Nutrients!$B$77,Nutrients!$DF$77,Nutrients!$DF$78)))))*AS$8))/2000/AS$236*100</f>
        <v>62.085606929240235</v>
      </c>
      <c r="AT241" s="225">
        <f>(SUMPRODUCT(AT$9:AT$229,Nutrients!$DF$8:$DF$228)+(IF($A$7=Nutrients!$B$8,Nutrients!$DF$8,Nutrients!$DF$9)*AT$7)+(((IF($A$8=Nutrients!$B$79,Nutrients!$DF$79,(IF($A$8=Nutrients!$B$77,Nutrients!$DF$77,Nutrients!$DF$78)))))*AT$8))/2000/AT$236*100</f>
        <v>62.072081271203729</v>
      </c>
      <c r="AU241" s="225">
        <f>(SUMPRODUCT(AU$9:AU$229,Nutrients!$DF$8:$DF$228)+(IF($A$7=Nutrients!$B$8,Nutrients!$DF$8,Nutrients!$DF$9)*AU$7)+(((IF($A$8=Nutrients!$B$79,Nutrients!$DF$79,(IF($A$8=Nutrients!$B$77,Nutrients!$DF$77,Nutrients!$DF$78)))))*AU$8))/2000/AU$236*100</f>
        <v>63.067364235897763</v>
      </c>
      <c r="AV241" s="225">
        <f>(SUMPRODUCT(AV$9:AV$229,Nutrients!$DF$8:$DF$228)+(IF($A$7=Nutrients!$B$8,Nutrients!$DF$8,Nutrients!$DF$9)*AV$7)+(((IF($A$8=Nutrients!$B$79,Nutrients!$DF$79,(IF($A$8=Nutrients!$B$77,Nutrients!$DF$77,Nutrients!$DF$78)))))*AV$8))/2000/AV$236*100</f>
        <v>63.041943485202964</v>
      </c>
      <c r="AW241" s="225">
        <f>(SUMPRODUCT(AW$9:AW$229,Nutrients!$DF$8:$DF$228)+(IF($A$7=Nutrients!$B$8,Nutrients!$DF$8,Nutrients!$DF$9)*AW$7)+(((IF($A$8=Nutrients!$B$79,Nutrients!$DF$79,(IF($A$8=Nutrients!$B$77,Nutrients!$DF$77,Nutrients!$DF$78)))))*AW$8))/2000/AW$236*100</f>
        <v>63.997526400855939</v>
      </c>
      <c r="AX241" s="9"/>
      <c r="AZ241" s="117"/>
      <c r="BA241" s="117"/>
      <c r="BB241" s="117"/>
      <c r="BC241" s="117"/>
      <c r="BD241" s="117"/>
      <c r="BE241" s="117"/>
      <c r="BG241" s="447"/>
      <c r="BH241" s="447"/>
      <c r="BI241" s="447"/>
      <c r="BJ241" s="447"/>
      <c r="BK241" s="447"/>
      <c r="BL241" s="447"/>
    </row>
    <row r="242" spans="1:64" x14ac:dyDescent="0.25">
      <c r="A242" s="38" t="s">
        <v>387</v>
      </c>
      <c r="B242" s="192">
        <f>(SUMPRODUCT(B$9:B$229,Nutrients!$DG$8:$DG$228)+(IF($A$7=Nutrients!$B$8,Nutrients!$DG$8,Nutrients!$DG$9)*B$7)+(((IF($A$8=Nutrients!$B$79,Nutrients!$DG$79,(IF($A$8=Nutrients!$B$77,Nutrients!$DG$77,Nutrients!$DG$78)))))*B$8))/2000/B$236*100</f>
        <v>19.000000000000007</v>
      </c>
      <c r="C242" s="192">
        <f>(SUMPRODUCT(C$9:C$229,Nutrients!$DG$8:$DG$228)+(IF($A$7=Nutrients!$B$8,Nutrients!$DG$8,Nutrients!$DG$9)*C$7)+(((IF($A$8=Nutrients!$B$79,Nutrients!$DG$79,(IF($A$8=Nutrients!$B$77,Nutrients!$DG$77,Nutrients!$DG$78)))))*C$8))/2000/C$236*100</f>
        <v>18.999991891262606</v>
      </c>
      <c r="D242" s="192">
        <f>(SUMPRODUCT(D$9:D$229,Nutrients!$DG$8:$DG$228)+(IF($A$7=Nutrients!$B$8,Nutrients!$DG$8,Nutrients!$DG$9)*D$7)+(((IF($A$8=Nutrients!$B$79,Nutrients!$DG$79,(IF($A$8=Nutrients!$B$77,Nutrients!$DG$77,Nutrients!$DG$78)))))*D$8))/2000/D$236*100</f>
        <v>18.999965465148328</v>
      </c>
      <c r="E242" s="192">
        <f>(SUMPRODUCT(E$9:E$229,Nutrients!$DG$8:$DG$228)+(IF($A$7=Nutrients!$B$8,Nutrients!$DG$8,Nutrients!$DG$9)*E$7)+(((IF($A$8=Nutrients!$B$79,Nutrients!$DG$79,(IF($A$8=Nutrients!$B$77,Nutrients!$DG$77,Nutrients!$DG$78)))))*E$8))/2000/E$236*100</f>
        <v>19.040987478551372</v>
      </c>
      <c r="F242" s="192">
        <f>(SUMPRODUCT(F$9:F$229,Nutrients!$DG$8:$DG$228)+(IF($A$7=Nutrients!$B$8,Nutrients!$DG$8,Nutrients!$DG$9)*F$7)+(((IF($A$8=Nutrients!$B$79,Nutrients!$DG$79,(IF($A$8=Nutrients!$B$77,Nutrients!$DG$77,Nutrients!$DG$78)))))*F$8))/2000/F$236*100</f>
        <v>19.105485625301228</v>
      </c>
      <c r="G242" s="192">
        <f>(SUMPRODUCT(G$9:G$229,Nutrients!$DG$8:$DG$228)+(IF($A$7=Nutrients!$B$8,Nutrients!$DG$8,Nutrients!$DG$9)*G$7)+(((IF($A$8=Nutrients!$B$79,Nutrients!$DG$79,(IF($A$8=Nutrients!$B$77,Nutrients!$DG$77,Nutrients!$DG$78)))))*G$8))/2000/G$236*100</f>
        <v>19.003555679157927</v>
      </c>
      <c r="H242" s="224"/>
      <c r="I242" s="225">
        <f>(SUMPRODUCT(I$9:I$229,Nutrients!$DG$8:$DG$228)+(IF($A$7=Nutrients!$B$8,Nutrients!$DG$8,Nutrients!$DG$9)*I$7)+(((IF($A$8=Nutrients!$B$79,Nutrients!$DG$79,(IF($A$8=Nutrients!$B$77,Nutrients!$DG$77,Nutrients!$DG$78)))))*I$8))/2000/I$236*100</f>
        <v>19.000021565173054</v>
      </c>
      <c r="J242" s="225">
        <f>(SUMPRODUCT(J$9:J$229,Nutrients!$DG$8:$DG$228)+(IF($A$7=Nutrients!$B$8,Nutrients!$DG$8,Nutrients!$DG$9)*J$7)+(((IF($A$8=Nutrients!$B$79,Nutrients!$DG$79,(IF($A$8=Nutrients!$B$77,Nutrients!$DG$77,Nutrients!$DG$78)))))*J$8))/2000/J$236*100</f>
        <v>19.000106319067076</v>
      </c>
      <c r="K242" s="225">
        <f>(SUMPRODUCT(K$9:K$229,Nutrients!$DG$8:$DG$228)+(IF($A$7=Nutrients!$B$8,Nutrients!$DG$8,Nutrients!$DG$9)*K$7)+(((IF($A$8=Nutrients!$B$79,Nutrients!$DG$79,(IF($A$8=Nutrients!$B$77,Nutrients!$DG$77,Nutrients!$DG$78)))))*K$8))/2000/K$236*100</f>
        <v>19.000216013324174</v>
      </c>
      <c r="L242" s="225">
        <f>(SUMPRODUCT(L$9:L$229,Nutrients!$DG$8:$DG$228)+(IF($A$7=Nutrients!$B$8,Nutrients!$DG$8,Nutrients!$DG$9)*L$7)+(((IF($A$8=Nutrients!$B$79,Nutrients!$DG$79,(IF($A$8=Nutrients!$B$77,Nutrients!$DG$77,Nutrients!$DG$78)))))*L$8))/2000/L$236*100</f>
        <v>19.000123495960423</v>
      </c>
      <c r="M242" s="225">
        <f>(SUMPRODUCT(M$9:M$229,Nutrients!$DG$8:$DG$228)+(IF($A$7=Nutrients!$B$8,Nutrients!$DG$8,Nutrients!$DG$9)*M$7)+(((IF($A$8=Nutrients!$B$79,Nutrients!$DG$79,(IF($A$8=Nutrients!$B$77,Nutrients!$DG$77,Nutrients!$DG$78)))))*M$8))/2000/M$236*100</f>
        <v>19.0000239538867</v>
      </c>
      <c r="N242" s="225">
        <f>(SUMPRODUCT(N$9:N$229,Nutrients!$DG$8:$DG$228)+(IF($A$7=Nutrients!$B$8,Nutrients!$DG$8,Nutrients!$DG$9)*N$7)+(((IF($A$8=Nutrients!$B$79,Nutrients!$DG$79,(IF($A$8=Nutrients!$B$77,Nutrients!$DG$77,Nutrients!$DG$78)))))*N$8))/2000/N$236*100</f>
        <v>19.003555679157927</v>
      </c>
      <c r="O242" s="472"/>
      <c r="P242" s="225">
        <f>(SUMPRODUCT(P$9:P$229,Nutrients!$DG$8:$DG$228)+(IF($A$7=Nutrients!$B$8,Nutrients!$DG$8,Nutrients!$DG$9)*P$7)+(((IF($A$8=Nutrients!$B$79,Nutrients!$DG$79,(IF($A$8=Nutrients!$B$77,Nutrients!$DG$77,Nutrients!$DG$78)))))*P$8))/2000/P$236*100</f>
        <v>19.000045132863594</v>
      </c>
      <c r="Q242" s="225">
        <f>(SUMPRODUCT(Q$9:Q$229,Nutrients!$DG$8:$DG$228)+(IF($A$7=Nutrients!$B$8,Nutrients!$DG$8,Nutrients!$DG$9)*Q$7)+(((IF($A$8=Nutrients!$B$79,Nutrients!$DG$79,(IF($A$8=Nutrients!$B$77,Nutrients!$DG$77,Nutrients!$DG$78)))))*Q$8))/2000/Q$236*100</f>
        <v>19.000062629007488</v>
      </c>
      <c r="R242" s="225">
        <f>(SUMPRODUCT(R$9:R$229,Nutrients!$DG$8:$DG$228)+(IF($A$7=Nutrients!$B$8,Nutrients!$DG$8,Nutrients!$DG$9)*R$7)+(((IF($A$8=Nutrients!$B$79,Nutrients!$DG$79,(IF($A$8=Nutrients!$B$77,Nutrients!$DG$77,Nutrients!$DG$78)))))*R$8))/2000/R$236*100</f>
        <v>18.980689159350675</v>
      </c>
      <c r="S242" s="225">
        <f>(SUMPRODUCT(S$9:S$229,Nutrients!$DG$8:$DG$228)+(IF($A$7=Nutrients!$B$8,Nutrients!$DG$8,Nutrients!$DG$9)*S$7)+(((IF($A$8=Nutrients!$B$79,Nutrients!$DG$79,(IF($A$8=Nutrients!$B$77,Nutrients!$DG$77,Nutrients!$DG$78)))))*S$8))/2000/S$236*100</f>
        <v>18.976243459195636</v>
      </c>
      <c r="T242" s="225">
        <f>(SUMPRODUCT(T$9:T$229,Nutrients!$DG$8:$DG$228)+(IF($A$7=Nutrients!$B$8,Nutrients!$DG$8,Nutrients!$DG$9)*T$7)+(((IF($A$8=Nutrients!$B$79,Nutrients!$DG$79,(IF($A$8=Nutrients!$B$77,Nutrients!$DG$77,Nutrients!$DG$78)))))*T$8))/2000/T$236*100</f>
        <v>18.977622840948218</v>
      </c>
      <c r="U242" s="225">
        <f>(SUMPRODUCT(U$9:U$229,Nutrients!$DG$8:$DG$228)+(IF($A$7=Nutrients!$B$8,Nutrients!$DG$8,Nutrients!$DG$9)*U$7)+(((IF($A$8=Nutrients!$B$79,Nutrients!$DG$79,(IF($A$8=Nutrients!$B$77,Nutrients!$DG$77,Nutrients!$DG$78)))))*U$8))/2000/U$236*100</f>
        <v>19.003555679157927</v>
      </c>
      <c r="V242" s="9"/>
      <c r="W242" s="225">
        <f>(SUMPRODUCT(W$9:W$229,Nutrients!$DG$8:$DG$228)+(IF($A$7=Nutrients!$B$8,Nutrients!$DG$8,Nutrients!$DG$9)*W$7)+(((IF($A$8=Nutrients!$B$79,Nutrients!$DG$79,(IF($A$8=Nutrients!$B$77,Nutrients!$DG$77,Nutrients!$DG$78)))))*W$8))/2000/W$236*100</f>
        <v>18.979086330404591</v>
      </c>
      <c r="X242" s="225">
        <f>(SUMPRODUCT(X$9:X$229,Nutrients!$DG$8:$DG$228)+(IF($A$7=Nutrients!$B$8,Nutrients!$DG$8,Nutrients!$DG$9)*X$7)+(((IF($A$8=Nutrients!$B$79,Nutrients!$DG$79,(IF($A$8=Nutrients!$B$77,Nutrients!$DG$77,Nutrients!$DG$78)))))*X$8))/2000/X$236*100</f>
        <v>18.979429276835386</v>
      </c>
      <c r="Y242" s="225">
        <f>(SUMPRODUCT(Y$9:Y$229,Nutrients!$DG$8:$DG$228)+(IF($A$7=Nutrients!$B$8,Nutrients!$DG$8,Nutrients!$DG$9)*Y$7)+(((IF($A$8=Nutrients!$B$79,Nutrients!$DG$79,(IF($A$8=Nutrients!$B$77,Nutrients!$DG$77,Nutrients!$DG$78)))))*Y$8))/2000/Y$236*100</f>
        <v>18.955467499026245</v>
      </c>
      <c r="Z242" s="225">
        <f>(SUMPRODUCT(Z$9:Z$229,Nutrients!$DG$8:$DG$228)+(IF($A$7=Nutrients!$B$8,Nutrients!$DG$8,Nutrients!$DG$9)*Z$7)+(((IF($A$8=Nutrients!$B$79,Nutrients!$DG$79,(IF($A$8=Nutrients!$B$77,Nutrients!$DG$77,Nutrients!$DG$78)))))*Z$8))/2000/Z$236*100</f>
        <v>18.953497006970814</v>
      </c>
      <c r="AA242" s="225">
        <f>(SUMPRODUCT(AA$9:AA$229,Nutrients!$DG$8:$DG$228)+(IF($A$7=Nutrients!$B$8,Nutrients!$DG$8,Nutrients!$DG$9)*AA$7)+(((IF($A$8=Nutrients!$B$79,Nutrients!$DG$79,(IF($A$8=Nutrients!$B$77,Nutrients!$DG$77,Nutrients!$DG$78)))))*AA$8))/2000/AA$236*100</f>
        <v>18.95518018703978</v>
      </c>
      <c r="AB242" s="225">
        <f>(SUMPRODUCT(AB$9:AB$229,Nutrients!$DG$8:$DG$228)+(IF($A$7=Nutrients!$B$8,Nutrients!$DG$8,Nutrients!$DG$9)*AB$7)+(((IF($A$8=Nutrients!$B$79,Nutrients!$DG$79,(IF($A$8=Nutrients!$B$77,Nutrients!$DG$77,Nutrients!$DG$78)))))*AB$8))/2000/AB$236*100</f>
        <v>19.003555679157927</v>
      </c>
      <c r="AC242" s="9"/>
      <c r="AD242" s="225">
        <f>(SUMPRODUCT(AD$9:AD$229,Nutrients!$DG$8:$DG$228)+(IF($A$7=Nutrients!$B$8,Nutrients!$DG$8,Nutrients!$DG$9)*AD$7)+(((IF($A$8=Nutrients!$B$79,Nutrients!$DG$79,(IF($A$8=Nutrients!$B$77,Nutrients!$DG$77,Nutrients!$DG$78)))))*AD$8))/2000/AD$236*100</f>
        <v>18.999998349334629</v>
      </c>
      <c r="AE242" s="225">
        <f>(SUMPRODUCT(AE$9:AE$229,Nutrients!$DG$8:$DG$228)+(IF($A$7=Nutrients!$B$8,Nutrients!$DG$8,Nutrients!$DG$9)*AE$7)+(((IF($A$8=Nutrients!$B$79,Nutrients!$DG$79,(IF($A$8=Nutrients!$B$77,Nutrients!$DG$77,Nutrients!$DG$78)))))*AE$8))/2000/AE$236*100</f>
        <v>19.001879916778723</v>
      </c>
      <c r="AF242" s="225">
        <f>(SUMPRODUCT(AF$9:AF$229,Nutrients!$DG$8:$DG$228)+(IF($A$7=Nutrients!$B$8,Nutrients!$DG$8,Nutrients!$DG$9)*AF$7)+(((IF($A$8=Nutrients!$B$79,Nutrients!$DG$79,(IF($A$8=Nutrients!$B$77,Nutrients!$DG$77,Nutrients!$DG$78)))))*AF$8))/2000/AF$236*100</f>
        <v>18.985584718187621</v>
      </c>
      <c r="AG242" s="225">
        <f>(SUMPRODUCT(AG$9:AG$229,Nutrients!$DG$8:$DG$228)+(IF($A$7=Nutrients!$B$8,Nutrients!$DG$8,Nutrients!$DG$9)*AG$7)+(((IF($A$8=Nutrients!$B$79,Nutrients!$DG$79,(IF($A$8=Nutrients!$B$77,Nutrients!$DG$77,Nutrients!$DG$78)))))*AG$8))/2000/AG$236*100</f>
        <v>18.991357324250398</v>
      </c>
      <c r="AH242" s="225">
        <f>(SUMPRODUCT(AH$9:AH$229,Nutrients!$DG$8:$DG$228)+(IF($A$7=Nutrients!$B$8,Nutrients!$DG$8,Nutrients!$DG$9)*AH$7)+(((IF($A$8=Nutrients!$B$79,Nutrients!$DG$79,(IF($A$8=Nutrients!$B$77,Nutrients!$DG$77,Nutrients!$DG$78)))))*AH$8))/2000/AH$236*100</f>
        <v>18.996101811466037</v>
      </c>
      <c r="AI242" s="225">
        <f>(SUMPRODUCT(AI$9:AI$229,Nutrients!$DG$8:$DG$228)+(IF($A$7=Nutrients!$B$8,Nutrients!$DG$8,Nutrients!$DG$9)*AI$7)+(((IF($A$8=Nutrients!$B$79,Nutrients!$DG$79,(IF($A$8=Nutrients!$B$77,Nutrients!$DG$77,Nutrients!$DG$78)))))*AI$8))/2000/AI$236*100</f>
        <v>19.003555679157927</v>
      </c>
      <c r="AJ242" s="9"/>
      <c r="AK242" s="225">
        <f>(SUMPRODUCT(AK$9:AK$229,Nutrients!$DG$8:$DG$228)+(IF($A$7=Nutrients!$B$8,Nutrients!$DG$8,Nutrients!$DG$9)*AK$7)+(((IF($A$8=Nutrients!$B$79,Nutrients!$DG$79,(IF($A$8=Nutrients!$B$77,Nutrients!$DG$77,Nutrients!$DG$78)))))*AK$8))/2000/AK$236*100</f>
        <v>18.979491605980865</v>
      </c>
      <c r="AL242" s="225">
        <f>(SUMPRODUCT(AL$9:AL$229,Nutrients!$DG$8:$DG$228)+(IF($A$7=Nutrients!$B$8,Nutrients!$DG$8,Nutrients!$DG$9)*AL$7)+(((IF($A$8=Nutrients!$B$79,Nutrients!$DG$79,(IF($A$8=Nutrients!$B$77,Nutrients!$DG$77,Nutrients!$DG$78)))))*AL$8))/2000/AL$236*100</f>
        <v>18.97756817774204</v>
      </c>
      <c r="AM242" s="225">
        <f>(SUMPRODUCT(AM$9:AM$229,Nutrients!$DG$8:$DG$228)+(IF($A$7=Nutrients!$B$8,Nutrients!$DG$8,Nutrients!$DG$9)*AM$7)+(((IF($A$8=Nutrients!$B$79,Nutrients!$DG$79,(IF($A$8=Nutrients!$B$77,Nutrients!$DG$77,Nutrients!$DG$78)))))*AM$8))/2000/AM$236*100</f>
        <v>18.96185059433688</v>
      </c>
      <c r="AN242" s="225">
        <f>(SUMPRODUCT(AN$9:AN$229,Nutrients!$DG$8:$DG$228)+(IF($A$7=Nutrients!$B$8,Nutrients!$DG$8,Nutrients!$DG$9)*AN$7)+(((IF($A$8=Nutrients!$B$79,Nutrients!$DG$79,(IF($A$8=Nutrients!$B$77,Nutrients!$DG$77,Nutrients!$DG$78)))))*AN$8))/2000/AN$236*100</f>
        <v>18.965916484851039</v>
      </c>
      <c r="AO242" s="225">
        <f>(SUMPRODUCT(AO$9:AO$229,Nutrients!$DG$8:$DG$228)+(IF($A$7=Nutrients!$B$8,Nutrients!$DG$8,Nutrients!$DG$9)*AO$7)+(((IF($A$8=Nutrients!$B$79,Nutrients!$DG$79,(IF($A$8=Nutrients!$B$77,Nutrients!$DG$77,Nutrients!$DG$78)))))*AO$8))/2000/AO$236*100</f>
        <v>18.969215337570489</v>
      </c>
      <c r="AP242" s="225">
        <f>(SUMPRODUCT(AP$9:AP$229,Nutrients!$DG$8:$DG$228)+(IF($A$7=Nutrients!$B$8,Nutrients!$DG$8,Nutrients!$DG$9)*AP$7)+(((IF($A$8=Nutrients!$B$79,Nutrients!$DG$79,(IF($A$8=Nutrients!$B$77,Nutrients!$DG$77,Nutrients!$DG$78)))))*AP$8))/2000/AP$236*100</f>
        <v>19.003555679157927</v>
      </c>
      <c r="AQ242" s="9"/>
      <c r="AR242" s="225">
        <f>(SUMPRODUCT(AR$9:AR$229,Nutrients!$DG$8:$DG$228)+(IF($A$7=Nutrients!$B$8,Nutrients!$DG$8,Nutrients!$DG$9)*AR$7)+(((IF($A$8=Nutrients!$B$79,Nutrients!$DG$79,(IF($A$8=Nutrients!$B$77,Nutrients!$DG$77,Nutrients!$DG$78)))))*AR$8))/2000/AR$236*100</f>
        <v>18.967024067409842</v>
      </c>
      <c r="AS242" s="225">
        <f>(SUMPRODUCT(AS$9:AS$229,Nutrients!$DG$8:$DG$228)+(IF($A$7=Nutrients!$B$8,Nutrients!$DG$8,Nutrients!$DG$9)*AS$7)+(((IF($A$8=Nutrients!$B$79,Nutrients!$DG$79,(IF($A$8=Nutrients!$B$77,Nutrients!$DG$77,Nutrients!$DG$78)))))*AS$8))/2000/AS$236*100</f>
        <v>18.952848679969303</v>
      </c>
      <c r="AT242" s="225">
        <f>(SUMPRODUCT(AT$9:AT$229,Nutrients!$DG$8:$DG$228)+(IF($A$7=Nutrients!$B$8,Nutrients!$DG$8,Nutrients!$DG$9)*AT$7)+(((IF($A$8=Nutrients!$B$79,Nutrients!$DG$79,(IF($A$8=Nutrients!$B$77,Nutrients!$DG$77,Nutrients!$DG$78)))))*AT$8))/2000/AT$236*100</f>
        <v>18.938753640222636</v>
      </c>
      <c r="AU242" s="225">
        <f>(SUMPRODUCT(AU$9:AU$229,Nutrients!$DG$8:$DG$228)+(IF($A$7=Nutrients!$B$8,Nutrients!$DG$8,Nutrients!$DG$9)*AU$7)+(((IF($A$8=Nutrients!$B$79,Nutrients!$DG$79,(IF($A$8=Nutrients!$B$77,Nutrients!$DG$77,Nutrients!$DG$78)))))*AU$8))/2000/AU$236*100</f>
        <v>18.938834070770465</v>
      </c>
      <c r="AV242" s="225">
        <f>(SUMPRODUCT(AV$9:AV$229,Nutrients!$DG$8:$DG$228)+(IF($A$7=Nutrients!$B$8,Nutrients!$DG$8,Nutrients!$DG$9)*AV$7)+(((IF($A$8=Nutrients!$B$79,Nutrients!$DG$79,(IF($A$8=Nutrients!$B$77,Nutrients!$DG$77,Nutrients!$DG$78)))))*AV$8))/2000/AV$236*100</f>
        <v>18.941890916379979</v>
      </c>
      <c r="AW242" s="225">
        <f>(SUMPRODUCT(AW$9:AW$229,Nutrients!$DG$8:$DG$228)+(IF($A$7=Nutrients!$B$8,Nutrients!$DG$8,Nutrients!$DG$9)*AW$7)+(((IF($A$8=Nutrients!$B$79,Nutrients!$DG$79,(IF($A$8=Nutrients!$B$77,Nutrients!$DG$77,Nutrients!$DG$78)))))*AW$8))/2000/AW$236*100</f>
        <v>19.003555679157927</v>
      </c>
      <c r="AX242" s="9"/>
      <c r="AZ242" s="117"/>
      <c r="BA242" s="117"/>
      <c r="BB242" s="117"/>
      <c r="BC242" s="117"/>
      <c r="BD242" s="117"/>
      <c r="BE242" s="117"/>
      <c r="BG242" s="447"/>
      <c r="BH242" s="447"/>
      <c r="BI242" s="447"/>
      <c r="BJ242" s="447"/>
      <c r="BK242" s="447"/>
      <c r="BL242" s="447"/>
    </row>
    <row r="243" spans="1:64" s="2" customFormat="1" x14ac:dyDescent="0.25">
      <c r="A243" s="38" t="s">
        <v>388</v>
      </c>
      <c r="B243" s="192">
        <f>(SUMPRODUCT(B$9:B$229,Nutrients!$DH$8:$DH$228)+(IF($A$7=Nutrients!$B$8,Nutrients!$DH$8,Nutrients!$DH$9)*B$7)+(((IF($A$8=Nutrients!$B$79,Nutrients!$DH$79,(IF($A$8=Nutrients!$B$77,Nutrients!$DH$77,Nutrients!$DH$78)))))*B$8))/2000/B$236*100</f>
        <v>67.999142547613729</v>
      </c>
      <c r="C243" s="192">
        <f>(SUMPRODUCT(C$9:C$229,Nutrients!$DH$8:$DH$228)+(IF($A$7=Nutrients!$B$8,Nutrients!$DH$8,Nutrients!$DH$9)*C$7)+(((IF($A$8=Nutrients!$B$79,Nutrients!$DH$79,(IF($A$8=Nutrients!$B$77,Nutrients!$DH$77,Nutrients!$DH$78)))))*C$8))/2000/C$236*100</f>
        <v>68.120000000000076</v>
      </c>
      <c r="D243" s="192">
        <f>(SUMPRODUCT(D$9:D$229,Nutrients!$DH$8:$DH$228)+(IF($A$7=Nutrients!$B$8,Nutrients!$DH$8,Nutrients!$DH$9)*D$7)+(((IF($A$8=Nutrients!$B$79,Nutrients!$DH$79,(IF($A$8=Nutrients!$B$77,Nutrients!$DH$77,Nutrients!$DH$78)))))*D$8))/2000/D$236*100</f>
        <v>68.530000000000015</v>
      </c>
      <c r="E243" s="192">
        <f>(SUMPRODUCT(E$9:E$229,Nutrients!$DH$8:$DH$228)+(IF($A$7=Nutrients!$B$8,Nutrients!$DH$8,Nutrients!$DH$9)*E$7)+(((IF($A$8=Nutrients!$B$79,Nutrients!$DH$79,(IF($A$8=Nutrients!$B$77,Nutrients!$DH$77,Nutrients!$DH$78)))))*E$8))/2000/E$236*100</f>
        <v>69.691537460576043</v>
      </c>
      <c r="F243" s="192">
        <f>(SUMPRODUCT(F$9:F$229,Nutrients!$DH$8:$DH$228)+(IF($A$7=Nutrients!$B$8,Nutrients!$DH$8,Nutrients!$DH$9)*F$7)+(((IF($A$8=Nutrients!$B$79,Nutrients!$DH$79,(IF($A$8=Nutrients!$B$77,Nutrients!$DH$77,Nutrients!$DH$78)))))*F$8))/2000/F$236*100</f>
        <v>70.432280668663623</v>
      </c>
      <c r="G243" s="192">
        <f>(SUMPRODUCT(G$9:G$229,Nutrients!$DH$8:$DH$228)+(IF($A$7=Nutrients!$B$8,Nutrients!$DH$8,Nutrients!$DH$9)*G$7)+(((IF($A$8=Nutrients!$B$79,Nutrients!$DH$79,(IF($A$8=Nutrients!$B$77,Nutrients!$DH$77,Nutrients!$DH$78)))))*G$8))/2000/G$236*100</f>
        <v>70.540000000000006</v>
      </c>
      <c r="H243" s="224"/>
      <c r="I243" s="225">
        <f>(SUMPRODUCT(I$9:I$229,Nutrients!$DH$8:$DH$228)+(IF($A$7=Nutrients!$B$8,Nutrients!$DH$8,Nutrients!$DH$9)*I$7)+(((IF($A$8=Nutrients!$B$79,Nutrients!$DH$79,(IF($A$8=Nutrients!$B$77,Nutrients!$DH$77,Nutrients!$DH$78)))))*I$8))/2000/I$236*100</f>
        <v>68.040000000000134</v>
      </c>
      <c r="J243" s="225">
        <f>(SUMPRODUCT(J$9:J$229,Nutrients!$DH$8:$DH$228)+(IF($A$7=Nutrients!$B$8,Nutrients!$DH$8,Nutrients!$DH$9)*J$7)+(((IF($A$8=Nutrients!$B$79,Nutrients!$DH$79,(IF($A$8=Nutrients!$B$77,Nutrients!$DH$77,Nutrients!$DH$78)))))*J$8))/2000/J$236*100</f>
        <v>68.36000000000007</v>
      </c>
      <c r="K243" s="225">
        <f>(SUMPRODUCT(K$9:K$229,Nutrients!$DH$8:$DH$228)+(IF($A$7=Nutrients!$B$8,Nutrients!$DH$8,Nutrients!$DH$9)*K$7)+(((IF($A$8=Nutrients!$B$79,Nutrients!$DH$79,(IF($A$8=Nutrients!$B$77,Nutrients!$DH$77,Nutrients!$DH$78)))))*K$8))/2000/K$236*100</f>
        <v>69.569999999999979</v>
      </c>
      <c r="L243" s="225">
        <f>(SUMPRODUCT(L$9:L$229,Nutrients!$DH$8:$DH$228)+(IF($A$7=Nutrients!$B$8,Nutrients!$DH$8,Nutrients!$DH$9)*L$7)+(((IF($A$8=Nutrients!$B$79,Nutrients!$DH$79,(IF($A$8=Nutrients!$B$77,Nutrients!$DH$77,Nutrients!$DH$78)))))*L$8))/2000/L$236*100</f>
        <v>70.679999999999993</v>
      </c>
      <c r="M243" s="225">
        <f>(SUMPRODUCT(M$9:M$229,Nutrients!$DH$8:$DH$228)+(IF($A$7=Nutrients!$B$8,Nutrients!$DH$8,Nutrients!$DH$9)*M$7)+(((IF($A$8=Nutrients!$B$79,Nutrients!$DH$79,(IF($A$8=Nutrients!$B$77,Nutrients!$DH$77,Nutrients!$DH$78)))))*M$8))/2000/M$236*100</f>
        <v>71.360000000000028</v>
      </c>
      <c r="N243" s="225">
        <f>(SUMPRODUCT(N$9:N$229,Nutrients!$DH$8:$DH$228)+(IF($A$7=Nutrients!$B$8,Nutrients!$DH$8,Nutrients!$DH$9)*N$7)+(((IF($A$8=Nutrients!$B$79,Nutrients!$DH$79,(IF($A$8=Nutrients!$B$77,Nutrients!$DH$77,Nutrients!$DH$78)))))*N$8))/2000/N$236*100</f>
        <v>70.540000000000006</v>
      </c>
      <c r="O243" s="472"/>
      <c r="P243" s="225">
        <f>(SUMPRODUCT(P$9:P$229,Nutrients!$DH$8:$DH$228)+(IF($A$7=Nutrients!$B$8,Nutrients!$DH$8,Nutrients!$DH$9)*P$7)+(((IF($A$8=Nutrients!$B$79,Nutrients!$DH$79,(IF($A$8=Nutrients!$B$77,Nutrients!$DH$77,Nutrients!$DH$78)))))*P$8))/2000/P$236*100</f>
        <v>68.280000000000072</v>
      </c>
      <c r="Q243" s="225">
        <f>(SUMPRODUCT(Q$9:Q$229,Nutrients!$DH$8:$DH$228)+(IF($A$7=Nutrients!$B$8,Nutrients!$DH$8,Nutrients!$DH$9)*Q$7)+(((IF($A$8=Nutrients!$B$79,Nutrients!$DH$79,(IF($A$8=Nutrients!$B$77,Nutrients!$DH$77,Nutrients!$DH$78)))))*Q$8))/2000/Q$236*100</f>
        <v>69.179999999999964</v>
      </c>
      <c r="R243" s="225">
        <f>(SUMPRODUCT(R$9:R$229,Nutrients!$DH$8:$DH$228)+(IF($A$7=Nutrients!$B$8,Nutrients!$DH$8,Nutrients!$DH$9)*R$7)+(((IF($A$8=Nutrients!$B$79,Nutrients!$DH$79,(IF($A$8=Nutrients!$B$77,Nutrients!$DH$77,Nutrients!$DH$78)))))*R$8))/2000/R$236*100</f>
        <v>70.539999999999935</v>
      </c>
      <c r="S243" s="225">
        <f>(SUMPRODUCT(S$9:S$229,Nutrients!$DH$8:$DH$228)+(IF($A$7=Nutrients!$B$8,Nutrients!$DH$8,Nutrients!$DH$9)*S$7)+(((IF($A$8=Nutrients!$B$79,Nutrients!$DH$79,(IF($A$8=Nutrients!$B$77,Nutrients!$DH$77,Nutrients!$DH$78)))))*S$8))/2000/S$236*100</f>
        <v>72.073330136842202</v>
      </c>
      <c r="T243" s="225">
        <f>(SUMPRODUCT(T$9:T$229,Nutrients!$DH$8:$DH$228)+(IF($A$7=Nutrients!$B$8,Nutrients!$DH$8,Nutrients!$DH$9)*T$7)+(((IF($A$8=Nutrients!$B$79,Nutrients!$DH$79,(IF($A$8=Nutrients!$B$77,Nutrients!$DH$77,Nutrients!$DH$78)))))*T$8))/2000/T$236*100</f>
        <v>72.630426490036513</v>
      </c>
      <c r="U243" s="225">
        <f>(SUMPRODUCT(U$9:U$229,Nutrients!$DH$8:$DH$228)+(IF($A$7=Nutrients!$B$8,Nutrients!$DH$8,Nutrients!$DH$9)*U$7)+(((IF($A$8=Nutrients!$B$79,Nutrients!$DH$79,(IF($A$8=Nutrients!$B$77,Nutrients!$DH$77,Nutrients!$DH$78)))))*U$8))/2000/U$236*100</f>
        <v>70.540000000000006</v>
      </c>
      <c r="V243" s="9"/>
      <c r="W243" s="225">
        <f>(SUMPRODUCT(W$9:W$229,Nutrients!$DH$8:$DH$228)+(IF($A$7=Nutrients!$B$8,Nutrients!$DH$8,Nutrients!$DH$9)*W$7)+(((IF($A$8=Nutrients!$B$79,Nutrients!$DH$79,(IF($A$8=Nutrients!$B$77,Nutrients!$DH$77,Nutrients!$DH$78)))))*W$8))/2000/W$236*100</f>
        <v>68.789999999999978</v>
      </c>
      <c r="X243" s="225">
        <f>(SUMPRODUCT(X$9:X$229,Nutrients!$DH$8:$DH$228)+(IF($A$7=Nutrients!$B$8,Nutrients!$DH$8,Nutrients!$DH$9)*X$7)+(((IF($A$8=Nutrients!$B$79,Nutrients!$DH$79,(IF($A$8=Nutrients!$B$77,Nutrients!$DH$77,Nutrients!$DH$78)))))*X$8))/2000/X$236*100</f>
        <v>69.935588506790552</v>
      </c>
      <c r="Y243" s="225">
        <f>(SUMPRODUCT(Y$9:Y$229,Nutrients!$DH$8:$DH$228)+(IF($A$7=Nutrients!$B$8,Nutrients!$DH$8,Nutrients!$DH$9)*Y$7)+(((IF($A$8=Nutrients!$B$79,Nutrients!$DH$79,(IF($A$8=Nutrients!$B$77,Nutrients!$DH$77,Nutrients!$DH$78)))))*Y$8))/2000/Y$236*100</f>
        <v>71.826002010320948</v>
      </c>
      <c r="Z243" s="225">
        <f>(SUMPRODUCT(Z$9:Z$229,Nutrients!$DH$8:$DH$228)+(IF($A$7=Nutrients!$B$8,Nutrients!$DH$8,Nutrients!$DH$9)*Z$7)+(((IF($A$8=Nutrients!$B$79,Nutrients!$DH$79,(IF($A$8=Nutrients!$B$77,Nutrients!$DH$77,Nutrients!$DH$78)))))*Z$8))/2000/Z$236*100</f>
        <v>74.094300716573443</v>
      </c>
      <c r="AA243" s="225">
        <f>(SUMPRODUCT(AA$9:AA$229,Nutrients!$DH$8:$DH$228)+(IF($A$7=Nutrients!$B$8,Nutrients!$DH$8,Nutrients!$DH$9)*AA$7)+(((IF($A$8=Nutrients!$B$79,Nutrients!$DH$79,(IF($A$8=Nutrients!$B$77,Nutrients!$DH$77,Nutrients!$DH$78)))))*AA$8))/2000/AA$236*100</f>
        <v>74.834806210118998</v>
      </c>
      <c r="AB243" s="225">
        <f>(SUMPRODUCT(AB$9:AB$229,Nutrients!$DH$8:$DH$228)+(IF($A$7=Nutrients!$B$8,Nutrients!$DH$8,Nutrients!$DH$9)*AB$7)+(((IF($A$8=Nutrients!$B$79,Nutrients!$DH$79,(IF($A$8=Nutrients!$B$77,Nutrients!$DH$77,Nutrients!$DH$78)))))*AB$8))/2000/AB$236*100</f>
        <v>70.540000000000006</v>
      </c>
      <c r="AC243" s="9"/>
      <c r="AD243" s="225">
        <f>(SUMPRODUCT(AD$9:AD$229,Nutrients!$DH$8:$DH$228)+(IF($A$7=Nutrients!$B$8,Nutrients!$DH$8,Nutrients!$DH$9)*AD$7)+(((IF($A$8=Nutrients!$B$79,Nutrients!$DH$79,(IF($A$8=Nutrients!$B$77,Nutrients!$DH$77,Nutrients!$DH$78)))))*AD$8))/2000/AD$236*100</f>
        <v>69.570000000000007</v>
      </c>
      <c r="AE243" s="225">
        <f>(SUMPRODUCT(AE$9:AE$229,Nutrients!$DH$8:$DH$228)+(IF($A$7=Nutrients!$B$8,Nutrients!$DH$8,Nutrients!$DH$9)*AE$7)+(((IF($A$8=Nutrients!$B$79,Nutrients!$DH$79,(IF($A$8=Nutrients!$B$77,Nutrients!$DH$77,Nutrients!$DH$78)))))*AE$8))/2000/AE$236*100</f>
        <v>70.959999999999994</v>
      </c>
      <c r="AF243" s="225">
        <f>(SUMPRODUCT(AF$9:AF$229,Nutrients!$DH$8:$DH$228)+(IF($A$7=Nutrients!$B$8,Nutrients!$DH$8,Nutrients!$DH$9)*AF$7)+(((IF($A$8=Nutrients!$B$79,Nutrients!$DH$79,(IF($A$8=Nutrients!$B$77,Nutrients!$DH$77,Nutrients!$DH$78)))))*AF$8))/2000/AF$236*100</f>
        <v>73.643761112610846</v>
      </c>
      <c r="AG243" s="225">
        <f>(SUMPRODUCT(AG$9:AG$229,Nutrients!$DH$8:$DH$228)+(IF($A$7=Nutrients!$B$8,Nutrients!$DH$8,Nutrients!$DH$9)*AG$7)+(((IF($A$8=Nutrients!$B$79,Nutrients!$DH$79,(IF($A$8=Nutrients!$B$77,Nutrients!$DH$77,Nutrients!$DH$78)))))*AG$8))/2000/AG$236*100</f>
        <v>76.14304879771521</v>
      </c>
      <c r="AH243" s="225">
        <f>(SUMPRODUCT(AH$9:AH$229,Nutrients!$DH$8:$DH$228)+(IF($A$7=Nutrients!$B$8,Nutrients!$DH$8,Nutrients!$DH$9)*AH$7)+(((IF($A$8=Nutrients!$B$79,Nutrients!$DH$79,(IF($A$8=Nutrients!$B$77,Nutrients!$DH$77,Nutrients!$DH$78)))))*AH$8))/2000/AH$236*100</f>
        <v>77.062926686196832</v>
      </c>
      <c r="AI243" s="225">
        <f>(SUMPRODUCT(AI$9:AI$229,Nutrients!$DH$8:$DH$228)+(IF($A$7=Nutrients!$B$8,Nutrients!$DH$8,Nutrients!$DH$9)*AI$7)+(((IF($A$8=Nutrients!$B$79,Nutrients!$DH$79,(IF($A$8=Nutrients!$B$77,Nutrients!$DH$77,Nutrients!$DH$78)))))*AI$8))/2000/AI$236*100</f>
        <v>70.540000000000006</v>
      </c>
      <c r="AJ243" s="9"/>
      <c r="AK243" s="225">
        <f>(SUMPRODUCT(AK$9:AK$229,Nutrients!$DH$8:$DH$228)+(IF($A$7=Nutrients!$B$8,Nutrients!$DH$8,Nutrients!$DH$9)*AK$7)+(((IF($A$8=Nutrients!$B$79,Nutrients!$DH$79,(IF($A$8=Nutrients!$B$77,Nutrients!$DH$77,Nutrients!$DH$78)))))*AK$8))/2000/AK$236*100</f>
        <v>70.41709314427959</v>
      </c>
      <c r="AL243" s="225">
        <f>(SUMPRODUCT(AL$9:AL$229,Nutrients!$DH$8:$DH$228)+(IF($A$7=Nutrients!$B$8,Nutrients!$DH$8,Nutrients!$DH$9)*AL$7)+(((IF($A$8=Nutrients!$B$79,Nutrients!$DH$79,(IF($A$8=Nutrients!$B$77,Nutrients!$DH$77,Nutrients!$DH$78)))))*AL$8))/2000/AL$236*100</f>
        <v>71.779933986649453</v>
      </c>
      <c r="AM243" s="225">
        <f>(SUMPRODUCT(AM$9:AM$229,Nutrients!$DH$8:$DH$228)+(IF($A$7=Nutrients!$B$8,Nutrients!$DH$8,Nutrients!$DH$9)*AM$7)+(((IF($A$8=Nutrients!$B$79,Nutrients!$DH$79,(IF($A$8=Nutrients!$B$77,Nutrients!$DH$77,Nutrients!$DH$78)))))*AM$8))/2000/AM$236*100</f>
        <v>75.48770187260034</v>
      </c>
      <c r="AN243" s="225">
        <f>(SUMPRODUCT(AN$9:AN$229,Nutrients!$DH$8:$DH$228)+(IF($A$7=Nutrients!$B$8,Nutrients!$DH$8,Nutrients!$DH$9)*AN$7)+(((IF($A$8=Nutrients!$B$79,Nutrients!$DH$79,(IF($A$8=Nutrients!$B$77,Nutrients!$DH$77,Nutrients!$DH$78)))))*AN$8))/2000/AN$236*100</f>
        <v>78.217226156358393</v>
      </c>
      <c r="AO243" s="225">
        <f>(SUMPRODUCT(AO$9:AO$229,Nutrients!$DH$8:$DH$228)+(IF($A$7=Nutrients!$B$8,Nutrients!$DH$8,Nutrients!$DH$9)*AO$7)+(((IF($A$8=Nutrients!$B$79,Nutrients!$DH$79,(IF($A$8=Nutrients!$B$77,Nutrients!$DH$77,Nutrients!$DH$78)))))*AO$8))/2000/AO$236*100</f>
        <v>79.325847817112248</v>
      </c>
      <c r="AP243" s="225">
        <f>(SUMPRODUCT(AP$9:AP$229,Nutrients!$DH$8:$DH$228)+(IF($A$7=Nutrients!$B$8,Nutrients!$DH$8,Nutrients!$DH$9)*AP$7)+(((IF($A$8=Nutrients!$B$79,Nutrients!$DH$79,(IF($A$8=Nutrients!$B$77,Nutrients!$DH$77,Nutrients!$DH$78)))))*AP$8))/2000/AP$236*100</f>
        <v>70.540000000000006</v>
      </c>
      <c r="AQ243" s="9"/>
      <c r="AR243" s="225">
        <f>(SUMPRODUCT(AR$9:AR$229,Nutrients!$DH$8:$DH$228)+(IF($A$7=Nutrients!$B$8,Nutrients!$DH$8,Nutrients!$DH$9)*AR$7)+(((IF($A$8=Nutrients!$B$79,Nutrients!$DH$79,(IF($A$8=Nutrients!$B$77,Nutrients!$DH$77,Nutrients!$DH$78)))))*AR$8))/2000/AR$236*100</f>
        <v>71.230000000000018</v>
      </c>
      <c r="AS243" s="225">
        <f>(SUMPRODUCT(AS$9:AS$229,Nutrients!$DH$8:$DH$228)+(IF($A$7=Nutrients!$B$8,Nutrients!$DH$8,Nutrients!$DH$9)*AS$7)+(((IF($A$8=Nutrients!$B$79,Nutrients!$DH$79,(IF($A$8=Nutrients!$B$77,Nutrients!$DH$77,Nutrients!$DH$78)))))*AS$8))/2000/AS$236*100</f>
        <v>73.415258740551764</v>
      </c>
      <c r="AT243" s="225">
        <f>(SUMPRODUCT(AT$9:AT$229,Nutrients!$DH$8:$DH$228)+(IF($A$7=Nutrients!$B$8,Nutrients!$DH$8,Nutrients!$DH$9)*AT$7)+(((IF($A$8=Nutrients!$B$79,Nutrients!$DH$79,(IF($A$8=Nutrients!$B$77,Nutrients!$DH$77,Nutrients!$DH$78)))))*AT$8))/2000/AT$236*100</f>
        <v>77.355601900908439</v>
      </c>
      <c r="AU243" s="225">
        <f>(SUMPRODUCT(AU$9:AU$229,Nutrients!$DH$8:$DH$228)+(IF($A$7=Nutrients!$B$8,Nutrients!$DH$8,Nutrients!$DH$9)*AU$7)+(((IF($A$8=Nutrients!$B$79,Nutrients!$DH$79,(IF($A$8=Nutrients!$B$77,Nutrients!$DH$77,Nutrients!$DH$78)))))*AU$8))/2000/AU$236*100</f>
        <v>80.320437176669842</v>
      </c>
      <c r="AV243" s="225">
        <f>(SUMPRODUCT(AV$9:AV$229,Nutrients!$DH$8:$DH$228)+(IF($A$7=Nutrients!$B$8,Nutrients!$DH$8,Nutrients!$DH$9)*AV$7)+(((IF($A$8=Nutrients!$B$79,Nutrients!$DH$79,(IF($A$8=Nutrients!$B$77,Nutrients!$DH$77,Nutrients!$DH$78)))))*AV$8))/2000/AV$236*100</f>
        <v>81.628341198539474</v>
      </c>
      <c r="AW243" s="225">
        <f>(SUMPRODUCT(AW$9:AW$229,Nutrients!$DH$8:$DH$228)+(IF($A$7=Nutrients!$B$8,Nutrients!$DH$8,Nutrients!$DH$9)*AW$7)+(((IF($A$8=Nutrients!$B$79,Nutrients!$DH$79,(IF($A$8=Nutrients!$B$77,Nutrients!$DH$77,Nutrients!$DH$78)))))*AW$8))/2000/AW$236*100</f>
        <v>70.540000000000006</v>
      </c>
      <c r="AX243" s="9"/>
      <c r="AZ243" s="117"/>
      <c r="BA243" s="117"/>
      <c r="BB243" s="117"/>
      <c r="BC243" s="117"/>
      <c r="BD243" s="117"/>
      <c r="BE243" s="117"/>
      <c r="BG243" s="447"/>
      <c r="BH243" s="447"/>
      <c r="BI243" s="447"/>
      <c r="BJ243" s="447"/>
      <c r="BK243" s="447"/>
      <c r="BL243" s="447"/>
    </row>
    <row r="244" spans="1:64" x14ac:dyDescent="0.25">
      <c r="A244" s="38" t="s">
        <v>394</v>
      </c>
      <c r="B244" s="20">
        <f>(SUMPRODUCT(B$9:B$229,Nutrients!$CX$8:$CX$228)+(IF($A$7=Nutrients!$B$8,Nutrients!$CX$8,Nutrients!$CX$9)*B$7)+(((IF($A$8=Nutrients!$B$79,Nutrients!$CX$79,(IF($A$8=Nutrients!$B$77,Nutrients!$CX$77,Nutrients!$CX$78)))))*B$8))/2000/B$236*100</f>
        <v>37.643570590355239</v>
      </c>
      <c r="C244" s="20">
        <f>(SUMPRODUCT(C$9:C$229,Nutrients!$CX$8:$CX$228)+(IF($A$7=Nutrients!$B$8,Nutrients!$CX$8,Nutrients!$CX$9)*C$7)+(((IF($A$8=Nutrients!$B$79,Nutrients!$CX$79,(IF($A$8=Nutrients!$B$77,Nutrients!$CX$77,Nutrients!$CX$78)))))*C$8))/2000/C$236*100</f>
        <v>38.987979019898518</v>
      </c>
      <c r="D244" s="20">
        <f>(SUMPRODUCT(D$9:D$229,Nutrients!$CX$8:$CX$228)+(IF($A$7=Nutrients!$B$8,Nutrients!$CX$8,Nutrients!$CX$9)*D$7)+(((IF($A$8=Nutrients!$B$79,Nutrients!$CX$79,(IF($A$8=Nutrients!$B$77,Nutrients!$CX$77,Nutrients!$CX$78)))))*D$8))/2000/D$236*100</f>
        <v>40.703752845303732</v>
      </c>
      <c r="E244" s="20">
        <f>(SUMPRODUCT(E$9:E$229,Nutrients!$CX$8:$CX$228)+(IF($A$7=Nutrients!$B$8,Nutrients!$CX$8,Nutrients!$CX$9)*E$7)+(((IF($A$8=Nutrients!$B$79,Nutrients!$CX$79,(IF($A$8=Nutrients!$B$77,Nutrients!$CX$77,Nutrients!$CX$78)))))*E$8))/2000/E$236*100</f>
        <v>41.851733002385814</v>
      </c>
      <c r="F244" s="20">
        <f>(SUMPRODUCT(F$9:F$229,Nutrients!$CX$8:$CX$228)+(IF($A$7=Nutrients!$B$8,Nutrients!$CX$8,Nutrients!$CX$9)*F$7)+(((IF($A$8=Nutrients!$B$79,Nutrients!$CX$79,(IF($A$8=Nutrients!$B$77,Nutrients!$CX$77,Nutrients!$CX$78)))))*F$8))/2000/F$236*100</f>
        <v>42.150034216074545</v>
      </c>
      <c r="G244" s="20">
        <f>(SUMPRODUCT(G$9:G$229,Nutrients!$CX$8:$CX$228)+(IF($A$7=Nutrients!$B$8,Nutrients!$CX$8,Nutrients!$CX$9)*G$7)+(((IF($A$8=Nutrients!$B$79,Nutrients!$CX$79,(IF($A$8=Nutrients!$B$77,Nutrients!$CX$77,Nutrients!$CX$78)))))*G$8))/2000/G$236*100</f>
        <v>42.332060863176054</v>
      </c>
      <c r="H244" s="224"/>
      <c r="I244" s="451">
        <f>(SUMPRODUCT(I$9:I$229,Nutrients!$CX$8:$CX$228)+(IF($A$7=Nutrients!$B$8,Nutrients!$CX$8,Nutrients!$CX$9)*I$7)+(((IF($A$8=Nutrients!$B$79,Nutrients!$CX$79,(IF($A$8=Nutrients!$B$77,Nutrients!$CX$77,Nutrients!$CX$78)))))*I$8))/2000/I$236*100</f>
        <v>38.168347730852638</v>
      </c>
      <c r="J244" s="451">
        <f>(SUMPRODUCT(J$9:J$229,Nutrients!$CX$8:$CX$228)+(IF($A$7=Nutrients!$B$8,Nutrients!$CX$8,Nutrients!$CX$9)*J$7)+(((IF($A$8=Nutrients!$B$79,Nutrients!$CX$79,(IF($A$8=Nutrients!$B$77,Nutrients!$CX$77,Nutrients!$CX$78)))))*J$8))/2000/J$236*100</f>
        <v>39.592830427274762</v>
      </c>
      <c r="K244" s="451">
        <f>(SUMPRODUCT(K$9:K$229,Nutrients!$CX$8:$CX$228)+(IF($A$7=Nutrients!$B$8,Nutrients!$CX$8,Nutrients!$CX$9)*K$7)+(((IF($A$8=Nutrients!$B$79,Nutrients!$CX$79,(IF($A$8=Nutrients!$B$77,Nutrients!$CX$77,Nutrients!$CX$78)))))*K$8))/2000/K$236*100</f>
        <v>41.401114647328392</v>
      </c>
      <c r="L244" s="451">
        <f>(SUMPRODUCT(L$9:L$229,Nutrients!$CX$8:$CX$228)+(IF($A$7=Nutrients!$B$8,Nutrients!$CX$8,Nutrients!$CX$9)*L$7)+(((IF($A$8=Nutrients!$B$79,Nutrients!$CX$79,(IF($A$8=Nutrients!$B$77,Nutrients!$CX$77,Nutrients!$CX$78)))))*L$8))/2000/L$236*100</f>
        <v>42.641110113492395</v>
      </c>
      <c r="M244" s="451">
        <f>(SUMPRODUCT(M$9:M$229,Nutrients!$CX$8:$CX$228)+(IF($A$7=Nutrients!$B$8,Nutrients!$CX$8,Nutrients!$CX$9)*M$7)+(((IF($A$8=Nutrients!$B$79,Nutrients!$CX$79,(IF($A$8=Nutrients!$B$77,Nutrients!$CX$77,Nutrients!$CX$78)))))*M$8))/2000/M$236*100</f>
        <v>43.015585237001289</v>
      </c>
      <c r="N244" s="451">
        <f>(SUMPRODUCT(N$9:N$229,Nutrients!$CX$8:$CX$228)+(IF($A$7=Nutrients!$B$8,Nutrients!$CX$8,Nutrients!$CX$9)*N$7)+(((IF($A$8=Nutrients!$B$79,Nutrients!$CX$79,(IF($A$8=Nutrients!$B$77,Nutrients!$CX$77,Nutrients!$CX$78)))))*N$8))/2000/N$236*100</f>
        <v>42.332060863176054</v>
      </c>
      <c r="O244" s="472"/>
      <c r="P244" s="451">
        <f>(SUMPRODUCT(P$9:P$229,Nutrients!$CX$8:$CX$228)+(IF($A$7=Nutrients!$B$8,Nutrients!$CX$8,Nutrients!$CX$9)*P$7)+(((IF($A$8=Nutrients!$B$79,Nutrients!$CX$79,(IF($A$8=Nutrients!$B$77,Nutrients!$CX$77,Nutrients!$CX$78)))))*P$8))/2000/P$236*100</f>
        <v>38.701731750206115</v>
      </c>
      <c r="Q244" s="451">
        <f>(SUMPRODUCT(Q$9:Q$229,Nutrients!$CX$8:$CX$228)+(IF($A$7=Nutrients!$B$8,Nutrients!$CX$8,Nutrients!$CX$9)*Q$7)+(((IF($A$8=Nutrients!$B$79,Nutrients!$CX$79,(IF($A$8=Nutrients!$B$77,Nutrients!$CX$77,Nutrients!$CX$78)))))*Q$8))/2000/Q$236*100</f>
        <v>40.205348879451769</v>
      </c>
      <c r="R244" s="451">
        <f>(SUMPRODUCT(R$9:R$229,Nutrients!$CX$8:$CX$228)+(IF($A$7=Nutrients!$B$8,Nutrients!$CX$8,Nutrients!$CX$9)*R$7)+(((IF($A$8=Nutrients!$B$79,Nutrients!$CX$79,(IF($A$8=Nutrients!$B$77,Nutrients!$CX$77,Nutrients!$CX$78)))))*R$8))/2000/R$236*100</f>
        <v>42.105208860921245</v>
      </c>
      <c r="S244" s="451">
        <f>(SUMPRODUCT(S$9:S$229,Nutrients!$CX$8:$CX$228)+(IF($A$7=Nutrients!$B$8,Nutrients!$CX$8,Nutrients!$CX$9)*S$7)+(((IF($A$8=Nutrients!$B$79,Nutrients!$CX$79,(IF($A$8=Nutrients!$B$77,Nutrients!$CX$77,Nutrients!$CX$78)))))*S$8))/2000/S$236*100</f>
        <v>43.443079537299568</v>
      </c>
      <c r="T244" s="451">
        <f>(SUMPRODUCT(T$9:T$229,Nutrients!$CX$8:$CX$228)+(IF($A$7=Nutrients!$B$8,Nutrients!$CX$8,Nutrients!$CX$9)*T$7)+(((IF($A$8=Nutrients!$B$79,Nutrients!$CX$79,(IF($A$8=Nutrients!$B$77,Nutrients!$CX$77,Nutrients!$CX$78)))))*T$8))/2000/T$236*100</f>
        <v>43.890254357587679</v>
      </c>
      <c r="U244" s="451">
        <f>(SUMPRODUCT(U$9:U$229,Nutrients!$CX$8:$CX$228)+(IF($A$7=Nutrients!$B$8,Nutrients!$CX$8,Nutrients!$CX$9)*U$7)+(((IF($A$8=Nutrients!$B$79,Nutrients!$CX$79,(IF($A$8=Nutrients!$B$77,Nutrients!$CX$77,Nutrients!$CX$78)))))*U$8))/2000/U$236*100</f>
        <v>42.332060863176054</v>
      </c>
      <c r="V244" s="9"/>
      <c r="W244" s="451">
        <f>(SUMPRODUCT(W$9:W$229,Nutrients!$CX$8:$CX$228)+(IF($A$7=Nutrients!$B$8,Nutrients!$CX$8,Nutrients!$CX$9)*W$7)+(((IF($A$8=Nutrients!$B$79,Nutrients!$CX$79,(IF($A$8=Nutrients!$B$77,Nutrients!$CX$77,Nutrients!$CX$78)))))*W$8))/2000/W$236*100</f>
        <v>39.242078840946334</v>
      </c>
      <c r="X244" s="451">
        <f>(SUMPRODUCT(X$9:X$229,Nutrients!$CX$8:$CX$228)+(IF($A$7=Nutrients!$B$8,Nutrients!$CX$8,Nutrients!$CX$9)*X$7)+(((IF($A$8=Nutrients!$B$79,Nutrients!$CX$79,(IF($A$8=Nutrients!$B$77,Nutrients!$CX$77,Nutrients!$CX$78)))))*X$8))/2000/X$236*100</f>
        <v>40.826434275453067</v>
      </c>
      <c r="Y244" s="451">
        <f>(SUMPRODUCT(Y$9:Y$229,Nutrients!$CX$8:$CX$228)+(IF($A$7=Nutrients!$B$8,Nutrients!$CX$8,Nutrients!$CX$9)*Y$7)+(((IF($A$8=Nutrients!$B$79,Nutrients!$CX$79,(IF($A$8=Nutrients!$B$77,Nutrients!$CX$77,Nutrients!$CX$78)))))*Y$8))/2000/Y$236*100</f>
        <v>42.824175240689563</v>
      </c>
      <c r="Z244" s="451">
        <f>(SUMPRODUCT(Z$9:Z$229,Nutrients!$CX$8:$CX$228)+(IF($A$7=Nutrients!$B$8,Nutrients!$CX$8,Nutrients!$CX$9)*Z$7)+(((IF($A$8=Nutrients!$B$79,Nutrients!$CX$79,(IF($A$8=Nutrients!$B$77,Nutrients!$CX$77,Nutrients!$CX$78)))))*Z$8))/2000/Z$236*100</f>
        <v>44.254795578456715</v>
      </c>
      <c r="AA244" s="451">
        <f>(SUMPRODUCT(AA$9:AA$229,Nutrients!$CX$8:$CX$228)+(IF($A$7=Nutrients!$B$8,Nutrients!$CX$8,Nutrients!$CX$9)*AA$7)+(((IF($A$8=Nutrients!$B$79,Nutrients!$CX$79,(IF($A$8=Nutrients!$B$77,Nutrients!$CX$77,Nutrients!$CX$78)))))*AA$8))/2000/AA$236*100</f>
        <v>44.774864630287148</v>
      </c>
      <c r="AB244" s="451">
        <f>(SUMPRODUCT(AB$9:AB$229,Nutrients!$CX$8:$CX$228)+(IF($A$7=Nutrients!$B$8,Nutrients!$CX$8,Nutrients!$CX$9)*AB$7)+(((IF($A$8=Nutrients!$B$79,Nutrients!$CX$79,(IF($A$8=Nutrients!$B$77,Nutrients!$CX$77,Nutrients!$CX$78)))))*AB$8))/2000/AB$236*100</f>
        <v>42.332060863176054</v>
      </c>
      <c r="AC244" s="9"/>
      <c r="AD244" s="451">
        <f>(SUMPRODUCT(AD$9:AD$229,Nutrients!$CX$8:$CX$228)+(IF($A$7=Nutrients!$B$8,Nutrients!$CX$8,Nutrients!$CX$9)*AD$7)+(((IF($A$8=Nutrients!$B$79,Nutrients!$CX$79,(IF($A$8=Nutrients!$B$77,Nutrients!$CX$77,Nutrients!$CX$78)))))*AD$8))/2000/AD$236*100</f>
        <v>39.789488884893757</v>
      </c>
      <c r="AE244" s="451">
        <f>(SUMPRODUCT(AE$9:AE$229,Nutrients!$CX$8:$CX$228)+(IF($A$7=Nutrients!$B$8,Nutrients!$CX$8,Nutrients!$CX$9)*AE$7)+(((IF($A$8=Nutrients!$B$79,Nutrients!$CX$79,(IF($A$8=Nutrients!$B$77,Nutrients!$CX$77,Nutrients!$CX$78)))))*AE$8))/2000/AE$236*100</f>
        <v>41.459001883004404</v>
      </c>
      <c r="AF244" s="451">
        <f>(SUMPRODUCT(AF$9:AF$229,Nutrients!$CX$8:$CX$228)+(IF($A$7=Nutrients!$B$8,Nutrients!$CX$8,Nutrients!$CX$9)*AF$7)+(((IF($A$8=Nutrients!$B$79,Nutrients!$CX$79,(IF($A$8=Nutrients!$B$77,Nutrients!$CX$77,Nutrients!$CX$78)))))*AF$8))/2000/AF$236*100</f>
        <v>43.55257741487646</v>
      </c>
      <c r="AG244" s="451">
        <f>(SUMPRODUCT(AG$9:AG$229,Nutrients!$CX$8:$CX$228)+(IF($A$7=Nutrients!$B$8,Nutrients!$CX$8,Nutrients!$CX$9)*AG$7)+(((IF($A$8=Nutrients!$B$79,Nutrients!$CX$79,(IF($A$8=Nutrients!$B$77,Nutrients!$CX$77,Nutrients!$CX$78)))))*AG$8))/2000/AG$236*100</f>
        <v>45.076785099177378</v>
      </c>
      <c r="AH244" s="451">
        <f>(SUMPRODUCT(AH$9:AH$229,Nutrients!$CX$8:$CX$228)+(IF($A$7=Nutrients!$B$8,Nutrients!$CX$8,Nutrients!$CX$9)*AH$7)+(((IF($A$8=Nutrients!$B$79,Nutrients!$CX$79,(IF($A$8=Nutrients!$B$77,Nutrients!$CX$77,Nutrients!$CX$78)))))*AH$8))/2000/AH$236*100</f>
        <v>45.665988796534293</v>
      </c>
      <c r="AI244" s="451">
        <f>(SUMPRODUCT(AI$9:AI$229,Nutrients!$CX$8:$CX$228)+(IF($A$7=Nutrients!$B$8,Nutrients!$CX$8,Nutrients!$CX$9)*AI$7)+(((IF($A$8=Nutrients!$B$79,Nutrients!$CX$79,(IF($A$8=Nutrients!$B$77,Nutrients!$CX$77,Nutrients!$CX$78)))))*AI$8))/2000/AI$236*100</f>
        <v>42.332060863176054</v>
      </c>
      <c r="AJ244" s="9"/>
      <c r="AK244" s="451">
        <f>(SUMPRODUCT(AK$9:AK$229,Nutrients!$CX$8:$CX$228)+(IF($A$7=Nutrients!$B$8,Nutrients!$CX$8,Nutrients!$CX$9)*AK$7)+(((IF($A$8=Nutrients!$B$79,Nutrients!$CX$79,(IF($A$8=Nutrients!$B$77,Nutrients!$CX$77,Nutrients!$CX$78)))))*AK$8))/2000/AK$236*100</f>
        <v>40.34395644724664</v>
      </c>
      <c r="AL244" s="451">
        <f>(SUMPRODUCT(AL$9:AL$229,Nutrients!$CX$8:$CX$228)+(IF($A$7=Nutrients!$B$8,Nutrients!$CX$8,Nutrients!$CX$9)*AL$7)+(((IF($A$8=Nutrients!$B$79,Nutrients!$CX$79,(IF($A$8=Nutrients!$B$77,Nutrients!$CX$77,Nutrients!$CX$78)))))*AL$8))/2000/AL$236*100</f>
        <v>42.101192964367613</v>
      </c>
      <c r="AM244" s="451">
        <f>(SUMPRODUCT(AM$9:AM$229,Nutrients!$CX$8:$CX$228)+(IF($A$7=Nutrients!$B$8,Nutrients!$CX$8,Nutrients!$CX$9)*AM$7)+(((IF($A$8=Nutrients!$B$79,Nutrients!$CX$79,(IF($A$8=Nutrients!$B$77,Nutrients!$CX$77,Nutrients!$CX$78)))))*AM$8))/2000/AM$236*100</f>
        <v>44.290848910713329</v>
      </c>
      <c r="AN244" s="451">
        <f>(SUMPRODUCT(AN$9:AN$229,Nutrients!$CX$8:$CX$228)+(IF($A$7=Nutrients!$B$8,Nutrients!$CX$8,Nutrients!$CX$9)*AN$7)+(((IF($A$8=Nutrients!$B$79,Nutrients!$CX$79,(IF($A$8=Nutrients!$B$77,Nutrients!$CX$77,Nutrients!$CX$78)))))*AN$8))/2000/AN$236*100</f>
        <v>45.906782860816314</v>
      </c>
      <c r="AO244" s="451">
        <f>(SUMPRODUCT(AO$9:AO$229,Nutrients!$CX$8:$CX$228)+(IF($A$7=Nutrients!$B$8,Nutrients!$CX$8,Nutrients!$CX$9)*AO$7)+(((IF($A$8=Nutrients!$B$79,Nutrients!$CX$79,(IF($A$8=Nutrients!$B$77,Nutrients!$CX$77,Nutrients!$CX$78)))))*AO$8))/2000/AO$236*100</f>
        <v>46.570001848257228</v>
      </c>
      <c r="AP244" s="451">
        <f>(SUMPRODUCT(AP$9:AP$229,Nutrients!$CX$8:$CX$228)+(IF($A$7=Nutrients!$B$8,Nutrients!$CX$8,Nutrients!$CX$9)*AP$7)+(((IF($A$8=Nutrients!$B$79,Nutrients!$CX$79,(IF($A$8=Nutrients!$B$77,Nutrients!$CX$77,Nutrients!$CX$78)))))*AP$8))/2000/AP$236*100</f>
        <v>42.332060863176054</v>
      </c>
      <c r="AQ244" s="9"/>
      <c r="AR244" s="451">
        <f>(SUMPRODUCT(AR$9:AR$229,Nutrients!$CX$8:$CX$228)+(IF($A$7=Nutrients!$B$8,Nutrients!$CX$8,Nutrients!$CX$9)*AR$7)+(((IF($A$8=Nutrients!$B$79,Nutrients!$CX$79,(IF($A$8=Nutrients!$B$77,Nutrients!$CX$77,Nutrients!$CX$78)))))*AR$8))/2000/AR$236*100</f>
        <v>40.901392315638475</v>
      </c>
      <c r="AS244" s="451">
        <f>(SUMPRODUCT(AS$9:AS$229,Nutrients!$CX$8:$CX$228)+(IF($A$7=Nutrients!$B$8,Nutrients!$CX$8,Nutrients!$CX$9)*AS$7)+(((IF($A$8=Nutrients!$B$79,Nutrients!$CX$79,(IF($A$8=Nutrients!$B$77,Nutrients!$CX$77,Nutrients!$CX$78)))))*AS$8))/2000/AS$236*100</f>
        <v>42.752468489760538</v>
      </c>
      <c r="AT244" s="451">
        <f>(SUMPRODUCT(AT$9:AT$229,Nutrients!$CX$8:$CX$228)+(IF($A$7=Nutrients!$B$8,Nutrients!$CX$8,Nutrients!$CX$9)*AT$7)+(((IF($A$8=Nutrients!$B$79,Nutrients!$CX$79,(IF($A$8=Nutrients!$B$77,Nutrients!$CX$77,Nutrients!$CX$78)))))*AT$8))/2000/AT$236*100</f>
        <v>45.03771568837989</v>
      </c>
      <c r="AU244" s="451">
        <f>(SUMPRODUCT(AU$9:AU$229,Nutrients!$CX$8:$CX$228)+(IF($A$7=Nutrients!$B$8,Nutrients!$CX$8,Nutrients!$CX$9)*AU$7)+(((IF($A$8=Nutrients!$B$79,Nutrients!$CX$79,(IF($A$8=Nutrients!$B$77,Nutrients!$CX$77,Nutrients!$CX$78)))))*AU$8))/2000/AU$236*100</f>
        <v>46.746501166351017</v>
      </c>
      <c r="AV244" s="451">
        <f>(SUMPRODUCT(AV$9:AV$229,Nutrients!$CX$8:$CX$228)+(IF($A$7=Nutrients!$B$8,Nutrients!$CX$8,Nutrients!$CX$9)*AV$7)+(((IF($A$8=Nutrients!$B$79,Nutrients!$CX$79,(IF($A$8=Nutrients!$B$77,Nutrients!$CX$77,Nutrients!$CX$78)))))*AV$8))/2000/AV$236*100</f>
        <v>47.489799465711627</v>
      </c>
      <c r="AW244" s="451">
        <f>(SUMPRODUCT(AW$9:AW$229,Nutrients!$CX$8:$CX$228)+(IF($A$7=Nutrients!$B$8,Nutrients!$CX$8,Nutrients!$CX$9)*AW$7)+(((IF($A$8=Nutrients!$B$79,Nutrients!$CX$79,(IF($A$8=Nutrients!$B$77,Nutrients!$CX$77,Nutrients!$CX$78)))))*AW$8))/2000/AW$236*100</f>
        <v>42.332060863176054</v>
      </c>
      <c r="AX244" s="9"/>
      <c r="AZ244" s="117"/>
      <c r="BA244" s="117"/>
      <c r="BB244" s="117"/>
      <c r="BC244" s="117"/>
      <c r="BD244" s="117"/>
      <c r="BE244" s="117"/>
      <c r="BG244" s="447"/>
      <c r="BH244" s="447"/>
      <c r="BI244" s="447"/>
      <c r="BJ244" s="447"/>
      <c r="BK244" s="447"/>
      <c r="BL244" s="447"/>
    </row>
    <row r="245" spans="1:64" x14ac:dyDescent="0.25">
      <c r="A245" s="5" t="s">
        <v>389</v>
      </c>
      <c r="B245" s="26">
        <f>(SUMPRODUCT(B$9:B$229,Nutrients!$AJ$8:$AJ$228)+(IF($A7=Nutrients!$B$8,Nutrients!$AJ$8,Nutrients!$AJ$9)*B$7)+(((IF($A8=Nutrients!$B$79,Nutrients!$AJ$79,(IF($A8=Nutrients!$B$77,Nutrients!$AJ$77,Nutrients!$AJ$78)))))*B$8))/2000</f>
        <v>1.3184028426828778</v>
      </c>
      <c r="C245" s="26">
        <f>(SUMPRODUCT(C$9:C$229,Nutrients!$AJ$8:$AJ$228)+(IF($A7=Nutrients!$B$8,Nutrients!$AJ$8,Nutrients!$AJ$9)*C$7)+(((IF($A8=Nutrients!$B$79,Nutrients!$AJ$79,(IF($A8=Nutrients!$B$77,Nutrients!$AJ$77,Nutrients!$AJ$78)))))*C$8))/2000</f>
        <v>1.1707660127345534</v>
      </c>
      <c r="D245" s="26">
        <f>(SUMPRODUCT(D$9:D$229,Nutrients!$AJ$8:$AJ$228)+(IF($A7=Nutrients!$B$8,Nutrients!$AJ$8,Nutrients!$AJ$9)*D$7)+(((IF($A8=Nutrients!$B$79,Nutrients!$AJ$79,(IF($A8=Nutrients!$B$77,Nutrients!$AJ$77,Nutrients!$AJ$78)))))*D$8))/2000</f>
        <v>1.0403693489168444</v>
      </c>
      <c r="E245" s="26">
        <f>(SUMPRODUCT(E$9:E$229,Nutrients!$AJ$8:$AJ$228)+(IF($A7=Nutrients!$B$8,Nutrients!$AJ$8,Nutrients!$AJ$9)*E$7)+(((IF($A8=Nutrients!$B$79,Nutrients!$AJ$79,(IF($A8=Nutrients!$B$77,Nutrients!$AJ$77,Nutrients!$AJ$78)))))*E$8))/2000</f>
        <v>0.93090396099650141</v>
      </c>
      <c r="F245" s="26">
        <f>(SUMPRODUCT(F$9:F$229,Nutrients!$AJ$8:$AJ$228)+(IF($A7=Nutrients!$B$8,Nutrients!$AJ$8,Nutrients!$AJ$9)*F$7)+(((IF($A8=Nutrients!$B$79,Nutrients!$AJ$79,(IF($A8=Nutrients!$B$77,Nutrients!$AJ$77,Nutrients!$AJ$78)))))*F$8))/2000</f>
        <v>0.85426384482722051</v>
      </c>
      <c r="G245" s="26">
        <f>(SUMPRODUCT(G$9:G$229,Nutrients!$AJ$8:$AJ$228)+(IF($A7=Nutrients!$B$8,Nutrients!$AJ$8,Nutrients!$AJ$9)*G$7)+(((IF($A8=Nutrients!$B$79,Nutrients!$AJ$79,(IF($A8=Nutrients!$B$77,Nutrients!$AJ$77,Nutrients!$AJ$78)))))*G$8))/2000</f>
        <v>0.81186991699752797</v>
      </c>
      <c r="H245" s="26"/>
      <c r="I245" s="26">
        <f>(SUMPRODUCT(I$9:I$229,Nutrients!$AJ$8:$AJ$228)+(IF($A7=Nutrients!$B$8,Nutrients!$AJ$8,Nutrients!$AJ$9)*I$7)+(((IF($A8=Nutrients!$B$79,Nutrients!$AJ$79,(IF($A8=Nutrients!$B$77,Nutrients!$AJ$77,Nutrients!$AJ$78)))))*I$8))/2000</f>
        <v>1.3165972753231034</v>
      </c>
      <c r="J245" s="26">
        <f>(SUMPRODUCT(J$9:J$229,Nutrients!$AJ$8:$AJ$228)+(IF($A7=Nutrients!$B$8,Nutrients!$AJ$8,Nutrients!$AJ$9)*J$7)+(((IF($A8=Nutrients!$B$79,Nutrients!$AJ$79,(IF($A8=Nutrients!$B$77,Nutrients!$AJ$77,Nutrients!$AJ$78)))))*J$8))/2000</f>
        <v>1.1705711272077199</v>
      </c>
      <c r="K245" s="26">
        <f>(SUMPRODUCT(K$9:K$229,Nutrients!$AJ$8:$AJ$228)+(IF($A7=Nutrients!$B$8,Nutrients!$AJ$8,Nutrients!$AJ$9)*K$7)+(((IF($A8=Nutrients!$B$79,Nutrients!$AJ$79,(IF($A8=Nutrients!$B$77,Nutrients!$AJ$77,Nutrients!$AJ$78)))))*K$8))/2000</f>
        <v>1.0415021589369753</v>
      </c>
      <c r="L245" s="26">
        <f>(SUMPRODUCT(L$9:L$229,Nutrients!$AJ$8:$AJ$228)+(IF($A7=Nutrients!$B$8,Nutrients!$AJ$8,Nutrients!$AJ$9)*L$7)+(((IF($A8=Nutrients!$B$79,Nutrients!$AJ$79,(IF($A8=Nutrients!$B$77,Nutrients!$AJ$77,Nutrients!$AJ$78)))))*L$8))/2000</f>
        <v>0.93291769458229434</v>
      </c>
      <c r="M245" s="26">
        <f>(SUMPRODUCT(M$9:M$229,Nutrients!$AJ$8:$AJ$228)+(IF($A7=Nutrients!$B$8,Nutrients!$AJ$8,Nutrients!$AJ$9)*M$7)+(((IF($A8=Nutrients!$B$79,Nutrients!$AJ$79,(IF($A8=Nutrients!$B$77,Nutrients!$AJ$77,Nutrients!$AJ$78)))))*M$8))/2000</f>
        <v>0.85621574303847592</v>
      </c>
      <c r="N245" s="26">
        <f>(SUMPRODUCT(N$9:N$229,Nutrients!$AJ$8:$AJ$228)+(IF($A7=Nutrients!$B$8,Nutrients!$AJ$8,Nutrients!$AJ$9)*N$7)+(((IF($A8=Nutrients!$B$79,Nutrients!$AJ$79,(IF($A8=Nutrients!$B$77,Nutrients!$AJ$77,Nutrients!$AJ$78)))))*N$8))/2000</f>
        <v>0.81186991699752797</v>
      </c>
      <c r="O245" s="197"/>
      <c r="P245" s="26">
        <f>(SUMPRODUCT(P$9:P$229,Nutrients!$AJ$8:$AJ$228)+(IF($A7=Nutrients!$B$8,Nutrients!$AJ$8,Nutrients!$AJ$9)*P$7)+(((IF($A8=Nutrients!$B$79,Nutrients!$AJ$79,(IF($A8=Nutrients!$B$77,Nutrients!$AJ$77,Nutrients!$AJ$78)))))*P$8))/2000</f>
        <v>1.3168679331202973</v>
      </c>
      <c r="Q245" s="26">
        <f>(SUMPRODUCT(Q$9:Q$229,Nutrients!$AJ$8:$AJ$228)+(IF($A7=Nutrients!$B$8,Nutrients!$AJ$8,Nutrients!$AJ$9)*Q$7)+(((IF($A8=Nutrients!$B$79,Nutrients!$AJ$79,(IF($A8=Nutrients!$B$77,Nutrients!$AJ$77,Nutrients!$AJ$78)))))*Q$8))/2000</f>
        <v>1.1718154601829185</v>
      </c>
      <c r="R245" s="26">
        <f>(SUMPRODUCT(R$9:R$229,Nutrients!$AJ$8:$AJ$228)+(IF($A7=Nutrients!$B$8,Nutrients!$AJ$8,Nutrients!$AJ$9)*R$7)+(((IF($A8=Nutrients!$B$79,Nutrients!$AJ$79,(IF($A8=Nutrients!$B$77,Nutrients!$AJ$77,Nutrients!$AJ$78)))))*R$8))/2000</f>
        <v>1.0437894391132152</v>
      </c>
      <c r="S245" s="26">
        <f>(SUMPRODUCT(S$9:S$229,Nutrients!$AJ$8:$AJ$228)+(IF($A7=Nutrients!$B$8,Nutrients!$AJ$8,Nutrients!$AJ$9)*S$7)+(((IF($A8=Nutrients!$B$79,Nutrients!$AJ$79,(IF($A8=Nutrients!$B$77,Nutrients!$AJ$77,Nutrients!$AJ$78)))))*S$8))/2000</f>
        <v>0.93471837776336242</v>
      </c>
      <c r="T245" s="26">
        <f>(SUMPRODUCT(T$9:T$229,Nutrients!$AJ$8:$AJ$228)+(IF($A7=Nutrients!$B$8,Nutrients!$AJ$8,Nutrients!$AJ$9)*T$7)+(((IF($A8=Nutrients!$B$79,Nutrients!$AJ$79,(IF($A8=Nutrients!$B$77,Nutrients!$AJ$77,Nutrients!$AJ$78)))))*T$8))/2000</f>
        <v>0.85886979209068937</v>
      </c>
      <c r="U245" s="26">
        <f>(SUMPRODUCT(U$9:U$229,Nutrients!$AJ$8:$AJ$228)+(IF($A7=Nutrients!$B$8,Nutrients!$AJ$8,Nutrients!$AJ$9)*U$7)+(((IF($A8=Nutrients!$B$79,Nutrients!$AJ$79,(IF($A8=Nutrients!$B$77,Nutrients!$AJ$77,Nutrients!$AJ$78)))))*U$8))/2000</f>
        <v>0.81186991699752797</v>
      </c>
      <c r="W245" s="26">
        <f>(SUMPRODUCT(W$9:W$229,Nutrients!$AJ$8:$AJ$228)+(IF($A7=Nutrients!$B$8,Nutrients!$AJ$8,Nutrients!$AJ$9)*W$7)+(((IF($A8=Nutrients!$B$79,Nutrients!$AJ$79,(IF($A8=Nutrients!$B$77,Nutrients!$AJ$77,Nutrients!$AJ$78)))))*W$8))/2000</f>
        <v>1.3171363831911274</v>
      </c>
      <c r="X245" s="26">
        <f>(SUMPRODUCT(X$9:X$229,Nutrients!$AJ$8:$AJ$228)+(IF($A7=Nutrients!$B$8,Nutrients!$AJ$8,Nutrients!$AJ$9)*X$7)+(((IF($A8=Nutrients!$B$79,Nutrients!$AJ$79,(IF($A8=Nutrients!$B$77,Nutrients!$AJ$77,Nutrients!$AJ$78)))))*X$8))/2000</f>
        <v>1.1730649254717505</v>
      </c>
      <c r="Y245" s="26">
        <f>(SUMPRODUCT(Y$9:Y$229,Nutrients!$AJ$8:$AJ$228)+(IF($A7=Nutrients!$B$8,Nutrients!$AJ$8,Nutrients!$AJ$9)*Y$7)+(((IF($A8=Nutrients!$B$79,Nutrients!$AJ$79,(IF($A8=Nutrients!$B$77,Nutrients!$AJ$77,Nutrients!$AJ$78)))))*Y$8))/2000</f>
        <v>1.0445670342924145</v>
      </c>
      <c r="Z245" s="26">
        <f>(SUMPRODUCT(Z$9:Z$229,Nutrients!$AJ$8:$AJ$228)+(IF($A7=Nutrients!$B$8,Nutrients!$AJ$8,Nutrients!$AJ$9)*Z$7)+(((IF($A8=Nutrients!$B$79,Nutrients!$AJ$79,(IF($A8=Nutrients!$B$77,Nutrients!$AJ$77,Nutrients!$AJ$78)))))*Z$8))/2000</f>
        <v>0.93690240670339475</v>
      </c>
      <c r="AA245" s="26">
        <f>(SUMPRODUCT(AA$9:AA$229,Nutrients!$AJ$8:$AJ$228)+(IF($A7=Nutrients!$B$8,Nutrients!$AJ$8,Nutrients!$AJ$9)*AA$7)+(((IF($A8=Nutrients!$B$79,Nutrients!$AJ$79,(IF($A8=Nutrients!$B$77,Nutrients!$AJ$77,Nutrients!$AJ$78)))))*AA$8))/2000</f>
        <v>0.861617428587236</v>
      </c>
      <c r="AB245" s="26">
        <f>(SUMPRODUCT(AB$9:AB$229,Nutrients!$AJ$8:$AJ$228)+(IF($A7=Nutrients!$B$8,Nutrients!$AJ$8,Nutrients!$AJ$9)*AB$7)+(((IF($A8=Nutrients!$B$79,Nutrients!$AJ$79,(IF($A8=Nutrients!$B$77,Nutrients!$AJ$77,Nutrients!$AJ$78)))))*AB$8))/2000</f>
        <v>0.81186991699752797</v>
      </c>
      <c r="AD245" s="26">
        <f>(SUMPRODUCT(AD$9:AD$229,Nutrients!$AJ$8:$AJ$228)+(IF($A7=Nutrients!$B$8,Nutrients!$AJ$8,Nutrients!$AJ$9)*AD$7)+(((IF($A8=Nutrients!$B$79,Nutrients!$AJ$79,(IF($A8=Nutrients!$B$77,Nutrients!$AJ$77,Nutrients!$AJ$78)))))*AD$8))/2000</f>
        <v>1.3172847721753069</v>
      </c>
      <c r="AE245" s="26">
        <f>(SUMPRODUCT(AE$9:AE$229,Nutrients!$AJ$8:$AJ$228)+(IF($A7=Nutrients!$B$8,Nutrients!$AJ$8,Nutrients!$AJ$9)*AE$7)+(((IF($A8=Nutrients!$B$79,Nutrients!$AJ$79,(IF($A8=Nutrients!$B$77,Nutrients!$AJ$77,Nutrients!$AJ$78)))))*AE$8))/2000</f>
        <v>1.1728302401977027</v>
      </c>
      <c r="AF245" s="26">
        <f>(SUMPRODUCT(AF$9:AF$229,Nutrients!$AJ$8:$AJ$228)+(IF($A7=Nutrients!$B$8,Nutrients!$AJ$8,Nutrients!$AJ$9)*AF$7)+(((IF($A8=Nutrients!$B$79,Nutrients!$AJ$79,(IF($A8=Nutrients!$B$77,Nutrients!$AJ$77,Nutrients!$AJ$78)))))*AF$8))/2000</f>
        <v>1.0456994980370526</v>
      </c>
      <c r="AG245" s="26">
        <f>(SUMPRODUCT(AG$9:AG$229,Nutrients!$AJ$8:$AJ$228)+(IF($A7=Nutrients!$B$8,Nutrients!$AJ$8,Nutrients!$AJ$9)*AG$7)+(((IF($A8=Nutrients!$B$79,Nutrients!$AJ$79,(IF($A8=Nutrients!$B$77,Nutrients!$AJ$77,Nutrients!$AJ$78)))))*AG$8))/2000</f>
        <v>0.93905437014704296</v>
      </c>
      <c r="AH245" s="26">
        <f>(SUMPRODUCT(AH$9:AH$229,Nutrients!$AJ$8:$AJ$228)+(IF($A7=Nutrients!$B$8,Nutrients!$AJ$8,Nutrients!$AJ$9)*AH$7)+(((IF($A8=Nutrients!$B$79,Nutrients!$AJ$79,(IF($A8=Nutrients!$B$77,Nutrients!$AJ$77,Nutrients!$AJ$78)))))*AH$8))/2000</f>
        <v>0.86376051668458242</v>
      </c>
      <c r="AI245" s="26">
        <f>(SUMPRODUCT(AI$9:AI$229,Nutrients!$AJ$8:$AJ$228)+(IF($A7=Nutrients!$B$8,Nutrients!$AJ$8,Nutrients!$AJ$9)*AI$7)+(((IF($A8=Nutrients!$B$79,Nutrients!$AJ$79,(IF($A8=Nutrients!$B$77,Nutrients!$AJ$77,Nutrients!$AJ$78)))))*AI$8))/2000</f>
        <v>0.81186991699752797</v>
      </c>
      <c r="AK245" s="26">
        <f>(SUMPRODUCT(AK$9:AK$229,Nutrients!$AJ$8:$AJ$228)+(IF($A7=Nutrients!$B$8,Nutrients!$AJ$8,Nutrients!$AJ$9)*AK$7)+(((IF($A8=Nutrients!$B$79,Nutrients!$AJ$79,(IF($A8=Nutrients!$B$77,Nutrients!$AJ$77,Nutrients!$AJ$78)))))*AK$8))/2000</f>
        <v>1.317823048658006</v>
      </c>
      <c r="AL245" s="26">
        <f>(SUMPRODUCT(AL$9:AL$229,Nutrients!$AJ$8:$AJ$228)+(IF($A7=Nutrients!$B$8,Nutrients!$AJ$8,Nutrients!$AJ$9)*AL$7)+(((IF($A8=Nutrients!$B$79,Nutrients!$AJ$79,(IF($A8=Nutrients!$B$77,Nutrients!$AJ$77,Nutrients!$AJ$78)))))*AL$8))/2000</f>
        <v>1.1730246906405077</v>
      </c>
      <c r="AM245" s="26">
        <f>(SUMPRODUCT(AM$9:AM$229,Nutrients!$AJ$8:$AJ$228)+(IF($A7=Nutrients!$B$8,Nutrients!$AJ$8,Nutrients!$AJ$9)*AM$7)+(((IF($A8=Nutrients!$B$79,Nutrients!$AJ$79,(IF($A8=Nutrients!$B$77,Nutrients!$AJ$77,Nutrients!$AJ$78)))))*AM$8))/2000</f>
        <v>1.0470019346152544</v>
      </c>
      <c r="AN245" s="26">
        <f>(SUMPRODUCT(AN$9:AN$229,Nutrients!$AJ$8:$AJ$228)+(IF($A7=Nutrients!$B$8,Nutrients!$AJ$8,Nutrients!$AJ$9)*AN$7)+(((IF($A8=Nutrients!$B$79,Nutrients!$AJ$79,(IF($A8=Nutrients!$B$77,Nutrients!$AJ$77,Nutrients!$AJ$78)))))*AN$8))/2000</f>
        <v>0.94073506676838925</v>
      </c>
      <c r="AO245" s="26">
        <f>(SUMPRODUCT(AO$9:AO$229,Nutrients!$AJ$8:$AJ$228)+(IF($A7=Nutrients!$B$8,Nutrients!$AJ$8,Nutrients!$AJ$9)*AO$7)+(((IF($A8=Nutrients!$B$79,Nutrients!$AJ$79,(IF($A8=Nutrients!$B$77,Nutrients!$AJ$77,Nutrients!$AJ$78)))))*AO$8))/2000</f>
        <v>0.86569673412516635</v>
      </c>
      <c r="AP245" s="26">
        <f>(SUMPRODUCT(AP$9:AP$229,Nutrients!$AJ$8:$AJ$228)+(IF($A7=Nutrients!$B$8,Nutrients!$AJ$8,Nutrients!$AJ$9)*AP$7)+(((IF($A8=Nutrients!$B$79,Nutrients!$AJ$79,(IF($A8=Nutrients!$B$77,Nutrients!$AJ$77,Nutrients!$AJ$78)))))*AP$8))/2000</f>
        <v>0.81186991699752797</v>
      </c>
      <c r="AR245" s="26">
        <f>(SUMPRODUCT(AR$9:AR$229,Nutrients!$AJ$8:$AJ$228)+(IF($A7=Nutrients!$B$8,Nutrients!$AJ$8,Nutrients!$AJ$9)*AR$7)+(((IF($A8=Nutrients!$B$79,Nutrients!$AJ$79,(IF($A8=Nutrients!$B$77,Nutrients!$AJ$77,Nutrients!$AJ$78)))))*AR$8))/2000</f>
        <v>1.321270683413682</v>
      </c>
      <c r="AS245" s="26">
        <f>(SUMPRODUCT(AS$9:AS$229,Nutrients!$AJ$8:$AJ$228)+(IF($A7=Nutrients!$B$8,Nutrients!$AJ$8,Nutrients!$AJ$9)*AS$7)+(((IF($A8=Nutrients!$B$79,Nutrients!$AJ$79,(IF($A8=Nutrients!$B$77,Nutrients!$AJ$77,Nutrients!$AJ$78)))))*AS$8))/2000</f>
        <v>1.1732244760087311</v>
      </c>
      <c r="AT245" s="26">
        <f>(SUMPRODUCT(AT$9:AT$229,Nutrients!$AJ$8:$AJ$228)+(IF($A7=Nutrients!$B$8,Nutrients!$AJ$8,Nutrients!$AJ$9)*AT$7)+(((IF($A8=Nutrients!$B$79,Nutrients!$AJ$79,(IF($A8=Nutrients!$B$77,Nutrients!$AJ$77,Nutrients!$AJ$78)))))*AT$8))/2000</f>
        <v>1.0485890334677697</v>
      </c>
      <c r="AU245" s="26">
        <f>(SUMPRODUCT(AU$9:AU$229,Nutrients!$AJ$8:$AJ$228)+(IF($A7=Nutrients!$B$8,Nutrients!$AJ$8,Nutrients!$AJ$9)*AU$7)+(((IF($A8=Nutrients!$B$79,Nutrients!$AJ$79,(IF($A8=Nutrients!$B$77,Nutrients!$AJ$77,Nutrients!$AJ$78)))))*AU$8))/2000</f>
        <v>0.94217791373071846</v>
      </c>
      <c r="AV245" s="26">
        <f>(SUMPRODUCT(AV$9:AV$229,Nutrients!$AJ$8:$AJ$228)+(IF($A7=Nutrients!$B$8,Nutrients!$AJ$8,Nutrients!$AJ$9)*AV$7)+(((IF($A8=Nutrients!$B$79,Nutrients!$AJ$79,(IF($A8=Nutrients!$B$77,Nutrients!$AJ$77,Nutrients!$AJ$78)))))*AV$8))/2000</f>
        <v>0.86764042764181337</v>
      </c>
      <c r="AW245" s="26">
        <f>(SUMPRODUCT(AW$9:AW$229,Nutrients!$AJ$8:$AJ$228)+(IF($A7=Nutrients!$B$8,Nutrients!$AJ$8,Nutrients!$AJ$9)*AW$7)+(((IF($A8=Nutrients!$B$79,Nutrients!$AJ$79,(IF($A8=Nutrients!$B$77,Nutrients!$AJ$77,Nutrients!$AJ$78)))))*AW$8))/2000</f>
        <v>0.81186991699752797</v>
      </c>
    </row>
    <row r="246" spans="1:64" x14ac:dyDescent="0.25">
      <c r="A246" s="3" t="s">
        <v>18</v>
      </c>
      <c r="B246" s="21">
        <f>(SUMPRODUCT(B$9:B$229,Nutrients!$E$8:$E$228)+(IF($A$7=Nutrients!$B$8,Nutrients!$E$8,Nutrients!$E$9)*B$7)+(((IF($A$8=Nutrients!$B$79,Nutrients!$E$79,(IF($A$8=Nutrients!$B$77,Nutrients!$E$77,Nutrients!$E$78)))))*B$8))/2000/2.2046</f>
        <v>1494.8752150724465</v>
      </c>
      <c r="C246" s="21">
        <f>(SUMPRODUCT(C$9:C$229,Nutrients!$E$8:$E$228)+(IF($A$7=Nutrients!$B$8,Nutrients!$E$8,Nutrients!$E$9)*C$7)+(((IF($A$8=Nutrients!$B$79,Nutrients!$E$79,(IF($A$8=Nutrients!$B$77,Nutrients!$E$77,Nutrients!$E$78)))))*C$8))/2000/2.2046</f>
        <v>1499.3360353372043</v>
      </c>
      <c r="D246" s="21">
        <f>(SUMPRODUCT(D$9:D$229,Nutrients!$E$8:$E$228)+(IF($A$7=Nutrients!$B$8,Nutrients!$E$8,Nutrients!$E$9)*D$7)+(((IF($A$8=Nutrients!$B$79,Nutrients!$E$79,(IF($A$8=Nutrients!$B$77,Nutrients!$E$77,Nutrients!$E$78)))))*D$8))/2000/2.2046</f>
        <v>1503.3094742023004</v>
      </c>
      <c r="E246" s="21">
        <f>(SUMPRODUCT(E$9:E$229,Nutrients!$E$8:$E$228)+(IF($A$7=Nutrients!$B$8,Nutrients!$E$8,Nutrients!$E$9)*E$7)+(((IF($A$8=Nutrients!$B$79,Nutrients!$E$79,(IF($A$8=Nutrients!$B$77,Nutrients!$E$77,Nutrients!$E$78)))))*E$8))/2000/2.2046</f>
        <v>1507.503198782209</v>
      </c>
      <c r="F246" s="21">
        <f>(SUMPRODUCT(F$9:F$229,Nutrients!$E$8:$E$228)+(IF($A$7=Nutrients!$B$8,Nutrients!$E$8,Nutrients!$E$9)*F$7)+(((IF($A$8=Nutrients!$B$79,Nutrients!$E$79,(IF($A$8=Nutrients!$B$77,Nutrients!$E$77,Nutrients!$E$78)))))*F$8))/2000/2.2046</f>
        <v>1511.0932854222328</v>
      </c>
      <c r="G246" s="21">
        <f>(SUMPRODUCT(G$9:G$229,Nutrients!$E$8:$E$228)+(IF($A$7=Nutrients!$B$8,Nutrients!$E$8,Nutrients!$E$9)*G$7)+(((IF($A$8=Nutrients!$B$79,Nutrients!$E$79,(IF($A$8=Nutrients!$B$77,Nutrients!$E$77,Nutrients!$E$78)))))*G$8))/2000/2.2046</f>
        <v>1512.5359640705287</v>
      </c>
      <c r="H246" s="226"/>
      <c r="I246" s="21">
        <f>(SUMPRODUCT(I$9:I$229,Nutrients!$E$8:$E$228)+(IF($A$7=Nutrients!$B$8,Nutrients!$E$8,Nutrients!$E$9)*I$7)+(((IF($A$8=Nutrients!$B$79,Nutrients!$E$79,(IF($A$8=Nutrients!$B$77,Nutrients!$E$77,Nutrients!$E$78)))))*I$8))/2000/2.2046</f>
        <v>1498.0868445992664</v>
      </c>
      <c r="J246" s="21">
        <f>(SUMPRODUCT(J$9:J$229,Nutrients!$E$8:$E$228)+(IF($A$7=Nutrients!$B$8,Nutrients!$E$8,Nutrients!$E$9)*J$7)+(((IF($A$8=Nutrients!$B$79,Nutrients!$E$79,(IF($A$8=Nutrients!$B$77,Nutrients!$E$77,Nutrients!$E$78)))))*J$8))/2000/2.2046</f>
        <v>1502.4481960379085</v>
      </c>
      <c r="K246" s="21">
        <f>(SUMPRODUCT(K$9:K$229,Nutrients!$E$8:$E$228)+(IF($A$7=Nutrients!$B$8,Nutrients!$E$8,Nutrients!$E$9)*K$7)+(((IF($A$8=Nutrients!$B$79,Nutrients!$E$79,(IF($A$8=Nutrients!$B$77,Nutrients!$E$77,Nutrients!$E$78)))))*K$8))/2000/2.2046</f>
        <v>1506.6130446272007</v>
      </c>
      <c r="L246" s="21">
        <f>(SUMPRODUCT(L$9:L$229,Nutrients!$E$8:$E$228)+(IF($A$7=Nutrients!$B$8,Nutrients!$E$8,Nutrients!$E$9)*L$7)+(((IF($A$8=Nutrients!$B$79,Nutrients!$E$79,(IF($A$8=Nutrients!$B$77,Nutrients!$E$77,Nutrients!$E$78)))))*L$8))/2000/2.2046</f>
        <v>1510.6967700756811</v>
      </c>
      <c r="M246" s="21">
        <f>(SUMPRODUCT(M$9:M$229,Nutrients!$E$8:$E$228)+(IF($A$7=Nutrients!$B$8,Nutrients!$E$8,Nutrients!$E$9)*M$7)+(((IF($A$8=Nutrients!$B$79,Nutrients!$E$79,(IF($A$8=Nutrients!$B$77,Nutrients!$E$77,Nutrients!$E$78)))))*M$8))/2000/2.2046</f>
        <v>1514.2432218950551</v>
      </c>
      <c r="N246" s="21">
        <f>(SUMPRODUCT(N$9:N$229,Nutrients!$E$8:$E$228)+(IF($A$7=Nutrients!$B$8,Nutrients!$E$8,Nutrients!$E$9)*N$7)+(((IF($A$8=Nutrients!$B$79,Nutrients!$E$79,(IF($A$8=Nutrients!$B$77,Nutrients!$E$77,Nutrients!$E$78)))))*N$8))/2000/2.2046</f>
        <v>1512.5359640705287</v>
      </c>
      <c r="O246" s="26"/>
      <c r="P246" s="21">
        <f>(SUMPRODUCT(P$9:P$229,Nutrients!$E$8:$E$228)+(IF($A$7=Nutrients!$B$8,Nutrients!$E$8,Nutrients!$E$9)*P$7)+(((IF($A$8=Nutrients!$B$79,Nutrients!$E$79,(IF($A$8=Nutrients!$B$77,Nutrients!$E$77,Nutrients!$E$78)))))*P$8))/2000/2.2046</f>
        <v>1501.2688212963453</v>
      </c>
      <c r="Q246" s="21">
        <f>(SUMPRODUCT(Q$9:Q$229,Nutrients!$E$8:$E$228)+(IF($A$7=Nutrients!$B$8,Nutrients!$E$8,Nutrients!$E$9)*Q$7)+(((IF($A$8=Nutrients!$B$79,Nutrients!$E$79,(IF($A$8=Nutrients!$B$77,Nutrients!$E$77,Nutrients!$E$78)))))*Q$8))/2000/2.2046</f>
        <v>1505.663411520967</v>
      </c>
      <c r="R246" s="21">
        <f>(SUMPRODUCT(R$9:R$229,Nutrients!$E$8:$E$228)+(IF($A$7=Nutrients!$B$8,Nutrients!$E$8,Nutrients!$E$9)*R$7)+(((IF($A$8=Nutrients!$B$79,Nutrients!$E$79,(IF($A$8=Nutrients!$B$77,Nutrients!$E$77,Nutrients!$E$78)))))*R$8))/2000/2.2046</f>
        <v>1509.8222902722835</v>
      </c>
      <c r="S246" s="21">
        <f>(SUMPRODUCT(S$9:S$229,Nutrients!$E$8:$E$228)+(IF($A$7=Nutrients!$B$8,Nutrients!$E$8,Nutrients!$E$9)*S$7)+(((IF($A$8=Nutrients!$B$79,Nutrients!$E$79,(IF($A$8=Nutrients!$B$77,Nutrients!$E$77,Nutrients!$E$78)))))*S$8))/2000/2.2046</f>
        <v>1513.9385003735563</v>
      </c>
      <c r="T246" s="21">
        <f>(SUMPRODUCT(T$9:T$229,Nutrients!$E$8:$E$228)+(IF($A$7=Nutrients!$B$8,Nutrients!$E$8,Nutrients!$E$9)*T$7)+(((IF($A$8=Nutrients!$B$79,Nutrients!$E$79,(IF($A$8=Nutrients!$B$77,Nutrients!$E$77,Nutrients!$E$78)))))*T$8))/2000/2.2046</f>
        <v>1517.4784392778117</v>
      </c>
      <c r="U246" s="21">
        <f>(SUMPRODUCT(U$9:U$229,Nutrients!$E$8:$E$228)+(IF($A$7=Nutrients!$B$8,Nutrients!$E$8,Nutrients!$E$9)*U$7)+(((IF($A$8=Nutrients!$B$79,Nutrients!$E$79,(IF($A$8=Nutrients!$B$77,Nutrients!$E$77,Nutrients!$E$78)))))*U$8))/2000/2.2046</f>
        <v>1512.5359640705287</v>
      </c>
      <c r="W246" s="21">
        <f>(SUMPRODUCT(W$9:W$229,Nutrients!$E$8:$E$228)+(IF($A$7=Nutrients!$B$8,Nutrients!$E$8,Nutrients!$E$9)*W$7)+(((IF($A$8=Nutrients!$B$79,Nutrients!$E$79,(IF($A$8=Nutrients!$B$77,Nutrients!$E$77,Nutrients!$E$78)))))*W$8))/2000/2.2046</f>
        <v>1504.4782543248048</v>
      </c>
      <c r="X246" s="21">
        <f>(SUMPRODUCT(X$9:X$229,Nutrients!$E$8:$E$228)+(IF($A$7=Nutrients!$B$8,Nutrients!$E$8,Nutrients!$E$9)*X$7)+(((IF($A$8=Nutrients!$B$79,Nutrients!$E$79,(IF($A$8=Nutrients!$B$77,Nutrients!$E$77,Nutrients!$E$78)))))*X$8))/2000/2.2046</f>
        <v>1508.8790301770694</v>
      </c>
      <c r="Y246" s="21">
        <f>(SUMPRODUCT(Y$9:Y$229,Nutrients!$E$8:$E$228)+(IF($A$7=Nutrients!$B$8,Nutrients!$E$8,Nutrients!$E$9)*Y$7)+(((IF($A$8=Nutrients!$B$79,Nutrients!$E$79,(IF($A$8=Nutrients!$B$77,Nutrients!$E$77,Nutrients!$E$78)))))*Y$8))/2000/2.2046</f>
        <v>1513.0847003822912</v>
      </c>
      <c r="Z246" s="21">
        <f>(SUMPRODUCT(Z$9:Z$229,Nutrients!$E$8:$E$228)+(IF($A$7=Nutrients!$B$8,Nutrients!$E$8,Nutrients!$E$9)*Z$7)+(((IF($A$8=Nutrients!$B$79,Nutrients!$E$79,(IF($A$8=Nutrients!$B$77,Nutrients!$E$77,Nutrients!$E$78)))))*Z$8))/2000/2.2046</f>
        <v>1517.2244099388729</v>
      </c>
      <c r="AA246" s="21">
        <f>(SUMPRODUCT(AA$9:AA$229,Nutrients!$E$8:$E$228)+(IF($A$7=Nutrients!$B$8,Nutrients!$E$8,Nutrients!$E$9)*AA$7)+(((IF($A$8=Nutrients!$B$79,Nutrients!$E$79,(IF($A$8=Nutrients!$B$77,Nutrients!$E$77,Nutrients!$E$78)))))*AA$8))/2000/2.2046</f>
        <v>1520.865367182975</v>
      </c>
      <c r="AB246" s="21">
        <f>(SUMPRODUCT(AB$9:AB$229,Nutrients!$E$8:$E$228)+(IF($A$7=Nutrients!$B$8,Nutrients!$E$8,Nutrients!$E$9)*AB$7)+(((IF($A$8=Nutrients!$B$79,Nutrients!$E$79,(IF($A$8=Nutrients!$B$77,Nutrients!$E$77,Nutrients!$E$78)))))*AB$8))/2000/2.2046</f>
        <v>1512.5359640705287</v>
      </c>
      <c r="AD246" s="21">
        <f>(SUMPRODUCT(AD$9:AD$229,Nutrients!$E$8:$E$228)+(IF($A$7=Nutrients!$B$8,Nutrients!$E$8,Nutrients!$E$9)*AD$7)+(((IF($A$8=Nutrients!$B$79,Nutrients!$E$79,(IF($A$8=Nutrients!$B$77,Nutrients!$E$77,Nutrients!$E$78)))))*AD$8))/2000/2.2046</f>
        <v>1507.7270252484961</v>
      </c>
      <c r="AE246" s="21">
        <f>(SUMPRODUCT(AE$9:AE$229,Nutrients!$E$8:$E$228)+(IF($A$7=Nutrients!$B$8,Nutrients!$E$8,Nutrients!$E$9)*AE$7)+(((IF($A$8=Nutrients!$B$79,Nutrients!$E$79,(IF($A$8=Nutrients!$B$77,Nutrients!$E$77,Nutrients!$E$78)))))*AE$8))/2000/2.2046</f>
        <v>1512.1523974571769</v>
      </c>
      <c r="AF246" s="21">
        <f>(SUMPRODUCT(AF$9:AF$229,Nutrients!$E$8:$E$228)+(IF($A$7=Nutrients!$B$8,Nutrients!$E$8,Nutrients!$E$9)*AF$7)+(((IF($A$8=Nutrients!$B$79,Nutrients!$E$79,(IF($A$8=Nutrients!$B$77,Nutrients!$E$77,Nutrients!$E$78)))))*AF$8))/2000/2.2046</f>
        <v>1516.3946504032288</v>
      </c>
      <c r="AG246" s="21">
        <f>(SUMPRODUCT(AG$9:AG$229,Nutrients!$E$8:$E$228)+(IF($A$7=Nutrients!$B$8,Nutrients!$E$8,Nutrients!$E$9)*AG$7)+(((IF($A$8=Nutrients!$B$79,Nutrients!$E$79,(IF($A$8=Nutrients!$B$77,Nutrients!$E$77,Nutrients!$E$78)))))*AG$8))/2000/2.2046</f>
        <v>1520.6101083953729</v>
      </c>
      <c r="AH246" s="21">
        <f>(SUMPRODUCT(AH$9:AH$229,Nutrients!$E$8:$E$228)+(IF($A$7=Nutrients!$B$8,Nutrients!$E$8,Nutrients!$E$9)*AH$7)+(((IF($A$8=Nutrients!$B$79,Nutrients!$E$79,(IF($A$8=Nutrients!$B$77,Nutrients!$E$77,Nutrients!$E$78)))))*AH$8))/2000/2.2046</f>
        <v>1523.2228470504961</v>
      </c>
      <c r="AI246" s="21">
        <f>(SUMPRODUCT(AI$9:AI$229,Nutrients!$E$8:$E$228)+(IF($A$7=Nutrients!$B$8,Nutrients!$E$8,Nutrients!$E$9)*AI$7)+(((IF($A$8=Nutrients!$B$79,Nutrients!$E$79,(IF($A$8=Nutrients!$B$77,Nutrients!$E$77,Nutrients!$E$78)))))*AI$8))/2000/2.2046</f>
        <v>1512.5359640705287</v>
      </c>
      <c r="AK246" s="21">
        <f>(SUMPRODUCT(AK$9:AK$229,Nutrients!$E$8:$E$228)+(IF($A$7=Nutrients!$B$8,Nutrients!$E$8,Nutrients!$E$9)*AK$7)+(((IF($A$8=Nutrients!$B$79,Nutrients!$E$79,(IF($A$8=Nutrients!$B$77,Nutrients!$E$77,Nutrients!$E$78)))))*AK$8))/2000/2.2046</f>
        <v>1510.978530508231</v>
      </c>
      <c r="AL246" s="21">
        <f>(SUMPRODUCT(AL$9:AL$229,Nutrients!$E$8:$E$228)+(IF($A$7=Nutrients!$B$8,Nutrients!$E$8,Nutrients!$E$9)*AL$7)+(((IF($A$8=Nutrients!$B$79,Nutrients!$E$79,(IF($A$8=Nutrients!$B$77,Nutrients!$E$77,Nutrients!$E$78)))))*AL$8))/2000/2.2046</f>
        <v>1515.38510923799</v>
      </c>
      <c r="AM246" s="21">
        <f>(SUMPRODUCT(AM$9:AM$229,Nutrients!$E$8:$E$228)+(IF($A$7=Nutrients!$B$8,Nutrients!$E$8,Nutrients!$E$9)*AM$7)+(((IF($A$8=Nutrients!$B$79,Nutrients!$E$79,(IF($A$8=Nutrients!$B$77,Nutrients!$E$77,Nutrients!$E$78)))))*AM$8))/2000/2.2046</f>
        <v>1519.7472957913126</v>
      </c>
      <c r="AN246" s="21">
        <f>(SUMPRODUCT(AN$9:AN$229,Nutrients!$E$8:$E$228)+(IF($A$7=Nutrients!$B$8,Nutrients!$E$8,Nutrients!$E$9)*AN$7)+(((IF($A$8=Nutrients!$B$79,Nutrients!$E$79,(IF($A$8=Nutrients!$B$77,Nutrients!$E$77,Nutrients!$E$78)))))*AN$8))/2000/2.2046</f>
        <v>1523.1789863005572</v>
      </c>
      <c r="AO246" s="21">
        <f>(SUMPRODUCT(AO$9:AO$229,Nutrients!$E$8:$E$228)+(IF($A$7=Nutrients!$B$8,Nutrients!$E$8,Nutrients!$E$9)*AO$7)+(((IF($A$8=Nutrients!$B$79,Nutrients!$E$79,(IF($A$8=Nutrients!$B$77,Nutrients!$E$77,Nutrients!$E$78)))))*AO$8))/2000/2.2046</f>
        <v>1525.2126986484188</v>
      </c>
      <c r="AP246" s="21">
        <f>(SUMPRODUCT(AP$9:AP$229,Nutrients!$E$8:$E$228)+(IF($A$7=Nutrients!$B$8,Nutrients!$E$8,Nutrients!$E$9)*AP$7)+(((IF($A$8=Nutrients!$B$79,Nutrients!$E$79,(IF($A$8=Nutrients!$B$77,Nutrients!$E$77,Nutrients!$E$78)))))*AP$8))/2000/2.2046</f>
        <v>1512.5359640705287</v>
      </c>
      <c r="AR246" s="21">
        <f>(SUMPRODUCT(AR$9:AR$229,Nutrients!$E$8:$E$228)+(IF($A$7=Nutrients!$B$8,Nutrients!$E$8,Nutrients!$E$9)*AR$7)+(((IF($A$8=Nutrients!$B$79,Nutrients!$E$79,(IF($A$8=Nutrients!$B$77,Nutrients!$E$77,Nutrients!$E$78)))))*AR$8))/2000/2.2046</f>
        <v>1514.1679587011597</v>
      </c>
      <c r="AS246" s="21">
        <f>(SUMPRODUCT(AS$9:AS$229,Nutrients!$E$8:$E$228)+(IF($A$7=Nutrients!$B$8,Nutrients!$E$8,Nutrients!$E$9)*AS$7)+(((IF($A$8=Nutrients!$B$79,Nutrients!$E$79,(IF($A$8=Nutrients!$B$77,Nutrients!$E$77,Nutrients!$E$78)))))*AS$8))/2000/2.2046</f>
        <v>1518.7001411383822</v>
      </c>
      <c r="AT246" s="21">
        <f>(SUMPRODUCT(AT$9:AT$229,Nutrients!$E$8:$E$228)+(IF($A$7=Nutrients!$B$8,Nutrients!$E$8,Nutrients!$E$9)*AT$7)+(((IF($A$8=Nutrients!$B$79,Nutrients!$E$79,(IF($A$8=Nutrients!$B$77,Nutrients!$E$77,Nutrients!$E$78)))))*AT$8))/2000/2.2046</f>
        <v>1523.1316751568793</v>
      </c>
      <c r="AU246" s="21">
        <f>(SUMPRODUCT(AU$9:AU$229,Nutrients!$E$8:$E$228)+(IF($A$7=Nutrients!$B$8,Nutrients!$E$8,Nutrients!$E$9)*AU$7)+(((IF($A$8=Nutrients!$B$79,Nutrients!$E$79,(IF($A$8=Nutrients!$B$77,Nutrients!$E$77,Nutrients!$E$78)))))*AU$8))/2000/2.2046</f>
        <v>1525.1684045232175</v>
      </c>
      <c r="AV246" s="21">
        <f>(SUMPRODUCT(AV$9:AV$229,Nutrients!$E$8:$E$228)+(IF($A$7=Nutrients!$B$8,Nutrients!$E$8,Nutrients!$E$9)*AV$7)+(((IF($A$8=Nutrients!$B$79,Nutrients!$E$79,(IF($A$8=Nutrients!$B$77,Nutrients!$E$77,Nutrients!$E$78)))))*AV$8))/2000/2.2046</f>
        <v>1527.2023630077874</v>
      </c>
      <c r="AW246" s="21">
        <f>(SUMPRODUCT(AW$9:AW$229,Nutrients!$E$8:$E$228)+(IF($A$7=Nutrients!$B$8,Nutrients!$E$8,Nutrients!$E$9)*AW$7)+(((IF($A$8=Nutrients!$B$79,Nutrients!$E$79,(IF($A$8=Nutrients!$B$77,Nutrients!$E$77,Nutrients!$E$78)))))*AW$8))/2000/2.2046</f>
        <v>1512.5359640705287</v>
      </c>
    </row>
    <row r="247" spans="1:64" x14ac:dyDescent="0.25">
      <c r="A247" s="5" t="s">
        <v>32</v>
      </c>
      <c r="B247" s="21">
        <f>(SUMPRODUCT(B$9:B$229,Nutrients!$DY$8:$DY$228)+(IF($A$7=Nutrients!$B$8,Nutrients!$DY$8,Nutrients!$DY$9)*B$7)+(((IF($A$8=Nutrients!$B$79,Nutrients!$DY$79,(IF($A$8=Nutrients!$B$77,Nutrients!$DY$77,Nutrients!$DY$78)))))*B$8))/2000/2.2046</f>
        <v>1097.7096913668909</v>
      </c>
      <c r="C247" s="21">
        <f>(SUMPRODUCT(C$9:C$229,Nutrients!$DY$8:$DY$228)+(IF($A$7=Nutrients!$B$8,Nutrients!$DY$8,Nutrients!$DY$9)*C$7)+(((IF($A$8=Nutrients!$B$79,Nutrients!$DY$79,(IF($A$8=Nutrients!$B$77,Nutrients!$DY$77,Nutrients!$DY$78)))))*C$8))/2000/2.2046</f>
        <v>1111.6567624325369</v>
      </c>
      <c r="D247" s="21">
        <f>(SUMPRODUCT(D$9:D$229,Nutrients!$DY$8:$DY$228)+(IF($A$7=Nutrients!$B$8,Nutrients!$DY$8,Nutrients!$DY$9)*D$7)+(((IF($A$8=Nutrients!$B$79,Nutrients!$DY$79,(IF($A$8=Nutrients!$B$77,Nutrients!$DY$77,Nutrients!$DY$78)))))*D$8))/2000/2.2046</f>
        <v>1123.5684729276254</v>
      </c>
      <c r="E247" s="21">
        <f>(SUMPRODUCT(E$9:E$229,Nutrients!$DY$8:$DY$228)+(IF($A$7=Nutrients!$B$8,Nutrients!$DY$8,Nutrients!$DY$9)*E$7)+(((IF($A$8=Nutrients!$B$79,Nutrients!$DY$79,(IF($A$8=Nutrients!$B$77,Nutrients!$DY$77,Nutrients!$DY$78)))))*E$8))/2000/2.2046</f>
        <v>1135.5706715184997</v>
      </c>
      <c r="F247" s="21">
        <f>(SUMPRODUCT(F$9:F$229,Nutrients!$DY$8:$DY$228)+(IF($A$7=Nutrients!$B$8,Nutrients!$DY$8,Nutrients!$DY$9)*F$7)+(((IF($A$8=Nutrients!$B$79,Nutrients!$DY$79,(IF($A$8=Nutrients!$B$77,Nutrients!$DY$77,Nutrients!$DY$78)))))*F$8))/2000/2.2046</f>
        <v>1145.7413873005344</v>
      </c>
      <c r="G247" s="21">
        <f>(SUMPRODUCT(G$9:G$229,Nutrients!$DY$8:$DY$228)+(IF($A$7=Nutrients!$B$8,Nutrients!$DY$8,Nutrients!$DY$9)*G$7)+(((IF($A$8=Nutrients!$B$79,Nutrients!$DY$79,(IF($A$8=Nutrients!$B$77,Nutrients!$DY$77,Nutrients!$DY$78)))))*G$8))/2000/2.2046</f>
        <v>1150.9323531256127</v>
      </c>
      <c r="H247" s="226"/>
      <c r="I247" s="21">
        <f>(SUMPRODUCT(I$9:I$229,Nutrients!$DY$8:$DY$228)+(IF($A$7=Nutrients!$B$8,Nutrients!$DY$8,Nutrients!$DY$9)*I$7)+(((IF($A$8=Nutrients!$B$79,Nutrients!$DY$79,(IF($A$8=Nutrients!$B$77,Nutrients!$DY$77,Nutrients!$DY$78)))))*I$8))/2000/2.2046</f>
        <v>1043.1006759003428</v>
      </c>
      <c r="J247" s="21">
        <f>(SUMPRODUCT(J$9:J$229,Nutrients!$DY$8:$DY$228)+(IF($A$7=Nutrients!$B$8,Nutrients!$DY$8,Nutrients!$DY$9)*J$7)+(((IF($A$8=Nutrients!$B$79,Nutrients!$DY$79,(IF($A$8=Nutrients!$B$77,Nutrients!$DY$77,Nutrients!$DY$78)))))*J$8))/2000/2.2046</f>
        <v>1056.8136957429654</v>
      </c>
      <c r="K247" s="21">
        <f>(SUMPRODUCT(K$9:K$229,Nutrients!$DY$8:$DY$228)+(IF($A$7=Nutrients!$B$8,Nutrients!$DY$8,Nutrients!$DY$9)*K$7)+(((IF($A$8=Nutrients!$B$79,Nutrients!$DY$79,(IF($A$8=Nutrients!$B$77,Nutrients!$DY$77,Nutrients!$DY$78)))))*K$8))/2000/2.2046</f>
        <v>1068.7459497397103</v>
      </c>
      <c r="L247" s="21">
        <f>(SUMPRODUCT(L$9:L$229,Nutrients!$DY$8:$DY$228)+(IF($A$7=Nutrients!$B$8,Nutrients!$DY$8,Nutrients!$DY$9)*L$7)+(((IF($A$8=Nutrients!$B$79,Nutrients!$DY$79,(IF($A$8=Nutrients!$B$77,Nutrients!$DY$77,Nutrients!$DY$78)))))*L$8))/2000/2.2046</f>
        <v>1080.5784931169928</v>
      </c>
      <c r="M247" s="21">
        <f>(SUMPRODUCT(M$9:M$229,Nutrients!$DY$8:$DY$228)+(IF($A$7=Nutrients!$B$8,Nutrients!$DY$8,Nutrients!$DY$9)*M$7)+(((IF($A$8=Nutrients!$B$79,Nutrients!$DY$79,(IF($A$8=Nutrients!$B$77,Nutrients!$DY$77,Nutrients!$DY$78)))))*M$8))/2000/2.2046</f>
        <v>1090.7223415571982</v>
      </c>
      <c r="N247" s="21">
        <f>(SUMPRODUCT(N$9:N$229,Nutrients!$DY$8:$DY$228)+(IF($A$7=Nutrients!$B$8,Nutrients!$DY$8,Nutrients!$DY$9)*N$7)+(((IF($A$8=Nutrients!$B$79,Nutrients!$DY$79,(IF($A$8=Nutrients!$B$77,Nutrients!$DY$77,Nutrients!$DY$78)))))*N$8))/2000/2.2046</f>
        <v>1150.9323531256127</v>
      </c>
      <c r="O247" s="234"/>
      <c r="P247" s="21">
        <f>(SUMPRODUCT(P$9:P$229,Nutrients!$DY$8:$DY$228)+(IF($A$7=Nutrients!$B$8,Nutrients!$DY$8,Nutrients!$DY$9)*P$7)+(((IF($A$8=Nutrients!$B$79,Nutrients!$DY$79,(IF($A$8=Nutrients!$B$77,Nutrients!$DY$77,Nutrients!$DY$78)))))*P$8))/2000/2.2046</f>
        <v>988.26820251019899</v>
      </c>
      <c r="Q247" s="21">
        <f>(SUMPRODUCT(Q$9:Q$229,Nutrients!$DY$8:$DY$228)+(IF($A$7=Nutrients!$B$8,Nutrients!$DY$8,Nutrients!$DY$9)*Q$7)+(((IF($A$8=Nutrients!$B$79,Nutrients!$DY$79,(IF($A$8=Nutrients!$B$77,Nutrients!$DY$77,Nutrients!$DY$78)))))*Q$8))/2000/2.2046</f>
        <v>1001.9108855105634</v>
      </c>
      <c r="R247" s="21">
        <f>(SUMPRODUCT(R$9:R$229,Nutrients!$DY$8:$DY$228)+(IF($A$7=Nutrients!$B$8,Nutrients!$DY$8,Nutrients!$DY$9)*R$7)+(((IF($A$8=Nutrients!$B$79,Nutrients!$DY$79,(IF($A$8=Nutrients!$B$77,Nutrients!$DY$77,Nutrients!$DY$78)))))*R$8))/2000/2.2046</f>
        <v>1013.7389374457214</v>
      </c>
      <c r="S247" s="21">
        <f>(SUMPRODUCT(S$9:S$229,Nutrients!$DY$8:$DY$228)+(IF($A$7=Nutrients!$B$8,Nutrients!$DY$8,Nutrients!$DY$9)*S$7)+(((IF($A$8=Nutrients!$B$79,Nutrients!$DY$79,(IF($A$8=Nutrients!$B$77,Nutrients!$DY$77,Nutrients!$DY$78)))))*S$8))/2000/2.2046</f>
        <v>1025.6421325291283</v>
      </c>
      <c r="T247" s="21">
        <f>(SUMPRODUCT(T$9:T$229,Nutrients!$DY$8:$DY$228)+(IF($A$7=Nutrients!$B$8,Nutrients!$DY$8,Nutrients!$DY$9)*T$7)+(((IF($A$8=Nutrients!$B$79,Nutrients!$DY$79,(IF($A$8=Nutrients!$B$77,Nutrients!$DY$77,Nutrients!$DY$78)))))*T$8))/2000/2.2046</f>
        <v>1035.6988684197988</v>
      </c>
      <c r="U247" s="21">
        <f>(SUMPRODUCT(U$9:U$229,Nutrients!$DY$8:$DY$228)+(IF($A$7=Nutrients!$B$8,Nutrients!$DY$8,Nutrients!$DY$9)*U$7)+(((IF($A$8=Nutrients!$B$79,Nutrients!$DY$79,(IF($A$8=Nutrients!$B$77,Nutrients!$DY$77,Nutrients!$DY$78)))))*U$8))/2000/2.2046</f>
        <v>1150.9323531256127</v>
      </c>
      <c r="W247" s="21">
        <f>(SUMPRODUCT(W$9:W$229,Nutrients!$DY$8:$DY$228)+(IF($A$7=Nutrients!$B$8,Nutrients!$DY$8,Nutrients!$DY$9)*W$7)+(((IF($A$8=Nutrients!$B$79,Nutrients!$DY$79,(IF($A$8=Nutrients!$B$77,Nutrients!$DY$77,Nutrients!$DY$78)))))*W$8))/2000/2.2046</f>
        <v>933.45605645903834</v>
      </c>
      <c r="X247" s="21">
        <f>(SUMPRODUCT(X$9:X$229,Nutrients!$DY$8:$DY$228)+(IF($A$7=Nutrients!$B$8,Nutrients!$DY$8,Nutrients!$DY$9)*X$7)+(((IF($A$8=Nutrients!$B$79,Nutrients!$DY$79,(IF($A$8=Nutrients!$B$77,Nutrients!$DY$77,Nutrients!$DY$78)))))*X$8))/2000/2.2046</f>
        <v>947.00860975295654</v>
      </c>
      <c r="Y247" s="21">
        <f>(SUMPRODUCT(Y$9:Y$229,Nutrients!$DY$8:$DY$228)+(IF($A$7=Nutrients!$B$8,Nutrients!$DY$8,Nutrients!$DY$9)*Y$7)+(((IF($A$8=Nutrients!$B$79,Nutrients!$DY$79,(IF($A$8=Nutrients!$B$77,Nutrients!$DY$77,Nutrients!$DY$78)))))*Y$8))/2000/2.2046</f>
        <v>958.91630516030352</v>
      </c>
      <c r="Z247" s="21">
        <f>(SUMPRODUCT(Z$9:Z$229,Nutrients!$DY$8:$DY$228)+(IF($A$7=Nutrients!$B$8,Nutrients!$DY$8,Nutrients!$DY$9)*Z$7)+(((IF($A$8=Nutrients!$B$79,Nutrients!$DY$79,(IF($A$8=Nutrients!$B$77,Nutrients!$DY$77,Nutrients!$DY$78)))))*Z$8))/2000/2.2046</f>
        <v>970.70096158413992</v>
      </c>
      <c r="AA247" s="21">
        <f>(SUMPRODUCT(AA$9:AA$229,Nutrients!$DY$8:$DY$228)+(IF($A$7=Nutrients!$B$8,Nutrients!$DY$8,Nutrients!$DY$9)*AA$7)+(((IF($A$8=Nutrients!$B$79,Nutrients!$DY$79,(IF($A$8=Nutrients!$B$77,Nutrients!$DY$77,Nutrients!$DY$78)))))*AA$8))/2000/2.2046</f>
        <v>980.77689460276588</v>
      </c>
      <c r="AB247" s="21">
        <f>(SUMPRODUCT(AB$9:AB$229,Nutrients!$DY$8:$DY$228)+(IF($A$7=Nutrients!$B$8,Nutrients!$DY$8,Nutrients!$DY$9)*AB$7)+(((IF($A$8=Nutrients!$B$79,Nutrients!$DY$79,(IF($A$8=Nutrients!$B$77,Nutrients!$DY$77,Nutrients!$DY$78)))))*AB$8))/2000/2.2046</f>
        <v>1150.9323531256127</v>
      </c>
      <c r="AD247" s="21">
        <f>(SUMPRODUCT(AD$9:AD$229,Nutrients!$DY$8:$DY$228)+(IF($A$7=Nutrients!$B$8,Nutrients!$DY$8,Nutrients!$DY$9)*AD$7)+(((IF($A$8=Nutrients!$B$79,Nutrients!$DY$79,(IF($A$8=Nutrients!$B$77,Nutrients!$DY$77,Nutrients!$DY$78)))))*AD$8))/2000/2.2046</f>
        <v>878.68428443859273</v>
      </c>
      <c r="AE247" s="21">
        <f>(SUMPRODUCT(AE$9:AE$229,Nutrients!$DY$8:$DY$228)+(IF($A$7=Nutrients!$B$8,Nutrients!$DY$8,Nutrients!$DY$9)*AE$7)+(((IF($A$8=Nutrients!$B$79,Nutrients!$DY$79,(IF($A$8=Nutrients!$B$77,Nutrients!$DY$77,Nutrients!$DY$78)))))*AE$8))/2000/2.2046</f>
        <v>892.29172521026396</v>
      </c>
      <c r="AF247" s="21">
        <f>(SUMPRODUCT(AF$9:AF$229,Nutrients!$DY$8:$DY$228)+(IF($A$7=Nutrients!$B$8,Nutrients!$DY$8,Nutrients!$DY$9)*AF$7)+(((IF($A$8=Nutrients!$B$79,Nutrients!$DY$79,(IF($A$8=Nutrients!$B$77,Nutrients!$DY$77,Nutrients!$DY$78)))))*AF$8))/2000/2.2046</f>
        <v>904.09421278685716</v>
      </c>
      <c r="AG247" s="21">
        <f>(SUMPRODUCT(AG$9:AG$229,Nutrients!$DY$8:$DY$228)+(IF($A$7=Nutrients!$B$8,Nutrients!$DY$8,Nutrients!$DY$9)*AG$7)+(((IF($A$8=Nutrients!$B$79,Nutrients!$DY$79,(IF($A$8=Nutrients!$B$77,Nutrients!$DY$77,Nutrients!$DY$78)))))*AG$8))/2000/2.2046</f>
        <v>915.83424701967965</v>
      </c>
      <c r="AH247" s="21">
        <f>(SUMPRODUCT(AH$9:AH$229,Nutrients!$DY$8:$DY$228)+(IF($A$7=Nutrients!$B$8,Nutrients!$DY$8,Nutrients!$DY$9)*AH$7)+(((IF($A$8=Nutrients!$B$79,Nutrients!$DY$79,(IF($A$8=Nutrients!$B$77,Nutrients!$DY$77,Nutrients!$DY$78)))))*AH$8))/2000/2.2046</f>
        <v>925.09276519038235</v>
      </c>
      <c r="AI247" s="21">
        <f>(SUMPRODUCT(AI$9:AI$229,Nutrients!$DY$8:$DY$228)+(IF($A$7=Nutrients!$B$8,Nutrients!$DY$8,Nutrients!$DY$9)*AI$7)+(((IF($A$8=Nutrients!$B$79,Nutrients!$DY$79,(IF($A$8=Nutrients!$B$77,Nutrients!$DY$77,Nutrients!$DY$78)))))*AI$8))/2000/2.2046</f>
        <v>1150.9323531256127</v>
      </c>
      <c r="AK247" s="21">
        <f>(SUMPRODUCT(AK$9:AK$229,Nutrients!$DY$8:$DY$228)+(IF($A$7=Nutrients!$B$8,Nutrients!$DY$8,Nutrients!$DY$9)*AK$7)+(((IF($A$8=Nutrients!$B$79,Nutrients!$DY$79,(IF($A$8=Nutrients!$B$77,Nutrients!$DY$77,Nutrients!$DY$78)))))*AK$8))/2000/2.2046</f>
        <v>823.87678223231501</v>
      </c>
      <c r="AL247" s="21">
        <f>(SUMPRODUCT(AL$9:AL$229,Nutrients!$DY$8:$DY$228)+(IF($A$7=Nutrients!$B$8,Nutrients!$DY$8,Nutrients!$DY$9)*AL$7)+(((IF($A$8=Nutrients!$B$79,Nutrients!$DY$79,(IF($A$8=Nutrients!$B$77,Nutrients!$DY$77,Nutrients!$DY$78)))))*AL$8))/2000/2.2046</f>
        <v>837.50369400307216</v>
      </c>
      <c r="AM247" s="21">
        <f>(SUMPRODUCT(AM$9:AM$229,Nutrients!$DY$8:$DY$228)+(IF($A$7=Nutrients!$B$8,Nutrients!$DY$8,Nutrients!$DY$9)*AM$7)+(((IF($A$8=Nutrients!$B$79,Nutrients!$DY$79,(IF($A$8=Nutrients!$B$77,Nutrients!$DY$77,Nutrients!$DY$78)))))*AM$8))/2000/2.2046</f>
        <v>849.28670750129254</v>
      </c>
      <c r="AN247" s="21">
        <f>(SUMPRODUCT(AN$9:AN$229,Nutrients!$DY$8:$DY$228)+(IF($A$7=Nutrients!$B$8,Nutrients!$DY$8,Nutrients!$DY$9)*AN$7)+(((IF($A$8=Nutrients!$B$79,Nutrients!$DY$79,(IF($A$8=Nutrients!$B$77,Nutrients!$DY$77,Nutrients!$DY$78)))))*AN$8))/2000/2.2046</f>
        <v>860.36279610015413</v>
      </c>
      <c r="AO247" s="21">
        <f>(SUMPRODUCT(AO$9:AO$229,Nutrients!$DY$8:$DY$228)+(IF($A$7=Nutrients!$B$8,Nutrients!$DY$8,Nutrients!$DY$9)*AO$7)+(((IF($A$8=Nutrients!$B$79,Nutrients!$DY$79,(IF($A$8=Nutrients!$B$77,Nutrients!$DY$77,Nutrients!$DY$78)))))*AO$8))/2000/2.2046</f>
        <v>869.1360266888895</v>
      </c>
      <c r="AP247" s="21">
        <f>(SUMPRODUCT(AP$9:AP$229,Nutrients!$DY$8:$DY$228)+(IF($A$7=Nutrients!$B$8,Nutrients!$DY$8,Nutrients!$DY$9)*AP$7)+(((IF($A$8=Nutrients!$B$79,Nutrients!$DY$79,(IF($A$8=Nutrients!$B$77,Nutrients!$DY$77,Nutrients!$DY$78)))))*AP$8))/2000/2.2046</f>
        <v>1150.9323531256127</v>
      </c>
      <c r="AR247" s="21">
        <f>(SUMPRODUCT(AR$9:AR$229,Nutrients!$DY$8:$DY$228)+(IF($A$7=Nutrients!$B$8,Nutrients!$DY$8,Nutrients!$DY$9)*AR$7)+(((IF($A$8=Nutrients!$B$79,Nutrients!$DY$79,(IF($A$8=Nutrients!$B$77,Nutrients!$DY$77,Nutrients!$DY$78)))))*AR$8))/2000/2.2046</f>
        <v>768.74335786890504</v>
      </c>
      <c r="AS247" s="21">
        <f>(SUMPRODUCT(AS$9:AS$229,Nutrients!$DY$8:$DY$228)+(IF($A$7=Nutrients!$B$8,Nutrients!$DY$8,Nutrients!$DY$9)*AS$7)+(((IF($A$8=Nutrients!$B$79,Nutrients!$DY$79,(IF($A$8=Nutrients!$B$77,Nutrients!$DY$77,Nutrients!$DY$78)))))*AS$8))/2000/2.2046</f>
        <v>782.77518086242571</v>
      </c>
      <c r="AT247" s="21">
        <f>(SUMPRODUCT(AT$9:AT$229,Nutrients!$DY$8:$DY$228)+(IF($A$7=Nutrients!$B$8,Nutrients!$DY$8,Nutrients!$DY$9)*AT$7)+(((IF($A$8=Nutrients!$B$79,Nutrients!$DY$79,(IF($A$8=Nutrients!$B$77,Nutrients!$DY$77,Nutrients!$DY$78)))))*AT$8))/2000/2.2046</f>
        <v>794.47334957347994</v>
      </c>
      <c r="AU247" s="21">
        <f>(SUMPRODUCT(AU$9:AU$229,Nutrients!$DY$8:$DY$228)+(IF($A$7=Nutrients!$B$8,Nutrients!$DY$8,Nutrients!$DY$9)*AU$7)+(((IF($A$8=Nutrients!$B$79,Nutrients!$DY$79,(IF($A$8=Nutrients!$B$77,Nutrients!$DY$77,Nutrients!$DY$78)))))*AU$8))/2000/2.2046</f>
        <v>804.45275011616241</v>
      </c>
      <c r="AV247" s="21">
        <f>(SUMPRODUCT(AV$9:AV$229,Nutrients!$DY$8:$DY$228)+(IF($A$7=Nutrients!$B$8,Nutrients!$DY$8,Nutrients!$DY$9)*AV$7)+(((IF($A$8=Nutrients!$B$79,Nutrients!$DY$79,(IF($A$8=Nutrients!$B$77,Nutrients!$DY$77,Nutrients!$DY$78)))))*AV$8))/2000/2.2046</f>
        <v>813.17842637614274</v>
      </c>
      <c r="AW247" s="21">
        <f>(SUMPRODUCT(AW$9:AW$229,Nutrients!$DY$8:$DY$228)+(IF($A$7=Nutrients!$B$8,Nutrients!$DY$8,Nutrients!$DY$9)*AW$7)+(((IF($A$8=Nutrients!$B$79,Nutrients!$DY$79,(IF($A$8=Nutrients!$B$77,Nutrients!$DY$77,Nutrients!$DY$78)))))*AW$8))/2000/2.2046</f>
        <v>1150.9323531256127</v>
      </c>
    </row>
    <row r="248" spans="1:64" x14ac:dyDescent="0.25">
      <c r="A248" s="5" t="s">
        <v>31</v>
      </c>
      <c r="B248" s="21">
        <f>(SUMPRODUCT(B$9:B$229,Nutrients!$DZ$8:$DZ$228)+(IF($A$7=Nutrients!$B$8,Nutrients!$DZ$8,Nutrients!$DZ$9)*B$7)+(((IF($A$8=Nutrients!$B$79,Nutrients!$DZ$79,(IF($A$8=Nutrients!$B$77,Nutrients!$DZ$77,Nutrients!$DZ$78)))))*B$8))/2000/2.2046</f>
        <v>1137.6355538359269</v>
      </c>
      <c r="C248" s="21">
        <f>(SUMPRODUCT(C$9:C$229,Nutrients!$DZ$8:$DZ$228)+(IF($A$7=Nutrients!$B$8,Nutrients!$DZ$8,Nutrients!$DZ$9)*C$7)+(((IF($A$8=Nutrients!$B$79,Nutrients!$DZ$79,(IF($A$8=Nutrients!$B$77,Nutrients!$DZ$77,Nutrients!$DZ$78)))))*C$8))/2000/2.2046</f>
        <v>1150.9934545095848</v>
      </c>
      <c r="D248" s="21">
        <f>(SUMPRODUCT(D$9:D$229,Nutrients!$DZ$8:$DZ$228)+(IF($A$7=Nutrients!$B$8,Nutrients!$DZ$8,Nutrients!$DZ$9)*D$7)+(((IF($A$8=Nutrients!$B$79,Nutrients!$DZ$79,(IF($A$8=Nutrients!$B$77,Nutrients!$DZ$77,Nutrients!$DZ$78)))))*D$8))/2000/2.2046</f>
        <v>1162.42368942858</v>
      </c>
      <c r="E248" s="21">
        <f>(SUMPRODUCT(E$9:E$229,Nutrients!$DZ$8:$DZ$228)+(IF($A$7=Nutrients!$B$8,Nutrients!$DZ$8,Nutrients!$DZ$9)*E$7)+(((IF($A$8=Nutrients!$B$79,Nutrients!$DZ$79,(IF($A$8=Nutrients!$B$77,Nutrients!$DZ$77,Nutrients!$DZ$78)))))*E$8))/2000/2.2046</f>
        <v>1173.9065707641619</v>
      </c>
      <c r="F248" s="21">
        <f>(SUMPRODUCT(F$9:F$229,Nutrients!$DZ$8:$DZ$228)+(IF($A$7=Nutrients!$B$8,Nutrients!$DZ$8,Nutrients!$DZ$9)*F$7)+(((IF($A$8=Nutrients!$B$79,Nutrients!$DZ$79,(IF($A$8=Nutrients!$B$77,Nutrients!$DZ$77,Nutrients!$DZ$78)))))*F$8))/2000/2.2046</f>
        <v>1183.6213518369293</v>
      </c>
      <c r="G248" s="21">
        <f>(SUMPRODUCT(G$9:G$229,Nutrients!$DZ$8:$DZ$228)+(IF($A$7=Nutrients!$B$8,Nutrients!$DZ$8,Nutrients!$DZ$9)*G$7)+(((IF($A$8=Nutrients!$B$79,Nutrients!$DZ$79,(IF($A$8=Nutrients!$B$77,Nutrients!$DZ$77,Nutrients!$DZ$78)))))*G$8))/2000/2.2046</f>
        <v>1188.5451985530322</v>
      </c>
      <c r="H248" s="226"/>
      <c r="I248" s="21">
        <f>(SUMPRODUCT(I$9:I$229,Nutrients!$DZ$8:$DZ$228)+(IF($A$7=Nutrients!$B$8,Nutrients!$DZ$8,Nutrients!$DZ$9)*I$7)+(((IF($A$8=Nutrients!$B$79,Nutrients!$DZ$79,(IF($A$8=Nutrients!$B$77,Nutrients!$DZ$77,Nutrients!$DZ$78)))))*I$8))/2000/2.2046</f>
        <v>1080.9078874947747</v>
      </c>
      <c r="J248" s="21">
        <f>(SUMPRODUCT(J$9:J$229,Nutrients!$DZ$8:$DZ$228)+(IF($A$7=Nutrients!$B$8,Nutrients!$DZ$8,Nutrients!$DZ$9)*J$7)+(((IF($A$8=Nutrients!$B$79,Nutrients!$DZ$79,(IF($A$8=Nutrients!$B$77,Nutrients!$DZ$77,Nutrients!$DZ$78)))))*J$8))/2000/2.2046</f>
        <v>1094.0397923300377</v>
      </c>
      <c r="K248" s="21">
        <f>(SUMPRODUCT(K$9:K$229,Nutrients!$DZ$8:$DZ$228)+(IF($A$7=Nutrients!$B$8,Nutrients!$DZ$8,Nutrients!$DZ$9)*K$7)+(((IF($A$8=Nutrients!$B$79,Nutrients!$DZ$79,(IF($A$8=Nutrients!$B$77,Nutrients!$DZ$77,Nutrients!$DZ$78)))))*K$8))/2000/2.2046</f>
        <v>1105.4996934873909</v>
      </c>
      <c r="L248" s="21">
        <f>(SUMPRODUCT(L$9:L$229,Nutrients!$DZ$8:$DZ$228)+(IF($A$7=Nutrients!$B$8,Nutrients!$DZ$8,Nutrients!$DZ$9)*L$7)+(((IF($A$8=Nutrients!$B$79,Nutrients!$DZ$79,(IF($A$8=Nutrients!$B$77,Nutrients!$DZ$77,Nutrients!$DZ$78)))))*L$8))/2000/2.2046</f>
        <v>1116.8184418535177</v>
      </c>
      <c r="M248" s="21">
        <f>(SUMPRODUCT(M$9:M$229,Nutrients!$DZ$8:$DZ$228)+(IF($A$7=Nutrients!$B$8,Nutrients!$DZ$8,Nutrients!$DZ$9)*M$7)+(((IF($A$8=Nutrients!$B$79,Nutrients!$DZ$79,(IF($A$8=Nutrients!$B$77,Nutrients!$DZ$77,Nutrients!$DZ$78)))))*M$8))/2000/2.2046</f>
        <v>1126.5068042588891</v>
      </c>
      <c r="N248" s="21">
        <f>(SUMPRODUCT(N$9:N$229,Nutrients!$DZ$8:$DZ$228)+(IF($A$7=Nutrients!$B$8,Nutrients!$DZ$8,Nutrients!$DZ$9)*N$7)+(((IF($A$8=Nutrients!$B$79,Nutrients!$DZ$79,(IF($A$8=Nutrients!$B$77,Nutrients!$DZ$77,Nutrients!$DZ$78)))))*N$8))/2000/2.2046</f>
        <v>1188.5451985530322</v>
      </c>
      <c r="O248" s="234"/>
      <c r="P248" s="21">
        <f>(SUMPRODUCT(P$9:P$229,Nutrients!$DZ$8:$DZ$228)+(IF($A$7=Nutrients!$B$8,Nutrients!$DZ$8,Nutrients!$DZ$9)*P$7)+(((IF($A$8=Nutrients!$B$79,Nutrients!$DZ$79,(IF($A$8=Nutrients!$B$77,Nutrients!$DZ$77,Nutrients!$DZ$78)))))*P$8))/2000/2.2046</f>
        <v>1023.9691244918459</v>
      </c>
      <c r="Q248" s="21">
        <f>(SUMPRODUCT(Q$9:Q$229,Nutrients!$DZ$8:$DZ$228)+(IF($A$7=Nutrients!$B$8,Nutrients!$DZ$8,Nutrients!$DZ$9)*Q$7)+(((IF($A$8=Nutrients!$B$79,Nutrients!$DZ$79,(IF($A$8=Nutrients!$B$77,Nutrients!$DZ$77,Nutrients!$DZ$78)))))*Q$8))/2000/2.2046</f>
        <v>1037.0348844797206</v>
      </c>
      <c r="R248" s="21">
        <f>(SUMPRODUCT(R$9:R$229,Nutrients!$DZ$8:$DZ$228)+(IF($A$7=Nutrients!$B$8,Nutrients!$DZ$8,Nutrients!$DZ$9)*R$7)+(((IF($A$8=Nutrients!$B$79,Nutrients!$DZ$79,(IF($A$8=Nutrients!$B$77,Nutrients!$DZ$77,Nutrients!$DZ$78)))))*R$8))/2000/2.2046</f>
        <v>1048.397851649979</v>
      </c>
      <c r="S248" s="21">
        <f>(SUMPRODUCT(S$9:S$229,Nutrients!$DZ$8:$DZ$228)+(IF($A$7=Nutrients!$B$8,Nutrients!$DZ$8,Nutrients!$DZ$9)*S$7)+(((IF($A$8=Nutrients!$B$79,Nutrients!$DZ$79,(IF($A$8=Nutrients!$B$77,Nutrients!$DZ$77,Nutrients!$DZ$78)))))*S$8))/2000/2.2046</f>
        <v>1059.7831689887507</v>
      </c>
      <c r="T248" s="21">
        <f>(SUMPRODUCT(T$9:T$229,Nutrients!$DZ$8:$DZ$228)+(IF($A$7=Nutrients!$B$8,Nutrients!$DZ$8,Nutrients!$DZ$9)*T$7)+(((IF($A$8=Nutrients!$B$79,Nutrients!$DZ$79,(IF($A$8=Nutrients!$B$77,Nutrients!$DZ$77,Nutrients!$DZ$78)))))*T$8))/2000/2.2046</f>
        <v>1069.3897255301006</v>
      </c>
      <c r="U248" s="21">
        <f>(SUMPRODUCT(U$9:U$229,Nutrients!$DZ$8:$DZ$228)+(IF($A$7=Nutrients!$B$8,Nutrients!$DZ$8,Nutrients!$DZ$9)*U$7)+(((IF($A$8=Nutrients!$B$79,Nutrients!$DZ$79,(IF($A$8=Nutrients!$B$77,Nutrients!$DZ$77,Nutrients!$DZ$78)))))*U$8))/2000/2.2046</f>
        <v>1188.5451985530322</v>
      </c>
      <c r="W248" s="21">
        <f>(SUMPRODUCT(W$9:W$229,Nutrients!$DZ$8:$DZ$228)+(IF($A$7=Nutrients!$B$8,Nutrients!$DZ$8,Nutrients!$DZ$9)*W$7)+(((IF($A$8=Nutrients!$B$79,Nutrients!$DZ$79,(IF($A$8=Nutrients!$B$77,Nutrients!$DZ$77,Nutrients!$DZ$78)))))*W$8))/2000/2.2046</f>
        <v>967.04980749966523</v>
      </c>
      <c r="X248" s="21">
        <f>(SUMPRODUCT(X$9:X$229,Nutrients!$DZ$8:$DZ$228)+(IF($A$7=Nutrients!$B$8,Nutrients!$DZ$8,Nutrients!$DZ$9)*X$7)+(((IF($A$8=Nutrients!$B$79,Nutrients!$DZ$79,(IF($A$8=Nutrients!$B$77,Nutrients!$DZ$77,Nutrients!$DZ$78)))))*X$8))/2000/2.2046</f>
        <v>980.03118922193448</v>
      </c>
      <c r="Y248" s="21">
        <f>(SUMPRODUCT(Y$9:Y$229,Nutrients!$DZ$8:$DZ$228)+(IF($A$7=Nutrients!$B$8,Nutrients!$DZ$8,Nutrients!$DZ$9)*Y$7)+(((IF($A$8=Nutrients!$B$79,Nutrients!$DZ$79,(IF($A$8=Nutrients!$B$77,Nutrients!$DZ$77,Nutrients!$DZ$78)))))*Y$8))/2000/2.2046</f>
        <v>991.46927924287922</v>
      </c>
      <c r="Z248" s="21">
        <f>(SUMPRODUCT(Z$9:Z$229,Nutrients!$DZ$8:$DZ$228)+(IF($A$7=Nutrients!$B$8,Nutrients!$DZ$8,Nutrients!$DZ$9)*Z$7)+(((IF($A$8=Nutrients!$B$79,Nutrients!$DZ$79,(IF($A$8=Nutrients!$B$77,Nutrients!$DZ$77,Nutrients!$DZ$78)))))*Z$8))/2000/2.2046</f>
        <v>1002.743816073625</v>
      </c>
      <c r="AA248" s="21">
        <f>(SUMPRODUCT(AA$9:AA$229,Nutrients!$DZ$8:$DZ$228)+(IF($A$7=Nutrients!$B$8,Nutrients!$DZ$8,Nutrients!$DZ$9)*AA$7)+(((IF($A$8=Nutrients!$B$79,Nutrients!$DZ$79,(IF($A$8=Nutrients!$B$77,Nutrients!$DZ$77,Nutrients!$DZ$78)))))*AA$8))/2000/2.2046</f>
        <v>1012.3690164386284</v>
      </c>
      <c r="AB248" s="21">
        <f>(SUMPRODUCT(AB$9:AB$229,Nutrients!$DZ$8:$DZ$228)+(IF($A$7=Nutrients!$B$8,Nutrients!$DZ$8,Nutrients!$DZ$9)*AB$7)+(((IF($A$8=Nutrients!$B$79,Nutrients!$DZ$79,(IF($A$8=Nutrients!$B$77,Nutrients!$DZ$77,Nutrients!$DZ$78)))))*AB$8))/2000/2.2046</f>
        <v>1188.5451985530322</v>
      </c>
      <c r="AD248" s="21">
        <f>(SUMPRODUCT(AD$9:AD$229,Nutrients!$DZ$8:$DZ$228)+(IF($A$7=Nutrients!$B$8,Nutrients!$DZ$8,Nutrients!$DZ$9)*AD$7)+(((IF($A$8=Nutrients!$B$79,Nutrients!$DZ$79,(IF($A$8=Nutrients!$B$77,Nutrients!$DZ$77,Nutrients!$DZ$78)))))*AD$8))/2000/2.2046</f>
        <v>910.16879877486713</v>
      </c>
      <c r="AE248" s="21">
        <f>(SUMPRODUCT(AE$9:AE$229,Nutrients!$DZ$8:$DZ$228)+(IF($A$7=Nutrients!$B$8,Nutrients!$DZ$8,Nutrients!$DZ$9)*AE$7)+(((IF($A$8=Nutrients!$B$79,Nutrients!$DZ$79,(IF($A$8=Nutrients!$B$77,Nutrients!$DZ$77,Nutrients!$DZ$78)))))*AE$8))/2000/2.2046</f>
        <v>923.2018496993087</v>
      </c>
      <c r="AF248" s="21">
        <f>(SUMPRODUCT(AF$9:AF$229,Nutrients!$DZ$8:$DZ$228)+(IF($A$7=Nutrients!$B$8,Nutrients!$DZ$8,Nutrients!$DZ$9)*AF$7)+(((IF($A$8=Nutrients!$B$79,Nutrients!$DZ$79,(IF($A$8=Nutrients!$B$77,Nutrients!$DZ$77,Nutrients!$DZ$78)))))*AF$8))/2000/2.2046</f>
        <v>934.54179143321926</v>
      </c>
      <c r="AG248" s="21">
        <f>(SUMPRODUCT(AG$9:AG$229,Nutrients!$DZ$8:$DZ$228)+(IF($A$7=Nutrients!$B$8,Nutrients!$DZ$8,Nutrients!$DZ$9)*AG$7)+(((IF($A$8=Nutrients!$B$79,Nutrients!$DZ$79,(IF($A$8=Nutrients!$B$77,Nutrients!$DZ$77,Nutrients!$DZ$78)))))*AG$8))/2000/2.2046</f>
        <v>945.77359385990167</v>
      </c>
      <c r="AH248" s="21">
        <f>(SUMPRODUCT(AH$9:AH$229,Nutrients!$DZ$8:$DZ$228)+(IF($A$7=Nutrients!$B$8,Nutrients!$DZ$8,Nutrients!$DZ$9)*AH$7)+(((IF($A$8=Nutrients!$B$79,Nutrients!$DZ$79,(IF($A$8=Nutrients!$B$77,Nutrients!$DZ$77,Nutrients!$DZ$78)))))*AH$8))/2000/2.2046</f>
        <v>954.55848590575727</v>
      </c>
      <c r="AI248" s="21">
        <f>(SUMPRODUCT(AI$9:AI$229,Nutrients!$DZ$8:$DZ$228)+(IF($A$7=Nutrients!$B$8,Nutrients!$DZ$8,Nutrients!$DZ$9)*AI$7)+(((IF($A$8=Nutrients!$B$79,Nutrients!$DZ$79,(IF($A$8=Nutrients!$B$77,Nutrients!$DZ$77,Nutrients!$DZ$78)))))*AI$8))/2000/2.2046</f>
        <v>1188.5451985530322</v>
      </c>
      <c r="AK248" s="21">
        <f>(SUMPRODUCT(AK$9:AK$229,Nutrients!$DZ$8:$DZ$228)+(IF($A$7=Nutrients!$B$8,Nutrients!$DZ$8,Nutrients!$DZ$9)*AK$7)+(((IF($A$8=Nutrients!$B$79,Nutrients!$DZ$79,(IF($A$8=Nutrients!$B$77,Nutrients!$DZ$77,Nutrients!$DZ$78)))))*AK$8))/2000/2.2046</f>
        <v>853.25426057025481</v>
      </c>
      <c r="AL248" s="21">
        <f>(SUMPRODUCT(AL$9:AL$229,Nutrients!$DZ$8:$DZ$228)+(IF($A$7=Nutrients!$B$8,Nutrients!$DZ$8,Nutrients!$DZ$9)*AL$7)+(((IF($A$8=Nutrients!$B$79,Nutrients!$DZ$79,(IF($A$8=Nutrients!$B$77,Nutrients!$DZ$77,Nutrients!$DZ$78)))))*AL$8))/2000/2.2046</f>
        <v>866.30537950917301</v>
      </c>
      <c r="AM248" s="21">
        <f>(SUMPRODUCT(AM$9:AM$229,Nutrients!$DZ$8:$DZ$228)+(IF($A$7=Nutrients!$B$8,Nutrients!$DZ$8,Nutrients!$DZ$9)*AM$7)+(((IF($A$8=Nutrients!$B$79,Nutrients!$DZ$79,(IF($A$8=Nutrients!$B$77,Nutrients!$DZ$77,Nutrients!$DZ$78)))))*AM$8))/2000/2.2046</f>
        <v>877.62817307817272</v>
      </c>
      <c r="AN248" s="21">
        <f>(SUMPRODUCT(AN$9:AN$229,Nutrients!$DZ$8:$DZ$228)+(IF($A$7=Nutrients!$B$8,Nutrients!$DZ$8,Nutrients!$DZ$9)*AN$7)+(((IF($A$8=Nutrients!$B$79,Nutrients!$DZ$79,(IF($A$8=Nutrients!$B$77,Nutrients!$DZ$77,Nutrients!$DZ$78)))))*AN$8))/2000/2.2046</f>
        <v>888.17752290780686</v>
      </c>
      <c r="AO248" s="21">
        <f>(SUMPRODUCT(AO$9:AO$229,Nutrients!$DZ$8:$DZ$228)+(IF($A$7=Nutrients!$B$8,Nutrients!$DZ$8,Nutrients!$DZ$9)*AO$7)+(((IF($A$8=Nutrients!$B$79,Nutrients!$DZ$79,(IF($A$8=Nutrients!$B$77,Nutrients!$DZ$77,Nutrients!$DZ$78)))))*AO$8))/2000/2.2046</f>
        <v>896.46595570481168</v>
      </c>
      <c r="AP248" s="21">
        <f>(SUMPRODUCT(AP$9:AP$229,Nutrients!$DZ$8:$DZ$228)+(IF($A$7=Nutrients!$B$8,Nutrients!$DZ$8,Nutrients!$DZ$9)*AP$7)+(((IF($A$8=Nutrients!$B$79,Nutrients!$DZ$79,(IF($A$8=Nutrients!$B$77,Nutrients!$DZ$77,Nutrients!$DZ$78)))))*AP$8))/2000/2.2046</f>
        <v>1188.5451985530322</v>
      </c>
      <c r="AR248" s="21">
        <f>(SUMPRODUCT(AR$9:AR$229,Nutrients!$DZ$8:$DZ$228)+(IF($A$7=Nutrients!$B$8,Nutrients!$DZ$8,Nutrients!$DZ$9)*AR$7)+(((IF($A$8=Nutrients!$B$79,Nutrients!$DZ$79,(IF($A$8=Nutrients!$B$77,Nutrients!$DZ$77,Nutrients!$DZ$78)))))*AR$8))/2000/2.2046</f>
        <v>796.03376700940237</v>
      </c>
      <c r="AS248" s="21">
        <f>(SUMPRODUCT(AS$9:AS$229,Nutrients!$DZ$8:$DZ$228)+(IF($A$7=Nutrients!$B$8,Nutrients!$DZ$8,Nutrients!$DZ$9)*AS$7)+(((IF($A$8=Nutrients!$B$79,Nutrients!$DZ$79,(IF($A$8=Nutrients!$B$77,Nutrients!$DZ$77,Nutrients!$DZ$78)))))*AS$8))/2000/2.2046</f>
        <v>809.46557264197918</v>
      </c>
      <c r="AT248" s="21">
        <f>(SUMPRODUCT(AT$9:AT$229,Nutrients!$DZ$8:$DZ$228)+(IF($A$7=Nutrients!$B$8,Nutrients!$DZ$8,Nutrients!$DZ$9)*AT$7)+(((IF($A$8=Nutrients!$B$79,Nutrients!$DZ$79,(IF($A$8=Nutrients!$B$77,Nutrients!$DZ$77,Nutrients!$DZ$78)))))*AT$8))/2000/2.2046</f>
        <v>820.70781298746886</v>
      </c>
      <c r="AU248" s="21">
        <f>(SUMPRODUCT(AU$9:AU$229,Nutrients!$DZ$8:$DZ$228)+(IF($A$7=Nutrients!$B$8,Nutrients!$DZ$8,Nutrients!$DZ$9)*AU$7)+(((IF($A$8=Nutrients!$B$79,Nutrients!$DZ$79,(IF($A$8=Nutrients!$B$77,Nutrients!$DZ$77,Nutrients!$DZ$78)))))*AU$8))/2000/2.2046</f>
        <v>830.12818535704764</v>
      </c>
      <c r="AV248" s="21">
        <f>(SUMPRODUCT(AV$9:AV$229,Nutrients!$DZ$8:$DZ$228)+(IF($A$7=Nutrients!$B$8,Nutrients!$DZ$8,Nutrients!$DZ$9)*AV$7)+(((IF($A$8=Nutrients!$B$79,Nutrients!$DZ$79,(IF($A$8=Nutrients!$B$77,Nutrients!$DZ$77,Nutrients!$DZ$78)))))*AV$8))/2000/2.2046</f>
        <v>838.37261238206145</v>
      </c>
      <c r="AW248" s="21">
        <f>(SUMPRODUCT(AW$9:AW$229,Nutrients!$DZ$8:$DZ$228)+(IF($A$7=Nutrients!$B$8,Nutrients!$DZ$8,Nutrients!$DZ$9)*AW$7)+(((IF($A$8=Nutrients!$B$79,Nutrients!$DZ$79,(IF($A$8=Nutrients!$B$77,Nutrients!$DZ$77,Nutrients!$DZ$78)))))*AW$8))/2000/2.2046</f>
        <v>1188.5451985530322</v>
      </c>
    </row>
    <row r="249" spans="1:64" x14ac:dyDescent="0.25">
      <c r="A249" s="5" t="s">
        <v>61</v>
      </c>
      <c r="B249" s="21">
        <f>(SUMPRODUCT(B$9:B$229,Nutrients!$D$8:$D$228)+(IF($A$7=Nutrients!$B$8,Nutrients!$D$8,Nutrients!$D$9)*B$7)+(((IF($A$8=Nutrients!$B$79,Nutrients!$D$79,(IF($A$8=Nutrients!$B$77,Nutrients!$D$77,Nutrients!$D$78)))))*B$8))/2000/2.2046</f>
        <v>1553.447657374518</v>
      </c>
      <c r="C249" s="21">
        <f>(SUMPRODUCT(C$9:C$229,Nutrients!$D$8:$D$228)+(IF($A$7=Nutrients!$B$8,Nutrients!$D$8,Nutrients!$D$9)*C$7)+(((IF($A$8=Nutrients!$B$79,Nutrients!$D$79,(IF($A$8=Nutrients!$B$77,Nutrients!$D$77,Nutrients!$D$78)))))*C$8))/2000/2.2046</f>
        <v>1552.8317239882158</v>
      </c>
      <c r="D249" s="21">
        <f>(SUMPRODUCT(D$9:D$229,Nutrients!$D$8:$D$228)+(IF($A$7=Nutrients!$B$8,Nutrients!$D$8,Nutrients!$D$9)*D$7)+(((IF($A$8=Nutrients!$B$79,Nutrients!$D$79,(IF($A$8=Nutrients!$B$77,Nutrients!$D$77,Nutrients!$D$78)))))*D$8))/2000/2.2046</f>
        <v>1552.5109280788211</v>
      </c>
      <c r="E249" s="21">
        <f>(SUMPRODUCT(E$9:E$229,Nutrients!$D$8:$D$228)+(IF($A$7=Nutrients!$B$8,Nutrients!$D$8,Nutrients!$D$9)*E$7)+(((IF($A$8=Nutrients!$B$79,Nutrients!$D$79,(IF($A$8=Nutrients!$B$77,Nutrients!$D$77,Nutrients!$D$78)))))*E$8))/2000/2.2046</f>
        <v>1552.5671760275247</v>
      </c>
      <c r="F249" s="21">
        <f>(SUMPRODUCT(F$9:F$229,Nutrients!$D$8:$D$228)+(IF($A$7=Nutrients!$B$8,Nutrients!$D$8,Nutrients!$D$9)*F$7)+(((IF($A$8=Nutrients!$B$79,Nutrients!$D$79,(IF($A$8=Nutrients!$B$77,Nutrients!$D$77,Nutrients!$D$78)))))*F$8))/2000/2.2046</f>
        <v>1552.7159321016593</v>
      </c>
      <c r="G249" s="21">
        <f>(SUMPRODUCT(G$9:G$229,Nutrients!$D$8:$D$228)+(IF($A$7=Nutrients!$B$8,Nutrients!$D$8,Nutrients!$D$9)*G$7)+(((IF($A$8=Nutrients!$B$79,Nutrients!$D$79,(IF($A$8=Nutrients!$B$77,Nutrients!$D$77,Nutrients!$D$78)))))*G$8))/2000/2.2046</f>
        <v>1552.2569188768136</v>
      </c>
      <c r="H249" s="226"/>
      <c r="I249" s="21">
        <f>(SUMPRODUCT(I$9:I$229,Nutrients!$D$8:$D$228)+(IF($A$7=Nutrients!$B$8,Nutrients!$D$8,Nutrients!$D$9)*I$7)+(((IF($A$8=Nutrients!$B$79,Nutrients!$D$79,(IF($A$8=Nutrients!$B$77,Nutrients!$D$77,Nutrients!$D$78)))))*I$8))/2000/2.2046</f>
        <v>1559.4683924343319</v>
      </c>
      <c r="J249" s="21">
        <f>(SUMPRODUCT(J$9:J$229,Nutrients!$D$8:$D$228)+(IF($A$7=Nutrients!$B$8,Nutrients!$D$8,Nutrients!$D$9)*J$7)+(((IF($A$8=Nutrients!$B$79,Nutrients!$D$79,(IF($A$8=Nutrients!$B$77,Nutrients!$D$77,Nutrients!$D$78)))))*J$8))/2000/2.2046</f>
        <v>1558.8277430020455</v>
      </c>
      <c r="K249" s="21">
        <f>(SUMPRODUCT(K$9:K$229,Nutrients!$D$8:$D$228)+(IF($A$7=Nutrients!$B$8,Nutrients!$D$8,Nutrients!$D$9)*K$7)+(((IF($A$8=Nutrients!$B$79,Nutrients!$D$79,(IF($A$8=Nutrients!$B$77,Nutrients!$D$77,Nutrients!$D$78)))))*K$8))/2000/2.2046</f>
        <v>1558.7721313404782</v>
      </c>
      <c r="L249" s="21">
        <f>(SUMPRODUCT(L$9:L$229,Nutrients!$D$8:$D$228)+(IF($A$7=Nutrients!$B$8,Nutrients!$D$8,Nutrients!$D$9)*L$7)+(((IF($A$8=Nutrients!$B$79,Nutrients!$D$79,(IF($A$8=Nutrients!$B$77,Nutrients!$D$77,Nutrients!$D$78)))))*L$8))/2000/2.2046</f>
        <v>1558.7524377520301</v>
      </c>
      <c r="M249" s="21">
        <f>(SUMPRODUCT(M$9:M$229,Nutrients!$D$8:$D$228)+(IF($A$7=Nutrients!$B$8,Nutrients!$D$8,Nutrients!$D$9)*M$7)+(((IF($A$8=Nutrients!$B$79,Nutrients!$D$79,(IF($A$8=Nutrients!$B$77,Nutrients!$D$77,Nutrients!$D$78)))))*M$8))/2000/2.2046</f>
        <v>1558.8493309025705</v>
      </c>
      <c r="N249" s="21">
        <f>(SUMPRODUCT(N$9:N$229,Nutrients!$D$8:$D$228)+(IF($A$7=Nutrients!$B$8,Nutrients!$D$8,Nutrients!$D$9)*N$7)+(((IF($A$8=Nutrients!$B$79,Nutrients!$D$79,(IF($A$8=Nutrients!$B$77,Nutrients!$D$77,Nutrients!$D$78)))))*N$8))/2000/2.2046</f>
        <v>1552.2569188768136</v>
      </c>
      <c r="O249" s="234"/>
      <c r="P249" s="21">
        <f>(SUMPRODUCT(P$9:P$229,Nutrients!$D$8:$D$228)+(IF($A$7=Nutrients!$B$8,Nutrients!$D$8,Nutrients!$D$9)*P$7)+(((IF($A$8=Nutrients!$B$79,Nutrients!$D$79,(IF($A$8=Nutrients!$B$77,Nutrients!$D$77,Nutrients!$D$78)))))*P$8))/2000/2.2046</f>
        <v>1565.5572781040751</v>
      </c>
      <c r="Q249" s="21">
        <f>(SUMPRODUCT(Q$9:Q$229,Nutrients!$D$8:$D$228)+(IF($A$7=Nutrients!$B$8,Nutrients!$D$8,Nutrients!$D$9)*Q$7)+(((IF($A$8=Nutrients!$B$79,Nutrients!$D$79,(IF($A$8=Nutrients!$B$77,Nutrients!$D$77,Nutrients!$D$78)))))*Q$8))/2000/2.2046</f>
        <v>1565.0034058544047</v>
      </c>
      <c r="R249" s="21">
        <f>(SUMPRODUCT(R$9:R$229,Nutrients!$D$8:$D$228)+(IF($A$7=Nutrients!$B$8,Nutrients!$D$8,Nutrients!$D$9)*R$7)+(((IF($A$8=Nutrients!$B$79,Nutrients!$D$79,(IF($A$8=Nutrients!$B$77,Nutrients!$D$77,Nutrients!$D$78)))))*R$8))/2000/2.2046</f>
        <v>1564.9887677765321</v>
      </c>
      <c r="S249" s="21">
        <f>(SUMPRODUCT(S$9:S$229,Nutrients!$D$8:$D$228)+(IF($A$7=Nutrients!$B$8,Nutrients!$D$8,Nutrients!$D$9)*S$7)+(((IF($A$8=Nutrients!$B$79,Nutrients!$D$79,(IF($A$8=Nutrients!$B$77,Nutrients!$D$77,Nutrients!$D$78)))))*S$8))/2000/2.2046</f>
        <v>1564.983472966574</v>
      </c>
      <c r="T249" s="21">
        <f>(SUMPRODUCT(T$9:T$229,Nutrients!$D$8:$D$228)+(IF($A$7=Nutrients!$B$8,Nutrients!$D$8,Nutrients!$D$9)*T$7)+(((IF($A$8=Nutrients!$B$79,Nutrients!$D$79,(IF($A$8=Nutrients!$B$77,Nutrients!$D$77,Nutrients!$D$78)))))*T$8))/2000/2.2046</f>
        <v>1565.1128075535237</v>
      </c>
      <c r="U249" s="21">
        <f>(SUMPRODUCT(U$9:U$229,Nutrients!$D$8:$D$228)+(IF($A$7=Nutrients!$B$8,Nutrients!$D$8,Nutrients!$D$9)*U$7)+(((IF($A$8=Nutrients!$B$79,Nutrients!$D$79,(IF($A$8=Nutrients!$B$77,Nutrients!$D$77,Nutrients!$D$78)))))*U$8))/2000/2.2046</f>
        <v>1552.2569188768136</v>
      </c>
      <c r="W249" s="21">
        <f>(SUMPRODUCT(W$9:W$229,Nutrients!$D$8:$D$228)+(IF($A$7=Nutrients!$B$8,Nutrients!$D$8,Nutrients!$D$9)*W$7)+(((IF($A$8=Nutrients!$B$79,Nutrients!$D$79,(IF($A$8=Nutrients!$B$77,Nutrients!$D$77,Nutrients!$D$78)))))*W$8))/2000/2.2046</f>
        <v>1571.6779789133373</v>
      </c>
      <c r="X249" s="21">
        <f>(SUMPRODUCT(X$9:X$229,Nutrients!$D$8:$D$228)+(IF($A$7=Nutrients!$B$8,Nutrients!$D$8,Nutrients!$D$9)*X$7)+(((IF($A$8=Nutrients!$B$79,Nutrients!$D$79,(IF($A$8=Nutrients!$B$77,Nutrients!$D$77,Nutrients!$D$78)))))*X$8))/2000/2.2046</f>
        <v>1571.1780095863651</v>
      </c>
      <c r="Y249" s="21">
        <f>(SUMPRODUCT(Y$9:Y$229,Nutrients!$D$8:$D$228)+(IF($A$7=Nutrients!$B$8,Nutrients!$D$8,Nutrients!$D$9)*Y$7)+(((IF($A$8=Nutrients!$B$79,Nutrients!$D$79,(IF($A$8=Nutrients!$B$77,Nutrients!$D$77,Nutrients!$D$78)))))*Y$8))/2000/2.2046</f>
        <v>1571.1951934545968</v>
      </c>
      <c r="Z249" s="21">
        <f>(SUMPRODUCT(Z$9:Z$229,Nutrients!$D$8:$D$228)+(IF($A$7=Nutrients!$B$8,Nutrients!$D$8,Nutrients!$D$9)*Z$7)+(((IF($A$8=Nutrients!$B$79,Nutrients!$D$79,(IF($A$8=Nutrients!$B$77,Nutrients!$D$77,Nutrients!$D$78)))))*Z$8))/2000/2.2046</f>
        <v>1571.2843673330203</v>
      </c>
      <c r="AA249" s="21">
        <f>(SUMPRODUCT(AA$9:AA$229,Nutrients!$D$8:$D$228)+(IF($A$7=Nutrients!$B$8,Nutrients!$D$8,Nutrients!$D$9)*AA$7)+(((IF($A$8=Nutrients!$B$79,Nutrients!$D$79,(IF($A$8=Nutrients!$B$77,Nutrients!$D$77,Nutrients!$D$78)))))*AA$8))/2000/2.2046</f>
        <v>1571.5546013023575</v>
      </c>
      <c r="AB249" s="21">
        <f>(SUMPRODUCT(AB$9:AB$229,Nutrients!$D$8:$D$228)+(IF($A$7=Nutrients!$B$8,Nutrients!$D$8,Nutrients!$D$9)*AB$7)+(((IF($A$8=Nutrients!$B$79,Nutrients!$D$79,(IF($A$8=Nutrients!$B$77,Nutrients!$D$77,Nutrients!$D$78)))))*AB$8))/2000/2.2046</f>
        <v>1552.2569188768136</v>
      </c>
      <c r="AD249" s="21">
        <f>(SUMPRODUCT(AD$9:AD$229,Nutrients!$D$8:$D$228)+(IF($A$7=Nutrients!$B$8,Nutrients!$D$8,Nutrients!$D$9)*AD$7)+(((IF($A$8=Nutrients!$B$79,Nutrients!$D$79,(IF($A$8=Nutrients!$B$77,Nutrients!$D$77,Nutrients!$D$78)))))*AD$8))/2000/2.2046</f>
        <v>1577.8384842666369</v>
      </c>
      <c r="AE249" s="21">
        <f>(SUMPRODUCT(AE$9:AE$229,Nutrients!$D$8:$D$228)+(IF($A$7=Nutrients!$B$8,Nutrients!$D$8,Nutrients!$D$9)*AE$7)+(((IF($A$8=Nutrients!$B$79,Nutrients!$D$79,(IF($A$8=Nutrients!$B$77,Nutrients!$D$77,Nutrients!$D$78)))))*AE$8))/2000/2.2046</f>
        <v>1577.3486586846627</v>
      </c>
      <c r="AF249" s="21">
        <f>(SUMPRODUCT(AF$9:AF$229,Nutrients!$D$8:$D$228)+(IF($A$7=Nutrients!$B$8,Nutrients!$D$8,Nutrients!$D$9)*AF$7)+(((IF($A$8=Nutrients!$B$79,Nutrients!$D$79,(IF($A$8=Nutrients!$B$77,Nutrients!$D$77,Nutrients!$D$78)))))*AF$8))/2000/2.2046</f>
        <v>1577.4736339560745</v>
      </c>
      <c r="AG249" s="21">
        <f>(SUMPRODUCT(AG$9:AG$229,Nutrients!$D$8:$D$228)+(IF($A$7=Nutrients!$B$8,Nutrients!$D$8,Nutrients!$D$9)*AG$7)+(((IF($A$8=Nutrients!$B$79,Nutrients!$D$79,(IF($A$8=Nutrients!$B$77,Nutrients!$D$77,Nutrients!$D$78)))))*AG$8))/2000/2.2046</f>
        <v>1577.6992341867285</v>
      </c>
      <c r="AH249" s="21">
        <f>(SUMPRODUCT(AH$9:AH$229,Nutrients!$D$8:$D$228)+(IF($A$7=Nutrients!$B$8,Nutrients!$D$8,Nutrients!$D$9)*AH$7)+(((IF($A$8=Nutrients!$B$79,Nutrients!$D$79,(IF($A$8=Nutrients!$B$77,Nutrients!$D$77,Nutrients!$D$78)))))*AH$8))/2000/2.2046</f>
        <v>1576.9309985729824</v>
      </c>
      <c r="AI249" s="21">
        <f>(SUMPRODUCT(AI$9:AI$229,Nutrients!$D$8:$D$228)+(IF($A$7=Nutrients!$B$8,Nutrients!$D$8,Nutrients!$D$9)*AI$7)+(((IF($A$8=Nutrients!$B$79,Nutrients!$D$79,(IF($A$8=Nutrients!$B$77,Nutrients!$D$77,Nutrients!$D$78)))))*AI$8))/2000/2.2046</f>
        <v>1552.2569188768136</v>
      </c>
      <c r="AK249" s="21">
        <f>(SUMPRODUCT(AK$9:AK$229,Nutrients!$D$8:$D$228)+(IF($A$7=Nutrients!$B$8,Nutrients!$D$8,Nutrients!$D$9)*AK$7)+(((IF($A$8=Nutrients!$B$79,Nutrients!$D$79,(IF($A$8=Nutrients!$B$77,Nutrients!$D$77,Nutrients!$D$78)))))*AK$8))/2000/2.2046</f>
        <v>1584.0206773761545</v>
      </c>
      <c r="AL249" s="21">
        <f>(SUMPRODUCT(AL$9:AL$229,Nutrients!$D$8:$D$228)+(IF($A$7=Nutrients!$B$8,Nutrients!$D$8,Nutrients!$D$9)*AL$7)+(((IF($A$8=Nutrients!$B$79,Nutrients!$D$79,(IF($A$8=Nutrients!$B$77,Nutrients!$D$77,Nutrients!$D$78)))))*AL$8))/2000/2.2046</f>
        <v>1583.4928683843225</v>
      </c>
      <c r="AM249" s="21">
        <f>(SUMPRODUCT(AM$9:AM$229,Nutrients!$D$8:$D$228)+(IF($A$7=Nutrients!$B$8,Nutrients!$D$8,Nutrients!$D$9)*AM$7)+(((IF($A$8=Nutrients!$B$79,Nutrients!$D$79,(IF($A$8=Nutrients!$B$77,Nutrients!$D$77,Nutrients!$D$78)))))*AM$8))/2000/2.2046</f>
        <v>1583.8083713461531</v>
      </c>
      <c r="AN249" s="21">
        <f>(SUMPRODUCT(AN$9:AN$229,Nutrients!$D$8:$D$228)+(IF($A$7=Nutrients!$B$8,Nutrients!$D$8,Nutrients!$D$9)*AN$7)+(((IF($A$8=Nutrients!$B$79,Nutrients!$D$79,(IF($A$8=Nutrients!$B$77,Nutrients!$D$77,Nutrients!$D$78)))))*AN$8))/2000/2.2046</f>
        <v>1583.2672802362613</v>
      </c>
      <c r="AO249" s="21">
        <f>(SUMPRODUCT(AO$9:AO$229,Nutrients!$D$8:$D$228)+(IF($A$7=Nutrients!$B$8,Nutrients!$D$8,Nutrients!$D$9)*AO$7)+(((IF($A$8=Nutrients!$B$79,Nutrients!$D$79,(IF($A$8=Nutrients!$B$77,Nutrients!$D$77,Nutrients!$D$78)))))*AO$8))/2000/2.2046</f>
        <v>1581.9262586517586</v>
      </c>
      <c r="AP249" s="21">
        <f>(SUMPRODUCT(AP$9:AP$229,Nutrients!$D$8:$D$228)+(IF($A$7=Nutrients!$B$8,Nutrients!$D$8,Nutrients!$D$9)*AP$7)+(((IF($A$8=Nutrients!$B$79,Nutrients!$D$79,(IF($A$8=Nutrients!$B$77,Nutrients!$D$77,Nutrients!$D$78)))))*AP$8))/2000/2.2046</f>
        <v>1552.2569188768136</v>
      </c>
      <c r="AR249" s="21">
        <f>(SUMPRODUCT(AR$9:AR$229,Nutrients!$D$8:$D$228)+(IF($A$7=Nutrients!$B$8,Nutrients!$D$8,Nutrients!$D$9)*AR$7)+(((IF($A$8=Nutrients!$B$79,Nutrients!$D$79,(IF($A$8=Nutrients!$B$77,Nutrients!$D$77,Nutrients!$D$78)))))*AR$8))/2000/2.2046</f>
        <v>1590.2699718658946</v>
      </c>
      <c r="AS249" s="21">
        <f>(SUMPRODUCT(AS$9:AS$229,Nutrients!$D$8:$D$228)+(IF($A$7=Nutrients!$B$8,Nutrients!$D$8,Nutrients!$D$9)*AS$7)+(((IF($A$8=Nutrients!$B$79,Nutrients!$D$79,(IF($A$8=Nutrients!$B$77,Nutrients!$D$77,Nutrients!$D$78)))))*AS$8))/2000/2.2046</f>
        <v>1589.732964443428</v>
      </c>
      <c r="AT249" s="21">
        <f>(SUMPRODUCT(AT$9:AT$229,Nutrients!$D$8:$D$228)+(IF($A$7=Nutrients!$B$8,Nutrients!$D$8,Nutrients!$D$9)*AT$7)+(((IF($A$8=Nutrients!$B$79,Nutrients!$D$79,(IF($A$8=Nutrients!$B$77,Nutrients!$D$77,Nutrients!$D$78)))))*AT$8))/2000/2.2046</f>
        <v>1590.1951603495881</v>
      </c>
      <c r="AU249" s="21">
        <f>(SUMPRODUCT(AU$9:AU$229,Nutrients!$D$8:$D$228)+(IF($A$7=Nutrients!$B$8,Nutrients!$D$8,Nutrients!$D$9)*AU$7)+(((IF($A$8=Nutrients!$B$79,Nutrients!$D$79,(IF($A$8=Nutrients!$B$77,Nutrients!$D$77,Nutrients!$D$78)))))*AU$8))/2000/2.2046</f>
        <v>1588.2398125896307</v>
      </c>
      <c r="AV249" s="21">
        <f>(SUMPRODUCT(AV$9:AV$229,Nutrients!$D$8:$D$228)+(IF($A$7=Nutrients!$B$8,Nutrients!$D$8,Nutrients!$D$9)*AV$7)+(((IF($A$8=Nutrients!$B$79,Nutrients!$D$79,(IF($A$8=Nutrients!$B$77,Nutrients!$D$77,Nutrients!$D$78)))))*AV$8))/2000/2.2046</f>
        <v>1586.9216675444563</v>
      </c>
      <c r="AW249" s="21">
        <f>(SUMPRODUCT(AW$9:AW$229,Nutrients!$D$8:$D$228)+(IF($A$7=Nutrients!$B$8,Nutrients!$D$8,Nutrients!$D$9)*AW$7)+(((IF($A$8=Nutrients!$B$79,Nutrients!$D$79,(IF($A$8=Nutrients!$B$77,Nutrients!$D$77,Nutrients!$D$78)))))*AW$8))/2000/2.2046</f>
        <v>1552.2569188768136</v>
      </c>
    </row>
    <row r="250" spans="1:64" x14ac:dyDescent="0.25">
      <c r="A250" s="5" t="s">
        <v>30</v>
      </c>
      <c r="B250" s="21">
        <f>(SUMPRODUCT(B$9:B$229,Nutrients!$F$8:$F$228)+(IF($A$7=Nutrients!$B$8,Nutrients!$F$8,Nutrients!$F$9)*B$7)+(((IF($A$8=Nutrients!$B$79,Nutrients!$F$79,(IF($A$8=Nutrients!$B$77,Nutrients!$F$77,Nutrients!$F$78)))))*B$8))/2000/2.2046</f>
        <v>1153.6247232105659</v>
      </c>
      <c r="C250" s="21">
        <f>(SUMPRODUCT(C$9:C$229,Nutrients!$F$8:$F$228)+(IF($A$7=Nutrients!$B$8,Nutrients!$F$8,Nutrients!$F$9)*C$7)+(((IF($A$8=Nutrients!$B$79,Nutrients!$F$79,(IF($A$8=Nutrients!$B$77,Nutrients!$F$77,Nutrients!$F$78)))))*C$8))/2000/2.2046</f>
        <v>1160.6089760708783</v>
      </c>
      <c r="D250" s="21">
        <f>(SUMPRODUCT(D$9:D$229,Nutrients!$F$8:$F$228)+(IF($A$7=Nutrients!$B$8,Nutrients!$F$8,Nutrients!$F$9)*D$7)+(((IF($A$8=Nutrients!$B$79,Nutrients!$F$79,(IF($A$8=Nutrients!$B$77,Nutrients!$F$77,Nutrients!$F$78)))))*D$8))/2000/2.2046</f>
        <v>1166.664301360594</v>
      </c>
      <c r="E250" s="21">
        <f>(SUMPRODUCT(E$9:E$229,Nutrients!$F$8:$F$228)+(IF($A$7=Nutrients!$B$8,Nutrients!$F$8,Nutrients!$F$9)*E$7)+(((IF($A$8=Nutrients!$B$79,Nutrients!$F$79,(IF($A$8=Nutrients!$B$77,Nutrients!$F$77,Nutrients!$F$78)))))*E$8))/2000/2.2046</f>
        <v>1172.8465047486318</v>
      </c>
      <c r="F250" s="21">
        <f>(SUMPRODUCT(F$9:F$229,Nutrients!$F$8:$F$228)+(IF($A$7=Nutrients!$B$8,Nutrients!$F$8,Nutrients!$F$9)*F$7)+(((IF($A$8=Nutrients!$B$79,Nutrients!$F$79,(IF($A$8=Nutrients!$B$77,Nutrients!$F$77,Nutrients!$F$78)))))*F$8))/2000/2.2046</f>
        <v>1178.0967521230723</v>
      </c>
      <c r="G250" s="21">
        <f>(SUMPRODUCT(G$9:G$229,Nutrients!$F$8:$F$228)+(IF($A$7=Nutrients!$B$8,Nutrients!$F$8,Nutrients!$F$9)*G$7)+(((IF($A$8=Nutrients!$B$79,Nutrients!$F$79,(IF($A$8=Nutrients!$B$77,Nutrients!$F$77,Nutrients!$F$78)))))*G$8))/2000/2.2046</f>
        <v>1180.5684789085878</v>
      </c>
      <c r="H250" s="226"/>
      <c r="I250" s="21">
        <f>(SUMPRODUCT(I$9:I$229,Nutrients!$F$8:$F$228)+(IF($A$7=Nutrients!$B$8,Nutrients!$F$8,Nutrients!$F$9)*I$7)+(((IF($A$8=Nutrients!$B$79,Nutrients!$F$79,(IF($A$8=Nutrients!$B$77,Nutrients!$F$77,Nutrients!$F$78)))))*I$8))/2000/2.2046</f>
        <v>1143.9316017733656</v>
      </c>
      <c r="J250" s="21">
        <f>(SUMPRODUCT(J$9:J$229,Nutrients!$F$8:$F$228)+(IF($A$7=Nutrients!$B$8,Nutrients!$F$8,Nutrients!$F$9)*J$7)+(((IF($A$8=Nutrients!$B$79,Nutrients!$F$79,(IF($A$8=Nutrients!$B$77,Nutrients!$F$77,Nutrients!$F$78)))))*J$8))/2000/2.2046</f>
        <v>1150.7857530722176</v>
      </c>
      <c r="K250" s="21">
        <f>(SUMPRODUCT(K$9:K$229,Nutrients!$F$8:$F$228)+(IF($A$7=Nutrients!$B$8,Nutrients!$F$8,Nutrients!$F$9)*K$7)+(((IF($A$8=Nutrients!$B$79,Nutrients!$F$79,(IF($A$8=Nutrients!$B$77,Nutrients!$F$77,Nutrients!$F$78)))))*K$8))/2000/2.2046</f>
        <v>1156.9476529495107</v>
      </c>
      <c r="L250" s="21">
        <f>(SUMPRODUCT(L$9:L$229,Nutrients!$F$8:$F$228)+(IF($A$7=Nutrients!$B$8,Nutrients!$F$8,Nutrients!$F$9)*L$7)+(((IF($A$8=Nutrients!$B$79,Nutrients!$F$79,(IF($A$8=Nutrients!$B$77,Nutrients!$F$77,Nutrients!$F$78)))))*L$8))/2000/2.2046</f>
        <v>1163.0164310425773</v>
      </c>
      <c r="M250" s="21">
        <f>(SUMPRODUCT(M$9:M$229,Nutrients!$F$8:$F$228)+(IF($A$7=Nutrients!$B$8,Nutrients!$F$8,Nutrients!$F$9)*M$7)+(((IF($A$8=Nutrients!$B$79,Nutrients!$F$79,(IF($A$8=Nutrients!$B$77,Nutrients!$F$77,Nutrients!$F$78)))))*M$8))/2000/2.2046</f>
        <v>1168.2354413559842</v>
      </c>
      <c r="N250" s="21">
        <f>(SUMPRODUCT(N$9:N$229,Nutrients!$F$8:$F$228)+(IF($A$7=Nutrients!$B$8,Nutrients!$F$8,Nutrients!$F$9)*N$7)+(((IF($A$8=Nutrients!$B$79,Nutrients!$F$79,(IF($A$8=Nutrients!$B$77,Nutrients!$F$77,Nutrients!$F$78)))))*N$8))/2000/2.2046</f>
        <v>1180.5684789085878</v>
      </c>
      <c r="O250" s="234"/>
      <c r="P250" s="21">
        <f>(SUMPRODUCT(P$9:P$229,Nutrients!$F$8:$F$228)+(IF($A$7=Nutrients!$B$8,Nutrients!$F$8,Nutrients!$F$9)*P$7)+(((IF($A$8=Nutrients!$B$79,Nutrients!$F$79,(IF($A$8=Nutrients!$B$77,Nutrients!$F$77,Nutrients!$F$78)))))*P$8))/2000/2.2046</f>
        <v>1134.1486597361163</v>
      </c>
      <c r="Q250" s="21">
        <f>(SUMPRODUCT(Q$9:Q$229,Nutrients!$F$8:$F$228)+(IF($A$7=Nutrients!$B$8,Nutrients!$F$8,Nutrients!$F$9)*Q$7)+(((IF($A$8=Nutrients!$B$79,Nutrients!$F$79,(IF($A$8=Nutrients!$B$77,Nutrients!$F$77,Nutrients!$F$78)))))*Q$8))/2000/2.2046</f>
        <v>1140.9960635775719</v>
      </c>
      <c r="R250" s="21">
        <f>(SUMPRODUCT(R$9:R$229,Nutrients!$F$8:$F$228)+(IF($A$7=Nutrients!$B$8,Nutrients!$F$8,Nutrients!$F$9)*R$7)+(((IF($A$8=Nutrients!$B$79,Nutrients!$F$79,(IF($A$8=Nutrients!$B$77,Nutrients!$F$77,Nutrients!$F$78)))))*R$8))/2000/2.2046</f>
        <v>1147.1205622318855</v>
      </c>
      <c r="S250" s="21">
        <f>(SUMPRODUCT(S$9:S$229,Nutrients!$F$8:$F$228)+(IF($A$7=Nutrients!$B$8,Nutrients!$F$8,Nutrients!$F$9)*S$7)+(((IF($A$8=Nutrients!$B$79,Nutrients!$F$79,(IF($A$8=Nutrients!$B$77,Nutrients!$F$77,Nutrients!$F$78)))))*S$8))/2000/2.2046</f>
        <v>1153.2292841427254</v>
      </c>
      <c r="T250" s="21">
        <f>(SUMPRODUCT(T$9:T$229,Nutrients!$F$8:$F$228)+(IF($A$7=Nutrients!$B$8,Nutrients!$F$8,Nutrients!$F$9)*T$7)+(((IF($A$8=Nutrients!$B$79,Nutrients!$F$79,(IF($A$8=Nutrients!$B$77,Nutrients!$F$77,Nutrients!$F$78)))))*T$8))/2000/2.2046</f>
        <v>1158.4157433692949</v>
      </c>
      <c r="U250" s="21">
        <f>(SUMPRODUCT(U$9:U$229,Nutrients!$F$8:$F$228)+(IF($A$7=Nutrients!$B$8,Nutrients!$F$8,Nutrients!$F$9)*U$7)+(((IF($A$8=Nutrients!$B$79,Nutrients!$F$79,(IF($A$8=Nutrients!$B$77,Nutrients!$F$77,Nutrients!$F$78)))))*U$8))/2000/2.2046</f>
        <v>1180.5684789085878</v>
      </c>
      <c r="W250" s="21">
        <f>(SUMPRODUCT(W$9:W$229,Nutrients!$F$8:$F$228)+(IF($A$7=Nutrients!$B$8,Nutrients!$F$8,Nutrients!$F$9)*W$7)+(((IF($A$8=Nutrients!$B$79,Nutrients!$F$79,(IF($A$8=Nutrients!$B$77,Nutrients!$F$77,Nutrients!$F$78)))))*W$8))/2000/2.2046</f>
        <v>1124.3864708164497</v>
      </c>
      <c r="X250" s="21">
        <f>(SUMPRODUCT(X$9:X$229,Nutrients!$F$8:$F$228)+(IF($A$7=Nutrients!$B$8,Nutrients!$F$8,Nutrients!$F$9)*X$7)+(((IF($A$8=Nutrients!$B$79,Nutrients!$F$79,(IF($A$8=Nutrients!$B$77,Nutrients!$F$77,Nutrients!$F$78)))))*X$8))/2000/2.2046</f>
        <v>1131.2070029683641</v>
      </c>
      <c r="Y250" s="21">
        <f>(SUMPRODUCT(Y$9:Y$229,Nutrients!$F$8:$F$228)+(IF($A$7=Nutrients!$B$8,Nutrients!$F$8,Nutrients!$F$9)*Y$7)+(((IF($A$8=Nutrients!$B$79,Nutrients!$F$79,(IF($A$8=Nutrients!$B$77,Nutrients!$F$77,Nutrients!$F$78)))))*Y$8))/2000/2.2046</f>
        <v>1137.3816731312543</v>
      </c>
      <c r="Z250" s="21">
        <f>(SUMPRODUCT(Z$9:Z$229,Nutrients!$F$8:$F$228)+(IF($A$7=Nutrients!$B$8,Nutrients!$F$8,Nutrients!$F$9)*Z$7)+(((IF($A$8=Nutrients!$B$79,Nutrients!$F$79,(IF($A$8=Nutrients!$B$77,Nutrients!$F$77,Nutrients!$F$78)))))*Z$8))/2000/2.2046</f>
        <v>1143.4628984803453</v>
      </c>
      <c r="AA250" s="21">
        <f>(SUMPRODUCT(AA$9:AA$229,Nutrients!$F$8:$F$228)+(IF($A$7=Nutrients!$B$8,Nutrients!$F$8,Nutrients!$F$9)*AA$7)+(((IF($A$8=Nutrients!$B$79,Nutrients!$F$79,(IF($A$8=Nutrients!$B$77,Nutrients!$F$77,Nutrients!$F$78)))))*AA$8))/2000/2.2046</f>
        <v>1148.7057050542594</v>
      </c>
      <c r="AB250" s="21">
        <f>(SUMPRODUCT(AB$9:AB$229,Nutrients!$F$8:$F$228)+(IF($A$7=Nutrients!$B$8,Nutrients!$F$8,Nutrients!$F$9)*AB$7)+(((IF($A$8=Nutrients!$B$79,Nutrients!$F$79,(IF($A$8=Nutrients!$B$77,Nutrients!$F$77,Nutrients!$F$78)))))*AB$8))/2000/2.2046</f>
        <v>1180.5684789085878</v>
      </c>
      <c r="AD250" s="21">
        <f>(SUMPRODUCT(AD$9:AD$229,Nutrients!$F$8:$F$228)+(IF($A$7=Nutrients!$B$8,Nutrients!$F$8,Nutrients!$F$9)*AD$7)+(((IF($A$8=Nutrients!$B$79,Nutrients!$F$79,(IF($A$8=Nutrients!$B$77,Nutrients!$F$77,Nutrients!$F$78)))))*AD$8))/2000/2.2046</f>
        <v>1114.6576256481987</v>
      </c>
      <c r="AE250" s="21">
        <f>(SUMPRODUCT(AE$9:AE$229,Nutrients!$F$8:$F$228)+(IF($A$7=Nutrients!$B$8,Nutrients!$F$8,Nutrients!$F$9)*AE$7)+(((IF($A$8=Nutrients!$B$79,Nutrients!$F$79,(IF($A$8=Nutrients!$B$77,Nutrients!$F$77,Nutrients!$F$78)))))*AE$8))/2000/2.2046</f>
        <v>1121.5088111553043</v>
      </c>
      <c r="AF250" s="21">
        <f>(SUMPRODUCT(AF$9:AF$229,Nutrients!$F$8:$F$228)+(IF($A$7=Nutrients!$B$8,Nutrients!$F$8,Nutrients!$F$9)*AF$7)+(((IF($A$8=Nutrients!$B$79,Nutrients!$F$79,(IF($A$8=Nutrients!$B$77,Nutrients!$F$77,Nutrients!$F$78)))))*AF$8))/2000/2.2046</f>
        <v>1127.6670423236528</v>
      </c>
      <c r="AG250" s="21">
        <f>(SUMPRODUCT(AG$9:AG$229,Nutrients!$F$8:$F$228)+(IF($A$7=Nutrients!$B$8,Nutrients!$F$8,Nutrients!$F$9)*AG$7)+(((IF($A$8=Nutrients!$B$79,Nutrients!$F$79,(IF($A$8=Nutrients!$B$77,Nutrients!$F$77,Nutrients!$F$78)))))*AG$8))/2000/2.2046</f>
        <v>1133.7701216213393</v>
      </c>
      <c r="AH250" s="21">
        <f>(SUMPRODUCT(AH$9:AH$229,Nutrients!$F$8:$F$228)+(IF($A$7=Nutrients!$B$8,Nutrients!$F$8,Nutrients!$F$9)*AH$7)+(((IF($A$8=Nutrients!$B$79,Nutrients!$F$79,(IF($A$8=Nutrients!$B$77,Nutrients!$F$77,Nutrients!$F$78)))))*AH$8))/2000/2.2046</f>
        <v>1138.198919431765</v>
      </c>
      <c r="AI250" s="21">
        <f>(SUMPRODUCT(AI$9:AI$229,Nutrients!$F$8:$F$228)+(IF($A$7=Nutrients!$B$8,Nutrients!$F$8,Nutrients!$F$9)*AI$7)+(((IF($A$8=Nutrients!$B$79,Nutrients!$F$79,(IF($A$8=Nutrients!$B$77,Nutrients!$F$77,Nutrients!$F$78)))))*AI$8))/2000/2.2046</f>
        <v>1180.5684789085878</v>
      </c>
      <c r="AK250" s="21">
        <f>(SUMPRODUCT(AK$9:AK$229,Nutrients!$F$8:$F$228)+(IF($A$7=Nutrients!$B$8,Nutrients!$F$8,Nutrients!$F$9)*AK$7)+(((IF($A$8=Nutrients!$B$79,Nutrients!$F$79,(IF($A$8=Nutrients!$B$77,Nutrients!$F$77,Nutrients!$F$78)))))*AK$8))/2000/2.2046</f>
        <v>1104.9181940477295</v>
      </c>
      <c r="AL250" s="21">
        <f>(SUMPRODUCT(AL$9:AL$229,Nutrients!$F$8:$F$228)+(IF($A$7=Nutrients!$B$8,Nutrients!$F$8,Nutrients!$F$9)*AL$7)+(((IF($A$8=Nutrients!$B$79,Nutrients!$F$79,(IF($A$8=Nutrients!$B$77,Nutrients!$F$77,Nutrients!$F$78)))))*AL$8))/2000/2.2046</f>
        <v>1111.766428181455</v>
      </c>
      <c r="AM250" s="21">
        <f>(SUMPRODUCT(AM$9:AM$229,Nutrients!$F$8:$F$228)+(IF($A$7=Nutrients!$B$8,Nutrients!$F$8,Nutrients!$F$9)*AM$7)+(((IF($A$8=Nutrients!$B$79,Nutrients!$F$79,(IF($A$8=Nutrients!$B$77,Nutrients!$F$77,Nutrients!$F$78)))))*AM$8))/2000/2.2046</f>
        <v>1117.9783232104851</v>
      </c>
      <c r="AN250" s="21">
        <f>(SUMPRODUCT(AN$9:AN$229,Nutrients!$F$8:$F$228)+(IF($A$7=Nutrients!$B$8,Nutrients!$F$8,Nutrients!$F$9)*AN$7)+(((IF($A$8=Nutrients!$B$79,Nutrients!$F$79,(IF($A$8=Nutrients!$B$77,Nutrients!$F$77,Nutrients!$F$78)))))*AN$8))/2000/2.2046</f>
        <v>1123.4455142959187</v>
      </c>
      <c r="AO250" s="21">
        <f>(SUMPRODUCT(AO$9:AO$229,Nutrients!$F$8:$F$228)+(IF($A$7=Nutrients!$B$8,Nutrients!$F$8,Nutrients!$F$9)*AO$7)+(((IF($A$8=Nutrients!$B$79,Nutrients!$F$79,(IF($A$8=Nutrients!$B$77,Nutrients!$F$77,Nutrients!$F$78)))))*AO$8))/2000/2.2046</f>
        <v>1127.4076439970456</v>
      </c>
      <c r="AP250" s="21">
        <f>(SUMPRODUCT(AP$9:AP$229,Nutrients!$F$8:$F$228)+(IF($A$7=Nutrients!$B$8,Nutrients!$F$8,Nutrients!$F$9)*AP$7)+(((IF($A$8=Nutrients!$B$79,Nutrients!$F$79,(IF($A$8=Nutrients!$B$77,Nutrients!$F$77,Nutrients!$F$78)))))*AP$8))/2000/2.2046</f>
        <v>1180.5684789085878</v>
      </c>
      <c r="AR250" s="21">
        <f>(SUMPRODUCT(AR$9:AR$229,Nutrients!$F$8:$F$228)+(IF($A$7=Nutrients!$B$8,Nutrients!$F$8,Nutrients!$F$9)*AR$7)+(((IF($A$8=Nutrients!$B$79,Nutrients!$F$79,(IF($A$8=Nutrients!$B$77,Nutrients!$F$77,Nutrients!$F$78)))))*AR$8))/2000/2.2046</f>
        <v>1095.0390880700795</v>
      </c>
      <c r="AS250" s="21">
        <f>(SUMPRODUCT(AS$9:AS$229,Nutrients!$F$8:$F$228)+(IF($A$7=Nutrients!$B$8,Nutrients!$F$8,Nutrients!$F$9)*AS$7)+(((IF($A$8=Nutrients!$B$79,Nutrients!$F$79,(IF($A$8=Nutrients!$B$77,Nutrients!$F$77,Nutrients!$F$78)))))*AS$8))/2000/2.2046</f>
        <v>1102.0855230009099</v>
      </c>
      <c r="AT250" s="21">
        <f>(SUMPRODUCT(AT$9:AT$229,Nutrients!$F$8:$F$228)+(IF($A$7=Nutrients!$B$8,Nutrients!$F$8,Nutrients!$F$9)*AT$7)+(((IF($A$8=Nutrients!$B$79,Nutrients!$F$79,(IF($A$8=Nutrients!$B$77,Nutrients!$F$77,Nutrients!$F$78)))))*AT$8))/2000/2.2046</f>
        <v>1108.3026287308896</v>
      </c>
      <c r="AU250" s="21">
        <f>(SUMPRODUCT(AU$9:AU$229,Nutrients!$F$8:$F$228)+(IF($A$7=Nutrients!$B$8,Nutrients!$F$8,Nutrients!$F$9)*AU$7)+(((IF($A$8=Nutrients!$B$79,Nutrients!$F$79,(IF($A$8=Nutrients!$B$77,Nutrients!$F$77,Nutrients!$F$78)))))*AU$8))/2000/2.2046</f>
        <v>1112.6693541271541</v>
      </c>
      <c r="AV250" s="21">
        <f>(SUMPRODUCT(AV$9:AV$229,Nutrients!$F$8:$F$228)+(IF($A$7=Nutrients!$B$8,Nutrients!$F$8,Nutrients!$F$9)*AV$7)+(((IF($A$8=Nutrients!$B$79,Nutrients!$F$79,(IF($A$8=Nutrients!$B$77,Nutrients!$F$77,Nutrients!$F$78)))))*AV$8))/2000/2.2046</f>
        <v>1116.6159860012272</v>
      </c>
      <c r="AW250" s="21">
        <f>(SUMPRODUCT(AW$9:AW$229,Nutrients!$F$8:$F$228)+(IF($A$7=Nutrients!$B$8,Nutrients!$F$8,Nutrients!$F$9)*AW$7)+(((IF($A$8=Nutrients!$B$79,Nutrients!$F$79,(IF($A$8=Nutrients!$B$77,Nutrients!$F$77,Nutrients!$F$78)))))*AW$8))/2000/2.2046</f>
        <v>1180.5684789085878</v>
      </c>
      <c r="AY250" s="21"/>
      <c r="AZ250" s="21"/>
      <c r="BA250" s="21"/>
      <c r="BB250" s="21"/>
      <c r="BC250" s="21"/>
      <c r="BD250" s="21"/>
    </row>
    <row r="251" spans="1:64" x14ac:dyDescent="0.25">
      <c r="A251" s="38" t="s">
        <v>29</v>
      </c>
      <c r="B251" s="21">
        <f t="shared" ref="B251:G251" si="39">B250*2.20462</f>
        <v>2543.3041372844777</v>
      </c>
      <c r="C251" s="21">
        <f t="shared" si="39"/>
        <v>2558.7017608253796</v>
      </c>
      <c r="D251" s="21">
        <f t="shared" si="39"/>
        <v>2572.0514520655925</v>
      </c>
      <c r="E251" s="21">
        <f t="shared" si="39"/>
        <v>2585.6808612989284</v>
      </c>
      <c r="F251" s="21">
        <f t="shared" si="39"/>
        <v>2597.2556616655675</v>
      </c>
      <c r="G251" s="21">
        <f t="shared" si="39"/>
        <v>2602.7048799714507</v>
      </c>
      <c r="H251" s="226"/>
      <c r="I251" s="21">
        <f t="shared" ref="I251:N251" si="40">I250*2.20462</f>
        <v>2521.9344879015971</v>
      </c>
      <c r="J251" s="21">
        <f t="shared" si="40"/>
        <v>2537.0452869380724</v>
      </c>
      <c r="K251" s="21">
        <f t="shared" si="40"/>
        <v>2550.6299346455503</v>
      </c>
      <c r="L251" s="21">
        <f t="shared" si="40"/>
        <v>2564.0092842050867</v>
      </c>
      <c r="M251" s="21">
        <f t="shared" si="40"/>
        <v>2575.5152187222297</v>
      </c>
      <c r="N251" s="21">
        <f t="shared" si="40"/>
        <v>2602.7048799714507</v>
      </c>
      <c r="O251" s="234"/>
      <c r="P251" s="21">
        <f t="shared" ref="P251:U251" si="41">P250*2.20462</f>
        <v>2500.3668182274364</v>
      </c>
      <c r="Q251" s="21">
        <f t="shared" si="41"/>
        <v>2515.4627416843864</v>
      </c>
      <c r="R251" s="21">
        <f t="shared" si="41"/>
        <v>2528.9649339076591</v>
      </c>
      <c r="S251" s="21">
        <f t="shared" si="41"/>
        <v>2542.432344406735</v>
      </c>
      <c r="T251" s="21">
        <f t="shared" si="41"/>
        <v>2553.8665161468148</v>
      </c>
      <c r="U251" s="21">
        <f t="shared" si="41"/>
        <v>2602.7048799714507</v>
      </c>
      <c r="W251" s="21">
        <f t="shared" ref="W251:AB251" si="42">W250*2.20462</f>
        <v>2478.8449012913611</v>
      </c>
      <c r="X251" s="21">
        <f t="shared" si="42"/>
        <v>2493.8815828841148</v>
      </c>
      <c r="Y251" s="21">
        <f t="shared" si="42"/>
        <v>2507.4943842186258</v>
      </c>
      <c r="Z251" s="21">
        <f t="shared" si="42"/>
        <v>2520.9011752477386</v>
      </c>
      <c r="AA251" s="21">
        <f t="shared" si="42"/>
        <v>2532.4595714767211</v>
      </c>
      <c r="AB251" s="21">
        <f t="shared" si="42"/>
        <v>2602.7048799714507</v>
      </c>
      <c r="AD251" s="21">
        <f t="shared" ref="AD251:AI251" si="43">AD250*2.20462</f>
        <v>2457.3964946565316</v>
      </c>
      <c r="AE251" s="21">
        <f t="shared" si="43"/>
        <v>2472.500755249207</v>
      </c>
      <c r="AF251" s="21">
        <f t="shared" si="43"/>
        <v>2486.0773148475714</v>
      </c>
      <c r="AG251" s="21">
        <f t="shared" si="43"/>
        <v>2499.5322855288368</v>
      </c>
      <c r="AH251" s="21">
        <f t="shared" si="43"/>
        <v>2509.2961017576577</v>
      </c>
      <c r="AI251" s="21">
        <f t="shared" si="43"/>
        <v>2602.7048799714507</v>
      </c>
      <c r="AK251" s="21">
        <f t="shared" ref="AK251:AP251" si="44">AK250*2.20462</f>
        <v>2435.924748961505</v>
      </c>
      <c r="AL251" s="21">
        <f t="shared" si="44"/>
        <v>2451.0225028973991</v>
      </c>
      <c r="AM251" s="21">
        <f t="shared" si="44"/>
        <v>2464.7173709162994</v>
      </c>
      <c r="AN251" s="21">
        <f t="shared" si="44"/>
        <v>2476.7704497270679</v>
      </c>
      <c r="AO251" s="21">
        <f t="shared" si="44"/>
        <v>2485.5054401087664</v>
      </c>
      <c r="AP251" s="21">
        <f t="shared" si="44"/>
        <v>2602.7048799714507</v>
      </c>
      <c r="AR251" s="21">
        <f t="shared" ref="AR251:AW251" si="45">AR250*2.20462</f>
        <v>2414.1450743410583</v>
      </c>
      <c r="AS251" s="21">
        <f t="shared" si="45"/>
        <v>2429.679785718266</v>
      </c>
      <c r="AT251" s="21">
        <f t="shared" si="45"/>
        <v>2443.3861413526938</v>
      </c>
      <c r="AU251" s="21">
        <f t="shared" si="45"/>
        <v>2453.0131114958062</v>
      </c>
      <c r="AV251" s="21">
        <f t="shared" si="45"/>
        <v>2461.7139350580251</v>
      </c>
      <c r="AW251" s="21">
        <f t="shared" si="45"/>
        <v>2602.7048799714507</v>
      </c>
      <c r="AZ251" s="8"/>
      <c r="BA251" s="8"/>
      <c r="BB251" s="8"/>
      <c r="BC251" s="8"/>
      <c r="BD251" s="8"/>
      <c r="BE251" s="8"/>
    </row>
    <row r="252" spans="1:64" x14ac:dyDescent="0.25">
      <c r="A252" s="38" t="s">
        <v>390</v>
      </c>
      <c r="B252" s="23">
        <f t="shared" ref="B252:G252" si="46">IF(B$5="","",B236/(B250*2.2046)*10000)</f>
        <v>4.6637077167474628</v>
      </c>
      <c r="C252" s="23">
        <f t="shared" si="46"/>
        <v>4.098690324665454</v>
      </c>
      <c r="D252" s="23">
        <f t="shared" si="46"/>
        <v>3.6038708201123204</v>
      </c>
      <c r="E252" s="23">
        <f t="shared" si="46"/>
        <v>3.1948100235360672</v>
      </c>
      <c r="F252" s="23">
        <f t="shared" si="46"/>
        <v>2.913603801156885</v>
      </c>
      <c r="G252" s="23">
        <f t="shared" si="46"/>
        <v>2.7602055376881007</v>
      </c>
      <c r="H252" s="227"/>
      <c r="I252" s="23">
        <f t="shared" ref="I252:N252" si="47">IF(I$5="","",I236/(I250*2.2046)*10000)</f>
        <v>4.6645554876240558</v>
      </c>
      <c r="J252" s="23">
        <f t="shared" si="47"/>
        <v>4.1009881829047439</v>
      </c>
      <c r="K252" s="23">
        <f t="shared" si="47"/>
        <v>3.6063268912696329</v>
      </c>
      <c r="L252" s="23">
        <f t="shared" si="47"/>
        <v>3.1972543810267244</v>
      </c>
      <c r="M252" s="23">
        <f t="shared" si="47"/>
        <v>2.9135279779004173</v>
      </c>
      <c r="N252" s="23">
        <f t="shared" si="47"/>
        <v>2.7602055376881007</v>
      </c>
      <c r="O252" s="234"/>
      <c r="P252" s="23">
        <f t="shared" ref="P252:U252" si="48">IF(P$5="","",P236/(P250*2.2046)*10000)</f>
        <v>4.6732997672504224</v>
      </c>
      <c r="Q252" s="23">
        <f t="shared" si="48"/>
        <v>4.1083817074063509</v>
      </c>
      <c r="R252" s="23">
        <f t="shared" si="48"/>
        <v>3.6133031465778971</v>
      </c>
      <c r="S252" s="23">
        <f t="shared" si="48"/>
        <v>3.1988710494398598</v>
      </c>
      <c r="T252" s="23">
        <f t="shared" si="48"/>
        <v>2.9158442032362433</v>
      </c>
      <c r="U252" s="23">
        <f t="shared" si="48"/>
        <v>2.7602055376881007</v>
      </c>
      <c r="W252" s="23">
        <f t="shared" ref="W252:AB252" si="49">IF(W$5="","",W236/(W250*2.2046)*10000)</f>
        <v>4.682105878422183</v>
      </c>
      <c r="X252" s="23">
        <f t="shared" si="49"/>
        <v>4.115916460050042</v>
      </c>
      <c r="Y252" s="23">
        <f t="shared" si="49"/>
        <v>3.6146821641416653</v>
      </c>
      <c r="Z252" s="23">
        <f t="shared" si="49"/>
        <v>3.2018403535003106</v>
      </c>
      <c r="AA252" s="23">
        <f t="shared" si="49"/>
        <v>2.9182823653990333</v>
      </c>
      <c r="AB252" s="23">
        <f t="shared" si="49"/>
        <v>2.7602055376881007</v>
      </c>
      <c r="AD252" s="23">
        <f t="shared" ref="AD252:AP252" si="50">IF(AD$5="","",AD236/(AD250*2.2046)*10000)</f>
        <v>4.6904903987620354</v>
      </c>
      <c r="AE252" s="23">
        <f t="shared" si="50"/>
        <v>4.1178284567195229</v>
      </c>
      <c r="AF252" s="23">
        <f t="shared" si="50"/>
        <v>3.6173060997587987</v>
      </c>
      <c r="AG252" s="23">
        <f t="shared" si="50"/>
        <v>3.2045609901552576</v>
      </c>
      <c r="AH252" s="23">
        <f t="shared" si="50"/>
        <v>2.9207404546797751</v>
      </c>
      <c r="AI252" s="23">
        <f t="shared" si="50"/>
        <v>2.7602055376881007</v>
      </c>
      <c r="AK252" s="23">
        <f t="shared" si="50"/>
        <v>4.7005162530575086</v>
      </c>
      <c r="AL252" s="23">
        <f t="shared" si="50"/>
        <v>4.1215145399692075</v>
      </c>
      <c r="AM252" s="23">
        <f t="shared" si="50"/>
        <v>3.6205239592674339</v>
      </c>
      <c r="AN252" s="23">
        <f t="shared" si="50"/>
        <v>3.2074983653474169</v>
      </c>
      <c r="AO252" s="23">
        <f t="shared" si="50"/>
        <v>2.9232678347265448</v>
      </c>
      <c r="AP252" s="23">
        <f t="shared" si="50"/>
        <v>2.7602055376881007</v>
      </c>
      <c r="AR252" s="23">
        <f t="shared" ref="AR252:AW252" si="51">IF(AR$5="","",AR236/(AR250*2.2046)*10000)</f>
        <v>4.7222114119356409</v>
      </c>
      <c r="AS252" s="23">
        <f t="shared" si="51"/>
        <v>4.1250695996573103</v>
      </c>
      <c r="AT252" s="23">
        <f t="shared" si="51"/>
        <v>3.6248220388660553</v>
      </c>
      <c r="AU252" s="23">
        <f t="shared" si="51"/>
        <v>3.2109798433715677</v>
      </c>
      <c r="AV252" s="23">
        <f t="shared" si="51"/>
        <v>2.92587252353339</v>
      </c>
      <c r="AW252" s="23">
        <f t="shared" si="51"/>
        <v>2.7602055376881007</v>
      </c>
    </row>
    <row r="253" spans="1:64" x14ac:dyDescent="0.25">
      <c r="A253" s="51" t="s">
        <v>155</v>
      </c>
      <c r="B253" s="22">
        <f>(SUMPRODUCT(B$9:B$229,Nutrients!$I$8:$I$228)+(IF($A$7=Nutrients!$B$8,Nutrients!$I$8,Nutrients!$I$9)*B$7)+(((IF($A$8=Nutrients!$B$79,Nutrients!$I$79,(IF($A$8=Nutrients!$B$77,Nutrients!$I$77,Nutrients!$I$78)))))*B$8))/2000</f>
        <v>19.197144454100709</v>
      </c>
      <c r="C253" s="22">
        <f>(SUMPRODUCT(C$9:C$229,Nutrients!$I$8:$I$228)+(IF($A$7=Nutrients!$B$8,Nutrients!$I$8,Nutrients!$I$9)*C$7)+(((IF($A$8=Nutrients!$B$79,Nutrients!$I$79,(IF($A$8=Nutrients!$B$77,Nutrients!$I$77,Nutrients!$I$78)))))*C$8))/2000</f>
        <v>17.518322949293985</v>
      </c>
      <c r="D253" s="22">
        <f>(SUMPRODUCT(D$9:D$229,Nutrients!$I$8:$I$228)+(IF($A$7=Nutrients!$B$8,Nutrients!$I$8,Nutrients!$I$9)*D$7)+(((IF($A$8=Nutrients!$B$79,Nutrients!$I$79,(IF($A$8=Nutrients!$B$77,Nutrients!$I$77,Nutrients!$I$78)))))*D$8))/2000</f>
        <v>16.093820180294312</v>
      </c>
      <c r="E253" s="22">
        <f>(SUMPRODUCT(E$9:E$229,Nutrients!$I$8:$I$228)+(IF($A$7=Nutrients!$B$8,Nutrients!$I$8,Nutrients!$I$9)*E$7)+(((IF($A$8=Nutrients!$B$79,Nutrients!$I$79,(IF($A$8=Nutrients!$B$77,Nutrients!$I$77,Nutrients!$I$78)))))*E$8))/2000</f>
        <v>14.741302120356609</v>
      </c>
      <c r="F253" s="22">
        <f>(SUMPRODUCT(F$9:F$229,Nutrients!$I$8:$I$228)+(IF($A$7=Nutrients!$B$8,Nutrients!$I$8,Nutrients!$I$9)*F$7)+(((IF($A$8=Nutrients!$B$79,Nutrients!$I$79,(IF($A$8=Nutrients!$B$77,Nutrients!$I$77,Nutrients!$I$78)))))*F$8))/2000</f>
        <v>13.625458454243304</v>
      </c>
      <c r="G253" s="22">
        <f>(SUMPRODUCT(G$9:G$229,Nutrients!$I$8:$I$228)+(IF($A$7=Nutrients!$B$8,Nutrients!$I$8,Nutrients!$I$9)*G$7)+(((IF($A$8=Nutrients!$B$79,Nutrients!$I$79,(IF($A$8=Nutrients!$B$77,Nutrients!$I$77,Nutrients!$I$78)))))*G$8))/2000</f>
        <v>13.010227616088669</v>
      </c>
      <c r="H253" s="228"/>
      <c r="I253" s="22">
        <f>(SUMPRODUCT(I$9:I$229,Nutrients!$I$8:$I$228)+(IF($A$7=Nutrients!$B$8,Nutrients!$I$8,Nutrients!$I$9)*I$7)+(((IF($A$8=Nutrients!$B$79,Nutrients!$I$79,(IF($A$8=Nutrients!$B$77,Nutrients!$I$77,Nutrients!$I$78)))))*I$8))/2000</f>
        <v>19.46358051277635</v>
      </c>
      <c r="J253" s="22">
        <f>(SUMPRODUCT(J$9:J$229,Nutrients!$I$8:$I$228)+(IF($A$7=Nutrients!$B$8,Nutrients!$I$8,Nutrients!$I$9)*J$7)+(((IF($A$8=Nutrients!$B$79,Nutrients!$I$79,(IF($A$8=Nutrients!$B$77,Nutrients!$I$77,Nutrients!$I$78)))))*J$8))/2000</f>
        <v>17.809235165295341</v>
      </c>
      <c r="K253" s="22">
        <f>(SUMPRODUCT(K$9:K$229,Nutrients!$I$8:$I$228)+(IF($A$7=Nutrients!$B$8,Nutrients!$I$8,Nutrients!$I$9)*K$7)+(((IF($A$8=Nutrients!$B$79,Nutrients!$I$79,(IF($A$8=Nutrients!$B$77,Nutrients!$I$77,Nutrients!$I$78)))))*K$8))/2000</f>
        <v>16.409940466971797</v>
      </c>
      <c r="L253" s="22">
        <f>(SUMPRODUCT(L$9:L$229,Nutrients!$I$8:$I$228)+(IF($A$7=Nutrients!$B$8,Nutrients!$I$8,Nutrients!$I$9)*L$7)+(((IF($A$8=Nutrients!$B$79,Nutrients!$I$79,(IF($A$8=Nutrients!$B$77,Nutrients!$I$77,Nutrients!$I$78)))))*L$8))/2000</f>
        <v>15.067793956098017</v>
      </c>
      <c r="M253" s="22">
        <f>(SUMPRODUCT(M$9:M$229,Nutrients!$I$8:$I$228)+(IF($A$7=Nutrients!$B$8,Nutrients!$I$8,Nutrients!$I$9)*M$7)+(((IF($A$8=Nutrients!$B$79,Nutrients!$I$79,(IF($A$8=Nutrients!$B$77,Nutrients!$I$77,Nutrients!$I$78)))))*M$8))/2000</f>
        <v>13.948554447253111</v>
      </c>
      <c r="N253" s="22">
        <f>(SUMPRODUCT(N$9:N$229,Nutrients!$I$8:$I$228)+(IF($A$7=Nutrients!$B$8,Nutrients!$I$8,Nutrients!$I$9)*N$7)+(((IF($A$8=Nutrients!$B$79,Nutrients!$I$79,(IF($A$8=Nutrients!$B$77,Nutrients!$I$77,Nutrients!$I$78)))))*N$8))/2000</f>
        <v>13.010227616088669</v>
      </c>
      <c r="O253" s="198"/>
      <c r="P253" s="22">
        <f>(SUMPRODUCT(P$9:P$229,Nutrients!$I$8:$I$228)+(IF($A$7=Nutrients!$B$8,Nutrients!$I$8,Nutrients!$I$9)*P$7)+(((IF($A$8=Nutrients!$B$79,Nutrients!$I$79,(IF($A$8=Nutrients!$B$77,Nutrients!$I$77,Nutrients!$I$78)))))*P$8))/2000</f>
        <v>19.762151189286683</v>
      </c>
      <c r="Q253" s="22">
        <f>(SUMPRODUCT(Q$9:Q$229,Nutrients!$I$8:$I$228)+(IF($A$7=Nutrients!$B$8,Nutrients!$I$8,Nutrients!$I$9)*Q$7)+(((IF($A$8=Nutrients!$B$79,Nutrients!$I$79,(IF($A$8=Nutrients!$B$77,Nutrients!$I$77,Nutrients!$I$78)))))*Q$8))/2000</f>
        <v>18.126136688094224</v>
      </c>
      <c r="R253" s="22">
        <f>(SUMPRODUCT(R$9:R$229,Nutrients!$I$8:$I$228)+(IF($A$7=Nutrients!$B$8,Nutrients!$I$8,Nutrients!$I$9)*R$7)+(((IF($A$8=Nutrients!$B$79,Nutrients!$I$79,(IF($A$8=Nutrients!$B$77,Nutrients!$I$77,Nutrients!$I$78)))))*R$8))/2000</f>
        <v>16.741979978014847</v>
      </c>
      <c r="S253" s="22">
        <f>(SUMPRODUCT(S$9:S$229,Nutrients!$I$8:$I$228)+(IF($A$7=Nutrients!$B$8,Nutrients!$I$8,Nutrients!$I$9)*S$7)+(((IF($A$8=Nutrients!$B$79,Nutrients!$I$79,(IF($A$8=Nutrients!$B$77,Nutrients!$I$77,Nutrients!$I$78)))))*S$8))/2000</f>
        <v>15.394350201912184</v>
      </c>
      <c r="T253" s="22">
        <f>(SUMPRODUCT(T$9:T$229,Nutrients!$I$8:$I$228)+(IF($A$7=Nutrients!$B$8,Nutrients!$I$8,Nutrients!$I$9)*T$7)+(((IF($A$8=Nutrients!$B$79,Nutrients!$I$79,(IF($A$8=Nutrients!$B$77,Nutrients!$I$77,Nutrients!$I$78)))))*T$8))/2000</f>
        <v>14.287930934934302</v>
      </c>
      <c r="U253" s="22">
        <f>(SUMPRODUCT(U$9:U$229,Nutrients!$I$8:$I$228)+(IF($A$7=Nutrients!$B$8,Nutrients!$I$8,Nutrients!$I$9)*U$7)+(((IF($A$8=Nutrients!$B$79,Nutrients!$I$79,(IF($A$8=Nutrients!$B$77,Nutrients!$I$77,Nutrients!$I$78)))))*U$8))/2000</f>
        <v>13.010227616088669</v>
      </c>
      <c r="W253" s="22">
        <f>(SUMPRODUCT(W$9:W$229,Nutrients!$I$8:$I$228)+(IF($A$7=Nutrients!$B$8,Nutrients!$I$8,Nutrients!$I$9)*W$7)+(((IF($A$8=Nutrients!$B$79,Nutrients!$I$79,(IF($A$8=Nutrients!$B$77,Nutrients!$I$77,Nutrients!$I$78)))))*W$8))/2000</f>
        <v>20.062549651751358</v>
      </c>
      <c r="X253" s="22">
        <f>(SUMPRODUCT(X$9:X$229,Nutrients!$I$8:$I$228)+(IF($A$7=Nutrients!$B$8,Nutrients!$I$8,Nutrients!$I$9)*X$7)+(((IF($A$8=Nutrients!$B$79,Nutrients!$I$79,(IF($A$8=Nutrients!$B$77,Nutrients!$I$77,Nutrients!$I$78)))))*X$8))/2000</f>
        <v>18.442355939877849</v>
      </c>
      <c r="Y253" s="22">
        <f>(SUMPRODUCT(Y$9:Y$229,Nutrients!$I$8:$I$228)+(IF($A$7=Nutrients!$B$8,Nutrients!$I$8,Nutrients!$I$9)*Y$7)+(((IF($A$8=Nutrients!$B$79,Nutrients!$I$79,(IF($A$8=Nutrients!$B$77,Nutrients!$I$77,Nutrients!$I$78)))))*Y$8))/2000</f>
        <v>17.053978068683794</v>
      </c>
      <c r="Z253" s="22">
        <f>(SUMPRODUCT(Z$9:Z$229,Nutrients!$I$8:$I$228)+(IF($A$7=Nutrients!$B$8,Nutrients!$I$8,Nutrients!$I$9)*Z$7)+(((IF($A$8=Nutrients!$B$79,Nutrients!$I$79,(IF($A$8=Nutrients!$B$77,Nutrients!$I$77,Nutrients!$I$78)))))*Z$8))/2000</f>
        <v>15.73007644318225</v>
      </c>
      <c r="AA253" s="22">
        <f>(SUMPRODUCT(AA$9:AA$229,Nutrients!$I$8:$I$228)+(IF($A$7=Nutrients!$B$8,Nutrients!$I$8,Nutrients!$I$9)*AA$7)+(((IF($A$8=Nutrients!$B$79,Nutrients!$I$79,(IF($A$8=Nutrients!$B$77,Nutrients!$I$77,Nutrients!$I$78)))))*AA$8))/2000</f>
        <v>14.638631664177339</v>
      </c>
      <c r="AB253" s="22">
        <f>(SUMPRODUCT(AB$9:AB$229,Nutrients!$I$8:$I$228)+(IF($A$7=Nutrients!$B$8,Nutrients!$I$8,Nutrients!$I$9)*AB$7)+(((IF($A$8=Nutrients!$B$79,Nutrients!$I$79,(IF($A$8=Nutrients!$B$77,Nutrients!$I$77,Nutrients!$I$78)))))*AB$8))/2000</f>
        <v>13.010227616088669</v>
      </c>
      <c r="AD253" s="22">
        <f>(SUMPRODUCT(AD$9:AD$229,Nutrients!$I$8:$I$228)+(IF($A$7=Nutrients!$B$8,Nutrients!$I$8,Nutrients!$I$9)*AD$7)+(((IF($A$8=Nutrients!$B$79,Nutrients!$I$79,(IF($A$8=Nutrients!$B$77,Nutrients!$I$77,Nutrients!$I$78)))))*AD$8))/2000</f>
        <v>20.363727822522169</v>
      </c>
      <c r="AE253" s="22">
        <f>(SUMPRODUCT(AE$9:AE$229,Nutrients!$I$8:$I$228)+(IF($A$7=Nutrients!$B$8,Nutrients!$I$8,Nutrients!$I$9)*AE$7)+(((IF($A$8=Nutrients!$B$79,Nutrients!$I$79,(IF($A$8=Nutrients!$B$77,Nutrients!$I$77,Nutrients!$I$78)))))*AE$8))/2000</f>
        <v>18.739159416331763</v>
      </c>
      <c r="AF253" s="22">
        <f>(SUMPRODUCT(AF$9:AF$229,Nutrients!$I$8:$I$228)+(IF($A$7=Nutrients!$B$8,Nutrients!$I$8,Nutrients!$I$9)*AF$7)+(((IF($A$8=Nutrients!$B$79,Nutrients!$I$79,(IF($A$8=Nutrients!$B$77,Nutrients!$I$77,Nutrients!$I$78)))))*AF$8))/2000</f>
        <v>17.374786713434997</v>
      </c>
      <c r="AG253" s="22">
        <f>(SUMPRODUCT(AG$9:AG$229,Nutrients!$I$8:$I$228)+(IF($A$7=Nutrients!$B$8,Nutrients!$I$8,Nutrients!$I$9)*AG$7)+(((IF($A$8=Nutrients!$B$79,Nutrients!$I$79,(IF($A$8=Nutrients!$B$77,Nutrients!$I$77,Nutrients!$I$78)))))*AG$8))/2000</f>
        <v>16.072656130737411</v>
      </c>
      <c r="AH253" s="22">
        <f>(SUMPRODUCT(AH$9:AH$229,Nutrients!$I$8:$I$228)+(IF($A$7=Nutrients!$B$8,Nutrients!$I$8,Nutrients!$I$9)*AH$7)+(((IF($A$8=Nutrients!$B$79,Nutrients!$I$79,(IF($A$8=Nutrients!$B$77,Nutrients!$I$77,Nutrients!$I$78)))))*AH$8))/2000</f>
        <v>14.977814992867081</v>
      </c>
      <c r="AI253" s="22">
        <f>(SUMPRODUCT(AI$9:AI$229,Nutrients!$I$8:$I$228)+(IF($A$7=Nutrients!$B$8,Nutrients!$I$8,Nutrients!$I$9)*AI$7)+(((IF($A$8=Nutrients!$B$79,Nutrients!$I$79,(IF($A$8=Nutrients!$B$77,Nutrients!$I$77,Nutrients!$I$78)))))*AI$8))/2000</f>
        <v>13.010227616088669</v>
      </c>
      <c r="AK253" s="22">
        <f>(SUMPRODUCT(AK$9:AK$229,Nutrients!$I$8:$I$228)+(IF($A$7=Nutrients!$B$8,Nutrients!$I$8,Nutrients!$I$9)*AK$7)+(((IF($A$8=Nutrients!$B$79,Nutrients!$I$79,(IF($A$8=Nutrients!$B$77,Nutrients!$I$77,Nutrients!$I$78)))))*AK$8))/2000</f>
        <v>20.671183957565269</v>
      </c>
      <c r="AL253" s="22">
        <f>(SUMPRODUCT(AL$9:AL$229,Nutrients!$I$8:$I$228)+(IF($A$7=Nutrients!$B$8,Nutrients!$I$8,Nutrients!$I$9)*AL$7)+(((IF($A$8=Nutrients!$B$79,Nutrients!$I$79,(IF($A$8=Nutrients!$B$77,Nutrients!$I$77,Nutrients!$I$78)))))*AL$8))/2000</f>
        <v>19.039986262842863</v>
      </c>
      <c r="AM253" s="22">
        <f>(SUMPRODUCT(AM$9:AM$229,Nutrients!$I$8:$I$228)+(IF($A$7=Nutrients!$B$8,Nutrients!$I$8,Nutrients!$I$9)*AM$7)+(((IF($A$8=Nutrients!$B$79,Nutrients!$I$79,(IF($A$8=Nutrients!$B$77,Nutrients!$I$77,Nutrients!$I$78)))))*AM$8))/2000</f>
        <v>17.700836778311817</v>
      </c>
      <c r="AN253" s="22">
        <f>(SUMPRODUCT(AN$9:AN$229,Nutrients!$I$8:$I$228)+(IF($A$7=Nutrients!$B$8,Nutrients!$I$8,Nutrients!$I$9)*AN$7)+(((IF($A$8=Nutrients!$B$79,Nutrients!$I$79,(IF($A$8=Nutrients!$B$77,Nutrients!$I$77,Nutrients!$I$78)))))*AN$8))/2000</f>
        <v>16.40532044879139</v>
      </c>
      <c r="AO253" s="22">
        <f>(SUMPRODUCT(AO$9:AO$229,Nutrients!$I$8:$I$228)+(IF($A$7=Nutrients!$B$8,Nutrients!$I$8,Nutrients!$I$9)*AO$7)+(((IF($A$8=Nutrients!$B$79,Nutrients!$I$79,(IF($A$8=Nutrients!$B$77,Nutrients!$I$77,Nutrients!$I$78)))))*AO$8))/2000</f>
        <v>15.312491861130265</v>
      </c>
      <c r="AP253" s="22">
        <f>(SUMPRODUCT(AP$9:AP$229,Nutrients!$I$8:$I$228)+(IF($A$7=Nutrients!$B$8,Nutrients!$I$8,Nutrients!$I$9)*AP$7)+(((IF($A$8=Nutrients!$B$79,Nutrients!$I$79,(IF($A$8=Nutrients!$B$77,Nutrients!$I$77,Nutrients!$I$78)))))*AP$8))/2000</f>
        <v>13.010227616088669</v>
      </c>
      <c r="AR253" s="22">
        <f>(SUMPRODUCT(AR$9:AR$229,Nutrients!$I$8:$I$228)+(IF($A$7=Nutrients!$B$8,Nutrients!$I$8,Nutrients!$I$9)*AR$7)+(((IF($A$8=Nutrients!$B$79,Nutrients!$I$79,(IF($A$8=Nutrients!$B$77,Nutrients!$I$77,Nutrients!$I$78)))))*AR$8))/2000</f>
        <v>21.020217191615608</v>
      </c>
      <c r="AS253" s="22">
        <f>(SUMPRODUCT(AS$9:AS$229,Nutrients!$I$8:$I$228)+(IF($A$7=Nutrients!$B$8,Nutrients!$I$8,Nutrients!$I$9)*AS$7)+(((IF($A$8=Nutrients!$B$79,Nutrients!$I$79,(IF($A$8=Nutrients!$B$77,Nutrients!$I$77,Nutrients!$I$78)))))*AS$8))/2000</f>
        <v>19.346527729703066</v>
      </c>
      <c r="AT253" s="22">
        <f>(SUMPRODUCT(AT$9:AT$229,Nutrients!$I$8:$I$228)+(IF($A$7=Nutrients!$B$8,Nutrients!$I$8,Nutrients!$I$9)*AT$7)+(((IF($A$8=Nutrients!$B$79,Nutrients!$I$79,(IF($A$8=Nutrients!$B$77,Nutrients!$I$77,Nutrients!$I$78)))))*AT$8))/2000</f>
        <v>18.034560211539901</v>
      </c>
      <c r="AU253" s="22">
        <f>(SUMPRODUCT(AU$9:AU$229,Nutrients!$I$8:$I$228)+(IF($A$7=Nutrients!$B$8,Nutrients!$I$8,Nutrients!$I$9)*AU$7)+(((IF($A$8=Nutrients!$B$79,Nutrients!$I$79,(IF($A$8=Nutrients!$B$77,Nutrients!$I$77,Nutrients!$I$78)))))*AU$8))/2000</f>
        <v>16.732781824485457</v>
      </c>
      <c r="AV253" s="22">
        <f>(SUMPRODUCT(AV$9:AV$229,Nutrients!$I$8:$I$228)+(IF($A$7=Nutrients!$B$8,Nutrients!$I$8,Nutrients!$I$9)*AV$7)+(((IF($A$8=Nutrients!$B$79,Nutrients!$I$79,(IF($A$8=Nutrients!$B$77,Nutrients!$I$77,Nutrients!$I$78)))))*AV$8))/2000</f>
        <v>15.647277489283631</v>
      </c>
      <c r="AW253" s="22">
        <f>(SUMPRODUCT(AW$9:AW$229,Nutrients!$I$8:$I$228)+(IF($A$7=Nutrients!$B$8,Nutrients!$I$8,Nutrients!$I$9)*AW$7)+(((IF($A$8=Nutrients!$B$79,Nutrients!$I$79,(IF($A$8=Nutrients!$B$77,Nutrients!$I$77,Nutrients!$I$78)))))*AW$8))/2000</f>
        <v>13.010227616088669</v>
      </c>
    </row>
    <row r="254" spans="1:64" x14ac:dyDescent="0.25">
      <c r="A254" s="41" t="s">
        <v>144</v>
      </c>
      <c r="B254" s="23">
        <f>(SUMPRODUCT(B$9:B$229,Nutrients!$BS$8:$BS$228)+(IF($A$7=Nutrients!$B$8,Nutrients!$BS$8,Nutrients!$BS$9)*B$7)+(((IF($A$8=Nutrients!$B$79,Nutrients!$BS$79,(IF($A$8=Nutrients!$B$77,Nutrients!$BS$77,Nutrients!$BS$78)))))*B$8))/2000</f>
        <v>0.69579038170108098</v>
      </c>
      <c r="C254" s="23">
        <f>(SUMPRODUCT(C$9:C$229,Nutrients!$BS$8:$BS$228)+(IF($A$7=Nutrients!$B$8,Nutrients!$BS$8,Nutrients!$BS$9)*C$7)+(((IF($A$8=Nutrients!$B$79,Nutrients!$BS$79,(IF($A$8=Nutrients!$B$77,Nutrients!$BS$77,Nutrients!$BS$78)))))*C$8))/2000</f>
        <v>0.62597225623792574</v>
      </c>
      <c r="D254" s="23">
        <f>(SUMPRODUCT(D$9:D$229,Nutrients!$BS$8:$BS$228)+(IF($A$7=Nutrients!$B$8,Nutrients!$BS$8,Nutrients!$BS$9)*D$7)+(((IF($A$8=Nutrients!$B$79,Nutrients!$BS$79,(IF($A$8=Nutrients!$B$77,Nutrients!$BS$77,Nutrients!$BS$78)))))*D$8))/2000</f>
        <v>0.57389505815699282</v>
      </c>
      <c r="E254" s="23">
        <f>(SUMPRODUCT(E$9:E$229,Nutrients!$BS$8:$BS$228)+(IF($A$7=Nutrients!$B$8,Nutrients!$BS$8,Nutrients!$BS$9)*E$7)+(((IF($A$8=Nutrients!$B$79,Nutrients!$BS$79,(IF($A$8=Nutrients!$B$77,Nutrients!$BS$77,Nutrients!$BS$78)))))*E$8))/2000</f>
        <v>0.52055031100225413</v>
      </c>
      <c r="F254" s="23">
        <f>(SUMPRODUCT(F$9:F$229,Nutrients!$BS$8:$BS$228)+(IF($A$7=Nutrients!$B$8,Nutrients!$BS$8,Nutrients!$BS$9)*F$7)+(((IF($A$8=Nutrients!$B$79,Nutrients!$BS$79,(IF($A$8=Nutrients!$B$77,Nutrients!$BS$77,Nutrients!$BS$78)))))*F$8))/2000</f>
        <v>0.47698896958793735</v>
      </c>
      <c r="G254" s="23">
        <f>(SUMPRODUCT(G$9:G$229,Nutrients!$BS$8:$BS$228)+(IF($A$7=Nutrients!$B$8,Nutrients!$BS$8,Nutrients!$BS$9)*G$7)+(((IF($A$8=Nutrients!$B$79,Nutrients!$BS$79,(IF($A$8=Nutrients!$B$77,Nutrients!$BS$77,Nutrients!$BS$78)))))*G$8))/2000</f>
        <v>0.4600223649748173</v>
      </c>
      <c r="H254" s="227"/>
      <c r="I254" s="23">
        <f>(SUMPRODUCT(I$9:I$229,Nutrients!$BS$8:$BS$228)+(IF($A$7=Nutrients!$B$8,Nutrients!$BS$8,Nutrients!$BS$9)*I$7)+(((IF($A$8=Nutrients!$B$79,Nutrients!$BS$79,(IF($A$8=Nutrients!$B$77,Nutrients!$BS$77,Nutrients!$BS$78)))))*I$8))/2000</f>
        <v>0.69509786713140509</v>
      </c>
      <c r="J254" s="23">
        <f>(SUMPRODUCT(J$9:J$229,Nutrients!$BS$8:$BS$228)+(IF($A$7=Nutrients!$B$8,Nutrients!$BS$8,Nutrients!$BS$9)*J$7)+(((IF($A$8=Nutrients!$B$79,Nutrients!$BS$79,(IF($A$8=Nutrients!$B$77,Nutrients!$BS$77,Nutrients!$BS$78)))))*J$8))/2000</f>
        <v>0.62685751929538103</v>
      </c>
      <c r="K254" s="23">
        <f>(SUMPRODUCT(K$9:K$229,Nutrients!$BS$8:$BS$228)+(IF($A$7=Nutrients!$B$8,Nutrients!$BS$8,Nutrients!$BS$9)*K$7)+(((IF($A$8=Nutrients!$B$79,Nutrients!$BS$79,(IF($A$8=Nutrients!$B$77,Nutrients!$BS$77,Nutrients!$BS$78)))))*K$8))/2000</f>
        <v>0.5728019313815349</v>
      </c>
      <c r="L254" s="23">
        <f>(SUMPRODUCT(L$9:L$229,Nutrients!$BS$8:$BS$228)+(IF($A$7=Nutrients!$B$8,Nutrients!$BS$8,Nutrients!$BS$9)*L$7)+(((IF($A$8=Nutrients!$B$79,Nutrients!$BS$79,(IF($A$8=Nutrients!$B$77,Nutrients!$BS$77,Nutrients!$BS$78)))))*L$8))/2000</f>
        <v>0.52063920797813668</v>
      </c>
      <c r="M254" s="23">
        <f>(SUMPRODUCT(M$9:M$229,Nutrients!$BS$8:$BS$228)+(IF($A$7=Nutrients!$B$8,Nutrients!$BS$8,Nutrients!$BS$9)*M$7)+(((IF($A$8=Nutrients!$B$79,Nutrients!$BS$79,(IF($A$8=Nutrients!$B$77,Nutrients!$BS$77,Nutrients!$BS$78)))))*M$8))/2000</f>
        <v>0.47751601032645441</v>
      </c>
      <c r="N254" s="23">
        <f>(SUMPRODUCT(N$9:N$229,Nutrients!$BS$8:$BS$228)+(IF($A$7=Nutrients!$B$8,Nutrients!$BS$8,Nutrients!$BS$9)*N$7)+(((IF($A$8=Nutrients!$B$79,Nutrients!$BS$79,(IF($A$8=Nutrients!$B$77,Nutrients!$BS$77,Nutrients!$BS$78)))))*N$8))/2000</f>
        <v>0.4600223649748173</v>
      </c>
      <c r="O254" s="235"/>
      <c r="P254" s="23">
        <f>(SUMPRODUCT(P$9:P$229,Nutrients!$BS$8:$BS$228)+(IF($A$7=Nutrients!$B$8,Nutrients!$BS$8,Nutrients!$BS$9)*P$7)+(((IF($A$8=Nutrients!$B$79,Nutrients!$BS$79,(IF($A$8=Nutrients!$B$77,Nutrients!$BS$77,Nutrients!$BS$78)))))*P$8))/2000</f>
        <v>0.69494644331109834</v>
      </c>
      <c r="Q254" s="23">
        <f>(SUMPRODUCT(Q$9:Q$229,Nutrients!$BS$8:$BS$228)+(IF($A$7=Nutrients!$B$8,Nutrients!$BS$8,Nutrients!$BS$9)*Q$7)+(((IF($A$8=Nutrients!$B$79,Nutrients!$BS$79,(IF($A$8=Nutrients!$B$77,Nutrients!$BS$77,Nutrients!$BS$78)))))*Q$8))/2000</f>
        <v>0.62702925728822478</v>
      </c>
      <c r="R254" s="23">
        <f>(SUMPRODUCT(R$9:R$229,Nutrients!$BS$8:$BS$228)+(IF($A$7=Nutrients!$B$8,Nutrients!$BS$8,Nutrients!$BS$9)*R$7)+(((IF($A$8=Nutrients!$B$79,Nutrients!$BS$79,(IF($A$8=Nutrients!$B$77,Nutrients!$BS$77,Nutrients!$BS$78)))))*R$8))/2000</f>
        <v>0.57281027862745393</v>
      </c>
      <c r="S254" s="23">
        <f>(SUMPRODUCT(S$9:S$229,Nutrients!$BS$8:$BS$228)+(IF($A$7=Nutrients!$B$8,Nutrients!$BS$8,Nutrients!$BS$9)*S$7)+(((IF($A$8=Nutrients!$B$79,Nutrients!$BS$79,(IF($A$8=Nutrients!$B$77,Nutrients!$BS$77,Nutrients!$BS$78)))))*S$8))/2000</f>
        <v>0.5205920977318963</v>
      </c>
      <c r="T254" s="23">
        <f>(SUMPRODUCT(T$9:T$229,Nutrients!$BS$8:$BS$228)+(IF($A$7=Nutrients!$B$8,Nutrients!$BS$8,Nutrients!$BS$9)*T$7)+(((IF($A$8=Nutrients!$B$79,Nutrients!$BS$79,(IF($A$8=Nutrients!$B$77,Nutrients!$BS$77,Nutrients!$BS$78)))))*T$8))/2000</f>
        <v>0.4775666186074749</v>
      </c>
      <c r="U254" s="23">
        <f>(SUMPRODUCT(U$9:U$229,Nutrients!$BS$8:$BS$228)+(IF($A$7=Nutrients!$B$8,Nutrients!$BS$8,Nutrients!$BS$9)*U$7)+(((IF($A$8=Nutrients!$B$79,Nutrients!$BS$79,(IF($A$8=Nutrients!$B$77,Nutrients!$BS$77,Nutrients!$BS$78)))))*U$8))/2000</f>
        <v>0.4600223649748173</v>
      </c>
      <c r="W254" s="23">
        <f>(SUMPRODUCT(W$9:W$229,Nutrients!$BS$8:$BS$228)+(IF($A$7=Nutrients!$B$8,Nutrients!$BS$8,Nutrients!$BS$9)*W$7)+(((IF($A$8=Nutrients!$B$79,Nutrients!$BS$79,(IF($A$8=Nutrients!$B$77,Nutrients!$BS$77,Nutrients!$BS$78)))))*W$8))/2000</f>
        <v>0.69472356241515099</v>
      </c>
      <c r="X254" s="23">
        <f>(SUMPRODUCT(X$9:X$229,Nutrients!$BS$8:$BS$228)+(IF($A$7=Nutrients!$B$8,Nutrients!$BS$8,Nutrients!$BS$9)*X$7)+(((IF($A$8=Nutrients!$B$79,Nutrients!$BS$79,(IF($A$8=Nutrients!$B$77,Nutrients!$BS$77,Nutrients!$BS$78)))))*X$8))/2000</f>
        <v>0.62691879868403333</v>
      </c>
      <c r="Y254" s="23">
        <f>(SUMPRODUCT(Y$9:Y$229,Nutrients!$BS$8:$BS$228)+(IF($A$7=Nutrients!$B$8,Nutrients!$BS$8,Nutrients!$BS$9)*Y$7)+(((IF($A$8=Nutrients!$B$79,Nutrients!$BS$79,(IF($A$8=Nutrients!$B$77,Nutrients!$BS$77,Nutrients!$BS$78)))))*Y$8))/2000</f>
        <v>0.57264618041469006</v>
      </c>
      <c r="Z254" s="23">
        <f>(SUMPRODUCT(Z$9:Z$229,Nutrients!$BS$8:$BS$228)+(IF($A$7=Nutrients!$B$8,Nutrients!$BS$8,Nutrients!$BS$9)*Z$7)+(((IF($A$8=Nutrients!$B$79,Nutrients!$BS$79,(IF($A$8=Nutrients!$B$77,Nutrients!$BS$77,Nutrients!$BS$78)))))*Z$8))/2000</f>
        <v>0.52058929495381878</v>
      </c>
      <c r="AA254" s="23">
        <f>(SUMPRODUCT(AA$9:AA$229,Nutrients!$BS$8:$BS$228)+(IF($A$7=Nutrients!$B$8,Nutrients!$BS$8,Nutrients!$BS$9)*AA$7)+(((IF($A$8=Nutrients!$B$79,Nutrients!$BS$79,(IF($A$8=Nutrients!$B$77,Nutrients!$BS$77,Nutrients!$BS$78)))))*AA$8))/2000</f>
        <v>0.47762936226575142</v>
      </c>
      <c r="AB254" s="23">
        <f>(SUMPRODUCT(AB$9:AB$229,Nutrients!$BS$8:$BS$228)+(IF($A$7=Nutrients!$B$8,Nutrients!$BS$8,Nutrients!$BS$9)*AB$7)+(((IF($A$8=Nutrients!$B$79,Nutrients!$BS$79,(IF($A$8=Nutrients!$B$77,Nutrients!$BS$77,Nutrients!$BS$78)))))*AB$8))/2000</f>
        <v>0.4600223649748173</v>
      </c>
      <c r="AD254" s="23">
        <f>(SUMPRODUCT(AD$9:AD$229,Nutrients!$BS$8:$BS$228)+(IF($A$7=Nutrients!$B$8,Nutrients!$BS$8,Nutrients!$BS$9)*AD$7)+(((IF($A$8=Nutrients!$B$79,Nutrients!$BS$79,(IF($A$8=Nutrients!$B$77,Nutrients!$BS$77,Nutrients!$BS$78)))))*AD$8))/2000</f>
        <v>0.69448726104704361</v>
      </c>
      <c r="AE254" s="23">
        <f>(SUMPRODUCT(AE$9:AE$229,Nutrients!$BS$8:$BS$228)+(IF($A$7=Nutrients!$B$8,Nutrients!$BS$8,Nutrients!$BS$9)*AE$7)+(((IF($A$8=Nutrients!$B$79,Nutrients!$BS$79,(IF($A$8=Nutrients!$B$77,Nutrients!$BS$77,Nutrients!$BS$78)))))*AE$8))/2000</f>
        <v>0.62663883934466658</v>
      </c>
      <c r="AF254" s="23">
        <f>(SUMPRODUCT(AF$9:AF$229,Nutrients!$BS$8:$BS$228)+(IF($A$7=Nutrients!$B$8,Nutrients!$BS$8,Nutrients!$BS$9)*AF$7)+(((IF($A$8=Nutrients!$B$79,Nutrients!$BS$79,(IF($A$8=Nutrients!$B$77,Nutrients!$BS$77,Nutrients!$BS$78)))))*AF$8))/2000</f>
        <v>0.572523130879944</v>
      </c>
      <c r="AG254" s="23">
        <f>(SUMPRODUCT(AG$9:AG$229,Nutrients!$BS$8:$BS$228)+(IF($A$7=Nutrients!$B$8,Nutrients!$BS$8,Nutrients!$BS$9)*AG$7)+(((IF($A$8=Nutrients!$B$79,Nutrients!$BS$79,(IF($A$8=Nutrients!$B$77,Nutrients!$BS$77,Nutrients!$BS$78)))))*AG$8))/2000</f>
        <v>0.52111006939173765</v>
      </c>
      <c r="AH254" s="23">
        <f>(SUMPRODUCT(AH$9:AH$229,Nutrients!$BS$8:$BS$228)+(IF($A$7=Nutrients!$B$8,Nutrients!$BS$8,Nutrients!$BS$9)*AH$7)+(((IF($A$8=Nutrients!$B$79,Nutrients!$BS$79,(IF($A$8=Nutrients!$B$77,Nutrients!$BS$77,Nutrients!$BS$78)))))*AH$8))/2000</f>
        <v>0.49396778209023379</v>
      </c>
      <c r="AI254" s="23">
        <f>(SUMPRODUCT(AI$9:AI$229,Nutrients!$BS$8:$BS$228)+(IF($A$7=Nutrients!$B$8,Nutrients!$BS$8,Nutrients!$BS$9)*AI$7)+(((IF($A$8=Nutrients!$B$79,Nutrients!$BS$79,(IF($A$8=Nutrients!$B$77,Nutrients!$BS$77,Nutrients!$BS$78)))))*AI$8))/2000</f>
        <v>0.4600223649748173</v>
      </c>
      <c r="AK254" s="23">
        <f>(SUMPRODUCT(AK$9:AK$229,Nutrients!$BS$8:$BS$228)+(IF($A$7=Nutrients!$B$8,Nutrients!$BS$8,Nutrients!$BS$9)*AK$7)+(((IF($A$8=Nutrients!$B$79,Nutrients!$BS$79,(IF($A$8=Nutrients!$B$77,Nutrients!$BS$77,Nutrients!$BS$78)))))*AK$8))/2000</f>
        <v>0.69429566110979846</v>
      </c>
      <c r="AL254" s="23">
        <f>(SUMPRODUCT(AL$9:AL$229,Nutrients!$BS$8:$BS$228)+(IF($A$7=Nutrients!$B$8,Nutrients!$BS$8,Nutrients!$BS$9)*AL$7)+(((IF($A$8=Nutrients!$B$79,Nutrients!$BS$79,(IF($A$8=Nutrients!$B$77,Nutrients!$BS$77,Nutrients!$BS$78)))))*AL$8))/2000</f>
        <v>0.62640768545386993</v>
      </c>
      <c r="AM254" s="23">
        <f>(SUMPRODUCT(AM$9:AM$229,Nutrients!$BS$8:$BS$228)+(IF($A$7=Nutrients!$B$8,Nutrients!$BS$8,Nutrients!$BS$9)*AM$7)+(((IF($A$8=Nutrients!$B$79,Nutrients!$BS$79,(IF($A$8=Nutrients!$B$77,Nutrients!$BS$77,Nutrients!$BS$78)))))*AM$8))/2000</f>
        <v>0.57241998565275465</v>
      </c>
      <c r="AN254" s="23">
        <f>(SUMPRODUCT(AN$9:AN$229,Nutrients!$BS$8:$BS$228)+(IF($A$7=Nutrients!$B$8,Nutrients!$BS$8,Nutrients!$BS$9)*AN$7)+(((IF($A$8=Nutrients!$B$79,Nutrients!$BS$79,(IF($A$8=Nutrients!$B$77,Nutrients!$BS$77,Nutrients!$BS$78)))))*AN$8))/2000</f>
        <v>0.53407219225656921</v>
      </c>
      <c r="AO254" s="23">
        <f>(SUMPRODUCT(AO$9:AO$229,Nutrients!$BS$8:$BS$228)+(IF($A$7=Nutrients!$B$8,Nutrients!$BS$8,Nutrients!$BS$9)*AO$7)+(((IF($A$8=Nutrients!$B$79,Nutrients!$BS$79,(IF($A$8=Nutrients!$B$77,Nutrients!$BS$77,Nutrients!$BS$78)))))*AO$8))/2000</f>
        <v>0.5157947404804325</v>
      </c>
      <c r="AP254" s="23">
        <f>(SUMPRODUCT(AP$9:AP$229,Nutrients!$BS$8:$BS$228)+(IF($A$7=Nutrients!$B$8,Nutrients!$BS$8,Nutrients!$BS$9)*AP$7)+(((IF($A$8=Nutrients!$B$79,Nutrients!$BS$79,(IF($A$8=Nutrients!$B$77,Nutrients!$BS$77,Nutrients!$BS$78)))))*AP$8))/2000</f>
        <v>0.4600223649748173</v>
      </c>
      <c r="AR254" s="23">
        <f>(SUMPRODUCT(AR$9:AR$229,Nutrients!$BS$8:$BS$228)+(IF($A$7=Nutrients!$B$8,Nutrients!$BS$8,Nutrients!$BS$9)*AR$7)+(((IF($A$8=Nutrients!$B$79,Nutrients!$BS$79,(IF($A$8=Nutrients!$B$77,Nutrients!$BS$77,Nutrients!$BS$78)))))*AR$8))/2000</f>
        <v>0.69443674473297878</v>
      </c>
      <c r="AS254" s="23">
        <f>(SUMPRODUCT(AS$9:AS$229,Nutrients!$BS$8:$BS$228)+(IF($A$7=Nutrients!$B$8,Nutrients!$BS$8,Nutrients!$BS$9)*AS$7)+(((IF($A$8=Nutrients!$B$79,Nutrients!$BS$79,(IF($A$8=Nutrients!$B$77,Nutrients!$BS$77,Nutrients!$BS$78)))))*AS$8))/2000</f>
        <v>0.62617785979488438</v>
      </c>
      <c r="AT254" s="23">
        <f>(SUMPRODUCT(AT$9:AT$229,Nutrients!$BS$8:$BS$228)+(IF($A$7=Nutrients!$B$8,Nutrients!$BS$8,Nutrients!$BS$9)*AT$7)+(((IF($A$8=Nutrients!$B$79,Nutrients!$BS$79,(IF($A$8=Nutrients!$B$77,Nutrients!$BS$77,Nutrients!$BS$78)))))*AT$8))/2000</f>
        <v>0.57290278813502837</v>
      </c>
      <c r="AU254" s="23">
        <f>(SUMPRODUCT(AU$9:AU$229,Nutrients!$BS$8:$BS$228)+(IF($A$7=Nutrients!$B$8,Nutrients!$BS$8,Nutrients!$BS$9)*AU$7)+(((IF($A$8=Nutrients!$B$79,Nutrients!$BS$79,(IF($A$8=Nutrients!$B$77,Nutrients!$BS$77,Nutrients!$BS$78)))))*AU$8))/2000</f>
        <v>0.556061515849402</v>
      </c>
      <c r="AV254" s="23">
        <f>(SUMPRODUCT(AV$9:AV$229,Nutrients!$BS$8:$BS$228)+(IF($A$7=Nutrients!$B$8,Nutrients!$BS$8,Nutrients!$BS$9)*AV$7)+(((IF($A$8=Nutrients!$B$79,Nutrients!$BS$79,(IF($A$8=Nutrients!$B$77,Nutrients!$BS$77,Nutrients!$BS$78)))))*AV$8))/2000</f>
        <v>0.53762407161563042</v>
      </c>
      <c r="AW254" s="23">
        <f>(SUMPRODUCT(AW$9:AW$229,Nutrients!$BS$8:$BS$228)+(IF($A$7=Nutrients!$B$8,Nutrients!$BS$8,Nutrients!$BS$9)*AW$7)+(((IF($A$8=Nutrients!$B$79,Nutrients!$BS$79,(IF($A$8=Nutrients!$B$77,Nutrients!$BS$77,Nutrients!$BS$78)))))*AW$8))/2000</f>
        <v>0.4600223649748173</v>
      </c>
    </row>
    <row r="255" spans="1:64" x14ac:dyDescent="0.25">
      <c r="A255" s="41" t="s">
        <v>145</v>
      </c>
      <c r="B255" s="23">
        <f>(SUMPRODUCT(B$9:B$229,Nutrients!$BX$8:$BX$228)+(IF($A$7=Nutrients!$B$8,Nutrients!$BX$8,Nutrients!$BX$9)*B$7)+(((IF($A$8=Nutrients!$B$79,Nutrients!$BX$79,(IF($A$8=Nutrients!$B$77,Nutrients!$BX$77,Nutrients!$BX$78)))))*B$8))/2000</f>
        <v>0.52698829927184954</v>
      </c>
      <c r="C255" s="23">
        <f>(SUMPRODUCT(C$9:C$229,Nutrients!$BX$8:$BX$228)+(IF($A$7=Nutrients!$B$8,Nutrients!$BX$8,Nutrients!$BX$9)*C$7)+(((IF($A$8=Nutrients!$B$79,Nutrients!$BX$79,(IF($A$8=Nutrients!$B$77,Nutrients!$BX$77,Nutrients!$BX$78)))))*C$8))/2000</f>
        <v>0.47554766489495992</v>
      </c>
      <c r="D255" s="23">
        <f>(SUMPRODUCT(D$9:D$229,Nutrients!$BX$8:$BX$228)+(IF($A$7=Nutrients!$B$8,Nutrients!$BX$8,Nutrients!$BX$9)*D$7)+(((IF($A$8=Nutrients!$B$79,Nutrients!$BX$79,(IF($A$8=Nutrients!$B$77,Nutrients!$BX$77,Nutrients!$BX$78)))))*D$8))/2000</f>
        <v>0.42608857846774251</v>
      </c>
      <c r="E255" s="23">
        <f>(SUMPRODUCT(E$9:E$229,Nutrients!$BX$8:$BX$228)+(IF($A$7=Nutrients!$B$8,Nutrients!$BX$8,Nutrients!$BX$9)*E$7)+(((IF($A$8=Nutrients!$B$79,Nutrients!$BX$79,(IF($A$8=Nutrients!$B$77,Nutrients!$BX$77,Nutrients!$BX$78)))))*E$8))/2000</f>
        <v>0.38726313311804977</v>
      </c>
      <c r="F255" s="23">
        <f>(SUMPRODUCT(F$9:F$229,Nutrients!$BX$8:$BX$228)+(IF($A$7=Nutrients!$B$8,Nutrients!$BX$8,Nutrients!$BX$9)*F$7)+(((IF($A$8=Nutrients!$B$79,Nutrients!$BX$79,(IF($A$8=Nutrients!$B$77,Nutrients!$BX$77,Nutrients!$BX$78)))))*F$8))/2000</f>
        <v>0.35891430613336472</v>
      </c>
      <c r="G255" s="23">
        <f>(SUMPRODUCT(G$9:G$229,Nutrients!$BX$8:$BX$228)+(IF($A$7=Nutrients!$B$8,Nutrients!$BX$8,Nutrients!$BX$9)*G$7)+(((IF($A$8=Nutrients!$B$79,Nutrients!$BX$79,(IF($A$8=Nutrients!$B$77,Nutrients!$BX$77,Nutrients!$BX$78)))))*G$8))/2000</f>
        <v>0.34524547811925704</v>
      </c>
      <c r="H255" s="227"/>
      <c r="I255" s="23">
        <f>(SUMPRODUCT(I$9:I$229,Nutrients!$BX$8:$BX$228)+(IF($A$7=Nutrients!$B$8,Nutrients!$BX$8,Nutrients!$BX$9)*I$7)+(((IF($A$8=Nutrients!$B$79,Nutrients!$BX$79,(IF($A$8=Nutrients!$B$77,Nutrients!$BX$77,Nutrients!$BX$78)))))*I$8))/2000</f>
        <v>0.52592001619434159</v>
      </c>
      <c r="J255" s="23">
        <f>(SUMPRODUCT(J$9:J$229,Nutrients!$BX$8:$BX$228)+(IF($A$7=Nutrients!$B$8,Nutrients!$BX$8,Nutrients!$BX$9)*J$7)+(((IF($A$8=Nutrients!$B$79,Nutrients!$BX$79,(IF($A$8=Nutrients!$B$77,Nutrients!$BX$77,Nutrients!$BX$78)))))*J$8))/2000</f>
        <v>0.47568073071712891</v>
      </c>
      <c r="K255" s="23">
        <f>(SUMPRODUCT(K$9:K$229,Nutrients!$BX$8:$BX$228)+(IF($A$7=Nutrients!$B$8,Nutrients!$BX$8,Nutrients!$BX$9)*K$7)+(((IF($A$8=Nutrients!$B$79,Nutrients!$BX$79,(IF($A$8=Nutrients!$B$77,Nutrients!$BX$77,Nutrients!$BX$78)))))*K$8))/2000</f>
        <v>0.42509929052569745</v>
      </c>
      <c r="L255" s="23">
        <f>(SUMPRODUCT(L$9:L$229,Nutrients!$BX$8:$BX$228)+(IF($A$7=Nutrients!$B$8,Nutrients!$BX$8,Nutrients!$BX$9)*L$7)+(((IF($A$8=Nutrients!$B$79,Nutrients!$BX$79,(IF($A$8=Nutrients!$B$77,Nutrients!$BX$77,Nutrients!$BX$78)))))*L$8))/2000</f>
        <v>0.38707961080132319</v>
      </c>
      <c r="M255" s="23">
        <f>(SUMPRODUCT(M$9:M$229,Nutrients!$BX$8:$BX$228)+(IF($A$7=Nutrients!$B$8,Nutrients!$BX$8,Nutrients!$BX$9)*M$7)+(((IF($A$8=Nutrients!$B$79,Nutrients!$BX$79,(IF($A$8=Nutrients!$B$77,Nutrients!$BX$77,Nutrients!$BX$78)))))*M$8))/2000</f>
        <v>0.35872619262130212</v>
      </c>
      <c r="N255" s="23">
        <f>(SUMPRODUCT(N$9:N$229,Nutrients!$BX$8:$BX$228)+(IF($A$7=Nutrients!$B$8,Nutrients!$BX$8,Nutrients!$BX$9)*N$7)+(((IF($A$8=Nutrients!$B$79,Nutrients!$BX$79,(IF($A$8=Nutrients!$B$77,Nutrients!$BX$77,Nutrients!$BX$78)))))*N$8))/2000</f>
        <v>0.34524547811925704</v>
      </c>
      <c r="O255" s="198"/>
      <c r="P255" s="23">
        <f>(SUMPRODUCT(P$9:P$229,Nutrients!$BX$8:$BX$228)+(IF($A$7=Nutrients!$B$8,Nutrients!$BX$8,Nutrients!$BX$9)*P$7)+(((IF($A$8=Nutrients!$B$79,Nutrients!$BX$79,(IF($A$8=Nutrients!$B$77,Nutrients!$BX$77,Nutrients!$BX$78)))))*P$8))/2000</f>
        <v>0.52545543398911643</v>
      </c>
      <c r="Q255" s="23">
        <f>(SUMPRODUCT(Q$9:Q$229,Nutrients!$BX$8:$BX$228)+(IF($A$7=Nutrients!$B$8,Nutrients!$BX$8,Nutrients!$BX$9)*Q$7)+(((IF($A$8=Nutrients!$B$79,Nutrients!$BX$79,(IF($A$8=Nutrients!$B$77,Nutrients!$BX$77,Nutrients!$BX$78)))))*Q$8))/2000</f>
        <v>0.4753632508708438</v>
      </c>
      <c r="R255" s="23">
        <f>(SUMPRODUCT(R$9:R$229,Nutrients!$BX$8:$BX$228)+(IF($A$7=Nutrients!$B$8,Nutrients!$BX$8,Nutrients!$BX$9)*R$7)+(((IF($A$8=Nutrients!$B$79,Nutrients!$BX$79,(IF($A$8=Nutrients!$B$77,Nutrients!$BX$77,Nutrients!$BX$78)))))*R$8))/2000</f>
        <v>0.42495664830724666</v>
      </c>
      <c r="S255" s="23">
        <f>(SUMPRODUCT(S$9:S$229,Nutrients!$BX$8:$BX$228)+(IF($A$7=Nutrients!$B$8,Nutrients!$BX$8,Nutrients!$BX$9)*S$7)+(((IF($A$8=Nutrients!$B$79,Nutrients!$BX$79,(IF($A$8=Nutrients!$B$77,Nutrients!$BX$77,Nutrients!$BX$78)))))*S$8))/2000</f>
        <v>0.38685096155511967</v>
      </c>
      <c r="T255" s="23">
        <f>(SUMPRODUCT(T$9:T$229,Nutrients!$BX$8:$BX$228)+(IF($A$7=Nutrients!$B$8,Nutrients!$BX$8,Nutrients!$BX$9)*T$7)+(((IF($A$8=Nutrients!$B$79,Nutrients!$BX$79,(IF($A$8=Nutrients!$B$77,Nutrients!$BX$77,Nutrients!$BX$78)))))*T$8))/2000</f>
        <v>0.35863667884217348</v>
      </c>
      <c r="U255" s="23">
        <f>(SUMPRODUCT(U$9:U$229,Nutrients!$BX$8:$BX$228)+(IF($A$7=Nutrients!$B$8,Nutrients!$BX$8,Nutrients!$BX$9)*U$7)+(((IF($A$8=Nutrients!$B$79,Nutrients!$BX$79,(IF($A$8=Nutrients!$B$77,Nutrients!$BX$77,Nutrients!$BX$78)))))*U$8))/2000</f>
        <v>0.34524547811925704</v>
      </c>
      <c r="W255" s="23">
        <f>(SUMPRODUCT(W$9:W$229,Nutrients!$BX$8:$BX$228)+(IF($A$7=Nutrients!$B$8,Nutrients!$BX$8,Nutrients!$BX$9)*W$7)+(((IF($A$8=Nutrients!$B$79,Nutrients!$BX$79,(IF($A$8=Nutrients!$B$77,Nutrients!$BX$77,Nutrients!$BX$78)))))*W$8))/2000</f>
        <v>0.52498497834799607</v>
      </c>
      <c r="X255" s="23">
        <f>(SUMPRODUCT(X$9:X$229,Nutrients!$BX$8:$BX$228)+(IF($A$7=Nutrients!$B$8,Nutrients!$BX$8,Nutrients!$BX$9)*X$7)+(((IF($A$8=Nutrients!$B$79,Nutrients!$BX$79,(IF($A$8=Nutrients!$B$77,Nutrients!$BX$77,Nutrients!$BX$78)))))*X$8))/2000</f>
        <v>0.47505053989325485</v>
      </c>
      <c r="Y255" s="23">
        <f>(SUMPRODUCT(Y$9:Y$229,Nutrients!$BX$8:$BX$228)+(IF($A$7=Nutrients!$B$8,Nutrients!$BX$8,Nutrients!$BX$9)*Y$7)+(((IF($A$8=Nutrients!$B$79,Nutrients!$BX$79,(IF($A$8=Nutrients!$B$77,Nutrients!$BX$77,Nutrients!$BX$78)))))*Y$8))/2000</f>
        <v>0.42455698936338937</v>
      </c>
      <c r="Z255" s="23">
        <f>(SUMPRODUCT(Z$9:Z$229,Nutrients!$BX$8:$BX$228)+(IF($A$7=Nutrients!$B$8,Nutrients!$BX$8,Nutrients!$BX$9)*Z$7)+(((IF($A$8=Nutrients!$B$79,Nutrients!$BX$79,(IF($A$8=Nutrients!$B$77,Nutrients!$BX$77,Nutrients!$BX$78)))))*Z$8))/2000</f>
        <v>0.38667437687726525</v>
      </c>
      <c r="AA255" s="23">
        <f>(SUMPRODUCT(AA$9:AA$229,Nutrients!$BX$8:$BX$228)+(IF($A$7=Nutrients!$B$8,Nutrients!$BX$8,Nutrients!$BX$9)*AA$7)+(((IF($A$8=Nutrients!$B$79,Nutrients!$BX$79,(IF($A$8=Nutrients!$B$77,Nutrients!$BX$77,Nutrients!$BX$78)))))*AA$8))/2000</f>
        <v>0.35852637124934916</v>
      </c>
      <c r="AB255" s="23">
        <f>(SUMPRODUCT(AB$9:AB$229,Nutrients!$BX$8:$BX$228)+(IF($A$7=Nutrients!$B$8,Nutrients!$BX$8,Nutrients!$BX$9)*AB$7)+(((IF($A$8=Nutrients!$B$79,Nutrients!$BX$79,(IF($A$8=Nutrients!$B$77,Nutrients!$BX$77,Nutrients!$BX$78)))))*AB$8))/2000</f>
        <v>0.34524547811925704</v>
      </c>
      <c r="AD255" s="23">
        <f>(SUMPRODUCT(AD$9:AD$229,Nutrients!$BX$8:$BX$228)+(IF($A$7=Nutrients!$B$8,Nutrients!$BX$8,Nutrients!$BX$9)*AD$7)+(((IF($A$8=Nutrients!$B$79,Nutrients!$BX$79,(IF($A$8=Nutrients!$B$77,Nutrients!$BX$77,Nutrients!$BX$78)))))*AD$8))/2000</f>
        <v>0.52448662089407505</v>
      </c>
      <c r="AE255" s="23">
        <f>(SUMPRODUCT(AE$9:AE$229,Nutrients!$BX$8:$BX$228)+(IF($A$7=Nutrients!$B$8,Nutrients!$BX$8,Nutrients!$BX$9)*AE$7)+(((IF($A$8=Nutrients!$B$79,Nutrients!$BX$79,(IF($A$8=Nutrients!$B$77,Nutrients!$BX$77,Nutrients!$BX$78)))))*AE$8))/2000</f>
        <v>0.4744844471557928</v>
      </c>
      <c r="AF255" s="23">
        <f>(SUMPRODUCT(AF$9:AF$229,Nutrients!$BX$8:$BX$228)+(IF($A$7=Nutrients!$B$8,Nutrients!$BX$8,Nutrients!$BX$9)*AF$7)+(((IF($A$8=Nutrients!$B$79,Nutrients!$BX$79,(IF($A$8=Nutrients!$B$77,Nutrients!$BX$77,Nutrients!$BX$78)))))*AF$8))/2000</f>
        <v>0.42420469810327399</v>
      </c>
      <c r="AG255" s="23">
        <f>(SUMPRODUCT(AG$9:AG$229,Nutrients!$BX$8:$BX$228)+(IF($A$7=Nutrients!$B$8,Nutrients!$BX$8,Nutrients!$BX$9)*AG$7)+(((IF($A$8=Nutrients!$B$79,Nutrients!$BX$79,(IF($A$8=Nutrients!$B$77,Nutrients!$BX$77,Nutrients!$BX$78)))))*AG$8))/2000</f>
        <v>0.38646047975564268</v>
      </c>
      <c r="AH255" s="23">
        <f>(SUMPRODUCT(AH$9:AH$229,Nutrients!$BX$8:$BX$228)+(IF($A$7=Nutrients!$B$8,Nutrients!$BX$8,Nutrients!$BX$9)*AH$7)+(((IF($A$8=Nutrients!$B$79,Nutrients!$BX$79,(IF($A$8=Nutrients!$B$77,Nutrients!$BX$77,Nutrients!$BX$78)))))*AH$8))/2000</f>
        <v>0.36838408966702907</v>
      </c>
      <c r="AI255" s="23">
        <f>(SUMPRODUCT(AI$9:AI$229,Nutrients!$BX$8:$BX$228)+(IF($A$7=Nutrients!$B$8,Nutrients!$BX$8,Nutrients!$BX$9)*AI$7)+(((IF($A$8=Nutrients!$B$79,Nutrients!$BX$79,(IF($A$8=Nutrients!$B$77,Nutrients!$BX$77,Nutrients!$BX$78)))))*AI$8))/2000</f>
        <v>0.34524547811925704</v>
      </c>
      <c r="AK255" s="23">
        <f>(SUMPRODUCT(AK$9:AK$229,Nutrients!$BX$8:$BX$228)+(IF($A$7=Nutrients!$B$8,Nutrients!$BX$8,Nutrients!$BX$9)*AK$7)+(((IF($A$8=Nutrients!$B$79,Nutrients!$BX$79,(IF($A$8=Nutrients!$B$77,Nutrients!$BX$77,Nutrients!$BX$78)))))*AK$8))/2000</f>
        <v>0.52405041913459449</v>
      </c>
      <c r="AL255" s="23">
        <f>(SUMPRODUCT(AL$9:AL$229,Nutrients!$BX$8:$BX$228)+(IF($A$7=Nutrients!$B$8,Nutrients!$BX$8,Nutrients!$BX$9)*AL$7)+(((IF($A$8=Nutrients!$B$79,Nutrients!$BX$79,(IF($A$8=Nutrients!$B$77,Nutrients!$BX$77,Nutrients!$BX$78)))))*AL$8))/2000</f>
        <v>0.47399682700324586</v>
      </c>
      <c r="AM255" s="23">
        <f>(SUMPRODUCT(AM$9:AM$229,Nutrients!$BX$8:$BX$228)+(IF($A$7=Nutrients!$B$8,Nutrients!$BX$8,Nutrients!$BX$9)*AM$7)+(((IF($A$8=Nutrients!$B$79,Nutrients!$BX$79,(IF($A$8=Nutrients!$B$77,Nutrients!$BX$77,Nutrients!$BX$78)))))*AM$8))/2000</f>
        <v>0.42386891818988232</v>
      </c>
      <c r="AN255" s="23">
        <f>(SUMPRODUCT(AN$9:AN$229,Nutrients!$BX$8:$BX$228)+(IF($A$7=Nutrients!$B$8,Nutrients!$BX$8,Nutrients!$BX$9)*AN$7)+(((IF($A$8=Nutrients!$B$79,Nutrients!$BX$79,(IF($A$8=Nutrients!$B$77,Nutrients!$BX$77,Nutrients!$BX$78)))))*AN$8))/2000</f>
        <v>0.39426849496236854</v>
      </c>
      <c r="AO255" s="23">
        <f>(SUMPRODUCT(AO$9:AO$229,Nutrients!$BX$8:$BX$228)+(IF($A$7=Nutrients!$B$8,Nutrients!$BX$8,Nutrients!$BX$9)*AO$7)+(((IF($A$8=Nutrients!$B$79,Nutrients!$BX$79,(IF($A$8=Nutrients!$B$77,Nutrients!$BX$77,Nutrients!$BX$78)))))*AO$8))/2000</f>
        <v>0.38191970380774087</v>
      </c>
      <c r="AP255" s="23">
        <f>(SUMPRODUCT(AP$9:AP$229,Nutrients!$BX$8:$BX$228)+(IF($A$7=Nutrients!$B$8,Nutrients!$BX$8,Nutrients!$BX$9)*AP$7)+(((IF($A$8=Nutrients!$B$79,Nutrients!$BX$79,(IF($A$8=Nutrients!$B$77,Nutrients!$BX$77,Nutrients!$BX$78)))))*AP$8))/2000</f>
        <v>0.34524547811925704</v>
      </c>
      <c r="AR255" s="23">
        <f>(SUMPRODUCT(AR$9:AR$229,Nutrients!$BX$8:$BX$228)+(IF($A$7=Nutrients!$B$8,Nutrients!$BX$8,Nutrients!$BX$9)*AR$7)+(((IF($A$8=Nutrients!$B$79,Nutrients!$BX$79,(IF($A$8=Nutrients!$B$77,Nutrients!$BX$77,Nutrients!$BX$78)))))*AR$8))/2000</f>
        <v>0.52410040262048674</v>
      </c>
      <c r="AS255" s="23">
        <f>(SUMPRODUCT(AS$9:AS$229,Nutrients!$BX$8:$BX$228)+(IF($A$7=Nutrients!$B$8,Nutrients!$BX$8,Nutrients!$BX$9)*AS$7)+(((IF($A$8=Nutrients!$B$79,Nutrients!$BX$79,(IF($A$8=Nutrients!$B$77,Nutrients!$BX$77,Nutrients!$BX$78)))))*AS$8))/2000</f>
        <v>0.47349184782084758</v>
      </c>
      <c r="AT255" s="23">
        <f>(SUMPRODUCT(AT$9:AT$229,Nutrients!$BX$8:$BX$228)+(IF($A$7=Nutrients!$B$8,Nutrients!$BX$8,Nutrients!$BX$9)*AT$7)+(((IF($A$8=Nutrients!$B$79,Nutrients!$BX$79,(IF($A$8=Nutrients!$B$77,Nutrients!$BX$77,Nutrients!$BX$78)))))*AT$8))/2000</f>
        <v>0.42356305199284355</v>
      </c>
      <c r="AU255" s="23">
        <f>(SUMPRODUCT(AU$9:AU$229,Nutrients!$BX$8:$BX$228)+(IF($A$7=Nutrients!$B$8,Nutrients!$BX$8,Nutrients!$BX$9)*AU$7)+(((IF($A$8=Nutrients!$B$79,Nutrients!$BX$79,(IF($A$8=Nutrients!$B$77,Nutrients!$BX$77,Nutrients!$BX$78)))))*AU$8))/2000</f>
        <v>0.40772105633001354</v>
      </c>
      <c r="AV255" s="23">
        <f>(SUMPRODUCT(AV$9:AV$229,Nutrients!$BX$8:$BX$228)+(IF($A$7=Nutrients!$B$8,Nutrients!$BX$8,Nutrients!$BX$9)*AV$7)+(((IF($A$8=Nutrients!$B$79,Nutrients!$BX$79,(IF($A$8=Nutrients!$B$77,Nutrients!$BX$77,Nutrients!$BX$78)))))*AV$8))/2000</f>
        <v>0.39545655154131149</v>
      </c>
      <c r="AW255" s="23">
        <f>(SUMPRODUCT(AW$9:AW$229,Nutrients!$BX$8:$BX$228)+(IF($A$7=Nutrients!$B$8,Nutrients!$BX$8,Nutrients!$BX$9)*AW$7)+(((IF($A$8=Nutrients!$B$79,Nutrients!$BX$79,(IF($A$8=Nutrients!$B$77,Nutrients!$BX$77,Nutrients!$BX$78)))))*AW$8))/2000</f>
        <v>0.34524547811925704</v>
      </c>
    </row>
    <row r="256" spans="1:64" x14ac:dyDescent="0.25">
      <c r="A256" s="48" t="s">
        <v>156</v>
      </c>
      <c r="B256" s="23">
        <f>(SUMPRODUCT(B$9:B$229,Nutrients!$EB$8:$EB$228)+(IF($A$7=Nutrients!$B$8,Nutrients!$EB$8,Nutrients!$EB$9)*B$7)+(((IF($A$8=Nutrients!$B$79,Nutrients!$EB$79,(IF($A$8=Nutrients!$B$77,Nutrients!$EB$77,Nutrients!$EB$78)))))*B$8))/2000</f>
        <v>0.22446494345276957</v>
      </c>
      <c r="C256" s="23">
        <f>(SUMPRODUCT(C$9:C$229,Nutrients!$EB$8:$EB$228)+(IF($A$7=Nutrients!$B$8,Nutrients!$EB$8,Nutrients!$EB$9)*C$7)+(((IF($A$8=Nutrients!$B$79,Nutrients!$EB$79,(IF($A$8=Nutrients!$B$77,Nutrients!$EB$77,Nutrients!$EB$78)))))*C$8))/2000</f>
        <v>0.18518517069501755</v>
      </c>
      <c r="D256" s="23">
        <f>(SUMPRODUCT(D$9:D$229,Nutrients!$EB$8:$EB$228)+(IF($A$7=Nutrients!$B$8,Nutrients!$EB$8,Nutrients!$EB$9)*D$7)+(((IF($A$8=Nutrients!$B$79,Nutrients!$EB$79,(IF($A$8=Nutrients!$B$77,Nutrients!$EB$77,Nutrients!$EB$78)))))*D$8))/2000</f>
        <v>0.14586079396089491</v>
      </c>
      <c r="E256" s="23">
        <f>(SUMPRODUCT(E$9:E$229,Nutrients!$EB$8:$EB$228)+(IF($A$7=Nutrients!$B$8,Nutrients!$EB$8,Nutrients!$EB$9)*E$7)+(((IF($A$8=Nutrients!$B$79,Nutrients!$EB$79,(IF($A$8=Nutrients!$B$77,Nutrients!$EB$77,Nutrients!$EB$78)))))*E$8))/2000</f>
        <v>0.11735401640373964</v>
      </c>
      <c r="F256" s="23">
        <f>(SUMPRODUCT(F$9:F$229,Nutrients!$EB$8:$EB$228)+(IF($A$7=Nutrients!$B$8,Nutrients!$EB$8,Nutrients!$EB$9)*F$7)+(((IF($A$8=Nutrients!$B$79,Nutrients!$EB$79,(IF($A$8=Nutrients!$B$77,Nutrients!$EB$77,Nutrients!$EB$78)))))*F$8))/2000</f>
        <v>9.7828165821017068E-2</v>
      </c>
      <c r="G256" s="23">
        <f>(SUMPRODUCT(G$9:G$229,Nutrients!$EB$8:$EB$228)+(IF($A$7=Nutrients!$B$8,Nutrients!$EB$8,Nutrients!$EB$9)*G$7)+(((IF($A$8=Nutrients!$B$79,Nutrients!$EB$79,(IF($A$8=Nutrients!$B$77,Nutrients!$EB$77,Nutrients!$EB$78)))))*G$8))/2000</f>
        <v>8.9123540247531982E-2</v>
      </c>
      <c r="H256" s="227"/>
      <c r="I256" s="23">
        <f>(SUMPRODUCT(I$9:I$229,Nutrients!$EB$8:$EB$228)+(IF($A$7=Nutrients!$B$8,Nutrients!$EB$8,Nutrients!$EB$9)*I$7)+(((IF($A$8=Nutrients!$B$79,Nutrients!$EB$79,(IF($A$8=Nutrients!$B$77,Nutrients!$EB$77,Nutrients!$EB$78)))))*I$8))/2000</f>
        <v>0.20617646914007706</v>
      </c>
      <c r="J256" s="23">
        <f>(SUMPRODUCT(J$9:J$229,Nutrients!$EB$8:$EB$228)+(IF($A$7=Nutrients!$B$8,Nutrients!$EB$8,Nutrients!$EB$9)*J$7)+(((IF($A$8=Nutrients!$B$79,Nutrients!$EB$79,(IF($A$8=Nutrients!$B$77,Nutrients!$EB$77,Nutrients!$EB$78)))))*J$8))/2000</f>
        <v>0.16792097700514308</v>
      </c>
      <c r="K256" s="23">
        <f>(SUMPRODUCT(K$9:K$229,Nutrients!$EB$8:$EB$228)+(IF($A$7=Nutrients!$B$8,Nutrients!$EB$8,Nutrients!$EB$9)*K$7)+(((IF($A$8=Nutrients!$B$79,Nutrients!$EB$79,(IF($A$8=Nutrients!$B$77,Nutrients!$EB$77,Nutrients!$EB$78)))))*K$8))/2000</f>
        <v>0.12731516617806651</v>
      </c>
      <c r="L256" s="23">
        <f>(SUMPRODUCT(L$9:L$229,Nutrients!$EB$8:$EB$228)+(IF($A$7=Nutrients!$B$8,Nutrients!$EB$8,Nutrients!$EB$9)*L$7)+(((IF($A$8=Nutrients!$B$79,Nutrients!$EB$79,(IF($A$8=Nutrients!$B$77,Nutrients!$EB$77,Nutrients!$EB$78)))))*L$8))/2000</f>
        <v>9.9510955463701603E-2</v>
      </c>
      <c r="M256" s="23">
        <f>(SUMPRODUCT(M$9:M$229,Nutrients!$EB$8:$EB$228)+(IF($A$7=Nutrients!$B$8,Nutrients!$EB$8,Nutrients!$EB$9)*M$7)+(((IF($A$8=Nutrients!$B$79,Nutrients!$EB$79,(IF($A$8=Nutrients!$B$77,Nutrients!$EB$77,Nutrients!$EB$78)))))*M$8))/2000</f>
        <v>7.9982824766641522E-2</v>
      </c>
      <c r="N256" s="23">
        <f>(SUMPRODUCT(N$9:N$229,Nutrients!$EB$8:$EB$228)+(IF($A$7=Nutrients!$B$8,Nutrients!$EB$8,Nutrients!$EB$9)*N$7)+(((IF($A$8=Nutrients!$B$79,Nutrients!$EB$79,(IF($A$8=Nutrients!$B$77,Nutrients!$EB$77,Nutrients!$EB$78)))))*N$8))/2000</f>
        <v>8.9123540247531982E-2</v>
      </c>
      <c r="O256" s="198"/>
      <c r="P256" s="23">
        <f>(SUMPRODUCT(P$9:P$229,Nutrients!$EB$8:$EB$228)+(IF($A$7=Nutrients!$B$8,Nutrients!$EB$8,Nutrients!$EB$9)*P$7)+(((IF($A$8=Nutrients!$B$79,Nutrients!$EB$79,(IF($A$8=Nutrients!$B$77,Nutrients!$EB$77,Nutrients!$EB$78)))))*P$8))/2000</f>
        <v>0.18825273551548186</v>
      </c>
      <c r="Q256" s="23">
        <f>(SUMPRODUCT(Q$9:Q$229,Nutrients!$EB$8:$EB$228)+(IF($A$7=Nutrients!$B$8,Nutrients!$EB$8,Nutrients!$EB$9)*Q$7)+(((IF($A$8=Nutrients!$B$79,Nutrients!$EB$79,(IF($A$8=Nutrients!$B$77,Nutrients!$EB$77,Nutrients!$EB$78)))))*Q$8))/2000</f>
        <v>0.15004117724316487</v>
      </c>
      <c r="R256" s="23">
        <f>(SUMPRODUCT(R$9:R$229,Nutrients!$EB$8:$EB$228)+(IF($A$7=Nutrients!$B$8,Nutrients!$EB$8,Nutrients!$EB$9)*R$7)+(((IF($A$8=Nutrients!$B$79,Nutrients!$EB$79,(IF($A$8=Nutrients!$B$77,Nutrients!$EB$77,Nutrients!$EB$78)))))*R$8))/2000</f>
        <v>0.10948440764037279</v>
      </c>
      <c r="S256" s="23">
        <f>(SUMPRODUCT(S$9:S$229,Nutrients!$EB$8:$EB$228)+(IF($A$7=Nutrients!$B$8,Nutrients!$EB$8,Nutrients!$EB$9)*S$7)+(((IF($A$8=Nutrients!$B$79,Nutrients!$EB$79,(IF($A$8=Nutrients!$B$77,Nutrients!$EB$77,Nutrients!$EB$78)))))*S$8))/2000</f>
        <v>8.1656822788585201E-2</v>
      </c>
      <c r="T256" s="23">
        <f>(SUMPRODUCT(T$9:T$229,Nutrients!$EB$8:$EB$228)+(IF($A$7=Nutrients!$B$8,Nutrients!$EB$8,Nutrients!$EB$9)*T$7)+(((IF($A$8=Nutrients!$B$79,Nutrients!$EB$79,(IF($A$8=Nutrients!$B$77,Nutrients!$EB$77,Nutrients!$EB$78)))))*T$8))/2000</f>
        <v>6.2168362125141735E-2</v>
      </c>
      <c r="U256" s="23">
        <f>(SUMPRODUCT(U$9:U$229,Nutrients!$EB$8:$EB$228)+(IF($A$7=Nutrients!$B$8,Nutrients!$EB$8,Nutrients!$EB$9)*U$7)+(((IF($A$8=Nutrients!$B$79,Nutrients!$EB$79,(IF($A$8=Nutrients!$B$77,Nutrients!$EB$77,Nutrients!$EB$78)))))*U$8))/2000</f>
        <v>8.9123540247531982E-2</v>
      </c>
      <c r="W256" s="23">
        <f>(SUMPRODUCT(W$9:W$229,Nutrients!$EB$8:$EB$228)+(IF($A$7=Nutrients!$B$8,Nutrients!$EB$8,Nutrients!$EB$9)*W$7)+(((IF($A$8=Nutrients!$B$79,Nutrients!$EB$79,(IF($A$8=Nutrients!$B$77,Nutrients!$EB$77,Nutrients!$EB$78)))))*W$8))/2000</f>
        <v>0.17032828032215069</v>
      </c>
      <c r="X256" s="23">
        <f>(SUMPRODUCT(X$9:X$229,Nutrients!$EB$8:$EB$228)+(IF($A$7=Nutrients!$B$8,Nutrients!$EB$8,Nutrients!$EB$9)*X$7)+(((IF($A$8=Nutrients!$B$79,Nutrients!$EB$79,(IF($A$8=Nutrients!$B$77,Nutrients!$EB$77,Nutrients!$EB$78)))))*X$8))/2000</f>
        <v>0.13216207706076222</v>
      </c>
      <c r="Y256" s="23">
        <f>(SUMPRODUCT(Y$9:Y$229,Nutrients!$EB$8:$EB$228)+(IF($A$7=Nutrients!$B$8,Nutrients!$EB$8,Nutrients!$EB$9)*Y$7)+(((IF($A$8=Nutrients!$B$79,Nutrients!$EB$79,(IF($A$8=Nutrients!$B$77,Nutrients!$EB$77,Nutrients!$EB$78)))))*Y$8))/2000</f>
        <v>9.1582240204201942E-2</v>
      </c>
      <c r="Z256" s="23">
        <f>(SUMPRODUCT(Z$9:Z$229,Nutrients!$EB$8:$EB$228)+(IF($A$7=Nutrients!$B$8,Nutrients!$EB$8,Nutrients!$EB$9)*Z$7)+(((IF($A$8=Nutrients!$B$79,Nutrients!$EB$79,(IF($A$8=Nutrients!$B$77,Nutrients!$EB$77,Nutrients!$EB$78)))))*Z$8))/2000</f>
        <v>6.3819330909430247E-2</v>
      </c>
      <c r="AA256" s="23">
        <f>(SUMPRODUCT(AA$9:AA$229,Nutrients!$EB$8:$EB$228)+(IF($A$7=Nutrients!$B$8,Nutrients!$EB$8,Nutrients!$EB$9)*AA$7)+(((IF($A$8=Nutrients!$B$79,Nutrients!$EB$79,(IF($A$8=Nutrients!$B$77,Nutrients!$EB$77,Nutrients!$EB$78)))))*AA$8))/2000</f>
        <v>4.4354175383965265E-2</v>
      </c>
      <c r="AB256" s="23">
        <f>(SUMPRODUCT(AB$9:AB$229,Nutrients!$EB$8:$EB$228)+(IF($A$7=Nutrients!$B$8,Nutrients!$EB$8,Nutrients!$EB$9)*AB$7)+(((IF($A$8=Nutrients!$B$79,Nutrients!$EB$79,(IF($A$8=Nutrients!$B$77,Nutrients!$EB$77,Nutrients!$EB$78)))))*AB$8))/2000</f>
        <v>8.9123540247531982E-2</v>
      </c>
      <c r="AD256" s="23">
        <f>(SUMPRODUCT(AD$9:AD$229,Nutrients!$EB$8:$EB$228)+(IF($A$7=Nutrients!$B$8,Nutrients!$EB$8,Nutrients!$EB$9)*AD$7)+(((IF($A$8=Nutrients!$B$79,Nutrients!$EB$79,(IF($A$8=Nutrients!$B$77,Nutrients!$EB$77,Nutrients!$EB$78)))))*AD$8))/2000</f>
        <v>0.15239730282464051</v>
      </c>
      <c r="AE256" s="23">
        <f>(SUMPRODUCT(AE$9:AE$229,Nutrients!$EB$8:$EB$228)+(IF($A$7=Nutrients!$B$8,Nutrients!$EB$8,Nutrients!$EB$9)*AE$7)+(((IF($A$8=Nutrients!$B$79,Nutrients!$EB$79,(IF($A$8=Nutrients!$B$77,Nutrients!$EB$77,Nutrients!$EB$78)))))*AE$8))/2000</f>
        <v>0.11421269528497896</v>
      </c>
      <c r="AF256" s="23">
        <f>(SUMPRODUCT(AF$9:AF$229,Nutrients!$EB$8:$EB$228)+(IF($A$7=Nutrients!$B$8,Nutrients!$EB$8,Nutrients!$EB$9)*AF$7)+(((IF($A$8=Nutrients!$B$79,Nutrients!$EB$79,(IF($A$8=Nutrients!$B$77,Nutrients!$EB$77,Nutrients!$EB$78)))))*AF$8))/2000</f>
        <v>7.3695383668849382E-2</v>
      </c>
      <c r="AG256" s="23">
        <f>(SUMPRODUCT(AG$9:AG$229,Nutrients!$EB$8:$EB$228)+(IF($A$7=Nutrients!$B$8,Nutrients!$EB$8,Nutrients!$EB$9)*AG$7)+(((IF($A$8=Nutrients!$B$79,Nutrients!$EB$79,(IF($A$8=Nutrients!$B$77,Nutrients!$EB$77,Nutrients!$EB$78)))))*AG$8))/2000</f>
        <v>4.5976691365799315E-2</v>
      </c>
      <c r="AH256" s="23">
        <f>(SUMPRODUCT(AH$9:AH$229,Nutrients!$EB$8:$EB$228)+(IF($A$7=Nutrients!$B$8,Nutrients!$EB$8,Nutrients!$EB$9)*AH$7)+(((IF($A$8=Nutrients!$B$79,Nutrients!$EB$79,(IF($A$8=Nutrients!$B$77,Nutrients!$EB$77,Nutrients!$EB$78)))))*AH$8))/2000</f>
        <v>3.6708278283929884E-2</v>
      </c>
      <c r="AI256" s="23">
        <f>(SUMPRODUCT(AI$9:AI$229,Nutrients!$EB$8:$EB$228)+(IF($A$7=Nutrients!$B$8,Nutrients!$EB$8,Nutrients!$EB$9)*AI$7)+(((IF($A$8=Nutrients!$B$79,Nutrients!$EB$79,(IF($A$8=Nutrients!$B$77,Nutrients!$EB$77,Nutrients!$EB$78)))))*AI$8))/2000</f>
        <v>8.9123540247531982E-2</v>
      </c>
      <c r="AK256" s="23">
        <f>(SUMPRODUCT(AK$9:AK$229,Nutrients!$EB$8:$EB$228)+(IF($A$7=Nutrients!$B$8,Nutrients!$EB$8,Nutrients!$EB$9)*AK$7)+(((IF($A$8=Nutrients!$B$79,Nutrients!$EB$79,(IF($A$8=Nutrients!$B$77,Nutrients!$EB$77,Nutrients!$EB$78)))))*AK$8))/2000</f>
        <v>0.13448429017735269</v>
      </c>
      <c r="AL256" s="23">
        <f>(SUMPRODUCT(AL$9:AL$229,Nutrients!$EB$8:$EB$228)+(IF($A$7=Nutrients!$B$8,Nutrients!$EB$8,Nutrients!$EB$9)*AL$7)+(((IF($A$8=Nutrients!$B$79,Nutrients!$EB$79,(IF($A$8=Nutrients!$B$77,Nutrients!$EB$77,Nutrients!$EB$78)))))*AL$8))/2000</f>
        <v>9.628422377386342E-2</v>
      </c>
      <c r="AM256" s="23">
        <f>(SUMPRODUCT(AM$9:AM$229,Nutrients!$EB$8:$EB$228)+(IF($A$7=Nutrients!$B$8,Nutrients!$EB$8,Nutrients!$EB$9)*AM$7)+(((IF($A$8=Nutrients!$B$79,Nutrients!$EB$79,(IF($A$8=Nutrients!$B$77,Nutrients!$EB$77,Nutrients!$EB$78)))))*AM$8))/2000</f>
        <v>5.5815162586069417E-2</v>
      </c>
      <c r="AN256" s="23">
        <f>(SUMPRODUCT(AN$9:AN$229,Nutrients!$EB$8:$EB$228)+(IF($A$7=Nutrients!$B$8,Nutrients!$EB$8,Nutrients!$EB$9)*AN$7)+(((IF($A$8=Nutrients!$B$79,Nutrients!$EB$79,(IF($A$8=Nutrients!$B$77,Nutrients!$EB$77,Nutrients!$EB$78)))))*AN$8))/2000</f>
        <v>3.6309770254349713E-2</v>
      </c>
      <c r="AO256" s="23">
        <f>(SUMPRODUCT(AO$9:AO$229,Nutrients!$EB$8:$EB$228)+(IF($A$7=Nutrients!$B$8,Nutrients!$EB$8,Nutrients!$EB$9)*AO$7)+(((IF($A$8=Nutrients!$B$79,Nutrients!$EB$79,(IF($A$8=Nutrients!$B$77,Nutrients!$EB$77,Nutrients!$EB$78)))))*AO$8))/2000</f>
        <v>3.2808535349882574E-2</v>
      </c>
      <c r="AP256" s="23">
        <f>(SUMPRODUCT(AP$9:AP$229,Nutrients!$EB$8:$EB$228)+(IF($A$7=Nutrients!$B$8,Nutrients!$EB$8,Nutrients!$EB$9)*AP$7)+(((IF($A$8=Nutrients!$B$79,Nutrients!$EB$79,(IF($A$8=Nutrients!$B$77,Nutrients!$EB$77,Nutrients!$EB$78)))))*AP$8))/2000</f>
        <v>8.9123540247531982E-2</v>
      </c>
      <c r="AR256" s="23">
        <f>(SUMPRODUCT(AR$9:AR$229,Nutrients!$EB$8:$EB$228)+(IF($A$7=Nutrients!$B$8,Nutrients!$EB$8,Nutrients!$EB$9)*AR$7)+(((IF($A$8=Nutrients!$B$79,Nutrients!$EB$79,(IF($A$8=Nutrients!$B$77,Nutrients!$EB$77,Nutrients!$EB$78)))))*AR$8))/2000</f>
        <v>0.11670786106119536</v>
      </c>
      <c r="AS256" s="23">
        <f>(SUMPRODUCT(AS$9:AS$229,Nutrients!$EB$8:$EB$228)+(IF($A$7=Nutrients!$B$8,Nutrients!$EB$8,Nutrients!$EB$9)*AS$7)+(((IF($A$8=Nutrients!$B$79,Nutrients!$EB$79,(IF($A$8=Nutrients!$B$77,Nutrients!$EB$77,Nutrients!$EB$78)))))*AS$8))/2000</f>
        <v>7.8353940044427098E-2</v>
      </c>
      <c r="AT256" s="23">
        <f>(SUMPRODUCT(AT$9:AT$229,Nutrients!$EB$8:$EB$228)+(IF($A$7=Nutrients!$B$8,Nutrients!$EB$8,Nutrients!$EB$9)*AT$7)+(((IF($A$8=Nutrients!$B$79,Nutrients!$EB$79,(IF($A$8=Nutrients!$B$77,Nutrients!$EB$77,Nutrients!$EB$78)))))*AT$8))/2000</f>
        <v>3.7946277361693828E-2</v>
      </c>
      <c r="AU256" s="23">
        <f>(SUMPRODUCT(AU$9:AU$229,Nutrients!$EB$8:$EB$228)+(IF($A$7=Nutrients!$B$8,Nutrients!$EB$8,Nutrients!$EB$9)*AU$7)+(((IF($A$8=Nutrients!$B$79,Nutrients!$EB$79,(IF($A$8=Nutrients!$B$77,Nutrients!$EB$77,Nutrients!$EB$78)))))*AU$8))/2000</f>
        <v>3.2386784168466048E-2</v>
      </c>
      <c r="AV256" s="23">
        <f>(SUMPRODUCT(AV$9:AV$229,Nutrients!$EB$8:$EB$228)+(IF($A$7=Nutrients!$B$8,Nutrients!$EB$8,Nutrients!$EB$9)*AV$7)+(((IF($A$8=Nutrients!$B$79,Nutrients!$EB$79,(IF($A$8=Nutrients!$B$77,Nutrients!$EB$77,Nutrients!$EB$78)))))*AV$8))/2000</f>
        <v>2.8909141521704727E-2</v>
      </c>
      <c r="AW256" s="23">
        <f>(SUMPRODUCT(AW$9:AW$229,Nutrients!$EB$8:$EB$228)+(IF($A$7=Nutrients!$B$8,Nutrients!$EB$8,Nutrients!$EB$9)*AW$7)+(((IF($A$8=Nutrients!$B$79,Nutrients!$EB$79,(IF($A$8=Nutrients!$B$77,Nutrients!$EB$77,Nutrients!$EB$78)))))*AW$8))/2000</f>
        <v>8.9123540247531982E-2</v>
      </c>
    </row>
    <row r="257" spans="1:59" x14ac:dyDescent="0.25">
      <c r="A257" s="48" t="s">
        <v>146</v>
      </c>
      <c r="B257" s="23">
        <f>IF((SUMPRODUCT(B$9:B$229,Nutrients!$EE$8:$EE$228))=0,B256,IF((SUMPRODUCT(B$9:B$229,Nutrients!$EE$8:$EE$228))&gt;(1500*907),B256+0.14,B256+0.00000000006666*((SUMPRODUCT(B$9:B$229,Nutrients!$EE$8:$EE$228)/907))^3-0.00000023623322*((SUMPRODUCT(B$9:B$229,Nutrients!$EE$8:$EE$228)/907))^2+0.00029262722672*((SUMPRODUCT(B$9:B$229,Nutrients!$EE$8:$EE$228)/907))+0.007028328))</f>
        <v>0.33707938392360226</v>
      </c>
      <c r="C257" s="23">
        <f>IF((SUMPRODUCT(C$9:C$229,Nutrients!$EE$8:$EE$228))=0,C256,IF((SUMPRODUCT(C$9:C$229,Nutrients!$EE$8:$EE$228))&gt;(1500*907),C256+0.14,C256+0.00000000006666*((SUMPRODUCT(C$9:C$229,Nutrients!$EE$8:$EE$228)/907))^3-0.00000023623322*((SUMPRODUCT(C$9:C$229,Nutrients!$EE$8:$EE$228)/907))^2+0.00029262722672*((SUMPRODUCT(C$9:C$229,Nutrients!$EE$8:$EE$228)/907))+0.007028328))</f>
        <v>0.29779961116585019</v>
      </c>
      <c r="D257" s="23">
        <f>IF((SUMPRODUCT(D$9:D$229,Nutrients!$EE$8:$EE$228))=0,D256,IF((SUMPRODUCT(D$9:D$229,Nutrients!$EE$8:$EE$228))&gt;(1500*907),D256+0.14,D256+0.00000000006666*((SUMPRODUCT(D$9:D$229,Nutrients!$EE$8:$EE$228)/907))^3-0.00000023623322*((SUMPRODUCT(D$9:D$229,Nutrients!$EE$8:$EE$228)/907))^2+0.00029262722672*((SUMPRODUCT(D$9:D$229,Nutrients!$EE$8:$EE$228)/907))+0.007028328))</f>
        <v>0.2584752344317276</v>
      </c>
      <c r="E257" s="23">
        <f>IF((SUMPRODUCT(E$9:E$229,Nutrients!$EE$8:$EE$228))=0,E256,IF((SUMPRODUCT(E$9:E$229,Nutrients!$EE$8:$EE$228))&gt;(1500*907),E256+0.14,E256+0.00000000006666*((SUMPRODUCT(E$9:E$229,Nutrients!$EE$8:$EE$228)/907))^3-0.00000023623322*((SUMPRODUCT(E$9:E$229,Nutrients!$EE$8:$EE$228)/907))^2+0.00029262722672*((SUMPRODUCT(E$9:E$229,Nutrients!$EE$8:$EE$228)/907))+0.007028328))</f>
        <v>0.22996845687457232</v>
      </c>
      <c r="F257" s="23">
        <f>IF((SUMPRODUCT(F$9:F$229,Nutrients!$EE$8:$EE$228))=0,F256,IF((SUMPRODUCT(F$9:F$229,Nutrients!$EE$8:$EE$228))&gt;(1500*907),F256+0.14,F256+0.00000000006666*((SUMPRODUCT(F$9:F$229,Nutrients!$EE$8:$EE$228)/907))^3-0.00000023623322*((SUMPRODUCT(F$9:F$229,Nutrients!$EE$8:$EE$228)/907))^2+0.00029262722672*((SUMPRODUCT(F$9:F$229,Nutrients!$EE$8:$EE$228)/907))+0.007028328))</f>
        <v>0.21044260629184977</v>
      </c>
      <c r="G257" s="23">
        <f>IF((SUMPRODUCT(G$9:G$229,Nutrients!$EE$8:$EE$228))=0,G256,IF((SUMPRODUCT(G$9:G$229,Nutrients!$EE$8:$EE$228))&gt;(1500*907),G256+0.14,G256+0.00000000006666*((SUMPRODUCT(G$9:G$229,Nutrients!$EE$8:$EE$228)/907))^3-0.00000023623322*((SUMPRODUCT(G$9:G$229,Nutrients!$EE$8:$EE$228)/907))^2+0.00029262722672*((SUMPRODUCT(G$9:G$229,Nutrients!$EE$8:$EE$228)/907))+0.007028328))</f>
        <v>0.20173798071836466</v>
      </c>
      <c r="H257" s="227"/>
      <c r="I257" s="23">
        <f>IF((SUMPRODUCT(I$9:I$229,Nutrients!$EE$8:$EE$228))=0,I256,IF((SUMPRODUCT(I$9:I$229,Nutrients!$EE$8:$EE$228))&gt;(1500*907),I256+0.14,I256+0.00000000006666*((SUMPRODUCT(I$9:I$229,Nutrients!$EE$8:$EE$228)/907))^3-0.00000023623322*((SUMPRODUCT(I$9:I$229,Nutrients!$EE$8:$EE$228)/907))^2+0.00029262722672*((SUMPRODUCT(I$9:I$229,Nutrients!$EE$8:$EE$228)/907))+0.007028328))</f>
        <v>0.31879090961090972</v>
      </c>
      <c r="J257" s="23">
        <f>IF((SUMPRODUCT(J$9:J$229,Nutrients!$EE$8:$EE$228))=0,J256,IF((SUMPRODUCT(J$9:J$229,Nutrients!$EE$8:$EE$228))&gt;(1500*907),J256+0.14,J256+0.00000000006666*((SUMPRODUCT(J$9:J$229,Nutrients!$EE$8:$EE$228)/907))^3-0.00000023623322*((SUMPRODUCT(J$9:J$229,Nutrients!$EE$8:$EE$228)/907))^2+0.00029262722672*((SUMPRODUCT(J$9:J$229,Nutrients!$EE$8:$EE$228)/907))+0.007028328))</f>
        <v>0.28053541747597577</v>
      </c>
      <c r="K257" s="23">
        <f>IF((SUMPRODUCT(K$9:K$229,Nutrients!$EE$8:$EE$228))=0,K256,IF((SUMPRODUCT(K$9:K$229,Nutrients!$EE$8:$EE$228))&gt;(1500*907),K256+0.14,K256+0.00000000006666*((SUMPRODUCT(K$9:K$229,Nutrients!$EE$8:$EE$228)/907))^3-0.00000023623322*((SUMPRODUCT(K$9:K$229,Nutrients!$EE$8:$EE$228)/907))^2+0.00029262722672*((SUMPRODUCT(K$9:K$229,Nutrients!$EE$8:$EE$228)/907))+0.007028328))</f>
        <v>0.2399296066488992</v>
      </c>
      <c r="L257" s="23">
        <f>IF((SUMPRODUCT(L$9:L$229,Nutrients!$EE$8:$EE$228))=0,L256,IF((SUMPRODUCT(L$9:L$229,Nutrients!$EE$8:$EE$228))&gt;(1500*907),L256+0.14,L256+0.00000000006666*((SUMPRODUCT(L$9:L$229,Nutrients!$EE$8:$EE$228)/907))^3-0.00000023623322*((SUMPRODUCT(L$9:L$229,Nutrients!$EE$8:$EE$228)/907))^2+0.00029262722672*((SUMPRODUCT(L$9:L$229,Nutrients!$EE$8:$EE$228)/907))+0.007028328))</f>
        <v>0.21212539593453431</v>
      </c>
      <c r="M257" s="23">
        <f>IF((SUMPRODUCT(M$9:M$229,Nutrients!$EE$8:$EE$228))=0,M256,IF((SUMPRODUCT(M$9:M$229,Nutrients!$EE$8:$EE$228))&gt;(1500*907),M256+0.14,M256+0.00000000006666*((SUMPRODUCT(M$9:M$229,Nutrients!$EE$8:$EE$228)/907))^3-0.00000023623322*((SUMPRODUCT(M$9:M$229,Nutrients!$EE$8:$EE$228)/907))^2+0.00029262722672*((SUMPRODUCT(M$9:M$229,Nutrients!$EE$8:$EE$228)/907))+0.007028328))</f>
        <v>0.1925972652374742</v>
      </c>
      <c r="N257" s="23">
        <f>IF((SUMPRODUCT(N$9:N$229,Nutrients!$EE$8:$EE$228))=0,N256,IF((SUMPRODUCT(N$9:N$229,Nutrients!$EE$8:$EE$228))&gt;(1500*907),N256+0.14,N256+0.00000000006666*((SUMPRODUCT(N$9:N$229,Nutrients!$EE$8:$EE$228)/907))^3-0.00000023623322*((SUMPRODUCT(N$9:N$229,Nutrients!$EE$8:$EE$228)/907))^2+0.00029262722672*((SUMPRODUCT(N$9:N$229,Nutrients!$EE$8:$EE$228)/907))+0.007028328))</f>
        <v>0.20173798071836466</v>
      </c>
      <c r="O257" s="198"/>
      <c r="P257" s="23">
        <f>IF((SUMPRODUCT(P$9:P$229,Nutrients!$EE$8:$EE$228))=0,P256,IF((SUMPRODUCT(P$9:P$229,Nutrients!$EE$8:$EE$228))&gt;(1500*907),P256+0.14,P256+0.00000000006666*((SUMPRODUCT(P$9:P$229,Nutrients!$EE$8:$EE$228)/907))^3-0.00000023623322*((SUMPRODUCT(P$9:P$229,Nutrients!$EE$8:$EE$228)/907))^2+0.00029262722672*((SUMPRODUCT(P$9:P$229,Nutrients!$EE$8:$EE$228)/907))+0.007028328))</f>
        <v>0.30086717598631452</v>
      </c>
      <c r="Q257" s="23">
        <f>IF((SUMPRODUCT(Q$9:Q$229,Nutrients!$EE$8:$EE$228))=0,Q256,IF((SUMPRODUCT(Q$9:Q$229,Nutrients!$EE$8:$EE$228))&gt;(1500*907),Q256+0.14,Q256+0.00000000006666*((SUMPRODUCT(Q$9:Q$229,Nutrients!$EE$8:$EE$228)/907))^3-0.00000023623322*((SUMPRODUCT(Q$9:Q$229,Nutrients!$EE$8:$EE$228)/907))^2+0.00029262722672*((SUMPRODUCT(Q$9:Q$229,Nutrients!$EE$8:$EE$228)/907))+0.007028328))</f>
        <v>0.26265561771399759</v>
      </c>
      <c r="R257" s="23">
        <f>IF((SUMPRODUCT(R$9:R$229,Nutrients!$EE$8:$EE$228))=0,R256,IF((SUMPRODUCT(R$9:R$229,Nutrients!$EE$8:$EE$228))&gt;(1500*907),R256+0.14,R256+0.00000000006666*((SUMPRODUCT(R$9:R$229,Nutrients!$EE$8:$EE$228)/907))^3-0.00000023623322*((SUMPRODUCT(R$9:R$229,Nutrients!$EE$8:$EE$228)/907))^2+0.00029262722672*((SUMPRODUCT(R$9:R$229,Nutrients!$EE$8:$EE$228)/907))+0.007028328))</f>
        <v>0.22209884811120548</v>
      </c>
      <c r="S257" s="23">
        <f>IF((SUMPRODUCT(S$9:S$229,Nutrients!$EE$8:$EE$228))=0,S256,IF((SUMPRODUCT(S$9:S$229,Nutrients!$EE$8:$EE$228))&gt;(1500*907),S256+0.14,S256+0.00000000006666*((SUMPRODUCT(S$9:S$229,Nutrients!$EE$8:$EE$228)/907))^3-0.00000023623322*((SUMPRODUCT(S$9:S$229,Nutrients!$EE$8:$EE$228)/907))^2+0.00029262722672*((SUMPRODUCT(S$9:S$229,Nutrients!$EE$8:$EE$228)/907))+0.007028328))</f>
        <v>0.19427126325941788</v>
      </c>
      <c r="T257" s="23">
        <f>IF((SUMPRODUCT(T$9:T$229,Nutrients!$EE$8:$EE$228))=0,T256,IF((SUMPRODUCT(T$9:T$229,Nutrients!$EE$8:$EE$228))&gt;(1500*907),T256+0.14,T256+0.00000000006666*((SUMPRODUCT(T$9:T$229,Nutrients!$EE$8:$EE$228)/907))^3-0.00000023623322*((SUMPRODUCT(T$9:T$229,Nutrients!$EE$8:$EE$228)/907))^2+0.00029262722672*((SUMPRODUCT(T$9:T$229,Nutrients!$EE$8:$EE$228)/907))+0.007028328))</f>
        <v>0.17478280259597442</v>
      </c>
      <c r="U257" s="23">
        <f>IF((SUMPRODUCT(U$9:U$229,Nutrients!$EE$8:$EE$228))=0,U256,IF((SUMPRODUCT(U$9:U$229,Nutrients!$EE$8:$EE$228))&gt;(1500*907),U256+0.14,U256+0.00000000006666*((SUMPRODUCT(U$9:U$229,Nutrients!$EE$8:$EE$228)/907))^3-0.00000023623322*((SUMPRODUCT(U$9:U$229,Nutrients!$EE$8:$EE$228)/907))^2+0.00029262722672*((SUMPRODUCT(U$9:U$229,Nutrients!$EE$8:$EE$228)/907))+0.007028328))</f>
        <v>0.20173798071836466</v>
      </c>
      <c r="W257" s="23">
        <f>IF((SUMPRODUCT(W$9:W$229,Nutrients!$EE$8:$EE$228))=0,W256,IF((SUMPRODUCT(W$9:W$229,Nutrients!$EE$8:$EE$228))&gt;(1500*907),W256+0.14,W256+0.00000000006666*((SUMPRODUCT(W$9:W$229,Nutrients!$EE$8:$EE$228)/907))^3-0.00000023623322*((SUMPRODUCT(W$9:W$229,Nutrients!$EE$8:$EE$228)/907))^2+0.00029262722672*((SUMPRODUCT(W$9:W$229,Nutrients!$EE$8:$EE$228)/907))+0.007028328))</f>
        <v>0.28294272079298333</v>
      </c>
      <c r="X257" s="23">
        <f>IF((SUMPRODUCT(X$9:X$229,Nutrients!$EE$8:$EE$228))=0,X256,IF((SUMPRODUCT(X$9:X$229,Nutrients!$EE$8:$EE$228))&gt;(1500*907),X256+0.14,X256+0.00000000006666*((SUMPRODUCT(X$9:X$229,Nutrients!$EE$8:$EE$228)/907))^3-0.00000023623322*((SUMPRODUCT(X$9:X$229,Nutrients!$EE$8:$EE$228)/907))^2+0.00029262722672*((SUMPRODUCT(X$9:X$229,Nutrients!$EE$8:$EE$228)/907))+0.007028328))</f>
        <v>0.24477651753159488</v>
      </c>
      <c r="Y257" s="23">
        <f>IF((SUMPRODUCT(Y$9:Y$229,Nutrients!$EE$8:$EE$228))=0,Y256,IF((SUMPRODUCT(Y$9:Y$229,Nutrients!$EE$8:$EE$228))&gt;(1500*907),Y256+0.14,Y256+0.00000000006666*((SUMPRODUCT(Y$9:Y$229,Nutrients!$EE$8:$EE$228)/907))^3-0.00000023623322*((SUMPRODUCT(Y$9:Y$229,Nutrients!$EE$8:$EE$228)/907))^2+0.00029262722672*((SUMPRODUCT(Y$9:Y$229,Nutrients!$EE$8:$EE$228)/907))+0.007028328))</f>
        <v>0.20419668067503463</v>
      </c>
      <c r="Z257" s="23">
        <f>IF((SUMPRODUCT(Z$9:Z$229,Nutrients!$EE$8:$EE$228))=0,Z256,IF((SUMPRODUCT(Z$9:Z$229,Nutrients!$EE$8:$EE$228))&gt;(1500*907),Z256+0.14,Z256+0.00000000006666*((SUMPRODUCT(Z$9:Z$229,Nutrients!$EE$8:$EE$228)/907))^3-0.00000023623322*((SUMPRODUCT(Z$9:Z$229,Nutrients!$EE$8:$EE$228)/907))^2+0.00029262722672*((SUMPRODUCT(Z$9:Z$229,Nutrients!$EE$8:$EE$228)/907))+0.007028328))</f>
        <v>0.17643377138026292</v>
      </c>
      <c r="AA257" s="23">
        <f>IF((SUMPRODUCT(AA$9:AA$229,Nutrients!$EE$8:$EE$228))=0,AA256,IF((SUMPRODUCT(AA$9:AA$229,Nutrients!$EE$8:$EE$228))&gt;(1500*907),AA256+0.14,AA256+0.00000000006666*((SUMPRODUCT(AA$9:AA$229,Nutrients!$EE$8:$EE$228)/907))^3-0.00000023623322*((SUMPRODUCT(AA$9:AA$229,Nutrients!$EE$8:$EE$228)/907))^2+0.00029262722672*((SUMPRODUCT(AA$9:AA$229,Nutrients!$EE$8:$EE$228)/907))+0.007028328))</f>
        <v>0.15696861585479796</v>
      </c>
      <c r="AB257" s="23">
        <f>IF((SUMPRODUCT(AB$9:AB$229,Nutrients!$EE$8:$EE$228))=0,AB256,IF((SUMPRODUCT(AB$9:AB$229,Nutrients!$EE$8:$EE$228))&gt;(1500*907),AB256+0.14,AB256+0.00000000006666*((SUMPRODUCT(AB$9:AB$229,Nutrients!$EE$8:$EE$228)/907))^3-0.00000023623322*((SUMPRODUCT(AB$9:AB$229,Nutrients!$EE$8:$EE$228)/907))^2+0.00029262722672*((SUMPRODUCT(AB$9:AB$229,Nutrients!$EE$8:$EE$228)/907))+0.007028328))</f>
        <v>0.20173798071836466</v>
      </c>
      <c r="AD257" s="23">
        <f>IF((SUMPRODUCT(AD$9:AD$229,Nutrients!$EE$8:$EE$228))=0,AD256,IF((SUMPRODUCT(AD$9:AD$229,Nutrients!$EE$8:$EE$228))&gt;(1500*907),AD256+0.14,AD256+0.00000000006666*((SUMPRODUCT(AD$9:AD$229,Nutrients!$EE$8:$EE$228)/907))^3-0.00000023623322*((SUMPRODUCT(AD$9:AD$229,Nutrients!$EE$8:$EE$228)/907))^2+0.00029262722672*((SUMPRODUCT(AD$9:AD$229,Nutrients!$EE$8:$EE$228)/907))+0.007028328))</f>
        <v>0.26501174329547317</v>
      </c>
      <c r="AE257" s="23">
        <f>IF((SUMPRODUCT(AE$9:AE$229,Nutrients!$EE$8:$EE$228))=0,AE256,IF((SUMPRODUCT(AE$9:AE$229,Nutrients!$EE$8:$EE$228))&gt;(1500*907),AE256+0.14,AE256+0.00000000006666*((SUMPRODUCT(AE$9:AE$229,Nutrients!$EE$8:$EE$228)/907))^3-0.00000023623322*((SUMPRODUCT(AE$9:AE$229,Nutrients!$EE$8:$EE$228)/907))^2+0.00029262722672*((SUMPRODUCT(AE$9:AE$229,Nutrients!$EE$8:$EE$228)/907))+0.007028328))</f>
        <v>0.22682713575581162</v>
      </c>
      <c r="AF257" s="23">
        <f>IF((SUMPRODUCT(AF$9:AF$229,Nutrients!$EE$8:$EE$228))=0,AF256,IF((SUMPRODUCT(AF$9:AF$229,Nutrients!$EE$8:$EE$228))&gt;(1500*907),AF256+0.14,AF256+0.00000000006666*((SUMPRODUCT(AF$9:AF$229,Nutrients!$EE$8:$EE$228)/907))^3-0.00000023623322*((SUMPRODUCT(AF$9:AF$229,Nutrients!$EE$8:$EE$228)/907))^2+0.00029262722672*((SUMPRODUCT(AF$9:AF$229,Nutrients!$EE$8:$EE$228)/907))+0.007028328))</f>
        <v>0.18630982413968208</v>
      </c>
      <c r="AG257" s="23">
        <f>IF((SUMPRODUCT(AG$9:AG$229,Nutrients!$EE$8:$EE$228))=0,AG256,IF((SUMPRODUCT(AG$9:AG$229,Nutrients!$EE$8:$EE$228))&gt;(1500*907),AG256+0.14,AG256+0.00000000006666*((SUMPRODUCT(AG$9:AG$229,Nutrients!$EE$8:$EE$228)/907))^3-0.00000023623322*((SUMPRODUCT(AG$9:AG$229,Nutrients!$EE$8:$EE$228)/907))^2+0.00029262722672*((SUMPRODUCT(AG$9:AG$229,Nutrients!$EE$8:$EE$228)/907))+0.007028328))</f>
        <v>0.15859113183663201</v>
      </c>
      <c r="AH257" s="23">
        <f>IF((SUMPRODUCT(AH$9:AH$229,Nutrients!$EE$8:$EE$228))=0,AH256,IF((SUMPRODUCT(AH$9:AH$229,Nutrients!$EE$8:$EE$228))&gt;(1500*907),AH256+0.14,AH256+0.00000000006666*((SUMPRODUCT(AH$9:AH$229,Nutrients!$EE$8:$EE$228)/907))^3-0.00000023623322*((SUMPRODUCT(AH$9:AH$229,Nutrients!$EE$8:$EE$228)/907))^2+0.00029262722672*((SUMPRODUCT(AH$9:AH$229,Nutrients!$EE$8:$EE$228)/907))+0.007028328))</f>
        <v>0.14932271875476258</v>
      </c>
      <c r="AI257" s="23">
        <f>IF((SUMPRODUCT(AI$9:AI$229,Nutrients!$EE$8:$EE$228))=0,AI256,IF((SUMPRODUCT(AI$9:AI$229,Nutrients!$EE$8:$EE$228))&gt;(1500*907),AI256+0.14,AI256+0.00000000006666*((SUMPRODUCT(AI$9:AI$229,Nutrients!$EE$8:$EE$228)/907))^3-0.00000023623322*((SUMPRODUCT(AI$9:AI$229,Nutrients!$EE$8:$EE$228)/907))^2+0.00029262722672*((SUMPRODUCT(AI$9:AI$229,Nutrients!$EE$8:$EE$228)/907))+0.007028328))</f>
        <v>0.20173798071836466</v>
      </c>
      <c r="AK257" s="23">
        <f>IF((SUMPRODUCT(AK$9:AK$229,Nutrients!$EE$8:$EE$228))=0,AK256,IF((SUMPRODUCT(AK$9:AK$229,Nutrients!$EE$8:$EE$228))&gt;(1500*907),AK256+0.14,AK256+0.00000000006666*((SUMPRODUCT(AK$9:AK$229,Nutrients!$EE$8:$EE$228)/907))^3-0.00000023623322*((SUMPRODUCT(AK$9:AK$229,Nutrients!$EE$8:$EE$228)/907))^2+0.00029262722672*((SUMPRODUCT(AK$9:AK$229,Nutrients!$EE$8:$EE$228)/907))+0.007028328))</f>
        <v>0.24709873064818536</v>
      </c>
      <c r="AL257" s="23">
        <f>IF((SUMPRODUCT(AL$9:AL$229,Nutrients!$EE$8:$EE$228))=0,AL256,IF((SUMPRODUCT(AL$9:AL$229,Nutrients!$EE$8:$EE$228))&gt;(1500*907),AL256+0.14,AL256+0.00000000006666*((SUMPRODUCT(AL$9:AL$229,Nutrients!$EE$8:$EE$228)/907))^3-0.00000023623322*((SUMPRODUCT(AL$9:AL$229,Nutrients!$EE$8:$EE$228)/907))^2+0.00029262722672*((SUMPRODUCT(AL$9:AL$229,Nutrients!$EE$8:$EE$228)/907))+0.007028328))</f>
        <v>0.20889866424469611</v>
      </c>
      <c r="AM257" s="23">
        <f>IF((SUMPRODUCT(AM$9:AM$229,Nutrients!$EE$8:$EE$228))=0,AM256,IF((SUMPRODUCT(AM$9:AM$229,Nutrients!$EE$8:$EE$228))&gt;(1500*907),AM256+0.14,AM256+0.00000000006666*((SUMPRODUCT(AM$9:AM$229,Nutrients!$EE$8:$EE$228)/907))^3-0.00000023623322*((SUMPRODUCT(AM$9:AM$229,Nutrients!$EE$8:$EE$228)/907))^2+0.00029262722672*((SUMPRODUCT(AM$9:AM$229,Nutrients!$EE$8:$EE$228)/907))+0.007028328))</f>
        <v>0.16842960305690211</v>
      </c>
      <c r="AN257" s="23">
        <f>IF((SUMPRODUCT(AN$9:AN$229,Nutrients!$EE$8:$EE$228))=0,AN256,IF((SUMPRODUCT(AN$9:AN$229,Nutrients!$EE$8:$EE$228))&gt;(1500*907),AN256+0.14,AN256+0.00000000006666*((SUMPRODUCT(AN$9:AN$229,Nutrients!$EE$8:$EE$228)/907))^3-0.00000023623322*((SUMPRODUCT(AN$9:AN$229,Nutrients!$EE$8:$EE$228)/907))^2+0.00029262722672*((SUMPRODUCT(AN$9:AN$229,Nutrients!$EE$8:$EE$228)/907))+0.007028328))</f>
        <v>0.14892421072518239</v>
      </c>
      <c r="AO257" s="23">
        <f>IF((SUMPRODUCT(AO$9:AO$229,Nutrients!$EE$8:$EE$228))=0,AO256,IF((SUMPRODUCT(AO$9:AO$229,Nutrients!$EE$8:$EE$228))&gt;(1500*907),AO256+0.14,AO256+0.00000000006666*((SUMPRODUCT(AO$9:AO$229,Nutrients!$EE$8:$EE$228)/907))^3-0.00000023623322*((SUMPRODUCT(AO$9:AO$229,Nutrients!$EE$8:$EE$228)/907))^2+0.00029262722672*((SUMPRODUCT(AO$9:AO$229,Nutrients!$EE$8:$EE$228)/907))+0.007028328))</f>
        <v>0.14542297582071526</v>
      </c>
      <c r="AP257" s="23">
        <f>IF((SUMPRODUCT(AP$9:AP$229,Nutrients!$EE$8:$EE$228))=0,AP256,IF((SUMPRODUCT(AP$9:AP$229,Nutrients!$EE$8:$EE$228))&gt;(1500*907),AP256+0.14,AP256+0.00000000006666*((SUMPRODUCT(AP$9:AP$229,Nutrients!$EE$8:$EE$228)/907))^3-0.00000023623322*((SUMPRODUCT(AP$9:AP$229,Nutrients!$EE$8:$EE$228)/907))^2+0.00029262722672*((SUMPRODUCT(AP$9:AP$229,Nutrients!$EE$8:$EE$228)/907))+0.007028328))</f>
        <v>0.20173798071836466</v>
      </c>
      <c r="AR257" s="23">
        <f>IF((SUMPRODUCT(AR$9:AR$229,Nutrients!$EE$8:$EE$228))=0,AR256,IF((SUMPRODUCT(AR$9:AR$229,Nutrients!$EE$8:$EE$228))&gt;(1500*907),AR256+0.14,AR256+0.00000000006666*((SUMPRODUCT(AR$9:AR$229,Nutrients!$EE$8:$EE$228)/907))^3-0.00000023623322*((SUMPRODUCT(AR$9:AR$229,Nutrients!$EE$8:$EE$228)/907))^2+0.00029262722672*((SUMPRODUCT(AR$9:AR$229,Nutrients!$EE$8:$EE$228)/907))+0.007028328))</f>
        <v>0.22932230153202807</v>
      </c>
      <c r="AS257" s="23">
        <f>IF((SUMPRODUCT(AS$9:AS$229,Nutrients!$EE$8:$EE$228))=0,AS256,IF((SUMPRODUCT(AS$9:AS$229,Nutrients!$EE$8:$EE$228))&gt;(1500*907),AS256+0.14,AS256+0.00000000006666*((SUMPRODUCT(AS$9:AS$229,Nutrients!$EE$8:$EE$228)/907))^3-0.00000023623322*((SUMPRODUCT(AS$9:AS$229,Nutrients!$EE$8:$EE$228)/907))^2+0.00029262722672*((SUMPRODUCT(AS$9:AS$229,Nutrients!$EE$8:$EE$228)/907))+0.007028328))</f>
        <v>0.1909683805152598</v>
      </c>
      <c r="AT257" s="23">
        <f>IF((SUMPRODUCT(AT$9:AT$229,Nutrients!$EE$8:$EE$228))=0,AT256,IF((SUMPRODUCT(AT$9:AT$229,Nutrients!$EE$8:$EE$228))&gt;(1500*907),AT256+0.14,AT256+0.00000000006666*((SUMPRODUCT(AT$9:AT$229,Nutrients!$EE$8:$EE$228)/907))^3-0.00000023623322*((SUMPRODUCT(AT$9:AT$229,Nutrients!$EE$8:$EE$228)/907))^2+0.00029262722672*((SUMPRODUCT(AT$9:AT$229,Nutrients!$EE$8:$EE$228)/907))+0.007028328))</f>
        <v>0.15056071783252653</v>
      </c>
      <c r="AU257" s="23">
        <f>IF((SUMPRODUCT(AU$9:AU$229,Nutrients!$EE$8:$EE$228))=0,AU256,IF((SUMPRODUCT(AU$9:AU$229,Nutrients!$EE$8:$EE$228))&gt;(1500*907),AU256+0.14,AU256+0.00000000006666*((SUMPRODUCT(AU$9:AU$229,Nutrients!$EE$8:$EE$228)/907))^3-0.00000023623322*((SUMPRODUCT(AU$9:AU$229,Nutrients!$EE$8:$EE$228)/907))^2+0.00029262722672*((SUMPRODUCT(AU$9:AU$229,Nutrients!$EE$8:$EE$228)/907))+0.007028328))</f>
        <v>0.14500122463929874</v>
      </c>
      <c r="AV257" s="23">
        <f>IF((SUMPRODUCT(AV$9:AV$229,Nutrients!$EE$8:$EE$228))=0,AV256,IF((SUMPRODUCT(AV$9:AV$229,Nutrients!$EE$8:$EE$228))&gt;(1500*907),AV256+0.14,AV256+0.00000000006666*((SUMPRODUCT(AV$9:AV$229,Nutrients!$EE$8:$EE$228)/907))^3-0.00000023623322*((SUMPRODUCT(AV$9:AV$229,Nutrients!$EE$8:$EE$228)/907))^2+0.00029262722672*((SUMPRODUCT(AV$9:AV$229,Nutrients!$EE$8:$EE$228)/907))+0.007028328))</f>
        <v>0.14152358199253742</v>
      </c>
      <c r="AW257" s="23">
        <f>IF((SUMPRODUCT(AW$9:AW$229,Nutrients!$EE$8:$EE$228))=0,AW256,IF((SUMPRODUCT(AW$9:AW$229,Nutrients!$EE$8:$EE$228))&gt;(1500*907),AW256+0.14,AW256+0.00000000006666*((SUMPRODUCT(AW$9:AW$229,Nutrients!$EE$8:$EE$228)/907))^3-0.00000023623322*((SUMPRODUCT(AW$9:AW$229,Nutrients!$EE$8:$EE$228)/907))^2+0.00029262722672*((SUMPRODUCT(AW$9:AW$229,Nutrients!$EE$8:$EE$228)/907))+0.007028328))</f>
        <v>0.20173798071836466</v>
      </c>
      <c r="AZ257" s="333"/>
      <c r="BA257" s="333"/>
      <c r="BB257" s="333"/>
      <c r="BC257" s="333"/>
      <c r="BD257" s="333"/>
      <c r="BE257" s="333"/>
    </row>
    <row r="258" spans="1:59" x14ac:dyDescent="0.25">
      <c r="A258" t="s">
        <v>28</v>
      </c>
      <c r="B258" s="23">
        <f t="shared" ref="B258:G258" si="52">IF(B$5="","",(B257)/(B246*2.2046)*10000)</f>
        <v>1.0228158443854305</v>
      </c>
      <c r="C258" s="23">
        <f t="shared" si="52"/>
        <v>0.90093891102253687</v>
      </c>
      <c r="D258" s="23">
        <f t="shared" si="52"/>
        <v>0.7799032683037318</v>
      </c>
      <c r="E258" s="23">
        <f t="shared" si="52"/>
        <v>0.69195878210567852</v>
      </c>
      <c r="F258" s="23">
        <f t="shared" si="52"/>
        <v>0.63170249608403195</v>
      </c>
      <c r="G258" s="23">
        <f t="shared" si="52"/>
        <v>0.60499551704383758</v>
      </c>
      <c r="H258" s="227"/>
      <c r="I258" s="23">
        <f t="shared" ref="I258:N258" si="53">IF(I$5="","",(I257)/(I246*2.2046)*10000)</f>
        <v>0.96524850029692955</v>
      </c>
      <c r="J258" s="23">
        <f t="shared" si="53"/>
        <v>0.84695120232745225</v>
      </c>
      <c r="K258" s="23">
        <f t="shared" si="53"/>
        <v>0.72235771507724533</v>
      </c>
      <c r="L258" s="23">
        <f t="shared" si="53"/>
        <v>0.63692099104377498</v>
      </c>
      <c r="M258" s="23">
        <f t="shared" si="53"/>
        <v>0.57693206188264778</v>
      </c>
      <c r="N258" s="23">
        <f t="shared" si="53"/>
        <v>0.60499551704383758</v>
      </c>
      <c r="O258" s="198"/>
      <c r="P258" s="23">
        <f t="shared" ref="P258:U258" si="54">IF(P$5="","",(P257)/(P246*2.2046)*10000)</f>
        <v>0.90904742596491472</v>
      </c>
      <c r="Q258" s="23">
        <f t="shared" si="54"/>
        <v>0.79127782296035887</v>
      </c>
      <c r="R258" s="23">
        <f t="shared" si="54"/>
        <v>0.66725320771707464</v>
      </c>
      <c r="S258" s="23">
        <f t="shared" si="54"/>
        <v>0.58206371606139518</v>
      </c>
      <c r="T258" s="23">
        <f t="shared" si="54"/>
        <v>0.52245196453778064</v>
      </c>
      <c r="U258" s="23">
        <f t="shared" si="54"/>
        <v>0.60499551704383758</v>
      </c>
      <c r="W258" s="23">
        <f t="shared" ref="W258:AB258" si="55">IF(W$5="","",(W257)/(W246*2.2046)*10000)</f>
        <v>0.85306634282947358</v>
      </c>
      <c r="X258" s="23">
        <f t="shared" si="55"/>
        <v>0.73584361486658023</v>
      </c>
      <c r="Y258" s="23">
        <f t="shared" si="55"/>
        <v>0.61214687270229895</v>
      </c>
      <c r="Z258" s="23">
        <f t="shared" si="55"/>
        <v>0.52747525796531625</v>
      </c>
      <c r="AA258" s="23">
        <f t="shared" si="55"/>
        <v>0.46815779103680133</v>
      </c>
      <c r="AB258" s="23">
        <f t="shared" si="55"/>
        <v>0.60499551704383758</v>
      </c>
      <c r="AD258" s="23">
        <f t="shared" ref="AD258:AI258" si="56">IF(AD$5="","",(AD257)/(AD246*2.2046)*10000)</f>
        <v>0.79728316981652503</v>
      </c>
      <c r="AE258" s="23">
        <f t="shared" si="56"/>
        <v>0.68040836363996915</v>
      </c>
      <c r="AF258" s="23">
        <f t="shared" si="56"/>
        <v>0.55730598775477536</v>
      </c>
      <c r="AG258" s="23">
        <f t="shared" si="56"/>
        <v>0.47307633364211765</v>
      </c>
      <c r="AH258" s="23">
        <f t="shared" si="56"/>
        <v>0.44466468602514725</v>
      </c>
      <c r="AI258" s="23">
        <f t="shared" si="56"/>
        <v>0.60499551704383758</v>
      </c>
      <c r="AK258" s="23">
        <f t="shared" ref="AK258:AP258" si="57">IF(AK$5="","",(AK257)/(AK246*2.2046)*10000)</f>
        <v>0.74179246556338252</v>
      </c>
      <c r="AL258" s="23">
        <f t="shared" si="57"/>
        <v>0.62529195994879472</v>
      </c>
      <c r="AM258" s="23">
        <f t="shared" si="57"/>
        <v>0.50270967403364741</v>
      </c>
      <c r="AN258" s="23">
        <f t="shared" si="57"/>
        <v>0.44349074832401914</v>
      </c>
      <c r="AO258" s="23">
        <f t="shared" si="57"/>
        <v>0.43248675526131902</v>
      </c>
      <c r="AP258" s="23">
        <f t="shared" si="57"/>
        <v>0.60499551704383758</v>
      </c>
      <c r="AR258" s="23">
        <f t="shared" ref="AR258:AW258" si="58">IF(AR$5="","",(AR257)/(AR246*2.2046)*10000)</f>
        <v>0.68697737926988012</v>
      </c>
      <c r="AS258" s="23">
        <f t="shared" si="58"/>
        <v>0.57037387967812159</v>
      </c>
      <c r="AT258" s="23">
        <f t="shared" si="58"/>
        <v>0.44837813246748925</v>
      </c>
      <c r="AU258" s="23">
        <f t="shared" si="58"/>
        <v>0.43124499456054011</v>
      </c>
      <c r="AV258" s="23">
        <f t="shared" si="58"/>
        <v>0.42034164711684124</v>
      </c>
      <c r="AW258" s="23">
        <f t="shared" si="58"/>
        <v>0.60499551704383758</v>
      </c>
    </row>
    <row r="259" spans="1:59" x14ac:dyDescent="0.25">
      <c r="A259" s="34" t="s">
        <v>346</v>
      </c>
      <c r="B259" s="23">
        <f>((SUMPRODUCT(B$9:B$229,Nutrients!$DR$8:$DR$228)+(IF($A$7=Nutrients!$B$8,Nutrients!$DR$8,Nutrients!$DR$9)*B$7)+(((IF($A$8=Nutrients!$B$79,Nutrients!$DR$79,(IF($A$8=Nutrients!$B$77,Nutrients!$DR$77,Nutrients!$DR$78)))))*B$8))/2000)</f>
        <v>0.29000063647666452</v>
      </c>
      <c r="C259" s="23">
        <f>((SUMPRODUCT(C$9:C$229,Nutrients!$DR$8:$DR$228)+(IF($A$7=Nutrients!$B$8,Nutrients!$DR$8,Nutrients!$DR$9)*C$7)+(((IF($A$8=Nutrients!$B$79,Nutrients!$DR$79,(IF($A$8=Nutrients!$B$77,Nutrients!$DR$77,Nutrients!$DR$78)))))*C$8))/2000)</f>
        <v>0.24988069387487893</v>
      </c>
      <c r="D259" s="23">
        <f>((SUMPRODUCT(D$9:D$229,Nutrients!$DR$8:$DR$228)+(IF($A$7=Nutrients!$B$8,Nutrients!$DR$8,Nutrients!$DR$9)*D$7)+(((IF($A$8=Nutrients!$B$79,Nutrients!$DR$79,(IF($A$8=Nutrients!$B$77,Nutrients!$DR$77,Nutrients!$DR$78)))))*D$8))/2000)</f>
        <v>0.21060453785177027</v>
      </c>
      <c r="E259" s="23">
        <f>((SUMPRODUCT(E$9:E$229,Nutrients!$DR$8:$DR$228)+(IF($A$7=Nutrients!$B$8,Nutrients!$DR$8,Nutrients!$DR$9)*E$7)+(((IF($A$8=Nutrients!$B$79,Nutrients!$DR$79,(IF($A$8=Nutrients!$B$77,Nutrients!$DR$77,Nutrients!$DR$78)))))*E$8))/2000)</f>
        <v>0.18085065848336068</v>
      </c>
      <c r="F259" s="23">
        <f>((SUMPRODUCT(F$9:F$229,Nutrients!$DR$8:$DR$228)+(IF($A$7=Nutrients!$B$8,Nutrients!$DR$8,Nutrients!$DR$9)*F$7)+(((IF($A$8=Nutrients!$B$79,Nutrients!$DR$79,(IF($A$8=Nutrients!$B$77,Nutrients!$DR$77,Nutrients!$DR$78)))))*F$8))/2000)</f>
        <v>0.15971179439767599</v>
      </c>
      <c r="G259" s="23">
        <f>((SUMPRODUCT(G$9:G$229,Nutrients!$DR$8:$DR$228)+(IF($A$7=Nutrients!$B$8,Nutrients!$DR$8,Nutrients!$DR$9)*G$7)+(((IF($A$8=Nutrients!$B$79,Nutrients!$DR$79,(IF($A$8=Nutrients!$B$77,Nutrients!$DR$77,Nutrients!$DR$78)))))*G$8))/2000)</f>
        <v>0.14985099986346795</v>
      </c>
      <c r="H259" s="227"/>
      <c r="I259" s="23">
        <f>((SUMPRODUCT(I$9:I$229,Nutrients!$DR$8:$DR$228)+(IF($A$7=Nutrients!$B$8,Nutrients!$DR$8,Nutrients!$DR$9)*I$7)+(((IF($A$8=Nutrients!$B$79,Nutrients!$DR$79,(IF($A$8=Nutrients!$B$77,Nutrients!$DR$77,Nutrients!$DR$78)))))*I$8))/2000)</f>
        <v>0.28948527871733398</v>
      </c>
      <c r="J259" s="23">
        <f>((SUMPRODUCT(J$9:J$229,Nutrients!$DR$8:$DR$228)+(IF($A$7=Nutrients!$B$8,Nutrients!$DR$8,Nutrients!$DR$9)*J$7)+(((IF($A$8=Nutrients!$B$79,Nutrients!$DR$79,(IF($A$8=Nutrients!$B$77,Nutrients!$DR$77,Nutrients!$DR$78)))))*J$8))/2000)</f>
        <v>0.25034977701360678</v>
      </c>
      <c r="K259" s="23">
        <f>((SUMPRODUCT(K$9:K$229,Nutrients!$DR$8:$DR$228)+(IF($A$7=Nutrients!$B$8,Nutrients!$DR$8,Nutrients!$DR$9)*K$7)+(((IF($A$8=Nutrients!$B$79,Nutrients!$DR$79,(IF($A$8=Nutrients!$B$77,Nutrients!$DR$77,Nutrients!$DR$78)))))*K$8))/2000)</f>
        <v>0.21001116657797872</v>
      </c>
      <c r="L259" s="23">
        <f>((SUMPRODUCT(L$9:L$229,Nutrients!$DR$8:$DR$228)+(IF($A$7=Nutrients!$B$8,Nutrients!$DR$8,Nutrients!$DR$9)*L$7)+(((IF($A$8=Nutrients!$B$79,Nutrients!$DR$79,(IF($A$8=Nutrients!$B$77,Nutrients!$DR$77,Nutrients!$DR$78)))))*L$8))/2000)</f>
        <v>0.1809228055145897</v>
      </c>
      <c r="M259" s="23">
        <f>((SUMPRODUCT(M$9:M$229,Nutrients!$DR$8:$DR$228)+(IF($A$7=Nutrients!$B$8,Nutrients!$DR$8,Nutrients!$DR$9)*M$7)+(((IF($A$8=Nutrients!$B$79,Nutrients!$DR$79,(IF($A$8=Nutrients!$B$77,Nutrients!$DR$77,Nutrients!$DR$78)))))*M$8))/2000)</f>
        <v>0.15977980515692081</v>
      </c>
      <c r="N259" s="23">
        <f>((SUMPRODUCT(N$9:N$229,Nutrients!$DR$8:$DR$228)+(IF($A$7=Nutrients!$B$8,Nutrients!$DR$8,Nutrients!$DR$9)*N$7)+(((IF($A$8=Nutrients!$B$79,Nutrients!$DR$79,(IF($A$8=Nutrients!$B$77,Nutrients!$DR$77,Nutrients!$DR$78)))))*N$8))/2000)</f>
        <v>0.14985099986346795</v>
      </c>
      <c r="O259" s="198"/>
      <c r="P259" s="23">
        <f>((SUMPRODUCT(P$9:P$229,Nutrients!$DR$8:$DR$228)+(IF($A$7=Nutrients!$B$8,Nutrients!$DR$8,Nutrients!$DR$9)*P$7)+(((IF($A$8=Nutrients!$B$79,Nutrients!$DR$79,(IF($A$8=Nutrients!$B$77,Nutrients!$DR$77,Nutrients!$DR$78)))))*P$8))/2000)</f>
        <v>0.28939758571940299</v>
      </c>
      <c r="Q259" s="23">
        <f>((SUMPRODUCT(Q$9:Q$229,Nutrients!$DR$8:$DR$228)+(IF($A$7=Nutrients!$B$8,Nutrients!$DR$8,Nutrients!$DR$9)*Q$7)+(((IF($A$8=Nutrients!$B$79,Nutrients!$DR$79,(IF($A$8=Nutrients!$B$77,Nutrients!$DR$77,Nutrients!$DR$78)))))*Q$8))/2000)</f>
        <v>0.25034839134717191</v>
      </c>
      <c r="R259" s="23">
        <f>((SUMPRODUCT(R$9:R$229,Nutrients!$DR$8:$DR$228)+(IF($A$7=Nutrients!$B$8,Nutrients!$DR$8,Nutrients!$DR$9)*R$7)+(((IF($A$8=Nutrients!$B$79,Nutrients!$DR$79,(IF($A$8=Nutrients!$B$77,Nutrients!$DR$77,Nutrients!$DR$78)))))*R$8))/2000)</f>
        <v>0.21010745424820004</v>
      </c>
      <c r="S259" s="23">
        <f>((SUMPRODUCT(S$9:S$229,Nutrients!$DR$8:$DR$228)+(IF($A$7=Nutrients!$B$8,Nutrients!$DR$8,Nutrients!$DR$9)*S$7)+(((IF($A$8=Nutrients!$B$79,Nutrients!$DR$79,(IF($A$8=Nutrients!$B$77,Nutrients!$DR$77,Nutrients!$DR$78)))))*S$8))/2000)</f>
        <v>0.18097222144542821</v>
      </c>
      <c r="T259" s="23">
        <f>((SUMPRODUCT(T$9:T$229,Nutrients!$DR$8:$DR$228)+(IF($A$7=Nutrients!$B$8,Nutrients!$DR$8,Nutrients!$DR$9)*T$7)+(((IF($A$8=Nutrients!$B$79,Nutrients!$DR$79,(IF($A$8=Nutrients!$B$77,Nutrients!$DR$77,Nutrients!$DR$78)))))*T$8))/2000)</f>
        <v>0.15990793547491652</v>
      </c>
      <c r="U259" s="23">
        <f>((SUMPRODUCT(U$9:U$229,Nutrients!$DR$8:$DR$228)+(IF($A$7=Nutrients!$B$8,Nutrients!$DR$8,Nutrients!$DR$9)*U$7)+(((IF($A$8=Nutrients!$B$79,Nutrients!$DR$79,(IF($A$8=Nutrients!$B$77,Nutrients!$DR$77,Nutrients!$DR$78)))))*U$8))/2000)</f>
        <v>0.14985099986346795</v>
      </c>
      <c r="W259" s="23">
        <f>((SUMPRODUCT(W$9:W$229,Nutrients!$DR$8:$DR$228)+(IF($A$7=Nutrients!$B$8,Nutrients!$DR$8,Nutrients!$DR$9)*W$7)+(((IF($A$8=Nutrients!$B$79,Nutrients!$DR$79,(IF($A$8=Nutrients!$B$77,Nutrients!$DR$77,Nutrients!$DR$78)))))*W$8))/2000)</f>
        <v>0.28930805695141754</v>
      </c>
      <c r="X259" s="23">
        <f>((SUMPRODUCT(X$9:X$229,Nutrients!$DR$8:$DR$228)+(IF($A$7=Nutrients!$B$8,Nutrients!$DR$8,Nutrients!$DR$9)*X$7)+(((IF($A$8=Nutrients!$B$79,Nutrients!$DR$79,(IF($A$8=Nutrients!$B$77,Nutrients!$DR$77,Nutrients!$DR$78)))))*X$8))/2000)</f>
        <v>0.2503486947217291</v>
      </c>
      <c r="Y259" s="23">
        <f>((SUMPRODUCT(Y$9:Y$229,Nutrients!$DR$8:$DR$228)+(IF($A$7=Nutrients!$B$8,Nutrients!$DR$8,Nutrients!$DR$9)*Y$7)+(((IF($A$8=Nutrients!$B$79,Nutrients!$DR$79,(IF($A$8=Nutrients!$B$77,Nutrients!$DR$77,Nutrients!$DR$78)))))*Y$8))/2000)</f>
        <v>0.21006124825435171</v>
      </c>
      <c r="Z259" s="23">
        <f>((SUMPRODUCT(Z$9:Z$229,Nutrients!$DR$8:$DR$228)+(IF($A$7=Nutrients!$B$8,Nutrients!$DR$8,Nutrients!$DR$9)*Z$7)+(((IF($A$8=Nutrients!$B$79,Nutrients!$DR$79,(IF($A$8=Nutrients!$B$77,Nutrients!$DR$77,Nutrients!$DR$78)))))*Z$8))/2000)</f>
        <v>0.18105388650611606</v>
      </c>
      <c r="AA259" s="23">
        <f>((SUMPRODUCT(AA$9:AA$229,Nutrients!$DR$8:$DR$228)+(IF($A$7=Nutrients!$B$8,Nutrients!$DR$8,Nutrients!$DR$9)*AA$7)+(((IF($A$8=Nutrients!$B$79,Nutrients!$DR$79,(IF($A$8=Nutrients!$B$77,Nutrients!$DR$77,Nutrients!$DR$78)))))*AA$8))/2000)</f>
        <v>0.16003395350507457</v>
      </c>
      <c r="AB259" s="23">
        <f>((SUMPRODUCT(AB$9:AB$229,Nutrients!$DR$8:$DR$228)+(IF($A$7=Nutrients!$B$8,Nutrients!$DR$8,Nutrients!$DR$9)*AB$7)+(((IF($A$8=Nutrients!$B$79,Nutrients!$DR$79,(IF($A$8=Nutrients!$B$77,Nutrients!$DR$77,Nutrients!$DR$78)))))*AB$8))/2000)</f>
        <v>0.14985099986346795</v>
      </c>
      <c r="AD259" s="23">
        <f>((SUMPRODUCT(AD$9:AD$229,Nutrients!$DR$8:$DR$228)+(IF($A$7=Nutrients!$B$8,Nutrients!$DR$8,Nutrients!$DR$9)*AD$7)+(((IF($A$8=Nutrients!$B$79,Nutrients!$DR$79,(IF($A$8=Nutrients!$B$77,Nutrients!$DR$77,Nutrients!$DR$78)))))*AD$8))/2000)</f>
        <v>0.28920497215536695</v>
      </c>
      <c r="AE259" s="23">
        <f>((SUMPRODUCT(AE$9:AE$229,Nutrients!$DR$8:$DR$228)+(IF($A$7=Nutrients!$B$8,Nutrients!$DR$8,Nutrients!$DR$9)*AE$7)+(((IF($A$8=Nutrients!$B$79,Nutrients!$DR$79,(IF($A$8=Nutrients!$B$77,Nutrients!$DR$77,Nutrients!$DR$78)))))*AE$8))/2000)</f>
        <v>0.25020870229148762</v>
      </c>
      <c r="AF259" s="23">
        <f>((SUMPRODUCT(AF$9:AF$229,Nutrients!$DR$8:$DR$228)+(IF($A$7=Nutrients!$B$8,Nutrients!$DR$8,Nutrients!$DR$9)*AF$7)+(((IF($A$8=Nutrients!$B$79,Nutrients!$DR$79,(IF($A$8=Nutrients!$B$77,Nutrients!$DR$77,Nutrients!$DR$78)))))*AF$8))/2000)</f>
        <v>0.2100446486009003</v>
      </c>
      <c r="AG259" s="23">
        <f>((SUMPRODUCT(AG$9:AG$229,Nutrients!$DR$8:$DR$228)+(IF($A$7=Nutrients!$B$8,Nutrients!$DR$8,Nutrients!$DR$9)*AG$7)+(((IF($A$8=Nutrients!$B$79,Nutrients!$DR$79,(IF($A$8=Nutrients!$B$77,Nutrients!$DR$77,Nutrients!$DR$78)))))*AG$8))/2000)</f>
        <v>0.18112295028365366</v>
      </c>
      <c r="AH259" s="23">
        <f>((SUMPRODUCT(AH$9:AH$229,Nutrients!$DR$8:$DR$228)+(IF($A$7=Nutrients!$B$8,Nutrients!$DR$8,Nutrients!$DR$9)*AH$7)+(((IF($A$8=Nutrients!$B$79,Nutrients!$DR$79,(IF($A$8=Nutrients!$B$77,Nutrients!$DR$77,Nutrients!$DR$78)))))*AH$8))/2000)</f>
        <v>0.1690777095203283</v>
      </c>
      <c r="AI259" s="23">
        <f>((SUMPRODUCT(AI$9:AI$229,Nutrients!$DR$8:$DR$228)+(IF($A$7=Nutrients!$B$8,Nutrients!$DR$8,Nutrients!$DR$9)*AI$7)+(((IF($A$8=Nutrients!$B$79,Nutrients!$DR$79,(IF($A$8=Nutrients!$B$77,Nutrients!$DR$77,Nutrients!$DR$78)))))*AI$8))/2000)</f>
        <v>0.14985099986346795</v>
      </c>
      <c r="AK259" s="23">
        <f>((SUMPRODUCT(AK$9:AK$229,Nutrients!$DR$8:$DR$228)+(IF($A$7=Nutrients!$B$8,Nutrients!$DR$8,Nutrients!$DR$9)*AK$7)+(((IF($A$8=Nutrients!$B$79,Nutrients!$DR$79,(IF($A$8=Nutrients!$B$77,Nutrients!$DR$77,Nutrients!$DR$78)))))*AK$8))/2000)</f>
        <v>0.28913742948898269</v>
      </c>
      <c r="AL259" s="23">
        <f>((SUMPRODUCT(AL$9:AL$229,Nutrients!$DR$8:$DR$228)+(IF($A$7=Nutrients!$B$8,Nutrients!$DR$8,Nutrients!$DR$9)*AL$7)+(((IF($A$8=Nutrients!$B$79,Nutrients!$DR$79,(IF($A$8=Nutrients!$B$77,Nutrients!$DR$77,Nutrients!$DR$78)))))*AL$8))/2000)</f>
        <v>0.25011082803332996</v>
      </c>
      <c r="AM259" s="23">
        <f>((SUMPRODUCT(AM$9:AM$229,Nutrients!$DR$8:$DR$228)+(IF($A$7=Nutrients!$B$8,Nutrients!$DR$8,Nutrients!$DR$9)*AM$7)+(((IF($A$8=Nutrients!$B$79,Nutrients!$DR$79,(IF($A$8=Nutrients!$B$77,Nutrients!$DR$77,Nutrients!$DR$78)))))*AM$8))/2000)</f>
        <v>0.21004038881605028</v>
      </c>
      <c r="AN259" s="23">
        <f>((SUMPRODUCT(AN$9:AN$229,Nutrients!$DR$8:$DR$228)+(IF($A$7=Nutrients!$B$8,Nutrients!$DR$8,Nutrients!$DR$9)*AN$7)+(((IF($A$8=Nutrients!$B$79,Nutrients!$DR$79,(IF($A$8=Nutrients!$B$77,Nutrients!$DR$77,Nutrients!$DR$78)))))*AN$8))/2000)</f>
        <v>0.18836429776982375</v>
      </c>
      <c r="AO259" s="23">
        <f>((SUMPRODUCT(AO$9:AO$229,Nutrients!$DR$8:$DR$228)+(IF($A$7=Nutrients!$B$8,Nutrients!$DR$8,Nutrients!$DR$9)*AO$7)+(((IF($A$8=Nutrients!$B$79,Nutrients!$DR$79,(IF($A$8=Nutrients!$B$77,Nutrients!$DR$77,Nutrients!$DR$78)))))*AO$8))/2000)</f>
        <v>0.18140858895892459</v>
      </c>
      <c r="AP259" s="23">
        <f>((SUMPRODUCT(AP$9:AP$229,Nutrients!$DR$8:$DR$228)+(IF($A$7=Nutrients!$B$8,Nutrients!$DR$8,Nutrients!$DR$9)*AP$7)+(((IF($A$8=Nutrients!$B$79,Nutrients!$DR$79,(IF($A$8=Nutrients!$B$77,Nutrients!$DR$77,Nutrients!$DR$78)))))*AP$8))/2000)</f>
        <v>0.14985099986346795</v>
      </c>
      <c r="AR259" s="23">
        <f>((SUMPRODUCT(AR$9:AR$229,Nutrients!$DR$8:$DR$228)+(IF($A$7=Nutrients!$B$8,Nutrients!$DR$8,Nutrients!$DR$9)*AR$7)+(((IF($A$8=Nutrients!$B$79,Nutrients!$DR$79,(IF($A$8=Nutrients!$B$77,Nutrients!$DR$77,Nutrients!$DR$78)))))*AR$8))/2000)</f>
        <v>0.28934177273434697</v>
      </c>
      <c r="AS259" s="23">
        <f>((SUMPRODUCT(AS$9:AS$229,Nutrients!$DR$8:$DR$228)+(IF($A$7=Nutrients!$B$8,Nutrients!$DR$8,Nutrients!$DR$9)*AS$7)+(((IF($A$8=Nutrients!$B$79,Nutrients!$DR$79,(IF($A$8=Nutrients!$B$77,Nutrients!$DR$77,Nutrients!$DR$78)))))*AS$8))/2000)</f>
        <v>0.2500080131096914</v>
      </c>
      <c r="AT259" s="23">
        <f>((SUMPRODUCT(AT$9:AT$229,Nutrients!$DR$8:$DR$228)+(IF($A$7=Nutrients!$B$8,Nutrients!$DR$8,Nutrients!$DR$9)*AT$7)+(((IF($A$8=Nutrients!$B$79,Nutrients!$DR$79,(IF($A$8=Nutrients!$B$77,Nutrients!$DR$77,Nutrients!$DR$78)))))*AT$8))/2000)</f>
        <v>0.21005738361813739</v>
      </c>
      <c r="AU259" s="23">
        <f>((SUMPRODUCT(AU$9:AU$229,Nutrients!$DR$8:$DR$228)+(IF($A$7=Nutrients!$B$8,Nutrients!$DR$8,Nutrients!$DR$9)*AU$7)+(((IF($A$8=Nutrients!$B$79,Nutrients!$DR$79,(IF($A$8=Nutrients!$B$77,Nutrients!$DR$77,Nutrients!$DR$78)))))*AU$8))/2000)</f>
        <v>0.20064885641085126</v>
      </c>
      <c r="AV259" s="23">
        <f>((SUMPRODUCT(AV$9:AV$229,Nutrients!$DR$8:$DR$228)+(IF($A$7=Nutrients!$B$8,Nutrients!$DR$8,Nutrients!$DR$9)*AV$7)+(((IF($A$8=Nutrients!$B$79,Nutrients!$DR$79,(IF($A$8=Nutrients!$B$77,Nutrients!$DR$77,Nutrients!$DR$78)))))*AV$8))/2000)</f>
        <v>0.19374016212722536</v>
      </c>
      <c r="AW259" s="23">
        <f>((SUMPRODUCT(AW$9:AW$229,Nutrients!$DR$8:$DR$228)+(IF($A$7=Nutrients!$B$8,Nutrients!$DR$8,Nutrients!$DR$9)*AW$7)+(((IF($A$8=Nutrients!$B$79,Nutrients!$DR$79,(IF($A$8=Nutrients!$B$77,Nutrients!$DR$77,Nutrients!$DR$78)))))*AW$8))/2000)</f>
        <v>0.14985099986346795</v>
      </c>
    </row>
    <row r="260" spans="1:59" x14ac:dyDescent="0.25">
      <c r="A260" s="15" t="s">
        <v>347</v>
      </c>
      <c r="B260" s="227">
        <f t="shared" ref="B260:G260" si="59">B259+0.11</f>
        <v>0.40000063647666451</v>
      </c>
      <c r="C260" s="227">
        <f t="shared" si="59"/>
        <v>0.35988069387487892</v>
      </c>
      <c r="D260" s="227">
        <f t="shared" si="59"/>
        <v>0.32060453785177029</v>
      </c>
      <c r="E260" s="227">
        <f t="shared" si="59"/>
        <v>0.29085065848336067</v>
      </c>
      <c r="F260" s="227">
        <f t="shared" si="59"/>
        <v>0.26971179439767601</v>
      </c>
      <c r="G260" s="227">
        <f t="shared" si="59"/>
        <v>0.25985099986346794</v>
      </c>
      <c r="H260" s="227"/>
      <c r="I260" s="232">
        <f t="shared" ref="I260:N260" si="60">I259+0.11</f>
        <v>0.39948527871733397</v>
      </c>
      <c r="J260" s="232">
        <f t="shared" si="60"/>
        <v>0.36034977701360676</v>
      </c>
      <c r="K260" s="232">
        <f t="shared" si="60"/>
        <v>0.32001116657797873</v>
      </c>
      <c r="L260" s="232">
        <f t="shared" si="60"/>
        <v>0.29092280551458971</v>
      </c>
      <c r="M260" s="232">
        <f t="shared" si="60"/>
        <v>0.26977980515692079</v>
      </c>
      <c r="N260" s="232">
        <f t="shared" si="60"/>
        <v>0.25985099986346794</v>
      </c>
      <c r="O260" s="238"/>
      <c r="P260" s="232">
        <f t="shared" ref="P260:U260" si="61">P259+0.11</f>
        <v>0.39939758571940298</v>
      </c>
      <c r="Q260" s="232">
        <f t="shared" si="61"/>
        <v>0.36034839134717189</v>
      </c>
      <c r="R260" s="232">
        <f t="shared" si="61"/>
        <v>0.32010745424820003</v>
      </c>
      <c r="S260" s="232">
        <f t="shared" si="61"/>
        <v>0.29097222144542823</v>
      </c>
      <c r="T260" s="232">
        <f t="shared" si="61"/>
        <v>0.26990793547491654</v>
      </c>
      <c r="U260" s="232">
        <f t="shared" si="61"/>
        <v>0.25985099986346794</v>
      </c>
      <c r="V260" s="382"/>
      <c r="W260" s="232">
        <f t="shared" ref="W260:AB260" si="62">W259+0.11</f>
        <v>0.39930805695141752</v>
      </c>
      <c r="X260" s="232">
        <f t="shared" si="62"/>
        <v>0.36034869472172909</v>
      </c>
      <c r="Y260" s="232">
        <f t="shared" si="62"/>
        <v>0.32006124825435173</v>
      </c>
      <c r="Z260" s="232">
        <f t="shared" si="62"/>
        <v>0.29105388650611608</v>
      </c>
      <c r="AA260" s="232">
        <f t="shared" si="62"/>
        <v>0.27003395350507459</v>
      </c>
      <c r="AB260" s="232">
        <f t="shared" si="62"/>
        <v>0.25985099986346794</v>
      </c>
      <c r="AC260" s="382"/>
      <c r="AD260" s="232">
        <f t="shared" ref="AD260:AI260" si="63">AD259+0.11</f>
        <v>0.39920497215536693</v>
      </c>
      <c r="AE260" s="232">
        <f t="shared" si="63"/>
        <v>0.3602087022914876</v>
      </c>
      <c r="AF260" s="232">
        <f t="shared" si="63"/>
        <v>0.32004464860090032</v>
      </c>
      <c r="AG260" s="232">
        <f t="shared" si="63"/>
        <v>0.29112295028365365</v>
      </c>
      <c r="AH260" s="232">
        <f t="shared" si="63"/>
        <v>0.27907770952032829</v>
      </c>
      <c r="AI260" s="232">
        <f t="shared" si="63"/>
        <v>0.25985099986346794</v>
      </c>
      <c r="AJ260" s="382"/>
      <c r="AK260" s="232">
        <f t="shared" ref="AK260:AP260" si="64">AK259+0.11</f>
        <v>0.39913742948898268</v>
      </c>
      <c r="AL260" s="232">
        <f t="shared" si="64"/>
        <v>0.36011082803332994</v>
      </c>
      <c r="AM260" s="232">
        <f t="shared" si="64"/>
        <v>0.32004038881605029</v>
      </c>
      <c r="AN260" s="232">
        <f t="shared" si="64"/>
        <v>0.29836429776982376</v>
      </c>
      <c r="AO260" s="232">
        <f t="shared" si="64"/>
        <v>0.29140858895892457</v>
      </c>
      <c r="AP260" s="232">
        <f t="shared" si="64"/>
        <v>0.25985099986346794</v>
      </c>
      <c r="AQ260" s="382"/>
      <c r="AR260" s="232">
        <f t="shared" ref="AR260:AW260" si="65">AR259+0.11</f>
        <v>0.39934177273434696</v>
      </c>
      <c r="AS260" s="232">
        <f t="shared" si="65"/>
        <v>0.36000801310969138</v>
      </c>
      <c r="AT260" s="232">
        <f t="shared" si="65"/>
        <v>0.3200573836181374</v>
      </c>
      <c r="AU260" s="232">
        <f t="shared" si="65"/>
        <v>0.31064885641085127</v>
      </c>
      <c r="AV260" s="232">
        <f t="shared" si="65"/>
        <v>0.30374016212722538</v>
      </c>
      <c r="AW260" s="232">
        <f t="shared" si="65"/>
        <v>0.25985099986346794</v>
      </c>
      <c r="AX260" s="382"/>
      <c r="BA260" s="7"/>
      <c r="BB260" s="7"/>
      <c r="BC260" s="7"/>
      <c r="BD260" s="7"/>
      <c r="BE260" s="7"/>
      <c r="BF260" s="7"/>
    </row>
    <row r="261" spans="1:59" x14ac:dyDescent="0.25">
      <c r="A261" s="34" t="s">
        <v>142</v>
      </c>
      <c r="B261" s="227">
        <f t="shared" ref="B261:G261" si="66">B254/B255</f>
        <v>1.3203146685846132</v>
      </c>
      <c r="C261" s="227">
        <f t="shared" si="66"/>
        <v>1.3163186415313215</v>
      </c>
      <c r="D261" s="227">
        <f t="shared" si="66"/>
        <v>1.3468914379746515</v>
      </c>
      <c r="E261" s="227">
        <f t="shared" si="66"/>
        <v>1.3441772957085856</v>
      </c>
      <c r="F261" s="227">
        <f t="shared" si="66"/>
        <v>1.3289773113995034</v>
      </c>
      <c r="G261" s="227">
        <f t="shared" si="66"/>
        <v>1.3324500801018839</v>
      </c>
      <c r="H261" s="227"/>
      <c r="I261" s="232">
        <f t="shared" ref="I261:N261" si="67">I254/I255</f>
        <v>1.3216798100997695</v>
      </c>
      <c r="J261" s="232">
        <f t="shared" si="67"/>
        <v>1.3178114622182411</v>
      </c>
      <c r="K261" s="232">
        <f t="shared" si="67"/>
        <v>1.3474544515780809</v>
      </c>
      <c r="L261" s="232">
        <f t="shared" si="67"/>
        <v>1.3450442582091098</v>
      </c>
      <c r="M261" s="232">
        <f t="shared" si="67"/>
        <v>1.3311434184304338</v>
      </c>
      <c r="N261" s="232">
        <f t="shared" si="67"/>
        <v>1.3324500801018839</v>
      </c>
      <c r="O261" s="382"/>
      <c r="P261" s="232">
        <f t="shared" ref="P261:U261" si="68">P254/P255</f>
        <v>1.3225601989406632</v>
      </c>
      <c r="Q261" s="232">
        <f t="shared" si="68"/>
        <v>1.3190528635512648</v>
      </c>
      <c r="R261" s="232">
        <f t="shared" si="68"/>
        <v>1.3479263847480933</v>
      </c>
      <c r="S261" s="232">
        <f t="shared" si="68"/>
        <v>1.3457174712430455</v>
      </c>
      <c r="T261" s="232">
        <f t="shared" si="68"/>
        <v>1.3316167775958001</v>
      </c>
      <c r="U261" s="232">
        <f t="shared" si="68"/>
        <v>1.3324500801018839</v>
      </c>
      <c r="V261" s="382"/>
      <c r="W261" s="232">
        <f t="shared" ref="W261:AB261" si="69">W254/W255</f>
        <v>1.3233208397719916</v>
      </c>
      <c r="X261" s="232">
        <f t="shared" si="69"/>
        <v>1.3196886352868975</v>
      </c>
      <c r="Y261" s="232">
        <f t="shared" si="69"/>
        <v>1.3488087459668396</v>
      </c>
      <c r="Z261" s="232">
        <f t="shared" si="69"/>
        <v>1.3463247788954467</v>
      </c>
      <c r="AA261" s="232">
        <f t="shared" si="69"/>
        <v>1.3322014796327719</v>
      </c>
      <c r="AB261" s="232">
        <f t="shared" si="69"/>
        <v>1.3324500801018839</v>
      </c>
      <c r="AC261" s="382"/>
      <c r="AD261" s="232">
        <f t="shared" ref="AD261:AI261" si="70">AD254/AD255</f>
        <v>1.3241276962664446</v>
      </c>
      <c r="AE261" s="232">
        <f t="shared" si="70"/>
        <v>1.3206730865488521</v>
      </c>
      <c r="AF261" s="232">
        <f t="shared" si="70"/>
        <v>1.349638826349258</v>
      </c>
      <c r="AG261" s="232">
        <f t="shared" si="70"/>
        <v>1.3484174881768851</v>
      </c>
      <c r="AH261" s="232">
        <f t="shared" si="70"/>
        <v>1.3409042245464942</v>
      </c>
      <c r="AI261" s="232">
        <f t="shared" si="70"/>
        <v>1.3324500801018839</v>
      </c>
      <c r="AJ261" s="382"/>
      <c r="AK261" s="232">
        <f t="shared" ref="AK261:AP261" si="71">AK254/AK255</f>
        <v>1.324864241605499</v>
      </c>
      <c r="AL261" s="232">
        <f t="shared" si="71"/>
        <v>1.3215440479089544</v>
      </c>
      <c r="AM261" s="232">
        <f t="shared" si="71"/>
        <v>1.3504646391560262</v>
      </c>
      <c r="AN261" s="232">
        <f t="shared" si="71"/>
        <v>1.3545900803145441</v>
      </c>
      <c r="AO261" s="232">
        <f t="shared" si="71"/>
        <v>1.350531892798295</v>
      </c>
      <c r="AP261" s="232">
        <f t="shared" si="71"/>
        <v>1.3324500801018839</v>
      </c>
      <c r="AQ261" s="382"/>
      <c r="AR261" s="232">
        <f t="shared" ref="AR261:AW261" si="72">AR254/AR255</f>
        <v>1.3250070812020278</v>
      </c>
      <c r="AS261" s="232">
        <f t="shared" si="72"/>
        <v>1.3224680903731372</v>
      </c>
      <c r="AT261" s="232">
        <f t="shared" si="72"/>
        <v>1.3525797055232949</v>
      </c>
      <c r="AU261" s="232">
        <f t="shared" si="72"/>
        <v>1.3638283017674715</v>
      </c>
      <c r="AV261" s="232">
        <f t="shared" si="72"/>
        <v>1.3595022500454574</v>
      </c>
      <c r="AW261" s="232">
        <f t="shared" si="72"/>
        <v>1.3324500801018839</v>
      </c>
      <c r="AX261" s="382"/>
      <c r="BA261" s="7"/>
      <c r="BB261" s="7"/>
      <c r="BC261" s="7"/>
      <c r="BD261" s="7"/>
      <c r="BE261" s="7"/>
      <c r="BF261" s="7"/>
    </row>
    <row r="262" spans="1:59" x14ac:dyDescent="0.25">
      <c r="A262" s="34" t="s">
        <v>477</v>
      </c>
      <c r="B262" s="227">
        <f t="shared" ref="B262:G262" si="73">B254/B260</f>
        <v>1.7394731864174733</v>
      </c>
      <c r="C262" s="227">
        <f t="shared" si="73"/>
        <v>1.7393882664224269</v>
      </c>
      <c r="D262" s="227">
        <f t="shared" si="73"/>
        <v>1.790040346909656</v>
      </c>
      <c r="E262" s="227">
        <f t="shared" si="73"/>
        <v>1.7897511861126985</v>
      </c>
      <c r="F262" s="227">
        <f t="shared" si="73"/>
        <v>1.7685135744736544</v>
      </c>
      <c r="G262" s="227">
        <f t="shared" si="73"/>
        <v>1.770331325323067</v>
      </c>
      <c r="H262" s="227"/>
      <c r="I262" s="232">
        <f t="shared" ref="I262:N262" si="74">I254/I260</f>
        <v>1.7399836844131604</v>
      </c>
      <c r="J262" s="232">
        <f t="shared" si="74"/>
        <v>1.7395807054203087</v>
      </c>
      <c r="K262" s="232">
        <f t="shared" si="74"/>
        <v>1.7899435744907275</v>
      </c>
      <c r="L262" s="232">
        <f t="shared" si="74"/>
        <v>1.7896129079919338</v>
      </c>
      <c r="M262" s="232">
        <f t="shared" si="74"/>
        <v>1.770021332948555</v>
      </c>
      <c r="N262" s="232">
        <f t="shared" si="74"/>
        <v>1.770331325323067</v>
      </c>
      <c r="O262" s="238"/>
      <c r="P262" s="232">
        <f t="shared" ref="P262:U262" si="75">P254/P260</f>
        <v>1.7399865902027094</v>
      </c>
      <c r="Q262" s="232">
        <f t="shared" si="75"/>
        <v>1.7400639834801523</v>
      </c>
      <c r="R262" s="232">
        <f t="shared" si="75"/>
        <v>1.7894312394965881</v>
      </c>
      <c r="S262" s="232">
        <f t="shared" si="75"/>
        <v>1.7891470709671617</v>
      </c>
      <c r="T262" s="232">
        <f t="shared" si="75"/>
        <v>1.7693685729068043</v>
      </c>
      <c r="U262" s="232">
        <f t="shared" si="75"/>
        <v>1.770331325323067</v>
      </c>
      <c r="V262" s="382"/>
      <c r="W262" s="232">
        <f t="shared" ref="W262:AB262" si="76">W254/W260</f>
        <v>1.7398185444068706</v>
      </c>
      <c r="X262" s="232">
        <f t="shared" si="76"/>
        <v>1.739755985985066</v>
      </c>
      <c r="Y262" s="232">
        <f t="shared" si="76"/>
        <v>1.789176863922026</v>
      </c>
      <c r="Z262" s="232">
        <f t="shared" si="76"/>
        <v>1.7886354351872891</v>
      </c>
      <c r="AA262" s="232">
        <f t="shared" si="76"/>
        <v>1.7687752079546382</v>
      </c>
      <c r="AB262" s="232">
        <f t="shared" si="76"/>
        <v>1.770331325323067</v>
      </c>
      <c r="AC262" s="382"/>
      <c r="AD262" s="232">
        <f t="shared" ref="AD262:AI262" si="77">AD254/AD260</f>
        <v>1.7396758795297658</v>
      </c>
      <c r="AE262" s="232">
        <f t="shared" si="77"/>
        <v>1.7396549149375595</v>
      </c>
      <c r="AF262" s="232">
        <f t="shared" si="77"/>
        <v>1.7888851864349948</v>
      </c>
      <c r="AG262" s="232">
        <f t="shared" si="77"/>
        <v>1.7899999600993244</v>
      </c>
      <c r="AH262" s="232">
        <f t="shared" si="77"/>
        <v>1.7700008464998982</v>
      </c>
      <c r="AI262" s="232">
        <f t="shared" si="77"/>
        <v>1.770331325323067</v>
      </c>
      <c r="AJ262" s="382"/>
      <c r="AK262" s="232">
        <f t="shared" ref="AK262:AP262" si="78">AK254/AK260</f>
        <v>1.7394902352272703</v>
      </c>
      <c r="AL262" s="232">
        <f t="shared" si="78"/>
        <v>1.7394858379429039</v>
      </c>
      <c r="AM262" s="232">
        <f t="shared" si="78"/>
        <v>1.7885867086037215</v>
      </c>
      <c r="AN262" s="232">
        <f t="shared" si="78"/>
        <v>1.7900003326422946</v>
      </c>
      <c r="AO262" s="232">
        <f t="shared" si="78"/>
        <v>1.7700052778922595</v>
      </c>
      <c r="AP262" s="232">
        <f t="shared" si="78"/>
        <v>1.770331325323067</v>
      </c>
      <c r="AQ262" s="382"/>
      <c r="AR262" s="232">
        <f t="shared" ref="AR262:AW262" si="79">AR254/AR260</f>
        <v>1.7389534282328563</v>
      </c>
      <c r="AS262" s="232">
        <f t="shared" si="79"/>
        <v>1.7393442284410856</v>
      </c>
      <c r="AT262" s="232">
        <f t="shared" si="79"/>
        <v>1.7900002232679704</v>
      </c>
      <c r="AU262" s="232">
        <f t="shared" si="79"/>
        <v>1.7900002023956532</v>
      </c>
      <c r="AV262" s="232">
        <f t="shared" si="79"/>
        <v>1.7700131186156405</v>
      </c>
      <c r="AW262" s="232">
        <f t="shared" si="79"/>
        <v>1.770331325323067</v>
      </c>
      <c r="AX262" s="382"/>
      <c r="BA262" s="7"/>
      <c r="BB262" s="7"/>
      <c r="BC262" s="7"/>
      <c r="BD262" s="7"/>
      <c r="BE262" s="7"/>
      <c r="BF262" s="7"/>
    </row>
    <row r="263" spans="1:59" x14ac:dyDescent="0.25">
      <c r="A263" t="s">
        <v>20</v>
      </c>
      <c r="B263" s="24">
        <f>(SUMPRODUCT(B$9:B$229,Nutrients!$DX$8:$DX$228)+(IF($A$7=Nutrients!$B$8,Nutrients!$DX$8,Nutrients!$DX$9)*B$7)+(((IF($A$8=Nutrients!$B$79,Nutrients!$DX$79,(IF($A$8=Nutrients!$B$77,Nutrients!$DX$77,Nutrients!$DX$78)))))*B$8))</f>
        <v>221.26773173804173</v>
      </c>
      <c r="C263" s="24">
        <f>(SUMPRODUCT(C$9:C$229,Nutrients!$DX$8:$DX$228)+(IF($A$7=Nutrients!$B$8,Nutrients!$DX$8,Nutrients!$DX$9)*C$7)+(((IF($A$8=Nutrients!$B$79,Nutrients!$DX$79,(IF($A$8=Nutrients!$B$77,Nutrients!$DX$77,Nutrients!$DX$78)))))*C$8))</f>
        <v>211.54330280629557</v>
      </c>
      <c r="D263" s="24">
        <f>(SUMPRODUCT(D$9:D$229,Nutrients!$DX$8:$DX$228)+(IF($A$7=Nutrients!$B$8,Nutrients!$DX$8,Nutrients!$DX$9)*D$7)+(((IF($A$8=Nutrients!$B$79,Nutrients!$DX$79,(IF($A$8=Nutrients!$B$77,Nutrients!$DX$77,Nutrients!$DX$78)))))*D$8))</f>
        <v>202.16843206547495</v>
      </c>
      <c r="E263" s="24">
        <f>(SUMPRODUCT(E$9:E$229,Nutrients!$DX$8:$DX$228)+(IF($A$7=Nutrients!$B$8,Nutrients!$DX$8,Nutrients!$DX$9)*E$7)+(((IF($A$8=Nutrients!$B$79,Nutrients!$DX$79,(IF($A$8=Nutrients!$B$77,Nutrients!$DX$77,Nutrients!$DX$78)))))*E$8))</f>
        <v>195.22426532952818</v>
      </c>
      <c r="F263" s="24">
        <f>(SUMPRODUCT(F$9:F$229,Nutrients!$DX$8:$DX$228)+(IF($A$7=Nutrients!$B$8,Nutrients!$DX$8,Nutrients!$DX$9)*F$7)+(((IF($A$8=Nutrients!$B$79,Nutrients!$DX$79,(IF($A$8=Nutrients!$B$77,Nutrients!$DX$77,Nutrients!$DX$78)))))*F$8))</f>
        <v>190.24981497998971</v>
      </c>
      <c r="G263" s="24">
        <f>(SUMPRODUCT(G$9:G$229,Nutrients!$DX$8:$DX$228)+(IF($A$7=Nutrients!$B$8,Nutrients!$DX$8,Nutrients!$DX$9)*G$7)+(((IF($A$8=Nutrients!$B$79,Nutrients!$DX$79,(IF($A$8=Nutrients!$B$77,Nutrients!$DX$77,Nutrients!$DX$78)))))*G$8))</f>
        <v>187.92809138061614</v>
      </c>
      <c r="H263" s="229"/>
      <c r="I263" s="24">
        <f>(SUMPRODUCT(I$9:I$229,Nutrients!$DX$8:$DX$228)+(IF($A$7=Nutrients!$B$8,Nutrients!$DX$8,Nutrients!$DX$9)*I$7)+(((IF($A$8=Nutrients!$B$79,Nutrients!$DX$79,(IF($A$8=Nutrients!$B$77,Nutrients!$DX$77,Nutrients!$DX$78)))))*I$8))</f>
        <v>219.16586470791503</v>
      </c>
      <c r="J263" s="24">
        <f>(SUMPRODUCT(J$9:J$229,Nutrients!$DX$8:$DX$228)+(IF($A$7=Nutrients!$B$8,Nutrients!$DX$8,Nutrients!$DX$9)*J$7)+(((IF($A$8=Nutrients!$B$79,Nutrients!$DX$79,(IF($A$8=Nutrients!$B$77,Nutrients!$DX$77,Nutrients!$DX$78)))))*J$8))</f>
        <v>209.5993238555823</v>
      </c>
      <c r="K263" s="24">
        <f>(SUMPRODUCT(K$9:K$229,Nutrients!$DX$8:$DX$228)+(IF($A$7=Nutrients!$B$8,Nutrients!$DX$8,Nutrients!$DX$9)*K$7)+(((IF($A$8=Nutrients!$B$79,Nutrients!$DX$79,(IF($A$8=Nutrients!$B$77,Nutrients!$DX$77,Nutrients!$DX$78)))))*K$8))</f>
        <v>200.48706519759159</v>
      </c>
      <c r="L263" s="24">
        <f>(SUMPRODUCT(L$9:L$229,Nutrients!$DX$8:$DX$228)+(IF($A$7=Nutrients!$B$8,Nutrients!$DX$8,Nutrients!$DX$9)*L$7)+(((IF($A$8=Nutrients!$B$79,Nutrients!$DX$79,(IF($A$8=Nutrients!$B$77,Nutrients!$DX$77,Nutrients!$DX$78)))))*L$8))</f>
        <v>193.50429475572273</v>
      </c>
      <c r="M263" s="24">
        <f>(SUMPRODUCT(M$9:M$229,Nutrients!$DX$8:$DX$228)+(IF($A$7=Nutrients!$B$8,Nutrients!$DX$8,Nutrients!$DX$9)*M$7)+(((IF($A$8=Nutrients!$B$79,Nutrients!$DX$79,(IF($A$8=Nutrients!$B$77,Nutrients!$DX$77,Nutrients!$DX$78)))))*M$8))</f>
        <v>188.42069387728165</v>
      </c>
      <c r="N263" s="24">
        <f>(SUMPRODUCT(N$9:N$229,Nutrients!$DX$8:$DX$228)+(IF($A$7=Nutrients!$B$8,Nutrients!$DX$8,Nutrients!$DX$9)*N$7)+(((IF($A$8=Nutrients!$B$79,Nutrients!$DX$79,(IF($A$8=Nutrients!$B$77,Nutrients!$DX$77,Nutrients!$DX$78)))))*N$8))</f>
        <v>187.92809138061614</v>
      </c>
      <c r="P263" s="24">
        <f>(SUMPRODUCT(P$9:P$229,Nutrients!$DX$8:$DX$228)+(IF($A$7=Nutrients!$B$8,Nutrients!$DX$8,Nutrients!$DX$9)*P$7)+(((IF($A$8=Nutrients!$B$79,Nutrients!$DX$79,(IF($A$8=Nutrients!$B$77,Nutrients!$DX$77,Nutrients!$DX$78)))))*P$8))</f>
        <v>217.25484171837127</v>
      </c>
      <c r="Q263" s="24">
        <f>(SUMPRODUCT(Q$9:Q$229,Nutrients!$DX$8:$DX$228)+(IF($A$7=Nutrients!$B$8,Nutrients!$DX$8,Nutrients!$DX$9)*Q$7)+(((IF($A$8=Nutrients!$B$79,Nutrients!$DX$79,(IF($A$8=Nutrients!$B$77,Nutrients!$DX$77,Nutrients!$DX$78)))))*Q$8))</f>
        <v>207.90803566415372</v>
      </c>
      <c r="R263" s="24">
        <f>(SUMPRODUCT(R$9:R$229,Nutrients!$DX$8:$DX$228)+(IF($A$7=Nutrients!$B$8,Nutrients!$DX$8,Nutrients!$DX$9)*R$7)+(((IF($A$8=Nutrients!$B$79,Nutrients!$DX$79,(IF($A$8=Nutrients!$B$77,Nutrients!$DX$77,Nutrients!$DX$78)))))*R$8))</f>
        <v>198.84038391053457</v>
      </c>
      <c r="S263" s="24">
        <f>(SUMPRODUCT(S$9:S$229,Nutrients!$DX$8:$DX$228)+(IF($A$7=Nutrients!$B$8,Nutrients!$DX$8,Nutrients!$DX$9)*S$7)+(((IF($A$8=Nutrients!$B$79,Nutrients!$DX$79,(IF($A$8=Nutrients!$B$77,Nutrients!$DX$77,Nutrients!$DX$78)))))*S$8))</f>
        <v>191.90183959063353</v>
      </c>
      <c r="T263" s="24">
        <f>(SUMPRODUCT(T$9:T$229,Nutrients!$DX$8:$DX$228)+(IF($A$7=Nutrients!$B$8,Nutrients!$DX$8,Nutrients!$DX$9)*T$7)+(((IF($A$8=Nutrients!$B$79,Nutrients!$DX$79,(IF($A$8=Nutrients!$B$77,Nutrients!$DX$77,Nutrients!$DX$78)))))*T$8))</f>
        <v>186.87940879485626</v>
      </c>
      <c r="U263" s="24">
        <f>(SUMPRODUCT(U$9:U$229,Nutrients!$DX$8:$DX$228)+(IF($A$7=Nutrients!$B$8,Nutrients!$DX$8,Nutrients!$DX$9)*U$7)+(((IF($A$8=Nutrients!$B$79,Nutrients!$DX$79,(IF($A$8=Nutrients!$B$77,Nutrients!$DX$77,Nutrients!$DX$78)))))*U$8))</f>
        <v>187.92809138061614</v>
      </c>
      <c r="W263" s="24">
        <f>(SUMPRODUCT(W$9:W$229,Nutrients!$DX$8:$DX$228)+(IF($A$7=Nutrients!$B$8,Nutrients!$DX$8,Nutrients!$DX$9)*W$7)+(((IF($A$8=Nutrients!$B$79,Nutrients!$DX$79,(IF($A$8=Nutrients!$B$77,Nutrients!$DX$77,Nutrients!$DX$78)))))*W$8))</f>
        <v>215.40844963058765</v>
      </c>
      <c r="X263" s="24">
        <f>(SUMPRODUCT(X$9:X$229,Nutrients!$DX$8:$DX$228)+(IF($A$7=Nutrients!$B$8,Nutrients!$DX$8,Nutrients!$DX$9)*X$7)+(((IF($A$8=Nutrients!$B$79,Nutrients!$DX$79,(IF($A$8=Nutrients!$B$77,Nutrients!$DX$77,Nutrients!$DX$78)))))*X$8))</f>
        <v>206.17685226298042</v>
      </c>
      <c r="Y263" s="24">
        <f>(SUMPRODUCT(Y$9:Y$229,Nutrients!$DX$8:$DX$228)+(IF($A$7=Nutrients!$B$8,Nutrients!$DX$8,Nutrients!$DX$9)*Y$7)+(((IF($A$8=Nutrients!$B$79,Nutrients!$DX$79,(IF($A$8=Nutrients!$B$77,Nutrients!$DX$77,Nutrients!$DX$78)))))*Y$8))</f>
        <v>197.19712300052555</v>
      </c>
      <c r="Z263" s="24">
        <f>(SUMPRODUCT(Z$9:Z$229,Nutrients!$DX$8:$DX$228)+(IF($A$7=Nutrients!$B$8,Nutrients!$DX$8,Nutrients!$DX$9)*Z$7)+(((IF($A$8=Nutrients!$B$79,Nutrients!$DX$79,(IF($A$8=Nutrients!$B$77,Nutrients!$DX$77,Nutrients!$DX$78)))))*Z$8))</f>
        <v>190.46749361891673</v>
      </c>
      <c r="AA263" s="24">
        <f>(SUMPRODUCT(AA$9:AA$229,Nutrients!$DX$8:$DX$228)+(IF($A$7=Nutrients!$B$8,Nutrients!$DX$8,Nutrients!$DX$9)*AA$7)+(((IF($A$8=Nutrients!$B$79,Nutrients!$DX$79,(IF($A$8=Nutrients!$B$77,Nutrients!$DX$77,Nutrients!$DX$78)))))*AA$8))</f>
        <v>185.76804739707728</v>
      </c>
      <c r="AB263" s="24">
        <f>(SUMPRODUCT(AB$9:AB$229,Nutrients!$DX$8:$DX$228)+(IF($A$7=Nutrients!$B$8,Nutrients!$DX$8,Nutrients!$DX$9)*AB$7)+(((IF($A$8=Nutrients!$B$79,Nutrients!$DX$79,(IF($A$8=Nutrients!$B$77,Nutrients!$DX$77,Nutrients!$DX$78)))))*AB$8))</f>
        <v>187.92809138061614</v>
      </c>
      <c r="AD263" s="24">
        <f>(SUMPRODUCT(AD$9:AD$229,Nutrients!$DX$8:$DX$228)+(IF($A$7=Nutrients!$B$8,Nutrients!$DX$8,Nutrients!$DX$9)*AD$7)+(((IF($A$8=Nutrients!$B$79,Nutrients!$DX$79,(IF($A$8=Nutrients!$B$77,Nutrients!$DX$77,Nutrients!$DX$78)))))*AD$8))</f>
        <v>213.68286818105867</v>
      </c>
      <c r="AE263" s="24">
        <f>(SUMPRODUCT(AE$9:AE$229,Nutrients!$DX$8:$DX$228)+(IF($A$7=Nutrients!$B$8,Nutrients!$DX$8,Nutrients!$DX$9)*AE$7)+(((IF($A$8=Nutrients!$B$79,Nutrients!$DX$79,(IF($A$8=Nutrients!$B$77,Nutrients!$DX$77,Nutrients!$DX$78)))))*AE$8))</f>
        <v>204.4829319818146</v>
      </c>
      <c r="AF263" s="24">
        <f>(SUMPRODUCT(AF$9:AF$229,Nutrients!$DX$8:$DX$228)+(IF($A$7=Nutrients!$B$8,Nutrients!$DX$8,Nutrients!$DX$9)*AF$7)+(((IF($A$8=Nutrients!$B$79,Nutrients!$DX$79,(IF($A$8=Nutrients!$B$77,Nutrients!$DX$77,Nutrients!$DX$78)))))*AF$8))</f>
        <v>195.74599046763265</v>
      </c>
      <c r="AG263" s="24">
        <f>(SUMPRODUCT(AG$9:AG$229,Nutrients!$DX$8:$DX$228)+(IF($A$7=Nutrients!$B$8,Nutrients!$DX$8,Nutrients!$DX$9)*AG$7)+(((IF($A$8=Nutrients!$B$79,Nutrients!$DX$79,(IF($A$8=Nutrients!$B$77,Nutrients!$DX$77,Nutrients!$DX$78)))))*AG$8))</f>
        <v>189.37134308718575</v>
      </c>
      <c r="AH263" s="24">
        <f>(SUMPRODUCT(AH$9:AH$229,Nutrients!$DX$8:$DX$228)+(IF($A$7=Nutrients!$B$8,Nutrients!$DX$8,Nutrients!$DX$9)*AH$7)+(((IF($A$8=Nutrients!$B$79,Nutrients!$DX$79,(IF($A$8=Nutrients!$B$77,Nutrients!$DX$77,Nutrients!$DX$78)))))*AH$8))</f>
        <v>184.88434812784908</v>
      </c>
      <c r="AI263" s="24">
        <f>(SUMPRODUCT(AI$9:AI$229,Nutrients!$DX$8:$DX$228)+(IF($A$7=Nutrients!$B$8,Nutrients!$DX$8,Nutrients!$DX$9)*AI$7)+(((IF($A$8=Nutrients!$B$79,Nutrients!$DX$79,(IF($A$8=Nutrients!$B$77,Nutrients!$DX$77,Nutrients!$DX$78)))))*AI$8))</f>
        <v>187.92809138061614</v>
      </c>
      <c r="AK263" s="24">
        <f>(SUMPRODUCT(AK$9:AK$229,Nutrients!$DX$8:$DX$228)+(IF($A$7=Nutrients!$B$8,Nutrients!$DX$8,Nutrients!$DX$9)*AK$7)+(((IF($A$8=Nutrients!$B$79,Nutrients!$DX$79,(IF($A$8=Nutrients!$B$77,Nutrients!$DX$77,Nutrients!$DX$78)))))*AK$8))</f>
        <v>211.98308047970517</v>
      </c>
      <c r="AL263" s="24">
        <f>(SUMPRODUCT(AL$9:AL$229,Nutrients!$DX$8:$DX$228)+(IF($A$7=Nutrients!$B$8,Nutrients!$DX$8,Nutrients!$DX$9)*AL$7)+(((IF($A$8=Nutrients!$B$79,Nutrients!$DX$79,(IF($A$8=Nutrients!$B$77,Nutrients!$DX$77,Nutrients!$DX$78)))))*AL$8))</f>
        <v>202.69639773944195</v>
      </c>
      <c r="AM263" s="24">
        <f>(SUMPRODUCT(AM$9:AM$229,Nutrients!$DX$8:$DX$228)+(IF($A$7=Nutrients!$B$8,Nutrients!$DX$8,Nutrients!$DX$9)*AM$7)+(((IF($A$8=Nutrients!$B$79,Nutrients!$DX$79,(IF($A$8=Nutrients!$B$77,Nutrients!$DX$77,Nutrients!$DX$78)))))*AM$8))</f>
        <v>194.40419016380727</v>
      </c>
      <c r="AN263" s="24">
        <f>(SUMPRODUCT(AN$9:AN$229,Nutrients!$DX$8:$DX$228)+(IF($A$7=Nutrients!$B$8,Nutrients!$DX$8,Nutrients!$DX$9)*AN$7)+(((IF($A$8=Nutrients!$B$79,Nutrients!$DX$79,(IF($A$8=Nutrients!$B$77,Nutrients!$DX$77,Nutrients!$DX$78)))))*AN$8))</f>
        <v>188.38337359082476</v>
      </c>
      <c r="AO263" s="24">
        <f>(SUMPRODUCT(AO$9:AO$229,Nutrients!$DX$8:$DX$228)+(IF($A$7=Nutrients!$B$8,Nutrients!$DX$8,Nutrients!$DX$9)*AO$7)+(((IF($A$8=Nutrients!$B$79,Nutrients!$DX$79,(IF($A$8=Nutrients!$B$77,Nutrients!$DX$77,Nutrients!$DX$78)))))*AO$8))</f>
        <v>184.0351250466604</v>
      </c>
      <c r="AP263" s="24">
        <f>(SUMPRODUCT(AP$9:AP$229,Nutrients!$DX$8:$DX$228)+(IF($A$7=Nutrients!$B$8,Nutrients!$DX$8,Nutrients!$DX$9)*AP$7)+(((IF($A$8=Nutrients!$B$79,Nutrients!$DX$79,(IF($A$8=Nutrients!$B$77,Nutrients!$DX$77,Nutrients!$DX$78)))))*AP$8))</f>
        <v>187.92809138061614</v>
      </c>
      <c r="AR263" s="24">
        <f>(SUMPRODUCT(AR$9:AR$229,Nutrients!$DX$8:$DX$228)+(IF($A$7=Nutrients!$B$8,Nutrients!$DX$8,Nutrients!$DX$9)*AR$7)+(((IF($A$8=Nutrients!$B$79,Nutrients!$DX$79,(IF($A$8=Nutrients!$B$77,Nutrients!$DX$77,Nutrients!$DX$78)))))*AR$8))</f>
        <v>210.39759928430823</v>
      </c>
      <c r="AS263" s="24">
        <f>(SUMPRODUCT(AS$9:AS$229,Nutrients!$DX$8:$DX$228)+(IF($A$7=Nutrients!$B$8,Nutrients!$DX$8,Nutrients!$DX$9)*AS$7)+(((IF($A$8=Nutrients!$B$79,Nutrients!$DX$79,(IF($A$8=Nutrients!$B$77,Nutrients!$DX$77,Nutrients!$DX$78)))))*AS$8))</f>
        <v>201.14830704012817</v>
      </c>
      <c r="AT263" s="24">
        <f>(SUMPRODUCT(AT$9:AT$229,Nutrients!$DX$8:$DX$228)+(IF($A$7=Nutrients!$B$8,Nutrients!$DX$8,Nutrients!$DX$9)*AT$7)+(((IF($A$8=Nutrients!$B$79,Nutrients!$DX$79,(IF($A$8=Nutrients!$B$77,Nutrients!$DX$77,Nutrients!$DX$78)))))*AT$8))</f>
        <v>193.23230692506709</v>
      </c>
      <c r="AU263" s="24">
        <f>(SUMPRODUCT(AU$9:AU$229,Nutrients!$DX$8:$DX$228)+(IF($A$7=Nutrients!$B$8,Nutrients!$DX$8,Nutrients!$DX$9)*AU$7)+(((IF($A$8=Nutrients!$B$79,Nutrients!$DX$79,(IF($A$8=Nutrients!$B$77,Nutrients!$DX$77,Nutrients!$DX$78)))))*AU$8))</f>
        <v>187.50844694573112</v>
      </c>
      <c r="AV263" s="24">
        <f>(SUMPRODUCT(AV$9:AV$229,Nutrients!$DX$8:$DX$228)+(IF($A$7=Nutrients!$B$8,Nutrients!$DX$8,Nutrients!$DX$9)*AV$7)+(((IF($A$8=Nutrients!$B$79,Nutrients!$DX$79,(IF($A$8=Nutrients!$B$77,Nutrients!$DX$77,Nutrients!$DX$78)))))*AV$8))</f>
        <v>183.18628381435167</v>
      </c>
      <c r="AW263" s="24">
        <f>(SUMPRODUCT(AW$9:AW$229,Nutrients!$DX$8:$DX$228)+(IF($A$7=Nutrients!$B$8,Nutrients!$DX$8,Nutrients!$DX$9)*AW$7)+(((IF($A$8=Nutrients!$B$79,Nutrients!$DX$79,(IF($A$8=Nutrients!$B$77,Nutrients!$DX$77,Nutrients!$DX$78)))))*AW$8))</f>
        <v>187.92809138061614</v>
      </c>
    </row>
    <row r="264" spans="1:59" x14ac:dyDescent="0.25">
      <c r="A264" t="s">
        <v>21</v>
      </c>
      <c r="B264" s="25">
        <f>IF(B$5="","",B263+Nutrients!$DV$5)</f>
        <v>233.26773173804173</v>
      </c>
      <c r="C264" s="25">
        <f>IF(C$5="","",C263+Nutrients!$DV$5)</f>
        <v>223.54330280629557</v>
      </c>
      <c r="D264" s="25">
        <f>IF(D$5="","",D263+Nutrients!$DV$5)</f>
        <v>214.16843206547495</v>
      </c>
      <c r="E264" s="25">
        <f>IF(E$5="","",E263+Nutrients!$DV$5)</f>
        <v>207.22426532952818</v>
      </c>
      <c r="F264" s="25">
        <f>IF(F$5="","",F263+Nutrients!$DV$5)</f>
        <v>202.24981497998971</v>
      </c>
      <c r="G264" s="25">
        <f>IF(G$5="","",G263+Nutrients!$DV$5)</f>
        <v>199.92809138061614</v>
      </c>
      <c r="H264" s="230"/>
      <c r="I264" s="25">
        <f>IF(I$5="","",I263+Nutrients!$DV$5)</f>
        <v>231.16586470791503</v>
      </c>
      <c r="J264" s="25">
        <f>IF(J$5="","",J263+Nutrients!$DV$5)</f>
        <v>221.5993238555823</v>
      </c>
      <c r="K264" s="25">
        <f>IF(K$5="","",K263+Nutrients!$DV$5)</f>
        <v>212.48706519759159</v>
      </c>
      <c r="L264" s="25">
        <f>IF(L$5="","",L263+Nutrients!$DV$5)</f>
        <v>205.50429475572273</v>
      </c>
      <c r="M264" s="25">
        <f>IF(M$5="","",M263+Nutrients!$DV$5)</f>
        <v>200.42069387728165</v>
      </c>
      <c r="N264" s="25">
        <f>IF(N$5="","",N263+Nutrients!$DV$5)</f>
        <v>199.92809138061614</v>
      </c>
      <c r="O264" s="236"/>
      <c r="P264" s="25">
        <f>IF(P$5="","",P263+Nutrients!$DV$5)</f>
        <v>229.25484171837127</v>
      </c>
      <c r="Q264" s="25">
        <f>IF(Q$5="","",Q263+Nutrients!$DV$5)</f>
        <v>219.90803566415372</v>
      </c>
      <c r="R264" s="25">
        <f>IF(R$5="","",R263+Nutrients!$DV$5)</f>
        <v>210.84038391053457</v>
      </c>
      <c r="S264" s="25">
        <f>IF(S$5="","",S263+Nutrients!$DV$5)</f>
        <v>203.90183959063353</v>
      </c>
      <c r="T264" s="25">
        <f>IF(T$5="","",T263+Nutrients!$DV$5)</f>
        <v>198.87940879485626</v>
      </c>
      <c r="U264" s="25">
        <f>IF(U$5="","",U263+Nutrients!$DV$5)</f>
        <v>199.92809138061614</v>
      </c>
      <c r="W264" s="25">
        <f>IF(W$5="","",W263+Nutrients!$DV$5)</f>
        <v>227.40844963058765</v>
      </c>
      <c r="X264" s="25">
        <f>IF(X$5="","",X263+Nutrients!$DV$5)</f>
        <v>218.17685226298042</v>
      </c>
      <c r="Y264" s="25">
        <f>IF(Y$5="","",Y263+Nutrients!$DV$5)</f>
        <v>209.19712300052555</v>
      </c>
      <c r="Z264" s="25">
        <f>IF(Z$5="","",Z263+Nutrients!$DV$5)</f>
        <v>202.46749361891673</v>
      </c>
      <c r="AA264" s="25">
        <f>IF(AA$5="","",AA263+Nutrients!$DV$5)</f>
        <v>197.76804739707728</v>
      </c>
      <c r="AB264" s="25">
        <f>IF(AB$5="","",AB263+Nutrients!$DV$5)</f>
        <v>199.92809138061614</v>
      </c>
      <c r="AD264" s="25">
        <f>IF(AD$5="","",AD263+Nutrients!$DV$5)</f>
        <v>225.68286818105867</v>
      </c>
      <c r="AE264" s="25">
        <f>IF(AE$5="","",AE263+Nutrients!$DV$5)</f>
        <v>216.4829319818146</v>
      </c>
      <c r="AF264" s="25">
        <f>IF(AF$5="","",AF263+Nutrients!$DV$5)</f>
        <v>207.74599046763265</v>
      </c>
      <c r="AG264" s="25">
        <f>IF(AG$5="","",AG263+Nutrients!$DV$5)</f>
        <v>201.37134308718575</v>
      </c>
      <c r="AH264" s="25">
        <f>IF(AH$5="","",AH263+Nutrients!$DV$5)</f>
        <v>196.88434812784908</v>
      </c>
      <c r="AI264" s="25">
        <f>IF(AI$5="","",AI263+Nutrients!$DV$5)</f>
        <v>199.92809138061614</v>
      </c>
      <c r="AK264" s="25">
        <f>IF(AK$5="","",AK263+Nutrients!$DV$5)</f>
        <v>223.98308047970517</v>
      </c>
      <c r="AL264" s="25">
        <f>IF(AL$5="","",AL263+Nutrients!$DV$5)</f>
        <v>214.69639773944195</v>
      </c>
      <c r="AM264" s="25">
        <f>IF(AM$5="","",AM263+Nutrients!$DV$5)</f>
        <v>206.40419016380727</v>
      </c>
      <c r="AN264" s="25">
        <f>IF(AN$5="","",AN263+Nutrients!$DV$5)</f>
        <v>200.38337359082476</v>
      </c>
      <c r="AO264" s="25">
        <f>IF(AO$5="","",AO263+Nutrients!$DV$5)</f>
        <v>196.0351250466604</v>
      </c>
      <c r="AP264" s="25">
        <f>IF(AP$5="","",AP263+Nutrients!$DV$5)</f>
        <v>199.92809138061614</v>
      </c>
      <c r="AR264" s="25">
        <f>IF(AR$5="","",AR263+Nutrients!$DV$5)</f>
        <v>222.39759928430823</v>
      </c>
      <c r="AS264" s="25">
        <f>IF(AS$5="","",AS263+Nutrients!$DV$5)</f>
        <v>213.14830704012817</v>
      </c>
      <c r="AT264" s="25">
        <f>IF(AT$5="","",AT263+Nutrients!$DV$5)</f>
        <v>205.23230692506709</v>
      </c>
      <c r="AU264" s="25">
        <f>IF(AU$5="","",AU263+Nutrients!$DV$5)</f>
        <v>199.50844694573112</v>
      </c>
      <c r="AV264" s="25">
        <f>IF(AV$5="","",AV263+Nutrients!$DV$5)</f>
        <v>195.18628381435167</v>
      </c>
      <c r="AW264" s="25">
        <f>IF(AW$5="","",AW263+Nutrients!$DV$5)</f>
        <v>199.92809138061614</v>
      </c>
    </row>
    <row r="265" spans="1:59" x14ac:dyDescent="0.25">
      <c r="A265" s="34" t="s">
        <v>541</v>
      </c>
      <c r="B265" s="371">
        <v>64.670241098095005</v>
      </c>
      <c r="C265" s="371">
        <v>73.763156713761802</v>
      </c>
      <c r="D265" s="371">
        <v>95.43493291654417</v>
      </c>
      <c r="E265" s="371">
        <v>107.31139412884363</v>
      </c>
      <c r="F265" s="371">
        <v>119.18785534114284</v>
      </c>
      <c r="G265" s="371">
        <v>148.28241980161249</v>
      </c>
      <c r="H265" s="91">
        <f>SUM(B265:G265)</f>
        <v>608.65</v>
      </c>
      <c r="I265" s="371">
        <f>($B$265*$B$250/I250)-($B$265*$B$250/I250)/(I6-I5)*I268</f>
        <v>64.747437580907231</v>
      </c>
      <c r="J265" s="371">
        <f>($C$265*$C$250/J250)-($C$265*$C$250/J250)/(J6-J5)*J268</f>
        <v>73.921130002190367</v>
      </c>
      <c r="K265" s="371">
        <f>($D$265*$D$250/K250)-($D$265*$D$250/K250)/(K6-K5)*K268</f>
        <v>95.596567443474342</v>
      </c>
      <c r="L265" s="371">
        <f>($E$265*$E$250/L250)-($E$265*$E$250/L250)/(L6-L5)*L268</f>
        <v>107.30285759887951</v>
      </c>
      <c r="M265" s="371">
        <f>($F$265*$F$250/M250)-($F$265*$F$250/M250)/(M6-M5)*M268</f>
        <v>118.76552119687163</v>
      </c>
      <c r="N265" s="371">
        <f>($G$265*$G$250/N250)-($G$265*$G$250/N250)/(N6-N5)*N268</f>
        <v>148.28241980161249</v>
      </c>
      <c r="O265" s="91">
        <f>SUM(I265:N265)</f>
        <v>608.61593362393558</v>
      </c>
      <c r="P265" s="371">
        <f>($B$265*$B$250/P250)-($B$265*$B$250/P250)/(P6-P5)*P268</f>
        <v>64.939905694473097</v>
      </c>
      <c r="Q265" s="371">
        <f>($C$265*$C$250/Q250)-($C$265*$C$250/Q250)/(Q6-Q5)*Q268</f>
        <v>74.178310748408308</v>
      </c>
      <c r="R265" s="371">
        <f>($D$265*$D$250/R250)-($D$265*$D$250/R250)/(R6-R5)*R268</f>
        <v>95.865865448278157</v>
      </c>
      <c r="S265" s="371">
        <f>($E$265*$E$250/S250)-($E$265*$E$250/S250)/(S6-S5)*S268</f>
        <v>107.33979946917425</v>
      </c>
      <c r="T265" s="371">
        <f>($F$265*$F$250/T250)-($F$265*$F$250/T250)/(T6-T5)*T268</f>
        <v>118.4116407499326</v>
      </c>
      <c r="U265" s="371">
        <f>($G$265*$G$250/U250)-($G$265*$G$250/U250)/(U6-U5)*U268</f>
        <v>148.28241980161249</v>
      </c>
      <c r="V265" s="91">
        <f>SUM(P265:U265)</f>
        <v>609.01794191187889</v>
      </c>
      <c r="W265" s="371">
        <f>($B$265*$B$250/W250)-($B$265*$B$250/W250)/(W6-W5)*W268</f>
        <v>65.203752307387106</v>
      </c>
      <c r="X265" s="371">
        <f>($C$265*$C$250/X250)-($C$265*$C$250/X250)/(X6-X5)*X268</f>
        <v>74.495038080297178</v>
      </c>
      <c r="Y265" s="371">
        <f>($D$265*$D$250/Y250)-($D$265*$D$250/Y250)/(Y6-Y5)*Y268</f>
        <v>96.148147548251586</v>
      </c>
      <c r="Z265" s="371">
        <f>($E$265*$E$250/Z250)-($E$265*$E$250/Z250)/(Z6-Z5)*Z268</f>
        <v>107.44665924111253</v>
      </c>
      <c r="AA265" s="371">
        <f>($F$265*$F$250/AA250)-($F$265*$F$250/AA250)/(AA6-AA5)*AA268</f>
        <v>118.0883719295216</v>
      </c>
      <c r="AB265" s="371">
        <f>($G$265*$G$250/AB250)-($G$265*$G$250/AB250)/(AB6-AB5)*AB268</f>
        <v>148.28241980161249</v>
      </c>
      <c r="AC265" s="91">
        <f>SUM(W265:AB265)</f>
        <v>609.66438890818245</v>
      </c>
      <c r="AD265" s="371">
        <f>($B$265*$B$250/AD250)-($B$265*$B$250/AD250)/(AD6-AD5)*AD268</f>
        <v>65.54053689313838</v>
      </c>
      <c r="AE265" s="371">
        <f>($C$265*$C$250/AE250)-($C$265*$C$250/AE250)/(AE6-AE5)*AE268</f>
        <v>74.846789124193165</v>
      </c>
      <c r="AF265" s="371">
        <f>($D$265*$D$250/AF250)-($D$265*$D$250/AF250)/(AF6-AF5)*AF268</f>
        <v>96.509960473562387</v>
      </c>
      <c r="AG265" s="371">
        <f>($E$265*$E$250/AG250)-($E$265*$E$250/AG250)/(AG6-AG5)*AG268</f>
        <v>107.60459991070412</v>
      </c>
      <c r="AH265" s="371">
        <f>($F$265*$F$250/AH250)-($F$265*$F$250/AH250)/(AH6-AH5)*AH268</f>
        <v>117.8573706667184</v>
      </c>
      <c r="AI265" s="371">
        <f>($G$265*$G$250/AI250)-($G$265*$G$250/AI250)/(AI6-AI5)*AI268</f>
        <v>148.28241980161249</v>
      </c>
      <c r="AJ265" s="91">
        <f>SUM(AD265:AI265)</f>
        <v>610.64167686992892</v>
      </c>
      <c r="AK265" s="371">
        <f>($B$265*$B$250/AK250)-($B$265*$B$250/AK250)/(AK6-AK5)*AK268</f>
        <v>65.955811176786028</v>
      </c>
      <c r="AL265" s="371">
        <f>($C$265*$C$250/AL250)-($C$265*$C$250/AL250)/(AL6-AL5)*AL268</f>
        <v>75.276510448246839</v>
      </c>
      <c r="AM265" s="371">
        <f>($D$265*$D$250/AM250)-($D$265*$D$250/AM250)/(AM6-AM5)*AM268</f>
        <v>96.945703260221052</v>
      </c>
      <c r="AN265" s="371">
        <f>($E$265*$E$250/AN250)-($E$265*$E$250/AN250)/(AN6-AN5)*AN268</f>
        <v>107.86348337217572</v>
      </c>
      <c r="AO265" s="371">
        <f>($F$265*$F$250/AO250)-($F$265*$F$250/AO250)/(AO6-AO5)*AO268</f>
        <v>117.70326602306585</v>
      </c>
      <c r="AP265" s="371">
        <f>($G$265*$G$250/AP250)-($G$265*$G$250/AP250)/(AP6-AP5)*AP268</f>
        <v>148.28241980161249</v>
      </c>
      <c r="AQ265" s="91">
        <f>SUM(AK265:AP265)</f>
        <v>612.02719408210805</v>
      </c>
      <c r="AR265" s="371">
        <f>($B$265*$B$250/AR250)-($B$265*$B$250/AR250)/(AR6-AR5)*AR268</f>
        <v>66.456208463197754</v>
      </c>
      <c r="AS265" s="371">
        <f>($C$265*$C$250/AS250)-($C$265*$C$250/AS250)/(AS6-AS5)*AS268</f>
        <v>75.77972939142488</v>
      </c>
      <c r="AT265" s="371">
        <f>($D$265*$D$250/AT250)-($D$265*$D$250/AT250)/(AT6-AT5)*AT268</f>
        <v>97.459494277371164</v>
      </c>
      <c r="AU265" s="371">
        <f>($E$265*$E$250/AU250)-($E$265*$E$250/AU250)/(AU6-AU5)*AU268</f>
        <v>108.22352211185532</v>
      </c>
      <c r="AV265" s="371">
        <f>($F$265*$F$250/AV250)-($F$265*$F$250/AV250)/(AV6-AV5)*AV268</f>
        <v>117.61381298773611</v>
      </c>
      <c r="AW265" s="371">
        <f>($G$265*$G$250/AW250)-($G$265*$G$250/AW250)/(AW6-AW5)*AW268</f>
        <v>148.28241980161249</v>
      </c>
      <c r="AX265" s="91">
        <f>SUM(AR265:AW265)</f>
        <v>613.81518703319773</v>
      </c>
      <c r="AY265" s="91"/>
      <c r="AZ265" s="117"/>
      <c r="BA265" s="117"/>
      <c r="BB265" s="117"/>
      <c r="BC265" s="117"/>
      <c r="BD265" s="117"/>
      <c r="BE265" s="117"/>
    </row>
    <row r="266" spans="1:59" x14ac:dyDescent="0.25">
      <c r="A266" s="34" t="s">
        <v>111</v>
      </c>
      <c r="B266" s="25">
        <f t="shared" ref="B266:G266" si="80">IF(B$265="","",B265*B264/2000)</f>
        <v>7.5427402259524534</v>
      </c>
      <c r="C266" s="25">
        <f t="shared" si="80"/>
        <v>8.244629838606345</v>
      </c>
      <c r="D266" s="25">
        <f t="shared" si="80"/>
        <v>10.219574973505026</v>
      </c>
      <c r="E266" s="25">
        <f t="shared" si="80"/>
        <v>11.118762404918533</v>
      </c>
      <c r="F266" s="25">
        <f t="shared" si="80"/>
        <v>12.052860845303957</v>
      </c>
      <c r="G266" s="25">
        <f t="shared" si="80"/>
        <v>14.822910588117834</v>
      </c>
      <c r="H266" s="91">
        <f>SUM(B266:G266)</f>
        <v>64.00147887640415</v>
      </c>
      <c r="I266" s="25">
        <f t="shared" ref="I266:N266" si="81">IF(I$265="","",I265*I264/2000)</f>
        <v>7.4836986980060871</v>
      </c>
      <c r="J266" s="25">
        <f t="shared" si="81"/>
        <v>8.1904362135629913</v>
      </c>
      <c r="K266" s="25">
        <f t="shared" si="81"/>
        <v>10.156517029513747</v>
      </c>
      <c r="L266" s="25">
        <f t="shared" si="81"/>
        <v>11.025599038065739</v>
      </c>
      <c r="M266" s="25">
        <f t="shared" si="81"/>
        <v>11.901534083487007</v>
      </c>
      <c r="N266" s="25">
        <f t="shared" si="81"/>
        <v>14.822910588117834</v>
      </c>
      <c r="O266" s="91">
        <f>SUM(I266:N266)</f>
        <v>63.580695650753412</v>
      </c>
      <c r="P266" s="25">
        <f t="shared" ref="P266:U266" si="82">IF(P$265="","",P265*P264/2000)</f>
        <v>7.4438939005961942</v>
      </c>
      <c r="Q266" s="25">
        <f t="shared" si="82"/>
        <v>8.1562033027838243</v>
      </c>
      <c r="R266" s="25">
        <f t="shared" si="82"/>
        <v>10.10619793751531</v>
      </c>
      <c r="S266" s="25">
        <f t="shared" si="82"/>
        <v>10.943391286527168</v>
      </c>
      <c r="T266" s="25">
        <f t="shared" si="82"/>
        <v>11.774818553387753</v>
      </c>
      <c r="U266" s="25">
        <f t="shared" si="82"/>
        <v>14.822910588117834</v>
      </c>
      <c r="V266" s="91">
        <f>SUM(P266:U266)</f>
        <v>63.247415568928083</v>
      </c>
      <c r="W266" s="25">
        <f t="shared" ref="W266:AB266" si="83">IF(W$265="","",W265*W264/2000)</f>
        <v>7.4139421111598764</v>
      </c>
      <c r="X266" s="25">
        <f t="shared" si="83"/>
        <v>8.1265464587850484</v>
      </c>
      <c r="Y266" s="25">
        <f t="shared" si="83"/>
        <v>10.056957924462132</v>
      </c>
      <c r="Z266" s="25">
        <f t="shared" si="83"/>
        <v>10.877227897136937</v>
      </c>
      <c r="AA266" s="25">
        <f t="shared" si="83"/>
        <v>11.677053368400658</v>
      </c>
      <c r="AB266" s="25">
        <f t="shared" si="83"/>
        <v>14.822910588117834</v>
      </c>
      <c r="AC266" s="91">
        <f>SUM(W266:AB266)</f>
        <v>62.974638348062491</v>
      </c>
      <c r="AD266" s="25">
        <f t="shared" ref="AD266:AI266" si="84">IF(AD$265="","",AD265*AD264/2000)</f>
        <v>7.39568817408498</v>
      </c>
      <c r="AE266" s="25">
        <f t="shared" si="84"/>
        <v>8.1015261795149645</v>
      </c>
      <c r="AF266" s="25">
        <f t="shared" si="84"/>
        <v>10.024778664286149</v>
      </c>
      <c r="AG266" s="25">
        <f t="shared" si="84"/>
        <v>10.834241403188878</v>
      </c>
      <c r="AH266" s="25">
        <f t="shared" si="84"/>
        <v>11.602135797889567</v>
      </c>
      <c r="AI266" s="25">
        <f t="shared" si="84"/>
        <v>14.822910588117834</v>
      </c>
      <c r="AJ266" s="91">
        <f>SUM(AD266:AI266)</f>
        <v>62.781280807082375</v>
      </c>
      <c r="AK266" s="25">
        <f t="shared" ref="AK266:AP266" si="85">IF(AK$265="","",AK265*AK264/2000)</f>
        <v>7.3864928814571513</v>
      </c>
      <c r="AL266" s="25">
        <f t="shared" si="85"/>
        <v>8.0807978138170302</v>
      </c>
      <c r="AM266" s="25">
        <f t="shared" si="85"/>
        <v>10.004999685643348</v>
      </c>
      <c r="AN266" s="25">
        <f t="shared" si="85"/>
        <v>10.8070243426872</v>
      </c>
      <c r="AO266" s="25">
        <f t="shared" si="85"/>
        <v>11.536987236616023</v>
      </c>
      <c r="AP266" s="25">
        <f t="shared" si="85"/>
        <v>14.822910588117834</v>
      </c>
      <c r="AQ266" s="91">
        <f>SUM(AK266:AP266)</f>
        <v>62.639212548338584</v>
      </c>
      <c r="AR266" s="25">
        <f t="shared" ref="AR266:AW266" si="86">IF(AR$265="","",AR265*AR264/2000)</f>
        <v>7.3898506098763539</v>
      </c>
      <c r="AS266" s="25">
        <f t="shared" si="86"/>
        <v>8.0761605138706276</v>
      </c>
      <c r="AT266" s="25">
        <f t="shared" si="86"/>
        <v>10.000918421147629</v>
      </c>
      <c r="AU266" s="25">
        <f t="shared" si="86"/>
        <v>10.795753409766624</v>
      </c>
      <c r="AV266" s="25">
        <f t="shared" si="86"/>
        <v>11.478301541156171</v>
      </c>
      <c r="AW266" s="25">
        <f t="shared" si="86"/>
        <v>14.822910588117834</v>
      </c>
      <c r="AX266" s="91">
        <f>SUM(AR266:AW266)</f>
        <v>62.563895083935243</v>
      </c>
      <c r="AY266" s="91"/>
      <c r="AZ266" s="13"/>
      <c r="BA266" s="13"/>
    </row>
    <row r="267" spans="1:59" x14ac:dyDescent="0.25">
      <c r="A267" s="34" t="s">
        <v>517</v>
      </c>
      <c r="B267" s="370">
        <f t="shared" ref="B267:G267" si="87">B342*0.00220462</f>
        <v>1.6321378734194845</v>
      </c>
      <c r="C267" s="370">
        <f t="shared" si="87"/>
        <v>1.9015014314603687</v>
      </c>
      <c r="D267" s="370">
        <f t="shared" si="87"/>
        <v>2.0832697080984475</v>
      </c>
      <c r="E267" s="370">
        <f t="shared" si="87"/>
        <v>2.1697909739378729</v>
      </c>
      <c r="F267" s="370">
        <f t="shared" si="87"/>
        <v>2.165030725567227</v>
      </c>
      <c r="G267" s="370">
        <f t="shared" si="87"/>
        <v>2.0548911695876653</v>
      </c>
      <c r="H267" s="448"/>
      <c r="I267" s="378">
        <f t="shared" ref="I267:N267" si="88">I342*0.00220462</f>
        <v>1.6203560357453834</v>
      </c>
      <c r="J267" s="378">
        <f t="shared" si="88"/>
        <v>1.8894452465992644</v>
      </c>
      <c r="K267" s="378">
        <f t="shared" si="88"/>
        <v>2.0694180136965357</v>
      </c>
      <c r="L267" s="378">
        <f t="shared" si="88"/>
        <v>2.151433970194125</v>
      </c>
      <c r="M267" s="378">
        <f t="shared" si="88"/>
        <v>2.1393008156269522</v>
      </c>
      <c r="N267" s="378">
        <f t="shared" si="88"/>
        <v>2.0548911695876653</v>
      </c>
      <c r="O267" s="91"/>
      <c r="P267" s="378">
        <f t="shared" ref="P267:U267" si="89">P342*0.00220462</f>
        <v>1.6112741707755625</v>
      </c>
      <c r="Q267" s="378">
        <f t="shared" si="89"/>
        <v>1.8798895016486989</v>
      </c>
      <c r="R267" s="378">
        <f t="shared" si="89"/>
        <v>2.0576205051596923</v>
      </c>
      <c r="S267" s="378">
        <f t="shared" si="89"/>
        <v>2.1340634360538431</v>
      </c>
      <c r="T267" s="378">
        <f t="shared" si="89"/>
        <v>2.1149979476689058</v>
      </c>
      <c r="U267" s="378">
        <f t="shared" si="89"/>
        <v>2.0548911695876653</v>
      </c>
      <c r="V267" s="2"/>
      <c r="W267" s="378">
        <f t="shared" ref="W267:AB267" si="90">W342*0.00220462</f>
        <v>1.6038952753081919</v>
      </c>
      <c r="X267" s="378">
        <f t="shared" si="90"/>
        <v>1.8717190864343911</v>
      </c>
      <c r="Y267" s="378">
        <f t="shared" si="90"/>
        <v>2.0461589361478998</v>
      </c>
      <c r="Z267" s="378">
        <f t="shared" si="90"/>
        <v>2.1180971601365686</v>
      </c>
      <c r="AA267" s="378">
        <f t="shared" si="90"/>
        <v>2.0915440386856172</v>
      </c>
      <c r="AB267" s="378">
        <f t="shared" si="90"/>
        <v>2.0548911695876653</v>
      </c>
      <c r="AC267" s="2"/>
      <c r="AD267" s="378">
        <f t="shared" ref="AD267:AI267" si="91">AD342*0.00220462</f>
        <v>1.598230057086039</v>
      </c>
      <c r="AE267" s="378">
        <f t="shared" si="91"/>
        <v>1.8644343752145927</v>
      </c>
      <c r="AF267" s="378">
        <f t="shared" si="91"/>
        <v>2.0363163242013318</v>
      </c>
      <c r="AG267" s="378">
        <f t="shared" si="91"/>
        <v>2.1032298079835123</v>
      </c>
      <c r="AH267" s="378">
        <f t="shared" si="91"/>
        <v>2.0683594611675247</v>
      </c>
      <c r="AI267" s="378">
        <f t="shared" si="91"/>
        <v>2.0548911695876653</v>
      </c>
      <c r="AJ267" s="2"/>
      <c r="AK267" s="378">
        <f t="shared" ref="AK267:AP267" si="92">AK342*0.00220462</f>
        <v>1.5943034969604615</v>
      </c>
      <c r="AL267" s="378">
        <f t="shared" si="92"/>
        <v>1.8588496824230634</v>
      </c>
      <c r="AM267" s="378">
        <f t="shared" si="92"/>
        <v>2.0279356303026748</v>
      </c>
      <c r="AN267" s="378">
        <f t="shared" si="92"/>
        <v>2.089090909318001</v>
      </c>
      <c r="AO267" s="378">
        <f t="shared" si="92"/>
        <v>2.0460704779280126</v>
      </c>
      <c r="AP267" s="378">
        <f t="shared" si="92"/>
        <v>2.0548911695876653</v>
      </c>
      <c r="AQ267" s="2"/>
      <c r="AR267" s="378">
        <f t="shared" ref="AR267:AW267" si="93">AR342*0.00220462</f>
        <v>1.5920363862934326</v>
      </c>
      <c r="AS267" s="378">
        <f t="shared" si="93"/>
        <v>1.8549815101464444</v>
      </c>
      <c r="AT267" s="378">
        <f t="shared" si="93"/>
        <v>2.0210391858127648</v>
      </c>
      <c r="AU267" s="378">
        <f t="shared" si="93"/>
        <v>2.0759585304399599</v>
      </c>
      <c r="AV267" s="378">
        <f t="shared" si="93"/>
        <v>2.0249451840920929</v>
      </c>
      <c r="AW267" s="378">
        <f t="shared" si="93"/>
        <v>2.0548911695876653</v>
      </c>
      <c r="AX267" s="2"/>
      <c r="AZ267" s="375"/>
      <c r="BA267" s="378"/>
    </row>
    <row r="268" spans="1:59" x14ac:dyDescent="0.25">
      <c r="A268" s="302" t="s">
        <v>545</v>
      </c>
      <c r="B268" s="303"/>
      <c r="C268" s="303"/>
      <c r="D268" s="303"/>
      <c r="E268" s="303"/>
      <c r="F268" s="303"/>
      <c r="G268" s="303"/>
      <c r="H268" s="303"/>
      <c r="I268" s="304">
        <f>($B$6-$B$5)-(($B$6-$B$5)/$B$267)*I267</f>
        <v>0.25265287039114526</v>
      </c>
      <c r="J268" s="304">
        <f>($C$6-$C$5)-(($C$6-$C$5)/$C$267)*J267</f>
        <v>0.22191225478835719</v>
      </c>
      <c r="K268" s="304">
        <f>($D$6-$D$5)-(($D$6-$D$5)/$D$267)*K267</f>
        <v>0.26596065498509347</v>
      </c>
      <c r="L268" s="304">
        <f>($E$6-$E$5)-(($E$6-$E$5)/$E$267)*L267</f>
        <v>0.33841054671607651</v>
      </c>
      <c r="M268" s="304">
        <f>($F$6-$F$5)-(($F$6-$F$5)/$F$267)*M267</f>
        <v>0.47537265197072287</v>
      </c>
      <c r="N268" s="304">
        <f>($G$6-$G$5)-(($G$6-$G$5)/$G$267)*N267</f>
        <v>0</v>
      </c>
      <c r="O268" s="305"/>
      <c r="P268" s="304">
        <f>($B$6-$B$5)-(($B$6-$B$5)/$B$267)*P267</f>
        <v>0.44740680577883296</v>
      </c>
      <c r="Q268" s="304">
        <f>($C$6-$C$5)-(($C$6-$C$5)/$C$267)*Q267</f>
        <v>0.3978001440827228</v>
      </c>
      <c r="R268" s="304">
        <f>($D$6-$D$5)-(($D$6-$D$5)/$D$267)*R267</f>
        <v>0.49247973681078605</v>
      </c>
      <c r="S268" s="304">
        <f>($E$6-$E$5)-(($E$6-$E$5)/$E$267)*S267</f>
        <v>0.65863557021236119</v>
      </c>
      <c r="T268" s="304">
        <f>($F$6-$F$5)-(($F$6-$F$5)/$F$267)*T267</f>
        <v>0.92438000638929196</v>
      </c>
      <c r="U268" s="304">
        <f>($G$6-$G$5)-(($G$6-$G$5)/$G$267)*U267</f>
        <v>0</v>
      </c>
      <c r="V268" s="305"/>
      <c r="W268" s="304">
        <f>($B$6-$B$5)-(($B$6-$B$5)/$B$267)*W267</f>
        <v>0.6056418088162232</v>
      </c>
      <c r="X268" s="304">
        <f>($C$6-$C$5)-(($C$6-$C$5)/$C$267)*X267</f>
        <v>0.54818895145856317</v>
      </c>
      <c r="Y268" s="304">
        <f>($D$6-$D$5)-(($D$6-$D$5)/$D$267)*Y267</f>
        <v>0.71254858276456901</v>
      </c>
      <c r="Z268" s="304">
        <f>($E$6-$E$5)-(($E$6-$E$5)/$E$267)*Z267</f>
        <v>0.95297315588859988</v>
      </c>
      <c r="AA268" s="304">
        <f>($F$6-$F$5)-(($F$6-$F$5)/$F$267)*AA267</f>
        <v>1.3577024291395503</v>
      </c>
      <c r="AB268" s="304">
        <f>($G$6-$G$5)-(($G$6-$G$5)/$G$267)*AB267</f>
        <v>0</v>
      </c>
      <c r="AC268" s="305"/>
      <c r="AD268" s="304">
        <f>($B$6-$B$5)-(($B$6-$B$5)/$B$267)*AD267</f>
        <v>0.72712825981066231</v>
      </c>
      <c r="AE268" s="304">
        <f>($C$6-$C$5)-(($C$6-$C$5)/$C$267)*AE267</f>
        <v>0.68227504178410925</v>
      </c>
      <c r="AF268" s="304">
        <f>($D$6-$D$5)-(($D$6-$D$5)/$D$267)*AF267</f>
        <v>0.90153250372893012</v>
      </c>
      <c r="AG268" s="304">
        <f>($E$6-$E$5)-(($E$6-$E$5)/$E$267)*AG267</f>
        <v>1.2270521308983291</v>
      </c>
      <c r="AH268" s="304">
        <f>($F$6-$F$5)-(($F$6-$F$5)/$F$267)*AH267</f>
        <v>1.7860488215357719</v>
      </c>
      <c r="AI268" s="304">
        <f>($G$6-$G$5)-(($G$6-$G$5)/$G$267)*AI267</f>
        <v>0</v>
      </c>
      <c r="AJ268" s="305"/>
      <c r="AK268" s="304">
        <f>($B$6-$B$5)-(($B$6-$B$5)/$B$267)*AK267</f>
        <v>0.81133046272093878</v>
      </c>
      <c r="AL268" s="304">
        <f>($C$6-$C$5)-(($C$6-$C$5)/$C$267)*AL267</f>
        <v>0.78506973048092732</v>
      </c>
      <c r="AM268" s="304">
        <f>($D$6-$D$5)-(($D$6-$D$5)/$D$267)*AM267</f>
        <v>1.0624467409220912</v>
      </c>
      <c r="AN268" s="304">
        <f>($E$6-$E$5)-(($E$6-$E$5)/$E$267)*AN267</f>
        <v>1.4877020982977456</v>
      </c>
      <c r="AO268" s="304">
        <f>($F$6-$F$5)-(($F$6-$F$5)/$F$267)*AO267</f>
        <v>2.197848672250089</v>
      </c>
      <c r="AP268" s="304">
        <f>($G$6-$G$5)-(($G$6-$G$5)/$G$267)*AP267</f>
        <v>0</v>
      </c>
      <c r="AQ268" s="305"/>
      <c r="AR268" s="304">
        <f>($B$6-$B$5)-(($B$6-$B$5)/$B$267)*AR267</f>
        <v>0.8599469887131761</v>
      </c>
      <c r="AS268" s="304">
        <f>($C$6-$C$5)-(($C$6-$C$5)/$C$267)*AS267</f>
        <v>0.85626927177061418</v>
      </c>
      <c r="AT268" s="304">
        <f>($D$6-$D$5)-(($D$6-$D$5)/$D$267)*AT267</f>
        <v>1.194862519121159</v>
      </c>
      <c r="AU268" s="304">
        <f>($E$6-$E$5)-(($E$6-$E$5)/$E$267)*AU267</f>
        <v>1.7297969182279402</v>
      </c>
      <c r="AV268" s="304">
        <f>($F$6-$F$5)-(($F$6-$F$5)/$F$267)*AV267</f>
        <v>2.5881487929171456</v>
      </c>
      <c r="AW268" s="304">
        <f>($G$6-$G$5)-(($G$6-$G$5)/$G$267)*AW267</f>
        <v>0</v>
      </c>
      <c r="AX268" s="305"/>
    </row>
    <row r="269" spans="1:59" x14ac:dyDescent="0.25">
      <c r="A269" s="34" t="s">
        <v>543</v>
      </c>
      <c r="B269" s="371">
        <v>64.670241098095005</v>
      </c>
      <c r="C269" s="371">
        <v>73.763156713761802</v>
      </c>
      <c r="D269" s="371">
        <v>95.43493291654417</v>
      </c>
      <c r="E269" s="371">
        <v>107.31139412884363</v>
      </c>
      <c r="F269" s="371">
        <v>119.18785534114284</v>
      </c>
      <c r="G269" s="371">
        <v>148.28241980161249</v>
      </c>
      <c r="H269" s="91">
        <f>SUM(B269:G269)</f>
        <v>608.65</v>
      </c>
      <c r="I269" s="371">
        <f>($B$269*$B$250/I250)</f>
        <v>65.21822534764722</v>
      </c>
      <c r="J269" s="371">
        <f>($C$269*$C$250/J250)</f>
        <v>74.392806442697022</v>
      </c>
      <c r="K269" s="371">
        <f>($D$269*$D$250/K250)</f>
        <v>96.236445143066518</v>
      </c>
      <c r="L269" s="371">
        <f>($E$269*$E$250/L250)</f>
        <v>108.21841391431678</v>
      </c>
      <c r="M269" s="371">
        <f>($F$269*$F$250/M250)</f>
        <v>120.19394404516085</v>
      </c>
      <c r="N269" s="371">
        <f>($G$269*$G$250/N250)</f>
        <v>148.28241980161249</v>
      </c>
      <c r="O269" s="91">
        <f>SUM(I269:N269)</f>
        <v>612.5422546945008</v>
      </c>
      <c r="P269" s="371">
        <f>($B$269*$B$250/P250)</f>
        <v>65.780784861226991</v>
      </c>
      <c r="Q269" s="371">
        <f>($C$269*$C$250/Q250)</f>
        <v>75.031093023130751</v>
      </c>
      <c r="R269" s="371">
        <f>($D$269*$D$250/R250)</f>
        <v>97.060878343812774</v>
      </c>
      <c r="S269" s="371">
        <f>($E$269*$E$250/S250)</f>
        <v>109.13683449972166</v>
      </c>
      <c r="T269" s="371">
        <f>($F$269*$F$250/T250)</f>
        <v>121.21280815945514</v>
      </c>
      <c r="U269" s="371">
        <f>($G$269*$G$250/U250)</f>
        <v>148.28241980161249</v>
      </c>
      <c r="V269" s="91">
        <f>SUM(P269:U269)</f>
        <v>616.50481868895974</v>
      </c>
      <c r="W269" s="371">
        <f>($B$269*$B$250/W250)</f>
        <v>66.351909172810849</v>
      </c>
      <c r="X269" s="371">
        <f>($C$269*$C$250/X250)</f>
        <v>75.680385252803305</v>
      </c>
      <c r="Y269" s="371">
        <f>($D$269*$D$250/Y250)</f>
        <v>97.891967108939355</v>
      </c>
      <c r="Z269" s="371">
        <f>($E$269*$E$250/Z250)</f>
        <v>110.06897879326382</v>
      </c>
      <c r="AA269" s="371">
        <f>($F$269*$F$250/AA250)</f>
        <v>122.23742308590904</v>
      </c>
      <c r="AB269" s="371">
        <f>($G$269*$G$250/AB250)</f>
        <v>148.28241980161249</v>
      </c>
      <c r="AC269" s="91">
        <f>SUM(W269:AB269)</f>
        <v>620.51308321533884</v>
      </c>
      <c r="AD269" s="371">
        <f>($B$269*$B$250/AD250)</f>
        <v>66.931035387090986</v>
      </c>
      <c r="AE269" s="371">
        <f>($C$269*$C$250/AE250)</f>
        <v>76.334827630221511</v>
      </c>
      <c r="AF269" s="371">
        <f>($D$269*$D$250/AF250)</f>
        <v>98.735287241390537</v>
      </c>
      <c r="AG269" s="371">
        <f>($E$269*$E$250/AG250)</f>
        <v>111.00997558811328</v>
      </c>
      <c r="AH269" s="371">
        <f>($F$269*$F$250/AH250)</f>
        <v>123.365804406154</v>
      </c>
      <c r="AI269" s="371">
        <f>($G$269*$G$250/AI250)</f>
        <v>148.28241980161249</v>
      </c>
      <c r="AJ269" s="91">
        <f>SUM(AD269:AI269)</f>
        <v>624.65935005458277</v>
      </c>
      <c r="AK269" s="371">
        <f>($B$269*$B$250/AK250)</f>
        <v>67.521006884178135</v>
      </c>
      <c r="AL269" s="371">
        <f>($C$269*$C$250/AL250)</f>
        <v>77.003747923338167</v>
      </c>
      <c r="AM269" s="371">
        <f>($D$269*$D$250/AM250)</f>
        <v>99.590955410244334</v>
      </c>
      <c r="AN269" s="371">
        <f>($E$269*$E$250/AN250)</f>
        <v>112.03017139873975</v>
      </c>
      <c r="AO269" s="371">
        <f>($F$269*$F$250/AO250)</f>
        <v>124.54663228297476</v>
      </c>
      <c r="AP269" s="371">
        <f>($G$269*$G$250/AP250)</f>
        <v>148.28241980161249</v>
      </c>
      <c r="AQ269" s="91">
        <f>SUM(AK269:AP269)</f>
        <v>628.97493370108759</v>
      </c>
      <c r="AR269" s="371">
        <f>($B$269*$B$250/AR250)</f>
        <v>68.130160648636021</v>
      </c>
      <c r="AS269" s="371">
        <f>($C$269*$C$250/AS250)</f>
        <v>77.680161837353282</v>
      </c>
      <c r="AT269" s="371">
        <f>($D$269*$D$250/AT250)</f>
        <v>100.46040354877665</v>
      </c>
      <c r="AU269" s="371">
        <f>($E$269*$E$250/AU250)</f>
        <v>113.11517932697016</v>
      </c>
      <c r="AV269" s="371">
        <f>($F$269*$F$250/AV250)</f>
        <v>125.75032690760764</v>
      </c>
      <c r="AW269" s="371">
        <f>($G$269*$G$250/AW250)</f>
        <v>148.28241980161249</v>
      </c>
      <c r="AX269" s="91">
        <f>SUM(AR269:AW269)</f>
        <v>633.41865207095634</v>
      </c>
      <c r="AY269" s="91"/>
      <c r="AZ269" s="117"/>
      <c r="BA269" s="117"/>
      <c r="BB269" s="117"/>
      <c r="BC269" s="117"/>
      <c r="BD269" s="117"/>
      <c r="BE269" s="117"/>
    </row>
    <row r="270" spans="1:59" x14ac:dyDescent="0.25">
      <c r="A270" s="34" t="s">
        <v>544</v>
      </c>
      <c r="B270" s="25">
        <f t="shared" ref="B270:G270" si="94">B269*B264/2000</f>
        <v>7.5427402259524534</v>
      </c>
      <c r="C270" s="25">
        <f t="shared" si="94"/>
        <v>8.244629838606345</v>
      </c>
      <c r="D270" s="25">
        <f t="shared" si="94"/>
        <v>10.219574973505026</v>
      </c>
      <c r="E270" s="25">
        <f t="shared" si="94"/>
        <v>11.118762404918533</v>
      </c>
      <c r="F270" s="25">
        <f t="shared" si="94"/>
        <v>12.052860845303957</v>
      </c>
      <c r="G270" s="25">
        <f t="shared" si="94"/>
        <v>14.822910588117834</v>
      </c>
      <c r="H270" s="230"/>
      <c r="I270" s="25">
        <f t="shared" ref="I270:N270" si="95">I269*I264/2000</f>
        <v>7.5381137286022657</v>
      </c>
      <c r="J270" s="25">
        <f t="shared" si="95"/>
        <v>8.242697803710433</v>
      </c>
      <c r="K270" s="25">
        <f t="shared" si="95"/>
        <v>10.224499896749609</v>
      </c>
      <c r="L270" s="25">
        <f t="shared" si="95"/>
        <v>11.119674415522281</v>
      </c>
      <c r="M270" s="25">
        <f t="shared" si="95"/>
        <v>12.04467683268915</v>
      </c>
      <c r="N270" s="25">
        <f t="shared" si="95"/>
        <v>14.822910588117834</v>
      </c>
      <c r="O270" s="199"/>
      <c r="P270" s="25">
        <f t="shared" ref="P270:U270" si="96">P269*P264/2000</f>
        <v>7.540281710735413</v>
      </c>
      <c r="Q270" s="25">
        <f t="shared" si="96"/>
        <v>8.2499701402255354</v>
      </c>
      <c r="R270" s="25">
        <f t="shared" si="96"/>
        <v>10.23217642635159</v>
      </c>
      <c r="S270" s="25">
        <f t="shared" si="96"/>
        <v>11.126600660795882</v>
      </c>
      <c r="T270" s="25">
        <f t="shared" si="96"/>
        <v>12.053365812558383</v>
      </c>
      <c r="U270" s="25">
        <f t="shared" si="96"/>
        <v>14.822910588117834</v>
      </c>
      <c r="W270" s="25">
        <f t="shared" ref="W270:AB270" si="97">W269*W264/2000</f>
        <v>7.5444923975092415</v>
      </c>
      <c r="X270" s="25">
        <f t="shared" si="97"/>
        <v>8.255854116253154</v>
      </c>
      <c r="Y270" s="25">
        <f t="shared" si="97"/>
        <v>10.239358942026094</v>
      </c>
      <c r="Z270" s="25">
        <f t="shared" si="97"/>
        <v>11.142695130732912</v>
      </c>
      <c r="AA270" s="25">
        <f t="shared" si="97"/>
        <v>12.087328241275324</v>
      </c>
      <c r="AB270" s="25">
        <f t="shared" si="97"/>
        <v>14.822910588117834</v>
      </c>
      <c r="AD270" s="25">
        <f t="shared" ref="AD270:AI270" si="98">AD269*AD264/2000</f>
        <v>7.5525940182433144</v>
      </c>
      <c r="AE270" s="25">
        <f t="shared" si="98"/>
        <v>8.2625936488583918</v>
      </c>
      <c r="AF270" s="25">
        <f t="shared" si="98"/>
        <v>10.255930021034445</v>
      </c>
      <c r="AG270" s="25">
        <f t="shared" si="98"/>
        <v>11.177113940127038</v>
      </c>
      <c r="AH270" s="25">
        <f t="shared" si="98"/>
        <v>12.144397990886681</v>
      </c>
      <c r="AI270" s="25">
        <f t="shared" si="98"/>
        <v>14.822910588117834</v>
      </c>
      <c r="AK270" s="25">
        <f t="shared" ref="AK270:AP270" si="99">AK269*AK264/2000</f>
        <v>7.5617815595047988</v>
      </c>
      <c r="AL270" s="25">
        <f t="shared" si="99"/>
        <v>8.266213645788369</v>
      </c>
      <c r="AM270" s="25">
        <f t="shared" si="99"/>
        <v>10.277995249545661</v>
      </c>
      <c r="AN270" s="25">
        <f t="shared" si="99"/>
        <v>11.2244918444189</v>
      </c>
      <c r="AO270" s="25">
        <f t="shared" si="99"/>
        <v>12.207757316866694</v>
      </c>
      <c r="AP270" s="25">
        <f t="shared" si="99"/>
        <v>14.822910588117834</v>
      </c>
      <c r="AR270" s="25">
        <f t="shared" ref="AR270:AW270" si="100">AR269*AR264/2000</f>
        <v>7.5759920835554491</v>
      </c>
      <c r="AS270" s="25">
        <f t="shared" si="100"/>
        <v>8.2786974931175124</v>
      </c>
      <c r="AT270" s="25">
        <f t="shared" si="100"/>
        <v>10.308860187469314</v>
      </c>
      <c r="AU270" s="25">
        <f t="shared" si="100"/>
        <v>11.283716876755845</v>
      </c>
      <c r="AV270" s="25">
        <f t="shared" si="100"/>
        <v>12.272369498767905</v>
      </c>
      <c r="AW270" s="25">
        <f t="shared" si="100"/>
        <v>14.822910588117834</v>
      </c>
      <c r="AZ270" s="369"/>
    </row>
    <row r="271" spans="1:59" x14ac:dyDescent="0.25">
      <c r="B271" s="366"/>
      <c r="C271" s="366"/>
      <c r="D271" s="366"/>
      <c r="E271" s="366"/>
      <c r="F271" s="366"/>
      <c r="G271" s="366"/>
      <c r="H271" s="379"/>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K271" s="366"/>
      <c r="AL271" s="366"/>
      <c r="AM271" s="366"/>
      <c r="AN271" s="366"/>
      <c r="AO271" s="366"/>
      <c r="AP271" s="366"/>
      <c r="AR271" s="366"/>
      <c r="AS271" s="366"/>
      <c r="AT271" s="366"/>
      <c r="AU271" s="366"/>
      <c r="AV271" s="366"/>
      <c r="AW271" s="366"/>
      <c r="AY271" s="2"/>
      <c r="AZ271" s="13"/>
      <c r="BB271" s="379"/>
      <c r="BC271" s="379"/>
      <c r="BD271" s="379"/>
      <c r="BE271" s="379"/>
      <c r="BF271" s="379"/>
      <c r="BG271" s="379"/>
    </row>
    <row r="272" spans="1:59" x14ac:dyDescent="0.25">
      <c r="A272" s="17" t="s">
        <v>49</v>
      </c>
      <c r="B272" s="293"/>
      <c r="C272" s="293"/>
      <c r="D272" s="293"/>
      <c r="E272" s="293"/>
      <c r="F272" s="293"/>
      <c r="G272" s="293"/>
      <c r="H272" s="293"/>
      <c r="I272" s="374"/>
      <c r="J272" s="374"/>
      <c r="K272" s="374"/>
      <c r="L272" s="374"/>
      <c r="M272" s="374"/>
      <c r="N272" s="374"/>
      <c r="O272" s="2"/>
      <c r="P272" s="435"/>
      <c r="Q272" s="435"/>
      <c r="R272" s="435"/>
      <c r="S272" s="435"/>
      <c r="T272" s="435"/>
      <c r="U272" s="435"/>
      <c r="W272" s="293"/>
      <c r="X272" s="293"/>
      <c r="Y272" s="293"/>
      <c r="Z272" s="374"/>
      <c r="AA272" s="293"/>
      <c r="AB272" s="293"/>
      <c r="AD272" s="293"/>
      <c r="AE272" s="293"/>
      <c r="AF272" s="293"/>
      <c r="AG272" s="374"/>
      <c r="AH272" s="293"/>
      <c r="AI272" s="293"/>
      <c r="AK272" s="293"/>
      <c r="AL272" s="293"/>
      <c r="AM272" s="293"/>
      <c r="AN272" s="293"/>
      <c r="AO272" s="293"/>
      <c r="AP272" s="293"/>
      <c r="AR272" s="293"/>
      <c r="AS272" s="293"/>
      <c r="AT272" s="293"/>
      <c r="AU272" s="293"/>
      <c r="AV272" s="293"/>
      <c r="AW272" s="293"/>
      <c r="AZ272" s="13"/>
      <c r="BA272" s="13"/>
    </row>
    <row r="273" spans="1:53" x14ac:dyDescent="0.25">
      <c r="A273" s="42" t="s">
        <v>402</v>
      </c>
      <c r="B273" s="14">
        <v>0.56000000000000005</v>
      </c>
      <c r="C273" s="14">
        <v>0.56000000000000005</v>
      </c>
      <c r="D273" s="14">
        <v>0.56000000000000005</v>
      </c>
      <c r="E273" s="14">
        <v>0.56000000000000005</v>
      </c>
      <c r="F273" s="14">
        <v>0.56000000000000005</v>
      </c>
      <c r="G273" s="14">
        <v>0.56000000000000005</v>
      </c>
      <c r="H273" s="403"/>
      <c r="I273" s="14">
        <v>0.56000000000000005</v>
      </c>
      <c r="J273" s="14">
        <v>0.56000000000000005</v>
      </c>
      <c r="K273" s="14">
        <v>0.56000000000000005</v>
      </c>
      <c r="L273" s="14">
        <v>0.56000000000000005</v>
      </c>
      <c r="M273" s="14">
        <v>0.56000000000000005</v>
      </c>
      <c r="N273" s="14">
        <v>0.56000000000000005</v>
      </c>
      <c r="P273" s="14">
        <v>0.56000000000000005</v>
      </c>
      <c r="Q273" s="14">
        <v>0.56000000000000005</v>
      </c>
      <c r="R273" s="14">
        <v>0.56000000000000005</v>
      </c>
      <c r="S273" s="14">
        <v>0.56000000000000005</v>
      </c>
      <c r="T273" s="14">
        <v>0.56000000000000005</v>
      </c>
      <c r="U273" s="14">
        <v>0.56000000000000005</v>
      </c>
      <c r="W273" s="14">
        <v>0.56000000000000005</v>
      </c>
      <c r="X273" s="14">
        <v>0.56000000000000005</v>
      </c>
      <c r="Y273" s="14">
        <v>0.56000000000000005</v>
      </c>
      <c r="Z273" s="14">
        <v>0.56000000000000005</v>
      </c>
      <c r="AA273" s="14">
        <v>0.56000000000000005</v>
      </c>
      <c r="AB273" s="14">
        <v>0.56000000000000005</v>
      </c>
      <c r="AD273" s="14">
        <v>0.56000000000000005</v>
      </c>
      <c r="AE273" s="14">
        <v>0.56000000000000005</v>
      </c>
      <c r="AF273" s="14">
        <v>0.56000000000000005</v>
      </c>
      <c r="AG273" s="14">
        <v>0.56000000000000005</v>
      </c>
      <c r="AH273" s="14">
        <v>0.56000000000000005</v>
      </c>
      <c r="AI273" s="14">
        <v>0.56000000000000005</v>
      </c>
      <c r="AK273" s="14">
        <v>0.56000000000000005</v>
      </c>
      <c r="AL273" s="14">
        <v>0.56000000000000005</v>
      </c>
      <c r="AM273" s="14">
        <v>0.56000000000000005</v>
      </c>
      <c r="AN273" s="14">
        <v>0.56000000000000005</v>
      </c>
      <c r="AO273" s="14">
        <v>0.56000000000000005</v>
      </c>
      <c r="AP273" s="14">
        <v>0.56000000000000005</v>
      </c>
      <c r="AR273" s="14">
        <v>0.56000000000000005</v>
      </c>
      <c r="AS273" s="14">
        <v>0.56000000000000005</v>
      </c>
      <c r="AT273" s="14">
        <v>0.56000000000000005</v>
      </c>
      <c r="AU273" s="14">
        <v>0.56000000000000005</v>
      </c>
      <c r="AV273" s="14">
        <v>0.56000000000000005</v>
      </c>
      <c r="AW273" s="14">
        <v>0.56000000000000005</v>
      </c>
      <c r="BA273" s="2"/>
    </row>
    <row r="274" spans="1:53" x14ac:dyDescent="0.25">
      <c r="A274" s="42" t="s">
        <v>401</v>
      </c>
      <c r="B274" s="14"/>
      <c r="C274" s="14"/>
      <c r="D274" s="14"/>
      <c r="E274" s="14"/>
      <c r="F274" s="14"/>
      <c r="G274" s="14"/>
      <c r="H274" s="231"/>
      <c r="I274" s="14"/>
      <c r="J274" s="14"/>
      <c r="K274" s="14"/>
      <c r="L274" s="14"/>
      <c r="M274" s="14"/>
      <c r="N274" s="14"/>
      <c r="O274" s="200"/>
      <c r="P274" s="14"/>
      <c r="Q274" s="14"/>
      <c r="R274" s="14"/>
      <c r="S274" s="14"/>
      <c r="T274" s="14"/>
      <c r="U274" s="14"/>
      <c r="W274" s="14"/>
      <c r="X274" s="14"/>
      <c r="Y274" s="14"/>
      <c r="Z274" s="14"/>
      <c r="AA274" s="14"/>
      <c r="AB274" s="14"/>
      <c r="AD274" s="14"/>
      <c r="AE274" s="14"/>
      <c r="AF274" s="14"/>
      <c r="AG274" s="14"/>
      <c r="AH274" s="14"/>
      <c r="AI274" s="14"/>
      <c r="AK274" s="14"/>
      <c r="AL274" s="14"/>
      <c r="AM274" s="14"/>
      <c r="AN274" s="14"/>
      <c r="AO274" s="14"/>
      <c r="AP274" s="14"/>
      <c r="AR274" s="14"/>
      <c r="AS274" s="14"/>
      <c r="AT274" s="14"/>
      <c r="AU274" s="14"/>
      <c r="AV274" s="14"/>
      <c r="AW274" s="14"/>
    </row>
    <row r="275" spans="1:53" x14ac:dyDescent="0.25">
      <c r="A275" s="43" t="s">
        <v>400</v>
      </c>
      <c r="B275" s="14">
        <f t="shared" ref="B275:G275" si="101" xml:space="preserve"> 0.000000416*((B5+B6)/2)^2 - 0.000036654*((B5+B6)/2) + 0.280606061</f>
        <v>0.28002731600000003</v>
      </c>
      <c r="C275" s="14">
        <f t="shared" si="101"/>
        <v>0.281219626</v>
      </c>
      <c r="D275" s="14">
        <f t="shared" si="101"/>
        <v>0.28362810100000002</v>
      </c>
      <c r="E275" s="14">
        <f t="shared" si="101"/>
        <v>0.28748674100000005</v>
      </c>
      <c r="F275" s="14">
        <f t="shared" si="101"/>
        <v>0.29267658100000005</v>
      </c>
      <c r="G275" s="14">
        <f t="shared" si="101"/>
        <v>0.29964938600000002</v>
      </c>
      <c r="H275" s="231"/>
      <c r="I275" s="14">
        <f t="shared" ref="I275:N275" si="102" xml:space="preserve"> 0.000000416*((I5+I6)/2)^2 - 0.000036654*((I5+I6)/2) + 0.280606061</f>
        <v>0.28002731600000003</v>
      </c>
      <c r="J275" s="14">
        <f t="shared" si="102"/>
        <v>0.281219626</v>
      </c>
      <c r="K275" s="14">
        <f t="shared" si="102"/>
        <v>0.28362810100000002</v>
      </c>
      <c r="L275" s="14">
        <f t="shared" si="102"/>
        <v>0.28748674100000005</v>
      </c>
      <c r="M275" s="14">
        <f t="shared" si="102"/>
        <v>0.29267658100000005</v>
      </c>
      <c r="N275" s="14">
        <f t="shared" si="102"/>
        <v>0.29964938600000002</v>
      </c>
      <c r="O275" s="200"/>
      <c r="P275" s="14">
        <f t="shared" ref="P275:U275" si="103" xml:space="preserve"> 0.000000416*((P5+P6)/2)^2 - 0.000036654*((P5+P6)/2) + 0.280606061</f>
        <v>0.28002731600000003</v>
      </c>
      <c r="Q275" s="14">
        <f t="shared" si="103"/>
        <v>0.281219626</v>
      </c>
      <c r="R275" s="14">
        <f t="shared" si="103"/>
        <v>0.28362810100000002</v>
      </c>
      <c r="S275" s="14">
        <f t="shared" si="103"/>
        <v>0.28748674100000005</v>
      </c>
      <c r="T275" s="14">
        <f t="shared" si="103"/>
        <v>0.29267658100000005</v>
      </c>
      <c r="U275" s="14">
        <f t="shared" si="103"/>
        <v>0.29964938600000002</v>
      </c>
      <c r="W275" s="14">
        <f t="shared" ref="W275:AB275" si="104" xml:space="preserve"> 0.000000416*((W5+W6)/2)^2 - 0.000036654*((W5+W6)/2) + 0.280606061</f>
        <v>0.28002731600000003</v>
      </c>
      <c r="X275" s="14">
        <f t="shared" si="104"/>
        <v>0.281219626</v>
      </c>
      <c r="Y275" s="14">
        <f t="shared" si="104"/>
        <v>0.28362810100000002</v>
      </c>
      <c r="Z275" s="14">
        <f t="shared" si="104"/>
        <v>0.28748674100000005</v>
      </c>
      <c r="AA275" s="14">
        <f t="shared" si="104"/>
        <v>0.29267658100000005</v>
      </c>
      <c r="AB275" s="14">
        <f t="shared" si="104"/>
        <v>0.29964938600000002</v>
      </c>
      <c r="AD275" s="14">
        <f t="shared" ref="AD275:AI275" si="105" xml:space="preserve"> 0.000000416*((AD5+AD6)/2)^2 - 0.000036654*((AD5+AD6)/2) + 0.280606061</f>
        <v>0.28002731600000003</v>
      </c>
      <c r="AE275" s="14">
        <f t="shared" si="105"/>
        <v>0.281219626</v>
      </c>
      <c r="AF275" s="14">
        <f t="shared" si="105"/>
        <v>0.28362810100000002</v>
      </c>
      <c r="AG275" s="14">
        <f t="shared" si="105"/>
        <v>0.28748674100000005</v>
      </c>
      <c r="AH275" s="14">
        <f t="shared" si="105"/>
        <v>0.29267658100000005</v>
      </c>
      <c r="AI275" s="14">
        <f t="shared" si="105"/>
        <v>0.29964938600000002</v>
      </c>
      <c r="AK275" s="14">
        <f t="shared" ref="AK275:AP275" si="106" xml:space="preserve"> 0.000000416*((AK5+AK6)/2)^2 - 0.000036654*((AK5+AK6)/2) + 0.280606061</f>
        <v>0.28002731600000003</v>
      </c>
      <c r="AL275" s="14">
        <f t="shared" si="106"/>
        <v>0.281219626</v>
      </c>
      <c r="AM275" s="14">
        <f t="shared" si="106"/>
        <v>0.28362810100000002</v>
      </c>
      <c r="AN275" s="14">
        <f t="shared" si="106"/>
        <v>0.28748674100000005</v>
      </c>
      <c r="AO275" s="14">
        <f t="shared" si="106"/>
        <v>0.29267658100000005</v>
      </c>
      <c r="AP275" s="14">
        <f t="shared" si="106"/>
        <v>0.29964938600000002</v>
      </c>
      <c r="AR275" s="14">
        <f t="shared" ref="AR275:AW275" si="107" xml:space="preserve"> 0.000000416*((AR5+AR6)/2)^2 - 0.000036654*((AR5+AR6)/2) + 0.280606061</f>
        <v>0.28002731600000003</v>
      </c>
      <c r="AS275" s="14">
        <f t="shared" si="107"/>
        <v>0.281219626</v>
      </c>
      <c r="AT275" s="14">
        <f t="shared" si="107"/>
        <v>0.28362810100000002</v>
      </c>
      <c r="AU275" s="14">
        <f t="shared" si="107"/>
        <v>0.28748674100000005</v>
      </c>
      <c r="AV275" s="14">
        <f t="shared" si="107"/>
        <v>0.29267658100000005</v>
      </c>
      <c r="AW275" s="14">
        <f t="shared" si="107"/>
        <v>0.29964938600000002</v>
      </c>
    </row>
    <row r="276" spans="1:53" x14ac:dyDescent="0.25">
      <c r="A276" s="43" t="s">
        <v>399</v>
      </c>
      <c r="B276" s="14">
        <v>0.55900000000000005</v>
      </c>
      <c r="C276" s="14">
        <v>0.55900000000000005</v>
      </c>
      <c r="D276" s="14">
        <v>0.55900000000000005</v>
      </c>
      <c r="E276" s="14">
        <v>0.56899999999999995</v>
      </c>
      <c r="F276" s="14">
        <v>0.56899999999999995</v>
      </c>
      <c r="G276" s="14">
        <v>0.57899999999999996</v>
      </c>
      <c r="H276" s="231"/>
      <c r="I276" s="14">
        <v>0.55900000000000005</v>
      </c>
      <c r="J276" s="14">
        <v>0.55900000000000005</v>
      </c>
      <c r="K276" s="14">
        <v>0.55900000000000005</v>
      </c>
      <c r="L276" s="14">
        <v>0.56899999999999995</v>
      </c>
      <c r="M276" s="14">
        <v>0.56899999999999995</v>
      </c>
      <c r="N276" s="14">
        <v>0.57899999999999996</v>
      </c>
      <c r="O276" s="200"/>
      <c r="P276" s="14">
        <v>0.55900000000000005</v>
      </c>
      <c r="Q276" s="14">
        <v>0.55900000000000005</v>
      </c>
      <c r="R276" s="14">
        <v>0.55900000000000005</v>
      </c>
      <c r="S276" s="14">
        <v>0.56899999999999995</v>
      </c>
      <c r="T276" s="14">
        <v>0.56899999999999995</v>
      </c>
      <c r="U276" s="14">
        <v>0.57899999999999996</v>
      </c>
      <c r="W276" s="14">
        <v>0.55900000000000005</v>
      </c>
      <c r="X276" s="14">
        <v>0.55900000000000005</v>
      </c>
      <c r="Y276" s="14">
        <v>0.55900000000000005</v>
      </c>
      <c r="Z276" s="14">
        <v>0.56899999999999995</v>
      </c>
      <c r="AA276" s="14">
        <v>0.56899999999999995</v>
      </c>
      <c r="AB276" s="14">
        <v>0.57899999999999996</v>
      </c>
      <c r="AD276" s="14">
        <v>0.55900000000000005</v>
      </c>
      <c r="AE276" s="14">
        <v>0.55900000000000005</v>
      </c>
      <c r="AF276" s="14">
        <v>0.55900000000000005</v>
      </c>
      <c r="AG276" s="14">
        <v>0.56899999999999995</v>
      </c>
      <c r="AH276" s="14">
        <v>0.56899999999999995</v>
      </c>
      <c r="AI276" s="14">
        <v>0.57899999999999996</v>
      </c>
      <c r="AK276" s="14">
        <v>0.55900000000000005</v>
      </c>
      <c r="AL276" s="14">
        <v>0.55900000000000005</v>
      </c>
      <c r="AM276" s="14">
        <v>0.55900000000000005</v>
      </c>
      <c r="AN276" s="14">
        <v>0.56899999999999995</v>
      </c>
      <c r="AO276" s="14">
        <v>0.56899999999999995</v>
      </c>
      <c r="AP276" s="14">
        <v>0.57899999999999996</v>
      </c>
      <c r="AR276" s="14">
        <v>0.55900000000000005</v>
      </c>
      <c r="AS276" s="14">
        <v>0.55900000000000005</v>
      </c>
      <c r="AT276" s="14">
        <v>0.55900000000000005</v>
      </c>
      <c r="AU276" s="14">
        <v>0.56899999999999995</v>
      </c>
      <c r="AV276" s="14">
        <v>0.56899999999999995</v>
      </c>
      <c r="AW276" s="14">
        <v>0.57899999999999996</v>
      </c>
    </row>
    <row r="277" spans="1:53" x14ac:dyDescent="0.25">
      <c r="A277" s="43" t="s">
        <v>398</v>
      </c>
      <c r="B277" s="14">
        <v>0.61899999999999999</v>
      </c>
      <c r="C277" s="14">
        <v>0.61899999999999999</v>
      </c>
      <c r="D277" s="14">
        <v>0.61899999999999999</v>
      </c>
      <c r="E277" s="14">
        <v>0.629</v>
      </c>
      <c r="F277" s="14">
        <v>0.629</v>
      </c>
      <c r="G277" s="14">
        <v>0.63900000000000001</v>
      </c>
      <c r="H277" s="231"/>
      <c r="I277" s="14">
        <v>0.61899999999999999</v>
      </c>
      <c r="J277" s="14">
        <v>0.61899999999999999</v>
      </c>
      <c r="K277" s="14">
        <v>0.61899999999999999</v>
      </c>
      <c r="L277" s="14">
        <v>0.629</v>
      </c>
      <c r="M277" s="14">
        <v>0.629</v>
      </c>
      <c r="N277" s="14">
        <v>0.63900000000000001</v>
      </c>
      <c r="O277" s="200"/>
      <c r="P277" s="14">
        <v>0.61899999999999999</v>
      </c>
      <c r="Q277" s="14">
        <v>0.61899999999999999</v>
      </c>
      <c r="R277" s="14">
        <v>0.61899999999999999</v>
      </c>
      <c r="S277" s="14">
        <v>0.629</v>
      </c>
      <c r="T277" s="14">
        <v>0.629</v>
      </c>
      <c r="U277" s="14">
        <v>0.63900000000000001</v>
      </c>
      <c r="W277" s="14">
        <v>0.61899999999999999</v>
      </c>
      <c r="X277" s="14">
        <v>0.61899999999999999</v>
      </c>
      <c r="Y277" s="14">
        <v>0.61899999999999999</v>
      </c>
      <c r="Z277" s="14">
        <v>0.629</v>
      </c>
      <c r="AA277" s="14">
        <v>0.629</v>
      </c>
      <c r="AB277" s="14">
        <v>0.63900000000000001</v>
      </c>
      <c r="AD277" s="14">
        <v>0.61899999999999999</v>
      </c>
      <c r="AE277" s="14">
        <v>0.61899999999999999</v>
      </c>
      <c r="AF277" s="14">
        <v>0.61899999999999999</v>
      </c>
      <c r="AG277" s="14">
        <v>0.629</v>
      </c>
      <c r="AH277" s="14">
        <v>0.629</v>
      </c>
      <c r="AI277" s="14">
        <v>0.63900000000000001</v>
      </c>
      <c r="AK277" s="14">
        <v>0.61899999999999999</v>
      </c>
      <c r="AL277" s="14">
        <v>0.61899999999999999</v>
      </c>
      <c r="AM277" s="14">
        <v>0.61899999999999999</v>
      </c>
      <c r="AN277" s="14">
        <v>0.629</v>
      </c>
      <c r="AO277" s="14">
        <v>0.629</v>
      </c>
      <c r="AP277" s="14">
        <v>0.63900000000000001</v>
      </c>
      <c r="AR277" s="14">
        <v>0.61899999999999999</v>
      </c>
      <c r="AS277" s="14">
        <v>0.61899999999999999</v>
      </c>
      <c r="AT277" s="14">
        <v>0.61899999999999999</v>
      </c>
      <c r="AU277" s="14">
        <v>0.629</v>
      </c>
      <c r="AV277" s="14">
        <v>0.629</v>
      </c>
      <c r="AW277" s="14">
        <v>0.63900000000000001</v>
      </c>
    </row>
    <row r="278" spans="1:53" x14ac:dyDescent="0.25">
      <c r="A278" s="43" t="s">
        <v>397</v>
      </c>
      <c r="B278" s="14">
        <v>0.189</v>
      </c>
      <c r="C278" s="14">
        <v>0.189</v>
      </c>
      <c r="D278" s="14">
        <v>0.189</v>
      </c>
      <c r="E278" s="14">
        <v>0.189</v>
      </c>
      <c r="F278" s="14">
        <v>0.189</v>
      </c>
      <c r="G278" s="14">
        <v>0.189</v>
      </c>
      <c r="H278" s="231"/>
      <c r="I278" s="14">
        <v>0.189</v>
      </c>
      <c r="J278" s="14">
        <v>0.189</v>
      </c>
      <c r="K278" s="14">
        <v>0.189</v>
      </c>
      <c r="L278" s="14">
        <v>0.189</v>
      </c>
      <c r="M278" s="14">
        <v>0.189</v>
      </c>
      <c r="N278" s="14">
        <v>0.189</v>
      </c>
      <c r="O278" s="200"/>
      <c r="P278" s="14">
        <v>0.189</v>
      </c>
      <c r="Q278" s="14">
        <v>0.189</v>
      </c>
      <c r="R278" s="14">
        <v>0.189</v>
      </c>
      <c r="S278" s="14">
        <v>0.189</v>
      </c>
      <c r="T278" s="14">
        <v>0.189</v>
      </c>
      <c r="U278" s="14">
        <v>0.189</v>
      </c>
      <c r="W278" s="14">
        <v>0.189</v>
      </c>
      <c r="X278" s="14">
        <v>0.189</v>
      </c>
      <c r="Y278" s="14">
        <v>0.189</v>
      </c>
      <c r="Z278" s="14">
        <v>0.189</v>
      </c>
      <c r="AA278" s="14">
        <v>0.189</v>
      </c>
      <c r="AB278" s="14">
        <v>0.189</v>
      </c>
      <c r="AD278" s="14">
        <v>0.189</v>
      </c>
      <c r="AE278" s="14">
        <v>0.189</v>
      </c>
      <c r="AF278" s="14">
        <v>0.189</v>
      </c>
      <c r="AG278" s="14">
        <v>0.189</v>
      </c>
      <c r="AH278" s="14">
        <v>0.189</v>
      </c>
      <c r="AI278" s="14">
        <v>0.189</v>
      </c>
      <c r="AK278" s="14">
        <v>0.189</v>
      </c>
      <c r="AL278" s="14">
        <v>0.189</v>
      </c>
      <c r="AM278" s="14">
        <v>0.189</v>
      </c>
      <c r="AN278" s="14">
        <v>0.189</v>
      </c>
      <c r="AO278" s="14">
        <v>0.189</v>
      </c>
      <c r="AP278" s="14">
        <v>0.189</v>
      </c>
      <c r="AR278" s="14">
        <v>0.189</v>
      </c>
      <c r="AS278" s="14">
        <v>0.189</v>
      </c>
      <c r="AT278" s="14">
        <v>0.189</v>
      </c>
      <c r="AU278" s="14">
        <v>0.189</v>
      </c>
      <c r="AV278" s="14">
        <v>0.189</v>
      </c>
      <c r="AW278" s="14">
        <v>0.189</v>
      </c>
    </row>
    <row r="279" spans="1:53" x14ac:dyDescent="0.25">
      <c r="A279" s="43" t="s">
        <v>396</v>
      </c>
      <c r="B279" s="14">
        <v>0.67900000000000005</v>
      </c>
      <c r="C279" s="14">
        <v>0.67900000000000005</v>
      </c>
      <c r="D279" s="14">
        <v>0.67900000000000005</v>
      </c>
      <c r="E279" s="14">
        <v>0.67900000000000005</v>
      </c>
      <c r="F279" s="14">
        <v>0.67900000000000005</v>
      </c>
      <c r="G279" s="14">
        <v>0.67900000000000005</v>
      </c>
      <c r="H279" s="231"/>
      <c r="I279" s="14">
        <v>0.67900000000000005</v>
      </c>
      <c r="J279" s="14">
        <v>0.67900000000000005</v>
      </c>
      <c r="K279" s="14">
        <v>0.67900000000000005</v>
      </c>
      <c r="L279" s="14">
        <v>0.67900000000000005</v>
      </c>
      <c r="M279" s="14">
        <v>0.67900000000000005</v>
      </c>
      <c r="N279" s="14">
        <v>0.67900000000000005</v>
      </c>
      <c r="O279" s="200"/>
      <c r="P279" s="14">
        <v>0.67900000000000005</v>
      </c>
      <c r="Q279" s="14">
        <v>0.67900000000000005</v>
      </c>
      <c r="R279" s="14">
        <v>0.67900000000000005</v>
      </c>
      <c r="S279" s="14">
        <v>0.67900000000000005</v>
      </c>
      <c r="T279" s="14">
        <v>0.67900000000000005</v>
      </c>
      <c r="U279" s="14">
        <v>0.67900000000000005</v>
      </c>
      <c r="W279" s="14">
        <v>0.67900000000000005</v>
      </c>
      <c r="X279" s="14">
        <v>0.67900000000000005</v>
      </c>
      <c r="Y279" s="14">
        <v>0.67900000000000005</v>
      </c>
      <c r="Z279" s="14">
        <v>0.67900000000000005</v>
      </c>
      <c r="AA279" s="14">
        <v>0.67900000000000005</v>
      </c>
      <c r="AB279" s="14">
        <v>0.67900000000000005</v>
      </c>
      <c r="AD279" s="14">
        <v>0.67900000000000005</v>
      </c>
      <c r="AE279" s="14">
        <v>0.67900000000000005</v>
      </c>
      <c r="AF279" s="14">
        <v>0.67900000000000005</v>
      </c>
      <c r="AG279" s="14">
        <v>0.67900000000000005</v>
      </c>
      <c r="AH279" s="14">
        <v>0.67900000000000005</v>
      </c>
      <c r="AI279" s="14">
        <v>0.67900000000000005</v>
      </c>
      <c r="AK279" s="14">
        <v>0.67900000000000005</v>
      </c>
      <c r="AL279" s="14">
        <v>0.67900000000000005</v>
      </c>
      <c r="AM279" s="14">
        <v>0.67900000000000005</v>
      </c>
      <c r="AN279" s="14">
        <v>0.67900000000000005</v>
      </c>
      <c r="AO279" s="14">
        <v>0.67900000000000005</v>
      </c>
      <c r="AP279" s="14">
        <v>0.67900000000000005</v>
      </c>
      <c r="AR279" s="14">
        <v>0.67900000000000005</v>
      </c>
      <c r="AS279" s="14">
        <v>0.67900000000000005</v>
      </c>
      <c r="AT279" s="14">
        <v>0.67900000000000005</v>
      </c>
      <c r="AU279" s="14">
        <v>0.67900000000000005</v>
      </c>
      <c r="AV279" s="14">
        <v>0.67900000000000005</v>
      </c>
      <c r="AW279" s="14">
        <v>0.67900000000000005</v>
      </c>
    </row>
    <row r="280" spans="1:53" x14ac:dyDescent="0.25">
      <c r="A280" s="43" t="s">
        <v>395</v>
      </c>
      <c r="B280" s="14">
        <v>0.31</v>
      </c>
      <c r="C280" s="14">
        <v>0.31</v>
      </c>
      <c r="D280" s="14">
        <v>0.31</v>
      </c>
      <c r="E280" s="14">
        <v>0.31</v>
      </c>
      <c r="F280" s="14">
        <v>0.31</v>
      </c>
      <c r="G280" s="14">
        <v>0.31</v>
      </c>
      <c r="H280" s="231"/>
      <c r="I280" s="14">
        <v>0.31</v>
      </c>
      <c r="J280" s="14">
        <v>0.31</v>
      </c>
      <c r="K280" s="14">
        <v>0.31</v>
      </c>
      <c r="L280" s="14">
        <v>0.31</v>
      </c>
      <c r="M280" s="14">
        <v>0.31</v>
      </c>
      <c r="N280" s="14">
        <v>0.31</v>
      </c>
      <c r="O280" s="200"/>
      <c r="P280" s="14">
        <v>0.31</v>
      </c>
      <c r="Q280" s="14">
        <v>0.31</v>
      </c>
      <c r="R280" s="14">
        <v>0.31</v>
      </c>
      <c r="S280" s="14">
        <v>0.31</v>
      </c>
      <c r="T280" s="14">
        <v>0.31</v>
      </c>
      <c r="U280" s="14">
        <v>0.31</v>
      </c>
      <c r="W280" s="14">
        <v>0.31</v>
      </c>
      <c r="X280" s="14">
        <v>0.31</v>
      </c>
      <c r="Y280" s="14">
        <v>0.31</v>
      </c>
      <c r="Z280" s="14">
        <v>0.31</v>
      </c>
      <c r="AA280" s="14">
        <v>0.31</v>
      </c>
      <c r="AB280" s="14">
        <v>0.31</v>
      </c>
      <c r="AD280" s="14">
        <v>0.31</v>
      </c>
      <c r="AE280" s="14">
        <v>0.31</v>
      </c>
      <c r="AF280" s="14">
        <v>0.31</v>
      </c>
      <c r="AG280" s="14">
        <v>0.31</v>
      </c>
      <c r="AH280" s="14">
        <v>0.31</v>
      </c>
      <c r="AI280" s="14">
        <v>0.31</v>
      </c>
      <c r="AK280" s="14">
        <v>0.31</v>
      </c>
      <c r="AL280" s="14">
        <v>0.31</v>
      </c>
      <c r="AM280" s="14">
        <v>0.31</v>
      </c>
      <c r="AN280" s="14">
        <v>0.31</v>
      </c>
      <c r="AO280" s="14">
        <v>0.31</v>
      </c>
      <c r="AP280" s="14">
        <v>0.31</v>
      </c>
      <c r="AR280" s="14">
        <v>0.31</v>
      </c>
      <c r="AS280" s="14">
        <v>0.31</v>
      </c>
      <c r="AT280" s="14">
        <v>0.31</v>
      </c>
      <c r="AU280" s="14">
        <v>0.31</v>
      </c>
      <c r="AV280" s="14">
        <v>0.31</v>
      </c>
      <c r="AW280" s="14">
        <v>0.31</v>
      </c>
    </row>
    <row r="281" spans="1:53" x14ac:dyDescent="0.25">
      <c r="A281" s="50" t="s">
        <v>149</v>
      </c>
      <c r="B281" s="28">
        <f t="shared" ref="B281:G281" si="108">IF(AVERAGE(B5:B6)&lt;51,0.000025*((B6+B5)/2)^2 - 0.01005*((B6+B5)/2) + 1.5955,(0.00000649518*((B5+B6)/2)^2 - 0.00338103746*((B5+B6)/2) + 1.049852))</f>
        <v>0.85122563532500006</v>
      </c>
      <c r="C281" s="28">
        <f t="shared" si="108"/>
        <v>0.77153564522499996</v>
      </c>
      <c r="D281" s="28">
        <f t="shared" si="108"/>
        <v>0.70381228360000003</v>
      </c>
      <c r="E281" s="28">
        <f t="shared" si="108"/>
        <v>0.65170908920000004</v>
      </c>
      <c r="F281" s="28">
        <f t="shared" si="108"/>
        <v>0.62039047080000009</v>
      </c>
      <c r="G281" s="28">
        <f t="shared" si="108"/>
        <v>0.60988816362500009</v>
      </c>
      <c r="H281" s="28"/>
      <c r="I281" s="28">
        <f t="shared" ref="I281:N281" si="109">IF(AVERAGE(I5:I6)&lt;51,0.000025*((I6+I5)/2)^2 - 0.01005*((I6+I5)/2) + 1.5955,(0.00000649518*((I5+I6)/2)^2 - 0.00338103746*((I5+I6)/2) + 1.049852))</f>
        <v>0.85122563532500006</v>
      </c>
      <c r="J281" s="28">
        <f t="shared" si="109"/>
        <v>0.77153564522499996</v>
      </c>
      <c r="K281" s="28">
        <f t="shared" si="109"/>
        <v>0.70381228360000003</v>
      </c>
      <c r="L281" s="28">
        <f t="shared" si="109"/>
        <v>0.65170908920000004</v>
      </c>
      <c r="M281" s="28">
        <f t="shared" si="109"/>
        <v>0.62039047080000009</v>
      </c>
      <c r="N281" s="28">
        <f t="shared" si="109"/>
        <v>0.60988816362500009</v>
      </c>
      <c r="O281" s="200"/>
      <c r="P281" s="28">
        <f t="shared" ref="P281:U281" si="110">IF(AVERAGE(P5:P6)&lt;51,0.000025*((P6+P5)/2)^2 - 0.01005*((P6+P5)/2) + 1.5955,(0.00000649518*((P5+P6)/2)^2 - 0.00338103746*((P5+P6)/2) + 1.049852))</f>
        <v>0.85122563532500006</v>
      </c>
      <c r="Q281" s="28">
        <f t="shared" si="110"/>
        <v>0.77153564522499996</v>
      </c>
      <c r="R281" s="28">
        <f t="shared" si="110"/>
        <v>0.70381228360000003</v>
      </c>
      <c r="S281" s="28">
        <f t="shared" si="110"/>
        <v>0.65170908920000004</v>
      </c>
      <c r="T281" s="28">
        <f t="shared" si="110"/>
        <v>0.62039047080000009</v>
      </c>
      <c r="U281" s="28">
        <f t="shared" si="110"/>
        <v>0.60988816362500009</v>
      </c>
      <c r="W281" s="28">
        <f t="shared" ref="W281:AB281" si="111">IF(AVERAGE(W5:W6)&lt;51,0.000025*((W6+W5)/2)^2 - 0.01005*((W6+W5)/2) + 1.5955,(0.00000649518*((W5+W6)/2)^2 - 0.00338103746*((W5+W6)/2) + 1.049852))</f>
        <v>0.85122563532500006</v>
      </c>
      <c r="X281" s="28">
        <f t="shared" si="111"/>
        <v>0.77153564522499996</v>
      </c>
      <c r="Y281" s="28">
        <f t="shared" si="111"/>
        <v>0.70381228360000003</v>
      </c>
      <c r="Z281" s="28">
        <f t="shared" si="111"/>
        <v>0.65170908920000004</v>
      </c>
      <c r="AA281" s="28">
        <f t="shared" si="111"/>
        <v>0.62039047080000009</v>
      </c>
      <c r="AB281" s="28">
        <f t="shared" si="111"/>
        <v>0.60988816362500009</v>
      </c>
      <c r="AD281" s="28">
        <f t="shared" ref="AD281:AI281" si="112">IF(AVERAGE(AD5:AD6)&lt;51,0.000025*((AD6+AD5)/2)^2 - 0.01005*((AD6+AD5)/2) + 1.5955,(0.00000649518*((AD5+AD6)/2)^2 - 0.00338103746*((AD5+AD6)/2) + 1.049852))</f>
        <v>0.85122563532500006</v>
      </c>
      <c r="AE281" s="28">
        <f t="shared" si="112"/>
        <v>0.77153564522499996</v>
      </c>
      <c r="AF281" s="28">
        <f t="shared" si="112"/>
        <v>0.70381228360000003</v>
      </c>
      <c r="AG281" s="28">
        <f t="shared" si="112"/>
        <v>0.65170908920000004</v>
      </c>
      <c r="AH281" s="28">
        <f t="shared" si="112"/>
        <v>0.62039047080000009</v>
      </c>
      <c r="AI281" s="28">
        <f t="shared" si="112"/>
        <v>0.60988816362500009</v>
      </c>
      <c r="AK281" s="28">
        <f t="shared" ref="AK281:AP281" si="113">IF(AVERAGE(AK5:AK6)&lt;51,0.000025*((AK6+AK5)/2)^2 - 0.01005*((AK6+AK5)/2) + 1.5955,(0.00000649518*((AK5+AK6)/2)^2 - 0.00338103746*((AK5+AK6)/2) + 1.049852))</f>
        <v>0.85122563532500006</v>
      </c>
      <c r="AL281" s="28">
        <f t="shared" si="113"/>
        <v>0.77153564522499996</v>
      </c>
      <c r="AM281" s="28">
        <f t="shared" si="113"/>
        <v>0.70381228360000003</v>
      </c>
      <c r="AN281" s="28">
        <f t="shared" si="113"/>
        <v>0.65170908920000004</v>
      </c>
      <c r="AO281" s="28">
        <f t="shared" si="113"/>
        <v>0.62039047080000009</v>
      </c>
      <c r="AP281" s="28">
        <f t="shared" si="113"/>
        <v>0.60988816362500009</v>
      </c>
      <c r="AR281" s="28">
        <f t="shared" ref="AR281:AW281" si="114">IF(AVERAGE(AR5:AR6)&lt;51,0.000025*((AR6+AR5)/2)^2 - 0.01005*((AR6+AR5)/2) + 1.5955,(0.00000649518*((AR5+AR6)/2)^2 - 0.00338103746*((AR5+AR6)/2) + 1.049852))</f>
        <v>0.85122563532500006</v>
      </c>
      <c r="AS281" s="28">
        <f t="shared" si="114"/>
        <v>0.77153564522499996</v>
      </c>
      <c r="AT281" s="28">
        <f t="shared" si="114"/>
        <v>0.70381228360000003</v>
      </c>
      <c r="AU281" s="28">
        <f t="shared" si="114"/>
        <v>0.65170908920000004</v>
      </c>
      <c r="AV281" s="28">
        <f t="shared" si="114"/>
        <v>0.62039047080000009</v>
      </c>
      <c r="AW281" s="28">
        <f t="shared" si="114"/>
        <v>0.60988816362500009</v>
      </c>
    </row>
    <row r="282" spans="1:53" x14ac:dyDescent="0.25">
      <c r="A282" s="50" t="s">
        <v>150</v>
      </c>
      <c r="B282" s="28">
        <f t="shared" ref="B282:G282" si="115">IF(AVERAGE(B5:B6)&lt;51,0.000025*((B6+B5)/2)^2 - 0.01005*((B6+B5)/2) + 1.5955,0.00000649518*((B6+B5)/2)^2 - 0.00338103746*((B6+B5)/2) + 1.3529)</f>
        <v>1.154273635325</v>
      </c>
      <c r="C282" s="28">
        <f t="shared" si="115"/>
        <v>1.0745836452249999</v>
      </c>
      <c r="D282" s="28">
        <f t="shared" si="115"/>
        <v>1.0068602836</v>
      </c>
      <c r="E282" s="28">
        <f t="shared" si="115"/>
        <v>0.95475708920000002</v>
      </c>
      <c r="F282" s="28">
        <f t="shared" si="115"/>
        <v>0.92343847080000008</v>
      </c>
      <c r="G282" s="28">
        <f t="shared" si="115"/>
        <v>0.91293616362500007</v>
      </c>
      <c r="H282" s="28"/>
      <c r="I282" s="28">
        <f t="shared" ref="I282:N282" si="116">IF(AVERAGE(I5:I6)&lt;51,0.000025*((I6+I5)/2)^2 - 0.01005*((I6+I5)/2) + 1.5955,0.00000649518*((I6+I5)/2)^2 - 0.00338103746*((I6+I5)/2) + 1.3529)</f>
        <v>1.154273635325</v>
      </c>
      <c r="J282" s="28">
        <f t="shared" si="116"/>
        <v>1.0745836452249999</v>
      </c>
      <c r="K282" s="28">
        <f t="shared" si="116"/>
        <v>1.0068602836</v>
      </c>
      <c r="L282" s="28">
        <f t="shared" si="116"/>
        <v>0.95475708920000002</v>
      </c>
      <c r="M282" s="28">
        <f t="shared" si="116"/>
        <v>0.92343847080000008</v>
      </c>
      <c r="N282" s="28">
        <f t="shared" si="116"/>
        <v>0.91293616362500007</v>
      </c>
      <c r="O282" s="28"/>
      <c r="P282" s="28">
        <f t="shared" ref="P282:U282" si="117">IF(AVERAGE(P5:P6)&lt;51,0.000025*((P6+P5)/2)^2 - 0.01005*((P6+P5)/2) + 1.5955,0.00000649518*((P6+P5)/2)^2 - 0.00338103746*((P6+P5)/2) + 1.3529)</f>
        <v>1.154273635325</v>
      </c>
      <c r="Q282" s="28">
        <f t="shared" si="117"/>
        <v>1.0745836452249999</v>
      </c>
      <c r="R282" s="28">
        <f t="shared" si="117"/>
        <v>1.0068602836</v>
      </c>
      <c r="S282" s="28">
        <f t="shared" si="117"/>
        <v>0.95475708920000002</v>
      </c>
      <c r="T282" s="28">
        <f t="shared" si="117"/>
        <v>0.92343847080000008</v>
      </c>
      <c r="U282" s="28">
        <f t="shared" si="117"/>
        <v>0.91293616362500007</v>
      </c>
      <c r="W282" s="28">
        <f t="shared" ref="W282:AB282" si="118">IF(AVERAGE(W5:W6)&lt;51,0.000025*((W6+W5)/2)^2 - 0.01005*((W6+W5)/2) + 1.5955,0.00000649518*((W6+W5)/2)^2 - 0.00338103746*((W6+W5)/2) + 1.3529)</f>
        <v>1.154273635325</v>
      </c>
      <c r="X282" s="28">
        <f t="shared" si="118"/>
        <v>1.0745836452249999</v>
      </c>
      <c r="Y282" s="28">
        <f t="shared" si="118"/>
        <v>1.0068602836</v>
      </c>
      <c r="Z282" s="28">
        <f t="shared" si="118"/>
        <v>0.95475708920000002</v>
      </c>
      <c r="AA282" s="28">
        <f t="shared" si="118"/>
        <v>0.92343847080000008</v>
      </c>
      <c r="AB282" s="28">
        <f t="shared" si="118"/>
        <v>0.91293616362500007</v>
      </c>
      <c r="AD282" s="28">
        <f t="shared" ref="AD282:AI282" si="119">IF(AVERAGE(AD5:AD6)&lt;51,0.000025*((AD6+AD5)/2)^2 - 0.01005*((AD6+AD5)/2) + 1.5955,0.00000649518*((AD6+AD5)/2)^2 - 0.00338103746*((AD6+AD5)/2) + 1.3529)</f>
        <v>1.154273635325</v>
      </c>
      <c r="AE282" s="28">
        <f t="shared" si="119"/>
        <v>1.0745836452249999</v>
      </c>
      <c r="AF282" s="28">
        <f t="shared" si="119"/>
        <v>1.0068602836</v>
      </c>
      <c r="AG282" s="28">
        <f t="shared" si="119"/>
        <v>0.95475708920000002</v>
      </c>
      <c r="AH282" s="28">
        <f t="shared" si="119"/>
        <v>0.92343847080000008</v>
      </c>
      <c r="AI282" s="28">
        <f t="shared" si="119"/>
        <v>0.91293616362500007</v>
      </c>
      <c r="AK282" s="28">
        <f t="shared" ref="AK282:AP282" si="120">IF(AVERAGE(AK5:AK6)&lt;51,0.000025*((AK6+AK5)/2)^2 - 0.01005*((AK6+AK5)/2) + 1.5955,0.00000649518*((AK6+AK5)/2)^2 - 0.00338103746*((AK6+AK5)/2) + 1.3529)</f>
        <v>1.154273635325</v>
      </c>
      <c r="AL282" s="28">
        <f t="shared" si="120"/>
        <v>1.0745836452249999</v>
      </c>
      <c r="AM282" s="28">
        <f t="shared" si="120"/>
        <v>1.0068602836</v>
      </c>
      <c r="AN282" s="28">
        <f t="shared" si="120"/>
        <v>0.95475708920000002</v>
      </c>
      <c r="AO282" s="28">
        <f t="shared" si="120"/>
        <v>0.92343847080000008</v>
      </c>
      <c r="AP282" s="28">
        <f t="shared" si="120"/>
        <v>0.91293616362500007</v>
      </c>
      <c r="AR282" s="28">
        <f t="shared" ref="AR282:AW282" si="121">IF(AVERAGE(AR5:AR6)&lt;51,0.000025*((AR6+AR5)/2)^2 - 0.01005*((AR6+AR5)/2) + 1.5955,0.00000649518*((AR6+AR5)/2)^2 - 0.00338103746*((AR6+AR5)/2) + 1.3529)</f>
        <v>1.154273635325</v>
      </c>
      <c r="AS282" s="28">
        <f t="shared" si="121"/>
        <v>1.0745836452249999</v>
      </c>
      <c r="AT282" s="28">
        <f t="shared" si="121"/>
        <v>1.0068602836</v>
      </c>
      <c r="AU282" s="28">
        <f t="shared" si="121"/>
        <v>0.95475708920000002</v>
      </c>
      <c r="AV282" s="28">
        <f t="shared" si="121"/>
        <v>0.92343847080000008</v>
      </c>
      <c r="AW282" s="28">
        <f t="shared" si="121"/>
        <v>0.91293616362500007</v>
      </c>
    </row>
    <row r="283" spans="1:53" x14ac:dyDescent="0.25">
      <c r="A283" s="15" t="s">
        <v>51</v>
      </c>
      <c r="B283" s="28">
        <f t="shared" ref="B283:G283" si="122">B281*(B246*2.2046)/10000</f>
        <v>0.28053008203811425</v>
      </c>
      <c r="C283" s="28">
        <f t="shared" si="122"/>
        <v>0.2550261869451555</v>
      </c>
      <c r="D283" s="28">
        <f t="shared" si="122"/>
        <v>0.23325719020912211</v>
      </c>
      <c r="E283" s="28">
        <f t="shared" si="122"/>
        <v>0.21659170668863326</v>
      </c>
      <c r="F283" s="28">
        <f t="shared" si="122"/>
        <v>0.20667416767087224</v>
      </c>
      <c r="G283" s="28">
        <f t="shared" si="122"/>
        <v>0.20336945171913379</v>
      </c>
      <c r="H283" s="28"/>
      <c r="I283" s="28">
        <f t="shared" ref="I283:N283" si="123">I281*(I246*2.2046)/10000</f>
        <v>0.28113278030051814</v>
      </c>
      <c r="J283" s="28">
        <f t="shared" si="123"/>
        <v>0.25555554291203364</v>
      </c>
      <c r="K283" s="28">
        <f t="shared" si="123"/>
        <v>0.23376978030995887</v>
      </c>
      <c r="L283" s="28">
        <f t="shared" si="123"/>
        <v>0.21705054555374728</v>
      </c>
      <c r="M283" s="28">
        <f t="shared" si="123"/>
        <v>0.2071049885242352</v>
      </c>
      <c r="N283" s="28">
        <f t="shared" si="123"/>
        <v>0.20336945171913379</v>
      </c>
      <c r="O283" s="28"/>
      <c r="P283" s="28">
        <f t="shared" ref="P283:U283" si="124">P281*(P246*2.2046)/10000</f>
        <v>0.28172991387720375</v>
      </c>
      <c r="Q283" s="28">
        <f t="shared" si="124"/>
        <v>0.25610242775007264</v>
      </c>
      <c r="R283" s="28">
        <f t="shared" si="124"/>
        <v>0.23426773474629345</v>
      </c>
      <c r="S283" s="28">
        <f t="shared" si="124"/>
        <v>0.21751630370166244</v>
      </c>
      <c r="T283" s="28">
        <f t="shared" si="124"/>
        <v>0.20754747335708176</v>
      </c>
      <c r="U283" s="28">
        <f t="shared" si="124"/>
        <v>0.20336945171913379</v>
      </c>
      <c r="W283" s="28">
        <f t="shared" ref="W283:AB283" si="125">W281*(W246*2.2046)/10000</f>
        <v>0.2823321999420817</v>
      </c>
      <c r="X283" s="28">
        <f t="shared" si="125"/>
        <v>0.25664938116492275</v>
      </c>
      <c r="Y283" s="28">
        <f t="shared" si="125"/>
        <v>0.23477393831158003</v>
      </c>
      <c r="Z283" s="28">
        <f t="shared" si="125"/>
        <v>0.21798840934054362</v>
      </c>
      <c r="AA283" s="28">
        <f t="shared" si="125"/>
        <v>0.20801070783275163</v>
      </c>
      <c r="AB283" s="28">
        <f t="shared" si="125"/>
        <v>0.20336945171913379</v>
      </c>
      <c r="AD283" s="28">
        <f t="shared" ref="AD283:AI283" si="126">AD281*(AD246*2.2046)/10000</f>
        <v>0.28294186820372458</v>
      </c>
      <c r="AE283" s="28">
        <f t="shared" si="126"/>
        <v>0.25720615720194312</v>
      </c>
      <c r="AF283" s="28">
        <f t="shared" si="126"/>
        <v>0.23528751828620642</v>
      </c>
      <c r="AG283" s="28">
        <f t="shared" si="126"/>
        <v>0.21847485222678009</v>
      </c>
      <c r="AH283" s="28">
        <f t="shared" si="126"/>
        <v>0.20833314337933312</v>
      </c>
      <c r="AI283" s="28">
        <f t="shared" si="126"/>
        <v>0.20336945171913379</v>
      </c>
      <c r="AK283" s="28">
        <f t="shared" ref="AK283:AP283" si="127">AK281*(AK246*2.2046)/10000</f>
        <v>0.2835520495941603</v>
      </c>
      <c r="AL283" s="28">
        <f t="shared" si="127"/>
        <v>0.25775601803335307</v>
      </c>
      <c r="AM283" s="28">
        <f t="shared" si="127"/>
        <v>0.23580772297886091</v>
      </c>
      <c r="AN283" s="28">
        <f t="shared" si="127"/>
        <v>0.21884393777844466</v>
      </c>
      <c r="AO283" s="28">
        <f t="shared" si="127"/>
        <v>0.20860529793574384</v>
      </c>
      <c r="AP283" s="28">
        <f t="shared" si="127"/>
        <v>0.20336945171913379</v>
      </c>
      <c r="AR283" s="28">
        <f t="shared" ref="AR283:AW283" si="128">AR281*(AR246*2.2046)/10000</f>
        <v>0.28415058152752543</v>
      </c>
      <c r="AS283" s="28">
        <f t="shared" si="128"/>
        <v>0.25831988092014646</v>
      </c>
      <c r="AT283" s="28">
        <f t="shared" si="128"/>
        <v>0.23633285159340167</v>
      </c>
      <c r="AU283" s="28">
        <f t="shared" si="128"/>
        <v>0.21912976900488021</v>
      </c>
      <c r="AV283" s="28">
        <f t="shared" si="128"/>
        <v>0.20887742688329716</v>
      </c>
      <c r="AW283" s="28">
        <f t="shared" si="128"/>
        <v>0.20336945171913379</v>
      </c>
    </row>
    <row r="284" spans="1:53" x14ac:dyDescent="0.25">
      <c r="A284" s="15" t="s">
        <v>375</v>
      </c>
      <c r="B284" s="28">
        <f t="shared" ref="B284:G284" si="129" xml:space="preserve"> -0.096629122*LN(AVERAGE(B5:B6)/2.2046) + 0.7201091526</f>
        <v>0.38948473530861316</v>
      </c>
      <c r="C284" s="28">
        <f t="shared" si="129"/>
        <v>0.34911934963648045</v>
      </c>
      <c r="D284" s="28">
        <f t="shared" si="129"/>
        <v>0.31899235830889017</v>
      </c>
      <c r="E284" s="28">
        <f t="shared" si="129"/>
        <v>0.29470806575817415</v>
      </c>
      <c r="F284" s="28">
        <f t="shared" si="129"/>
        <v>0.27531743264453717</v>
      </c>
      <c r="G284" s="28">
        <f t="shared" si="129"/>
        <v>0.25825045546730907</v>
      </c>
      <c r="H284" s="28"/>
      <c r="I284" s="28">
        <f t="shared" ref="I284:N284" si="130" xml:space="preserve"> -0.096629122*LN(AVERAGE(I5:I6)/2.2046) + 0.7201091526</f>
        <v>0.38948473530861316</v>
      </c>
      <c r="J284" s="28">
        <f t="shared" si="130"/>
        <v>0.34911934963648045</v>
      </c>
      <c r="K284" s="28">
        <f t="shared" si="130"/>
        <v>0.31899235830889017</v>
      </c>
      <c r="L284" s="28">
        <f t="shared" si="130"/>
        <v>0.29470806575817415</v>
      </c>
      <c r="M284" s="28">
        <f t="shared" si="130"/>
        <v>0.27531743264453717</v>
      </c>
      <c r="N284" s="28">
        <f t="shared" si="130"/>
        <v>0.25825045546730907</v>
      </c>
      <c r="O284" s="28"/>
      <c r="P284" s="28">
        <f t="shared" ref="P284:U284" si="131" xml:space="preserve"> -0.096629122*LN(AVERAGE(P5:P6)/2.2046) + 0.7201091526</f>
        <v>0.38948473530861316</v>
      </c>
      <c r="Q284" s="28">
        <f t="shared" si="131"/>
        <v>0.34911934963648045</v>
      </c>
      <c r="R284" s="28">
        <f t="shared" si="131"/>
        <v>0.31899235830889017</v>
      </c>
      <c r="S284" s="28">
        <f t="shared" si="131"/>
        <v>0.29470806575817415</v>
      </c>
      <c r="T284" s="28">
        <f t="shared" si="131"/>
        <v>0.27531743264453717</v>
      </c>
      <c r="U284" s="28">
        <f t="shared" si="131"/>
        <v>0.25825045546730907</v>
      </c>
      <c r="W284" s="28">
        <f t="shared" ref="W284:AB284" si="132" xml:space="preserve"> -0.096629122*LN(AVERAGE(W5:W6)/2.2046) + 0.7201091526</f>
        <v>0.38948473530861316</v>
      </c>
      <c r="X284" s="28">
        <f t="shared" si="132"/>
        <v>0.34911934963648045</v>
      </c>
      <c r="Y284" s="28">
        <f t="shared" si="132"/>
        <v>0.31899235830889017</v>
      </c>
      <c r="Z284" s="28">
        <f t="shared" si="132"/>
        <v>0.29470806575817415</v>
      </c>
      <c r="AA284" s="28">
        <f t="shared" si="132"/>
        <v>0.27531743264453717</v>
      </c>
      <c r="AB284" s="28">
        <f t="shared" si="132"/>
        <v>0.25825045546730907</v>
      </c>
      <c r="AD284" s="28">
        <f t="shared" ref="AD284:AI284" si="133" xml:space="preserve"> -0.096629122*LN(AVERAGE(AD5:AD6)/2.2046) + 0.7201091526</f>
        <v>0.38948473530861316</v>
      </c>
      <c r="AE284" s="28">
        <f t="shared" si="133"/>
        <v>0.34911934963648045</v>
      </c>
      <c r="AF284" s="28">
        <f t="shared" si="133"/>
        <v>0.31899235830889017</v>
      </c>
      <c r="AG284" s="28">
        <f t="shared" si="133"/>
        <v>0.29470806575817415</v>
      </c>
      <c r="AH284" s="28">
        <f t="shared" si="133"/>
        <v>0.27531743264453717</v>
      </c>
      <c r="AI284" s="28">
        <f t="shared" si="133"/>
        <v>0.25825045546730907</v>
      </c>
      <c r="AK284" s="28">
        <f t="shared" ref="AK284:AP284" si="134" xml:space="preserve"> -0.096629122*LN(AVERAGE(AK5:AK6)/2.2046) + 0.7201091526</f>
        <v>0.38948473530861316</v>
      </c>
      <c r="AL284" s="28">
        <f t="shared" si="134"/>
        <v>0.34911934963648045</v>
      </c>
      <c r="AM284" s="28">
        <f t="shared" si="134"/>
        <v>0.31899235830889017</v>
      </c>
      <c r="AN284" s="28">
        <f t="shared" si="134"/>
        <v>0.29470806575817415</v>
      </c>
      <c r="AO284" s="28">
        <f t="shared" si="134"/>
        <v>0.27531743264453717</v>
      </c>
      <c r="AP284" s="28">
        <f t="shared" si="134"/>
        <v>0.25825045546730907</v>
      </c>
      <c r="AR284" s="28">
        <f t="shared" ref="AR284:AW284" si="135" xml:space="preserve"> -0.096629122*LN(AVERAGE(AR5:AR6)/2.2046) + 0.7201091526</f>
        <v>0.38948473530861316</v>
      </c>
      <c r="AS284" s="28">
        <f t="shared" si="135"/>
        <v>0.34911934963648045</v>
      </c>
      <c r="AT284" s="28">
        <f t="shared" si="135"/>
        <v>0.31899235830889017</v>
      </c>
      <c r="AU284" s="28">
        <f t="shared" si="135"/>
        <v>0.29470806575817415</v>
      </c>
      <c r="AV284" s="28">
        <f t="shared" si="135"/>
        <v>0.27531743264453717</v>
      </c>
      <c r="AW284" s="28">
        <f t="shared" si="135"/>
        <v>0.25825045546730907</v>
      </c>
    </row>
    <row r="285" spans="1:53" x14ac:dyDescent="0.25">
      <c r="A285" s="50" t="s">
        <v>154</v>
      </c>
      <c r="B285" s="26">
        <v>1</v>
      </c>
      <c r="C285" s="26">
        <v>1</v>
      </c>
      <c r="D285" s="26">
        <v>1</v>
      </c>
      <c r="E285" s="26">
        <v>1</v>
      </c>
      <c r="F285" s="26">
        <v>1</v>
      </c>
      <c r="G285" s="26">
        <v>1</v>
      </c>
      <c r="H285" s="26"/>
      <c r="I285" s="26">
        <v>1</v>
      </c>
      <c r="J285" s="26">
        <v>1</v>
      </c>
      <c r="K285" s="26">
        <v>1</v>
      </c>
      <c r="L285" s="26">
        <v>1</v>
      </c>
      <c r="M285" s="26">
        <v>1</v>
      </c>
      <c r="N285" s="26">
        <v>1</v>
      </c>
      <c r="O285" s="28"/>
      <c r="P285" s="26">
        <v>1</v>
      </c>
      <c r="Q285" s="26">
        <v>1</v>
      </c>
      <c r="R285" s="26">
        <v>1</v>
      </c>
      <c r="S285" s="26">
        <v>1</v>
      </c>
      <c r="T285" s="26">
        <v>1</v>
      </c>
      <c r="U285" s="26">
        <v>1</v>
      </c>
      <c r="W285" s="26">
        <v>1</v>
      </c>
      <c r="X285" s="26">
        <v>1</v>
      </c>
      <c r="Y285" s="26">
        <v>1</v>
      </c>
      <c r="Z285" s="26">
        <v>1</v>
      </c>
      <c r="AA285" s="26">
        <v>1</v>
      </c>
      <c r="AB285" s="26">
        <v>1</v>
      </c>
      <c r="AD285" s="26">
        <v>1</v>
      </c>
      <c r="AE285" s="26">
        <v>1</v>
      </c>
      <c r="AF285" s="26">
        <v>1</v>
      </c>
      <c r="AG285" s="26">
        <v>1</v>
      </c>
      <c r="AH285" s="26">
        <v>1</v>
      </c>
      <c r="AI285" s="26">
        <v>1</v>
      </c>
      <c r="AK285" s="26">
        <v>1</v>
      </c>
      <c r="AL285" s="26">
        <v>1</v>
      </c>
      <c r="AM285" s="26">
        <v>1</v>
      </c>
      <c r="AN285" s="26">
        <v>1</v>
      </c>
      <c r="AO285" s="26">
        <v>1</v>
      </c>
      <c r="AP285" s="26">
        <v>1</v>
      </c>
      <c r="AR285" s="26">
        <v>1</v>
      </c>
      <c r="AS285" s="26">
        <v>1</v>
      </c>
      <c r="AT285" s="26">
        <v>1</v>
      </c>
      <c r="AU285" s="26">
        <v>1</v>
      </c>
      <c r="AV285" s="26">
        <v>1</v>
      </c>
      <c r="AW285" s="26">
        <v>1</v>
      </c>
    </row>
    <row r="286" spans="1:53" x14ac:dyDescent="0.25">
      <c r="A286" s="50" t="s">
        <v>153</v>
      </c>
      <c r="B286" s="26">
        <v>1.5</v>
      </c>
      <c r="C286" s="26">
        <v>1.5</v>
      </c>
      <c r="D286" s="26">
        <v>1.5</v>
      </c>
      <c r="E286" s="26">
        <v>1.5</v>
      </c>
      <c r="F286" s="26">
        <v>1.5</v>
      </c>
      <c r="G286" s="26">
        <v>1.5</v>
      </c>
      <c r="H286" s="26"/>
      <c r="I286" s="26">
        <v>1.5</v>
      </c>
      <c r="J286" s="26">
        <v>1.5</v>
      </c>
      <c r="K286" s="26">
        <v>1.5</v>
      </c>
      <c r="L286" s="26">
        <v>1.5</v>
      </c>
      <c r="M286" s="26">
        <v>1.5</v>
      </c>
      <c r="N286" s="26">
        <v>1.5</v>
      </c>
      <c r="O286" s="26"/>
      <c r="P286" s="26">
        <v>1.5</v>
      </c>
      <c r="Q286" s="26">
        <v>1.5</v>
      </c>
      <c r="R286" s="26">
        <v>1.5</v>
      </c>
      <c r="S286" s="26">
        <v>1.5</v>
      </c>
      <c r="T286" s="26">
        <v>1.5</v>
      </c>
      <c r="U286" s="26">
        <v>1.5</v>
      </c>
      <c r="W286" s="26">
        <v>1.5</v>
      </c>
      <c r="X286" s="26">
        <v>1.5</v>
      </c>
      <c r="Y286" s="26">
        <v>1.5</v>
      </c>
      <c r="Z286" s="26">
        <v>1.5</v>
      </c>
      <c r="AA286" s="26">
        <v>1.5</v>
      </c>
      <c r="AB286" s="26">
        <v>1.5</v>
      </c>
      <c r="AD286" s="26">
        <v>1.5</v>
      </c>
      <c r="AE286" s="26">
        <v>1.5</v>
      </c>
      <c r="AF286" s="26">
        <v>1.5</v>
      </c>
      <c r="AG286" s="26">
        <v>1.5</v>
      </c>
      <c r="AH286" s="26">
        <v>1.5</v>
      </c>
      <c r="AI286" s="26">
        <v>1.5</v>
      </c>
      <c r="AK286" s="26">
        <v>1.5</v>
      </c>
      <c r="AL286" s="26">
        <v>1.5</v>
      </c>
      <c r="AM286" s="26">
        <v>1.5</v>
      </c>
      <c r="AN286" s="26">
        <v>1.5</v>
      </c>
      <c r="AO286" s="26">
        <v>1.5</v>
      </c>
      <c r="AP286" s="26">
        <v>1.5</v>
      </c>
      <c r="AR286" s="26">
        <v>1.5</v>
      </c>
      <c r="AS286" s="26">
        <v>1.5</v>
      </c>
      <c r="AT286" s="26">
        <v>1.5</v>
      </c>
      <c r="AU286" s="26">
        <v>1.5</v>
      </c>
      <c r="AV286" s="26">
        <v>1.5</v>
      </c>
      <c r="AW286" s="26">
        <v>1.5</v>
      </c>
    </row>
    <row r="287" spans="1:53" x14ac:dyDescent="0.25">
      <c r="A287" s="50" t="s">
        <v>368</v>
      </c>
      <c r="B287" s="33">
        <f t="shared" ref="B287:G287" si="136">-0.12264*LN(AVERAGE(B5:B6)/2.2046) + 1.07262</f>
        <v>0.65299724345031629</v>
      </c>
      <c r="C287" s="33">
        <f t="shared" si="136"/>
        <v>0.60176619843647083</v>
      </c>
      <c r="D287" s="33">
        <f t="shared" si="136"/>
        <v>0.56352954534532851</v>
      </c>
      <c r="E287" s="33">
        <f t="shared" si="136"/>
        <v>0.53270834386095811</v>
      </c>
      <c r="F287" s="33">
        <f t="shared" si="136"/>
        <v>0.50809808976948001</v>
      </c>
      <c r="G287" s="33">
        <f t="shared" si="136"/>
        <v>0.48643697935376851</v>
      </c>
      <c r="H287" s="33"/>
      <c r="I287" s="33">
        <f t="shared" ref="I287:N287" si="137">-0.12264*LN(AVERAGE(I5:I6)/2.2046) + 1.07262</f>
        <v>0.65299724345031629</v>
      </c>
      <c r="J287" s="33">
        <f t="shared" si="137"/>
        <v>0.60176619843647083</v>
      </c>
      <c r="K287" s="33">
        <f t="shared" si="137"/>
        <v>0.56352954534532851</v>
      </c>
      <c r="L287" s="33">
        <f t="shared" si="137"/>
        <v>0.53270834386095811</v>
      </c>
      <c r="M287" s="33">
        <f t="shared" si="137"/>
        <v>0.50809808976948001</v>
      </c>
      <c r="N287" s="33">
        <f t="shared" si="137"/>
        <v>0.48643697935376851</v>
      </c>
      <c r="O287" s="26"/>
      <c r="P287" s="33">
        <f t="shared" ref="P287:U287" si="138">-0.12264*LN(AVERAGE(P5:P6)/2.2046) + 1.07262</f>
        <v>0.65299724345031629</v>
      </c>
      <c r="Q287" s="33">
        <f t="shared" si="138"/>
        <v>0.60176619843647083</v>
      </c>
      <c r="R287" s="33">
        <f t="shared" si="138"/>
        <v>0.56352954534532851</v>
      </c>
      <c r="S287" s="33">
        <f t="shared" si="138"/>
        <v>0.53270834386095811</v>
      </c>
      <c r="T287" s="33">
        <f t="shared" si="138"/>
        <v>0.50809808976948001</v>
      </c>
      <c r="U287" s="33">
        <f t="shared" si="138"/>
        <v>0.48643697935376851</v>
      </c>
      <c r="W287" s="33">
        <f t="shared" ref="W287:AB287" si="139">-0.12264*LN(AVERAGE(W5:W6)/2.2046) + 1.07262</f>
        <v>0.65299724345031629</v>
      </c>
      <c r="X287" s="33">
        <f t="shared" si="139"/>
        <v>0.60176619843647083</v>
      </c>
      <c r="Y287" s="33">
        <f t="shared" si="139"/>
        <v>0.56352954534532851</v>
      </c>
      <c r="Z287" s="33">
        <f t="shared" si="139"/>
        <v>0.53270834386095811</v>
      </c>
      <c r="AA287" s="33">
        <f t="shared" si="139"/>
        <v>0.50809808976948001</v>
      </c>
      <c r="AB287" s="33">
        <f t="shared" si="139"/>
        <v>0.48643697935376851</v>
      </c>
      <c r="AD287" s="33">
        <f t="shared" ref="AD287:AI287" si="140">-0.12264*LN(AVERAGE(AD5:AD6)/2.2046) + 1.07262</f>
        <v>0.65299724345031629</v>
      </c>
      <c r="AE287" s="33">
        <f t="shared" si="140"/>
        <v>0.60176619843647083</v>
      </c>
      <c r="AF287" s="33">
        <f t="shared" si="140"/>
        <v>0.56352954534532851</v>
      </c>
      <c r="AG287" s="33">
        <f t="shared" si="140"/>
        <v>0.53270834386095811</v>
      </c>
      <c r="AH287" s="33">
        <f t="shared" si="140"/>
        <v>0.50809808976948001</v>
      </c>
      <c r="AI287" s="33">
        <f t="shared" si="140"/>
        <v>0.48643697935376851</v>
      </c>
      <c r="AK287" s="33">
        <f t="shared" ref="AK287:AP287" si="141">-0.12264*LN(AVERAGE(AK5:AK6)/2.2046) + 1.07262</f>
        <v>0.65299724345031629</v>
      </c>
      <c r="AL287" s="33">
        <f t="shared" si="141"/>
        <v>0.60176619843647083</v>
      </c>
      <c r="AM287" s="33">
        <f t="shared" si="141"/>
        <v>0.56352954534532851</v>
      </c>
      <c r="AN287" s="33">
        <f t="shared" si="141"/>
        <v>0.53270834386095811</v>
      </c>
      <c r="AO287" s="33">
        <f t="shared" si="141"/>
        <v>0.50809808976948001</v>
      </c>
      <c r="AP287" s="33">
        <f t="shared" si="141"/>
        <v>0.48643697935376851</v>
      </c>
      <c r="AR287" s="33">
        <f t="shared" ref="AR287:AW287" si="142">-0.12264*LN(AVERAGE(AR5:AR6)/2.2046) + 1.07262</f>
        <v>0.65299724345031629</v>
      </c>
      <c r="AS287" s="33">
        <f t="shared" si="142"/>
        <v>0.60176619843647083</v>
      </c>
      <c r="AT287" s="33">
        <f t="shared" si="142"/>
        <v>0.56352954534532851</v>
      </c>
      <c r="AU287" s="33">
        <f t="shared" si="142"/>
        <v>0.53270834386095811</v>
      </c>
      <c r="AV287" s="33">
        <f t="shared" si="142"/>
        <v>0.50809808976948001</v>
      </c>
      <c r="AW287" s="33">
        <f t="shared" si="142"/>
        <v>0.48643697935376851</v>
      </c>
    </row>
    <row r="288" spans="1:53" x14ac:dyDescent="0.25">
      <c r="A288" s="50" t="s">
        <v>370</v>
      </c>
      <c r="B288" s="33">
        <v>0.4</v>
      </c>
      <c r="C288" s="33">
        <v>0.36</v>
      </c>
      <c r="D288" s="33">
        <v>0.32</v>
      </c>
      <c r="E288" s="33">
        <v>0.28999999999999998</v>
      </c>
      <c r="F288" s="33">
        <v>0.27</v>
      </c>
      <c r="G288" s="33">
        <v>0.26</v>
      </c>
      <c r="H288" s="33"/>
      <c r="I288" s="33">
        <v>0.4</v>
      </c>
      <c r="J288" s="33">
        <v>0.36</v>
      </c>
      <c r="K288" s="33">
        <v>0.32</v>
      </c>
      <c r="L288" s="33">
        <v>0.28999999999999998</v>
      </c>
      <c r="M288" s="33">
        <v>0.27</v>
      </c>
      <c r="N288" s="33">
        <v>0.26</v>
      </c>
      <c r="O288" s="33"/>
      <c r="P288" s="33">
        <v>0.4</v>
      </c>
      <c r="Q288" s="33">
        <v>0.36</v>
      </c>
      <c r="R288" s="33">
        <v>0.32</v>
      </c>
      <c r="S288" s="33">
        <v>0.28999999999999998</v>
      </c>
      <c r="T288" s="33">
        <v>0.27</v>
      </c>
      <c r="U288" s="33">
        <v>0.26</v>
      </c>
      <c r="W288" s="33">
        <v>0.4</v>
      </c>
      <c r="X288" s="33">
        <v>0.36</v>
      </c>
      <c r="Y288" s="33">
        <v>0.32</v>
      </c>
      <c r="Z288" s="33">
        <v>0.28999999999999998</v>
      </c>
      <c r="AA288" s="33">
        <v>0.27</v>
      </c>
      <c r="AB288" s="33">
        <v>0.26</v>
      </c>
      <c r="AD288" s="33">
        <v>0.4</v>
      </c>
      <c r="AE288" s="33">
        <v>0.36</v>
      </c>
      <c r="AF288" s="33">
        <v>0.32</v>
      </c>
      <c r="AG288" s="33">
        <v>0.28999999999999998</v>
      </c>
      <c r="AH288" s="33">
        <v>0.27</v>
      </c>
      <c r="AI288" s="33">
        <v>0.26</v>
      </c>
      <c r="AK288" s="33">
        <v>0.4</v>
      </c>
      <c r="AL288" s="33">
        <v>0.36</v>
      </c>
      <c r="AM288" s="33">
        <v>0.32</v>
      </c>
      <c r="AN288" s="33">
        <v>0.28999999999999998</v>
      </c>
      <c r="AO288" s="33">
        <v>0.27</v>
      </c>
      <c r="AP288" s="33">
        <v>0.26</v>
      </c>
      <c r="AR288" s="33">
        <v>0.4</v>
      </c>
      <c r="AS288" s="33">
        <v>0.36</v>
      </c>
      <c r="AT288" s="33">
        <v>0.32</v>
      </c>
      <c r="AU288" s="33">
        <v>0.28999999999999998</v>
      </c>
      <c r="AV288" s="33">
        <v>0.27</v>
      </c>
      <c r="AW288" s="33">
        <v>0.26</v>
      </c>
    </row>
    <row r="289" spans="1:49" x14ac:dyDescent="0.25">
      <c r="A289" s="50" t="s">
        <v>369</v>
      </c>
      <c r="B289" s="33">
        <v>1.74</v>
      </c>
      <c r="C289" s="33">
        <v>1.74</v>
      </c>
      <c r="D289" s="33">
        <v>1.79</v>
      </c>
      <c r="E289" s="33">
        <v>1.79</v>
      </c>
      <c r="F289" s="33">
        <v>1.77</v>
      </c>
      <c r="G289" s="33">
        <v>1.77</v>
      </c>
      <c r="H289" s="33"/>
      <c r="I289" s="33">
        <v>1.74</v>
      </c>
      <c r="J289" s="33">
        <v>1.74</v>
      </c>
      <c r="K289" s="33">
        <v>1.79</v>
      </c>
      <c r="L289" s="33">
        <v>1.79</v>
      </c>
      <c r="M289" s="33">
        <v>1.77</v>
      </c>
      <c r="N289" s="33">
        <v>1.77</v>
      </c>
      <c r="O289" s="33"/>
      <c r="P289" s="33">
        <v>1.74</v>
      </c>
      <c r="Q289" s="33">
        <v>1.74</v>
      </c>
      <c r="R289" s="33">
        <v>1.79</v>
      </c>
      <c r="S289" s="33">
        <v>1.79</v>
      </c>
      <c r="T289" s="33">
        <v>1.77</v>
      </c>
      <c r="U289" s="33">
        <v>1.77</v>
      </c>
      <c r="W289" s="33">
        <v>1.74</v>
      </c>
      <c r="X289" s="33">
        <v>1.74</v>
      </c>
      <c r="Y289" s="33">
        <v>1.79</v>
      </c>
      <c r="Z289" s="33">
        <v>1.79</v>
      </c>
      <c r="AA289" s="33">
        <v>1.77</v>
      </c>
      <c r="AB289" s="33">
        <v>1.77</v>
      </c>
      <c r="AD289" s="33">
        <v>1.74</v>
      </c>
      <c r="AE289" s="33">
        <v>1.74</v>
      </c>
      <c r="AF289" s="33">
        <v>1.79</v>
      </c>
      <c r="AG289" s="33">
        <v>1.79</v>
      </c>
      <c r="AH289" s="33">
        <v>1.77</v>
      </c>
      <c r="AI289" s="33">
        <v>1.77</v>
      </c>
      <c r="AK289" s="33">
        <v>1.74</v>
      </c>
      <c r="AL289" s="33">
        <v>1.74</v>
      </c>
      <c r="AM289" s="33">
        <v>1.79</v>
      </c>
      <c r="AN289" s="33">
        <v>1.79</v>
      </c>
      <c r="AO289" s="33">
        <v>1.77</v>
      </c>
      <c r="AP289" s="33">
        <v>1.77</v>
      </c>
      <c r="AR289" s="33">
        <v>1.74</v>
      </c>
      <c r="AS289" s="33">
        <v>1.74</v>
      </c>
      <c r="AT289" s="33">
        <v>1.79</v>
      </c>
      <c r="AU289" s="33">
        <v>1.79</v>
      </c>
      <c r="AV289" s="33">
        <v>1.77</v>
      </c>
      <c r="AW289" s="33">
        <v>1.77</v>
      </c>
    </row>
    <row r="290" spans="1:49" x14ac:dyDescent="0.25">
      <c r="A290" s="50" t="s">
        <v>152</v>
      </c>
      <c r="B290" s="26">
        <v>7.3</v>
      </c>
      <c r="C290" s="26">
        <v>8.3000000000000007</v>
      </c>
      <c r="D290" s="26">
        <v>9.3000000000000007</v>
      </c>
      <c r="E290" s="26">
        <v>10.3</v>
      </c>
      <c r="F290" s="26">
        <v>11.3</v>
      </c>
      <c r="G290" s="26">
        <v>11.3</v>
      </c>
      <c r="H290" s="26"/>
      <c r="I290" s="26">
        <v>7.3</v>
      </c>
      <c r="J290" s="26">
        <v>8.3000000000000007</v>
      </c>
      <c r="K290" s="26">
        <v>9.3000000000000007</v>
      </c>
      <c r="L290" s="26">
        <v>10.3</v>
      </c>
      <c r="M290" s="26">
        <v>11.3</v>
      </c>
      <c r="N290" s="26">
        <v>11.3</v>
      </c>
      <c r="O290" s="33"/>
      <c r="P290" s="26">
        <v>7.3</v>
      </c>
      <c r="Q290" s="26">
        <v>8.3000000000000007</v>
      </c>
      <c r="R290" s="26">
        <v>9.3000000000000007</v>
      </c>
      <c r="S290" s="26">
        <v>10.3</v>
      </c>
      <c r="T290" s="26">
        <v>11.3</v>
      </c>
      <c r="U290" s="26">
        <v>11.3</v>
      </c>
      <c r="W290" s="26">
        <v>7.3</v>
      </c>
      <c r="X290" s="26">
        <v>8.3000000000000007</v>
      </c>
      <c r="Y290" s="26">
        <v>9.3000000000000007</v>
      </c>
      <c r="Z290" s="26">
        <v>10.3</v>
      </c>
      <c r="AA290" s="26">
        <v>11.3</v>
      </c>
      <c r="AB290" s="26">
        <v>11.3</v>
      </c>
      <c r="AD290" s="26">
        <v>7.3</v>
      </c>
      <c r="AE290" s="26">
        <v>8.3000000000000007</v>
      </c>
      <c r="AF290" s="26">
        <v>9.3000000000000007</v>
      </c>
      <c r="AG290" s="26">
        <v>10.3</v>
      </c>
      <c r="AH290" s="26">
        <v>11.3</v>
      </c>
      <c r="AI290" s="26">
        <v>11.3</v>
      </c>
      <c r="AK290" s="26">
        <v>7.3</v>
      </c>
      <c r="AL290" s="26">
        <v>8.3000000000000007</v>
      </c>
      <c r="AM290" s="26">
        <v>9.3000000000000007</v>
      </c>
      <c r="AN290" s="26">
        <v>10.3</v>
      </c>
      <c r="AO290" s="26">
        <v>11.3</v>
      </c>
      <c r="AP290" s="26">
        <v>11.3</v>
      </c>
      <c r="AR290" s="26">
        <v>7.3</v>
      </c>
      <c r="AS290" s="26">
        <v>8.3000000000000007</v>
      </c>
      <c r="AT290" s="26">
        <v>9.3000000000000007</v>
      </c>
      <c r="AU290" s="26">
        <v>10.3</v>
      </c>
      <c r="AV290" s="26">
        <v>11.3</v>
      </c>
      <c r="AW290" s="26">
        <v>11.3</v>
      </c>
    </row>
    <row r="291" spans="1:49" x14ac:dyDescent="0.25">
      <c r="A291" s="15"/>
      <c r="B291" s="26"/>
      <c r="C291" s="26"/>
      <c r="D291" s="26"/>
      <c r="E291" s="26"/>
      <c r="F291" s="26"/>
      <c r="G291" s="26"/>
      <c r="H291" s="26"/>
      <c r="I291" s="26"/>
      <c r="J291" s="26"/>
      <c r="K291" s="26"/>
      <c r="L291" s="26"/>
      <c r="M291" s="26"/>
      <c r="N291" s="26"/>
      <c r="O291" s="26"/>
      <c r="P291" s="26"/>
      <c r="Q291" s="26"/>
      <c r="R291" s="26"/>
      <c r="S291" s="26"/>
      <c r="T291" s="26"/>
      <c r="U291" s="26"/>
      <c r="W291" s="26"/>
      <c r="X291" s="26"/>
      <c r="Y291" s="26"/>
      <c r="Z291" s="26"/>
      <c r="AA291" s="26"/>
      <c r="AB291" s="26"/>
      <c r="AD291" s="26"/>
      <c r="AE291" s="26"/>
      <c r="AF291" s="26"/>
      <c r="AG291" s="26"/>
      <c r="AH291" s="26"/>
      <c r="AI291" s="26"/>
      <c r="AK291" s="26"/>
      <c r="AL291" s="26"/>
      <c r="AM291" s="26"/>
      <c r="AN291" s="26"/>
      <c r="AO291" s="26"/>
      <c r="AP291" s="26"/>
      <c r="AR291" s="26"/>
      <c r="AS291" s="26"/>
      <c r="AT291" s="26"/>
      <c r="AU291" s="26"/>
      <c r="AV291" s="26"/>
      <c r="AW291" s="26"/>
    </row>
    <row r="292" spans="1:49" x14ac:dyDescent="0.25">
      <c r="A292" s="41" t="s">
        <v>349</v>
      </c>
      <c r="B292" s="33">
        <f t="shared" ref="B292:G292" si="143">IF(AVERAGE(B5:B6)&lt;15,-0.0525*((B5+B6)/2) + 5.0586,IF(AVERAGE(B5:B6)&lt;50,(-0.007855*((B5+B6)/2) + 4.1),(0.000025*((B5+B6)/2)^2 - 0.016*((B5+B6)/2)+ 4.53)*0.87))</f>
        <v>3.1005984375</v>
      </c>
      <c r="C292" s="33">
        <f t="shared" si="143"/>
        <v>2.7428109375000003</v>
      </c>
      <c r="D292" s="33">
        <f t="shared" si="143"/>
        <v>2.4186000000000001</v>
      </c>
      <c r="E292" s="33">
        <f t="shared" si="143"/>
        <v>2.1402000000000005</v>
      </c>
      <c r="F292" s="33">
        <f t="shared" si="143"/>
        <v>1.9314000000000002</v>
      </c>
      <c r="G292" s="33">
        <f t="shared" si="143"/>
        <v>1.7858109375</v>
      </c>
      <c r="H292" s="33"/>
      <c r="I292" s="33">
        <f t="shared" ref="I292:N292" si="144">IF(AVERAGE(I5:I6)&lt;15,-0.0525*((I5+I6)/2) + 5.0586,IF(AVERAGE(I5:I6)&lt;50,(-0.007855*((I5+I6)/2) + 4.1),(0.000025*((I5+I6)/2)^2 - 0.016*((I5+I6)/2)+ 4.53)*0.87))</f>
        <v>3.1005984375</v>
      </c>
      <c r="J292" s="33">
        <f t="shared" si="144"/>
        <v>2.7428109375000003</v>
      </c>
      <c r="K292" s="33">
        <f t="shared" si="144"/>
        <v>2.4186000000000001</v>
      </c>
      <c r="L292" s="33">
        <f t="shared" si="144"/>
        <v>2.1402000000000005</v>
      </c>
      <c r="M292" s="33">
        <f t="shared" si="144"/>
        <v>1.9314000000000002</v>
      </c>
      <c r="N292" s="33">
        <f t="shared" si="144"/>
        <v>1.7858109375</v>
      </c>
      <c r="O292" s="26"/>
      <c r="P292" s="33">
        <f t="shared" ref="P292:U292" si="145">IF(AVERAGE(P5:P6)&lt;15,-0.0525*((P5+P6)/2) + 5.0586,IF(AVERAGE(P5:P6)&lt;50,(-0.007855*((P5+P6)/2) + 4.1),(0.000025*((P5+P6)/2)^2 - 0.016*((P5+P6)/2)+ 4.53)*0.87))</f>
        <v>3.1005984375</v>
      </c>
      <c r="Q292" s="33">
        <f t="shared" si="145"/>
        <v>2.7428109375000003</v>
      </c>
      <c r="R292" s="33">
        <f t="shared" si="145"/>
        <v>2.4186000000000001</v>
      </c>
      <c r="S292" s="33">
        <f t="shared" si="145"/>
        <v>2.1402000000000005</v>
      </c>
      <c r="T292" s="33">
        <f t="shared" si="145"/>
        <v>1.9314000000000002</v>
      </c>
      <c r="U292" s="33">
        <f t="shared" si="145"/>
        <v>1.7858109375</v>
      </c>
      <c r="W292" s="33">
        <f t="shared" ref="W292:AB292" si="146">IF(AVERAGE(W5:W6)&lt;15,-0.0525*((W5+W6)/2) + 5.0586,IF(AVERAGE(W5:W6)&lt;50,(-0.007855*((W5+W6)/2) + 4.1),(0.000025*((W5+W6)/2)^2 - 0.016*((W5+W6)/2)+ 4.53)*0.87))</f>
        <v>3.1005984375</v>
      </c>
      <c r="X292" s="33">
        <f t="shared" si="146"/>
        <v>2.7428109375000003</v>
      </c>
      <c r="Y292" s="33">
        <f t="shared" si="146"/>
        <v>2.4186000000000001</v>
      </c>
      <c r="Z292" s="33">
        <f t="shared" si="146"/>
        <v>2.1402000000000005</v>
      </c>
      <c r="AA292" s="33">
        <f t="shared" si="146"/>
        <v>1.9314000000000002</v>
      </c>
      <c r="AB292" s="33">
        <f t="shared" si="146"/>
        <v>1.7858109375</v>
      </c>
      <c r="AD292" s="33">
        <f t="shared" ref="AD292:AI292" si="147">IF(AVERAGE(AD5:AD6)&lt;15,-0.0525*((AD5+AD6)/2) + 5.0586,IF(AVERAGE(AD5:AD6)&lt;50,(-0.007855*((AD5+AD6)/2) + 4.1),(0.000025*((AD5+AD6)/2)^2 - 0.016*((AD5+AD6)/2)+ 4.53)*0.87))</f>
        <v>3.1005984375</v>
      </c>
      <c r="AE292" s="33">
        <f t="shared" si="147"/>
        <v>2.7428109375000003</v>
      </c>
      <c r="AF292" s="33">
        <f t="shared" si="147"/>
        <v>2.4186000000000001</v>
      </c>
      <c r="AG292" s="33">
        <f t="shared" si="147"/>
        <v>2.1402000000000005</v>
      </c>
      <c r="AH292" s="33">
        <f t="shared" si="147"/>
        <v>1.9314000000000002</v>
      </c>
      <c r="AI292" s="33">
        <f t="shared" si="147"/>
        <v>1.7858109375</v>
      </c>
      <c r="AK292" s="33">
        <f t="shared" ref="AK292:AP292" si="148">IF(AVERAGE(AK5:AK6)&lt;15,-0.0525*((AK5+AK6)/2) + 5.0586,IF(AVERAGE(AK5:AK6)&lt;50,(-0.007855*((AK5+AK6)/2) + 4.1),(0.000025*((AK5+AK6)/2)^2 - 0.016*((AK5+AK6)/2)+ 4.53)*0.87))</f>
        <v>3.1005984375</v>
      </c>
      <c r="AL292" s="33">
        <f t="shared" si="148"/>
        <v>2.7428109375000003</v>
      </c>
      <c r="AM292" s="33">
        <f t="shared" si="148"/>
        <v>2.4186000000000001</v>
      </c>
      <c r="AN292" s="33">
        <f t="shared" si="148"/>
        <v>2.1402000000000005</v>
      </c>
      <c r="AO292" s="33">
        <f t="shared" si="148"/>
        <v>1.9314000000000002</v>
      </c>
      <c r="AP292" s="33">
        <f t="shared" si="148"/>
        <v>1.7858109375</v>
      </c>
      <c r="AR292" s="33">
        <f t="shared" ref="AR292:AW292" si="149">IF(AVERAGE(AR5:AR6)&lt;15,-0.0525*((AR5+AR6)/2) + 5.0586,IF(AVERAGE(AR5:AR6)&lt;50,(-0.007855*((AR5+AR6)/2) + 4.1),(0.000025*((AR5+AR6)/2)^2 - 0.016*((AR5+AR6)/2)+ 4.53)*0.87))</f>
        <v>3.1005984375</v>
      </c>
      <c r="AS292" s="33">
        <f t="shared" si="149"/>
        <v>2.7428109375000003</v>
      </c>
      <c r="AT292" s="33">
        <f t="shared" si="149"/>
        <v>2.4186000000000001</v>
      </c>
      <c r="AU292" s="33">
        <f t="shared" si="149"/>
        <v>2.1402000000000005</v>
      </c>
      <c r="AV292" s="33">
        <f t="shared" si="149"/>
        <v>1.9314000000000002</v>
      </c>
      <c r="AW292" s="33">
        <f t="shared" si="149"/>
        <v>1.7858109375</v>
      </c>
    </row>
    <row r="293" spans="1:49" x14ac:dyDescent="0.25">
      <c r="A293" s="40" t="s">
        <v>108</v>
      </c>
      <c r="B293" s="26">
        <f t="shared" ref="B293:G293" si="150">IF(B292="","",B246*2.2046*B292/10000)</f>
        <v>1.0218338099122541</v>
      </c>
      <c r="C293" s="26">
        <f t="shared" si="150"/>
        <v>0.90661866270365665</v>
      </c>
      <c r="D293" s="26">
        <f t="shared" si="150"/>
        <v>0.80157146072263108</v>
      </c>
      <c r="E293" s="26">
        <f t="shared" si="150"/>
        <v>0.71128296096658616</v>
      </c>
      <c r="F293" s="26">
        <f t="shared" si="150"/>
        <v>0.64341814748506398</v>
      </c>
      <c r="G293" s="26">
        <f t="shared" si="150"/>
        <v>0.5954852264631163</v>
      </c>
      <c r="H293" s="26"/>
      <c r="I293" s="26">
        <f t="shared" ref="I293:N293" si="151">IF(I292="","",I246*2.2046*I292/10000)</f>
        <v>1.0240291447484517</v>
      </c>
      <c r="J293" s="26">
        <f t="shared" si="151"/>
        <v>0.90850052434513762</v>
      </c>
      <c r="K293" s="26">
        <f t="shared" si="151"/>
        <v>0.80333293952425489</v>
      </c>
      <c r="L293" s="26">
        <f t="shared" si="151"/>
        <v>0.71278977889407957</v>
      </c>
      <c r="M293" s="26">
        <f t="shared" si="151"/>
        <v>0.64475937923401738</v>
      </c>
      <c r="N293" s="26">
        <f t="shared" si="151"/>
        <v>0.5954852264631163</v>
      </c>
      <c r="O293" s="33"/>
      <c r="P293" s="26">
        <f t="shared" ref="P293:U293" si="152">IF(P292="","",P246*2.2046*P292/10000)</f>
        <v>1.0262042101576878</v>
      </c>
      <c r="Q293" s="26">
        <f t="shared" si="152"/>
        <v>0.91044470116264398</v>
      </c>
      <c r="R293" s="26">
        <f t="shared" si="152"/>
        <v>0.80504412392353608</v>
      </c>
      <c r="S293" s="26">
        <f t="shared" si="152"/>
        <v>0.71431931961199679</v>
      </c>
      <c r="T293" s="26">
        <f t="shared" si="152"/>
        <v>0.64613692329116235</v>
      </c>
      <c r="U293" s="26">
        <f t="shared" si="152"/>
        <v>0.5954852264631163</v>
      </c>
      <c r="W293" s="26">
        <f t="shared" ref="W293:AB293" si="153">IF(W292="","",W246*2.2046*W292/10000)</f>
        <v>1.0283980435600095</v>
      </c>
      <c r="X293" s="26">
        <f t="shared" si="153"/>
        <v>0.91238912177086662</v>
      </c>
      <c r="Y293" s="26">
        <f t="shared" si="153"/>
        <v>0.80678365585773271</v>
      </c>
      <c r="Z293" s="26">
        <f t="shared" si="153"/>
        <v>0.71586970536704853</v>
      </c>
      <c r="AA293" s="26">
        <f t="shared" si="153"/>
        <v>0.64757906514926511</v>
      </c>
      <c r="AB293" s="26">
        <f t="shared" si="153"/>
        <v>0.5954852264631163</v>
      </c>
      <c r="AD293" s="26">
        <f t="shared" ref="AD293:AI293" si="154">IF(AD292="","",AD246*2.2046*AD292/10000)</f>
        <v>1.030618766692627</v>
      </c>
      <c r="AE293" s="26">
        <f t="shared" si="154"/>
        <v>0.91436846182278608</v>
      </c>
      <c r="AF293" s="26">
        <f t="shared" si="154"/>
        <v>0.8085485362890289</v>
      </c>
      <c r="AG293" s="26">
        <f t="shared" si="154"/>
        <v>0.71746717436414553</v>
      </c>
      <c r="AH293" s="26">
        <f t="shared" si="154"/>
        <v>0.64858287169365725</v>
      </c>
      <c r="AI293" s="26">
        <f t="shared" si="154"/>
        <v>0.5954852264631163</v>
      </c>
      <c r="AK293" s="26">
        <f t="shared" ref="AK293:AP293" si="155">IF(AK292="","",AK246*2.2046*AK292/10000)</f>
        <v>1.0328413589023342</v>
      </c>
      <c r="AL293" s="26">
        <f t="shared" si="155"/>
        <v>0.91632321830335584</v>
      </c>
      <c r="AM293" s="26">
        <f t="shared" si="155"/>
        <v>0.81033618208460745</v>
      </c>
      <c r="AN293" s="26">
        <f t="shared" si="155"/>
        <v>0.71867924415228079</v>
      </c>
      <c r="AO293" s="26">
        <f t="shared" si="155"/>
        <v>0.64943014342814054</v>
      </c>
      <c r="AP293" s="26">
        <f t="shared" si="155"/>
        <v>0.5954852264631163</v>
      </c>
      <c r="AR293" s="26">
        <f t="shared" ref="AR293:AW293" si="156">IF(AR292="","",AR246*2.2046*AR292/10000)</f>
        <v>1.0350215178406599</v>
      </c>
      <c r="AS293" s="26">
        <f t="shared" si="156"/>
        <v>0.91832775212200546</v>
      </c>
      <c r="AT293" s="26">
        <f t="shared" si="156"/>
        <v>0.81214074858156005</v>
      </c>
      <c r="AU293" s="26">
        <f t="shared" si="156"/>
        <v>0.71961790835223594</v>
      </c>
      <c r="AV293" s="26">
        <f t="shared" si="156"/>
        <v>0.65027733543711308</v>
      </c>
      <c r="AW293" s="26">
        <f t="shared" si="156"/>
        <v>0.5954852264631163</v>
      </c>
    </row>
    <row r="294" spans="1:49" x14ac:dyDescent="0.25">
      <c r="A294" s="15"/>
      <c r="B294" s="26"/>
      <c r="C294" s="26"/>
      <c r="D294" s="26"/>
      <c r="E294" s="26"/>
      <c r="F294" s="26"/>
      <c r="G294" s="26"/>
      <c r="H294" s="26"/>
      <c r="I294" s="26"/>
      <c r="J294" s="26"/>
      <c r="K294" s="26"/>
      <c r="L294" s="26"/>
      <c r="M294" s="26"/>
      <c r="N294" s="26"/>
      <c r="O294" s="26"/>
      <c r="P294" s="26"/>
      <c r="Q294" s="26"/>
      <c r="R294" s="26"/>
      <c r="S294" s="26"/>
      <c r="T294" s="26"/>
      <c r="U294" s="26"/>
      <c r="W294" s="26"/>
      <c r="X294" s="26"/>
      <c r="Y294" s="26"/>
      <c r="Z294" s="26"/>
      <c r="AA294" s="26"/>
      <c r="AB294" s="26"/>
      <c r="AD294" s="26"/>
      <c r="AE294" s="26"/>
      <c r="AF294" s="26"/>
      <c r="AG294" s="26"/>
      <c r="AH294" s="26"/>
      <c r="AI294" s="26"/>
      <c r="AK294" s="26"/>
      <c r="AL294" s="26"/>
      <c r="AM294" s="26"/>
      <c r="AN294" s="26"/>
      <c r="AO294" s="26"/>
      <c r="AP294" s="26"/>
      <c r="AR294" s="26"/>
      <c r="AS294" s="26"/>
      <c r="AT294" s="26"/>
      <c r="AU294" s="26"/>
      <c r="AV294" s="26"/>
      <c r="AW294" s="26"/>
    </row>
    <row r="295" spans="1:49" x14ac:dyDescent="0.25">
      <c r="B295" s="26"/>
      <c r="C295" s="26"/>
      <c r="D295" s="26"/>
      <c r="E295" s="26"/>
      <c r="F295" s="26"/>
      <c r="G295" s="26"/>
      <c r="H295" s="26"/>
      <c r="I295" s="26"/>
      <c r="J295" s="26"/>
      <c r="K295" s="26"/>
      <c r="L295" s="26"/>
      <c r="M295" s="26"/>
      <c r="N295" s="26"/>
      <c r="O295" s="26"/>
      <c r="P295" s="26"/>
      <c r="Q295" s="26"/>
      <c r="R295" s="26"/>
      <c r="S295" s="26"/>
      <c r="T295" s="26"/>
      <c r="U295" s="26"/>
      <c r="W295" s="26"/>
      <c r="X295" s="26"/>
      <c r="Y295" s="26"/>
      <c r="Z295" s="26"/>
      <c r="AA295" s="26"/>
      <c r="AB295" s="26"/>
      <c r="AD295" s="26"/>
      <c r="AE295" s="26"/>
      <c r="AF295" s="26"/>
      <c r="AG295" s="26"/>
      <c r="AH295" s="26"/>
      <c r="AI295" s="26"/>
      <c r="AK295" s="26"/>
      <c r="AL295" s="26"/>
      <c r="AM295" s="26"/>
      <c r="AN295" s="26"/>
      <c r="AO295" s="26"/>
      <c r="AP295" s="26"/>
      <c r="AR295" s="26"/>
      <c r="AS295" s="26"/>
      <c r="AT295" s="26"/>
      <c r="AU295" s="26"/>
      <c r="AV295" s="26"/>
      <c r="AW295" s="26"/>
    </row>
    <row r="296" spans="1:49" x14ac:dyDescent="0.25">
      <c r="A296" s="17" t="s">
        <v>50</v>
      </c>
      <c r="B296" s="294"/>
      <c r="C296" s="294"/>
      <c r="D296" s="294"/>
      <c r="E296" s="294"/>
      <c r="F296" s="294"/>
      <c r="G296" s="294"/>
      <c r="H296" s="295"/>
      <c r="I296" s="294"/>
      <c r="J296" s="294"/>
      <c r="K296" s="294"/>
      <c r="L296" s="294"/>
      <c r="M296" s="294"/>
      <c r="N296" s="294"/>
      <c r="O296" s="26"/>
      <c r="P296" s="294"/>
      <c r="Q296" s="294"/>
      <c r="R296" s="294"/>
      <c r="S296" s="294"/>
      <c r="T296" s="294"/>
      <c r="U296" s="294"/>
      <c r="W296" s="294"/>
      <c r="X296" s="294"/>
      <c r="Y296" s="294"/>
      <c r="Z296" s="294"/>
      <c r="AA296" s="294"/>
      <c r="AB296" s="294"/>
      <c r="AD296" s="294"/>
      <c r="AE296" s="294"/>
      <c r="AF296" s="294"/>
      <c r="AG296" s="294"/>
      <c r="AH296" s="294"/>
      <c r="AI296" s="294"/>
      <c r="AK296" s="294"/>
      <c r="AL296" s="294"/>
      <c r="AM296" s="294"/>
      <c r="AN296" s="294"/>
      <c r="AO296" s="294"/>
      <c r="AP296" s="294"/>
      <c r="AR296" s="294"/>
      <c r="AS296" s="294"/>
      <c r="AT296" s="294"/>
      <c r="AU296" s="294"/>
      <c r="AV296" s="294"/>
      <c r="AW296" s="294"/>
    </row>
    <row r="297" spans="1:49" x14ac:dyDescent="0.25">
      <c r="A297" s="3" t="s">
        <v>48</v>
      </c>
      <c r="B297" s="20">
        <f>SUMPRODUCT(B$9:B$229,Nutrients!$DA$8:$DA$228)/2000</f>
        <v>0.35459999999999997</v>
      </c>
      <c r="C297" s="20">
        <f>SUMPRODUCT(C$9:C$229,Nutrients!$DA$8:$DA$228)/2000</f>
        <v>0.31519999999999998</v>
      </c>
      <c r="D297" s="20">
        <f>SUMPRODUCT(D$9:D$229,Nutrients!$DA$8:$DA$228)/2000</f>
        <v>0.27579999999999999</v>
      </c>
      <c r="E297" s="20">
        <f>SUMPRODUCT(E$9:E$229,Nutrients!$DA$8:$DA$228)/2000</f>
        <v>0.25692384707729665</v>
      </c>
      <c r="F297" s="20">
        <f>SUMPRODUCT(F$9:F$229,Nutrients!$DA$8:$DA$228)/2000</f>
        <v>0.25692384707729665</v>
      </c>
      <c r="G297" s="20">
        <f>SUMPRODUCT(G$9:G$229,Nutrients!$DA$8:$DA$228)/2000</f>
        <v>0.25692384707729665</v>
      </c>
      <c r="H297" s="192"/>
      <c r="I297" s="20">
        <f>SUMPRODUCT(I$9:I$229,Nutrients!$DA$8:$DA$228)/2000</f>
        <v>0.39727200000000001</v>
      </c>
      <c r="J297" s="20">
        <f>SUMPRODUCT(J$9:J$229,Nutrients!$DA$8:$DA$228)/2000</f>
        <v>0.35787200000000002</v>
      </c>
      <c r="K297" s="20">
        <f>SUMPRODUCT(K$9:K$229,Nutrients!$DA$8:$DA$228)/2000</f>
        <v>0.31847199999999998</v>
      </c>
      <c r="L297" s="20">
        <f>SUMPRODUCT(L$9:L$229,Nutrients!$DA$8:$DA$228)/2000</f>
        <v>0.2995958470772967</v>
      </c>
      <c r="M297" s="20">
        <f>SUMPRODUCT(M$9:M$229,Nutrients!$DA$8:$DA$228)/2000</f>
        <v>0.2995958470772967</v>
      </c>
      <c r="N297" s="20">
        <f>SUMPRODUCT(N$9:N$229,Nutrients!$DA$8:$DA$228)/2000</f>
        <v>0.25692384707729665</v>
      </c>
      <c r="O297" s="201"/>
      <c r="P297" s="20">
        <f>SUMPRODUCT(P$9:P$229,Nutrients!$DA$8:$DA$228)/2000</f>
        <v>0.43994399999999995</v>
      </c>
      <c r="Q297" s="20">
        <f>SUMPRODUCT(Q$9:Q$229,Nutrients!$DA$8:$DA$228)/2000</f>
        <v>0.40054399999999996</v>
      </c>
      <c r="R297" s="20">
        <f>SUMPRODUCT(R$9:R$229,Nutrients!$DA$8:$DA$228)/2000</f>
        <v>0.36114400000000002</v>
      </c>
      <c r="S297" s="20">
        <f>SUMPRODUCT(S$9:S$229,Nutrients!$DA$8:$DA$228)/2000</f>
        <v>0.34226784707729668</v>
      </c>
      <c r="T297" s="20">
        <f>SUMPRODUCT(T$9:T$229,Nutrients!$DA$8:$DA$228)/2000</f>
        <v>0.34226784707729668</v>
      </c>
      <c r="U297" s="20">
        <f>SUMPRODUCT(U$9:U$229,Nutrients!$DA$8:$DA$228)/2000</f>
        <v>0.25692384707729665</v>
      </c>
      <c r="W297" s="20">
        <f>SUMPRODUCT(W$9:W$229,Nutrients!$DA$8:$DA$228)/2000</f>
        <v>0.48261599999999993</v>
      </c>
      <c r="X297" s="20">
        <f>SUMPRODUCT(X$9:X$229,Nutrients!$DA$8:$DA$228)/2000</f>
        <v>0.44321599999999994</v>
      </c>
      <c r="Y297" s="20">
        <f>SUMPRODUCT(Y$9:Y$229,Nutrients!$DA$8:$DA$228)/2000</f>
        <v>0.40381599999999995</v>
      </c>
      <c r="Z297" s="20">
        <f>SUMPRODUCT(Z$9:Z$229,Nutrients!$DA$8:$DA$228)/2000</f>
        <v>0.38493984707729662</v>
      </c>
      <c r="AA297" s="20">
        <f>SUMPRODUCT(AA$9:AA$229,Nutrients!$DA$8:$DA$228)/2000</f>
        <v>0.38493984707729662</v>
      </c>
      <c r="AB297" s="20">
        <f>SUMPRODUCT(AB$9:AB$229,Nutrients!$DA$8:$DA$228)/2000</f>
        <v>0.25692384707729665</v>
      </c>
      <c r="AD297" s="20">
        <f>SUMPRODUCT(AD$9:AD$229,Nutrients!$DA$8:$DA$228)/2000</f>
        <v>0.52528799999999998</v>
      </c>
      <c r="AE297" s="20">
        <f>SUMPRODUCT(AE$9:AE$229,Nutrients!$DA$8:$DA$228)/2000</f>
        <v>0.48588799999999999</v>
      </c>
      <c r="AF297" s="20">
        <f>SUMPRODUCT(AF$9:AF$229,Nutrients!$DA$8:$DA$228)/2000</f>
        <v>0.44648799999999994</v>
      </c>
      <c r="AG297" s="20">
        <f>SUMPRODUCT(AG$9:AG$229,Nutrients!$DA$8:$DA$228)/2000</f>
        <v>0.42761184707729666</v>
      </c>
      <c r="AH297" s="20">
        <f>SUMPRODUCT(AH$9:AH$229,Nutrients!$DA$8:$DA$228)/2000</f>
        <v>0.42761184707729666</v>
      </c>
      <c r="AI297" s="20">
        <f>SUMPRODUCT(AI$9:AI$229,Nutrients!$DA$8:$DA$228)/2000</f>
        <v>0.25692384707729665</v>
      </c>
      <c r="AK297" s="20">
        <f>SUMPRODUCT(AK$9:AK$229,Nutrients!$DA$8:$DA$228)/2000</f>
        <v>0.56795999999999991</v>
      </c>
      <c r="AL297" s="20">
        <f>SUMPRODUCT(AL$9:AL$229,Nutrients!$DA$8:$DA$228)/2000</f>
        <v>0.52855999999999992</v>
      </c>
      <c r="AM297" s="20">
        <f>SUMPRODUCT(AM$9:AM$229,Nutrients!$DA$8:$DA$228)/2000</f>
        <v>0.48915999999999998</v>
      </c>
      <c r="AN297" s="20">
        <f>SUMPRODUCT(AN$9:AN$229,Nutrients!$DA$8:$DA$228)/2000</f>
        <v>0.47028384707729665</v>
      </c>
      <c r="AO297" s="20">
        <f>SUMPRODUCT(AO$9:AO$229,Nutrients!$DA$8:$DA$228)/2000</f>
        <v>0.47028384707729665</v>
      </c>
      <c r="AP297" s="20">
        <f>SUMPRODUCT(AP$9:AP$229,Nutrients!$DA$8:$DA$228)/2000</f>
        <v>0.25692384707729665</v>
      </c>
      <c r="AR297" s="20">
        <f>SUMPRODUCT(AR$9:AR$229,Nutrients!$DA$8:$DA$228)/2000</f>
        <v>0.61063199999999995</v>
      </c>
      <c r="AS297" s="20">
        <f>SUMPRODUCT(AS$9:AS$229,Nutrients!$DA$8:$DA$228)/2000</f>
        <v>0.57123199999999996</v>
      </c>
      <c r="AT297" s="20">
        <f>SUMPRODUCT(AT$9:AT$229,Nutrients!$DA$8:$DA$228)/2000</f>
        <v>0.53183199999999997</v>
      </c>
      <c r="AU297" s="20">
        <f>SUMPRODUCT(AU$9:AU$229,Nutrients!$DA$8:$DA$228)/2000</f>
        <v>0.51295584707729669</v>
      </c>
      <c r="AV297" s="20">
        <f>SUMPRODUCT(AV$9:AV$229,Nutrients!$DA$8:$DA$228)/2000</f>
        <v>0.51295584707729669</v>
      </c>
      <c r="AW297" s="20">
        <f>SUMPRODUCT(AW$9:AW$229,Nutrients!$DA$8:$DA$228)/2000</f>
        <v>0.25692384707729665</v>
      </c>
    </row>
    <row r="298" spans="1:49" x14ac:dyDescent="0.25">
      <c r="A298" s="34" t="s">
        <v>391</v>
      </c>
      <c r="B298" s="23">
        <f t="shared" ref="B298:G298" si="157">IF(B$5="","",B245/(B246*2.2046)*10000)</f>
        <v>4.0004918161487684</v>
      </c>
      <c r="C298" s="23">
        <f t="shared" si="157"/>
        <v>3.5419410134415341</v>
      </c>
      <c r="D298" s="23">
        <f t="shared" si="157"/>
        <v>3.1391303590347972</v>
      </c>
      <c r="E298" s="23">
        <f t="shared" si="157"/>
        <v>2.8010240180887811</v>
      </c>
      <c r="F298" s="23">
        <f t="shared" si="157"/>
        <v>2.5643124869082041</v>
      </c>
      <c r="G298" s="23">
        <f t="shared" si="157"/>
        <v>2.4347307257524458</v>
      </c>
      <c r="H298" s="227"/>
      <c r="I298" s="23">
        <f t="shared" ref="I298:N298" si="158">IF(I$5="","",I245/(I246*2.2046)*10000)</f>
        <v>3.9864485064889008</v>
      </c>
      <c r="J298" s="23">
        <f t="shared" si="158"/>
        <v>3.5340158918910172</v>
      </c>
      <c r="K298" s="23">
        <f t="shared" si="158"/>
        <v>3.1356577051312526</v>
      </c>
      <c r="L298" s="23">
        <f t="shared" si="158"/>
        <v>2.8011491032361246</v>
      </c>
      <c r="M298" s="23">
        <f t="shared" si="158"/>
        <v>2.5648251725614659</v>
      </c>
      <c r="N298" s="23">
        <f t="shared" si="158"/>
        <v>2.4347307257524458</v>
      </c>
      <c r="O298" s="237"/>
      <c r="P298" s="23">
        <f t="shared" ref="P298:U298" si="159">IF(P$5="","",P245/(P246*2.2046)*10000)</f>
        <v>3.9788169015592301</v>
      </c>
      <c r="Q298" s="23">
        <f t="shared" si="159"/>
        <v>3.5302179877777511</v>
      </c>
      <c r="R298" s="23">
        <f t="shared" si="159"/>
        <v>3.1358643115554283</v>
      </c>
      <c r="S298" s="23">
        <f t="shared" si="159"/>
        <v>2.8005462223474087</v>
      </c>
      <c r="T298" s="23">
        <f t="shared" si="159"/>
        <v>2.5672903941080913</v>
      </c>
      <c r="U298" s="23">
        <f t="shared" si="159"/>
        <v>2.4347307257524458</v>
      </c>
      <c r="W298" s="23">
        <f t="shared" ref="W298:AB298" si="160">IF(W$5="","",W245/(W246*2.2046)*10000)</f>
        <v>3.9711384490381958</v>
      </c>
      <c r="X298" s="23">
        <f t="shared" si="160"/>
        <v>3.5264507557221485</v>
      </c>
      <c r="Y298" s="23">
        <f t="shared" si="160"/>
        <v>3.1314340725627372</v>
      </c>
      <c r="Z298" s="23">
        <f t="shared" si="160"/>
        <v>2.8010104573408361</v>
      </c>
      <c r="AA298" s="23">
        <f t="shared" si="160"/>
        <v>2.5697679111813336</v>
      </c>
      <c r="AB298" s="23">
        <f t="shared" si="160"/>
        <v>2.4347307257524458</v>
      </c>
      <c r="AD298" s="23">
        <f t="shared" ref="AD298:AI298" si="161">IF(AD$5="","",AD245/(AD246*2.2046)*10000)</f>
        <v>3.9630280743446122</v>
      </c>
      <c r="AE298" s="23">
        <f t="shared" si="161"/>
        <v>3.5181130419046216</v>
      </c>
      <c r="AF298" s="23">
        <f t="shared" si="161"/>
        <v>3.1279863761305937</v>
      </c>
      <c r="AG298" s="23">
        <f t="shared" si="161"/>
        <v>2.8011931901551494</v>
      </c>
      <c r="AH298" s="23">
        <f t="shared" si="161"/>
        <v>2.5721725545545535</v>
      </c>
      <c r="AI298" s="23">
        <f t="shared" si="161"/>
        <v>2.4347307257524458</v>
      </c>
      <c r="AK298" s="23">
        <f t="shared" ref="AK298:AP298" si="162">IF(AK$5="","",AK245/(AK246*2.2046)*10000)</f>
        <v>3.9561158646018915</v>
      </c>
      <c r="AL298" s="23">
        <f t="shared" si="162"/>
        <v>3.5111900333635315</v>
      </c>
      <c r="AM298" s="23">
        <f t="shared" si="162"/>
        <v>3.1249732333882854</v>
      </c>
      <c r="AN298" s="23">
        <f t="shared" si="162"/>
        <v>2.8014739625221403</v>
      </c>
      <c r="AO298" s="23">
        <f t="shared" si="162"/>
        <v>2.5745750935787202</v>
      </c>
      <c r="AP298" s="23">
        <f t="shared" si="162"/>
        <v>2.4347307257524458</v>
      </c>
      <c r="AR298" s="23">
        <f t="shared" ref="AR298:AW298" si="163">IF(AR$5="","",AR245/(AR246*2.2046)*10000)</f>
        <v>3.9581107695750393</v>
      </c>
      <c r="AS298" s="23">
        <f t="shared" si="163"/>
        <v>3.504122485140722</v>
      </c>
      <c r="AT298" s="23">
        <f t="shared" si="163"/>
        <v>3.1227560503208212</v>
      </c>
      <c r="AU298" s="23">
        <f t="shared" si="163"/>
        <v>2.8021108807362807</v>
      </c>
      <c r="AV298" s="23">
        <f t="shared" si="163"/>
        <v>2.5769938926457594</v>
      </c>
      <c r="AW298" s="23">
        <f t="shared" si="163"/>
        <v>2.4347307257524458</v>
      </c>
    </row>
    <row r="299" spans="1:49" x14ac:dyDescent="0.25">
      <c r="A299" s="34" t="s">
        <v>392</v>
      </c>
      <c r="B299" s="23">
        <f t="shared" ref="B299:G299" si="164">IF(B$5="","",B236/(B246*2.2046)*10000)</f>
        <v>3.5990753406176657</v>
      </c>
      <c r="C299" s="23">
        <f t="shared" si="164"/>
        <v>3.1727222375948116</v>
      </c>
      <c r="D299" s="23">
        <f t="shared" si="164"/>
        <v>2.7968342544845632</v>
      </c>
      <c r="E299" s="23">
        <f t="shared" si="164"/>
        <v>2.4855813058752307</v>
      </c>
      <c r="F299" s="23">
        <f t="shared" si="164"/>
        <v>2.2715388971881016</v>
      </c>
      <c r="G299" s="23">
        <f t="shared" si="164"/>
        <v>2.1544027583542169</v>
      </c>
      <c r="H299" s="227"/>
      <c r="I299" s="23">
        <f t="shared" ref="I299:N299" si="165">IF(I$5="","",I236/(I246*2.2046)*10000)</f>
        <v>3.5618311780488763</v>
      </c>
      <c r="J299" s="23">
        <f t="shared" si="165"/>
        <v>3.1411124768558918</v>
      </c>
      <c r="K299" s="23">
        <f t="shared" si="165"/>
        <v>2.7693450866513083</v>
      </c>
      <c r="L299" s="23">
        <f t="shared" si="165"/>
        <v>2.4614200897316159</v>
      </c>
      <c r="M299" s="23">
        <f t="shared" si="165"/>
        <v>2.2477806695451705</v>
      </c>
      <c r="N299" s="23">
        <f t="shared" si="165"/>
        <v>2.1544027583542169</v>
      </c>
      <c r="O299" s="198"/>
      <c r="P299" s="23">
        <f t="shared" ref="P299:U299" si="166">IF(P$5="","",P236/(P246*2.2046)*10000)</f>
        <v>3.5304914032620984</v>
      </c>
      <c r="Q299" s="23">
        <f t="shared" si="166"/>
        <v>3.1133434736847709</v>
      </c>
      <c r="R299" s="23">
        <f t="shared" si="166"/>
        <v>2.7452862258836985</v>
      </c>
      <c r="S299" s="23">
        <f t="shared" si="166"/>
        <v>2.4367117749500187</v>
      </c>
      <c r="T299" s="23">
        <f t="shared" si="166"/>
        <v>2.2259030130592716</v>
      </c>
      <c r="U299" s="23">
        <f t="shared" si="166"/>
        <v>2.1544027583542169</v>
      </c>
      <c r="W299" s="23">
        <f t="shared" ref="W299:AB299" si="167">IF(W$5="","",W236/(W246*2.2046)*10000)</f>
        <v>3.499217412744013</v>
      </c>
      <c r="X299" s="23">
        <f t="shared" si="167"/>
        <v>3.0857036449734365</v>
      </c>
      <c r="Y299" s="23">
        <f t="shared" si="167"/>
        <v>2.7171467973011745</v>
      </c>
      <c r="Z299" s="23">
        <f t="shared" si="167"/>
        <v>2.4130811678888708</v>
      </c>
      <c r="AA299" s="23">
        <f t="shared" si="167"/>
        <v>2.2041711741403605</v>
      </c>
      <c r="AB299" s="23">
        <f t="shared" si="167"/>
        <v>2.1544027583542169</v>
      </c>
      <c r="AD299" s="23">
        <f t="shared" ref="AD299:AI299" si="168">IF(AD$5="","",AD236/(AD246*2.2046)*10000)</f>
        <v>3.4676641085929081</v>
      </c>
      <c r="AE299" s="23">
        <f t="shared" si="168"/>
        <v>3.0540446219593269</v>
      </c>
      <c r="AF299" s="23">
        <f t="shared" si="168"/>
        <v>2.6900100640750897</v>
      </c>
      <c r="AG299" s="23">
        <f t="shared" si="168"/>
        <v>2.3893274702647513</v>
      </c>
      <c r="AH299" s="23">
        <f t="shared" si="168"/>
        <v>2.1824670210891051</v>
      </c>
      <c r="AI299" s="23">
        <f t="shared" si="168"/>
        <v>2.1544027583542169</v>
      </c>
      <c r="AK299" s="23">
        <f t="shared" ref="AK299:AP299" si="169">IF(AK$5="","",AK236/(AK246*2.2046)*10000)</f>
        <v>3.4372996204475261</v>
      </c>
      <c r="AL299" s="23">
        <f t="shared" si="169"/>
        <v>3.0237604097242543</v>
      </c>
      <c r="AM299" s="23">
        <f t="shared" si="169"/>
        <v>2.6633818111303991</v>
      </c>
      <c r="AN299" s="23">
        <f t="shared" si="169"/>
        <v>2.3657427545090925</v>
      </c>
      <c r="AO299" s="23">
        <f t="shared" si="169"/>
        <v>2.1608228840750709</v>
      </c>
      <c r="AP299" s="23">
        <f t="shared" si="169"/>
        <v>2.1544027583542169</v>
      </c>
      <c r="AR299" s="23">
        <f t="shared" ref="AR299:AW299" si="170">IF(AR$5="","",AR236/(AR246*2.2046)*10000)</f>
        <v>3.4150809020128592</v>
      </c>
      <c r="AS299" s="23">
        <f t="shared" si="170"/>
        <v>2.9934674818333606</v>
      </c>
      <c r="AT299" s="23">
        <f t="shared" si="170"/>
        <v>2.637591916630011</v>
      </c>
      <c r="AU299" s="23">
        <f t="shared" si="170"/>
        <v>2.3425340164691066</v>
      </c>
      <c r="AV299" s="23">
        <f t="shared" si="170"/>
        <v>2.1392554856611854</v>
      </c>
      <c r="AW299" s="23">
        <f t="shared" si="170"/>
        <v>2.1544027583542169</v>
      </c>
    </row>
    <row r="300" spans="1:49" x14ac:dyDescent="0.25">
      <c r="A300" s="34" t="s">
        <v>151</v>
      </c>
      <c r="B300" s="23">
        <f t="shared" ref="B300:G300" si="171">B245/B253*100</f>
        <v>6.8677028806815752</v>
      </c>
      <c r="C300" s="23">
        <f t="shared" si="171"/>
        <v>6.6830941302046103</v>
      </c>
      <c r="D300" s="23">
        <f t="shared" si="171"/>
        <v>6.4644027164582063</v>
      </c>
      <c r="E300" s="23">
        <f t="shared" si="171"/>
        <v>6.3149371296786221</v>
      </c>
      <c r="F300" s="23">
        <f t="shared" si="171"/>
        <v>6.2696154239212527</v>
      </c>
      <c r="G300" s="23">
        <f t="shared" si="171"/>
        <v>6.2402437601749243</v>
      </c>
      <c r="H300" s="227"/>
      <c r="I300" s="23">
        <f t="shared" ref="I300:N300" si="172">I245/I253*100</f>
        <v>6.7644145662657404</v>
      </c>
      <c r="J300" s="23">
        <f t="shared" si="172"/>
        <v>6.5728321084152954</v>
      </c>
      <c r="K300" s="23">
        <f t="shared" si="172"/>
        <v>6.3467759741919929</v>
      </c>
      <c r="L300" s="23">
        <f t="shared" si="172"/>
        <v>6.1914683549594036</v>
      </c>
      <c r="M300" s="23">
        <f t="shared" si="172"/>
        <v>6.1383833448568614</v>
      </c>
      <c r="N300" s="23">
        <f t="shared" si="172"/>
        <v>6.2402437601749243</v>
      </c>
      <c r="O300" s="198"/>
      <c r="P300" s="23">
        <f t="shared" ref="P300:U300" si="173">P245/P253*100</f>
        <v>6.6635859654498963</v>
      </c>
      <c r="Q300" s="23">
        <f t="shared" si="173"/>
        <v>6.4647833145415987</v>
      </c>
      <c r="R300" s="23">
        <f t="shared" si="173"/>
        <v>6.2345638955720508</v>
      </c>
      <c r="S300" s="23">
        <f t="shared" si="173"/>
        <v>6.0718274269690049</v>
      </c>
      <c r="T300" s="23">
        <f t="shared" si="173"/>
        <v>6.0111558209644897</v>
      </c>
      <c r="U300" s="23">
        <f t="shared" si="173"/>
        <v>6.2402437601749243</v>
      </c>
      <c r="W300" s="23">
        <f t="shared" ref="W300:AB300" si="174">W245/W253*100</f>
        <v>6.5651495251310106</v>
      </c>
      <c r="X300" s="23">
        <f t="shared" si="174"/>
        <v>6.3607107969065702</v>
      </c>
      <c r="Y300" s="23">
        <f t="shared" si="174"/>
        <v>6.1250637832738395</v>
      </c>
      <c r="Z300" s="23">
        <f t="shared" si="174"/>
        <v>5.9561211294015557</v>
      </c>
      <c r="AA300" s="23">
        <f t="shared" si="174"/>
        <v>5.8859150797251587</v>
      </c>
      <c r="AB300" s="23">
        <f t="shared" si="174"/>
        <v>6.2402437601749243</v>
      </c>
      <c r="AD300" s="23">
        <f t="shared" ref="AD300:AI300" si="175">AD245/AD253*100</f>
        <v>6.4687800959429316</v>
      </c>
      <c r="AE300" s="23">
        <f t="shared" si="175"/>
        <v>6.2587131799281481</v>
      </c>
      <c r="AF300" s="23">
        <f t="shared" si="175"/>
        <v>6.0184882570585394</v>
      </c>
      <c r="AG300" s="23">
        <f t="shared" si="175"/>
        <v>5.8425587065923201</v>
      </c>
      <c r="AH300" s="23">
        <f t="shared" si="175"/>
        <v>5.7669327408299074</v>
      </c>
      <c r="AI300" s="23">
        <f t="shared" si="175"/>
        <v>6.2402437601749243</v>
      </c>
      <c r="AK300" s="23">
        <f t="shared" ref="AK300:AP300" si="176">AK245/AK253*100</f>
        <v>6.3751696630599017</v>
      </c>
      <c r="AL300" s="23">
        <f t="shared" si="176"/>
        <v>6.1608484084345303</v>
      </c>
      <c r="AM300" s="23">
        <f t="shared" si="176"/>
        <v>5.9149855327636667</v>
      </c>
      <c r="AN300" s="23">
        <f t="shared" si="176"/>
        <v>5.7343291141728043</v>
      </c>
      <c r="AO300" s="23">
        <f t="shared" si="176"/>
        <v>5.6535326972005091</v>
      </c>
      <c r="AP300" s="23">
        <f t="shared" si="176"/>
        <v>6.2402437601749243</v>
      </c>
      <c r="AR300" s="23">
        <f t="shared" ref="AR300:AW300" si="177">AR245/AR253*100</f>
        <v>6.2857137553302769</v>
      </c>
      <c r="AS300" s="23">
        <f t="shared" si="177"/>
        <v>6.0642637914164768</v>
      </c>
      <c r="AT300" s="23">
        <f t="shared" si="177"/>
        <v>5.8143310464360622</v>
      </c>
      <c r="AU300" s="23">
        <f t="shared" si="177"/>
        <v>5.6307308827275113</v>
      </c>
      <c r="AV300" s="23">
        <f t="shared" si="177"/>
        <v>5.5449929116169594</v>
      </c>
      <c r="AW300" s="23">
        <f t="shared" si="177"/>
        <v>6.2402437601749243</v>
      </c>
    </row>
    <row r="301" spans="1:49" x14ac:dyDescent="0.25">
      <c r="A301" t="s">
        <v>56</v>
      </c>
      <c r="B301" s="22">
        <f>(SUMPRODUCT(B$9:B$229,Nutrients!$K$8:$K$228)+(IF($A$7=Nutrients!$B$8,Nutrients!$K$8,Nutrients!$K$9)*B$7)+(((IF($A$8=Nutrients!$B$79,Nutrients!$K$79,(IF($A$8=Nutrients!$B$77,Nutrients!$K$77,Nutrients!$K$78)))))*B$8))/2000</f>
        <v>2.8430787934788264</v>
      </c>
      <c r="C301" s="22">
        <f>(SUMPRODUCT(C$9:C$229,Nutrients!$K$8:$K$228)+(IF($A$7=Nutrients!$B$8,Nutrients!$K$8,Nutrients!$K$9)*C$7)+(((IF($A$8=Nutrients!$B$79,Nutrients!$K$79,(IF($A$8=Nutrients!$B$77,Nutrients!$K$77,Nutrients!$K$78)))))*C$8))/2000</f>
        <v>2.9356906063346426</v>
      </c>
      <c r="D301" s="22">
        <f>(SUMPRODUCT(D$9:D$229,Nutrients!$K$8:$K$228)+(IF($A$7=Nutrients!$B$8,Nutrients!$K$8,Nutrients!$K$9)*D$7)+(((IF($A$8=Nutrients!$B$79,Nutrients!$K$79,(IF($A$8=Nutrients!$B$77,Nutrients!$K$77,Nutrients!$K$78)))))*D$8))/2000</f>
        <v>3.0150158948020342</v>
      </c>
      <c r="E301" s="22">
        <f>(SUMPRODUCT(E$9:E$229,Nutrients!$K$8:$K$228)+(IF($A$7=Nutrients!$B$8,Nutrients!$K$8,Nutrients!$K$9)*E$7)+(((IF($A$8=Nutrients!$B$79,Nutrients!$K$79,(IF($A$8=Nutrients!$B$77,Nutrients!$K$77,Nutrients!$K$78)))))*E$8))/2000</f>
        <v>3.0897558386383324</v>
      </c>
      <c r="F301" s="22">
        <f>(SUMPRODUCT(F$9:F$229,Nutrients!$K$8:$K$228)+(IF($A$7=Nutrients!$B$8,Nutrients!$K$8,Nutrients!$K$9)*F$7)+(((IF($A$8=Nutrients!$B$79,Nutrients!$K$79,(IF($A$8=Nutrients!$B$77,Nutrients!$K$77,Nutrients!$K$78)))))*F$8))/2000</f>
        <v>3.1512333335874807</v>
      </c>
      <c r="G301" s="22">
        <f>(SUMPRODUCT(G$9:G$229,Nutrients!$K$8:$K$228)+(IF($A$7=Nutrients!$B$8,Nutrients!$K$8,Nutrients!$K$9)*G$7)+(((IF($A$8=Nutrients!$B$79,Nutrients!$K$79,(IF($A$8=Nutrients!$B$77,Nutrients!$K$77,Nutrients!$K$78)))))*G$8))/2000</f>
        <v>3.1836624192329586</v>
      </c>
      <c r="H301" s="228"/>
      <c r="I301" s="22">
        <f>(SUMPRODUCT(I$9:I$229,Nutrients!$K$8:$K$228)+(IF($A$7=Nutrients!$B$8,Nutrients!$K$8,Nutrients!$K$9)*I$7)+(((IF($A$8=Nutrients!$B$79,Nutrients!$K$79,(IF($A$8=Nutrients!$B$77,Nutrients!$K$77,Nutrients!$K$78)))))*I$8))/2000</f>
        <v>3.3052423735187202</v>
      </c>
      <c r="J301" s="22">
        <f>(SUMPRODUCT(J$9:J$229,Nutrients!$K$8:$K$228)+(IF($A$7=Nutrients!$B$8,Nutrients!$K$8,Nutrients!$K$9)*J$7)+(((IF($A$8=Nutrients!$B$79,Nutrients!$K$79,(IF($A$8=Nutrients!$B$77,Nutrients!$K$77,Nutrients!$K$78)))))*J$8))/2000</f>
        <v>3.3964007080477434</v>
      </c>
      <c r="K301" s="22">
        <f>(SUMPRODUCT(K$9:K$229,Nutrients!$K$8:$K$228)+(IF($A$7=Nutrients!$B$8,Nutrients!$K$8,Nutrients!$K$9)*K$7)+(((IF($A$8=Nutrients!$B$79,Nutrients!$K$79,(IF($A$8=Nutrients!$B$77,Nutrients!$K$77,Nutrients!$K$78)))))*K$8))/2000</f>
        <v>3.4747904505875198</v>
      </c>
      <c r="L301" s="22">
        <f>(SUMPRODUCT(L$9:L$229,Nutrients!$K$8:$K$228)+(IF($A$7=Nutrients!$B$8,Nutrients!$K$8,Nutrients!$K$9)*L$7)+(((IF($A$8=Nutrients!$B$79,Nutrients!$K$79,(IF($A$8=Nutrients!$B$77,Nutrients!$K$77,Nutrients!$K$78)))))*L$8))/2000</f>
        <v>3.5488535366439304</v>
      </c>
      <c r="M301" s="22">
        <f>(SUMPRODUCT(M$9:M$229,Nutrients!$K$8:$K$228)+(IF($A$7=Nutrients!$B$8,Nutrients!$K$8,Nutrients!$K$9)*M$7)+(((IF($A$8=Nutrients!$B$79,Nutrients!$K$79,(IF($A$8=Nutrients!$B$77,Nutrients!$K$77,Nutrients!$K$78)))))*M$8))/2000</f>
        <v>3.6104669910076255</v>
      </c>
      <c r="N301" s="22">
        <f>(SUMPRODUCT(N$9:N$229,Nutrients!$K$8:$K$228)+(IF($A$7=Nutrients!$B$8,Nutrients!$K$8,Nutrients!$K$9)*N$7)+(((IF($A$8=Nutrients!$B$79,Nutrients!$K$79,(IF($A$8=Nutrients!$B$77,Nutrients!$K$77,Nutrients!$K$78)))))*N$8))/2000</f>
        <v>3.1836624192329586</v>
      </c>
      <c r="O301" s="198"/>
      <c r="P301" s="22">
        <f>(SUMPRODUCT(P$9:P$229,Nutrients!$K$8:$K$228)+(IF($A$7=Nutrients!$B$8,Nutrients!$K$8,Nutrients!$K$9)*P$7)+(((IF($A$8=Nutrients!$B$79,Nutrients!$K$79,(IF($A$8=Nutrients!$B$77,Nutrients!$K$77,Nutrients!$K$78)))))*P$8))/2000</f>
        <v>3.7657415212659768</v>
      </c>
      <c r="Q301" s="22">
        <f>(SUMPRODUCT(Q$9:Q$229,Nutrients!$K$8:$K$228)+(IF($A$7=Nutrients!$B$8,Nutrients!$K$8,Nutrients!$K$9)*Q$7)+(((IF($A$8=Nutrients!$B$79,Nutrients!$K$79,(IF($A$8=Nutrients!$B$77,Nutrients!$K$77,Nutrients!$K$78)))))*Q$8))/2000</f>
        <v>3.8559495507940609</v>
      </c>
      <c r="R301" s="22">
        <f>(SUMPRODUCT(R$9:R$229,Nutrients!$K$8:$K$228)+(IF($A$7=Nutrients!$B$8,Nutrients!$K$8,Nutrients!$K$9)*R$7)+(((IF($A$8=Nutrients!$B$79,Nutrients!$K$79,(IF($A$8=Nutrients!$B$77,Nutrients!$K$77,Nutrients!$K$78)))))*R$8))/2000</f>
        <v>3.9336151664554309</v>
      </c>
      <c r="S301" s="22">
        <f>(SUMPRODUCT(S$9:S$229,Nutrients!$K$8:$K$228)+(IF($A$7=Nutrients!$B$8,Nutrients!$K$8,Nutrients!$K$9)*S$7)+(((IF($A$8=Nutrients!$B$79,Nutrients!$K$79,(IF($A$8=Nutrients!$B$77,Nutrients!$K$77,Nutrients!$K$78)))))*S$8))/2000</f>
        <v>4.0079429412506506</v>
      </c>
      <c r="T301" s="22">
        <f>(SUMPRODUCT(T$9:T$229,Nutrients!$K$8:$K$228)+(IF($A$7=Nutrients!$B$8,Nutrients!$K$8,Nutrients!$K$9)*T$7)+(((IF($A$8=Nutrients!$B$79,Nutrients!$K$79,(IF($A$8=Nutrients!$B$77,Nutrients!$K$77,Nutrients!$K$78)))))*T$8))/2000</f>
        <v>4.0688961843993612</v>
      </c>
      <c r="U301" s="22">
        <f>(SUMPRODUCT(U$9:U$229,Nutrients!$K$8:$K$228)+(IF($A$7=Nutrients!$B$8,Nutrients!$K$8,Nutrients!$K$9)*U$7)+(((IF($A$8=Nutrients!$B$79,Nutrients!$K$79,(IF($A$8=Nutrients!$B$77,Nutrients!$K$77,Nutrients!$K$78)))))*U$8))/2000</f>
        <v>3.1836624192329586</v>
      </c>
      <c r="W301" s="22">
        <f>(SUMPRODUCT(W$9:W$229,Nutrients!$K$8:$K$228)+(IF($A$7=Nutrients!$B$8,Nutrients!$K$8,Nutrients!$K$9)*W$7)+(((IF($A$8=Nutrients!$B$79,Nutrients!$K$79,(IF($A$8=Nutrients!$B$77,Nutrients!$K$77,Nutrients!$K$78)))))*W$8))/2000</f>
        <v>4.2261506187639624</v>
      </c>
      <c r="X301" s="22">
        <f>(SUMPRODUCT(X$9:X$229,Nutrients!$K$8:$K$228)+(IF($A$7=Nutrients!$B$8,Nutrients!$K$8,Nutrients!$K$9)*X$7)+(((IF($A$8=Nutrients!$B$79,Nutrients!$K$79,(IF($A$8=Nutrients!$B$77,Nutrients!$K$77,Nutrients!$K$78)))))*X$8))/2000</f>
        <v>4.3155627659604798</v>
      </c>
      <c r="Y301" s="22">
        <f>(SUMPRODUCT(Y$9:Y$229,Nutrients!$K$8:$K$228)+(IF($A$7=Nutrients!$B$8,Nutrients!$K$8,Nutrients!$K$9)*Y$7)+(((IF($A$8=Nutrients!$B$79,Nutrients!$K$79,(IF($A$8=Nutrients!$B$77,Nutrients!$K$77,Nutrients!$K$78)))))*Y$8))/2000</f>
        <v>4.3934256797400701</v>
      </c>
      <c r="Z301" s="22">
        <f>(SUMPRODUCT(Z$9:Z$229,Nutrients!$K$8:$K$228)+(IF($A$7=Nutrients!$B$8,Nutrients!$K$8,Nutrients!$K$9)*Z$7)+(((IF($A$8=Nutrients!$B$79,Nutrients!$K$79,(IF($A$8=Nutrients!$B$77,Nutrients!$K$77,Nutrients!$K$78)))))*Z$8))/2000</f>
        <v>4.4665608878475265</v>
      </c>
      <c r="AA301" s="22">
        <f>(SUMPRODUCT(AA$9:AA$229,Nutrients!$K$8:$K$228)+(IF($A$7=Nutrients!$B$8,Nutrients!$K$8,Nutrients!$K$9)*AA$7)+(((IF($A$8=Nutrients!$B$79,Nutrients!$K$79,(IF($A$8=Nutrients!$B$77,Nutrients!$K$77,Nutrients!$K$78)))))*AA$8))/2000</f>
        <v>4.5266489019147738</v>
      </c>
      <c r="AB301" s="22">
        <f>(SUMPRODUCT(AB$9:AB$229,Nutrients!$K$8:$K$228)+(IF($A$7=Nutrients!$B$8,Nutrients!$K$8,Nutrients!$K$9)*AB$7)+(((IF($A$8=Nutrients!$B$79,Nutrients!$K$79,(IF($A$8=Nutrients!$B$77,Nutrients!$K$77,Nutrients!$K$78)))))*AB$8))/2000</f>
        <v>3.1836624192329586</v>
      </c>
      <c r="AD301" s="22">
        <f>(SUMPRODUCT(AD$9:AD$229,Nutrients!$K$8:$K$228)+(IF($A$7=Nutrients!$B$8,Nutrients!$K$8,Nutrients!$K$9)*AD$7)+(((IF($A$8=Nutrients!$B$79,Nutrients!$K$79,(IF($A$8=Nutrients!$B$77,Nutrients!$K$77,Nutrients!$K$78)))))*AD$8))/2000</f>
        <v>4.6865130864477624</v>
      </c>
      <c r="AE301" s="22">
        <f>(SUMPRODUCT(AE$9:AE$229,Nutrients!$K$8:$K$228)+(IF($A$7=Nutrients!$B$8,Nutrients!$K$8,Nutrients!$K$9)*AE$7)+(((IF($A$8=Nutrients!$B$79,Nutrients!$K$79,(IF($A$8=Nutrients!$B$77,Nutrients!$K$77,Nutrients!$K$78)))))*AE$8))/2000</f>
        <v>4.7761331727245384</v>
      </c>
      <c r="AF301" s="22">
        <f>(SUMPRODUCT(AF$9:AF$229,Nutrients!$K$8:$K$228)+(IF($A$7=Nutrients!$B$8,Nutrients!$K$8,Nutrients!$K$9)*AF$7)+(((IF($A$8=Nutrients!$B$79,Nutrients!$K$79,(IF($A$8=Nutrients!$B$77,Nutrients!$K$77,Nutrients!$K$78)))))*AF$8))/2000</f>
        <v>4.8527858638952406</v>
      </c>
      <c r="AG301" s="22">
        <f>(SUMPRODUCT(AG$9:AG$229,Nutrients!$K$8:$K$228)+(IF($A$7=Nutrients!$B$8,Nutrients!$K$8,Nutrients!$K$9)*AG$7)+(((IF($A$8=Nutrients!$B$79,Nutrients!$K$79,(IF($A$8=Nutrients!$B$77,Nutrients!$K$77,Nutrients!$K$78)))))*AG$8))/2000</f>
        <v>4.9246614812118352</v>
      </c>
      <c r="AH301" s="22">
        <f>(SUMPRODUCT(AH$9:AH$229,Nutrients!$K$8:$K$228)+(IF($A$7=Nutrients!$B$8,Nutrients!$K$8,Nutrients!$K$9)*AH$7)+(((IF($A$8=Nutrients!$B$79,Nutrients!$K$79,(IF($A$8=Nutrients!$B$77,Nutrients!$K$77,Nutrients!$K$78)))))*AH$8))/2000</f>
        <v>4.9823409601478907</v>
      </c>
      <c r="AI301" s="22">
        <f>(SUMPRODUCT(AI$9:AI$229,Nutrients!$K$8:$K$228)+(IF($A$7=Nutrients!$B$8,Nutrients!$K$8,Nutrients!$K$9)*AI$7)+(((IF($A$8=Nutrients!$B$79,Nutrients!$K$79,(IF($A$8=Nutrients!$B$77,Nutrients!$K$77,Nutrients!$K$78)))))*AI$8))/2000</f>
        <v>3.1836624192329586</v>
      </c>
      <c r="AK301" s="22">
        <f>(SUMPRODUCT(AK$9:AK$229,Nutrients!$K$8:$K$228)+(IF($A$7=Nutrients!$B$8,Nutrients!$K$8,Nutrients!$K$9)*AK$7)+(((IF($A$8=Nutrients!$B$79,Nutrients!$K$79,(IF($A$8=Nutrients!$B$77,Nutrients!$K$77,Nutrients!$K$78)))))*AK$8))/2000</f>
        <v>5.1465502437472983</v>
      </c>
      <c r="AL301" s="22">
        <f>(SUMPRODUCT(AL$9:AL$229,Nutrients!$K$8:$K$228)+(IF($A$7=Nutrients!$B$8,Nutrients!$K$8,Nutrients!$K$9)*AL$7)+(((IF($A$8=Nutrients!$B$79,Nutrients!$K$79,(IF($A$8=Nutrients!$B$77,Nutrients!$K$77,Nutrients!$K$78)))))*AL$8))/2000</f>
        <v>5.2365140789422817</v>
      </c>
      <c r="AM301" s="22">
        <f>(SUMPRODUCT(AM$9:AM$229,Nutrients!$K$8:$K$228)+(IF($A$7=Nutrients!$B$8,Nutrients!$K$8,Nutrients!$K$9)*AM$7)+(((IF($A$8=Nutrients!$B$79,Nutrients!$K$79,(IF($A$8=Nutrients!$B$77,Nutrients!$K$77,Nutrients!$K$78)))))*AM$8))/2000</f>
        <v>5.3118268623642635</v>
      </c>
      <c r="AN301" s="22">
        <f>(SUMPRODUCT(AN$9:AN$229,Nutrients!$K$8:$K$228)+(IF($A$7=Nutrients!$B$8,Nutrients!$K$8,Nutrients!$K$9)*AN$7)+(((IF($A$8=Nutrients!$B$79,Nutrients!$K$79,(IF($A$8=Nutrients!$B$77,Nutrients!$K$77,Nutrients!$K$78)))))*AN$8))/2000</f>
        <v>5.3812037461929858</v>
      </c>
      <c r="AO301" s="22">
        <f>(SUMPRODUCT(AO$9:AO$229,Nutrients!$K$8:$K$228)+(IF($A$7=Nutrients!$B$8,Nutrients!$K$8,Nutrients!$K$9)*AO$7)+(((IF($A$8=Nutrients!$B$79,Nutrients!$K$79,(IF($A$8=Nutrients!$B$77,Nutrients!$K$77,Nutrients!$K$78)))))*AO$8))/2000</f>
        <v>5.4373359615443739</v>
      </c>
      <c r="AP301" s="22">
        <f>(SUMPRODUCT(AP$9:AP$229,Nutrients!$K$8:$K$228)+(IF($A$7=Nutrients!$B$8,Nutrients!$K$8,Nutrients!$K$9)*AP$7)+(((IF($A$8=Nutrients!$B$79,Nutrients!$K$79,(IF($A$8=Nutrients!$B$77,Nutrients!$K$77,Nutrients!$K$78)))))*AP$8))/2000</f>
        <v>3.1836624192329586</v>
      </c>
      <c r="AR301" s="22">
        <f>(SUMPRODUCT(AR$9:AR$229,Nutrients!$K$8:$K$228)+(IF($A$7=Nutrients!$B$8,Nutrients!$K$8,Nutrients!$K$9)*AR$7)+(((IF($A$8=Nutrients!$B$79,Nutrients!$K$79,(IF($A$8=Nutrients!$B$77,Nutrients!$K$77,Nutrients!$K$78)))))*AR$8))/2000</f>
        <v>5.6045348466656559</v>
      </c>
      <c r="AS301" s="22">
        <f>(SUMPRODUCT(AS$9:AS$229,Nutrients!$K$8:$K$228)+(IF($A$7=Nutrients!$B$8,Nutrients!$K$8,Nutrients!$K$9)*AS$7)+(((IF($A$8=Nutrients!$B$79,Nutrients!$K$79,(IF($A$8=Nutrients!$B$77,Nutrients!$K$77,Nutrients!$K$78)))))*AS$8))/2000</f>
        <v>5.6965854282700619</v>
      </c>
      <c r="AT301" s="22">
        <f>(SUMPRODUCT(AT$9:AT$229,Nutrients!$K$8:$K$228)+(IF($A$7=Nutrients!$B$8,Nutrients!$K$8,Nutrients!$K$9)*AT$7)+(((IF($A$8=Nutrients!$B$79,Nutrients!$K$79,(IF($A$8=Nutrients!$B$77,Nutrients!$K$77,Nutrients!$K$78)))))*AT$8))/2000</f>
        <v>5.7703663823664106</v>
      </c>
      <c r="AU301" s="22">
        <f>(SUMPRODUCT(AU$9:AU$229,Nutrients!$K$8:$K$228)+(IF($A$7=Nutrients!$B$8,Nutrients!$K$8,Nutrients!$K$9)*AU$7)+(((IF($A$8=Nutrients!$B$79,Nutrients!$K$79,(IF($A$8=Nutrients!$B$77,Nutrients!$K$77,Nutrients!$K$78)))))*AU$8))/2000</f>
        <v>5.8365347760164585</v>
      </c>
      <c r="AV301" s="22">
        <f>(SUMPRODUCT(AV$9:AV$229,Nutrients!$K$8:$K$228)+(IF($A$7=Nutrients!$B$8,Nutrients!$K$8,Nutrients!$K$9)*AV$7)+(((IF($A$8=Nutrients!$B$79,Nutrients!$K$79,(IF($A$8=Nutrients!$B$77,Nutrients!$K$77,Nutrients!$K$78)))))*AV$8))/2000</f>
        <v>5.8923254116241415</v>
      </c>
      <c r="AW301" s="22">
        <f>(SUMPRODUCT(AW$9:AW$229,Nutrients!$K$8:$K$228)+(IF($A$7=Nutrients!$B$8,Nutrients!$K$8,Nutrients!$K$9)*AW$7)+(((IF($A$8=Nutrients!$B$79,Nutrients!$K$79,(IF($A$8=Nutrients!$B$77,Nutrients!$K$77,Nutrients!$K$78)))))*AW$8))/2000</f>
        <v>3.1836624192329586</v>
      </c>
    </row>
    <row r="302" spans="1:49" x14ac:dyDescent="0.25">
      <c r="A302" t="s">
        <v>53</v>
      </c>
      <c r="B302" s="22">
        <f>(SUMPRODUCT(B$9:B$229,Nutrients!$J$8:$J$228)+(IF($A$7=Nutrients!$B$8,Nutrients!$J$8,Nutrients!$J$9)*B$7)+(((IF($A$8=Nutrients!$B$79,Nutrients!$J$79,(IF($A$8=Nutrients!$B$77,Nutrients!$J$77,Nutrients!$J$78)))))*B$8))/2000</f>
        <v>2.4236304403667859</v>
      </c>
      <c r="C302" s="22">
        <f>(SUMPRODUCT(C$9:C$229,Nutrients!$J$8:$J$228)+(IF($A$7=Nutrients!$B$8,Nutrients!$J$8,Nutrients!$J$9)*C$7)+(((IF($A$8=Nutrients!$B$79,Nutrients!$J$79,(IF($A$8=Nutrients!$B$77,Nutrients!$J$77,Nutrients!$J$78)))))*C$8))/2000</f>
        <v>2.3544062118589144</v>
      </c>
      <c r="D302" s="22">
        <f>(SUMPRODUCT(D$9:D$229,Nutrients!$J$8:$J$228)+(IF($A$7=Nutrients!$B$8,Nutrients!$J$8,Nutrients!$J$9)*D$7)+(((IF($A$8=Nutrients!$B$79,Nutrients!$J$79,(IF($A$8=Nutrients!$B$77,Nutrients!$J$77,Nutrients!$J$78)))))*D$8))/2000</f>
        <v>2.2969299326886694</v>
      </c>
      <c r="E302" s="22">
        <f>(SUMPRODUCT(E$9:E$229,Nutrients!$J$8:$J$228)+(IF($A$7=Nutrients!$B$8,Nutrients!$J$8,Nutrients!$J$9)*E$7)+(((IF($A$8=Nutrients!$B$79,Nutrients!$J$79,(IF($A$8=Nutrients!$B$77,Nutrients!$J$77,Nutrients!$J$78)))))*E$8))/2000</f>
        <v>2.237626654434278</v>
      </c>
      <c r="F302" s="22">
        <f>(SUMPRODUCT(F$9:F$229,Nutrients!$J$8:$J$228)+(IF($A$7=Nutrients!$B$8,Nutrients!$J$8,Nutrients!$J$9)*F$7)+(((IF($A$8=Nutrients!$B$79,Nutrients!$J$79,(IF($A$8=Nutrients!$B$77,Nutrients!$J$77,Nutrients!$J$78)))))*F$8))/2000</f>
        <v>2.1865908459890111</v>
      </c>
      <c r="G302" s="22">
        <f>(SUMPRODUCT(G$9:G$229,Nutrients!$J$8:$J$228)+(IF($A$7=Nutrients!$B$8,Nutrients!$J$8,Nutrients!$J$9)*G$7)+(((IF($A$8=Nutrients!$B$79,Nutrients!$J$79,(IF($A$8=Nutrients!$B$77,Nutrients!$J$77,Nutrients!$J$78)))))*G$8))/2000</f>
        <v>2.1575827805851042</v>
      </c>
      <c r="H302" s="228"/>
      <c r="I302" s="22">
        <f>(SUMPRODUCT(I$9:I$229,Nutrients!$J$8:$J$228)+(IF($A$7=Nutrients!$B$8,Nutrients!$J$8,Nutrients!$J$9)*I$7)+(((IF($A$8=Nutrients!$B$79,Nutrients!$J$79,(IF($A$8=Nutrients!$B$77,Nutrients!$J$77,Nutrients!$J$78)))))*I$8))/2000</f>
        <v>2.6732813897027521</v>
      </c>
      <c r="J302" s="22">
        <f>(SUMPRODUCT(J$9:J$229,Nutrients!$J$8:$J$228)+(IF($A$7=Nutrients!$B$8,Nutrients!$J$8,Nutrients!$J$9)*J$7)+(((IF($A$8=Nutrients!$B$79,Nutrients!$J$79,(IF($A$8=Nutrients!$B$77,Nutrients!$J$77,Nutrients!$J$78)))))*J$8))/2000</f>
        <v>2.6050501835277173</v>
      </c>
      <c r="K302" s="22">
        <f>(SUMPRODUCT(K$9:K$229,Nutrients!$J$8:$J$228)+(IF($A$7=Nutrients!$B$8,Nutrients!$J$8,Nutrients!$J$9)*K$7)+(((IF($A$8=Nutrients!$B$79,Nutrients!$J$79,(IF($A$8=Nutrients!$B$77,Nutrients!$J$77,Nutrients!$J$78)))))*K$8))/2000</f>
        <v>2.5485218338069386</v>
      </c>
      <c r="L302" s="22">
        <f>(SUMPRODUCT(L$9:L$229,Nutrients!$J$8:$J$228)+(IF($A$7=Nutrients!$B$8,Nutrients!$J$8,Nutrients!$J$9)*L$7)+(((IF($A$8=Nutrients!$B$79,Nutrients!$J$79,(IF($A$8=Nutrients!$B$77,Nutrients!$J$77,Nutrients!$J$78)))))*L$8))/2000</f>
        <v>2.4898198505130775</v>
      </c>
      <c r="M302" s="22">
        <f>(SUMPRODUCT(M$9:M$229,Nutrients!$J$8:$J$228)+(IF($A$7=Nutrients!$B$8,Nutrients!$J$8,Nutrients!$J$9)*M$7)+(((IF($A$8=Nutrients!$B$79,Nutrients!$J$79,(IF($A$8=Nutrients!$B$77,Nutrients!$J$77,Nutrients!$J$78)))))*M$8))/2000</f>
        <v>2.4387854161825144</v>
      </c>
      <c r="N302" s="22">
        <f>(SUMPRODUCT(N$9:N$229,Nutrients!$J$8:$J$228)+(IF($A$7=Nutrients!$B$8,Nutrients!$J$8,Nutrients!$J$9)*N$7)+(((IF($A$8=Nutrients!$B$79,Nutrients!$J$79,(IF($A$8=Nutrients!$B$77,Nutrients!$J$77,Nutrients!$J$78)))))*N$8))/2000</f>
        <v>2.1575827805851042</v>
      </c>
      <c r="O302" s="235"/>
      <c r="P302" s="22">
        <f>(SUMPRODUCT(P$9:P$229,Nutrients!$J$8:$J$228)+(IF($A$7=Nutrients!$B$8,Nutrients!$J$8,Nutrients!$J$9)*P$7)+(((IF($A$8=Nutrients!$B$79,Nutrients!$J$79,(IF($A$8=Nutrients!$B$77,Nutrients!$J$77,Nutrients!$J$78)))))*P$8))/2000</f>
        <v>2.924315435521502</v>
      </c>
      <c r="Q302" s="22">
        <f>(SUMPRODUCT(Q$9:Q$229,Nutrients!$J$8:$J$228)+(IF($A$7=Nutrients!$B$8,Nutrients!$J$8,Nutrients!$J$9)*Q$7)+(((IF($A$8=Nutrients!$B$79,Nutrients!$J$79,(IF($A$8=Nutrients!$B$77,Nutrients!$J$77,Nutrients!$J$78)))))*Q$8))/2000</f>
        <v>2.8566492127014254</v>
      </c>
      <c r="R302" s="22">
        <f>(SUMPRODUCT(R$9:R$229,Nutrients!$J$8:$J$228)+(IF($A$7=Nutrients!$B$8,Nutrients!$J$8,Nutrients!$J$9)*R$7)+(((IF($A$8=Nutrients!$B$79,Nutrients!$J$79,(IF($A$8=Nutrients!$B$77,Nutrients!$J$77,Nutrients!$J$78)))))*R$8))/2000</f>
        <v>2.8008708006403085</v>
      </c>
      <c r="S302" s="22">
        <f>(SUMPRODUCT(S$9:S$229,Nutrients!$J$8:$J$228)+(IF($A$7=Nutrients!$B$8,Nutrients!$J$8,Nutrients!$J$9)*S$7)+(((IF($A$8=Nutrients!$B$79,Nutrients!$J$79,(IF($A$8=Nutrients!$B$77,Nutrients!$J$77,Nutrients!$J$78)))))*S$8))/2000</f>
        <v>2.7417828786555702</v>
      </c>
      <c r="T302" s="22">
        <f>(SUMPRODUCT(T$9:T$229,Nutrients!$J$8:$J$228)+(IF($A$7=Nutrients!$B$8,Nutrients!$J$8,Nutrients!$J$9)*T$7)+(((IF($A$8=Nutrients!$B$79,Nutrients!$J$79,(IF($A$8=Nutrients!$B$77,Nutrients!$J$77,Nutrients!$J$78)))))*T$8))/2000</f>
        <v>2.6913286983431166</v>
      </c>
      <c r="U302" s="22">
        <f>(SUMPRODUCT(U$9:U$229,Nutrients!$J$8:$J$228)+(IF($A$7=Nutrients!$B$8,Nutrients!$J$8,Nutrients!$J$9)*U$7)+(((IF($A$8=Nutrients!$B$79,Nutrients!$J$79,(IF($A$8=Nutrients!$B$77,Nutrients!$J$77,Nutrients!$J$78)))))*U$8))/2000</f>
        <v>2.1575827805851042</v>
      </c>
      <c r="W302" s="22">
        <f>(SUMPRODUCT(W$9:W$229,Nutrients!$J$8:$J$228)+(IF($A$7=Nutrients!$B$8,Nutrients!$J$8,Nutrients!$J$9)*W$7)+(((IF($A$8=Nutrients!$B$79,Nutrients!$J$79,(IF($A$8=Nutrients!$B$77,Nutrients!$J$77,Nutrients!$J$78)))))*W$8))/2000</f>
        <v>3.1753027679004502</v>
      </c>
      <c r="X302" s="22">
        <f>(SUMPRODUCT(X$9:X$229,Nutrients!$J$8:$J$228)+(IF($A$7=Nutrients!$B$8,Nutrients!$J$8,Nutrients!$J$9)*X$7)+(((IF($A$8=Nutrients!$B$79,Nutrients!$J$79,(IF($A$8=Nutrients!$B$77,Nutrients!$J$77,Nutrients!$J$78)))))*X$8))/2000</f>
        <v>3.10828540648345</v>
      </c>
      <c r="Y302" s="22">
        <f>(SUMPRODUCT(Y$9:Y$229,Nutrients!$J$8:$J$228)+(IF($A$7=Nutrients!$B$8,Nutrients!$J$8,Nutrients!$J$9)*Y$7)+(((IF($A$8=Nutrients!$B$79,Nutrients!$J$79,(IF($A$8=Nutrients!$B$77,Nutrients!$J$77,Nutrients!$J$78)))))*Y$8))/2000</f>
        <v>3.0521034778334619</v>
      </c>
      <c r="Z302" s="22">
        <f>(SUMPRODUCT(Z$9:Z$229,Nutrients!$J$8:$J$228)+(IF($A$7=Nutrients!$B$8,Nutrients!$J$8,Nutrients!$J$9)*Z$7)+(((IF($A$8=Nutrients!$B$79,Nutrients!$J$79,(IF($A$8=Nutrients!$B$77,Nutrients!$J$77,Nutrients!$J$78)))))*Z$8))/2000</f>
        <v>2.9939203970228991</v>
      </c>
      <c r="AA302" s="22">
        <f>(SUMPRODUCT(AA$9:AA$229,Nutrients!$J$8:$J$228)+(IF($A$7=Nutrients!$B$8,Nutrients!$J$8,Nutrients!$J$9)*AA$7)+(((IF($A$8=Nutrients!$B$79,Nutrients!$J$79,(IF($A$8=Nutrients!$B$77,Nutrients!$J$77,Nutrients!$J$78)))))*AA$8))/2000</f>
        <v>2.94363797056024</v>
      </c>
      <c r="AB302" s="22">
        <f>(SUMPRODUCT(AB$9:AB$229,Nutrients!$J$8:$J$228)+(IF($A$7=Nutrients!$B$8,Nutrients!$J$8,Nutrients!$J$9)*AB$7)+(((IF($A$8=Nutrients!$B$79,Nutrients!$J$79,(IF($A$8=Nutrients!$B$77,Nutrients!$J$77,Nutrients!$J$78)))))*AB$8))/2000</f>
        <v>2.1575827805851042</v>
      </c>
      <c r="AD302" s="22">
        <f>(SUMPRODUCT(AD$9:AD$229,Nutrients!$J$8:$J$228)+(IF($A$7=Nutrients!$B$8,Nutrients!$J$8,Nutrients!$J$9)*AD$7)+(((IF($A$8=Nutrients!$B$79,Nutrients!$J$79,(IF($A$8=Nutrients!$B$77,Nutrients!$J$77,Nutrients!$J$78)))))*AD$8))/2000</f>
        <v>3.4261397197035883</v>
      </c>
      <c r="AE302" s="22">
        <f>(SUMPRODUCT(AE$9:AE$229,Nutrients!$J$8:$J$228)+(IF($A$7=Nutrients!$B$8,Nutrients!$J$8,Nutrients!$J$9)*AE$7)+(((IF($A$8=Nutrients!$B$79,Nutrients!$J$79,(IF($A$8=Nutrients!$B$77,Nutrients!$J$77,Nutrients!$J$78)))))*AE$8))/2000</f>
        <v>3.358818311843268</v>
      </c>
      <c r="AF302" s="22">
        <f>(SUMPRODUCT(AF$9:AF$229,Nutrients!$J$8:$J$228)+(IF($A$7=Nutrients!$B$8,Nutrients!$J$8,Nutrients!$J$9)*AF$7)+(((IF($A$8=Nutrients!$B$79,Nutrients!$J$79,(IF($A$8=Nutrients!$B$77,Nutrients!$J$77,Nutrients!$J$78)))))*AF$8))/2000</f>
        <v>3.3034908371516392</v>
      </c>
      <c r="AG302" s="22">
        <f>(SUMPRODUCT(AG$9:AG$229,Nutrients!$J$8:$J$228)+(IF($A$7=Nutrients!$B$8,Nutrients!$J$8,Nutrients!$J$9)*AG$7)+(((IF($A$8=Nutrients!$B$79,Nutrients!$J$79,(IF($A$8=Nutrients!$B$77,Nutrients!$J$77,Nutrients!$J$78)))))*AG$8))/2000</f>
        <v>3.2457689719051768</v>
      </c>
      <c r="AH302" s="22">
        <f>(SUMPRODUCT(AH$9:AH$229,Nutrients!$J$8:$J$228)+(IF($A$7=Nutrients!$B$8,Nutrients!$J$8,Nutrients!$J$9)*AH$7)+(((IF($A$8=Nutrients!$B$79,Nutrients!$J$79,(IF($A$8=Nutrients!$B$77,Nutrients!$J$77,Nutrients!$J$78)))))*AH$8))/2000</f>
        <v>3.1942903638465241</v>
      </c>
      <c r="AI302" s="22">
        <f>(SUMPRODUCT(AI$9:AI$229,Nutrients!$J$8:$J$228)+(IF($A$7=Nutrients!$B$8,Nutrients!$J$8,Nutrients!$J$9)*AI$7)+(((IF($A$8=Nutrients!$B$79,Nutrients!$J$79,(IF($A$8=Nutrients!$B$77,Nutrients!$J$77,Nutrients!$J$78)))))*AI$8))/2000</f>
        <v>2.1575827805851042</v>
      </c>
      <c r="AK302" s="22">
        <f>(SUMPRODUCT(AK$9:AK$229,Nutrients!$J$8:$J$228)+(IF($A$7=Nutrients!$B$8,Nutrients!$J$8,Nutrients!$J$9)*AK$7)+(((IF($A$8=Nutrients!$B$79,Nutrients!$J$79,(IF($A$8=Nutrients!$B$77,Nutrients!$J$77,Nutrients!$J$78)))))*AK$8))/2000</f>
        <v>3.6772301152691256</v>
      </c>
      <c r="AL302" s="22">
        <f>(SUMPRODUCT(AL$9:AL$229,Nutrients!$J$8:$J$228)+(IF($A$7=Nutrients!$B$8,Nutrients!$J$8,Nutrients!$J$9)*AL$7)+(((IF($A$8=Nutrients!$B$79,Nutrients!$J$79,(IF($A$8=Nutrients!$B$77,Nutrients!$J$77,Nutrients!$J$78)))))*AL$8))/2000</f>
        <v>3.609713227691373</v>
      </c>
      <c r="AM302" s="22">
        <f>(SUMPRODUCT(AM$9:AM$229,Nutrients!$J$8:$J$228)+(IF($A$7=Nutrients!$B$8,Nutrients!$J$8,Nutrients!$J$9)*AM$7)+(((IF($A$8=Nutrients!$B$79,Nutrients!$J$79,(IF($A$8=Nutrients!$B$77,Nutrients!$J$77,Nutrients!$J$78)))))*AM$8))/2000</f>
        <v>3.5549012924512922</v>
      </c>
      <c r="AN302" s="22">
        <f>(SUMPRODUCT(AN$9:AN$229,Nutrients!$J$8:$J$228)+(IF($A$7=Nutrients!$B$8,Nutrients!$J$8,Nutrients!$J$9)*AN$7)+(((IF($A$8=Nutrients!$B$79,Nutrients!$J$79,(IF($A$8=Nutrients!$B$77,Nutrients!$J$77,Nutrients!$J$78)))))*AN$8))/2000</f>
        <v>3.4963496162542462</v>
      </c>
      <c r="AO302" s="22">
        <f>(SUMPRODUCT(AO$9:AO$229,Nutrients!$J$8:$J$228)+(IF($A$7=Nutrients!$B$8,Nutrients!$J$8,Nutrients!$J$9)*AO$7)+(((IF($A$8=Nutrients!$B$79,Nutrients!$J$79,(IF($A$8=Nutrients!$B$77,Nutrients!$J$77,Nutrients!$J$78)))))*AO$8))/2000</f>
        <v>3.4443797708352668</v>
      </c>
      <c r="AP302" s="22">
        <f>(SUMPRODUCT(AP$9:AP$229,Nutrients!$J$8:$J$228)+(IF($A$7=Nutrients!$B$8,Nutrients!$J$8,Nutrients!$J$9)*AP$7)+(((IF($A$8=Nutrients!$B$79,Nutrients!$J$79,(IF($A$8=Nutrients!$B$77,Nutrients!$J$77,Nutrients!$J$78)))))*AP$8))/2000</f>
        <v>2.1575827805851042</v>
      </c>
      <c r="AR302" s="22">
        <f>(SUMPRODUCT(AR$9:AR$229,Nutrients!$J$8:$J$228)+(IF($A$7=Nutrients!$B$8,Nutrients!$J$8,Nutrients!$J$9)*AR$7)+(((IF($A$8=Nutrients!$B$79,Nutrients!$J$79,(IF($A$8=Nutrients!$B$77,Nutrients!$J$77,Nutrients!$J$78)))))*AR$8))/2000</f>
        <v>3.9303964581950654</v>
      </c>
      <c r="AS302" s="22">
        <f>(SUMPRODUCT(AS$9:AS$229,Nutrients!$J$8:$J$228)+(IF($A$7=Nutrients!$B$8,Nutrients!$J$8,Nutrients!$J$9)*AS$7)+(((IF($A$8=Nutrients!$B$79,Nutrients!$J$79,(IF($A$8=Nutrients!$B$77,Nutrients!$J$77,Nutrients!$J$78)))))*AS$8))/2000</f>
        <v>3.8604612760505268</v>
      </c>
      <c r="AT302" s="22">
        <f>(SUMPRODUCT(AT$9:AT$229,Nutrients!$J$8:$J$228)+(IF($A$7=Nutrients!$B$8,Nutrients!$J$8,Nutrients!$J$9)*AT$7)+(((IF($A$8=Nutrients!$B$79,Nutrients!$J$79,(IF($A$8=Nutrients!$B$77,Nutrients!$J$77,Nutrients!$J$78)))))*AT$8))/2000</f>
        <v>3.8063667265197383</v>
      </c>
      <c r="AU302" s="22">
        <f>(SUMPRODUCT(AU$9:AU$229,Nutrients!$J$8:$J$228)+(IF($A$7=Nutrients!$B$8,Nutrients!$J$8,Nutrients!$J$9)*AU$7)+(((IF($A$8=Nutrients!$B$79,Nutrients!$J$79,(IF($A$8=Nutrients!$B$77,Nutrients!$J$77,Nutrients!$J$78)))))*AU$8))/2000</f>
        <v>3.7460810481515416</v>
      </c>
      <c r="AV302" s="22">
        <f>(SUMPRODUCT(AV$9:AV$229,Nutrients!$J$8:$J$228)+(IF($A$7=Nutrients!$B$8,Nutrients!$J$8,Nutrients!$J$9)*AV$7)+(((IF($A$8=Nutrients!$B$79,Nutrients!$J$79,(IF($A$8=Nutrients!$B$77,Nutrients!$J$77,Nutrients!$J$78)))))*AV$8))/2000</f>
        <v>3.6944743758561103</v>
      </c>
      <c r="AW302" s="22">
        <f>(SUMPRODUCT(AW$9:AW$229,Nutrients!$J$8:$J$228)+(IF($A$7=Nutrients!$B$8,Nutrients!$J$8,Nutrients!$J$9)*AW$7)+(((IF($A$8=Nutrients!$B$79,Nutrients!$J$79,(IF($A$8=Nutrients!$B$77,Nutrients!$J$77,Nutrients!$J$78)))))*AW$8))/2000</f>
        <v>2.1575827805851042</v>
      </c>
    </row>
    <row r="303" spans="1:49" x14ac:dyDescent="0.25">
      <c r="A303" t="s">
        <v>54</v>
      </c>
      <c r="B303" s="22">
        <f>(SUMPRODUCT(B$9:B$229,Nutrients!$ED$8:$ED$228)+(IF($A$7=Nutrients!$B$8,Nutrients!$ED$8,Nutrients!$ED$9)*B$7)+(((IF($A$8=Nutrients!$B$79,Nutrients!$ED$79,(IF($A$8=Nutrients!$B$77,Nutrients!$ED$77,Nutrients!$ED$78)))))*B$8))/2000</f>
        <v>0</v>
      </c>
      <c r="C303" s="22">
        <f>(SUMPRODUCT(C$9:C$229,Nutrients!$ED$8:$ED$228)+(IF($A$7=Nutrients!$B$8,Nutrients!$ED$8,Nutrients!$ED$9)*C$7)+(((IF($A$8=Nutrients!$B$79,Nutrients!$ED$79,(IF($A$8=Nutrients!$B$77,Nutrients!$ED$77,Nutrients!$ED$78)))))*C$8))/2000</f>
        <v>0</v>
      </c>
      <c r="D303" s="22">
        <f>(SUMPRODUCT(D$9:D$229,Nutrients!$ED$8:$ED$228)+(IF($A$7=Nutrients!$B$8,Nutrients!$ED$8,Nutrients!$ED$9)*D$7)+(((IF($A$8=Nutrients!$B$79,Nutrients!$ED$79,(IF($A$8=Nutrients!$B$77,Nutrients!$ED$77,Nutrients!$ED$78)))))*D$8))/2000</f>
        <v>0</v>
      </c>
      <c r="E303" s="22">
        <f>(SUMPRODUCT(E$9:E$229,Nutrients!$ED$8:$ED$228)+(IF($A$7=Nutrients!$B$8,Nutrients!$ED$8,Nutrients!$ED$9)*E$7)+(((IF($A$8=Nutrients!$B$79,Nutrients!$ED$79,(IF($A$8=Nutrients!$B$77,Nutrients!$ED$77,Nutrients!$ED$78)))))*E$8))/2000</f>
        <v>0</v>
      </c>
      <c r="F303" s="22">
        <f>(SUMPRODUCT(F$9:F$229,Nutrients!$ED$8:$ED$228)+(IF($A$7=Nutrients!$B$8,Nutrients!$ED$8,Nutrients!$ED$9)*F$7)+(((IF($A$8=Nutrients!$B$79,Nutrients!$ED$79,(IF($A$8=Nutrients!$B$77,Nutrients!$ED$77,Nutrients!$ED$78)))))*F$8))/2000</f>
        <v>0</v>
      </c>
      <c r="G303" s="22">
        <f>(SUMPRODUCT(G$9:G$229,Nutrients!$ED$8:$ED$228)+(IF($A$7=Nutrients!$B$8,Nutrients!$ED$8,Nutrients!$ED$9)*G$7)+(((IF($A$8=Nutrients!$B$79,Nutrients!$ED$79,(IF($A$8=Nutrients!$B$77,Nutrients!$ED$77,Nutrients!$ED$78)))))*G$8))/2000</f>
        <v>0</v>
      </c>
      <c r="H303" s="228"/>
      <c r="I303" s="22">
        <f>(SUMPRODUCT(I$9:I$229,Nutrients!$ED$8:$ED$228)+(IF($A$7=Nutrients!$B$8,Nutrients!$ED$8,Nutrients!$ED$9)*I$7)+(((IF($A$8=Nutrients!$B$79,Nutrients!$ED$79,(IF($A$8=Nutrients!$B$77,Nutrients!$ED$77,Nutrients!$ED$78)))))*I$8))/2000</f>
        <v>0</v>
      </c>
      <c r="J303" s="22">
        <f>(SUMPRODUCT(J$9:J$229,Nutrients!$ED$8:$ED$228)+(IF($A$7=Nutrients!$B$8,Nutrients!$ED$8,Nutrients!$ED$9)*J$7)+(((IF($A$8=Nutrients!$B$79,Nutrients!$ED$79,(IF($A$8=Nutrients!$B$77,Nutrients!$ED$77,Nutrients!$ED$78)))))*J$8))/2000</f>
        <v>0</v>
      </c>
      <c r="K303" s="22">
        <f>(SUMPRODUCT(K$9:K$229,Nutrients!$ED$8:$ED$228)+(IF($A$7=Nutrients!$B$8,Nutrients!$ED$8,Nutrients!$ED$9)*K$7)+(((IF($A$8=Nutrients!$B$79,Nutrients!$ED$79,(IF($A$8=Nutrients!$B$77,Nutrients!$ED$77,Nutrients!$ED$78)))))*K$8))/2000</f>
        <v>0</v>
      </c>
      <c r="L303" s="22">
        <f>(SUMPRODUCT(L$9:L$229,Nutrients!$ED$8:$ED$228)+(IF($A$7=Nutrients!$B$8,Nutrients!$ED$8,Nutrients!$ED$9)*L$7)+(((IF($A$8=Nutrients!$B$79,Nutrients!$ED$79,(IF($A$8=Nutrients!$B$77,Nutrients!$ED$77,Nutrients!$ED$78)))))*L$8))/2000</f>
        <v>0</v>
      </c>
      <c r="M303" s="22">
        <f>(SUMPRODUCT(M$9:M$229,Nutrients!$ED$8:$ED$228)+(IF($A$7=Nutrients!$B$8,Nutrients!$ED$8,Nutrients!$ED$9)*M$7)+(((IF($A$8=Nutrients!$B$79,Nutrients!$ED$79,(IF($A$8=Nutrients!$B$77,Nutrients!$ED$77,Nutrients!$ED$78)))))*M$8))/2000</f>
        <v>0</v>
      </c>
      <c r="N303" s="22">
        <f>(SUMPRODUCT(N$9:N$229,Nutrients!$ED$8:$ED$228)+(IF($A$7=Nutrients!$B$8,Nutrients!$ED$8,Nutrients!$ED$9)*N$7)+(((IF($A$8=Nutrients!$B$79,Nutrients!$ED$79,(IF($A$8=Nutrients!$B$77,Nutrients!$ED$77,Nutrients!$ED$78)))))*N$8))/2000</f>
        <v>0</v>
      </c>
      <c r="O303" s="235"/>
      <c r="P303" s="22">
        <f>(SUMPRODUCT(P$9:P$229,Nutrients!$ED$8:$ED$228)+(IF($A$7=Nutrients!$B$8,Nutrients!$ED$8,Nutrients!$ED$9)*P$7)+(((IF($A$8=Nutrients!$B$79,Nutrients!$ED$79,(IF($A$8=Nutrients!$B$77,Nutrients!$ED$77,Nutrients!$ED$78)))))*P$8))/2000</f>
        <v>0</v>
      </c>
      <c r="Q303" s="22">
        <f>(SUMPRODUCT(Q$9:Q$229,Nutrients!$ED$8:$ED$228)+(IF($A$7=Nutrients!$B$8,Nutrients!$ED$8,Nutrients!$ED$9)*Q$7)+(((IF($A$8=Nutrients!$B$79,Nutrients!$ED$79,(IF($A$8=Nutrients!$B$77,Nutrients!$ED$77,Nutrients!$ED$78)))))*Q$8))/2000</f>
        <v>0</v>
      </c>
      <c r="R303" s="22">
        <f>(SUMPRODUCT(R$9:R$229,Nutrients!$ED$8:$ED$228)+(IF($A$7=Nutrients!$B$8,Nutrients!$ED$8,Nutrients!$ED$9)*R$7)+(((IF($A$8=Nutrients!$B$79,Nutrients!$ED$79,(IF($A$8=Nutrients!$B$77,Nutrients!$ED$77,Nutrients!$ED$78)))))*R$8))/2000</f>
        <v>0</v>
      </c>
      <c r="S303" s="22">
        <f>(SUMPRODUCT(S$9:S$229,Nutrients!$ED$8:$ED$228)+(IF($A$7=Nutrients!$B$8,Nutrients!$ED$8,Nutrients!$ED$9)*S$7)+(((IF($A$8=Nutrients!$B$79,Nutrients!$ED$79,(IF($A$8=Nutrients!$B$77,Nutrients!$ED$77,Nutrients!$ED$78)))))*S$8))/2000</f>
        <v>0</v>
      </c>
      <c r="T303" s="22">
        <f>(SUMPRODUCT(T$9:T$229,Nutrients!$ED$8:$ED$228)+(IF($A$7=Nutrients!$B$8,Nutrients!$ED$8,Nutrients!$ED$9)*T$7)+(((IF($A$8=Nutrients!$B$79,Nutrients!$ED$79,(IF($A$8=Nutrients!$B$77,Nutrients!$ED$77,Nutrients!$ED$78)))))*T$8))/2000</f>
        <v>0</v>
      </c>
      <c r="U303" s="22">
        <f>(SUMPRODUCT(U$9:U$229,Nutrients!$ED$8:$ED$228)+(IF($A$7=Nutrients!$B$8,Nutrients!$ED$8,Nutrients!$ED$9)*U$7)+(((IF($A$8=Nutrients!$B$79,Nutrients!$ED$79,(IF($A$8=Nutrients!$B$77,Nutrients!$ED$77,Nutrients!$ED$78)))))*U$8))/2000</f>
        <v>0</v>
      </c>
      <c r="W303" s="22">
        <f>(SUMPRODUCT(W$9:W$229,Nutrients!$ED$8:$ED$228)+(IF($A$7=Nutrients!$B$8,Nutrients!$ED$8,Nutrients!$ED$9)*W$7)+(((IF($A$8=Nutrients!$B$79,Nutrients!$ED$79,(IF($A$8=Nutrients!$B$77,Nutrients!$ED$77,Nutrients!$ED$78)))))*W$8))/2000</f>
        <v>0</v>
      </c>
      <c r="X303" s="22">
        <f>(SUMPRODUCT(X$9:X$229,Nutrients!$ED$8:$ED$228)+(IF($A$7=Nutrients!$B$8,Nutrients!$ED$8,Nutrients!$ED$9)*X$7)+(((IF($A$8=Nutrients!$B$79,Nutrients!$ED$79,(IF($A$8=Nutrients!$B$77,Nutrients!$ED$77,Nutrients!$ED$78)))))*X$8))/2000</f>
        <v>0</v>
      </c>
      <c r="Y303" s="22">
        <f>(SUMPRODUCT(Y$9:Y$229,Nutrients!$ED$8:$ED$228)+(IF($A$7=Nutrients!$B$8,Nutrients!$ED$8,Nutrients!$ED$9)*Y$7)+(((IF($A$8=Nutrients!$B$79,Nutrients!$ED$79,(IF($A$8=Nutrients!$B$77,Nutrients!$ED$77,Nutrients!$ED$78)))))*Y$8))/2000</f>
        <v>0</v>
      </c>
      <c r="Z303" s="22">
        <f>(SUMPRODUCT(Z$9:Z$229,Nutrients!$ED$8:$ED$228)+(IF($A$7=Nutrients!$B$8,Nutrients!$ED$8,Nutrients!$ED$9)*Z$7)+(((IF($A$8=Nutrients!$B$79,Nutrients!$ED$79,(IF($A$8=Nutrients!$B$77,Nutrients!$ED$77,Nutrients!$ED$78)))))*Z$8))/2000</f>
        <v>0</v>
      </c>
      <c r="AA303" s="22">
        <f>(SUMPRODUCT(AA$9:AA$229,Nutrients!$ED$8:$ED$228)+(IF($A$7=Nutrients!$B$8,Nutrients!$ED$8,Nutrients!$ED$9)*AA$7)+(((IF($A$8=Nutrients!$B$79,Nutrients!$ED$79,(IF($A$8=Nutrients!$B$77,Nutrients!$ED$77,Nutrients!$ED$78)))))*AA$8))/2000</f>
        <v>0</v>
      </c>
      <c r="AB303" s="22">
        <f>(SUMPRODUCT(AB$9:AB$229,Nutrients!$ED$8:$ED$228)+(IF($A$7=Nutrients!$B$8,Nutrients!$ED$8,Nutrients!$ED$9)*AB$7)+(((IF($A$8=Nutrients!$B$79,Nutrients!$ED$79,(IF($A$8=Nutrients!$B$77,Nutrients!$ED$77,Nutrients!$ED$78)))))*AB$8))/2000</f>
        <v>0</v>
      </c>
      <c r="AD303" s="22">
        <f>(SUMPRODUCT(AD$9:AD$229,Nutrients!$ED$8:$ED$228)+(IF($A$7=Nutrients!$B$8,Nutrients!$ED$8,Nutrients!$ED$9)*AD$7)+(((IF($A$8=Nutrients!$B$79,Nutrients!$ED$79,(IF($A$8=Nutrients!$B$77,Nutrients!$ED$77,Nutrients!$ED$78)))))*AD$8))/2000</f>
        <v>0</v>
      </c>
      <c r="AE303" s="22">
        <f>(SUMPRODUCT(AE$9:AE$229,Nutrients!$ED$8:$ED$228)+(IF($A$7=Nutrients!$B$8,Nutrients!$ED$8,Nutrients!$ED$9)*AE$7)+(((IF($A$8=Nutrients!$B$79,Nutrients!$ED$79,(IF($A$8=Nutrients!$B$77,Nutrients!$ED$77,Nutrients!$ED$78)))))*AE$8))/2000</f>
        <v>0</v>
      </c>
      <c r="AF303" s="22">
        <f>(SUMPRODUCT(AF$9:AF$229,Nutrients!$ED$8:$ED$228)+(IF($A$7=Nutrients!$B$8,Nutrients!$ED$8,Nutrients!$ED$9)*AF$7)+(((IF($A$8=Nutrients!$B$79,Nutrients!$ED$79,(IF($A$8=Nutrients!$B$77,Nutrients!$ED$77,Nutrients!$ED$78)))))*AF$8))/2000</f>
        <v>0</v>
      </c>
      <c r="AG303" s="22">
        <f>(SUMPRODUCT(AG$9:AG$229,Nutrients!$ED$8:$ED$228)+(IF($A$7=Nutrients!$B$8,Nutrients!$ED$8,Nutrients!$ED$9)*AG$7)+(((IF($A$8=Nutrients!$B$79,Nutrients!$ED$79,(IF($A$8=Nutrients!$B$77,Nutrients!$ED$77,Nutrients!$ED$78)))))*AG$8))/2000</f>
        <v>0</v>
      </c>
      <c r="AH303" s="22">
        <f>(SUMPRODUCT(AH$9:AH$229,Nutrients!$ED$8:$ED$228)+(IF($A$7=Nutrients!$B$8,Nutrients!$ED$8,Nutrients!$ED$9)*AH$7)+(((IF($A$8=Nutrients!$B$79,Nutrients!$ED$79,(IF($A$8=Nutrients!$B$77,Nutrients!$ED$77,Nutrients!$ED$78)))))*AH$8))/2000</f>
        <v>0</v>
      </c>
      <c r="AI303" s="22">
        <f>(SUMPRODUCT(AI$9:AI$229,Nutrients!$ED$8:$ED$228)+(IF($A$7=Nutrients!$B$8,Nutrients!$ED$8,Nutrients!$ED$9)*AI$7)+(((IF($A$8=Nutrients!$B$79,Nutrients!$ED$79,(IF($A$8=Nutrients!$B$77,Nutrients!$ED$77,Nutrients!$ED$78)))))*AI$8))/2000</f>
        <v>0</v>
      </c>
      <c r="AK303" s="22">
        <f>(SUMPRODUCT(AK$9:AK$229,Nutrients!$ED$8:$ED$228)+(IF($A$7=Nutrients!$B$8,Nutrients!$ED$8,Nutrients!$ED$9)*AK$7)+(((IF($A$8=Nutrients!$B$79,Nutrients!$ED$79,(IF($A$8=Nutrients!$B$77,Nutrients!$ED$77,Nutrients!$ED$78)))))*AK$8))/2000</f>
        <v>0</v>
      </c>
      <c r="AL303" s="22">
        <f>(SUMPRODUCT(AL$9:AL$229,Nutrients!$ED$8:$ED$228)+(IF($A$7=Nutrients!$B$8,Nutrients!$ED$8,Nutrients!$ED$9)*AL$7)+(((IF($A$8=Nutrients!$B$79,Nutrients!$ED$79,(IF($A$8=Nutrients!$B$77,Nutrients!$ED$77,Nutrients!$ED$78)))))*AL$8))/2000</f>
        <v>0</v>
      </c>
      <c r="AM303" s="22">
        <f>(SUMPRODUCT(AM$9:AM$229,Nutrients!$ED$8:$ED$228)+(IF($A$7=Nutrients!$B$8,Nutrients!$ED$8,Nutrients!$ED$9)*AM$7)+(((IF($A$8=Nutrients!$B$79,Nutrients!$ED$79,(IF($A$8=Nutrients!$B$77,Nutrients!$ED$77,Nutrients!$ED$78)))))*AM$8))/2000</f>
        <v>0</v>
      </c>
      <c r="AN303" s="22">
        <f>(SUMPRODUCT(AN$9:AN$229,Nutrients!$ED$8:$ED$228)+(IF($A$7=Nutrients!$B$8,Nutrients!$ED$8,Nutrients!$ED$9)*AN$7)+(((IF($A$8=Nutrients!$B$79,Nutrients!$ED$79,(IF($A$8=Nutrients!$B$77,Nutrients!$ED$77,Nutrients!$ED$78)))))*AN$8))/2000</f>
        <v>0</v>
      </c>
      <c r="AO303" s="22">
        <f>(SUMPRODUCT(AO$9:AO$229,Nutrients!$ED$8:$ED$228)+(IF($A$7=Nutrients!$B$8,Nutrients!$ED$8,Nutrients!$ED$9)*AO$7)+(((IF($A$8=Nutrients!$B$79,Nutrients!$ED$79,(IF($A$8=Nutrients!$B$77,Nutrients!$ED$77,Nutrients!$ED$78)))))*AO$8))/2000</f>
        <v>0</v>
      </c>
      <c r="AP303" s="22">
        <f>(SUMPRODUCT(AP$9:AP$229,Nutrients!$ED$8:$ED$228)+(IF($A$7=Nutrients!$B$8,Nutrients!$ED$8,Nutrients!$ED$9)*AP$7)+(((IF($A$8=Nutrients!$B$79,Nutrients!$ED$79,(IF($A$8=Nutrients!$B$77,Nutrients!$ED$77,Nutrients!$ED$78)))))*AP$8))/2000</f>
        <v>0</v>
      </c>
      <c r="AR303" s="22">
        <f>(SUMPRODUCT(AR$9:AR$229,Nutrients!$ED$8:$ED$228)+(IF($A$7=Nutrients!$B$8,Nutrients!$ED$8,Nutrients!$ED$9)*AR$7)+(((IF($A$8=Nutrients!$B$79,Nutrients!$ED$79,(IF($A$8=Nutrients!$B$77,Nutrients!$ED$77,Nutrients!$ED$78)))))*AR$8))/2000</f>
        <v>0</v>
      </c>
      <c r="AS303" s="22">
        <f>(SUMPRODUCT(AS$9:AS$229,Nutrients!$ED$8:$ED$228)+(IF($A$7=Nutrients!$B$8,Nutrients!$ED$8,Nutrients!$ED$9)*AS$7)+(((IF($A$8=Nutrients!$B$79,Nutrients!$ED$79,(IF($A$8=Nutrients!$B$77,Nutrients!$ED$77,Nutrients!$ED$78)))))*AS$8))/2000</f>
        <v>0</v>
      </c>
      <c r="AT303" s="22">
        <f>(SUMPRODUCT(AT$9:AT$229,Nutrients!$ED$8:$ED$228)+(IF($A$7=Nutrients!$B$8,Nutrients!$ED$8,Nutrients!$ED$9)*AT$7)+(((IF($A$8=Nutrients!$B$79,Nutrients!$ED$79,(IF($A$8=Nutrients!$B$77,Nutrients!$ED$77,Nutrients!$ED$78)))))*AT$8))/2000</f>
        <v>0</v>
      </c>
      <c r="AU303" s="22">
        <f>(SUMPRODUCT(AU$9:AU$229,Nutrients!$ED$8:$ED$228)+(IF($A$7=Nutrients!$B$8,Nutrients!$ED$8,Nutrients!$ED$9)*AU$7)+(((IF($A$8=Nutrients!$B$79,Nutrients!$ED$79,(IF($A$8=Nutrients!$B$77,Nutrients!$ED$77,Nutrients!$ED$78)))))*AU$8))/2000</f>
        <v>0</v>
      </c>
      <c r="AV303" s="22">
        <f>(SUMPRODUCT(AV$9:AV$229,Nutrients!$ED$8:$ED$228)+(IF($A$7=Nutrients!$B$8,Nutrients!$ED$8,Nutrients!$ED$9)*AV$7)+(((IF($A$8=Nutrients!$B$79,Nutrients!$ED$79,(IF($A$8=Nutrients!$B$77,Nutrients!$ED$77,Nutrients!$ED$78)))))*AV$8))/2000</f>
        <v>0</v>
      </c>
      <c r="AW303" s="22">
        <f>(SUMPRODUCT(AW$9:AW$229,Nutrients!$ED$8:$ED$228)+(IF($A$7=Nutrients!$B$8,Nutrients!$ED$8,Nutrients!$ED$9)*AW$7)+(((IF($A$8=Nutrients!$B$79,Nutrients!$ED$79,(IF($A$8=Nutrients!$B$77,Nutrients!$ED$77,Nutrients!$ED$78)))))*AW$8))/2000</f>
        <v>0</v>
      </c>
    </row>
    <row r="304" spans="1:49" x14ac:dyDescent="0.25">
      <c r="A304" t="s">
        <v>57</v>
      </c>
      <c r="B304" s="22">
        <f>(SUMPRODUCT(B$9:B$229,Nutrients!$EH$8:$EH$228)+(IF($A$7=Nutrients!$B$8,Nutrients!$EH$8,Nutrients!$EH$9)*B$7)+(((IF($A$8=Nutrients!$B$79,Nutrients!$EH$79,(IF($A$8=Nutrients!$B$77,Nutrients!$EH$77,Nutrients!$EH$78)))))*B$8))/2000</f>
        <v>35.538484918485338</v>
      </c>
      <c r="C304" s="22">
        <f>(SUMPRODUCT(C$9:C$229,Nutrients!$EH$8:$EH$228)+(IF($A$7=Nutrients!$B$8,Nutrients!$EH$8,Nutrients!$EH$9)*C$7)+(((IF($A$8=Nutrients!$B$79,Nutrients!$EH$79,(IF($A$8=Nutrients!$B$77,Nutrients!$EH$77,Nutrients!$EH$78)))))*C$8))/2000</f>
        <v>36.696132579183029</v>
      </c>
      <c r="D304" s="22">
        <f>(SUMPRODUCT(D$9:D$229,Nutrients!$EH$8:$EH$228)+(IF($A$7=Nutrients!$B$8,Nutrients!$EH$8,Nutrients!$EH$9)*D$7)+(((IF($A$8=Nutrients!$B$79,Nutrients!$EH$79,(IF($A$8=Nutrients!$B$77,Nutrients!$EH$77,Nutrients!$EH$78)))))*D$8))/2000</f>
        <v>37.687698685025424</v>
      </c>
      <c r="E304" s="22">
        <f>(SUMPRODUCT(E$9:E$229,Nutrients!$EH$8:$EH$228)+(IF($A$7=Nutrients!$B$8,Nutrients!$EH$8,Nutrients!$EH$9)*E$7)+(((IF($A$8=Nutrients!$B$79,Nutrients!$EH$79,(IF($A$8=Nutrients!$B$77,Nutrients!$EH$77,Nutrients!$EH$78)))))*E$8))/2000</f>
        <v>38.621947982979158</v>
      </c>
      <c r="F304" s="22">
        <f>(SUMPRODUCT(F$9:F$229,Nutrients!$EH$8:$EH$228)+(IF($A$7=Nutrients!$B$8,Nutrients!$EH$8,Nutrients!$EH$9)*F$7)+(((IF($A$8=Nutrients!$B$79,Nutrients!$EH$79,(IF($A$8=Nutrients!$B$77,Nutrients!$EH$77,Nutrients!$EH$78)))))*F$8))/2000</f>
        <v>39.390416669843518</v>
      </c>
      <c r="G304" s="22">
        <f>(SUMPRODUCT(G$9:G$229,Nutrients!$EH$8:$EH$228)+(IF($A$7=Nutrients!$B$8,Nutrients!$EH$8,Nutrients!$EH$9)*G$7)+(((IF($A$8=Nutrients!$B$79,Nutrients!$EH$79,(IF($A$8=Nutrients!$B$77,Nutrients!$EH$77,Nutrients!$EH$78)))))*G$8))/2000</f>
        <v>39.795780240411979</v>
      </c>
      <c r="H304" s="228"/>
      <c r="I304" s="22">
        <f>(SUMPRODUCT(I$9:I$229,Nutrients!$EH$8:$EH$228)+(IF($A$7=Nutrients!$B$8,Nutrients!$EH$8,Nutrients!$EH$9)*I$7)+(((IF($A$8=Nutrients!$B$79,Nutrients!$EH$79,(IF($A$8=Nutrients!$B$77,Nutrients!$EH$77,Nutrients!$EH$78)))))*I$8))/2000</f>
        <v>34.553029668984003</v>
      </c>
      <c r="J304" s="22">
        <f>(SUMPRODUCT(J$9:J$229,Nutrients!$EH$8:$EH$228)+(IF($A$7=Nutrients!$B$8,Nutrients!$EH$8,Nutrients!$EH$9)*J$7)+(((IF($A$8=Nutrients!$B$79,Nutrients!$EH$79,(IF($A$8=Nutrients!$B$77,Nutrients!$EH$77,Nutrients!$EH$78)))))*J$8))/2000</f>
        <v>35.692508850596795</v>
      </c>
      <c r="K304" s="22">
        <f>(SUMPRODUCT(K$9:K$229,Nutrients!$EH$8:$EH$228)+(IF($A$7=Nutrients!$B$8,Nutrients!$EH$8,Nutrients!$EH$9)*K$7)+(((IF($A$8=Nutrients!$B$79,Nutrients!$EH$79,(IF($A$8=Nutrients!$B$77,Nutrients!$EH$77,Nutrients!$EH$78)))))*K$8))/2000</f>
        <v>36.672380632344002</v>
      </c>
      <c r="L304" s="22">
        <f>(SUMPRODUCT(L$9:L$229,Nutrients!$EH$8:$EH$228)+(IF($A$7=Nutrients!$B$8,Nutrients!$EH$8,Nutrients!$EH$9)*L$7)+(((IF($A$8=Nutrients!$B$79,Nutrients!$EH$79,(IF($A$8=Nutrients!$B$77,Nutrients!$EH$77,Nutrients!$EH$78)))))*L$8))/2000</f>
        <v>37.598169208049136</v>
      </c>
      <c r="M304" s="22">
        <f>(SUMPRODUCT(M$9:M$229,Nutrients!$EH$8:$EH$228)+(IF($A$7=Nutrients!$B$8,Nutrients!$EH$8,Nutrients!$EH$9)*M$7)+(((IF($A$8=Nutrients!$B$79,Nutrients!$EH$79,(IF($A$8=Nutrients!$B$77,Nutrients!$EH$77,Nutrients!$EH$78)))))*M$8))/2000</f>
        <v>38.368337387595318</v>
      </c>
      <c r="N304" s="22">
        <f>(SUMPRODUCT(N$9:N$229,Nutrients!$EH$8:$EH$228)+(IF($A$7=Nutrients!$B$8,Nutrients!$EH$8,Nutrients!$EH$9)*N$7)+(((IF($A$8=Nutrients!$B$79,Nutrients!$EH$79,(IF($A$8=Nutrients!$B$77,Nutrients!$EH$77,Nutrients!$EH$78)))))*N$8))/2000</f>
        <v>39.795780240411979</v>
      </c>
      <c r="O304" s="235"/>
      <c r="P304" s="22">
        <f>(SUMPRODUCT(P$9:P$229,Nutrients!$EH$8:$EH$228)+(IF($A$7=Nutrients!$B$8,Nutrients!$EH$8,Nutrients!$EH$9)*P$7)+(((IF($A$8=Nutrients!$B$79,Nutrients!$EH$79,(IF($A$8=Nutrients!$B$77,Nutrients!$EH$77,Nutrients!$EH$78)))))*P$8))/2000</f>
        <v>33.546769015824715</v>
      </c>
      <c r="Q304" s="22">
        <f>(SUMPRODUCT(Q$9:Q$229,Nutrients!$EH$8:$EH$228)+(IF($A$7=Nutrients!$B$8,Nutrients!$EH$8,Nutrients!$EH$9)*Q$7)+(((IF($A$8=Nutrients!$B$79,Nutrients!$EH$79,(IF($A$8=Nutrients!$B$77,Nutrients!$EH$77,Nutrients!$EH$78)))))*Q$8))/2000</f>
        <v>34.674369384925761</v>
      </c>
      <c r="R304" s="22">
        <f>(SUMPRODUCT(R$9:R$229,Nutrients!$EH$8:$EH$228)+(IF($A$7=Nutrients!$B$8,Nutrients!$EH$8,Nutrients!$EH$9)*R$7)+(((IF($A$8=Nutrients!$B$79,Nutrients!$EH$79,(IF($A$8=Nutrients!$B$77,Nutrients!$EH$77,Nutrients!$EH$78)))))*R$8))/2000</f>
        <v>35.645189580692879</v>
      </c>
      <c r="S304" s="22">
        <f>(SUMPRODUCT(S$9:S$229,Nutrients!$EH$8:$EH$228)+(IF($A$7=Nutrients!$B$8,Nutrients!$EH$8,Nutrients!$EH$9)*S$7)+(((IF($A$8=Nutrients!$B$79,Nutrients!$EH$79,(IF($A$8=Nutrients!$B$77,Nutrients!$EH$77,Nutrients!$EH$78)))))*S$8))/2000</f>
        <v>36.57428676563314</v>
      </c>
      <c r="T304" s="22">
        <f>(SUMPRODUCT(T$9:T$229,Nutrients!$EH$8:$EH$228)+(IF($A$7=Nutrients!$B$8,Nutrients!$EH$8,Nutrients!$EH$9)*T$7)+(((IF($A$8=Nutrients!$B$79,Nutrients!$EH$79,(IF($A$8=Nutrients!$B$77,Nutrients!$EH$77,Nutrients!$EH$78)))))*T$8))/2000</f>
        <v>37.336202304992007</v>
      </c>
      <c r="U304" s="22">
        <f>(SUMPRODUCT(U$9:U$229,Nutrients!$EH$8:$EH$228)+(IF($A$7=Nutrients!$B$8,Nutrients!$EH$8,Nutrients!$EH$9)*U$7)+(((IF($A$8=Nutrients!$B$79,Nutrients!$EH$79,(IF($A$8=Nutrients!$B$77,Nutrients!$EH$77,Nutrients!$EH$78)))))*U$8))/2000</f>
        <v>39.795780240411979</v>
      </c>
      <c r="W304" s="22">
        <f>(SUMPRODUCT(W$9:W$229,Nutrients!$EH$8:$EH$228)+(IF($A$7=Nutrients!$B$8,Nutrients!$EH$8,Nutrients!$EH$9)*W$7)+(((IF($A$8=Nutrients!$B$79,Nutrients!$EH$79,(IF($A$8=Nutrients!$B$77,Nutrients!$EH$77,Nutrients!$EH$78)))))*W$8))/2000</f>
        <v>32.539382734549534</v>
      </c>
      <c r="X304" s="22">
        <f>(SUMPRODUCT(X$9:X$229,Nutrients!$EH$8:$EH$228)+(IF($A$7=Nutrients!$B$8,Nutrients!$EH$8,Nutrients!$EH$9)*X$7)+(((IF($A$8=Nutrients!$B$79,Nutrients!$EH$79,(IF($A$8=Nutrients!$B$77,Nutrients!$EH$77,Nutrients!$EH$78)))))*X$8))/2000</f>
        <v>33.657034574506</v>
      </c>
      <c r="Y304" s="22">
        <f>(SUMPRODUCT(Y$9:Y$229,Nutrients!$EH$8:$EH$228)+(IF($A$7=Nutrients!$B$8,Nutrients!$EH$8,Nutrients!$EH$9)*Y$7)+(((IF($A$8=Nutrients!$B$79,Nutrients!$EH$79,(IF($A$8=Nutrients!$B$77,Nutrients!$EH$77,Nutrients!$EH$78)))))*Y$8))/2000</f>
        <v>34.630320996750889</v>
      </c>
      <c r="Z304" s="22">
        <f>(SUMPRODUCT(Z$9:Z$229,Nutrients!$EH$8:$EH$228)+(IF($A$7=Nutrients!$B$8,Nutrients!$EH$8,Nutrients!$EH$9)*Z$7)+(((IF($A$8=Nutrients!$B$79,Nutrients!$EH$79,(IF($A$8=Nutrients!$B$77,Nutrients!$EH$77,Nutrients!$EH$78)))))*Z$8))/2000</f>
        <v>35.544511098094091</v>
      </c>
      <c r="AA304" s="22">
        <f>(SUMPRODUCT(AA$9:AA$229,Nutrients!$EH$8:$EH$228)+(IF($A$7=Nutrients!$B$8,Nutrients!$EH$8,Nutrients!$EH$9)*AA$7)+(((IF($A$8=Nutrients!$B$79,Nutrients!$EH$79,(IF($A$8=Nutrients!$B$77,Nutrients!$EH$77,Nutrients!$EH$78)))))*AA$8))/2000</f>
        <v>36.295611273934675</v>
      </c>
      <c r="AB304" s="22">
        <f>(SUMPRODUCT(AB$9:AB$229,Nutrients!$EH$8:$EH$228)+(IF($A$7=Nutrients!$B$8,Nutrients!$EH$8,Nutrients!$EH$9)*AB$7)+(((IF($A$8=Nutrients!$B$79,Nutrients!$EH$79,(IF($A$8=Nutrients!$B$77,Nutrients!$EH$77,Nutrients!$EH$78)))))*AB$8))/2000</f>
        <v>39.795780240411979</v>
      </c>
      <c r="AD304" s="22">
        <f>(SUMPRODUCT(AD$9:AD$229,Nutrients!$EH$8:$EH$228)+(IF($A$7=Nutrients!$B$8,Nutrients!$EH$8,Nutrients!$EH$9)*AD$7)+(((IF($A$8=Nutrients!$B$79,Nutrients!$EH$79,(IF($A$8=Nutrients!$B$77,Nutrients!$EH$77,Nutrients!$EH$78)))))*AD$8))/2000</f>
        <v>31.531413580597036</v>
      </c>
      <c r="AE304" s="22">
        <f>(SUMPRODUCT(AE$9:AE$229,Nutrients!$EH$8:$EH$228)+(IF($A$7=Nutrients!$B$8,Nutrients!$EH$8,Nutrients!$EH$9)*AE$7)+(((IF($A$8=Nutrients!$B$79,Nutrients!$EH$79,(IF($A$8=Nutrients!$B$77,Nutrients!$EH$77,Nutrients!$EH$78)))))*AE$8))/2000</f>
        <v>32.651664659056728</v>
      </c>
      <c r="AF304" s="22">
        <f>(SUMPRODUCT(AF$9:AF$229,Nutrients!$EH$8:$EH$228)+(IF($A$7=Nutrients!$B$8,Nutrients!$EH$8,Nutrients!$EH$9)*AF$7)+(((IF($A$8=Nutrients!$B$79,Nutrients!$EH$79,(IF($A$8=Nutrients!$B$77,Nutrients!$EH$77,Nutrients!$EH$78)))))*AF$8))/2000</f>
        <v>33.6098232986905</v>
      </c>
      <c r="AG304" s="22">
        <f>(SUMPRODUCT(AG$9:AG$229,Nutrients!$EH$8:$EH$228)+(IF($A$7=Nutrients!$B$8,Nutrients!$EH$8,Nutrients!$EH$9)*AG$7)+(((IF($A$8=Nutrients!$B$79,Nutrients!$EH$79,(IF($A$8=Nutrients!$B$77,Nutrients!$EH$77,Nutrients!$EH$78)))))*AG$8))/2000</f>
        <v>34.508268515147947</v>
      </c>
      <c r="AH304" s="22">
        <f>(SUMPRODUCT(AH$9:AH$229,Nutrients!$EH$8:$EH$228)+(IF($A$7=Nutrients!$B$8,Nutrients!$EH$8,Nutrients!$EH$9)*AH$7)+(((IF($A$8=Nutrients!$B$79,Nutrients!$EH$79,(IF($A$8=Nutrients!$B$77,Nutrients!$EH$77,Nutrients!$EH$78)))))*AH$8))/2000</f>
        <v>35.229262001848639</v>
      </c>
      <c r="AI304" s="22">
        <f>(SUMPRODUCT(AI$9:AI$229,Nutrients!$EH$8:$EH$228)+(IF($A$7=Nutrients!$B$8,Nutrients!$EH$8,Nutrients!$EH$9)*AI$7)+(((IF($A$8=Nutrients!$B$79,Nutrients!$EH$79,(IF($A$8=Nutrients!$B$77,Nutrients!$EH$77,Nutrients!$EH$78)))))*AI$8))/2000</f>
        <v>39.795780240411979</v>
      </c>
      <c r="AK304" s="22">
        <f>(SUMPRODUCT(AK$9:AK$229,Nutrients!$EH$8:$EH$228)+(IF($A$7=Nutrients!$B$8,Nutrients!$EH$8,Nutrients!$EH$9)*AK$7)+(((IF($A$8=Nutrients!$B$79,Nutrients!$EH$79,(IF($A$8=Nutrients!$B$77,Nutrients!$EH$77,Nutrients!$EH$78)))))*AK$8))/2000</f>
        <v>30.519378046841233</v>
      </c>
      <c r="AL304" s="22">
        <f>(SUMPRODUCT(AL$9:AL$229,Nutrients!$EH$8:$EH$228)+(IF($A$7=Nutrients!$B$8,Nutrients!$EH$8,Nutrients!$EH$9)*AL$7)+(((IF($A$8=Nutrients!$B$79,Nutrients!$EH$79,(IF($A$8=Nutrients!$B$77,Nutrients!$EH$77,Nutrients!$EH$78)))))*AL$8))/2000</f>
        <v>31.643925986778537</v>
      </c>
      <c r="AM304" s="22">
        <f>(SUMPRODUCT(AM$9:AM$229,Nutrients!$EH$8:$EH$228)+(IF($A$7=Nutrients!$B$8,Nutrients!$EH$8,Nutrients!$EH$9)*AM$7)+(((IF($A$8=Nutrients!$B$79,Nutrients!$EH$79,(IF($A$8=Nutrients!$B$77,Nutrients!$EH$77,Nutrients!$EH$78)))))*AM$8))/2000</f>
        <v>32.58533577955329</v>
      </c>
      <c r="AN304" s="22">
        <f>(SUMPRODUCT(AN$9:AN$229,Nutrients!$EH$8:$EH$228)+(IF($A$7=Nutrients!$B$8,Nutrients!$EH$8,Nutrients!$EH$9)*AN$7)+(((IF($A$8=Nutrients!$B$79,Nutrients!$EH$79,(IF($A$8=Nutrients!$B$77,Nutrients!$EH$77,Nutrients!$EH$78)))))*AN$8))/2000</f>
        <v>33.452546827412327</v>
      </c>
      <c r="AO304" s="22">
        <f>(SUMPRODUCT(AO$9:AO$229,Nutrients!$EH$8:$EH$228)+(IF($A$7=Nutrients!$B$8,Nutrients!$EH$8,Nutrients!$EH$9)*AO$7)+(((IF($A$8=Nutrients!$B$79,Nutrients!$EH$79,(IF($A$8=Nutrients!$B$77,Nutrients!$EH$77,Nutrients!$EH$78)))))*AO$8))/2000</f>
        <v>34.154199519304676</v>
      </c>
      <c r="AP304" s="22">
        <f>(SUMPRODUCT(AP$9:AP$229,Nutrients!$EH$8:$EH$228)+(IF($A$7=Nutrients!$B$8,Nutrients!$EH$8,Nutrients!$EH$9)*AP$7)+(((IF($A$8=Nutrients!$B$79,Nutrients!$EH$79,(IF($A$8=Nutrients!$B$77,Nutrients!$EH$77,Nutrients!$EH$78)))))*AP$8))/2000</f>
        <v>39.795780240411979</v>
      </c>
      <c r="AR304" s="22">
        <f>(SUMPRODUCT(AR$9:AR$229,Nutrients!$EH$8:$EH$228)+(IF($A$7=Nutrients!$B$8,Nutrients!$EH$8,Nutrients!$EH$9)*AR$7)+(((IF($A$8=Nutrients!$B$79,Nutrients!$EH$79,(IF($A$8=Nutrients!$B$77,Nutrients!$EH$77,Nutrients!$EH$78)))))*AR$8))/2000</f>
        <v>29.48168558332069</v>
      </c>
      <c r="AS304" s="22">
        <f>(SUMPRODUCT(AS$9:AS$229,Nutrients!$EH$8:$EH$228)+(IF($A$7=Nutrients!$B$8,Nutrients!$EH$8,Nutrients!$EH$9)*AS$7)+(((IF($A$8=Nutrients!$B$79,Nutrients!$EH$79,(IF($A$8=Nutrients!$B$77,Nutrients!$EH$77,Nutrients!$EH$78)))))*AS$8))/2000</f>
        <v>30.632317853375774</v>
      </c>
      <c r="AT304" s="22">
        <f>(SUMPRODUCT(AT$9:AT$229,Nutrients!$EH$8:$EH$228)+(IF($A$7=Nutrients!$B$8,Nutrients!$EH$8,Nutrients!$EH$9)*AT$7)+(((IF($A$8=Nutrients!$B$79,Nutrients!$EH$79,(IF($A$8=Nutrients!$B$77,Nutrients!$EH$77,Nutrients!$EH$78)))))*AT$8))/2000</f>
        <v>31.554579779580138</v>
      </c>
      <c r="AU304" s="22">
        <f>(SUMPRODUCT(AU$9:AU$229,Nutrients!$EH$8:$EH$228)+(IF($A$7=Nutrients!$B$8,Nutrients!$EH$8,Nutrients!$EH$9)*AU$7)+(((IF($A$8=Nutrients!$B$79,Nutrients!$EH$79,(IF($A$8=Nutrients!$B$77,Nutrients!$EH$77,Nutrients!$EH$78)))))*AU$8))/2000</f>
        <v>32.381684700205724</v>
      </c>
      <c r="AV304" s="22">
        <f>(SUMPRODUCT(AV$9:AV$229,Nutrients!$EH$8:$EH$228)+(IF($A$7=Nutrients!$B$8,Nutrients!$EH$8,Nutrients!$EH$9)*AV$7)+(((IF($A$8=Nutrients!$B$79,Nutrients!$EH$79,(IF($A$8=Nutrients!$B$77,Nutrients!$EH$77,Nutrients!$EH$78)))))*AV$8))/2000</f>
        <v>33.079067645301762</v>
      </c>
      <c r="AW304" s="22">
        <f>(SUMPRODUCT(AW$9:AW$229,Nutrients!$EH$8:$EH$228)+(IF($A$7=Nutrients!$B$8,Nutrients!$EH$8,Nutrients!$EH$9)*AW$7)+(((IF($A$8=Nutrients!$B$79,Nutrients!$EH$79,(IF($A$8=Nutrients!$B$77,Nutrients!$EH$77,Nutrients!$EH$78)))))*AW$8))/2000</f>
        <v>39.795780240411979</v>
      </c>
    </row>
    <row r="305" spans="1:49" x14ac:dyDescent="0.25">
      <c r="A305" t="s">
        <v>58</v>
      </c>
      <c r="B305" s="23">
        <f t="shared" ref="B305:G305" si="178">(0.4472*B304)+51.796</f>
        <v>67.688810455546644</v>
      </c>
      <c r="C305" s="23">
        <f t="shared" si="178"/>
        <v>68.206510489410647</v>
      </c>
      <c r="D305" s="23">
        <f t="shared" si="178"/>
        <v>68.649938851943375</v>
      </c>
      <c r="E305" s="23">
        <f t="shared" si="178"/>
        <v>69.067735137988279</v>
      </c>
      <c r="F305" s="23">
        <f t="shared" si="178"/>
        <v>69.411394334754021</v>
      </c>
      <c r="G305" s="23">
        <f t="shared" si="178"/>
        <v>69.592672923512239</v>
      </c>
      <c r="H305" s="227"/>
      <c r="I305" s="23">
        <f t="shared" ref="I305:N305" si="179">(0.4472*I304)+51.796</f>
        <v>67.248114867969647</v>
      </c>
      <c r="J305" s="23">
        <f t="shared" si="179"/>
        <v>67.757689957986884</v>
      </c>
      <c r="K305" s="23">
        <f t="shared" si="179"/>
        <v>68.195888618784238</v>
      </c>
      <c r="L305" s="23">
        <f t="shared" si="179"/>
        <v>68.609901269839568</v>
      </c>
      <c r="M305" s="23">
        <f t="shared" si="179"/>
        <v>68.95432047973263</v>
      </c>
      <c r="N305" s="23">
        <f t="shared" si="179"/>
        <v>69.592672923512239</v>
      </c>
      <c r="O305" s="235"/>
      <c r="P305" s="23">
        <f t="shared" ref="P305:U305" si="180">(0.4472*P304)+51.796</f>
        <v>66.79811510387681</v>
      </c>
      <c r="Q305" s="23">
        <f t="shared" si="180"/>
        <v>67.302377988938801</v>
      </c>
      <c r="R305" s="23">
        <f t="shared" si="180"/>
        <v>67.736528780485855</v>
      </c>
      <c r="S305" s="23">
        <f t="shared" si="180"/>
        <v>68.152021041591141</v>
      </c>
      <c r="T305" s="23">
        <f t="shared" si="180"/>
        <v>68.492749670792421</v>
      </c>
      <c r="U305" s="23">
        <f t="shared" si="180"/>
        <v>69.592672923512239</v>
      </c>
      <c r="W305" s="23">
        <f t="shared" ref="W305:AB305" si="181">(0.4472*W304)+51.796</f>
        <v>66.347611958890553</v>
      </c>
      <c r="X305" s="23">
        <f t="shared" si="181"/>
        <v>66.847425861719074</v>
      </c>
      <c r="Y305" s="23">
        <f t="shared" si="181"/>
        <v>67.282679549747002</v>
      </c>
      <c r="Z305" s="23">
        <f t="shared" si="181"/>
        <v>67.691505363067677</v>
      </c>
      <c r="AA305" s="23">
        <f t="shared" si="181"/>
        <v>68.027397361703578</v>
      </c>
      <c r="AB305" s="23">
        <f t="shared" si="181"/>
        <v>69.592672923512239</v>
      </c>
      <c r="AD305" s="23">
        <f t="shared" ref="AD305:AI305" si="182">(0.4472*AD304)+51.796</f>
        <v>65.896848153242999</v>
      </c>
      <c r="AE305" s="23">
        <f t="shared" si="182"/>
        <v>66.397824435530168</v>
      </c>
      <c r="AF305" s="23">
        <f t="shared" si="182"/>
        <v>66.826312979174389</v>
      </c>
      <c r="AG305" s="23">
        <f t="shared" si="182"/>
        <v>67.228097679974155</v>
      </c>
      <c r="AH305" s="23">
        <f t="shared" si="182"/>
        <v>67.550525967226704</v>
      </c>
      <c r="AI305" s="23">
        <f t="shared" si="182"/>
        <v>69.592672923512239</v>
      </c>
      <c r="AK305" s="23">
        <f t="shared" ref="AK305:AP305" si="183">(0.4472*AK304)+51.796</f>
        <v>65.444265862547397</v>
      </c>
      <c r="AL305" s="23">
        <f t="shared" si="183"/>
        <v>65.947163701287366</v>
      </c>
      <c r="AM305" s="23">
        <f t="shared" si="183"/>
        <v>66.368162160616237</v>
      </c>
      <c r="AN305" s="23">
        <f t="shared" si="183"/>
        <v>66.755978941218785</v>
      </c>
      <c r="AO305" s="23">
        <f t="shared" si="183"/>
        <v>67.069758025033053</v>
      </c>
      <c r="AP305" s="23">
        <f t="shared" si="183"/>
        <v>69.592672923512239</v>
      </c>
      <c r="AR305" s="23">
        <f t="shared" ref="AR305:AW305" si="184">(0.4472*AR304)+51.796</f>
        <v>64.980209792861018</v>
      </c>
      <c r="AS305" s="23">
        <f t="shared" si="184"/>
        <v>65.494772544029644</v>
      </c>
      <c r="AT305" s="23">
        <f t="shared" si="184"/>
        <v>65.907208077428237</v>
      </c>
      <c r="AU305" s="23">
        <f t="shared" si="184"/>
        <v>66.277089397932002</v>
      </c>
      <c r="AV305" s="23">
        <f t="shared" si="184"/>
        <v>66.588959050978943</v>
      </c>
      <c r="AW305" s="23">
        <f t="shared" si="184"/>
        <v>69.592672923512239</v>
      </c>
    </row>
    <row r="306" spans="1:49" x14ac:dyDescent="0.25">
      <c r="A306" t="s">
        <v>65</v>
      </c>
      <c r="B306" s="23">
        <f>(SUMPRODUCT(B$9:B$229,Nutrients!$BW$8:$BW$228)+(IF($A$7=Nutrients!$B$8,Nutrients!$BW$8,Nutrients!$BW$9)*B$7)+(((IF($A$8=Nutrients!$B$79,Nutrients!$BW$79,(IF($A$8=Nutrients!$B$77,Nutrients!$BW$77,Nutrients!$BW$78)))))*B$8))/2000</f>
        <v>0.17585444277585438</v>
      </c>
      <c r="C306" s="23">
        <f>(SUMPRODUCT(C$9:C$229,Nutrients!$BW$8:$BW$228)+(IF($A$7=Nutrients!$B$8,Nutrients!$BW$8,Nutrients!$BW$9)*C$7)+(((IF($A$8=Nutrients!$B$79,Nutrients!$BW$79,(IF($A$8=Nutrients!$B$77,Nutrients!$BW$77,Nutrients!$BW$78)))))*C$8))/2000</f>
        <v>0.17313593688104692</v>
      </c>
      <c r="D306" s="23">
        <f>(SUMPRODUCT(D$9:D$229,Nutrients!$BW$8:$BW$228)+(IF($A$7=Nutrients!$B$8,Nutrients!$BW$8,Nutrients!$BW$9)*D$7)+(((IF($A$8=Nutrients!$B$79,Nutrients!$BW$79,(IF($A$8=Nutrients!$B$77,Nutrients!$BW$77,Nutrients!$BW$78)))))*D$8))/2000</f>
        <v>0.17084392516917876</v>
      </c>
      <c r="E306" s="23">
        <f>(SUMPRODUCT(E$9:E$229,Nutrients!$BW$8:$BW$228)+(IF($A$7=Nutrients!$B$8,Nutrients!$BW$8,Nutrients!$BW$9)*E$7)+(((IF($A$8=Nutrients!$B$79,Nutrients!$BW$79,(IF($A$8=Nutrients!$B$77,Nutrients!$BW$77,Nutrients!$BW$78)))))*E$8))/2000</f>
        <v>0.16862311318463774</v>
      </c>
      <c r="F306" s="23">
        <f>(SUMPRODUCT(F$9:F$229,Nutrients!$BW$8:$BW$228)+(IF($A$7=Nutrients!$B$8,Nutrients!$BW$8,Nutrients!$BW$9)*F$7)+(((IF($A$8=Nutrients!$B$79,Nutrients!$BW$79,(IF($A$8=Nutrients!$B$77,Nutrients!$BW$77,Nutrients!$BW$78)))))*F$8))/2000</f>
        <v>0.16677873706348853</v>
      </c>
      <c r="G306" s="23">
        <f>(SUMPRODUCT(G$9:G$229,Nutrients!$BW$8:$BW$228)+(IF($A$7=Nutrients!$B$8,Nutrients!$BW$8,Nutrients!$BW$9)*G$7)+(((IF($A$8=Nutrients!$B$79,Nutrients!$BW$79,(IF($A$8=Nutrients!$B$77,Nutrients!$BW$77,Nutrients!$BW$78)))))*G$8))/2000</f>
        <v>0.16577103413561747</v>
      </c>
      <c r="H306" s="227"/>
      <c r="I306" s="23">
        <f>(SUMPRODUCT(I$9:I$229,Nutrients!$BW$8:$BW$228)+(IF($A$7=Nutrients!$B$8,Nutrients!$BW$8,Nutrients!$BW$9)*I$7)+(((IF($A$8=Nutrients!$B$79,Nutrients!$BW$79,(IF($A$8=Nutrients!$B$77,Nutrients!$BW$77,Nutrients!$BW$78)))))*I$8))/2000</f>
        <v>0.18319762970323239</v>
      </c>
      <c r="J306" s="23">
        <f>(SUMPRODUCT(J$9:J$229,Nutrients!$BW$8:$BW$228)+(IF($A$7=Nutrients!$B$8,Nutrients!$BW$8,Nutrients!$BW$9)*J$7)+(((IF($A$8=Nutrients!$B$79,Nutrients!$BW$79,(IF($A$8=Nutrients!$B$77,Nutrients!$BW$77,Nutrients!$BW$78)))))*J$8))/2000</f>
        <v>0.18052372934420191</v>
      </c>
      <c r="K306" s="23">
        <f>(SUMPRODUCT(K$9:K$229,Nutrients!$BW$8:$BW$228)+(IF($A$7=Nutrients!$B$8,Nutrients!$BW$8,Nutrients!$BW$9)*K$7)+(((IF($A$8=Nutrients!$B$79,Nutrients!$BW$79,(IF($A$8=Nutrients!$B$77,Nutrients!$BW$77,Nutrients!$BW$78)))))*K$8))/2000</f>
        <v>0.17824662181473622</v>
      </c>
      <c r="L306" s="23">
        <f>(SUMPRODUCT(L$9:L$229,Nutrients!$BW$8:$BW$228)+(IF($A$7=Nutrients!$B$8,Nutrients!$BW$8,Nutrients!$BW$9)*L$7)+(((IF($A$8=Nutrients!$B$79,Nutrients!$BW$79,(IF($A$8=Nutrients!$B$77,Nutrients!$BW$77,Nutrients!$BW$78)))))*L$8))/2000</f>
        <v>0.1760524065896884</v>
      </c>
      <c r="M306" s="23">
        <f>(SUMPRODUCT(M$9:M$229,Nutrients!$BW$8:$BW$228)+(IF($A$7=Nutrients!$B$8,Nutrients!$BW$8,Nutrients!$BW$9)*M$7)+(((IF($A$8=Nutrients!$B$79,Nutrients!$BW$79,(IF($A$8=Nutrients!$B$77,Nutrients!$BW$77,Nutrients!$BW$78)))))*M$8))/2000</f>
        <v>0.17420794749635488</v>
      </c>
      <c r="N306" s="23">
        <f>(SUMPRODUCT(N$9:N$229,Nutrients!$BW$8:$BW$228)+(IF($A$7=Nutrients!$B$8,Nutrients!$BW$8,Nutrients!$BW$9)*N$7)+(((IF($A$8=Nutrients!$B$79,Nutrients!$BW$79,(IF($A$8=Nutrients!$B$77,Nutrients!$BW$77,Nutrients!$BW$78)))))*N$8))/2000</f>
        <v>0.16577103413561747</v>
      </c>
      <c r="O306" s="198"/>
      <c r="P306" s="23">
        <f>(SUMPRODUCT(P$9:P$229,Nutrients!$BW$8:$BW$228)+(IF($A$7=Nutrients!$B$8,Nutrients!$BW$8,Nutrients!$BW$9)*P$7)+(((IF($A$8=Nutrients!$B$79,Nutrients!$BW$79,(IF($A$8=Nutrients!$B$77,Nutrients!$BW$77,Nutrients!$BW$78)))))*P$8))/2000</f>
        <v>0.19058880290891977</v>
      </c>
      <c r="Q306" s="23">
        <f>(SUMPRODUCT(Q$9:Q$229,Nutrients!$BW$8:$BW$228)+(IF($A$7=Nutrients!$B$8,Nutrients!$BW$8,Nutrients!$BW$9)*Q$7)+(((IF($A$8=Nutrients!$B$79,Nutrients!$BW$79,(IF($A$8=Nutrients!$B$77,Nutrients!$BW$77,Nutrients!$BW$78)))))*Q$8))/2000</f>
        <v>0.18793592639723561</v>
      </c>
      <c r="R306" s="23">
        <f>(SUMPRODUCT(R$9:R$229,Nutrients!$BW$8:$BW$228)+(IF($A$7=Nutrients!$B$8,Nutrients!$BW$8,Nutrients!$BW$9)*R$7)+(((IF($A$8=Nutrients!$B$79,Nutrients!$BW$79,(IF($A$8=Nutrients!$B$77,Nutrients!$BW$77,Nutrients!$BW$78)))))*R$8))/2000</f>
        <v>0.18568144193667493</v>
      </c>
      <c r="S306" s="23">
        <f>(SUMPRODUCT(S$9:S$229,Nutrients!$BW$8:$BW$228)+(IF($A$7=Nutrients!$B$8,Nutrients!$BW$8,Nutrients!$BW$9)*S$7)+(((IF($A$8=Nutrients!$B$79,Nutrients!$BW$79,(IF($A$8=Nutrients!$B$77,Nutrients!$BW$77,Nutrients!$BW$78)))))*S$8))/2000</f>
        <v>0.18347610863080288</v>
      </c>
      <c r="T306" s="23">
        <f>(SUMPRODUCT(T$9:T$229,Nutrients!$BW$8:$BW$228)+(IF($A$7=Nutrients!$B$8,Nutrients!$BW$8,Nutrients!$BW$9)*T$7)+(((IF($A$8=Nutrients!$B$79,Nutrients!$BW$79,(IF($A$8=Nutrients!$B$77,Nutrients!$BW$77,Nutrients!$BW$78)))))*T$8))/2000</f>
        <v>0.18165037327511316</v>
      </c>
      <c r="U306" s="23">
        <f>(SUMPRODUCT(U$9:U$229,Nutrients!$BW$8:$BW$228)+(IF($A$7=Nutrients!$B$8,Nutrients!$BW$8,Nutrients!$BW$9)*U$7)+(((IF($A$8=Nutrients!$B$79,Nutrients!$BW$79,(IF($A$8=Nutrients!$B$77,Nutrients!$BW$77,Nutrients!$BW$78)))))*U$8))/2000</f>
        <v>0.16577103413561747</v>
      </c>
      <c r="W306" s="23">
        <f>(SUMPRODUCT(W$9:W$229,Nutrients!$BW$8:$BW$228)+(IF($A$7=Nutrients!$B$8,Nutrients!$BW$8,Nutrients!$BW$9)*W$7)+(((IF($A$8=Nutrients!$B$79,Nutrients!$BW$79,(IF($A$8=Nutrients!$B$77,Nutrients!$BW$77,Nutrients!$BW$78)))))*W$8))/2000</f>
        <v>0.19797941670614247</v>
      </c>
      <c r="X306" s="23">
        <f>(SUMPRODUCT(X$9:X$229,Nutrients!$BW$8:$BW$228)+(IF($A$7=Nutrients!$B$8,Nutrients!$BW$8,Nutrients!$BW$9)*X$7)+(((IF($A$8=Nutrients!$B$79,Nutrients!$BW$79,(IF($A$8=Nutrients!$B$77,Nutrients!$BW$77,Nutrients!$BW$78)))))*X$8))/2000</f>
        <v>0.19534791883193384</v>
      </c>
      <c r="Y306" s="23">
        <f>(SUMPRODUCT(Y$9:Y$229,Nutrients!$BW$8:$BW$228)+(IF($A$7=Nutrients!$B$8,Nutrients!$BW$8,Nutrients!$BW$9)*Y$7)+(((IF($A$8=Nutrients!$B$79,Nutrients!$BW$79,(IF($A$8=Nutrients!$B$77,Nutrients!$BW$77,Nutrients!$BW$78)))))*Y$8))/2000</f>
        <v>0.19308241815282676</v>
      </c>
      <c r="Z306" s="23">
        <f>(SUMPRODUCT(Z$9:Z$229,Nutrients!$BW$8:$BW$228)+(IF($A$7=Nutrients!$B$8,Nutrients!$BW$8,Nutrients!$BW$9)*Z$7)+(((IF($A$8=Nutrients!$B$79,Nutrients!$BW$79,(IF($A$8=Nutrients!$B$77,Nutrients!$BW$77,Nutrients!$BW$78)))))*Z$8))/2000</f>
        <v>0.19090753067375563</v>
      </c>
      <c r="AA306" s="23">
        <f>(SUMPRODUCT(AA$9:AA$229,Nutrients!$BW$8:$BW$228)+(IF($A$7=Nutrients!$B$8,Nutrients!$BW$8,Nutrients!$BW$9)*AA$7)+(((IF($A$8=Nutrients!$B$79,Nutrients!$BW$79,(IF($A$8=Nutrients!$B$77,Nutrients!$BW$77,Nutrients!$BW$78)))))*AA$8))/2000</f>
        <v>0.18909246559606993</v>
      </c>
      <c r="AB306" s="23">
        <f>(SUMPRODUCT(AB$9:AB$229,Nutrients!$BW$8:$BW$228)+(IF($A$7=Nutrients!$B$8,Nutrients!$BW$8,Nutrients!$BW$9)*AB$7)+(((IF($A$8=Nutrients!$B$79,Nutrients!$BW$79,(IF($A$8=Nutrients!$B$77,Nutrients!$BW$77,Nutrients!$BW$78)))))*AB$8))/2000</f>
        <v>0.16577103413561747</v>
      </c>
      <c r="AD306" s="23">
        <f>(SUMPRODUCT(AD$9:AD$229,Nutrients!$BW$8:$BW$228)+(IF($A$7=Nutrients!$B$8,Nutrients!$BW$8,Nutrients!$BW$9)*AD$7)+(((IF($A$8=Nutrients!$B$79,Nutrients!$BW$79,(IF($A$8=Nutrients!$B$77,Nutrients!$BW$77,Nutrients!$BW$78)))))*AD$8))/2000</f>
        <v>0.20536684497012131</v>
      </c>
      <c r="AE306" s="23">
        <f>(SUMPRODUCT(AE$9:AE$229,Nutrients!$BW$8:$BW$228)+(IF($A$7=Nutrients!$B$8,Nutrients!$BW$8,Nutrients!$BW$9)*AE$7)+(((IF($A$8=Nutrients!$B$79,Nutrients!$BW$79,(IF($A$8=Nutrients!$B$77,Nutrients!$BW$77,Nutrients!$BW$78)))))*AE$8))/2000</f>
        <v>0.20272659264021414</v>
      </c>
      <c r="AF306" s="23">
        <f>(SUMPRODUCT(AF$9:AF$229,Nutrients!$BW$8:$BW$228)+(IF($A$7=Nutrients!$B$8,Nutrients!$BW$8,Nutrients!$BW$9)*AF$7)+(((IF($A$8=Nutrients!$B$79,Nutrients!$BW$79,(IF($A$8=Nutrients!$B$77,Nutrients!$BW$77,Nutrients!$BW$78)))))*AF$8))/2000</f>
        <v>0.20049048598481142</v>
      </c>
      <c r="AG306" s="23">
        <f>(SUMPRODUCT(AG$9:AG$229,Nutrients!$BW$8:$BW$228)+(IF($A$7=Nutrients!$B$8,Nutrients!$BW$8,Nutrients!$BW$9)*AG$7)+(((IF($A$8=Nutrients!$B$79,Nutrients!$BW$79,(IF($A$8=Nutrients!$B$77,Nutrients!$BW$77,Nutrients!$BW$78)))))*AG$8))/2000</f>
        <v>0.19833719986561096</v>
      </c>
      <c r="AH306" s="23">
        <f>(SUMPRODUCT(AH$9:AH$229,Nutrients!$BW$8:$BW$228)+(IF($A$7=Nutrients!$B$8,Nutrients!$BW$8,Nutrients!$BW$9)*AH$7)+(((IF($A$8=Nutrients!$B$79,Nutrients!$BW$79,(IF($A$8=Nutrients!$B$77,Nutrients!$BW$77,Nutrients!$BW$78)))))*AH$8))/2000</f>
        <v>0.19662249518317662</v>
      </c>
      <c r="AI306" s="23">
        <f>(SUMPRODUCT(AI$9:AI$229,Nutrients!$BW$8:$BW$228)+(IF($A$7=Nutrients!$B$8,Nutrients!$BW$8,Nutrients!$BW$9)*AI$7)+(((IF($A$8=Nutrients!$B$79,Nutrients!$BW$79,(IF($A$8=Nutrients!$B$77,Nutrients!$BW$77,Nutrients!$BW$78)))))*AI$8))/2000</f>
        <v>0.16577103413561747</v>
      </c>
      <c r="AK306" s="23">
        <f>(SUMPRODUCT(AK$9:AK$229,Nutrients!$BW$8:$BW$228)+(IF($A$7=Nutrients!$B$8,Nutrients!$BW$8,Nutrients!$BW$9)*AK$7)+(((IF($A$8=Nutrients!$B$79,Nutrients!$BW$79,(IF($A$8=Nutrients!$B$77,Nutrients!$BW$77,Nutrients!$BW$78)))))*AK$8))/2000</f>
        <v>0.21276273423851211</v>
      </c>
      <c r="AL306" s="23">
        <f>(SUMPRODUCT(AL$9:AL$229,Nutrients!$BW$8:$BW$228)+(IF($A$7=Nutrients!$B$8,Nutrients!$BW$8,Nutrients!$BW$9)*AL$7)+(((IF($A$8=Nutrients!$B$79,Nutrients!$BW$79,(IF($A$8=Nutrients!$B$77,Nutrients!$BW$77,Nutrients!$BW$78)))))*AL$8))/2000</f>
        <v>0.21011524520387345</v>
      </c>
      <c r="AM306" s="23">
        <f>(SUMPRODUCT(AM$9:AM$229,Nutrients!$BW$8:$BW$228)+(IF($A$7=Nutrients!$B$8,Nutrients!$BW$8,Nutrients!$BW$9)*AM$7)+(((IF($A$8=Nutrients!$B$79,Nutrients!$BW$79,(IF($A$8=Nutrients!$B$77,Nutrients!$BW$77,Nutrients!$BW$78)))))*AM$8))/2000</f>
        <v>0.20790154159840904</v>
      </c>
      <c r="AN306" s="23">
        <f>(SUMPRODUCT(AN$9:AN$229,Nutrients!$BW$8:$BW$228)+(IF($A$7=Nutrients!$B$8,Nutrients!$BW$8,Nutrients!$BW$9)*AN$7)+(((IF($A$8=Nutrients!$B$79,Nutrients!$BW$79,(IF($A$8=Nutrients!$B$77,Nutrients!$BW$77,Nutrients!$BW$78)))))*AN$8))/2000</f>
        <v>0.20583697985827978</v>
      </c>
      <c r="AO306" s="23">
        <f>(SUMPRODUCT(AO$9:AO$229,Nutrients!$BW$8:$BW$228)+(IF($A$7=Nutrients!$B$8,Nutrients!$BW$8,Nutrients!$BW$9)*AO$7)+(((IF($A$8=Nutrients!$B$79,Nutrients!$BW$79,(IF($A$8=Nutrients!$B$77,Nutrients!$BW$77,Nutrients!$BW$78)))))*AO$8))/2000</f>
        <v>0.20418449631842439</v>
      </c>
      <c r="AP306" s="23">
        <f>(SUMPRODUCT(AP$9:AP$229,Nutrients!$BW$8:$BW$228)+(IF($A$7=Nutrients!$B$8,Nutrients!$BW$8,Nutrients!$BW$9)*AP$7)+(((IF($A$8=Nutrients!$B$79,Nutrients!$BW$79,(IF($A$8=Nutrients!$B$77,Nutrients!$BW$77,Nutrients!$BW$78)))))*AP$8))/2000</f>
        <v>0.16577103413561747</v>
      </c>
      <c r="AR306" s="23">
        <f>(SUMPRODUCT(AR$9:AR$229,Nutrients!$BW$8:$BW$228)+(IF($A$7=Nutrients!$B$8,Nutrients!$BW$8,Nutrients!$BW$9)*AR$7)+(((IF($A$8=Nutrients!$B$79,Nutrients!$BW$79,(IF($A$8=Nutrients!$B$77,Nutrients!$BW$77,Nutrients!$BW$78)))))*AR$8))/2000</f>
        <v>0.22022324135223351</v>
      </c>
      <c r="AS306" s="23">
        <f>(SUMPRODUCT(AS$9:AS$229,Nutrients!$BW$8:$BW$228)+(IF($A$7=Nutrients!$B$8,Nutrients!$BW$8,Nutrients!$BW$9)*AS$7)+(((IF($A$8=Nutrients!$B$79,Nutrients!$BW$79,(IF($A$8=Nutrients!$B$77,Nutrients!$BW$77,Nutrients!$BW$78)))))*AS$8))/2000</f>
        <v>0.21750280797955365</v>
      </c>
      <c r="AT306" s="23">
        <f>(SUMPRODUCT(AT$9:AT$229,Nutrients!$BW$8:$BW$228)+(IF($A$7=Nutrients!$B$8,Nutrients!$BW$8,Nutrients!$BW$9)*AT$7)+(((IF($A$8=Nutrients!$B$79,Nutrients!$BW$79,(IF($A$8=Nutrients!$B$77,Nutrients!$BW$77,Nutrients!$BW$78)))))*AT$8))/2000</f>
        <v>0.21531888015406664</v>
      </c>
      <c r="AU306" s="23">
        <f>(SUMPRODUCT(AU$9:AU$229,Nutrients!$BW$8:$BW$228)+(IF($A$7=Nutrients!$B$8,Nutrients!$BW$8,Nutrients!$BW$9)*AU$7)+(((IF($A$8=Nutrients!$B$79,Nutrients!$BW$79,(IF($A$8=Nutrients!$B$77,Nutrients!$BW$77,Nutrients!$BW$78)))))*AU$8))/2000</f>
        <v>0.21338843002624167</v>
      </c>
      <c r="AV306" s="23">
        <f>(SUMPRODUCT(AV$9:AV$229,Nutrients!$BW$8:$BW$228)+(IF($A$7=Nutrients!$B$8,Nutrients!$BW$8,Nutrients!$BW$9)*AV$7)+(((IF($A$8=Nutrients!$B$79,Nutrients!$BW$79,(IF($A$8=Nutrients!$B$77,Nutrients!$BW$77,Nutrients!$BW$78)))))*AV$8))/2000</f>
        <v>0.21174666555825902</v>
      </c>
      <c r="AW306" s="23">
        <f>(SUMPRODUCT(AW$9:AW$229,Nutrients!$BW$8:$BW$228)+(IF($A$7=Nutrients!$B$8,Nutrients!$BW$8,Nutrients!$BW$9)*AW$7)+(((IF($A$8=Nutrients!$B$79,Nutrients!$BW$79,(IF($A$8=Nutrients!$B$77,Nutrients!$BW$77,Nutrients!$BW$78)))))*AW$8))/2000</f>
        <v>0.16577103413561747</v>
      </c>
    </row>
    <row r="307" spans="1:49" x14ac:dyDescent="0.25">
      <c r="A307" t="s">
        <v>66</v>
      </c>
      <c r="B307" s="23">
        <f>(SUMPRODUCT(B$9:B$229,Nutrients!$BT$8:$BT$228)+(IF($A$7=Nutrients!$B$8,Nutrients!$BT$8,Nutrients!$BT$9)*B$7)+(((IF($A$8=Nutrients!$B$79,Nutrients!$BT$79,(IF($A$8=Nutrients!$B$77,Nutrients!$BT$77,Nutrients!$BT$78)))))*B$8))/2000</f>
        <v>0.34074334390126987</v>
      </c>
      <c r="C307" s="23">
        <f>(SUMPRODUCT(C$9:C$229,Nutrients!$BT$8:$BT$228)+(IF($A$7=Nutrients!$B$8,Nutrients!$BT$8,Nutrients!$BT$9)*C$7)+(((IF($A$8=Nutrients!$B$79,Nutrients!$BT$79,(IF($A$8=Nutrients!$B$77,Nutrients!$BT$77,Nutrients!$BT$78)))))*C$8))/2000</f>
        <v>0.33141446527128632</v>
      </c>
      <c r="D307" s="23">
        <f>(SUMPRODUCT(D$9:D$229,Nutrients!$BT$8:$BT$228)+(IF($A$7=Nutrients!$B$8,Nutrients!$BT$8,Nutrients!$BT$9)*D$7)+(((IF($A$8=Nutrients!$B$79,Nutrients!$BT$79,(IF($A$8=Nutrients!$B$77,Nutrients!$BT$77,Nutrients!$BT$78)))))*D$8))/2000</f>
        <v>0.32208201141013715</v>
      </c>
      <c r="E307" s="23">
        <f>(SUMPRODUCT(E$9:E$229,Nutrients!$BT$8:$BT$228)+(IF($A$7=Nutrients!$B$8,Nutrients!$BT$8,Nutrients!$BT$9)*E$7)+(((IF($A$8=Nutrients!$B$79,Nutrients!$BT$79,(IF($A$8=Nutrients!$B$77,Nutrients!$BT$77,Nutrients!$BT$78)))))*E$8))/2000</f>
        <v>0.31765998822682556</v>
      </c>
      <c r="F307" s="23">
        <f>(SUMPRODUCT(F$9:F$229,Nutrients!$BT$8:$BT$228)+(IF($A$7=Nutrients!$B$8,Nutrients!$BT$8,Nutrients!$BT$9)*F$7)+(((IF($A$8=Nutrients!$B$79,Nutrients!$BT$79,(IF($A$8=Nutrients!$B$77,Nutrients!$BT$77,Nutrients!$BT$78)))))*F$8))/2000</f>
        <v>0.31776531917662576</v>
      </c>
      <c r="G307" s="23">
        <f>(SUMPRODUCT(G$9:G$229,Nutrients!$BT$8:$BT$228)+(IF($A$7=Nutrients!$B$8,Nutrients!$BT$8,Nutrients!$BT$9)*G$7)+(((IF($A$8=Nutrients!$B$79,Nutrients!$BT$79,(IF($A$8=Nutrients!$B$77,Nutrients!$BT$77,Nutrients!$BT$78)))))*G$8))/2000</f>
        <v>0.31780178721106933</v>
      </c>
      <c r="H307" s="227"/>
      <c r="I307" s="23">
        <f>(SUMPRODUCT(I$9:I$229,Nutrients!$BT$8:$BT$228)+(IF($A$7=Nutrients!$B$8,Nutrients!$BT$8,Nutrients!$BT$9)*I$7)+(((IF($A$8=Nutrients!$B$79,Nutrients!$BT$79,(IF($A$8=Nutrients!$B$77,Nutrients!$BT$77,Nutrients!$BT$78)))))*I$8))/2000</f>
        <v>0.35239636713024375</v>
      </c>
      <c r="J307" s="23">
        <f>(SUMPRODUCT(J$9:J$229,Nutrients!$BT$8:$BT$228)+(IF($A$7=Nutrients!$B$8,Nutrients!$BT$8,Nutrients!$BT$9)*J$7)+(((IF($A$8=Nutrients!$B$79,Nutrients!$BT$79,(IF($A$8=Nutrients!$B$77,Nutrients!$BT$77,Nutrients!$BT$78)))))*J$8))/2000</f>
        <v>0.34306325575935631</v>
      </c>
      <c r="K307" s="23">
        <f>(SUMPRODUCT(K$9:K$229,Nutrients!$BT$8:$BT$228)+(IF($A$7=Nutrients!$B$8,Nutrients!$BT$8,Nutrients!$BT$9)*K$7)+(((IF($A$8=Nutrients!$B$79,Nutrients!$BT$79,(IF($A$8=Nutrients!$B$77,Nutrients!$BT$77,Nutrients!$BT$78)))))*K$8))/2000</f>
        <v>0.33373012786126527</v>
      </c>
      <c r="L307" s="23">
        <f>(SUMPRODUCT(L$9:L$229,Nutrients!$BT$8:$BT$228)+(IF($A$7=Nutrients!$B$8,Nutrients!$BT$8,Nutrients!$BT$9)*L$7)+(((IF($A$8=Nutrients!$B$79,Nutrients!$BT$79,(IF($A$8=Nutrients!$B$77,Nutrients!$BT$77,Nutrients!$BT$78)))))*L$8))/2000</f>
        <v>0.32930750985242252</v>
      </c>
      <c r="M307" s="23">
        <f>(SUMPRODUCT(M$9:M$229,Nutrients!$BT$8:$BT$228)+(IF($A$7=Nutrients!$B$8,Nutrients!$BT$8,Nutrients!$BT$9)*M$7)+(((IF($A$8=Nutrients!$B$79,Nutrients!$BT$79,(IF($A$8=Nutrients!$B$77,Nutrients!$BT$77,Nutrients!$BT$78)))))*M$8))/2000</f>
        <v>0.32941434344457726</v>
      </c>
      <c r="N307" s="23">
        <f>(SUMPRODUCT(N$9:N$229,Nutrients!$BT$8:$BT$228)+(IF($A$7=Nutrients!$B$8,Nutrients!$BT$8,Nutrients!$BT$9)*N$7)+(((IF($A$8=Nutrients!$B$79,Nutrients!$BT$79,(IF($A$8=Nutrients!$B$77,Nutrients!$BT$77,Nutrients!$BT$78)))))*N$8))/2000</f>
        <v>0.31780178721106933</v>
      </c>
      <c r="O307" s="198"/>
      <c r="P307" s="23">
        <f>(SUMPRODUCT(P$9:P$229,Nutrients!$BT$8:$BT$228)+(IF($A$7=Nutrients!$B$8,Nutrients!$BT$8,Nutrients!$BT$9)*P$7)+(((IF($A$8=Nutrients!$B$79,Nutrients!$BT$79,(IF($A$8=Nutrients!$B$77,Nutrients!$BT$77,Nutrients!$BT$78)))))*P$8))/2000</f>
        <v>0.36404643714426255</v>
      </c>
      <c r="Q307" s="23">
        <f>(SUMPRODUCT(Q$9:Q$229,Nutrients!$BT$8:$BT$228)+(IF($A$7=Nutrients!$B$8,Nutrients!$BT$8,Nutrients!$BT$9)*Q$7)+(((IF($A$8=Nutrients!$B$79,Nutrients!$BT$79,(IF($A$8=Nutrients!$B$77,Nutrients!$BT$77,Nutrients!$BT$78)))))*Q$8))/2000</f>
        <v>0.35470970876145158</v>
      </c>
      <c r="R307" s="23">
        <f>(SUMPRODUCT(R$9:R$229,Nutrients!$BT$8:$BT$228)+(IF($A$7=Nutrients!$B$8,Nutrients!$BT$8,Nutrients!$BT$9)*R$7)+(((IF($A$8=Nutrients!$B$79,Nutrients!$BT$79,(IF($A$8=Nutrients!$B$77,Nutrients!$BT$77,Nutrients!$BT$78)))))*R$8))/2000</f>
        <v>0.34537646218322793</v>
      </c>
      <c r="S307" s="23">
        <f>(SUMPRODUCT(S$9:S$229,Nutrients!$BT$8:$BT$228)+(IF($A$7=Nutrients!$B$8,Nutrients!$BT$8,Nutrients!$BT$9)*S$7)+(((IF($A$8=Nutrients!$B$79,Nutrients!$BT$79,(IF($A$8=Nutrients!$B$77,Nutrients!$BT$77,Nutrients!$BT$78)))))*S$8))/2000</f>
        <v>0.34095282997677101</v>
      </c>
      <c r="T307" s="23">
        <f>(SUMPRODUCT(T$9:T$229,Nutrients!$BT$8:$BT$228)+(IF($A$7=Nutrients!$B$8,Nutrients!$BT$8,Nutrients!$BT$9)*T$7)+(((IF($A$8=Nutrients!$B$79,Nutrients!$BT$79,(IF($A$8=Nutrients!$B$77,Nutrients!$BT$77,Nutrients!$BT$78)))))*T$8))/2000</f>
        <v>0.3410587600601066</v>
      </c>
      <c r="U307" s="23">
        <f>(SUMPRODUCT(U$9:U$229,Nutrients!$BT$8:$BT$228)+(IF($A$7=Nutrients!$B$8,Nutrients!$BT$8,Nutrients!$BT$9)*U$7)+(((IF($A$8=Nutrients!$B$79,Nutrients!$BT$79,(IF($A$8=Nutrients!$B$77,Nutrients!$BT$77,Nutrients!$BT$78)))))*U$8))/2000</f>
        <v>0.31780178721106933</v>
      </c>
      <c r="W307" s="23">
        <f>(SUMPRODUCT(W$9:W$229,Nutrients!$BT$8:$BT$228)+(IF($A$7=Nutrients!$B$8,Nutrients!$BT$8,Nutrients!$BT$9)*W$7)+(((IF($A$8=Nutrients!$B$79,Nutrients!$BT$79,(IF($A$8=Nutrients!$B$77,Nutrients!$BT$77,Nutrients!$BT$78)))))*W$8))/2000</f>
        <v>0.37569521683199403</v>
      </c>
      <c r="X307" s="23">
        <f>(SUMPRODUCT(X$9:X$229,Nutrients!$BT$8:$BT$228)+(IF($A$7=Nutrients!$B$8,Nutrients!$BT$8,Nutrients!$BT$9)*X$7)+(((IF($A$8=Nutrients!$B$79,Nutrients!$BT$79,(IF($A$8=Nutrients!$B$77,Nutrients!$BT$77,Nutrients!$BT$78)))))*X$8))/2000</f>
        <v>0.36635694467568641</v>
      </c>
      <c r="Y307" s="23">
        <f>(SUMPRODUCT(Y$9:Y$229,Nutrients!$BT$8:$BT$228)+(IF($A$7=Nutrients!$B$8,Nutrients!$BT$8,Nutrients!$BT$9)*Y$7)+(((IF($A$8=Nutrients!$B$79,Nutrients!$BT$79,(IF($A$8=Nutrients!$B$77,Nutrients!$BT$77,Nutrients!$BT$78)))))*Y$8))/2000</f>
        <v>0.35702190207867263</v>
      </c>
      <c r="Z307" s="23">
        <f>(SUMPRODUCT(Z$9:Z$229,Nutrients!$BT$8:$BT$228)+(IF($A$7=Nutrients!$B$8,Nutrients!$BT$8,Nutrients!$BT$9)*Z$7)+(((IF($A$8=Nutrients!$B$79,Nutrients!$BT$79,(IF($A$8=Nutrients!$B$77,Nutrients!$BT$77,Nutrients!$BT$78)))))*Z$8))/2000</f>
        <v>0.35259535127605518</v>
      </c>
      <c r="AA307" s="23">
        <f>(SUMPRODUCT(AA$9:AA$229,Nutrients!$BT$8:$BT$228)+(IF($A$7=Nutrients!$B$8,Nutrients!$BT$8,Nutrients!$BT$9)*AA$7)+(((IF($A$8=Nutrients!$B$79,Nutrients!$BT$79,(IF($A$8=Nutrients!$B$77,Nutrients!$BT$77,Nutrients!$BT$78)))))*AA$8))/2000</f>
        <v>0.35269481185475721</v>
      </c>
      <c r="AB307" s="23">
        <f>(SUMPRODUCT(AB$9:AB$229,Nutrients!$BT$8:$BT$228)+(IF($A$7=Nutrients!$B$8,Nutrients!$BT$8,Nutrients!$BT$9)*AB$7)+(((IF($A$8=Nutrients!$B$79,Nutrients!$BT$79,(IF($A$8=Nutrients!$B$77,Nutrients!$BT$77,Nutrients!$BT$78)))))*AB$8))/2000</f>
        <v>0.31780178721106933</v>
      </c>
      <c r="AD307" s="23">
        <f>(SUMPRODUCT(AD$9:AD$229,Nutrients!$BT$8:$BT$228)+(IF($A$7=Nutrients!$B$8,Nutrients!$BT$8,Nutrients!$BT$9)*AD$7)+(((IF($A$8=Nutrients!$B$79,Nutrients!$BT$79,(IF($A$8=Nutrients!$B$77,Nutrients!$BT$77,Nutrients!$BT$78)))))*AD$8))/2000</f>
        <v>0.38734221458972123</v>
      </c>
      <c r="AE307" s="23">
        <f>(SUMPRODUCT(AE$9:AE$229,Nutrients!$BT$8:$BT$228)+(IF($A$7=Nutrients!$B$8,Nutrients!$BT$8,Nutrients!$BT$9)*AE$7)+(((IF($A$8=Nutrients!$B$79,Nutrients!$BT$79,(IF($A$8=Nutrients!$B$77,Nutrients!$BT$77,Nutrients!$BT$78)))))*AE$8))/2000</f>
        <v>0.37800313801756585</v>
      </c>
      <c r="AF307" s="23">
        <f>(SUMPRODUCT(AF$9:AF$229,Nutrients!$BT$8:$BT$228)+(IF($A$7=Nutrients!$B$8,Nutrients!$BT$8,Nutrients!$BT$9)*AF$7)+(((IF($A$8=Nutrients!$B$79,Nutrients!$BT$79,(IF($A$8=Nutrients!$B$77,Nutrients!$BT$77,Nutrients!$BT$78)))))*AF$8))/2000</f>
        <v>0.36866456094813954</v>
      </c>
      <c r="AG307" s="23">
        <f>(SUMPRODUCT(AG$9:AG$229,Nutrients!$BT$8:$BT$228)+(IF($A$7=Nutrients!$B$8,Nutrients!$BT$8,Nutrients!$BT$9)*AG$7)+(((IF($A$8=Nutrients!$B$79,Nutrients!$BT$79,(IF($A$8=Nutrients!$B$77,Nutrients!$BT$77,Nutrients!$BT$78)))))*AG$8))/2000</f>
        <v>0.3642307611699207</v>
      </c>
      <c r="AH307" s="23">
        <f>(SUMPRODUCT(AH$9:AH$229,Nutrients!$BT$8:$BT$228)+(IF($A$7=Nutrients!$B$8,Nutrients!$BT$8,Nutrients!$BT$9)*AH$7)+(((IF($A$8=Nutrients!$B$79,Nutrients!$BT$79,(IF($A$8=Nutrients!$B$77,Nutrients!$BT$77,Nutrients!$BT$78)))))*AH$8))/2000</f>
        <v>0.36430095287529396</v>
      </c>
      <c r="AI307" s="23">
        <f>(SUMPRODUCT(AI$9:AI$229,Nutrients!$BT$8:$BT$228)+(IF($A$7=Nutrients!$B$8,Nutrients!$BT$8,Nutrients!$BT$9)*AI$7)+(((IF($A$8=Nutrients!$B$79,Nutrients!$BT$79,(IF($A$8=Nutrients!$B$77,Nutrients!$BT$77,Nutrients!$BT$78)))))*AI$8))/2000</f>
        <v>0.31780178721106933</v>
      </c>
      <c r="AK307" s="23">
        <f>(SUMPRODUCT(AK$9:AK$229,Nutrients!$BT$8:$BT$228)+(IF($A$7=Nutrients!$B$8,Nutrients!$BT$8,Nutrients!$BT$9)*AK$7)+(((IF($A$8=Nutrients!$B$79,Nutrients!$BT$79,(IF($A$8=Nutrients!$B$77,Nutrients!$BT$77,Nutrients!$BT$78)))))*AK$8))/2000</f>
        <v>0.39898847564090234</v>
      </c>
      <c r="AL307" s="23">
        <f>(SUMPRODUCT(AL$9:AL$229,Nutrients!$BT$8:$BT$228)+(IF($A$7=Nutrients!$B$8,Nutrients!$BT$8,Nutrients!$BT$9)*AL$7)+(((IF($A$8=Nutrients!$B$79,Nutrients!$BT$79,(IF($A$8=Nutrients!$B$77,Nutrients!$BT$77,Nutrients!$BT$78)))))*AL$8))/2000</f>
        <v>0.3896508269252057</v>
      </c>
      <c r="AM307" s="23">
        <f>(SUMPRODUCT(AM$9:AM$229,Nutrients!$BT$8:$BT$228)+(IF($A$7=Nutrients!$B$8,Nutrients!$BT$8,Nutrients!$BT$9)*AM$7)+(((IF($A$8=Nutrients!$B$79,Nutrients!$BT$79,(IF($A$8=Nutrients!$B$77,Nutrients!$BT$77,Nutrients!$BT$78)))))*AM$8))/2000</f>
        <v>0.380304471689969</v>
      </c>
      <c r="AN307" s="23">
        <f>(SUMPRODUCT(AN$9:AN$229,Nutrients!$BT$8:$BT$228)+(IF($A$7=Nutrients!$B$8,Nutrients!$BT$8,Nutrients!$BT$9)*AN$7)+(((IF($A$8=Nutrients!$B$79,Nutrients!$BT$79,(IF($A$8=Nutrients!$B$77,Nutrients!$BT$77,Nutrients!$BT$78)))))*AN$8))/2000</f>
        <v>0.37584327572448922</v>
      </c>
      <c r="AO307" s="23">
        <f>(SUMPRODUCT(AO$9:AO$229,Nutrients!$BT$8:$BT$228)+(IF($A$7=Nutrients!$B$8,Nutrients!$BT$8,Nutrients!$BT$9)*AO$7)+(((IF($A$8=Nutrients!$B$79,Nutrients!$BT$79,(IF($A$8=Nutrients!$B$77,Nutrients!$BT$77,Nutrients!$BT$78)))))*AO$8))/2000</f>
        <v>0.37589681135371272</v>
      </c>
      <c r="AP307" s="23">
        <f>(SUMPRODUCT(AP$9:AP$229,Nutrients!$BT$8:$BT$228)+(IF($A$7=Nutrients!$B$8,Nutrients!$BT$8,Nutrients!$BT$9)*AP$7)+(((IF($A$8=Nutrients!$B$79,Nutrients!$BT$79,(IF($A$8=Nutrients!$B$77,Nutrients!$BT$77,Nutrients!$BT$78)))))*AP$8))/2000</f>
        <v>0.31780178721106933</v>
      </c>
      <c r="AR307" s="23">
        <f>(SUMPRODUCT(AR$9:AR$229,Nutrients!$BT$8:$BT$228)+(IF($A$7=Nutrients!$B$8,Nutrients!$BT$8,Nutrients!$BT$9)*AR$7)+(((IF($A$8=Nutrients!$B$79,Nutrients!$BT$79,(IF($A$8=Nutrients!$B$77,Nutrients!$BT$77,Nutrients!$BT$78)))))*AR$8))/2000</f>
        <v>0.41063436961349259</v>
      </c>
      <c r="AS307" s="23">
        <f>(SUMPRODUCT(AS$9:AS$229,Nutrients!$BT$8:$BT$228)+(IF($A$7=Nutrients!$B$8,Nutrients!$BT$8,Nutrients!$BT$9)*AS$7)+(((IF($A$8=Nutrients!$B$79,Nutrients!$BT$79,(IF($A$8=Nutrients!$B$77,Nutrients!$BT$77,Nutrients!$BT$78)))))*AS$8))/2000</f>
        <v>0.40129433087894434</v>
      </c>
      <c r="AT307" s="23">
        <f>(SUMPRODUCT(AT$9:AT$229,Nutrients!$BT$8:$BT$228)+(IF($A$7=Nutrients!$B$8,Nutrients!$BT$8,Nutrients!$BT$9)*AT$7)+(((IF($A$8=Nutrients!$B$79,Nutrients!$BT$79,(IF($A$8=Nutrients!$B$77,Nutrients!$BT$77,Nutrients!$BT$78)))))*AT$8))/2000</f>
        <v>0.39194051973495486</v>
      </c>
      <c r="AU307" s="23">
        <f>(SUMPRODUCT(AU$9:AU$229,Nutrients!$BT$8:$BT$228)+(IF($A$7=Nutrients!$B$8,Nutrients!$BT$8,Nutrients!$BT$9)*AU$7)+(((IF($A$8=Nutrients!$B$79,Nutrients!$BT$79,(IF($A$8=Nutrients!$B$77,Nutrients!$BT$77,Nutrients!$BT$78)))))*AU$8))/2000</f>
        <v>0.38743914527695067</v>
      </c>
      <c r="AV307" s="23">
        <f>(SUMPRODUCT(AV$9:AV$229,Nutrients!$BT$8:$BT$228)+(IF($A$7=Nutrients!$B$8,Nutrients!$BT$8,Nutrients!$BT$9)*AV$7)+(((IF($A$8=Nutrients!$B$79,Nutrients!$BT$79,(IF($A$8=Nutrients!$B$77,Nutrients!$BT$77,Nutrients!$BT$78)))))*AV$8))/2000</f>
        <v>0.38749266588755532</v>
      </c>
      <c r="AW307" s="23">
        <f>(SUMPRODUCT(AW$9:AW$229,Nutrients!$BT$8:$BT$228)+(IF($A$7=Nutrients!$B$8,Nutrients!$BT$8,Nutrients!$BT$9)*AW$7)+(((IF($A$8=Nutrients!$B$79,Nutrients!$BT$79,(IF($A$8=Nutrients!$B$77,Nutrients!$BT$77,Nutrients!$BT$78)))))*AW$8))/2000</f>
        <v>0.31780178721106933</v>
      </c>
    </row>
    <row r="308" spans="1:49" x14ac:dyDescent="0.25">
      <c r="A308" t="s">
        <v>67</v>
      </c>
      <c r="B308" s="23">
        <f>(SUMPRODUCT(B$9:B$229,Nutrients!$BU$8:$BU$228)+(IF($A$7=Nutrients!$B$8,Nutrients!$BU$8,Nutrients!$BU$9)*B$7)+(((IF($A$8=Nutrients!$B$79,Nutrients!$BU$79,(IF($A$8=Nutrients!$B$77,Nutrients!$BU$77,Nutrients!$BU$78)))))*B$8))/2000</f>
        <v>0.82299889398162063</v>
      </c>
      <c r="C308" s="23">
        <f>(SUMPRODUCT(C$9:C$229,Nutrients!$BU$8:$BU$228)+(IF($A$7=Nutrients!$B$8,Nutrients!$BU$8,Nutrients!$BU$9)*C$7)+(((IF($A$8=Nutrients!$B$79,Nutrients!$BU$79,(IF($A$8=Nutrients!$B$77,Nutrients!$BU$77,Nutrients!$BU$78)))))*C$8))/2000</f>
        <v>0.74655886728664078</v>
      </c>
      <c r="D308" s="23">
        <f>(SUMPRODUCT(D$9:D$229,Nutrients!$BU$8:$BU$228)+(IF($A$7=Nutrients!$B$8,Nutrients!$BU$8,Nutrients!$BU$9)*D$7)+(((IF($A$8=Nutrients!$B$79,Nutrients!$BU$79,(IF($A$8=Nutrients!$B$77,Nutrients!$BU$77,Nutrients!$BU$78)))))*D$8))/2000</f>
        <v>0.68235096300443021</v>
      </c>
      <c r="E308" s="23">
        <f>(SUMPRODUCT(E$9:E$229,Nutrients!$BU$8:$BU$228)+(IF($A$7=Nutrients!$B$8,Nutrients!$BU$8,Nutrients!$BU$9)*E$7)+(((IF($A$8=Nutrients!$B$79,Nutrients!$BU$79,(IF($A$8=Nutrients!$B$77,Nutrients!$BU$77,Nutrients!$BU$78)))))*E$8))/2000</f>
        <v>0.61832324439114794</v>
      </c>
      <c r="F308" s="23">
        <f>(SUMPRODUCT(F$9:F$229,Nutrients!$BU$8:$BU$228)+(IF($A$7=Nutrients!$B$8,Nutrients!$BU$8,Nutrients!$BU$9)*F$7)+(((IF($A$8=Nutrients!$B$79,Nutrients!$BU$79,(IF($A$8=Nutrients!$B$77,Nutrients!$BU$77,Nutrients!$BU$78)))))*F$8))/2000</f>
        <v>0.5641190327748159</v>
      </c>
      <c r="G308" s="23">
        <f>(SUMPRODUCT(G$9:G$229,Nutrients!$BU$8:$BU$228)+(IF($A$7=Nutrients!$B$8,Nutrients!$BU$8,Nutrients!$BU$9)*G$7)+(((IF($A$8=Nutrients!$B$79,Nutrients!$BU$79,(IF($A$8=Nutrients!$B$77,Nutrients!$BU$77,Nutrients!$BU$78)))))*G$8))/2000</f>
        <v>0.53408892433970367</v>
      </c>
      <c r="H308" s="227"/>
      <c r="I308" s="23">
        <f>(SUMPRODUCT(I$9:I$229,Nutrients!$BU$8:$BU$228)+(IF($A$7=Nutrients!$B$8,Nutrients!$BU$8,Nutrients!$BU$9)*I$7)+(((IF($A$8=Nutrients!$B$79,Nutrients!$BU$79,(IF($A$8=Nutrients!$B$77,Nutrients!$BU$77,Nutrients!$BU$78)))))*I$8))/2000</f>
        <v>0.81965437437059241</v>
      </c>
      <c r="J308" s="23">
        <f>(SUMPRODUCT(J$9:J$229,Nutrients!$BU$8:$BU$228)+(IF($A$7=Nutrients!$B$8,Nutrients!$BU$8,Nutrients!$BU$9)*J$7)+(((IF($A$8=Nutrients!$B$79,Nutrients!$BU$79,(IF($A$8=Nutrients!$B$77,Nutrients!$BU$77,Nutrients!$BU$78)))))*J$8))/2000</f>
        <v>0.74435254874252699</v>
      </c>
      <c r="K308" s="23">
        <f>(SUMPRODUCT(K$9:K$229,Nutrients!$BU$8:$BU$228)+(IF($A$7=Nutrients!$B$8,Nutrients!$BU$8,Nutrients!$BU$9)*K$7)+(((IF($A$8=Nutrients!$B$79,Nutrients!$BU$79,(IF($A$8=Nutrients!$B$77,Nutrients!$BU$77,Nutrients!$BU$78)))))*K$8))/2000</f>
        <v>0.68107417499789247</v>
      </c>
      <c r="L308" s="23">
        <f>(SUMPRODUCT(L$9:L$229,Nutrients!$BU$8:$BU$228)+(IF($A$7=Nutrients!$B$8,Nutrients!$BU$8,Nutrients!$BU$9)*L$7)+(((IF($A$8=Nutrients!$B$79,Nutrients!$BU$79,(IF($A$8=Nutrients!$B$77,Nutrients!$BU$77,Nutrients!$BU$78)))))*L$8))/2000</f>
        <v>0.61767504769545212</v>
      </c>
      <c r="M308" s="23">
        <f>(SUMPRODUCT(M$9:M$229,Nutrients!$BU$8:$BU$228)+(IF($A$7=Nutrients!$B$8,Nutrients!$BU$8,Nutrients!$BU$9)*M$7)+(((IF($A$8=Nutrients!$B$79,Nutrients!$BU$79,(IF($A$8=Nutrients!$B$77,Nutrients!$BU$77,Nutrients!$BU$78)))))*M$8))/2000</f>
        <v>0.563431512991595</v>
      </c>
      <c r="N308" s="23">
        <f>(SUMPRODUCT(N$9:N$229,Nutrients!$BU$8:$BU$228)+(IF($A$7=Nutrients!$B$8,Nutrients!$BU$8,Nutrients!$BU$9)*N$7)+(((IF($A$8=Nutrients!$B$79,Nutrients!$BU$79,(IF($A$8=Nutrients!$B$77,Nutrients!$BU$77,Nutrients!$BU$78)))))*N$8))/2000</f>
        <v>0.53408892433970367</v>
      </c>
      <c r="O308" s="198"/>
      <c r="P308" s="23">
        <f>(SUMPRODUCT(P$9:P$229,Nutrients!$BU$8:$BU$228)+(IF($A$7=Nutrients!$B$8,Nutrients!$BU$8,Nutrients!$BU$9)*P$7)+(((IF($A$8=Nutrients!$B$79,Nutrients!$BU$79,(IF($A$8=Nutrients!$B$77,Nutrients!$BU$77,Nutrients!$BU$78)))))*P$8))/2000</f>
        <v>0.81777664095488534</v>
      </c>
      <c r="Q308" s="23">
        <f>(SUMPRODUCT(Q$9:Q$229,Nutrients!$BU$8:$BU$228)+(IF($A$7=Nutrients!$B$8,Nutrients!$BU$8,Nutrients!$BU$9)*Q$7)+(((IF($A$8=Nutrients!$B$79,Nutrients!$BU$79,(IF($A$8=Nutrients!$B$77,Nutrients!$BU$77,Nutrients!$BU$78)))))*Q$8))/2000</f>
        <v>0.74315548552894917</v>
      </c>
      <c r="R308" s="23">
        <f>(SUMPRODUCT(R$9:R$229,Nutrients!$BU$8:$BU$228)+(IF($A$7=Nutrients!$B$8,Nutrients!$BU$8,Nutrients!$BU$9)*R$7)+(((IF($A$8=Nutrients!$B$79,Nutrients!$BU$79,(IF($A$8=Nutrients!$B$77,Nutrients!$BU$77,Nutrients!$BU$78)))))*R$8))/2000</f>
        <v>0.68061661710499632</v>
      </c>
      <c r="S308" s="23">
        <f>(SUMPRODUCT(S$9:S$229,Nutrients!$BU$8:$BU$228)+(IF($A$7=Nutrients!$B$8,Nutrients!$BU$8,Nutrients!$BU$9)*S$7)+(((IF($A$8=Nutrients!$B$79,Nutrients!$BU$79,(IF($A$8=Nutrients!$B$77,Nutrients!$BU$77,Nutrients!$BU$78)))))*S$8))/2000</f>
        <v>0.61686933716984049</v>
      </c>
      <c r="T308" s="23">
        <f>(SUMPRODUCT(T$9:T$229,Nutrients!$BU$8:$BU$228)+(IF($A$7=Nutrients!$B$8,Nutrients!$BU$8,Nutrients!$BU$9)*T$7)+(((IF($A$8=Nutrients!$B$79,Nutrients!$BU$79,(IF($A$8=Nutrients!$B$77,Nutrients!$BU$77,Nutrients!$BU$78)))))*T$8))/2000</f>
        <v>0.56322872226041387</v>
      </c>
      <c r="U308" s="23">
        <f>(SUMPRODUCT(U$9:U$229,Nutrients!$BU$8:$BU$228)+(IF($A$7=Nutrients!$B$8,Nutrients!$BU$8,Nutrients!$BU$9)*U$7)+(((IF($A$8=Nutrients!$B$79,Nutrients!$BU$79,(IF($A$8=Nutrients!$B$77,Nutrients!$BU$77,Nutrients!$BU$78)))))*U$8))/2000</f>
        <v>0.53408892433970367</v>
      </c>
      <c r="W308" s="23">
        <f>(SUMPRODUCT(W$9:W$229,Nutrients!$BU$8:$BU$228)+(IF($A$7=Nutrients!$B$8,Nutrients!$BU$8,Nutrients!$BU$9)*W$7)+(((IF($A$8=Nutrients!$B$79,Nutrients!$BU$79,(IF($A$8=Nutrients!$B$77,Nutrients!$BU$77,Nutrients!$BU$78)))))*W$8))/2000</f>
        <v>0.81589361808867533</v>
      </c>
      <c r="X308" s="23">
        <f>(SUMPRODUCT(X$9:X$229,Nutrients!$BU$8:$BU$228)+(IF($A$7=Nutrients!$B$8,Nutrients!$BU$8,Nutrients!$BU$9)*X$7)+(((IF($A$8=Nutrients!$B$79,Nutrients!$BU$79,(IF($A$8=Nutrients!$B$77,Nutrients!$BU$77,Nutrients!$BU$78)))))*X$8))/2000</f>
        <v>0.74196412849478377</v>
      </c>
      <c r="Y308" s="23">
        <f>(SUMPRODUCT(Y$9:Y$229,Nutrients!$BU$8:$BU$228)+(IF($A$7=Nutrients!$B$8,Nutrients!$BU$8,Nutrients!$BU$9)*Y$7)+(((IF($A$8=Nutrients!$B$79,Nutrients!$BU$79,(IF($A$8=Nutrients!$B$77,Nutrients!$BU$77,Nutrients!$BU$78)))))*Y$8))/2000</f>
        <v>0.67908532675638966</v>
      </c>
      <c r="Z308" s="23">
        <f>(SUMPRODUCT(Z$9:Z$229,Nutrients!$BU$8:$BU$228)+(IF($A$7=Nutrients!$B$8,Nutrients!$BU$8,Nutrients!$BU$9)*Z$7)+(((IF($A$8=Nutrients!$B$79,Nutrients!$BU$79,(IF($A$8=Nutrients!$B$77,Nutrients!$BU$77,Nutrients!$BU$78)))))*Z$8))/2000</f>
        <v>0.61632764254432848</v>
      </c>
      <c r="AA308" s="23">
        <f>(SUMPRODUCT(AA$9:AA$229,Nutrients!$BU$8:$BU$228)+(IF($A$7=Nutrients!$B$8,Nutrients!$BU$8,Nutrients!$BU$9)*AA$7)+(((IF($A$8=Nutrients!$B$79,Nutrients!$BU$79,(IF($A$8=Nutrients!$B$77,Nutrients!$BU$77,Nutrients!$BU$78)))))*AA$8))/2000</f>
        <v>0.56306847653102987</v>
      </c>
      <c r="AB308" s="23">
        <f>(SUMPRODUCT(AB$9:AB$229,Nutrients!$BU$8:$BU$228)+(IF($A$7=Nutrients!$B$8,Nutrients!$BU$8,Nutrients!$BU$9)*AB$7)+(((IF($A$8=Nutrients!$B$79,Nutrients!$BU$79,(IF($A$8=Nutrients!$B$77,Nutrients!$BU$77,Nutrients!$BU$78)))))*AB$8))/2000</f>
        <v>0.53408892433970367</v>
      </c>
      <c r="AD308" s="23">
        <f>(SUMPRODUCT(AD$9:AD$229,Nutrients!$BU$8:$BU$228)+(IF($A$7=Nutrients!$B$8,Nutrients!$BU$8,Nutrients!$BU$9)*AD$7)+(((IF($A$8=Nutrients!$B$79,Nutrients!$BU$79,(IF($A$8=Nutrients!$B$77,Nutrients!$BU$77,Nutrients!$BU$78)))))*AD$8))/2000</f>
        <v>0.81392032452512597</v>
      </c>
      <c r="AE308" s="23">
        <f>(SUMPRODUCT(AE$9:AE$229,Nutrients!$BU$8:$BU$228)+(IF($A$7=Nutrients!$B$8,Nutrients!$BU$8,Nutrients!$BU$9)*AE$7)+(((IF($A$8=Nutrients!$B$79,Nutrients!$BU$79,(IF($A$8=Nutrients!$B$77,Nutrients!$BU$77,Nutrients!$BU$78)))))*AE$8))/2000</f>
        <v>0.73971673414030459</v>
      </c>
      <c r="AF308" s="23">
        <f>(SUMPRODUCT(AF$9:AF$229,Nutrients!$BU$8:$BU$228)+(IF($A$7=Nutrients!$B$8,Nutrients!$BU$8,Nutrients!$BU$9)*AF$7)+(((IF($A$8=Nutrients!$B$79,Nutrients!$BU$79,(IF($A$8=Nutrients!$B$77,Nutrients!$BU$77,Nutrients!$BU$78)))))*AF$8))/2000</f>
        <v>0.67779789737989726</v>
      </c>
      <c r="AG308" s="23">
        <f>(SUMPRODUCT(AG$9:AG$229,Nutrients!$BU$8:$BU$228)+(IF($A$7=Nutrients!$B$8,Nutrients!$BU$8,Nutrients!$BU$9)*AG$7)+(((IF($A$8=Nutrients!$B$79,Nutrients!$BU$79,(IF($A$8=Nutrients!$B$77,Nutrients!$BU$77,Nutrients!$BU$78)))))*AG$8))/2000</f>
        <v>0.61574322589368025</v>
      </c>
      <c r="AH308" s="23">
        <f>(SUMPRODUCT(AH$9:AH$229,Nutrients!$BU$8:$BU$228)+(IF($A$7=Nutrients!$B$8,Nutrients!$BU$8,Nutrients!$BU$9)*AH$7)+(((IF($A$8=Nutrients!$B$79,Nutrients!$BU$79,(IF($A$8=Nutrients!$B$77,Nutrients!$BU$77,Nutrients!$BU$78)))))*AH$8))/2000</f>
        <v>0.5624746156265471</v>
      </c>
      <c r="AI308" s="23">
        <f>(SUMPRODUCT(AI$9:AI$229,Nutrients!$BU$8:$BU$228)+(IF($A$7=Nutrients!$B$8,Nutrients!$BU$8,Nutrients!$BU$9)*AI$7)+(((IF($A$8=Nutrients!$B$79,Nutrients!$BU$79,(IF($A$8=Nutrients!$B$77,Nutrients!$BU$77,Nutrients!$BU$78)))))*AI$8))/2000</f>
        <v>0.53408892433970367</v>
      </c>
      <c r="AK308" s="23">
        <f>(SUMPRODUCT(AK$9:AK$229,Nutrients!$BU$8:$BU$228)+(IF($A$7=Nutrients!$B$8,Nutrients!$BU$8,Nutrients!$BU$9)*AK$7)+(((IF($A$8=Nutrients!$B$79,Nutrients!$BU$79,(IF($A$8=Nutrients!$B$77,Nutrients!$BU$77,Nutrients!$BU$78)))))*AK$8))/2000</f>
        <v>0.81222157026973629</v>
      </c>
      <c r="AL308" s="23">
        <f>(SUMPRODUCT(AL$9:AL$229,Nutrients!$BU$8:$BU$228)+(IF($A$7=Nutrients!$B$8,Nutrients!$BU$8,Nutrients!$BU$9)*AL$7)+(((IF($A$8=Nutrients!$B$79,Nutrients!$BU$79,(IF($A$8=Nutrients!$B$77,Nutrients!$BU$77,Nutrients!$BU$78)))))*AL$8))/2000</f>
        <v>0.73777809437374209</v>
      </c>
      <c r="AM308" s="23">
        <f>(SUMPRODUCT(AM$9:AM$229,Nutrients!$BU$8:$BU$228)+(IF($A$7=Nutrients!$B$8,Nutrients!$BU$8,Nutrients!$BU$9)*AM$7)+(((IF($A$8=Nutrients!$B$79,Nutrients!$BU$79,(IF($A$8=Nutrients!$B$77,Nutrients!$BU$77,Nutrients!$BU$78)))))*AM$8))/2000</f>
        <v>0.67662323196883822</v>
      </c>
      <c r="AN308" s="23">
        <f>(SUMPRODUCT(AN$9:AN$229,Nutrients!$BU$8:$BU$228)+(IF($A$7=Nutrients!$B$8,Nutrients!$BU$8,Nutrients!$BU$9)*AN$7)+(((IF($A$8=Nutrients!$B$79,Nutrients!$BU$79,(IF($A$8=Nutrients!$B$77,Nutrients!$BU$77,Nutrients!$BU$78)))))*AN$8))/2000</f>
        <v>0.61482357324490455</v>
      </c>
      <c r="AO308" s="23">
        <f>(SUMPRODUCT(AO$9:AO$229,Nutrients!$BU$8:$BU$228)+(IF($A$7=Nutrients!$B$8,Nutrients!$BU$8,Nutrients!$BU$9)*AO$7)+(((IF($A$8=Nutrients!$B$79,Nutrients!$BU$79,(IF($A$8=Nutrients!$B$77,Nutrients!$BU$77,Nutrients!$BU$78)))))*AO$8))/2000</f>
        <v>0.56173404348045175</v>
      </c>
      <c r="AP308" s="23">
        <f>(SUMPRODUCT(AP$9:AP$229,Nutrients!$BU$8:$BU$228)+(IF($A$7=Nutrients!$B$8,Nutrients!$BU$8,Nutrients!$BU$9)*AP$7)+(((IF($A$8=Nutrients!$B$79,Nutrients!$BU$79,(IF($A$8=Nutrients!$B$77,Nutrients!$BU$77,Nutrients!$BU$78)))))*AP$8))/2000</f>
        <v>0.53408892433970367</v>
      </c>
      <c r="AR308" s="23">
        <f>(SUMPRODUCT(AR$9:AR$229,Nutrients!$BU$8:$BU$228)+(IF($A$7=Nutrients!$B$8,Nutrients!$BU$8,Nutrients!$BU$9)*AR$7)+(((IF($A$8=Nutrients!$B$79,Nutrients!$BU$79,(IF($A$8=Nutrients!$B$77,Nutrients!$BU$77,Nutrients!$BU$78)))))*AR$8))/2000</f>
        <v>0.81258607388560133</v>
      </c>
      <c r="AS308" s="23">
        <f>(SUMPRODUCT(AS$9:AS$229,Nutrients!$BU$8:$BU$228)+(IF($A$7=Nutrients!$B$8,Nutrients!$BU$8,Nutrients!$BU$9)*AS$7)+(((IF($A$8=Nutrients!$B$79,Nutrients!$BU$79,(IF($A$8=Nutrients!$B$77,Nutrients!$BU$77,Nutrients!$BU$78)))))*AS$8))/2000</f>
        <v>0.73583130319550927</v>
      </c>
      <c r="AT308" s="23">
        <f>(SUMPRODUCT(AT$9:AT$229,Nutrients!$BU$8:$BU$228)+(IF($A$7=Nutrients!$B$8,Nutrients!$BU$8,Nutrients!$BU$9)*AT$7)+(((IF($A$8=Nutrients!$B$79,Nutrients!$BU$79,(IF($A$8=Nutrients!$B$77,Nutrients!$BU$77,Nutrients!$BU$78)))))*AT$8))/2000</f>
        <v>0.67563985765240775</v>
      </c>
      <c r="AU308" s="23">
        <f>(SUMPRODUCT(AU$9:AU$229,Nutrients!$BU$8:$BU$228)+(IF($A$7=Nutrients!$B$8,Nutrients!$BU$8,Nutrients!$BU$9)*AU$7)+(((IF($A$8=Nutrients!$B$79,Nutrients!$BU$79,(IF($A$8=Nutrients!$B$77,Nutrients!$BU$77,Nutrients!$BU$78)))))*AU$8))/2000</f>
        <v>0.61373309721842451</v>
      </c>
      <c r="AV308" s="23">
        <f>(SUMPRODUCT(AV$9:AV$229,Nutrients!$BU$8:$BU$228)+(IF($A$7=Nutrients!$B$8,Nutrients!$BU$8,Nutrients!$BU$9)*AV$7)+(((IF($A$8=Nutrients!$B$79,Nutrients!$BU$79,(IF($A$8=Nutrients!$B$77,Nutrients!$BU$77,Nutrients!$BU$78)))))*AV$8))/2000</f>
        <v>0.56099876555978545</v>
      </c>
      <c r="AW308" s="23">
        <f>(SUMPRODUCT(AW$9:AW$229,Nutrients!$BU$8:$BU$228)+(IF($A$7=Nutrients!$B$8,Nutrients!$BU$8,Nutrients!$BU$9)*AW$7)+(((IF($A$8=Nutrients!$B$79,Nutrients!$BU$79,(IF($A$8=Nutrients!$B$77,Nutrients!$BU$77,Nutrients!$BU$78)))))*AW$8))/2000</f>
        <v>0.53408892433970367</v>
      </c>
    </row>
    <row r="309" spans="1:49" x14ac:dyDescent="0.25">
      <c r="A309" t="s">
        <v>42</v>
      </c>
      <c r="B309" s="8">
        <f t="shared" ref="B309:G309" si="185">(B306 * 434.98) + (B308* 255.74) - (B307*282.06)</f>
        <v>190.85683508470862</v>
      </c>
      <c r="C309" s="8">
        <f t="shared" si="185"/>
        <v>172.75687046998428</v>
      </c>
      <c r="D309" s="8">
        <f t="shared" si="185"/>
        <v>157.97167371049909</v>
      </c>
      <c r="E309" s="8">
        <f t="shared" si="185"/>
        <v>141.87849201438749</v>
      </c>
      <c r="F309" s="8">
        <f t="shared" si="185"/>
        <v>127.1843305627486</v>
      </c>
      <c r="G309" s="8">
        <f t="shared" si="185"/>
        <v>119.05581383819251</v>
      </c>
      <c r="H309" s="8"/>
      <c r="I309" s="8">
        <f t="shared" ref="I309:N309" si="186">(I306 * 434.98) + (I308* 255.74) - (I307*282.06)</f>
        <v>189.90879535709081</v>
      </c>
      <c r="J309" s="8">
        <f t="shared" si="186"/>
        <v>172.12051068607076</v>
      </c>
      <c r="K309" s="8">
        <f t="shared" si="186"/>
        <v>157.57970520638651</v>
      </c>
      <c r="L309" s="8">
        <f t="shared" si="186"/>
        <v>141.6590162870433</v>
      </c>
      <c r="M309" s="8">
        <f t="shared" si="186"/>
        <v>126.9543384224575</v>
      </c>
      <c r="N309" s="8">
        <f t="shared" si="186"/>
        <v>119.05581383819251</v>
      </c>
      <c r="O309" s="198"/>
      <c r="P309" s="8">
        <f t="shared" ref="P309:U309" si="187">(P306 * 434.98) + (P308* 255.74) - (P307*282.06)</f>
        <v>189.35757758621361</v>
      </c>
      <c r="Q309" s="8">
        <f t="shared" si="187"/>
        <v>171.75353268018796</v>
      </c>
      <c r="R309" s="8">
        <f t="shared" si="187"/>
        <v>157.41172234864541</v>
      </c>
      <c r="S309" s="8">
        <f t="shared" si="187"/>
        <v>141.39744679679364</v>
      </c>
      <c r="T309" s="8">
        <f t="shared" si="187"/>
        <v>126.85535893553332</v>
      </c>
      <c r="U309" s="8">
        <f t="shared" si="187"/>
        <v>119.05581383819251</v>
      </c>
      <c r="W309" s="8">
        <f t="shared" ref="W309:AB309" si="188">(W306 * 434.98) + (W308* 255.74) - (W307*282.06)</f>
        <v>188.80512770920348</v>
      </c>
      <c r="X309" s="8">
        <f t="shared" si="188"/>
        <v>171.38770413954646</v>
      </c>
      <c r="Y309" s="8">
        <f t="shared" si="188"/>
        <v>156.95467401248527</v>
      </c>
      <c r="Z309" s="8">
        <f t="shared" si="188"/>
        <v>141.20754421583268</v>
      </c>
      <c r="AA309" s="8">
        <f t="shared" si="188"/>
        <v>126.7694742412713</v>
      </c>
      <c r="AB309" s="8">
        <f t="shared" si="188"/>
        <v>119.05581383819251</v>
      </c>
      <c r="AD309" s="8">
        <f t="shared" ref="AD309:AI309" si="189">(AD306 * 434.98) + (AD308* 255.74) - (AD307*282.06)</f>
        <v>188.22870897198231</v>
      </c>
      <c r="AE309" s="8">
        <f t="shared" si="189"/>
        <v>170.7376057464472</v>
      </c>
      <c r="AF309" s="8">
        <f t="shared" si="189"/>
        <v>156.56385980857596</v>
      </c>
      <c r="AG309" s="8">
        <f t="shared" si="189"/>
        <v>141.00795929200541</v>
      </c>
      <c r="AH309" s="8">
        <f t="shared" si="189"/>
        <v>126.61938438710592</v>
      </c>
      <c r="AI309" s="8">
        <f t="shared" si="189"/>
        <v>119.05581383819251</v>
      </c>
      <c r="AK309" s="8">
        <f t="shared" ref="AK309:AP309" si="190">(AK306 * 434.98) + (AK308* 255.74) - (AK307*282.06)</f>
        <v>187.72638908057746</v>
      </c>
      <c r="AL309" s="8">
        <f t="shared" si="190"/>
        <v>170.17038697139813</v>
      </c>
      <c r="AM309" s="8">
        <f t="shared" si="190"/>
        <v>156.20395862331404</v>
      </c>
      <c r="AN309" s="8">
        <f t="shared" si="190"/>
        <v>140.759595769557</v>
      </c>
      <c r="AO309" s="8">
        <f t="shared" si="190"/>
        <v>126.44858187785074</v>
      </c>
      <c r="AP309" s="8">
        <f t="shared" si="190"/>
        <v>119.05581383819251</v>
      </c>
      <c r="AR309" s="8">
        <f t="shared" ref="AR309:AW309" si="191">(AR306 * 434.98) + (AR308* 255.74) - (AR307*282.06)</f>
        <v>187.77993776571651</v>
      </c>
      <c r="AS309" s="8">
        <f t="shared" si="191"/>
        <v>169.60178992645075</v>
      </c>
      <c r="AT309" s="8">
        <f t="shared" si="191"/>
        <v>155.89680068900128</v>
      </c>
      <c r="AU309" s="8">
        <f t="shared" si="191"/>
        <v>140.49471625863777</v>
      </c>
      <c r="AV309" s="8">
        <f t="shared" si="191"/>
        <v>126.27920754854721</v>
      </c>
      <c r="AW309" s="8">
        <f t="shared" si="191"/>
        <v>119.05581383819251</v>
      </c>
    </row>
    <row r="310" spans="1:49" x14ac:dyDescent="0.25">
      <c r="A310" t="s">
        <v>73</v>
      </c>
      <c r="B310" s="202">
        <f>(SUMPRODUCT(B$9:B$229,Nutrients!$EG$8:$EG$228)+(IF($A$7=Nutrients!$B$8,Nutrients!$EG$8,Nutrients!$EG$9)*B$7)+(((IF($A$8=Nutrients!$B$79,Nutrients!$EG$79,(IF($A$8=Nutrients!$B$77,Nutrients!$EG$77,Nutrients!$EG$78)))))*B$8))/2000</f>
        <v>0.25833959194258826</v>
      </c>
      <c r="C310" s="202">
        <f>(SUMPRODUCT(C$9:C$229,Nutrients!$EG$8:$EG$228)+(IF($A$7=Nutrients!$B$8,Nutrients!$EG$8,Nutrients!$EG$9)*C$7)+(((IF($A$8=Nutrients!$B$79,Nutrients!$EG$79,(IF($A$8=Nutrients!$B$77,Nutrients!$EG$77,Nutrients!$EG$78)))))*C$8))/2000</f>
        <v>0.24779907433968829</v>
      </c>
      <c r="D310" s="202">
        <f>(SUMPRODUCT(D$9:D$229,Nutrients!$EG$8:$EG$228)+(IF($A$7=Nutrients!$B$8,Nutrients!$EG$8,Nutrients!$EG$9)*D$7)+(((IF($A$8=Nutrients!$B$79,Nutrients!$EG$79,(IF($A$8=Nutrients!$B$77,Nutrients!$EG$77,Nutrients!$EG$78)))))*D$8))/2000</f>
        <v>0.23900316211582037</v>
      </c>
      <c r="E310" s="202">
        <f>(SUMPRODUCT(E$9:E$229,Nutrients!$EG$8:$EG$228)+(IF($A$7=Nutrients!$B$8,Nutrients!$EG$8,Nutrients!$EG$9)*E$7)+(((IF($A$8=Nutrients!$B$79,Nutrients!$EG$79,(IF($A$8=Nutrients!$B$77,Nutrients!$EG$77,Nutrients!$EG$78)))))*E$8))/2000</f>
        <v>0.23005692988837381</v>
      </c>
      <c r="F310" s="202">
        <f>(SUMPRODUCT(F$9:F$229,Nutrients!$EG$8:$EG$228)+(IF($A$7=Nutrients!$B$8,Nutrients!$EG$8,Nutrients!$EG$9)*F$7)+(((IF($A$8=Nutrients!$B$79,Nutrients!$EG$79,(IF($A$8=Nutrients!$B$77,Nutrients!$EG$77,Nutrients!$EG$78)))))*F$8))/2000</f>
        <v>0.22240960598768925</v>
      </c>
      <c r="G310" s="202">
        <f>(SUMPRODUCT(G$9:G$229,Nutrients!$EG$8:$EG$228)+(IF($A$7=Nutrients!$B$8,Nutrients!$EG$8,Nutrients!$EG$9)*G$7)+(((IF($A$8=Nutrients!$B$79,Nutrients!$EG$79,(IF($A$8=Nutrients!$B$77,Nutrients!$EG$77,Nutrients!$EG$78)))))*G$8))/2000</f>
        <v>0.21810869862161428</v>
      </c>
      <c r="H310" s="232"/>
      <c r="I310" s="202">
        <f>(SUMPRODUCT(I$9:I$229,Nutrients!$EG$8:$EG$228)+(IF($A$7=Nutrients!$B$8,Nutrients!$EG$8,Nutrients!$EG$9)*I$7)+(((IF($A$8=Nutrients!$B$79,Nutrients!$EG$79,(IF($A$8=Nutrients!$B$77,Nutrients!$EG$77,Nutrients!$EG$78)))))*I$8))/2000</f>
        <v>0.2529793743230016</v>
      </c>
      <c r="J310" s="202">
        <f>(SUMPRODUCT(J$9:J$229,Nutrients!$EG$8:$EG$228)+(IF($A$7=Nutrients!$B$8,Nutrients!$EG$8,Nutrients!$EG$9)*J$7)+(((IF($A$8=Nutrients!$B$79,Nutrients!$EG$79,(IF($A$8=Nutrients!$B$77,Nutrients!$EG$77,Nutrients!$EG$78)))))*J$8))/2000</f>
        <v>0.24259233363577518</v>
      </c>
      <c r="K310" s="202">
        <f>(SUMPRODUCT(K$9:K$229,Nutrients!$EG$8:$EG$228)+(IF($A$7=Nutrients!$B$8,Nutrients!$EG$8,Nutrients!$EG$9)*K$7)+(((IF($A$8=Nutrients!$B$79,Nutrients!$EG$79,(IF($A$8=Nutrients!$B$77,Nutrients!$EG$77,Nutrients!$EG$78)))))*K$8))/2000</f>
        <v>0.23393470824154367</v>
      </c>
      <c r="L310" s="202">
        <f>(SUMPRODUCT(L$9:L$229,Nutrients!$EG$8:$EG$228)+(IF($A$7=Nutrients!$B$8,Nutrients!$EG$8,Nutrients!$EG$9)*L$7)+(((IF($A$8=Nutrients!$B$79,Nutrients!$EG$79,(IF($A$8=Nutrients!$B$77,Nutrients!$EG$77,Nutrients!$EG$78)))))*L$8))/2000</f>
        <v>0.22507771214746949</v>
      </c>
      <c r="M310" s="202">
        <f>(SUMPRODUCT(M$9:M$229,Nutrients!$EG$8:$EG$228)+(IF($A$7=Nutrients!$B$8,Nutrients!$EG$8,Nutrients!$EG$9)*M$7)+(((IF($A$8=Nutrients!$B$79,Nutrients!$EG$79,(IF($A$8=Nutrients!$B$77,Nutrients!$EG$77,Nutrients!$EG$78)))))*M$8))/2000</f>
        <v>0.2174280908978922</v>
      </c>
      <c r="N310" s="202">
        <f>(SUMPRODUCT(N$9:N$229,Nutrients!$EG$8:$EG$228)+(IF($A$7=Nutrients!$B$8,Nutrients!$EG$8,Nutrients!$EG$9)*N$7)+(((IF($A$8=Nutrients!$B$79,Nutrients!$EG$79,(IF($A$8=Nutrients!$B$77,Nutrients!$EG$77,Nutrients!$EG$78)))))*N$8))/2000</f>
        <v>0.21810869862161428</v>
      </c>
      <c r="O310" s="8"/>
      <c r="P310" s="202">
        <f>(SUMPRODUCT(P$9:P$229,Nutrients!$EG$8:$EG$228)+(IF($A$7=Nutrients!$B$8,Nutrients!$EG$8,Nutrients!$EG$9)*P$7)+(((IF($A$8=Nutrients!$B$79,Nutrients!$EG$79,(IF($A$8=Nutrients!$B$77,Nutrients!$EG$77,Nutrients!$EG$78)))))*P$8))/2000</f>
        <v>0.24782637327006385</v>
      </c>
      <c r="Q310" s="202">
        <f>(SUMPRODUCT(Q$9:Q$229,Nutrients!$EG$8:$EG$228)+(IF($A$7=Nutrients!$B$8,Nutrients!$EG$8,Nutrients!$EG$9)*Q$7)+(((IF($A$8=Nutrients!$B$79,Nutrients!$EG$79,(IF($A$8=Nutrients!$B$77,Nutrients!$EG$77,Nutrients!$EG$78)))))*Q$8))/2000</f>
        <v>0.23752889743998792</v>
      </c>
      <c r="R310" s="202">
        <f>(SUMPRODUCT(R$9:R$229,Nutrients!$EG$8:$EG$228)+(IF($A$7=Nutrients!$B$8,Nutrients!$EG$8,Nutrients!$EG$9)*R$7)+(((IF($A$8=Nutrients!$B$79,Nutrients!$EG$79,(IF($A$8=Nutrients!$B$77,Nutrients!$EG$77,Nutrients!$EG$78)))))*R$8))/2000</f>
        <v>0.22898038393614423</v>
      </c>
      <c r="S310" s="202">
        <f>(SUMPRODUCT(S$9:S$229,Nutrients!$EG$8:$EG$228)+(IF($A$7=Nutrients!$B$8,Nutrients!$EG$8,Nutrients!$EG$9)*S$7)+(((IF($A$8=Nutrients!$B$79,Nutrients!$EG$79,(IF($A$8=Nutrients!$B$77,Nutrients!$EG$77,Nutrients!$EG$78)))))*S$8))/2000</f>
        <v>0.22006919979138856</v>
      </c>
      <c r="T310" s="202">
        <f>(SUMPRODUCT(T$9:T$229,Nutrients!$EG$8:$EG$228)+(IF($A$7=Nutrients!$B$8,Nutrients!$EG$8,Nutrients!$EG$9)*T$7)+(((IF($A$8=Nutrients!$B$79,Nutrients!$EG$79,(IF($A$8=Nutrients!$B$77,Nutrients!$EG$77,Nutrients!$EG$78)))))*T$8))/2000</f>
        <v>0.21250582009347158</v>
      </c>
      <c r="U310" s="202">
        <f>(SUMPRODUCT(U$9:U$229,Nutrients!$EG$8:$EG$228)+(IF($A$7=Nutrients!$B$8,Nutrients!$EG$8,Nutrients!$EG$9)*U$7)+(((IF($A$8=Nutrients!$B$79,Nutrients!$EG$79,(IF($A$8=Nutrients!$B$77,Nutrients!$EG$77,Nutrients!$EG$78)))))*U$8))/2000</f>
        <v>0.21810869862161428</v>
      </c>
      <c r="W310" s="202">
        <f>(SUMPRODUCT(W$9:W$229,Nutrients!$EG$8:$EG$228)+(IF($A$7=Nutrients!$B$8,Nutrients!$EG$8,Nutrients!$EG$9)*W$7)+(((IF($A$8=Nutrients!$B$79,Nutrients!$EG$79,(IF($A$8=Nutrients!$B$77,Nutrients!$EG$77,Nutrients!$EG$78)))))*W$8))/2000</f>
        <v>0.24266903418775679</v>
      </c>
      <c r="X310" s="202">
        <f>(SUMPRODUCT(X$9:X$229,Nutrients!$EG$8:$EG$228)+(IF($A$7=Nutrients!$B$8,Nutrients!$EG$8,Nutrients!$EG$9)*X$7)+(((IF($A$8=Nutrients!$B$79,Nutrients!$EG$79,(IF($A$8=Nutrients!$B$77,Nutrients!$EG$77,Nutrients!$EG$78)))))*X$8))/2000</f>
        <v>0.23246904477473293</v>
      </c>
      <c r="Y310" s="202">
        <f>(SUMPRODUCT(Y$9:Y$229,Nutrients!$EG$8:$EG$228)+(IF($A$7=Nutrients!$B$8,Nutrients!$EG$8,Nutrients!$EG$9)*Y$7)+(((IF($A$8=Nutrients!$B$79,Nutrients!$EG$79,(IF($A$8=Nutrients!$B$77,Nutrients!$EG$77,Nutrients!$EG$78)))))*Y$8))/2000</f>
        <v>0.223865320327129</v>
      </c>
      <c r="Z310" s="202">
        <f>(SUMPRODUCT(Z$9:Z$229,Nutrients!$EG$8:$EG$228)+(IF($A$7=Nutrients!$B$8,Nutrients!$EG$8,Nutrients!$EG$9)*Z$7)+(((IF($A$8=Nutrients!$B$79,Nutrients!$EG$79,(IF($A$8=Nutrients!$B$77,Nutrients!$EG$77,Nutrients!$EG$78)))))*Z$8))/2000</f>
        <v>0.21509158599183473</v>
      </c>
      <c r="AA310" s="202">
        <f>(SUMPRODUCT(AA$9:AA$229,Nutrients!$EG$8:$EG$228)+(IF($A$7=Nutrients!$B$8,Nutrients!$EG$8,Nutrients!$EG$9)*AA$7)+(((IF($A$8=Nutrients!$B$79,Nutrients!$EG$79,(IF($A$8=Nutrients!$B$77,Nutrients!$EG$77,Nutrients!$EG$78)))))*AA$8))/2000</f>
        <v>0.20756591759126977</v>
      </c>
      <c r="AB310" s="202">
        <f>(SUMPRODUCT(AB$9:AB$229,Nutrients!$EG$8:$EG$228)+(IF($A$7=Nutrients!$B$8,Nutrients!$EG$8,Nutrients!$EG$9)*AB$7)+(((IF($A$8=Nutrients!$B$79,Nutrients!$EG$79,(IF($A$8=Nutrients!$B$77,Nutrients!$EG$77,Nutrients!$EG$78)))))*AB$8))/2000</f>
        <v>0.21810869862161428</v>
      </c>
      <c r="AD310" s="202">
        <f>(SUMPRODUCT(AD$9:AD$229,Nutrients!$EG$8:$EG$228)+(IF($A$7=Nutrients!$B$8,Nutrients!$EG$8,Nutrients!$EG$9)*AD$7)+(((IF($A$8=Nutrients!$B$79,Nutrients!$EG$79,(IF($A$8=Nutrients!$B$77,Nutrients!$EG$77,Nutrients!$EG$78)))))*AD$8))/2000</f>
        <v>0.237493305068776</v>
      </c>
      <c r="AE310" s="202">
        <f>(SUMPRODUCT(AE$9:AE$229,Nutrients!$EG$8:$EG$228)+(IF($A$7=Nutrients!$B$8,Nutrients!$EG$8,Nutrients!$EG$9)*AE$7)+(((IF($A$8=Nutrients!$B$79,Nutrients!$EG$79,(IF($A$8=Nutrients!$B$77,Nutrients!$EG$77,Nutrients!$EG$78)))))*AE$8))/2000</f>
        <v>0.22725063640466628</v>
      </c>
      <c r="AF310" s="202">
        <f>(SUMPRODUCT(AF$9:AF$229,Nutrients!$EG$8:$EG$228)+(IF($A$7=Nutrients!$B$8,Nutrients!$EG$8,Nutrients!$EG$9)*AF$7)+(((IF($A$8=Nutrients!$B$79,Nutrients!$EG$79,(IF($A$8=Nutrients!$B$77,Nutrients!$EG$77,Nutrients!$EG$78)))))*AF$8))/2000</f>
        <v>0.2187782368763905</v>
      </c>
      <c r="AG310" s="202">
        <f>(SUMPRODUCT(AG$9:AG$229,Nutrients!$EG$8:$EG$228)+(IF($A$7=Nutrients!$B$8,Nutrients!$EG$8,Nutrients!$EG$9)*AG$7)+(((IF($A$8=Nutrients!$B$79,Nutrients!$EG$79,(IF($A$8=Nutrients!$B$77,Nutrients!$EG$77,Nutrients!$EG$78)))))*AG$8))/2000</f>
        <v>0.21008641833939604</v>
      </c>
      <c r="AH310" s="202">
        <f>(SUMPRODUCT(AH$9:AH$229,Nutrients!$EG$8:$EG$228)+(IF($A$7=Nutrients!$B$8,Nutrients!$EG$8,Nutrients!$EG$9)*AH$7)+(((IF($A$8=Nutrients!$B$79,Nutrients!$EG$79,(IF($A$8=Nutrients!$B$77,Nutrients!$EG$77,Nutrients!$EG$78)))))*AH$8))/2000</f>
        <v>0.20245153388808254</v>
      </c>
      <c r="AI310" s="202">
        <f>(SUMPRODUCT(AI$9:AI$229,Nutrients!$EG$8:$EG$228)+(IF($A$7=Nutrients!$B$8,Nutrients!$EG$8,Nutrients!$EG$9)*AI$7)+(((IF($A$8=Nutrients!$B$79,Nutrients!$EG$79,(IF($A$8=Nutrients!$B$77,Nutrients!$EG$77,Nutrients!$EG$78)))))*AI$8))/2000</f>
        <v>0.21810869862161428</v>
      </c>
      <c r="AK310" s="202">
        <f>(SUMPRODUCT(AK$9:AK$229,Nutrients!$EG$8:$EG$228)+(IF($A$7=Nutrients!$B$8,Nutrients!$EG$8,Nutrients!$EG$9)*AK$7)+(((IF($A$8=Nutrients!$B$79,Nutrients!$EG$79,(IF($A$8=Nutrients!$B$77,Nutrients!$EG$77,Nutrients!$EG$78)))))*AK$8))/2000</f>
        <v>0.23235591659702598</v>
      </c>
      <c r="AL310" s="202">
        <f>(SUMPRODUCT(AL$9:AL$229,Nutrients!$EG$8:$EG$228)+(IF($A$7=Nutrients!$B$8,Nutrients!$EG$8,Nutrients!$EG$9)*AL$7)+(((IF($A$8=Nutrients!$B$79,Nutrients!$EG$79,(IF($A$8=Nutrients!$B$77,Nutrients!$EG$77,Nutrients!$EG$78)))))*AL$8))/2000</f>
        <v>0.22208198724659889</v>
      </c>
      <c r="AM310" s="202">
        <f>(SUMPRODUCT(AM$9:AM$229,Nutrients!$EG$8:$EG$228)+(IF($A$7=Nutrients!$B$8,Nutrients!$EG$8,Nutrients!$EG$9)*AM$7)+(((IF($A$8=Nutrients!$B$79,Nutrients!$EG$79,(IF($A$8=Nutrients!$B$77,Nutrients!$EG$77,Nutrients!$EG$78)))))*AM$8))/2000</f>
        <v>0.21369991418088108</v>
      </c>
      <c r="AN310" s="202">
        <f>(SUMPRODUCT(AN$9:AN$229,Nutrients!$EG$8:$EG$228)+(IF($A$7=Nutrients!$B$8,Nutrients!$EG$8,Nutrients!$EG$9)*AN$7)+(((IF($A$8=Nutrients!$B$79,Nutrients!$EG$79,(IF($A$8=Nutrients!$B$77,Nutrients!$EG$77,Nutrients!$EG$78)))))*AN$8))/2000</f>
        <v>0.20494739026703729</v>
      </c>
      <c r="AO310" s="202">
        <f>(SUMPRODUCT(AO$9:AO$229,Nutrients!$EG$8:$EG$228)+(IF($A$7=Nutrients!$B$8,Nutrients!$EG$8,Nutrients!$EG$9)*AO$7)+(((IF($A$8=Nutrients!$B$79,Nutrients!$EG$79,(IF($A$8=Nutrients!$B$77,Nutrients!$EG$77,Nutrients!$EG$78)))))*AO$8))/2000</f>
        <v>0.19727780678646512</v>
      </c>
      <c r="AP310" s="202">
        <f>(SUMPRODUCT(AP$9:AP$229,Nutrients!$EG$8:$EG$228)+(IF($A$7=Nutrients!$B$8,Nutrients!$EG$8,Nutrients!$EG$9)*AP$7)+(((IF($A$8=Nutrients!$B$79,Nutrients!$EG$79,(IF($A$8=Nutrients!$B$77,Nutrients!$EG$77,Nutrients!$EG$78)))))*AP$8))/2000</f>
        <v>0.21810869862161428</v>
      </c>
      <c r="AR310" s="202">
        <f>(SUMPRODUCT(AR$9:AR$229,Nutrients!$EG$8:$EG$228)+(IF($A$7=Nutrients!$B$8,Nutrients!$EG$8,Nutrients!$EG$9)*AR$7)+(((IF($A$8=Nutrients!$B$79,Nutrients!$EG$79,(IF($A$8=Nutrients!$B$77,Nutrients!$EG$77,Nutrients!$EG$78)))))*AR$8))/2000</f>
        <v>0.22752144142640685</v>
      </c>
      <c r="AS310" s="202">
        <f>(SUMPRODUCT(AS$9:AS$229,Nutrients!$EG$8:$EG$228)+(IF($A$7=Nutrients!$B$8,Nutrients!$EG$8,Nutrients!$EG$9)*AS$7)+(((IF($A$8=Nutrients!$B$79,Nutrients!$EG$79,(IF($A$8=Nutrients!$B$77,Nutrients!$EG$77,Nutrients!$EG$78)))))*AS$8))/2000</f>
        <v>0.21690018019977322</v>
      </c>
      <c r="AT310" s="202">
        <f>(SUMPRODUCT(AT$9:AT$229,Nutrients!$EG$8:$EG$228)+(IF($A$7=Nutrients!$B$8,Nutrients!$EG$8,Nutrients!$EG$9)*AT$7)+(((IF($A$8=Nutrients!$B$79,Nutrients!$EG$79,(IF($A$8=Nutrients!$B$77,Nutrients!$EG$77,Nutrients!$EG$78)))))*AT$8))/2000</f>
        <v>0.20863774697496257</v>
      </c>
      <c r="AU310" s="202">
        <f>(SUMPRODUCT(AU$9:AU$229,Nutrients!$EG$8:$EG$228)+(IF($A$7=Nutrients!$B$8,Nutrients!$EG$8,Nutrients!$EG$9)*AU$7)+(((IF($A$8=Nutrients!$B$79,Nutrients!$EG$79,(IF($A$8=Nutrients!$B$77,Nutrients!$EG$77,Nutrients!$EG$78)))))*AU$8))/2000</f>
        <v>0.19972175482002971</v>
      </c>
      <c r="AV310" s="202">
        <f>(SUMPRODUCT(AV$9:AV$229,Nutrients!$EG$8:$EG$228)+(IF($A$7=Nutrients!$B$8,Nutrients!$EG$8,Nutrients!$EG$9)*AV$7)+(((IF($A$8=Nutrients!$B$79,Nutrients!$EG$79,(IF($A$8=Nutrients!$B$77,Nutrients!$EG$77,Nutrients!$EG$78)))))*AV$8))/2000</f>
        <v>0.19210484565114425</v>
      </c>
      <c r="AW310" s="202">
        <f>(SUMPRODUCT(AW$9:AW$229,Nutrients!$EG$8:$EG$228)+(IF($A$7=Nutrients!$B$8,Nutrients!$EG$8,Nutrients!$EG$9)*AW$7)+(((IF($A$8=Nutrients!$B$79,Nutrients!$EG$79,(IF($A$8=Nutrients!$B$77,Nutrients!$EG$77,Nutrients!$EG$78)))))*AW$8))/2000</f>
        <v>0.21810869862161428</v>
      </c>
    </row>
    <row r="311" spans="1:49" x14ac:dyDescent="0.25">
      <c r="A311" t="s">
        <v>74</v>
      </c>
      <c r="B311" s="23">
        <f t="shared" ref="B311:G311" si="192">B255-B256</f>
        <v>0.30252335581907996</v>
      </c>
      <c r="C311" s="23">
        <f t="shared" si="192"/>
        <v>0.29036249419994237</v>
      </c>
      <c r="D311" s="23">
        <f t="shared" si="192"/>
        <v>0.2802277845068476</v>
      </c>
      <c r="E311" s="23">
        <f t="shared" si="192"/>
        <v>0.26990911671431012</v>
      </c>
      <c r="F311" s="23">
        <f t="shared" si="192"/>
        <v>0.26108614031234767</v>
      </c>
      <c r="G311" s="23">
        <f t="shared" si="192"/>
        <v>0.25612193787172505</v>
      </c>
      <c r="H311" s="227"/>
      <c r="I311" s="23">
        <f t="shared" ref="I311:N311" si="193">I255-I256</f>
        <v>0.31974354705426455</v>
      </c>
      <c r="J311" s="23">
        <f t="shared" si="193"/>
        <v>0.30775975371198583</v>
      </c>
      <c r="K311" s="23">
        <f t="shared" si="193"/>
        <v>0.29778412434763091</v>
      </c>
      <c r="L311" s="23">
        <f t="shared" si="193"/>
        <v>0.2875686553376216</v>
      </c>
      <c r="M311" s="23">
        <f t="shared" si="193"/>
        <v>0.27874336785466058</v>
      </c>
      <c r="N311" s="23">
        <f t="shared" si="193"/>
        <v>0.25612193787172505</v>
      </c>
      <c r="O311" s="238"/>
      <c r="P311" s="23">
        <f t="shared" ref="P311:U311" si="194">P255-P256</f>
        <v>0.3372026984736346</v>
      </c>
      <c r="Q311" s="23">
        <f t="shared" si="194"/>
        <v>0.32532207362767895</v>
      </c>
      <c r="R311" s="23">
        <f t="shared" si="194"/>
        <v>0.31547224066687385</v>
      </c>
      <c r="S311" s="23">
        <f t="shared" si="194"/>
        <v>0.30519413876653445</v>
      </c>
      <c r="T311" s="23">
        <f t="shared" si="194"/>
        <v>0.29646831671703178</v>
      </c>
      <c r="U311" s="23">
        <f t="shared" si="194"/>
        <v>0.25612193787172505</v>
      </c>
      <c r="W311" s="23">
        <f t="shared" ref="W311:AB311" si="195">W255-W256</f>
        <v>0.35465669802584537</v>
      </c>
      <c r="X311" s="23">
        <f t="shared" si="195"/>
        <v>0.34288846283249264</v>
      </c>
      <c r="Y311" s="23">
        <f t="shared" si="195"/>
        <v>0.33297474915918746</v>
      </c>
      <c r="Z311" s="23">
        <f t="shared" si="195"/>
        <v>0.32285504596783499</v>
      </c>
      <c r="AA311" s="23">
        <f t="shared" si="195"/>
        <v>0.31417219586538392</v>
      </c>
      <c r="AB311" s="23">
        <f t="shared" si="195"/>
        <v>0.25612193787172505</v>
      </c>
      <c r="AD311" s="23">
        <f t="shared" ref="AD311:AI311" si="196">AD255-AD256</f>
        <v>0.37208931806943457</v>
      </c>
      <c r="AE311" s="23">
        <f t="shared" si="196"/>
        <v>0.36027175187081384</v>
      </c>
      <c r="AF311" s="23">
        <f t="shared" si="196"/>
        <v>0.35050931443442462</v>
      </c>
      <c r="AG311" s="23">
        <f t="shared" si="196"/>
        <v>0.34048378838984339</v>
      </c>
      <c r="AH311" s="23">
        <f t="shared" si="196"/>
        <v>0.33167581138309921</v>
      </c>
      <c r="AI311" s="23">
        <f t="shared" si="196"/>
        <v>0.25612193787172505</v>
      </c>
      <c r="AK311" s="23">
        <f t="shared" ref="AK311:AP311" si="197">AK255-AK256</f>
        <v>0.3895661289572418</v>
      </c>
      <c r="AL311" s="23">
        <f t="shared" si="197"/>
        <v>0.37771260322938244</v>
      </c>
      <c r="AM311" s="23">
        <f t="shared" si="197"/>
        <v>0.36805375560381293</v>
      </c>
      <c r="AN311" s="23">
        <f t="shared" si="197"/>
        <v>0.35795872470801882</v>
      </c>
      <c r="AO311" s="23">
        <f t="shared" si="197"/>
        <v>0.34911116845785828</v>
      </c>
      <c r="AP311" s="23">
        <f t="shared" si="197"/>
        <v>0.25612193787172505</v>
      </c>
      <c r="AR311" s="23">
        <f t="shared" ref="AR311:AW311" si="198">AR255-AR256</f>
        <v>0.40739254155929139</v>
      </c>
      <c r="AS311" s="23">
        <f t="shared" si="198"/>
        <v>0.39513790777642049</v>
      </c>
      <c r="AT311" s="23">
        <f t="shared" si="198"/>
        <v>0.38561677463114974</v>
      </c>
      <c r="AU311" s="23">
        <f t="shared" si="198"/>
        <v>0.37533427216154747</v>
      </c>
      <c r="AV311" s="23">
        <f t="shared" si="198"/>
        <v>0.36654741001960678</v>
      </c>
      <c r="AW311" s="23">
        <f t="shared" si="198"/>
        <v>0.25612193787172505</v>
      </c>
    </row>
    <row r="312" spans="1:49" x14ac:dyDescent="0.25">
      <c r="A312" s="34" t="s">
        <v>109</v>
      </c>
      <c r="B312" s="45">
        <f t="shared" ref="B312:G312" si="199">B257-B256</f>
        <v>0.11261444047083269</v>
      </c>
      <c r="C312" s="45">
        <f t="shared" si="199"/>
        <v>0.11261444047083263</v>
      </c>
      <c r="D312" s="45">
        <f t="shared" si="199"/>
        <v>0.11261444047083269</v>
      </c>
      <c r="E312" s="45">
        <f t="shared" si="199"/>
        <v>0.11261444047083267</v>
      </c>
      <c r="F312" s="45">
        <f t="shared" si="199"/>
        <v>0.1126144404708327</v>
      </c>
      <c r="G312" s="45">
        <f t="shared" si="199"/>
        <v>0.11261444047083267</v>
      </c>
      <c r="H312" s="233"/>
      <c r="I312" s="45">
        <f t="shared" ref="I312:N312" si="200">I257-I256</f>
        <v>0.11261444047083266</v>
      </c>
      <c r="J312" s="45">
        <f t="shared" si="200"/>
        <v>0.11261444047083269</v>
      </c>
      <c r="K312" s="45">
        <f t="shared" si="200"/>
        <v>0.11261444047083269</v>
      </c>
      <c r="L312" s="45">
        <f t="shared" si="200"/>
        <v>0.1126144404708327</v>
      </c>
      <c r="M312" s="45">
        <f t="shared" si="200"/>
        <v>0.11261444047083267</v>
      </c>
      <c r="N312" s="45">
        <f t="shared" si="200"/>
        <v>0.11261444047083267</v>
      </c>
      <c r="O312" s="198"/>
      <c r="P312" s="45">
        <f t="shared" ref="P312:U312" si="201">P257-P256</f>
        <v>0.11261444047083266</v>
      </c>
      <c r="Q312" s="45">
        <f t="shared" si="201"/>
        <v>0.11261444047083272</v>
      </c>
      <c r="R312" s="45">
        <f t="shared" si="201"/>
        <v>0.11261444047083269</v>
      </c>
      <c r="S312" s="45">
        <f t="shared" si="201"/>
        <v>0.11261444047083267</v>
      </c>
      <c r="T312" s="45">
        <f t="shared" si="201"/>
        <v>0.11261444047083269</v>
      </c>
      <c r="U312" s="45">
        <f t="shared" si="201"/>
        <v>0.11261444047083267</v>
      </c>
      <c r="W312" s="45">
        <f t="shared" ref="W312:AB312" si="202">W257-W256</f>
        <v>0.11261444047083263</v>
      </c>
      <c r="X312" s="45">
        <f t="shared" si="202"/>
        <v>0.11261444047083266</v>
      </c>
      <c r="Y312" s="45">
        <f t="shared" si="202"/>
        <v>0.11261444047083269</v>
      </c>
      <c r="Z312" s="45">
        <f t="shared" si="202"/>
        <v>0.11261444047083267</v>
      </c>
      <c r="AA312" s="45">
        <f t="shared" si="202"/>
        <v>0.11261444047083269</v>
      </c>
      <c r="AB312" s="45">
        <f t="shared" si="202"/>
        <v>0.11261444047083267</v>
      </c>
      <c r="AD312" s="45">
        <f t="shared" ref="AD312:AI312" si="203">AD257-AD256</f>
        <v>0.11261444047083266</v>
      </c>
      <c r="AE312" s="45">
        <f t="shared" si="203"/>
        <v>0.11261444047083266</v>
      </c>
      <c r="AF312" s="45">
        <f t="shared" si="203"/>
        <v>0.1126144404708327</v>
      </c>
      <c r="AG312" s="45">
        <f t="shared" si="203"/>
        <v>0.11261444047083269</v>
      </c>
      <c r="AH312" s="45">
        <f t="shared" si="203"/>
        <v>0.11261444047083269</v>
      </c>
      <c r="AI312" s="45">
        <f t="shared" si="203"/>
        <v>0.11261444047083267</v>
      </c>
      <c r="AK312" s="45">
        <f t="shared" ref="AK312:AP312" si="204">AK257-AK256</f>
        <v>0.11261444047083266</v>
      </c>
      <c r="AL312" s="45">
        <f t="shared" si="204"/>
        <v>0.11261444047083269</v>
      </c>
      <c r="AM312" s="45">
        <f t="shared" si="204"/>
        <v>0.11261444047083269</v>
      </c>
      <c r="AN312" s="45">
        <f t="shared" si="204"/>
        <v>0.11261444047083267</v>
      </c>
      <c r="AO312" s="45">
        <f t="shared" si="204"/>
        <v>0.11261444047083269</v>
      </c>
      <c r="AP312" s="45">
        <f t="shared" si="204"/>
        <v>0.11261444047083267</v>
      </c>
      <c r="AR312" s="45">
        <f t="shared" ref="AR312:AW312" si="205">AR257-AR256</f>
        <v>0.1126144404708327</v>
      </c>
      <c r="AS312" s="45">
        <f t="shared" si="205"/>
        <v>0.1126144404708327</v>
      </c>
      <c r="AT312" s="45">
        <f t="shared" si="205"/>
        <v>0.1126144404708327</v>
      </c>
      <c r="AU312" s="45">
        <f t="shared" si="205"/>
        <v>0.11261444047083269</v>
      </c>
      <c r="AV312" s="45">
        <f t="shared" si="205"/>
        <v>0.11261444047083269</v>
      </c>
      <c r="AW312" s="45">
        <f t="shared" si="205"/>
        <v>0.11261444047083267</v>
      </c>
    </row>
    <row r="313" spans="1:49" x14ac:dyDescent="0.25">
      <c r="A313" s="44" t="s">
        <v>110</v>
      </c>
      <c r="B313" s="46">
        <f t="shared" ref="B313:G313" si="206">B312/B310</f>
        <v>0.43591630544906723</v>
      </c>
      <c r="C313" s="46">
        <f t="shared" si="206"/>
        <v>0.45445868097335318</v>
      </c>
      <c r="D313" s="46">
        <f t="shared" si="206"/>
        <v>0.47118389344263151</v>
      </c>
      <c r="E313" s="46">
        <f t="shared" si="206"/>
        <v>0.4895068387006401</v>
      </c>
      <c r="F313" s="46">
        <f t="shared" si="206"/>
        <v>0.50633802425362018</v>
      </c>
      <c r="G313" s="46">
        <f t="shared" si="206"/>
        <v>0.51632255468270782</v>
      </c>
      <c r="H313" s="46"/>
      <c r="I313" s="46">
        <f t="shared" ref="I313:N313" si="207">I312/I310</f>
        <v>0.44515265630725942</v>
      </c>
      <c r="J313" s="46">
        <f t="shared" si="207"/>
        <v>0.4642126928871152</v>
      </c>
      <c r="K313" s="46">
        <f t="shared" si="207"/>
        <v>0.48139261299591063</v>
      </c>
      <c r="L313" s="46">
        <f t="shared" si="207"/>
        <v>0.50033581466763988</v>
      </c>
      <c r="M313" s="46">
        <f t="shared" si="207"/>
        <v>0.51793878153360717</v>
      </c>
      <c r="N313" s="46">
        <f t="shared" si="207"/>
        <v>0.51632255468270782</v>
      </c>
      <c r="O313" s="239"/>
      <c r="P313" s="46">
        <f t="shared" ref="P313:U313" si="208">P312/P310</f>
        <v>0.45440862078110356</v>
      </c>
      <c r="Q313" s="46">
        <f t="shared" si="208"/>
        <v>0.47410837874698991</v>
      </c>
      <c r="R313" s="46">
        <f t="shared" si="208"/>
        <v>0.49180824372378329</v>
      </c>
      <c r="S313" s="46">
        <f t="shared" si="208"/>
        <v>0.51172286070737716</v>
      </c>
      <c r="T313" s="46">
        <f t="shared" si="208"/>
        <v>0.52993579385872236</v>
      </c>
      <c r="U313" s="46">
        <f t="shared" si="208"/>
        <v>0.51632255468270782</v>
      </c>
      <c r="W313" s="46">
        <f t="shared" ref="W313:AB313" si="209">W312/W310</f>
        <v>0.46406596889367063</v>
      </c>
      <c r="X313" s="46">
        <f t="shared" si="209"/>
        <v>0.4844276818875316</v>
      </c>
      <c r="Y313" s="46">
        <f t="shared" si="209"/>
        <v>0.50304549318434821</v>
      </c>
      <c r="Z313" s="46">
        <f t="shared" si="209"/>
        <v>0.52356506625557975</v>
      </c>
      <c r="AA313" s="46">
        <f t="shared" si="209"/>
        <v>0.54254784107951859</v>
      </c>
      <c r="AB313" s="46">
        <f t="shared" si="209"/>
        <v>0.51632255468270782</v>
      </c>
      <c r="AD313" s="46">
        <f t="shared" ref="AD313:AI313" si="210">AD312/AD310</f>
        <v>0.47417943187165001</v>
      </c>
      <c r="AE313" s="46">
        <f t="shared" si="210"/>
        <v>0.49555170560798606</v>
      </c>
      <c r="AF313" s="46">
        <f t="shared" si="210"/>
        <v>0.51474242629745548</v>
      </c>
      <c r="AG313" s="46">
        <f t="shared" si="210"/>
        <v>0.53603865190801292</v>
      </c>
      <c r="AH313" s="46">
        <f t="shared" si="210"/>
        <v>0.55625382682003888</v>
      </c>
      <c r="AI313" s="46">
        <f t="shared" si="210"/>
        <v>0.51632255468270782</v>
      </c>
      <c r="AK313" s="46">
        <f t="shared" ref="AK313:AP313" si="211">AK312/AK310</f>
        <v>0.48466353738751344</v>
      </c>
      <c r="AL313" s="46">
        <f t="shared" si="211"/>
        <v>0.50708498184405248</v>
      </c>
      <c r="AM313" s="46">
        <f t="shared" si="211"/>
        <v>0.52697466399314008</v>
      </c>
      <c r="AN313" s="46">
        <f t="shared" si="211"/>
        <v>0.54947974855450021</v>
      </c>
      <c r="AO313" s="46">
        <f t="shared" si="211"/>
        <v>0.57084191225182945</v>
      </c>
      <c r="AP313" s="46">
        <f t="shared" si="211"/>
        <v>0.51632255468270782</v>
      </c>
      <c r="AR313" s="46">
        <f t="shared" ref="AR313:AW313" si="212">AR312/AR310</f>
        <v>0.4949618803608824</v>
      </c>
      <c r="AS313" s="46">
        <f t="shared" si="212"/>
        <v>0.51919938640489172</v>
      </c>
      <c r="AT313" s="46">
        <f t="shared" si="212"/>
        <v>0.53976062387381385</v>
      </c>
      <c r="AU313" s="46">
        <f t="shared" si="212"/>
        <v>0.56385665433547849</v>
      </c>
      <c r="AV313" s="46">
        <f t="shared" si="212"/>
        <v>0.58621342990658665</v>
      </c>
      <c r="AW313" s="46">
        <f t="shared" si="212"/>
        <v>0.51632255468270782</v>
      </c>
    </row>
    <row r="314" spans="1:49" x14ac:dyDescent="0.25">
      <c r="A314" s="34" t="s">
        <v>359</v>
      </c>
      <c r="B314" s="21">
        <f>((SUMPRODUCT(B$9:B$229,Nutrients!$EE$8:$EE$228)+(IF($A$7=Nutrients!$B$8,Nutrients!$EE$8,Nutrients!$EE$9)*B$7)+(((IF($A$8=Nutrients!$B$79,Nutrients!$EE$79,(IF($A$8=Nutrients!$B$77,Nutrients!$EE$77,Nutrients!$EE$78)))))*B$8))/2000)*2.2046</f>
        <v>608.03970300000003</v>
      </c>
      <c r="C314" s="21">
        <f>((SUMPRODUCT(C$9:C$229,Nutrients!$EE$8:$EE$228)+(IF($A$7=Nutrients!$B$8,Nutrients!$EE$8,Nutrients!$EE$9)*C$7)+(((IF($A$8=Nutrients!$B$79,Nutrients!$EE$79,(IF($A$8=Nutrients!$B$77,Nutrients!$EE$77,Nutrients!$EE$78)))))*C$8))/2000)*2.2046</f>
        <v>608.03970300000003</v>
      </c>
      <c r="D314" s="21">
        <f>((SUMPRODUCT(D$9:D$229,Nutrients!$EE$8:$EE$228)+(IF($A$7=Nutrients!$B$8,Nutrients!$EE$8,Nutrients!$EE$9)*D$7)+(((IF($A$8=Nutrients!$B$79,Nutrients!$EE$79,(IF($A$8=Nutrients!$B$77,Nutrients!$EE$77,Nutrients!$EE$78)))))*D$8))/2000)*2.2046</f>
        <v>608.03970300000003</v>
      </c>
      <c r="E314" s="21">
        <f>((SUMPRODUCT(E$9:E$229,Nutrients!$EE$8:$EE$228)+(IF($A$7=Nutrients!$B$8,Nutrients!$EE$8,Nutrients!$EE$9)*E$7)+(((IF($A$8=Nutrients!$B$79,Nutrients!$EE$79,(IF($A$8=Nutrients!$B$77,Nutrients!$EE$77,Nutrients!$EE$78)))))*E$8))/2000)*2.2046</f>
        <v>608.03970300000003</v>
      </c>
      <c r="F314" s="21">
        <f>((SUMPRODUCT(F$9:F$229,Nutrients!$EE$8:$EE$228)+(IF($A$7=Nutrients!$B$8,Nutrients!$EE$8,Nutrients!$EE$9)*F$7)+(((IF($A$8=Nutrients!$B$79,Nutrients!$EE$79,(IF($A$8=Nutrients!$B$77,Nutrients!$EE$77,Nutrients!$EE$78)))))*F$8))/2000)*2.2046</f>
        <v>608.03970300000003</v>
      </c>
      <c r="G314" s="21">
        <f>((SUMPRODUCT(G$9:G$229,Nutrients!$EE$8:$EE$228)+(IF($A$7=Nutrients!$B$8,Nutrients!$EE$8,Nutrients!$EE$9)*G$7)+(((IF($A$8=Nutrients!$B$79,Nutrients!$EE$79,(IF($A$8=Nutrients!$B$77,Nutrients!$EE$77,Nutrients!$EE$78)))))*G$8))/2000)*2.2046</f>
        <v>608.03970300000003</v>
      </c>
      <c r="H314" s="226"/>
      <c r="I314" s="21">
        <f>((SUMPRODUCT(I$9:I$229,Nutrients!$EE$8:$EE$228)+(IF($A$7=Nutrients!$B$8,Nutrients!$EE$8,Nutrients!$EE$9)*I$7)+(((IF($A$8=Nutrients!$B$79,Nutrients!$EE$79,(IF($A$8=Nutrients!$B$77,Nutrients!$EE$77,Nutrients!$EE$78)))))*I$8))/2000)*2.2046</f>
        <v>608.03970300000003</v>
      </c>
      <c r="J314" s="21">
        <f>((SUMPRODUCT(J$9:J$229,Nutrients!$EE$8:$EE$228)+(IF($A$7=Nutrients!$B$8,Nutrients!$EE$8,Nutrients!$EE$9)*J$7)+(((IF($A$8=Nutrients!$B$79,Nutrients!$EE$79,(IF($A$8=Nutrients!$B$77,Nutrients!$EE$77,Nutrients!$EE$78)))))*J$8))/2000)*2.2046</f>
        <v>608.03970300000003</v>
      </c>
      <c r="K314" s="21">
        <f>((SUMPRODUCT(K$9:K$229,Nutrients!$EE$8:$EE$228)+(IF($A$7=Nutrients!$B$8,Nutrients!$EE$8,Nutrients!$EE$9)*K$7)+(((IF($A$8=Nutrients!$B$79,Nutrients!$EE$79,(IF($A$8=Nutrients!$B$77,Nutrients!$EE$77,Nutrients!$EE$78)))))*K$8))/2000)*2.2046</f>
        <v>608.03970300000003</v>
      </c>
      <c r="L314" s="21">
        <f>((SUMPRODUCT(L$9:L$229,Nutrients!$EE$8:$EE$228)+(IF($A$7=Nutrients!$B$8,Nutrients!$EE$8,Nutrients!$EE$9)*L$7)+(((IF($A$8=Nutrients!$B$79,Nutrients!$EE$79,(IF($A$8=Nutrients!$B$77,Nutrients!$EE$77,Nutrients!$EE$78)))))*L$8))/2000)*2.2046</f>
        <v>608.03970300000003</v>
      </c>
      <c r="M314" s="21">
        <f>((SUMPRODUCT(M$9:M$229,Nutrients!$EE$8:$EE$228)+(IF($A$7=Nutrients!$B$8,Nutrients!$EE$8,Nutrients!$EE$9)*M$7)+(((IF($A$8=Nutrients!$B$79,Nutrients!$EE$79,(IF($A$8=Nutrients!$B$77,Nutrients!$EE$77,Nutrients!$EE$78)))))*M$8))/2000)*2.2046</f>
        <v>608.03970300000003</v>
      </c>
      <c r="N314" s="21">
        <f>((SUMPRODUCT(N$9:N$229,Nutrients!$EE$8:$EE$228)+(IF($A$7=Nutrients!$B$8,Nutrients!$EE$8,Nutrients!$EE$9)*N$7)+(((IF($A$8=Nutrients!$B$79,Nutrients!$EE$79,(IF($A$8=Nutrients!$B$77,Nutrients!$EE$77,Nutrients!$EE$78)))))*N$8))/2000)*2.2046</f>
        <v>608.03970300000003</v>
      </c>
      <c r="O314" s="46"/>
      <c r="P314" s="21">
        <f>((SUMPRODUCT(P$9:P$229,Nutrients!$EE$8:$EE$228)+(IF($A$7=Nutrients!$B$8,Nutrients!$EE$8,Nutrients!$EE$9)*P$7)+(((IF($A$8=Nutrients!$B$79,Nutrients!$EE$79,(IF($A$8=Nutrients!$B$77,Nutrients!$EE$77,Nutrients!$EE$78)))))*P$8))/2000)*2.2046</f>
        <v>608.03970300000003</v>
      </c>
      <c r="Q314" s="21">
        <f>((SUMPRODUCT(Q$9:Q$229,Nutrients!$EE$8:$EE$228)+(IF($A$7=Nutrients!$B$8,Nutrients!$EE$8,Nutrients!$EE$9)*Q$7)+(((IF($A$8=Nutrients!$B$79,Nutrients!$EE$79,(IF($A$8=Nutrients!$B$77,Nutrients!$EE$77,Nutrients!$EE$78)))))*Q$8))/2000)*2.2046</f>
        <v>608.03970300000003</v>
      </c>
      <c r="R314" s="21">
        <f>((SUMPRODUCT(R$9:R$229,Nutrients!$EE$8:$EE$228)+(IF($A$7=Nutrients!$B$8,Nutrients!$EE$8,Nutrients!$EE$9)*R$7)+(((IF($A$8=Nutrients!$B$79,Nutrients!$EE$79,(IF($A$8=Nutrients!$B$77,Nutrients!$EE$77,Nutrients!$EE$78)))))*R$8))/2000)*2.2046</f>
        <v>608.03970300000003</v>
      </c>
      <c r="S314" s="21">
        <f>((SUMPRODUCT(S$9:S$229,Nutrients!$EE$8:$EE$228)+(IF($A$7=Nutrients!$B$8,Nutrients!$EE$8,Nutrients!$EE$9)*S$7)+(((IF($A$8=Nutrients!$B$79,Nutrients!$EE$79,(IF($A$8=Nutrients!$B$77,Nutrients!$EE$77,Nutrients!$EE$78)))))*S$8))/2000)*2.2046</f>
        <v>608.03970300000003</v>
      </c>
      <c r="T314" s="21">
        <f>((SUMPRODUCT(T$9:T$229,Nutrients!$EE$8:$EE$228)+(IF($A$7=Nutrients!$B$8,Nutrients!$EE$8,Nutrients!$EE$9)*T$7)+(((IF($A$8=Nutrients!$B$79,Nutrients!$EE$79,(IF($A$8=Nutrients!$B$77,Nutrients!$EE$77,Nutrients!$EE$78)))))*T$8))/2000)*2.2046</f>
        <v>608.03970300000003</v>
      </c>
      <c r="U314" s="21">
        <f>((SUMPRODUCT(U$9:U$229,Nutrients!$EE$8:$EE$228)+(IF($A$7=Nutrients!$B$8,Nutrients!$EE$8,Nutrients!$EE$9)*U$7)+(((IF($A$8=Nutrients!$B$79,Nutrients!$EE$79,(IF($A$8=Nutrients!$B$77,Nutrients!$EE$77,Nutrients!$EE$78)))))*U$8))/2000)*2.2046</f>
        <v>608.03970300000003</v>
      </c>
      <c r="W314" s="21">
        <f>((SUMPRODUCT(W$9:W$229,Nutrients!$EE$8:$EE$228)+(IF($A$7=Nutrients!$B$8,Nutrients!$EE$8,Nutrients!$EE$9)*W$7)+(((IF($A$8=Nutrients!$B$79,Nutrients!$EE$79,(IF($A$8=Nutrients!$B$77,Nutrients!$EE$77,Nutrients!$EE$78)))))*W$8))/2000)*2.2046</f>
        <v>608.03970300000003</v>
      </c>
      <c r="X314" s="21">
        <f>((SUMPRODUCT(X$9:X$229,Nutrients!$EE$8:$EE$228)+(IF($A$7=Nutrients!$B$8,Nutrients!$EE$8,Nutrients!$EE$9)*X$7)+(((IF($A$8=Nutrients!$B$79,Nutrients!$EE$79,(IF($A$8=Nutrients!$B$77,Nutrients!$EE$77,Nutrients!$EE$78)))))*X$8))/2000)*2.2046</f>
        <v>608.03970300000003</v>
      </c>
      <c r="Y314" s="21">
        <f>((SUMPRODUCT(Y$9:Y$229,Nutrients!$EE$8:$EE$228)+(IF($A$7=Nutrients!$B$8,Nutrients!$EE$8,Nutrients!$EE$9)*Y$7)+(((IF($A$8=Nutrients!$B$79,Nutrients!$EE$79,(IF($A$8=Nutrients!$B$77,Nutrients!$EE$77,Nutrients!$EE$78)))))*Y$8))/2000)*2.2046</f>
        <v>608.03970300000003</v>
      </c>
      <c r="Z314" s="21">
        <f>((SUMPRODUCT(Z$9:Z$229,Nutrients!$EE$8:$EE$228)+(IF($A$7=Nutrients!$B$8,Nutrients!$EE$8,Nutrients!$EE$9)*Z$7)+(((IF($A$8=Nutrients!$B$79,Nutrients!$EE$79,(IF($A$8=Nutrients!$B$77,Nutrients!$EE$77,Nutrients!$EE$78)))))*Z$8))/2000)*2.2046</f>
        <v>608.03970300000003</v>
      </c>
      <c r="AA314" s="21">
        <f>((SUMPRODUCT(AA$9:AA$229,Nutrients!$EE$8:$EE$228)+(IF($A$7=Nutrients!$B$8,Nutrients!$EE$8,Nutrients!$EE$9)*AA$7)+(((IF($A$8=Nutrients!$B$79,Nutrients!$EE$79,(IF($A$8=Nutrients!$B$77,Nutrients!$EE$77,Nutrients!$EE$78)))))*AA$8))/2000)*2.2046</f>
        <v>608.03970300000003</v>
      </c>
      <c r="AB314" s="21">
        <f>((SUMPRODUCT(AB$9:AB$229,Nutrients!$EE$8:$EE$228)+(IF($A$7=Nutrients!$B$8,Nutrients!$EE$8,Nutrients!$EE$9)*AB$7)+(((IF($A$8=Nutrients!$B$79,Nutrients!$EE$79,(IF($A$8=Nutrients!$B$77,Nutrients!$EE$77,Nutrients!$EE$78)))))*AB$8))/2000)*2.2046</f>
        <v>608.03970300000003</v>
      </c>
      <c r="AD314" s="21">
        <f>((SUMPRODUCT(AD$9:AD$229,Nutrients!$EE$8:$EE$228)+(IF($A$7=Nutrients!$B$8,Nutrients!$EE$8,Nutrients!$EE$9)*AD$7)+(((IF($A$8=Nutrients!$B$79,Nutrients!$EE$79,(IF($A$8=Nutrients!$B$77,Nutrients!$EE$77,Nutrients!$EE$78)))))*AD$8))/2000)*2.2046</f>
        <v>608.03970300000003</v>
      </c>
      <c r="AE314" s="21">
        <f>((SUMPRODUCT(AE$9:AE$229,Nutrients!$EE$8:$EE$228)+(IF($A$7=Nutrients!$B$8,Nutrients!$EE$8,Nutrients!$EE$9)*AE$7)+(((IF($A$8=Nutrients!$B$79,Nutrients!$EE$79,(IF($A$8=Nutrients!$B$77,Nutrients!$EE$77,Nutrients!$EE$78)))))*AE$8))/2000)*2.2046</f>
        <v>608.03970300000003</v>
      </c>
      <c r="AF314" s="21">
        <f>((SUMPRODUCT(AF$9:AF$229,Nutrients!$EE$8:$EE$228)+(IF($A$7=Nutrients!$B$8,Nutrients!$EE$8,Nutrients!$EE$9)*AF$7)+(((IF($A$8=Nutrients!$B$79,Nutrients!$EE$79,(IF($A$8=Nutrients!$B$77,Nutrients!$EE$77,Nutrients!$EE$78)))))*AF$8))/2000)*2.2046</f>
        <v>608.03970300000003</v>
      </c>
      <c r="AG314" s="21">
        <f>((SUMPRODUCT(AG$9:AG$229,Nutrients!$EE$8:$EE$228)+(IF($A$7=Nutrients!$B$8,Nutrients!$EE$8,Nutrients!$EE$9)*AG$7)+(((IF($A$8=Nutrients!$B$79,Nutrients!$EE$79,(IF($A$8=Nutrients!$B$77,Nutrients!$EE$77,Nutrients!$EE$78)))))*AG$8))/2000)*2.2046</f>
        <v>608.03970300000003</v>
      </c>
      <c r="AH314" s="21">
        <f>((SUMPRODUCT(AH$9:AH$229,Nutrients!$EE$8:$EE$228)+(IF($A$7=Nutrients!$B$8,Nutrients!$EE$8,Nutrients!$EE$9)*AH$7)+(((IF($A$8=Nutrients!$B$79,Nutrients!$EE$79,(IF($A$8=Nutrients!$B$77,Nutrients!$EE$77,Nutrients!$EE$78)))))*AH$8))/2000)*2.2046</f>
        <v>608.03970300000003</v>
      </c>
      <c r="AI314" s="21">
        <f>((SUMPRODUCT(AI$9:AI$229,Nutrients!$EE$8:$EE$228)+(IF($A$7=Nutrients!$B$8,Nutrients!$EE$8,Nutrients!$EE$9)*AI$7)+(((IF($A$8=Nutrients!$B$79,Nutrients!$EE$79,(IF($A$8=Nutrients!$B$77,Nutrients!$EE$77,Nutrients!$EE$78)))))*AI$8))/2000)*2.2046</f>
        <v>608.03970300000003</v>
      </c>
      <c r="AK314" s="21">
        <f>((SUMPRODUCT(AK$9:AK$229,Nutrients!$EE$8:$EE$228)+(IF($A$7=Nutrients!$B$8,Nutrients!$EE$8,Nutrients!$EE$9)*AK$7)+(((IF($A$8=Nutrients!$B$79,Nutrients!$EE$79,(IF($A$8=Nutrients!$B$77,Nutrients!$EE$77,Nutrients!$EE$78)))))*AK$8))/2000)*2.2046</f>
        <v>608.03970300000003</v>
      </c>
      <c r="AL314" s="21">
        <f>((SUMPRODUCT(AL$9:AL$229,Nutrients!$EE$8:$EE$228)+(IF($A$7=Nutrients!$B$8,Nutrients!$EE$8,Nutrients!$EE$9)*AL$7)+(((IF($A$8=Nutrients!$B$79,Nutrients!$EE$79,(IF($A$8=Nutrients!$B$77,Nutrients!$EE$77,Nutrients!$EE$78)))))*AL$8))/2000)*2.2046</f>
        <v>608.03970300000003</v>
      </c>
      <c r="AM314" s="21">
        <f>((SUMPRODUCT(AM$9:AM$229,Nutrients!$EE$8:$EE$228)+(IF($A$7=Nutrients!$B$8,Nutrients!$EE$8,Nutrients!$EE$9)*AM$7)+(((IF($A$8=Nutrients!$B$79,Nutrients!$EE$79,(IF($A$8=Nutrients!$B$77,Nutrients!$EE$77,Nutrients!$EE$78)))))*AM$8))/2000)*2.2046</f>
        <v>608.03970300000003</v>
      </c>
      <c r="AN314" s="21">
        <f>((SUMPRODUCT(AN$9:AN$229,Nutrients!$EE$8:$EE$228)+(IF($A$7=Nutrients!$B$8,Nutrients!$EE$8,Nutrients!$EE$9)*AN$7)+(((IF($A$8=Nutrients!$B$79,Nutrients!$EE$79,(IF($A$8=Nutrients!$B$77,Nutrients!$EE$77,Nutrients!$EE$78)))))*AN$8))/2000)*2.2046</f>
        <v>608.03970300000003</v>
      </c>
      <c r="AO314" s="21">
        <f>((SUMPRODUCT(AO$9:AO$229,Nutrients!$EE$8:$EE$228)+(IF($A$7=Nutrients!$B$8,Nutrients!$EE$8,Nutrients!$EE$9)*AO$7)+(((IF($A$8=Nutrients!$B$79,Nutrients!$EE$79,(IF($A$8=Nutrients!$B$77,Nutrients!$EE$77,Nutrients!$EE$78)))))*AO$8))/2000)*2.2046</f>
        <v>608.03970300000003</v>
      </c>
      <c r="AP314" s="21">
        <f>((SUMPRODUCT(AP$9:AP$229,Nutrients!$EE$8:$EE$228)+(IF($A$7=Nutrients!$B$8,Nutrients!$EE$8,Nutrients!$EE$9)*AP$7)+(((IF($A$8=Nutrients!$B$79,Nutrients!$EE$79,(IF($A$8=Nutrients!$B$77,Nutrients!$EE$77,Nutrients!$EE$78)))))*AP$8))/2000)*2.2046</f>
        <v>608.03970300000003</v>
      </c>
      <c r="AR314" s="21">
        <f>((SUMPRODUCT(AR$9:AR$229,Nutrients!$EE$8:$EE$228)+(IF($A$7=Nutrients!$B$8,Nutrients!$EE$8,Nutrients!$EE$9)*AR$7)+(((IF($A$8=Nutrients!$B$79,Nutrients!$EE$79,(IF($A$8=Nutrients!$B$77,Nutrients!$EE$77,Nutrients!$EE$78)))))*AR$8))/2000)*2.2046</f>
        <v>608.03970300000003</v>
      </c>
      <c r="AS314" s="21">
        <f>((SUMPRODUCT(AS$9:AS$229,Nutrients!$EE$8:$EE$228)+(IF($A$7=Nutrients!$B$8,Nutrients!$EE$8,Nutrients!$EE$9)*AS$7)+(((IF($A$8=Nutrients!$B$79,Nutrients!$EE$79,(IF($A$8=Nutrients!$B$77,Nutrients!$EE$77,Nutrients!$EE$78)))))*AS$8))/2000)*2.2046</f>
        <v>608.03970300000003</v>
      </c>
      <c r="AT314" s="21">
        <f>((SUMPRODUCT(AT$9:AT$229,Nutrients!$EE$8:$EE$228)+(IF($A$7=Nutrients!$B$8,Nutrients!$EE$8,Nutrients!$EE$9)*AT$7)+(((IF($A$8=Nutrients!$B$79,Nutrients!$EE$79,(IF($A$8=Nutrients!$B$77,Nutrients!$EE$77,Nutrients!$EE$78)))))*AT$8))/2000)*2.2046</f>
        <v>608.03970300000003</v>
      </c>
      <c r="AU314" s="21">
        <f>((SUMPRODUCT(AU$9:AU$229,Nutrients!$EE$8:$EE$228)+(IF($A$7=Nutrients!$B$8,Nutrients!$EE$8,Nutrients!$EE$9)*AU$7)+(((IF($A$8=Nutrients!$B$79,Nutrients!$EE$79,(IF($A$8=Nutrients!$B$77,Nutrients!$EE$77,Nutrients!$EE$78)))))*AU$8))/2000)*2.2046</f>
        <v>608.03970300000003</v>
      </c>
      <c r="AV314" s="21">
        <f>((SUMPRODUCT(AV$9:AV$229,Nutrients!$EE$8:$EE$228)+(IF($A$7=Nutrients!$B$8,Nutrients!$EE$8,Nutrients!$EE$9)*AV$7)+(((IF($A$8=Nutrients!$B$79,Nutrients!$EE$79,(IF($A$8=Nutrients!$B$77,Nutrients!$EE$77,Nutrients!$EE$78)))))*AV$8))/2000)*2.2046</f>
        <v>608.03970300000003</v>
      </c>
      <c r="AW314" s="21">
        <f>((SUMPRODUCT(AW$9:AW$229,Nutrients!$EE$8:$EE$228)+(IF($A$7=Nutrients!$B$8,Nutrients!$EE$8,Nutrients!$EE$9)*AW$7)+(((IF($A$8=Nutrients!$B$79,Nutrients!$EE$79,(IF($A$8=Nutrients!$B$77,Nutrients!$EE$77,Nutrients!$EE$78)))))*AW$8))/2000)*2.2046</f>
        <v>608.03970300000003</v>
      </c>
    </row>
    <row r="315" spans="1:49" x14ac:dyDescent="0.25">
      <c r="A315" s="34" t="s">
        <v>360</v>
      </c>
      <c r="B315" s="23">
        <f>((SUMPRODUCT(B$9:B$229,Nutrients!$FK$8:$FK$228)+(IF($A$7=Nutrients!$B$8,Nutrients!$FK$8,Nutrients!$FK$9)*B$7)+(((IF($A$8=Nutrients!$B$79,Nutrients!$FK$79,(IF($A$8=Nutrients!$B$77,Nutrients!$FK$77,Nutrients!$FK$78)))))*B$8))/2000)</f>
        <v>1.5519301991788417</v>
      </c>
      <c r="C315" s="23">
        <f>((SUMPRODUCT(C$9:C$229,Nutrients!$FK$8:$FK$228)+(IF($A$7=Nutrients!$B$8,Nutrients!$FK$8,Nutrients!$FK$9)*C$7)+(((IF($A$8=Nutrients!$B$79,Nutrients!$FK$79,(IF($A$8=Nutrients!$B$77,Nutrients!$FK$77,Nutrients!$FK$78)))))*C$8))/2000)</f>
        <v>1.595708614420986</v>
      </c>
      <c r="D315" s="23">
        <f>((SUMPRODUCT(D$9:D$229,Nutrients!$FK$8:$FK$228)+(IF($A$7=Nutrients!$B$8,Nutrients!$FK$8,Nutrients!$FK$9)*D$7)+(((IF($A$8=Nutrients!$B$79,Nutrients!$FK$79,(IF($A$8=Nutrients!$B$77,Nutrients!$FK$77,Nutrients!$FK$78)))))*D$8))/2000)</f>
        <v>1.633289438982505</v>
      </c>
      <c r="E315" s="23">
        <f>((SUMPRODUCT(E$9:E$229,Nutrients!$FK$8:$FK$228)+(IF($A$7=Nutrients!$B$8,Nutrients!$FK$8,Nutrients!$FK$9)*E$7)+(((IF($A$8=Nutrients!$B$79,Nutrients!$FK$79,(IF($A$8=Nutrients!$B$77,Nutrients!$FK$77,Nutrients!$FK$78)))))*E$8))/2000)</f>
        <v>1.6684624843927185</v>
      </c>
      <c r="F315" s="23">
        <f>((SUMPRODUCT(F$9:F$229,Nutrients!$FK$8:$FK$228)+(IF($A$7=Nutrients!$B$8,Nutrients!$FK$8,Nutrients!$FK$9)*F$7)+(((IF($A$8=Nutrients!$B$79,Nutrients!$FK$79,(IF($A$8=Nutrients!$B$77,Nutrients!$FK$77,Nutrients!$FK$78)))))*F$8))/2000)</f>
        <v>1.6972910046236616</v>
      </c>
      <c r="G315" s="23">
        <f>((SUMPRODUCT(G$9:G$229,Nutrients!$FK$8:$FK$228)+(IF($A$7=Nutrients!$B$8,Nutrients!$FK$8,Nutrients!$FK$9)*G$7)+(((IF($A$8=Nutrients!$B$79,Nutrients!$FK$79,(IF($A$8=Nutrients!$B$77,Nutrients!$FK$77,Nutrients!$FK$78)))))*G$8))/2000)</f>
        <v>1.7124024914223799</v>
      </c>
      <c r="H315" s="227"/>
      <c r="I315" s="23">
        <f>((SUMPRODUCT(I$9:I$229,Nutrients!$FK$8:$FK$228)+(IF($A$7=Nutrients!$B$8,Nutrients!$FK$8,Nutrients!$FK$9)*I$7)+(((IF($A$8=Nutrients!$B$79,Nutrients!$FK$79,(IF($A$8=Nutrients!$B$77,Nutrients!$FK$77,Nutrients!$FK$78)))))*I$8))/2000)</f>
        <v>1.4760344244256087</v>
      </c>
      <c r="J315" s="23">
        <f>((SUMPRODUCT(J$9:J$229,Nutrients!$FK$8:$FK$228)+(IF($A$7=Nutrients!$B$8,Nutrients!$FK$8,Nutrients!$FK$9)*J$7)+(((IF($A$8=Nutrients!$B$79,Nutrients!$FK$79,(IF($A$8=Nutrients!$B$77,Nutrients!$FK$77,Nutrients!$FK$78)))))*J$8))/2000)</f>
        <v>1.5191214970156433</v>
      </c>
      <c r="K315" s="23">
        <f>((SUMPRODUCT(K$9:K$229,Nutrients!$FK$8:$FK$228)+(IF($A$7=Nutrients!$B$8,Nutrients!$FK$8,Nutrients!$FK$9)*K$7)+(((IF($A$8=Nutrients!$B$79,Nutrients!$FK$79,(IF($A$8=Nutrients!$B$77,Nutrients!$FK$77,Nutrients!$FK$78)))))*K$8))/2000)</f>
        <v>1.5562714494008456</v>
      </c>
      <c r="L315" s="23">
        <f>((SUMPRODUCT(L$9:L$229,Nutrients!$FK$8:$FK$228)+(IF($A$7=Nutrients!$B$8,Nutrients!$FK$8,Nutrients!$FK$9)*L$7)+(((IF($A$8=Nutrients!$B$79,Nutrients!$FK$79,(IF($A$8=Nutrients!$B$77,Nutrients!$FK$77,Nutrients!$FK$78)))))*L$8))/2000)</f>
        <v>1.5911288986500161</v>
      </c>
      <c r="M315" s="23">
        <f>((SUMPRODUCT(M$9:M$229,Nutrients!$FK$8:$FK$228)+(IF($A$7=Nutrients!$B$8,Nutrients!$FK$8,Nutrients!$FK$9)*M$7)+(((IF($A$8=Nutrients!$B$79,Nutrients!$FK$79,(IF($A$8=Nutrients!$B$77,Nutrients!$FK$77,Nutrients!$FK$78)))))*M$8))/2000)</f>
        <v>1.6200263975221858</v>
      </c>
      <c r="N315" s="23">
        <f>((SUMPRODUCT(N$9:N$229,Nutrients!$FK$8:$FK$228)+(IF($A$7=Nutrients!$B$8,Nutrients!$FK$8,Nutrients!$FK$9)*N$7)+(((IF($A$8=Nutrients!$B$79,Nutrients!$FK$79,(IF($A$8=Nutrients!$B$77,Nutrients!$FK$77,Nutrients!$FK$78)))))*N$8))/2000)</f>
        <v>1.7124024914223799</v>
      </c>
      <c r="O315" s="234"/>
      <c r="P315" s="23">
        <f>((SUMPRODUCT(P$9:P$229,Nutrients!$FK$8:$FK$228)+(IF($A$7=Nutrients!$B$8,Nutrients!$FK$8,Nutrients!$FK$9)*P$7)+(((IF($A$8=Nutrients!$B$79,Nutrients!$FK$79,(IF($A$8=Nutrients!$B$77,Nutrients!$FK$77,Nutrients!$FK$78)))))*P$8))/2000)</f>
        <v>1.399358212946674</v>
      </c>
      <c r="Q315" s="23">
        <f>((SUMPRODUCT(Q$9:Q$229,Nutrients!$FK$8:$FK$228)+(IF($A$7=Nutrients!$B$8,Nutrients!$FK$8,Nutrients!$FK$9)*Q$7)+(((IF($A$8=Nutrients!$B$79,Nutrients!$FK$79,(IF($A$8=Nutrients!$B$77,Nutrients!$FK$77,Nutrients!$FK$78)))))*Q$8))/2000)</f>
        <v>1.4419894227552654</v>
      </c>
      <c r="R315" s="23">
        <f>((SUMPRODUCT(R$9:R$229,Nutrients!$FK$8:$FK$228)+(IF($A$7=Nutrients!$B$8,Nutrients!$FK$8,Nutrients!$FK$9)*R$7)+(((IF($A$8=Nutrients!$B$79,Nutrients!$FK$79,(IF($A$8=Nutrients!$B$77,Nutrients!$FK$77,Nutrients!$FK$78)))))*R$8))/2000)</f>
        <v>1.4788066153660113</v>
      </c>
      <c r="S315" s="23">
        <f>((SUMPRODUCT(S$9:S$229,Nutrients!$FK$8:$FK$228)+(IF($A$7=Nutrients!$B$8,Nutrients!$FK$8,Nutrients!$FK$9)*S$7)+(((IF($A$8=Nutrients!$B$79,Nutrients!$FK$79,(IF($A$8=Nutrients!$B$77,Nutrients!$FK$77,Nutrients!$FK$78)))))*S$8))/2000)</f>
        <v>1.5137805851345894</v>
      </c>
      <c r="T315" s="23">
        <f>((SUMPRODUCT(T$9:T$229,Nutrients!$FK$8:$FK$228)+(IF($A$7=Nutrients!$B$8,Nutrients!$FK$8,Nutrients!$FK$9)*T$7)+(((IF($A$8=Nutrients!$B$79,Nutrients!$FK$79,(IF($A$8=Nutrients!$B$77,Nutrients!$FK$77,Nutrients!$FK$78)))))*T$8))/2000)</f>
        <v>1.5423699636874932</v>
      </c>
      <c r="U315" s="23">
        <f>((SUMPRODUCT(U$9:U$229,Nutrients!$FK$8:$FK$228)+(IF($A$7=Nutrients!$B$8,Nutrients!$FK$8,Nutrients!$FK$9)*U$7)+(((IF($A$8=Nutrients!$B$79,Nutrients!$FK$79,(IF($A$8=Nutrients!$B$77,Nutrients!$FK$77,Nutrients!$FK$78)))))*U$8))/2000)</f>
        <v>1.7124024914223799</v>
      </c>
      <c r="W315" s="23">
        <f>((SUMPRODUCT(W$9:W$229,Nutrients!$FK$8:$FK$228)+(IF($A$7=Nutrients!$B$8,Nutrients!$FK$8,Nutrients!$FK$9)*W$7)+(((IF($A$8=Nutrients!$B$79,Nutrients!$FK$79,(IF($A$8=Nutrients!$B$77,Nutrients!$FK$77,Nutrients!$FK$78)))))*W$8))/2000)</f>
        <v>1.3226342204515136</v>
      </c>
      <c r="X315" s="23">
        <f>((SUMPRODUCT(X$9:X$229,Nutrients!$FK$8:$FK$228)+(IF($A$7=Nutrients!$B$8,Nutrients!$FK$8,Nutrients!$FK$9)*X$7)+(((IF($A$8=Nutrients!$B$79,Nutrients!$FK$79,(IF($A$8=Nutrients!$B$77,Nutrients!$FK$77,Nutrients!$FK$78)))))*X$8))/2000)</f>
        <v>1.3648916771986532</v>
      </c>
      <c r="Y315" s="23">
        <f>((SUMPRODUCT(Y$9:Y$229,Nutrients!$FK$8:$FK$228)+(IF($A$7=Nutrients!$B$8,Nutrients!$FK$8,Nutrients!$FK$9)*Y$7)+(((IF($A$8=Nutrients!$B$79,Nutrients!$FK$79,(IF($A$8=Nutrients!$B$77,Nutrients!$FK$77,Nutrients!$FK$78)))))*Y$8))/2000)</f>
        <v>1.4017904273073654</v>
      </c>
      <c r="Z315" s="23">
        <f>((SUMPRODUCT(Z$9:Z$229,Nutrients!$FK$8:$FK$228)+(IF($A$7=Nutrients!$B$8,Nutrients!$FK$8,Nutrients!$FK$9)*Z$7)+(((IF($A$8=Nutrients!$B$79,Nutrients!$FK$79,(IF($A$8=Nutrients!$B$77,Nutrients!$FK$77,Nutrients!$FK$78)))))*Z$8))/2000)</f>
        <v>1.4362012747590855</v>
      </c>
      <c r="AA315" s="23">
        <f>((SUMPRODUCT(AA$9:AA$229,Nutrients!$FK$8:$FK$228)+(IF($A$7=Nutrients!$B$8,Nutrients!$FK$8,Nutrients!$FK$9)*AA$7)+(((IF($A$8=Nutrients!$B$79,Nutrients!$FK$79,(IF($A$8=Nutrients!$B$77,Nutrients!$FK$77,Nutrients!$FK$78)))))*AA$8))/2000)</f>
        <v>1.4643599346153693</v>
      </c>
      <c r="AB315" s="23">
        <f>((SUMPRODUCT(AB$9:AB$229,Nutrients!$FK$8:$FK$228)+(IF($A$7=Nutrients!$B$8,Nutrients!$FK$8,Nutrients!$FK$9)*AB$7)+(((IF($A$8=Nutrients!$B$79,Nutrients!$FK$79,(IF($A$8=Nutrients!$B$77,Nutrients!$FK$77,Nutrients!$FK$78)))))*AB$8))/2000)</f>
        <v>1.7124024914223799</v>
      </c>
      <c r="AD315" s="23">
        <f>((SUMPRODUCT(AD$9:AD$229,Nutrients!$FK$8:$FK$228)+(IF($A$7=Nutrients!$B$8,Nutrients!$FK$8,Nutrients!$FK$9)*AD$7)+(((IF($A$8=Nutrients!$B$79,Nutrients!$FK$79,(IF($A$8=Nutrients!$B$77,Nutrients!$FK$77,Nutrients!$FK$78)))))*AD$8))/2000)</f>
        <v>1.2458797161413699</v>
      </c>
      <c r="AE315" s="23">
        <f>((SUMPRODUCT(AE$9:AE$229,Nutrients!$FK$8:$FK$228)+(IF($A$7=Nutrients!$B$8,Nutrients!$FK$8,Nutrients!$FK$9)*AE$7)+(((IF($A$8=Nutrients!$B$79,Nutrients!$FK$79,(IF($A$8=Nutrients!$B$77,Nutrients!$FK$77,Nutrients!$FK$78)))))*AE$8))/2000)</f>
        <v>1.2882286722072902</v>
      </c>
      <c r="AF315" s="23">
        <f>((SUMPRODUCT(AF$9:AF$229,Nutrients!$FK$8:$FK$228)+(IF($A$7=Nutrients!$B$8,Nutrients!$FK$8,Nutrients!$FK$9)*AF$7)+(((IF($A$8=Nutrients!$B$79,Nutrients!$FK$79,(IF($A$8=Nutrients!$B$77,Nutrients!$FK$77,Nutrients!$FK$78)))))*AF$8))/2000)</f>
        <v>1.3245530466189905</v>
      </c>
      <c r="AG315" s="23">
        <f>((SUMPRODUCT(AG$9:AG$229,Nutrients!$FK$8:$FK$228)+(IF($A$7=Nutrients!$B$8,Nutrients!$FK$8,Nutrients!$FK$9)*AG$7)+(((IF($A$8=Nutrients!$B$79,Nutrients!$FK$79,(IF($A$8=Nutrients!$B$77,Nutrients!$FK$77,Nutrients!$FK$78)))))*AG$8))/2000)</f>
        <v>1.3583465143292797</v>
      </c>
      <c r="AH315" s="23">
        <f>((SUMPRODUCT(AH$9:AH$229,Nutrients!$FK$8:$FK$228)+(IF($A$7=Nutrients!$B$8,Nutrients!$FK$8,Nutrients!$FK$9)*AH$7)+(((IF($A$8=Nutrients!$B$79,Nutrients!$FK$79,(IF($A$8=Nutrients!$B$77,Nutrients!$FK$77,Nutrients!$FK$78)))))*AH$8))/2000)</f>
        <v>1.3852296303900873</v>
      </c>
      <c r="AI315" s="23">
        <f>((SUMPRODUCT(AI$9:AI$229,Nutrients!$FK$8:$FK$228)+(IF($A$7=Nutrients!$B$8,Nutrients!$FK$8,Nutrients!$FK$9)*AI$7)+(((IF($A$8=Nutrients!$B$79,Nutrients!$FK$79,(IF($A$8=Nutrients!$B$77,Nutrients!$FK$77,Nutrients!$FK$78)))))*AI$8))/2000)</f>
        <v>1.7124024914223799</v>
      </c>
      <c r="AK315" s="23">
        <f>((SUMPRODUCT(AK$9:AK$229,Nutrients!$FK$8:$FK$228)+(IF($A$7=Nutrients!$B$8,Nutrients!$FK$8,Nutrients!$FK$9)*AK$7)+(((IF($A$8=Nutrients!$B$79,Nutrients!$FK$79,(IF($A$8=Nutrients!$B$77,Nutrients!$FK$77,Nutrients!$FK$78)))))*AK$8))/2000)</f>
        <v>1.1689719050305982</v>
      </c>
      <c r="AL315" s="23">
        <f>((SUMPRODUCT(AL$9:AL$229,Nutrients!$FK$8:$FK$228)+(IF($A$7=Nutrients!$B$8,Nutrients!$FK$8,Nutrients!$FK$9)*AL$7)+(((IF($A$8=Nutrients!$B$79,Nutrients!$FK$79,(IF($A$8=Nutrients!$B$77,Nutrients!$FK$77,Nutrients!$FK$78)))))*AL$8))/2000)</f>
        <v>1.2114861644076045</v>
      </c>
      <c r="AM315" s="23">
        <f>((SUMPRODUCT(AM$9:AM$229,Nutrients!$FK$8:$FK$228)+(IF($A$7=Nutrients!$B$8,Nutrients!$FK$8,Nutrients!$FK$9)*AM$7)+(((IF($A$8=Nutrients!$B$79,Nutrients!$FK$79,(IF($A$8=Nutrients!$B$77,Nutrients!$FK$77,Nutrients!$FK$78)))))*AM$8))/2000)</f>
        <v>1.2471549314539421</v>
      </c>
      <c r="AN315" s="23">
        <f>((SUMPRODUCT(AN$9:AN$229,Nutrients!$FK$8:$FK$228)+(IF($A$7=Nutrients!$B$8,Nutrients!$FK$8,Nutrients!$FK$9)*AN$7)+(((IF($A$8=Nutrients!$B$79,Nutrients!$FK$79,(IF($A$8=Nutrients!$B$77,Nutrients!$FK$77,Nutrients!$FK$78)))))*AN$8))/2000)</f>
        <v>1.2796438867284037</v>
      </c>
      <c r="AO315" s="23">
        <f>((SUMPRODUCT(AO$9:AO$229,Nutrients!$FK$8:$FK$228)+(IF($A$7=Nutrients!$B$8,Nutrients!$FK$8,Nutrients!$FK$9)*AO$7)+(((IF($A$8=Nutrients!$B$79,Nutrients!$FK$79,(IF($A$8=Nutrients!$B$77,Nutrients!$FK$77,Nutrients!$FK$78)))))*AO$8))/2000)</f>
        <v>1.3057202569531909</v>
      </c>
      <c r="AP315" s="23">
        <f>((SUMPRODUCT(AP$9:AP$229,Nutrients!$FK$8:$FK$228)+(IF($A$7=Nutrients!$B$8,Nutrients!$FK$8,Nutrients!$FK$9)*AP$7)+(((IF($A$8=Nutrients!$B$79,Nutrients!$FK$79,(IF($A$8=Nutrients!$B$77,Nutrients!$FK$77,Nutrients!$FK$78)))))*AP$8))/2000)</f>
        <v>1.7124024914223799</v>
      </c>
      <c r="AR315" s="23">
        <f>((SUMPRODUCT(AR$9:AR$229,Nutrients!$FK$8:$FK$228)+(IF($A$7=Nutrients!$B$8,Nutrients!$FK$8,Nutrients!$FK$9)*AR$7)+(((IF($A$8=Nutrients!$B$79,Nutrients!$FK$79,(IF($A$8=Nutrients!$B$77,Nutrients!$FK$77,Nutrients!$FK$78)))))*AR$8))/2000)</f>
        <v>1.0911186030889439</v>
      </c>
      <c r="AS315" s="23">
        <f>((SUMPRODUCT(AS$9:AS$229,Nutrients!$FK$8:$FK$228)+(IF($A$7=Nutrients!$B$8,Nutrients!$FK$8,Nutrients!$FK$9)*AS$7)+(((IF($A$8=Nutrients!$B$79,Nutrients!$FK$79,(IF($A$8=Nutrients!$B$77,Nutrients!$FK$77,Nutrients!$FK$78)))))*AS$8))/2000)</f>
        <v>1.1345800315832464</v>
      </c>
      <c r="AT315" s="23">
        <f>((SUMPRODUCT(AT$9:AT$229,Nutrients!$FK$8:$FK$228)+(IF($A$7=Nutrients!$B$8,Nutrients!$FK$8,Nutrients!$FK$9)*AT$7)+(((IF($A$8=Nutrients!$B$79,Nutrients!$FK$79,(IF($A$8=Nutrients!$B$77,Nutrients!$FK$77,Nutrients!$FK$78)))))*AT$8))/2000)</f>
        <v>1.1695051380800432</v>
      </c>
      <c r="AU315" s="23">
        <f>((SUMPRODUCT(AU$9:AU$229,Nutrients!$FK$8:$FK$228)+(IF($A$7=Nutrients!$B$8,Nutrients!$FK$8,Nutrients!$FK$9)*AU$7)+(((IF($A$8=Nutrients!$B$79,Nutrients!$FK$79,(IF($A$8=Nutrients!$B$77,Nutrients!$FK$77,Nutrients!$FK$78)))))*AU$8))/2000)</f>
        <v>1.20028847342177</v>
      </c>
      <c r="AV315" s="23">
        <f>((SUMPRODUCT(AV$9:AV$229,Nutrients!$FK$8:$FK$228)+(IF($A$7=Nutrients!$B$8,Nutrients!$FK$8,Nutrients!$FK$9)*AV$7)+(((IF($A$8=Nutrients!$B$79,Nutrients!$FK$79,(IF($A$8=Nutrients!$B$77,Nutrients!$FK$77,Nutrients!$FK$78)))))*AV$8))/2000)</f>
        <v>1.226208307305805</v>
      </c>
      <c r="AW315" s="23">
        <f>((SUMPRODUCT(AW$9:AW$229,Nutrients!$FK$8:$FK$228)+(IF($A$7=Nutrients!$B$8,Nutrients!$FK$8,Nutrients!$FK$9)*AW$7)+(((IF($A$8=Nutrients!$B$79,Nutrients!$FK$79,(IF($A$8=Nutrients!$B$77,Nutrients!$FK$77,Nutrients!$FK$78)))))*AW$8))/2000)</f>
        <v>1.7124024914223799</v>
      </c>
    </row>
    <row r="316" spans="1:49" x14ac:dyDescent="0.25">
      <c r="A316" s="34" t="s">
        <v>403</v>
      </c>
      <c r="B316" s="22">
        <f>(SUMPRODUCT(B$9:B$229,Nutrients!$U$8:$U$228)+(IF($A$7=Nutrients!$B$8,Nutrients!$U$8,Nutrients!$U$9)*B$7)+(((IF($A$8=Nutrients!$B$79,Nutrients!$U$79,(IF($A$8=Nutrients!$B$77,Nutrients!$U$77,Nutrients!$U$78)))))*B$8))/2000</f>
        <v>8.5699292218715204</v>
      </c>
      <c r="C316" s="22">
        <f>(SUMPRODUCT(C$9:C$229,Nutrients!$U$8:$U$228)+(IF($A$7=Nutrients!$B$8,Nutrients!$U$8,Nutrients!$U$9)*C$7)+(((IF($A$8=Nutrients!$B$79,Nutrients!$U$79,(IF($A$8=Nutrients!$B$77,Nutrients!$U$77,Nutrients!$U$78)))))*C$8))/2000</f>
        <v>8.6418600707376481</v>
      </c>
      <c r="D316" s="22">
        <f>(SUMPRODUCT(D$9:D$229,Nutrients!$U$8:$U$228)+(IF($A$7=Nutrients!$B$8,Nutrients!$U$8,Nutrients!$U$9)*D$7)+(((IF($A$8=Nutrients!$B$79,Nutrients!$U$79,(IF($A$8=Nutrients!$B$77,Nutrients!$U$77,Nutrients!$U$78)))))*D$8))/2000</f>
        <v>8.7060121920111886</v>
      </c>
      <c r="E316" s="22">
        <f>(SUMPRODUCT(E$9:E$229,Nutrients!$U$8:$U$228)+(IF($A$7=Nutrients!$B$8,Nutrients!$U$8,Nutrients!$U$9)*E$7)+(((IF($A$8=Nutrients!$B$79,Nutrients!$U$79,(IF($A$8=Nutrients!$B$77,Nutrients!$U$77,Nutrients!$U$78)))))*E$8))/2000</f>
        <v>8.7592542727281515</v>
      </c>
      <c r="F316" s="22">
        <f>(SUMPRODUCT(F$9:F$229,Nutrients!$U$8:$U$228)+(IF($A$7=Nutrients!$B$8,Nutrients!$U$8,Nutrients!$U$9)*F$7)+(((IF($A$8=Nutrients!$B$79,Nutrients!$U$79,(IF($A$8=Nutrients!$B$77,Nutrients!$U$77,Nutrients!$U$78)))))*F$8))/2000</f>
        <v>8.7998937942372635</v>
      </c>
      <c r="G316" s="22">
        <f>(SUMPRODUCT(G$9:G$229,Nutrients!$U$8:$U$228)+(IF($A$7=Nutrients!$B$8,Nutrients!$U$8,Nutrients!$U$9)*G$7)+(((IF($A$8=Nutrients!$B$79,Nutrients!$U$79,(IF($A$8=Nutrients!$B$77,Nutrients!$U$77,Nutrients!$U$78)))))*G$8))/2000</f>
        <v>8.8184122421246407</v>
      </c>
      <c r="H316" s="228"/>
      <c r="I316" s="22">
        <f>(SUMPRODUCT(I$9:I$229,Nutrients!$U$8:$U$228)+(IF($A$7=Nutrients!$B$8,Nutrients!$U$8,Nutrients!$U$9)*I$7)+(((IF($A$8=Nutrients!$B$79,Nutrients!$U$79,(IF($A$8=Nutrients!$B$77,Nutrients!$U$77,Nutrients!$U$78)))))*I$8))/2000</f>
        <v>9.7758803148391742</v>
      </c>
      <c r="J316" s="22">
        <f>(SUMPRODUCT(J$9:J$229,Nutrients!$U$8:$U$228)+(IF($A$7=Nutrients!$B$8,Nutrients!$U$8,Nutrients!$U$9)*J$7)+(((IF($A$8=Nutrients!$B$79,Nutrients!$U$79,(IF($A$8=Nutrients!$B$77,Nutrients!$U$77,Nutrients!$U$78)))))*J$8))/2000</f>
        <v>9.8465516265845316</v>
      </c>
      <c r="K316" s="22">
        <f>(SUMPRODUCT(K$9:K$229,Nutrients!$U$8:$U$228)+(IF($A$7=Nutrients!$B$8,Nutrients!$U$8,Nutrients!$U$9)*K$7)+(((IF($A$8=Nutrients!$B$79,Nutrients!$U$79,(IF($A$8=Nutrients!$B$77,Nutrients!$U$77,Nutrients!$U$78)))))*K$8))/2000</f>
        <v>9.9103248579405285</v>
      </c>
      <c r="L316" s="22">
        <f>(SUMPRODUCT(L$9:L$229,Nutrients!$U$8:$U$228)+(IF($A$7=Nutrients!$B$8,Nutrients!$U$8,Nutrients!$U$9)*L$7)+(((IF($A$8=Nutrients!$B$79,Nutrients!$U$79,(IF($A$8=Nutrients!$B$77,Nutrients!$U$77,Nutrients!$U$78)))))*L$8))/2000</f>
        <v>9.9631746054439638</v>
      </c>
      <c r="M316" s="22">
        <f>(SUMPRODUCT(M$9:M$229,Nutrients!$U$8:$U$228)+(IF($A$7=Nutrients!$B$8,Nutrients!$U$8,Nutrients!$U$9)*M$7)+(((IF($A$8=Nutrients!$B$79,Nutrients!$U$79,(IF($A$8=Nutrients!$B$77,Nutrients!$U$77,Nutrients!$U$78)))))*M$8))/2000</f>
        <v>10.00406377730083</v>
      </c>
      <c r="N316" s="22">
        <f>(SUMPRODUCT(N$9:N$229,Nutrients!$U$8:$U$228)+(IF($A$7=Nutrients!$B$8,Nutrients!$U$8,Nutrients!$U$9)*N$7)+(((IF($A$8=Nutrients!$B$79,Nutrients!$U$79,(IF($A$8=Nutrients!$B$77,Nutrients!$U$77,Nutrients!$U$78)))))*N$8))/2000</f>
        <v>8.8184122421246407</v>
      </c>
      <c r="O316" s="198"/>
      <c r="P316" s="22">
        <f>(SUMPRODUCT(P$9:P$229,Nutrients!$U$8:$U$228)+(IF($A$7=Nutrients!$B$8,Nutrients!$U$8,Nutrients!$U$9)*P$7)+(((IF($A$8=Nutrients!$B$79,Nutrients!$U$79,(IF($A$8=Nutrients!$B$77,Nutrients!$U$77,Nutrients!$U$78)))))*P$8))/2000</f>
        <v>10.980733042813222</v>
      </c>
      <c r="Q316" s="22">
        <f>(SUMPRODUCT(Q$9:Q$229,Nutrients!$U$8:$U$228)+(IF($A$7=Nutrients!$B$8,Nutrients!$U$8,Nutrients!$U$9)*Q$7)+(((IF($A$8=Nutrients!$B$79,Nutrients!$U$79,(IF($A$8=Nutrients!$B$77,Nutrients!$U$77,Nutrients!$U$78)))))*Q$8))/2000</f>
        <v>11.050462995024263</v>
      </c>
      <c r="R316" s="22">
        <f>(SUMPRODUCT(R$9:R$229,Nutrients!$U$8:$U$228)+(IF($A$7=Nutrients!$B$8,Nutrients!$U$8,Nutrients!$U$9)*R$7)+(((IF($A$8=Nutrients!$B$79,Nutrients!$U$79,(IF($A$8=Nutrients!$B$77,Nutrients!$U$77,Nutrients!$U$78)))))*R$8))/2000</f>
        <v>11.113965652643751</v>
      </c>
      <c r="S316" s="22">
        <f>(SUMPRODUCT(S$9:S$229,Nutrients!$U$8:$U$228)+(IF($A$7=Nutrients!$B$8,Nutrients!$U$8,Nutrients!$U$9)*S$7)+(((IF($A$8=Nutrients!$B$79,Nutrients!$U$79,(IF($A$8=Nutrients!$B$77,Nutrients!$U$77,Nutrients!$U$78)))))*S$8))/2000</f>
        <v>11.166757920659718</v>
      </c>
      <c r="T316" s="22">
        <f>(SUMPRODUCT(T$9:T$229,Nutrients!$U$8:$U$228)+(IF($A$7=Nutrients!$B$8,Nutrients!$U$8,Nutrients!$U$9)*T$7)+(((IF($A$8=Nutrients!$B$79,Nutrients!$U$79,(IF($A$8=Nutrients!$B$77,Nutrients!$U$77,Nutrients!$U$78)))))*T$8))/2000</f>
        <v>11.207255663369779</v>
      </c>
      <c r="U316" s="22">
        <f>(SUMPRODUCT(U$9:U$229,Nutrients!$U$8:$U$228)+(IF($A$7=Nutrients!$B$8,Nutrients!$U$8,Nutrients!$U$9)*U$7)+(((IF($A$8=Nutrients!$B$79,Nutrients!$U$79,(IF($A$8=Nutrients!$B$77,Nutrients!$U$77,Nutrients!$U$78)))))*U$8))/2000</f>
        <v>8.8184122421246407</v>
      </c>
      <c r="W316" s="22">
        <f>(SUMPRODUCT(W$9:W$229,Nutrients!$U$8:$U$228)+(IF($A$7=Nutrients!$B$8,Nutrients!$U$8,Nutrients!$U$9)*W$7)+(((IF($A$8=Nutrients!$B$79,Nutrients!$U$79,(IF($A$8=Nutrients!$B$77,Nutrients!$U$77,Nutrients!$U$78)))))*W$8))/2000</f>
        <v>12.185356360200929</v>
      </c>
      <c r="X316" s="22">
        <f>(SUMPRODUCT(X$9:X$229,Nutrients!$U$8:$U$228)+(IF($A$7=Nutrients!$B$8,Nutrients!$U$8,Nutrients!$U$9)*X$7)+(((IF($A$8=Nutrients!$B$79,Nutrients!$U$79,(IF($A$8=Nutrients!$B$77,Nutrients!$U$77,Nutrients!$U$78)))))*X$8))/2000</f>
        <v>12.254543632340727</v>
      </c>
      <c r="Y316" s="22">
        <f>(SUMPRODUCT(Y$9:Y$229,Nutrients!$U$8:$U$228)+(IF($A$7=Nutrients!$B$8,Nutrients!$U$8,Nutrients!$U$9)*Y$7)+(((IF($A$8=Nutrients!$B$79,Nutrients!$U$79,(IF($A$8=Nutrients!$B$77,Nutrients!$U$77,Nutrients!$U$78)))))*Y$8))/2000</f>
        <v>12.317841435614078</v>
      </c>
      <c r="Z316" s="22">
        <f>(SUMPRODUCT(Z$9:Z$229,Nutrients!$U$8:$U$228)+(IF($A$7=Nutrients!$B$8,Nutrients!$U$8,Nutrients!$U$9)*Z$7)+(((IF($A$8=Nutrients!$B$79,Nutrients!$U$79,(IF($A$8=Nutrients!$B$77,Nutrients!$U$77,Nutrients!$U$78)))))*Z$8))/2000</f>
        <v>12.369726240015426</v>
      </c>
      <c r="AA316" s="22">
        <f>(SUMPRODUCT(AA$9:AA$229,Nutrients!$U$8:$U$228)+(IF($A$7=Nutrients!$B$8,Nutrients!$U$8,Nutrients!$U$9)*AA$7)+(((IF($A$8=Nutrients!$B$79,Nutrients!$U$79,(IF($A$8=Nutrients!$B$77,Nutrients!$U$77,Nutrients!$U$78)))))*AA$8))/2000</f>
        <v>12.408887678555427</v>
      </c>
      <c r="AB316" s="22">
        <f>(SUMPRODUCT(AB$9:AB$229,Nutrients!$U$8:$U$228)+(IF($A$7=Nutrients!$B$8,Nutrients!$U$8,Nutrients!$U$9)*AB$7)+(((IF($A$8=Nutrients!$B$79,Nutrients!$U$79,(IF($A$8=Nutrients!$B$77,Nutrients!$U$77,Nutrients!$U$78)))))*AB$8))/2000</f>
        <v>8.8184122421246407</v>
      </c>
      <c r="AD316" s="22">
        <f>(SUMPRODUCT(AD$9:AD$229,Nutrients!$U$8:$U$228)+(IF($A$7=Nutrients!$B$8,Nutrients!$U$8,Nutrients!$U$9)*AD$7)+(((IF($A$8=Nutrients!$B$79,Nutrients!$U$79,(IF($A$8=Nutrients!$B$77,Nutrients!$U$77,Nutrients!$U$78)))))*AD$8))/2000</f>
        <v>13.389684396498479</v>
      </c>
      <c r="AE316" s="22">
        <f>(SUMPRODUCT(AE$9:AE$229,Nutrients!$U$8:$U$228)+(IF($A$7=Nutrients!$B$8,Nutrients!$U$8,Nutrients!$U$9)*AE$7)+(((IF($A$8=Nutrients!$B$79,Nutrients!$U$79,(IF($A$8=Nutrients!$B$77,Nutrients!$U$77,Nutrients!$U$78)))))*AE$8))/2000</f>
        <v>13.458825319044692</v>
      </c>
      <c r="AF316" s="22">
        <f>(SUMPRODUCT(AF$9:AF$229,Nutrients!$U$8:$U$228)+(IF($A$7=Nutrients!$B$8,Nutrients!$U$8,Nutrients!$U$9)*AF$7)+(((IF($A$8=Nutrients!$B$79,Nutrients!$U$79,(IF($A$8=Nutrients!$B$77,Nutrients!$U$77,Nutrients!$U$78)))))*AF$8))/2000</f>
        <v>13.521113018134308</v>
      </c>
      <c r="AG316" s="22">
        <f>(SUMPRODUCT(AG$9:AG$229,Nutrients!$U$8:$U$228)+(IF($A$7=Nutrients!$B$8,Nutrients!$U$8,Nutrients!$U$9)*AG$7)+(((IF($A$8=Nutrients!$B$79,Nutrients!$U$79,(IF($A$8=Nutrients!$B$77,Nutrients!$U$77,Nutrients!$U$78)))))*AG$8))/2000</f>
        <v>13.57134779375134</v>
      </c>
      <c r="AH316" s="22">
        <f>(SUMPRODUCT(AH$9:AH$229,Nutrients!$U$8:$U$228)+(IF($A$7=Nutrients!$B$8,Nutrients!$U$8,Nutrients!$U$9)*AH$7)+(((IF($A$8=Nutrients!$B$79,Nutrients!$U$79,(IF($A$8=Nutrients!$B$77,Nutrients!$U$77,Nutrients!$U$78)))))*AH$8))/2000</f>
        <v>13.604447749988939</v>
      </c>
      <c r="AI316" s="22">
        <f>(SUMPRODUCT(AI$9:AI$229,Nutrients!$U$8:$U$228)+(IF($A$7=Nutrients!$B$8,Nutrients!$U$8,Nutrients!$U$9)*AI$7)+(((IF($A$8=Nutrients!$B$79,Nutrients!$U$79,(IF($A$8=Nutrients!$B$77,Nutrients!$U$77,Nutrients!$U$78)))))*AI$8))/2000</f>
        <v>8.8184122421246407</v>
      </c>
      <c r="AK316" s="22">
        <f>(SUMPRODUCT(AK$9:AK$229,Nutrients!$U$8:$U$228)+(IF($A$7=Nutrients!$B$8,Nutrients!$U$8,Nutrients!$U$9)*AK$7)+(((IF($A$8=Nutrients!$B$79,Nutrients!$U$79,(IF($A$8=Nutrients!$B$77,Nutrients!$U$77,Nutrients!$U$78)))))*AK$8))/2000</f>
        <v>14.593774151350882</v>
      </c>
      <c r="AL316" s="22">
        <f>(SUMPRODUCT(AL$9:AL$229,Nutrients!$U$8:$U$228)+(IF($A$7=Nutrients!$B$8,Nutrients!$U$8,Nutrients!$U$9)*AL$7)+(((IF($A$8=Nutrients!$B$79,Nutrients!$U$79,(IF($A$8=Nutrients!$B$77,Nutrients!$U$77,Nutrients!$U$78)))))*AL$8))/2000</f>
        <v>14.663268018628695</v>
      </c>
      <c r="AM316" s="22">
        <f>(SUMPRODUCT(AM$9:AM$229,Nutrients!$U$8:$U$228)+(IF($A$7=Nutrients!$B$8,Nutrients!$U$8,Nutrients!$U$9)*AM$7)+(((IF($A$8=Nutrients!$B$79,Nutrients!$U$79,(IF($A$8=Nutrients!$B$77,Nutrients!$U$77,Nutrients!$U$78)))))*AM$8))/2000</f>
        <v>14.7238353210697</v>
      </c>
      <c r="AN316" s="22">
        <f>(SUMPRODUCT(AN$9:AN$229,Nutrients!$U$8:$U$228)+(IF($A$7=Nutrients!$B$8,Nutrients!$U$8,Nutrients!$U$9)*AN$7)+(((IF($A$8=Nutrients!$B$79,Nutrients!$U$79,(IF($A$8=Nutrients!$B$77,Nutrients!$U$77,Nutrients!$U$78)))))*AN$8))/2000</f>
        <v>14.768356661511596</v>
      </c>
      <c r="AO316" s="22">
        <f>(SUMPRODUCT(AO$9:AO$229,Nutrients!$U$8:$U$228)+(IF($A$7=Nutrients!$B$8,Nutrients!$U$8,Nutrients!$U$9)*AO$7)+(((IF($A$8=Nutrients!$B$79,Nutrients!$U$79,(IF($A$8=Nutrients!$B$77,Nutrients!$U$77,Nutrients!$U$78)))))*AO$8))/2000</f>
        <v>14.797950353528863</v>
      </c>
      <c r="AP316" s="22">
        <f>(SUMPRODUCT(AP$9:AP$229,Nutrients!$U$8:$U$228)+(IF($A$7=Nutrients!$B$8,Nutrients!$U$8,Nutrients!$U$9)*AP$7)+(((IF($A$8=Nutrients!$B$79,Nutrients!$U$79,(IF($A$8=Nutrients!$B$77,Nutrients!$U$77,Nutrients!$U$78)))))*AP$8))/2000</f>
        <v>8.8184122421246407</v>
      </c>
      <c r="AR316" s="22">
        <f>(SUMPRODUCT(AR$9:AR$229,Nutrients!$U$8:$U$228)+(IF($A$7=Nutrients!$B$8,Nutrients!$U$8,Nutrients!$U$9)*AR$7)+(((IF($A$8=Nutrients!$B$79,Nutrients!$U$79,(IF($A$8=Nutrients!$B$77,Nutrients!$U$77,Nutrients!$U$78)))))*AR$8))/2000</f>
        <v>15.79702735420287</v>
      </c>
      <c r="AS316" s="22">
        <f>(SUMPRODUCT(AS$9:AS$229,Nutrients!$U$8:$U$228)+(IF($A$7=Nutrients!$B$8,Nutrients!$U$8,Nutrients!$U$9)*AS$7)+(((IF($A$8=Nutrients!$B$79,Nutrients!$U$79,(IF($A$8=Nutrients!$B$77,Nutrients!$U$77,Nutrients!$U$78)))))*AS$8))/2000</f>
        <v>15.866941276993494</v>
      </c>
      <c r="AT316" s="22">
        <f>(SUMPRODUCT(AT$9:AT$229,Nutrients!$U$8:$U$228)+(IF($A$7=Nutrients!$B$8,Nutrients!$U$8,Nutrients!$U$9)*AT$7)+(((IF($A$8=Nutrients!$B$79,Nutrients!$U$79,(IF($A$8=Nutrients!$B$77,Nutrients!$U$77,Nutrients!$U$78)))))*AT$8))/2000</f>
        <v>15.925720783253233</v>
      </c>
      <c r="AU316" s="22">
        <f>(SUMPRODUCT(AU$9:AU$229,Nutrients!$U$8:$U$228)+(IF($A$7=Nutrients!$B$8,Nutrients!$U$8,Nutrients!$U$9)*AU$7)+(((IF($A$8=Nutrients!$B$79,Nutrients!$U$79,(IF($A$8=Nutrients!$B$77,Nutrients!$U$77,Nutrients!$U$78)))))*AU$8))/2000</f>
        <v>15.961970881073496</v>
      </c>
      <c r="AV316" s="22">
        <f>(SUMPRODUCT(AV$9:AV$229,Nutrients!$U$8:$U$228)+(IF($A$7=Nutrients!$B$8,Nutrients!$U$8,Nutrients!$U$9)*AV$7)+(((IF($A$8=Nutrients!$B$79,Nutrients!$U$79,(IF($A$8=Nutrients!$B$77,Nutrients!$U$77,Nutrients!$U$78)))))*AV$8))/2000</f>
        <v>15.991450111960036</v>
      </c>
      <c r="AW316" s="22">
        <f>(SUMPRODUCT(AW$9:AW$229,Nutrients!$U$8:$U$228)+(IF($A$7=Nutrients!$B$8,Nutrients!$U$8,Nutrients!$U$9)*AW$7)+(((IF($A$8=Nutrients!$B$79,Nutrients!$U$79,(IF($A$8=Nutrients!$B$77,Nutrients!$U$77,Nutrients!$U$78)))))*AW$8))/2000</f>
        <v>8.8184122421246407</v>
      </c>
    </row>
    <row r="317" spans="1:49" x14ac:dyDescent="0.25">
      <c r="A317" s="34" t="s">
        <v>416</v>
      </c>
      <c r="B317" s="23">
        <f t="shared" ref="B317:G317" si="213">B236/B253*100</f>
        <v>6.1785853391259096</v>
      </c>
      <c r="C317" s="23">
        <f t="shared" si="213"/>
        <v>5.9864354833614239</v>
      </c>
      <c r="D317" s="23">
        <f t="shared" si="213"/>
        <v>5.7595132677868364</v>
      </c>
      <c r="E317" s="23">
        <f t="shared" si="213"/>
        <v>5.6037683275620731</v>
      </c>
      <c r="F317" s="23">
        <f t="shared" si="213"/>
        <v>5.5537986803701944</v>
      </c>
      <c r="G317" s="23">
        <f t="shared" si="213"/>
        <v>5.52175985110991</v>
      </c>
      <c r="H317" s="227"/>
      <c r="I317" s="23">
        <f t="shared" ref="I317:N317" si="214">I236/I253*100</f>
        <v>6.0439016493390048</v>
      </c>
      <c r="J317" s="23">
        <f t="shared" si="214"/>
        <v>5.8420803911481061</v>
      </c>
      <c r="K317" s="23">
        <f t="shared" si="214"/>
        <v>5.605335311772957</v>
      </c>
      <c r="L317" s="23">
        <f t="shared" si="214"/>
        <v>5.4405545839128377</v>
      </c>
      <c r="M317" s="23">
        <f t="shared" si="214"/>
        <v>5.3796023106898971</v>
      </c>
      <c r="N317" s="23">
        <f t="shared" si="214"/>
        <v>5.52175985110991</v>
      </c>
      <c r="O317" s="235"/>
      <c r="P317" s="23">
        <f t="shared" ref="P317:U317" si="215">P236/P253*100</f>
        <v>5.9127458106201107</v>
      </c>
      <c r="Q317" s="23">
        <f t="shared" si="215"/>
        <v>5.7013734026617886</v>
      </c>
      <c r="R317" s="23">
        <f t="shared" si="215"/>
        <v>5.4580366643530507</v>
      </c>
      <c r="S317" s="23">
        <f t="shared" si="215"/>
        <v>5.2830027473563659</v>
      </c>
      <c r="T317" s="23">
        <f t="shared" si="215"/>
        <v>5.2118178311893315</v>
      </c>
      <c r="U317" s="23">
        <f t="shared" si="215"/>
        <v>5.52175985110991</v>
      </c>
      <c r="W317" s="23">
        <f t="shared" ref="W317:AB317" si="216">W236/W253*100</f>
        <v>5.7849621287241995</v>
      </c>
      <c r="X317" s="23">
        <f t="shared" si="216"/>
        <v>5.5657287880140025</v>
      </c>
      <c r="Y317" s="23">
        <f t="shared" si="216"/>
        <v>5.3147206859021301</v>
      </c>
      <c r="Z317" s="23">
        <f t="shared" si="216"/>
        <v>5.1312210182423392</v>
      </c>
      <c r="AA317" s="23">
        <f t="shared" si="216"/>
        <v>5.048535432215064</v>
      </c>
      <c r="AB317" s="23">
        <f t="shared" si="216"/>
        <v>5.52175985110991</v>
      </c>
      <c r="AD317" s="23">
        <f t="shared" ref="AD317:AI317" si="217">AD236/AD253*100</f>
        <v>5.6602063231134485</v>
      </c>
      <c r="AE317" s="23">
        <f t="shared" si="217"/>
        <v>5.4331367695898285</v>
      </c>
      <c r="AF317" s="23">
        <f t="shared" si="217"/>
        <v>5.1757878824371488</v>
      </c>
      <c r="AG317" s="23">
        <f t="shared" si="217"/>
        <v>4.9835141907946516</v>
      </c>
      <c r="AH317" s="23">
        <f t="shared" si="217"/>
        <v>4.8931944699487442</v>
      </c>
      <c r="AI317" s="23">
        <f t="shared" si="217"/>
        <v>5.52175985110991</v>
      </c>
      <c r="AK317" s="23">
        <f t="shared" ref="AK317:AP317" si="218">AK236/AK253*100</f>
        <v>5.5391118493769254</v>
      </c>
      <c r="AL317" s="23">
        <f t="shared" si="218"/>
        <v>5.3055885129326086</v>
      </c>
      <c r="AM317" s="23">
        <f t="shared" si="218"/>
        <v>5.0412799420943868</v>
      </c>
      <c r="AN317" s="23">
        <f t="shared" si="218"/>
        <v>4.8424321394054859</v>
      </c>
      <c r="AO317" s="23">
        <f t="shared" si="218"/>
        <v>4.7449704840407652</v>
      </c>
      <c r="AP317" s="23">
        <f t="shared" si="218"/>
        <v>5.52175985110991</v>
      </c>
      <c r="AR317" s="23">
        <f t="shared" ref="AR317:AW317" si="219">AR236/AR253*100</f>
        <v>5.4233502423310584</v>
      </c>
      <c r="AS317" s="23">
        <f t="shared" si="219"/>
        <v>5.1805199555219588</v>
      </c>
      <c r="AT317" s="23">
        <f t="shared" si="219"/>
        <v>4.9109928286313362</v>
      </c>
      <c r="AU317" s="23">
        <f t="shared" si="219"/>
        <v>4.7072293680635768</v>
      </c>
      <c r="AV317" s="23">
        <f t="shared" si="219"/>
        <v>4.6030984155535872</v>
      </c>
      <c r="AW317" s="23">
        <f t="shared" si="219"/>
        <v>5.52175985110991</v>
      </c>
    </row>
    <row r="318" spans="1:49" x14ac:dyDescent="0.25">
      <c r="A318" s="34" t="s">
        <v>120</v>
      </c>
      <c r="O318" s="198"/>
    </row>
    <row r="319" spans="1:49" x14ac:dyDescent="0.25">
      <c r="A319" s="34" t="s">
        <v>112</v>
      </c>
      <c r="B319" s="21">
        <f>(SUMPRODUCT(B$9:B$229,Nutrients!$EK$8:$EK$228)+(IF($A$7=Nutrients!$B$8,Nutrients!$EK$8,Nutrients!$EK$9)*B$7)+(((IF($A$8=Nutrients!$B$79,Nutrients!$EK$79,(IF($A$8=Nutrients!$B$77,Nutrients!$EK$77,Nutrients!$EK$78)))))*B$8))/2000*1000000</f>
        <v>110.11950000000002</v>
      </c>
      <c r="C319" s="21">
        <f>(SUMPRODUCT(C$9:C$229,Nutrients!$EK$8:$EK$228)+(IF($A$7=Nutrients!$B$8,Nutrients!$EK$8,Nutrients!$EK$9)*C$7)+(((IF($A$8=Nutrients!$B$79,Nutrients!$EK$79,(IF($A$8=Nutrients!$B$77,Nutrients!$EK$77,Nutrients!$EK$78)))))*C$8))/2000*1000000</f>
        <v>110.11950000000002</v>
      </c>
      <c r="D319" s="21">
        <f>(SUMPRODUCT(D$9:D$229,Nutrients!$EK$8:$EK$228)+(IF($A$7=Nutrients!$B$8,Nutrients!$EK$8,Nutrients!$EK$9)*D$7)+(((IF($A$8=Nutrients!$B$79,Nutrients!$EK$79,(IF($A$8=Nutrients!$B$77,Nutrients!$EK$77,Nutrients!$EK$78)))))*D$8))/2000*1000000</f>
        <v>91.766249999999999</v>
      </c>
      <c r="E319" s="21">
        <f>(SUMPRODUCT(E$9:E$229,Nutrients!$EK$8:$EK$228)+(IF($A$7=Nutrients!$B$8,Nutrients!$EK$8,Nutrients!$EK$9)*E$7)+(((IF($A$8=Nutrients!$B$79,Nutrients!$EK$79,(IF($A$8=Nutrients!$B$77,Nutrients!$EK$77,Nutrients!$EK$78)))))*E$8))/2000*1000000</f>
        <v>73.413000000000011</v>
      </c>
      <c r="F319" s="21">
        <f>(SUMPRODUCT(F$9:F$229,Nutrients!$EK$8:$EK$228)+(IF($A$7=Nutrients!$B$8,Nutrients!$EK$8,Nutrients!$EK$9)*F$7)+(((IF($A$8=Nutrients!$B$79,Nutrients!$EK$79,(IF($A$8=Nutrients!$B$77,Nutrients!$EK$77,Nutrients!$EK$78)))))*F$8))/2000*1000000</f>
        <v>55.059750000000008</v>
      </c>
      <c r="G319" s="21">
        <f>(SUMPRODUCT(G$9:G$229,Nutrients!$EK$8:$EK$228)+(IF($A$7=Nutrients!$B$8,Nutrients!$EK$8,Nutrients!$EK$9)*G$7)+(((IF($A$8=Nutrients!$B$79,Nutrients!$EK$79,(IF($A$8=Nutrients!$B$77,Nutrients!$EK$77,Nutrients!$EK$78)))))*G$8))/2000*1000000</f>
        <v>55.059750000000008</v>
      </c>
      <c r="H319" s="226"/>
      <c r="I319" s="21">
        <f>(SUMPRODUCT(I$9:I$229,Nutrients!$EK$8:$EK$228)+(IF($A$7=Nutrients!$B$8,Nutrients!$EK$8,Nutrients!$EK$9)*I$7)+(((IF($A$8=Nutrients!$B$79,Nutrients!$EK$79,(IF($A$8=Nutrients!$B$77,Nutrients!$EK$77,Nutrients!$EK$78)))))*I$8))/2000*1000000</f>
        <v>110.11950000000002</v>
      </c>
      <c r="J319" s="21">
        <f>(SUMPRODUCT(J$9:J$229,Nutrients!$EK$8:$EK$228)+(IF($A$7=Nutrients!$B$8,Nutrients!$EK$8,Nutrients!$EK$9)*J$7)+(((IF($A$8=Nutrients!$B$79,Nutrients!$EK$79,(IF($A$8=Nutrients!$B$77,Nutrients!$EK$77,Nutrients!$EK$78)))))*J$8))/2000*1000000</f>
        <v>110.11950000000002</v>
      </c>
      <c r="K319" s="21">
        <f>(SUMPRODUCT(K$9:K$229,Nutrients!$EK$8:$EK$228)+(IF($A$7=Nutrients!$B$8,Nutrients!$EK$8,Nutrients!$EK$9)*K$7)+(((IF($A$8=Nutrients!$B$79,Nutrients!$EK$79,(IF($A$8=Nutrients!$B$77,Nutrients!$EK$77,Nutrients!$EK$78)))))*K$8))/2000*1000000</f>
        <v>91.766249999999999</v>
      </c>
      <c r="L319" s="21">
        <f>(SUMPRODUCT(L$9:L$229,Nutrients!$EK$8:$EK$228)+(IF($A$7=Nutrients!$B$8,Nutrients!$EK$8,Nutrients!$EK$9)*L$7)+(((IF($A$8=Nutrients!$B$79,Nutrients!$EK$79,(IF($A$8=Nutrients!$B$77,Nutrients!$EK$77,Nutrients!$EK$78)))))*L$8))/2000*1000000</f>
        <v>73.413000000000011</v>
      </c>
      <c r="M319" s="21">
        <f>(SUMPRODUCT(M$9:M$229,Nutrients!$EK$8:$EK$228)+(IF($A$7=Nutrients!$B$8,Nutrients!$EK$8,Nutrients!$EK$9)*M$7)+(((IF($A$8=Nutrients!$B$79,Nutrients!$EK$79,(IF($A$8=Nutrients!$B$77,Nutrients!$EK$77,Nutrients!$EK$78)))))*M$8))/2000*1000000</f>
        <v>55.059750000000008</v>
      </c>
      <c r="N319" s="21">
        <f>(SUMPRODUCT(N$9:N$229,Nutrients!$EK$8:$EK$228)+(IF($A$7=Nutrients!$B$8,Nutrients!$EK$8,Nutrients!$EK$9)*N$7)+(((IF($A$8=Nutrients!$B$79,Nutrients!$EK$79,(IF($A$8=Nutrients!$B$77,Nutrients!$EK$77,Nutrients!$EK$78)))))*N$8))/2000*1000000</f>
        <v>55.059750000000008</v>
      </c>
      <c r="P319" s="21">
        <f>(SUMPRODUCT(P$9:P$229,Nutrients!$EK$8:$EK$228)+(IF($A$7=Nutrients!$B$8,Nutrients!$EK$8,Nutrients!$EK$9)*P$7)+(((IF($A$8=Nutrients!$B$79,Nutrients!$EK$79,(IF($A$8=Nutrients!$B$77,Nutrients!$EK$77,Nutrients!$EK$78)))))*P$8))/2000*1000000</f>
        <v>110.11950000000002</v>
      </c>
      <c r="Q319" s="21">
        <f>(SUMPRODUCT(Q$9:Q$229,Nutrients!$EK$8:$EK$228)+(IF($A$7=Nutrients!$B$8,Nutrients!$EK$8,Nutrients!$EK$9)*Q$7)+(((IF($A$8=Nutrients!$B$79,Nutrients!$EK$79,(IF($A$8=Nutrients!$B$77,Nutrients!$EK$77,Nutrients!$EK$78)))))*Q$8))/2000*1000000</f>
        <v>110.11950000000002</v>
      </c>
      <c r="R319" s="21">
        <f>(SUMPRODUCT(R$9:R$229,Nutrients!$EK$8:$EK$228)+(IF($A$7=Nutrients!$B$8,Nutrients!$EK$8,Nutrients!$EK$9)*R$7)+(((IF($A$8=Nutrients!$B$79,Nutrients!$EK$79,(IF($A$8=Nutrients!$B$77,Nutrients!$EK$77,Nutrients!$EK$78)))))*R$8))/2000*1000000</f>
        <v>91.766249999999999</v>
      </c>
      <c r="S319" s="21">
        <f>(SUMPRODUCT(S$9:S$229,Nutrients!$EK$8:$EK$228)+(IF($A$7=Nutrients!$B$8,Nutrients!$EK$8,Nutrients!$EK$9)*S$7)+(((IF($A$8=Nutrients!$B$79,Nutrients!$EK$79,(IF($A$8=Nutrients!$B$77,Nutrients!$EK$77,Nutrients!$EK$78)))))*S$8))/2000*1000000</f>
        <v>73.413000000000011</v>
      </c>
      <c r="T319" s="21">
        <f>(SUMPRODUCT(T$9:T$229,Nutrients!$EK$8:$EK$228)+(IF($A$7=Nutrients!$B$8,Nutrients!$EK$8,Nutrients!$EK$9)*T$7)+(((IF($A$8=Nutrients!$B$79,Nutrients!$EK$79,(IF($A$8=Nutrients!$B$77,Nutrients!$EK$77,Nutrients!$EK$78)))))*T$8))/2000*1000000</f>
        <v>55.059750000000008</v>
      </c>
      <c r="U319" s="21">
        <f>(SUMPRODUCT(U$9:U$229,Nutrients!$EK$8:$EK$228)+(IF($A$7=Nutrients!$B$8,Nutrients!$EK$8,Nutrients!$EK$9)*U$7)+(((IF($A$8=Nutrients!$B$79,Nutrients!$EK$79,(IF($A$8=Nutrients!$B$77,Nutrients!$EK$77,Nutrients!$EK$78)))))*U$8))/2000*1000000</f>
        <v>55.059750000000008</v>
      </c>
      <c r="W319" s="21">
        <f>(SUMPRODUCT(W$9:W$229,Nutrients!$EK$8:$EK$228)+(IF($A$7=Nutrients!$B$8,Nutrients!$EK$8,Nutrients!$EK$9)*W$7)+(((IF($A$8=Nutrients!$B$79,Nutrients!$EK$79,(IF($A$8=Nutrients!$B$77,Nutrients!$EK$77,Nutrients!$EK$78)))))*W$8))/2000*1000000</f>
        <v>110.11950000000002</v>
      </c>
      <c r="X319" s="21">
        <f>(SUMPRODUCT(X$9:X$229,Nutrients!$EK$8:$EK$228)+(IF($A$7=Nutrients!$B$8,Nutrients!$EK$8,Nutrients!$EK$9)*X$7)+(((IF($A$8=Nutrients!$B$79,Nutrients!$EK$79,(IF($A$8=Nutrients!$B$77,Nutrients!$EK$77,Nutrients!$EK$78)))))*X$8))/2000*1000000</f>
        <v>110.11950000000002</v>
      </c>
      <c r="Y319" s="21">
        <f>(SUMPRODUCT(Y$9:Y$229,Nutrients!$EK$8:$EK$228)+(IF($A$7=Nutrients!$B$8,Nutrients!$EK$8,Nutrients!$EK$9)*Y$7)+(((IF($A$8=Nutrients!$B$79,Nutrients!$EK$79,(IF($A$8=Nutrients!$B$77,Nutrients!$EK$77,Nutrients!$EK$78)))))*Y$8))/2000*1000000</f>
        <v>91.766249999999999</v>
      </c>
      <c r="Z319" s="21">
        <f>(SUMPRODUCT(Z$9:Z$229,Nutrients!$EK$8:$EK$228)+(IF($A$7=Nutrients!$B$8,Nutrients!$EK$8,Nutrients!$EK$9)*Z$7)+(((IF($A$8=Nutrients!$B$79,Nutrients!$EK$79,(IF($A$8=Nutrients!$B$77,Nutrients!$EK$77,Nutrients!$EK$78)))))*Z$8))/2000*1000000</f>
        <v>73.413000000000011</v>
      </c>
      <c r="AA319" s="21">
        <f>(SUMPRODUCT(AA$9:AA$229,Nutrients!$EK$8:$EK$228)+(IF($A$7=Nutrients!$B$8,Nutrients!$EK$8,Nutrients!$EK$9)*AA$7)+(((IF($A$8=Nutrients!$B$79,Nutrients!$EK$79,(IF($A$8=Nutrients!$B$77,Nutrients!$EK$77,Nutrients!$EK$78)))))*AA$8))/2000*1000000</f>
        <v>55.059750000000008</v>
      </c>
      <c r="AB319" s="21">
        <f>(SUMPRODUCT(AB$9:AB$229,Nutrients!$EK$8:$EK$228)+(IF($A$7=Nutrients!$B$8,Nutrients!$EK$8,Nutrients!$EK$9)*AB$7)+(((IF($A$8=Nutrients!$B$79,Nutrients!$EK$79,(IF($A$8=Nutrients!$B$77,Nutrients!$EK$77,Nutrients!$EK$78)))))*AB$8))/2000*1000000</f>
        <v>55.059750000000008</v>
      </c>
      <c r="AD319" s="21">
        <f>(SUMPRODUCT(AD$9:AD$229,Nutrients!$EK$8:$EK$228)+(IF($A$7=Nutrients!$B$8,Nutrients!$EK$8,Nutrients!$EK$9)*AD$7)+(((IF($A$8=Nutrients!$B$79,Nutrients!$EK$79,(IF($A$8=Nutrients!$B$77,Nutrients!$EK$77,Nutrients!$EK$78)))))*AD$8))/2000*1000000</f>
        <v>110.11950000000002</v>
      </c>
      <c r="AE319" s="21">
        <f>(SUMPRODUCT(AE$9:AE$229,Nutrients!$EK$8:$EK$228)+(IF($A$7=Nutrients!$B$8,Nutrients!$EK$8,Nutrients!$EK$9)*AE$7)+(((IF($A$8=Nutrients!$B$79,Nutrients!$EK$79,(IF($A$8=Nutrients!$B$77,Nutrients!$EK$77,Nutrients!$EK$78)))))*AE$8))/2000*1000000</f>
        <v>110.11950000000002</v>
      </c>
      <c r="AF319" s="21">
        <f>(SUMPRODUCT(AF$9:AF$229,Nutrients!$EK$8:$EK$228)+(IF($A$7=Nutrients!$B$8,Nutrients!$EK$8,Nutrients!$EK$9)*AF$7)+(((IF($A$8=Nutrients!$B$79,Nutrients!$EK$79,(IF($A$8=Nutrients!$B$77,Nutrients!$EK$77,Nutrients!$EK$78)))))*AF$8))/2000*1000000</f>
        <v>91.766249999999999</v>
      </c>
      <c r="AG319" s="21">
        <f>(SUMPRODUCT(AG$9:AG$229,Nutrients!$EK$8:$EK$228)+(IF($A$7=Nutrients!$B$8,Nutrients!$EK$8,Nutrients!$EK$9)*AG$7)+(((IF($A$8=Nutrients!$B$79,Nutrients!$EK$79,(IF($A$8=Nutrients!$B$77,Nutrients!$EK$77,Nutrients!$EK$78)))))*AG$8))/2000*1000000</f>
        <v>73.413000000000011</v>
      </c>
      <c r="AH319" s="21">
        <f>(SUMPRODUCT(AH$9:AH$229,Nutrients!$EK$8:$EK$228)+(IF($A$7=Nutrients!$B$8,Nutrients!$EK$8,Nutrients!$EK$9)*AH$7)+(((IF($A$8=Nutrients!$B$79,Nutrients!$EK$79,(IF($A$8=Nutrients!$B$77,Nutrients!$EK$77,Nutrients!$EK$78)))))*AH$8))/2000*1000000</f>
        <v>55.059750000000008</v>
      </c>
      <c r="AI319" s="21">
        <f>(SUMPRODUCT(AI$9:AI$229,Nutrients!$EK$8:$EK$228)+(IF($A$7=Nutrients!$B$8,Nutrients!$EK$8,Nutrients!$EK$9)*AI$7)+(((IF($A$8=Nutrients!$B$79,Nutrients!$EK$79,(IF($A$8=Nutrients!$B$77,Nutrients!$EK$77,Nutrients!$EK$78)))))*AI$8))/2000*1000000</f>
        <v>55.059750000000008</v>
      </c>
      <c r="AK319" s="21">
        <f>(SUMPRODUCT(AK$9:AK$229,Nutrients!$EK$8:$EK$228)+(IF($A$7=Nutrients!$B$8,Nutrients!$EK$8,Nutrients!$EK$9)*AK$7)+(((IF($A$8=Nutrients!$B$79,Nutrients!$EK$79,(IF($A$8=Nutrients!$B$77,Nutrients!$EK$77,Nutrients!$EK$78)))))*AK$8))/2000*1000000</f>
        <v>110.11950000000002</v>
      </c>
      <c r="AL319" s="21">
        <f>(SUMPRODUCT(AL$9:AL$229,Nutrients!$EK$8:$EK$228)+(IF($A$7=Nutrients!$B$8,Nutrients!$EK$8,Nutrients!$EK$9)*AL$7)+(((IF($A$8=Nutrients!$B$79,Nutrients!$EK$79,(IF($A$8=Nutrients!$B$77,Nutrients!$EK$77,Nutrients!$EK$78)))))*AL$8))/2000*1000000</f>
        <v>110.11950000000002</v>
      </c>
      <c r="AM319" s="21">
        <f>(SUMPRODUCT(AM$9:AM$229,Nutrients!$EK$8:$EK$228)+(IF($A$7=Nutrients!$B$8,Nutrients!$EK$8,Nutrients!$EK$9)*AM$7)+(((IF($A$8=Nutrients!$B$79,Nutrients!$EK$79,(IF($A$8=Nutrients!$B$77,Nutrients!$EK$77,Nutrients!$EK$78)))))*AM$8))/2000*1000000</f>
        <v>91.766249999999999</v>
      </c>
      <c r="AN319" s="21">
        <f>(SUMPRODUCT(AN$9:AN$229,Nutrients!$EK$8:$EK$228)+(IF($A$7=Nutrients!$B$8,Nutrients!$EK$8,Nutrients!$EK$9)*AN$7)+(((IF($A$8=Nutrients!$B$79,Nutrients!$EK$79,(IF($A$8=Nutrients!$B$77,Nutrients!$EK$77,Nutrients!$EK$78)))))*AN$8))/2000*1000000</f>
        <v>73.413000000000011</v>
      </c>
      <c r="AO319" s="21">
        <f>(SUMPRODUCT(AO$9:AO$229,Nutrients!$EK$8:$EK$228)+(IF($A$7=Nutrients!$B$8,Nutrients!$EK$8,Nutrients!$EK$9)*AO$7)+(((IF($A$8=Nutrients!$B$79,Nutrients!$EK$79,(IF($A$8=Nutrients!$B$77,Nutrients!$EK$77,Nutrients!$EK$78)))))*AO$8))/2000*1000000</f>
        <v>55.059750000000008</v>
      </c>
      <c r="AP319" s="21">
        <f>(SUMPRODUCT(AP$9:AP$229,Nutrients!$EK$8:$EK$228)+(IF($A$7=Nutrients!$B$8,Nutrients!$EK$8,Nutrients!$EK$9)*AP$7)+(((IF($A$8=Nutrients!$B$79,Nutrients!$EK$79,(IF($A$8=Nutrients!$B$77,Nutrients!$EK$77,Nutrients!$EK$78)))))*AP$8))/2000*1000000</f>
        <v>55.059750000000008</v>
      </c>
      <c r="AR319" s="21">
        <f>(SUMPRODUCT(AR$9:AR$229,Nutrients!$EK$8:$EK$228)+(IF($A$7=Nutrients!$B$8,Nutrients!$EK$8,Nutrients!$EK$9)*AR$7)+(((IF($A$8=Nutrients!$B$79,Nutrients!$EK$79,(IF($A$8=Nutrients!$B$77,Nutrients!$EK$77,Nutrients!$EK$78)))))*AR$8))/2000*1000000</f>
        <v>110.11950000000002</v>
      </c>
      <c r="AS319" s="21">
        <f>(SUMPRODUCT(AS$9:AS$229,Nutrients!$EK$8:$EK$228)+(IF($A$7=Nutrients!$B$8,Nutrients!$EK$8,Nutrients!$EK$9)*AS$7)+(((IF($A$8=Nutrients!$B$79,Nutrients!$EK$79,(IF($A$8=Nutrients!$B$77,Nutrients!$EK$77,Nutrients!$EK$78)))))*AS$8))/2000*1000000</f>
        <v>110.11950000000002</v>
      </c>
      <c r="AT319" s="21">
        <f>(SUMPRODUCT(AT$9:AT$229,Nutrients!$EK$8:$EK$228)+(IF($A$7=Nutrients!$B$8,Nutrients!$EK$8,Nutrients!$EK$9)*AT$7)+(((IF($A$8=Nutrients!$B$79,Nutrients!$EK$79,(IF($A$8=Nutrients!$B$77,Nutrients!$EK$77,Nutrients!$EK$78)))))*AT$8))/2000*1000000</f>
        <v>91.766249999999999</v>
      </c>
      <c r="AU319" s="21">
        <f>(SUMPRODUCT(AU$9:AU$229,Nutrients!$EK$8:$EK$228)+(IF($A$7=Nutrients!$B$8,Nutrients!$EK$8,Nutrients!$EK$9)*AU$7)+(((IF($A$8=Nutrients!$B$79,Nutrients!$EK$79,(IF($A$8=Nutrients!$B$77,Nutrients!$EK$77,Nutrients!$EK$78)))))*AU$8))/2000*1000000</f>
        <v>73.413000000000011</v>
      </c>
      <c r="AV319" s="21">
        <f>(SUMPRODUCT(AV$9:AV$229,Nutrients!$EK$8:$EK$228)+(IF($A$7=Nutrients!$B$8,Nutrients!$EK$8,Nutrients!$EK$9)*AV$7)+(((IF($A$8=Nutrients!$B$79,Nutrients!$EK$79,(IF($A$8=Nutrients!$B$77,Nutrients!$EK$77,Nutrients!$EK$78)))))*AV$8))/2000*1000000</f>
        <v>55.059750000000008</v>
      </c>
      <c r="AW319" s="21">
        <f>(SUMPRODUCT(AW$9:AW$229,Nutrients!$EK$8:$EK$228)+(IF($A$7=Nutrients!$B$8,Nutrients!$EK$8,Nutrients!$EK$9)*AW$7)+(((IF($A$8=Nutrients!$B$79,Nutrients!$EK$79,(IF($A$8=Nutrients!$B$77,Nutrients!$EK$77,Nutrients!$EK$78)))))*AW$8))/2000*1000000</f>
        <v>55.059750000000008</v>
      </c>
    </row>
    <row r="320" spans="1:49" x14ac:dyDescent="0.25">
      <c r="A320" s="34" t="s">
        <v>113</v>
      </c>
      <c r="B320" s="21">
        <f>(SUMPRODUCT(B$9:B$229,Nutrients!$EL$8:$EL$228)+(IF($A$7=Nutrients!$B$8,Nutrients!$EL$8,Nutrients!$EL$9)*B$7)+(((IF($A$8=Nutrients!$B$79,Nutrients!$EL$79,(IF($A$8=Nutrients!$B$77,Nutrients!$EL$77,Nutrients!$EL$78)))))*B$8))/2000*1000000</f>
        <v>110.11950000000002</v>
      </c>
      <c r="C320" s="21">
        <f>(SUMPRODUCT(C$9:C$229,Nutrients!$EL$8:$EL$228)+(IF($A$7=Nutrients!$B$8,Nutrients!$EL$8,Nutrients!$EL$9)*C$7)+(((IF($A$8=Nutrients!$B$79,Nutrients!$EL$79,(IF($A$8=Nutrients!$B$77,Nutrients!$EL$77,Nutrients!$EL$78)))))*C$8))/2000*1000000</f>
        <v>110.11950000000002</v>
      </c>
      <c r="D320" s="21">
        <f>(SUMPRODUCT(D$9:D$229,Nutrients!$EL$8:$EL$228)+(IF($A$7=Nutrients!$B$8,Nutrients!$EL$8,Nutrients!$EL$9)*D$7)+(((IF($A$8=Nutrients!$B$79,Nutrients!$EL$79,(IF($A$8=Nutrients!$B$77,Nutrients!$EL$77,Nutrients!$EL$78)))))*D$8))/2000*1000000</f>
        <v>91.766249999999999</v>
      </c>
      <c r="E320" s="21">
        <f>(SUMPRODUCT(E$9:E$229,Nutrients!$EL$8:$EL$228)+(IF($A$7=Nutrients!$B$8,Nutrients!$EL$8,Nutrients!$EL$9)*E$7)+(((IF($A$8=Nutrients!$B$79,Nutrients!$EL$79,(IF($A$8=Nutrients!$B$77,Nutrients!$EL$77,Nutrients!$EL$78)))))*E$8))/2000*1000000</f>
        <v>73.413000000000011</v>
      </c>
      <c r="F320" s="21">
        <f>(SUMPRODUCT(F$9:F$229,Nutrients!$EL$8:$EL$228)+(IF($A$7=Nutrients!$B$8,Nutrients!$EL$8,Nutrients!$EL$9)*F$7)+(((IF($A$8=Nutrients!$B$79,Nutrients!$EL$79,(IF($A$8=Nutrients!$B$77,Nutrients!$EL$77,Nutrients!$EL$78)))))*F$8))/2000*1000000</f>
        <v>55.059750000000008</v>
      </c>
      <c r="G320" s="21">
        <f>(SUMPRODUCT(G$9:G$229,Nutrients!$EL$8:$EL$228)+(IF($A$7=Nutrients!$B$8,Nutrients!$EL$8,Nutrients!$EL$9)*G$7)+(((IF($A$8=Nutrients!$B$79,Nutrients!$EL$79,(IF($A$8=Nutrients!$B$77,Nutrients!$EL$77,Nutrients!$EL$78)))))*G$8))/2000*1000000</f>
        <v>55.059750000000008</v>
      </c>
      <c r="H320" s="226"/>
      <c r="I320" s="21">
        <f>(SUMPRODUCT(I$9:I$229,Nutrients!$EL$8:$EL$228)+(IF($A$7=Nutrients!$B$8,Nutrients!$EL$8,Nutrients!$EL$9)*I$7)+(((IF($A$8=Nutrients!$B$79,Nutrients!$EL$79,(IF($A$8=Nutrients!$B$77,Nutrients!$EL$77,Nutrients!$EL$78)))))*I$8))/2000*1000000</f>
        <v>110.11950000000002</v>
      </c>
      <c r="J320" s="21">
        <f>(SUMPRODUCT(J$9:J$229,Nutrients!$EL$8:$EL$228)+(IF($A$7=Nutrients!$B$8,Nutrients!$EL$8,Nutrients!$EL$9)*J$7)+(((IF($A$8=Nutrients!$B$79,Nutrients!$EL$79,(IF($A$8=Nutrients!$B$77,Nutrients!$EL$77,Nutrients!$EL$78)))))*J$8))/2000*1000000</f>
        <v>110.11950000000002</v>
      </c>
      <c r="K320" s="21">
        <f>(SUMPRODUCT(K$9:K$229,Nutrients!$EL$8:$EL$228)+(IF($A$7=Nutrients!$B$8,Nutrients!$EL$8,Nutrients!$EL$9)*K$7)+(((IF($A$8=Nutrients!$B$79,Nutrients!$EL$79,(IF($A$8=Nutrients!$B$77,Nutrients!$EL$77,Nutrients!$EL$78)))))*K$8))/2000*1000000</f>
        <v>91.766249999999999</v>
      </c>
      <c r="L320" s="21">
        <f>(SUMPRODUCT(L$9:L$229,Nutrients!$EL$8:$EL$228)+(IF($A$7=Nutrients!$B$8,Nutrients!$EL$8,Nutrients!$EL$9)*L$7)+(((IF($A$8=Nutrients!$B$79,Nutrients!$EL$79,(IF($A$8=Nutrients!$B$77,Nutrients!$EL$77,Nutrients!$EL$78)))))*L$8))/2000*1000000</f>
        <v>73.413000000000011</v>
      </c>
      <c r="M320" s="21">
        <f>(SUMPRODUCT(M$9:M$229,Nutrients!$EL$8:$EL$228)+(IF($A$7=Nutrients!$B$8,Nutrients!$EL$8,Nutrients!$EL$9)*M$7)+(((IF($A$8=Nutrients!$B$79,Nutrients!$EL$79,(IF($A$8=Nutrients!$B$77,Nutrients!$EL$77,Nutrients!$EL$78)))))*M$8))/2000*1000000</f>
        <v>55.059750000000008</v>
      </c>
      <c r="N320" s="21">
        <f>(SUMPRODUCT(N$9:N$229,Nutrients!$EL$8:$EL$228)+(IF($A$7=Nutrients!$B$8,Nutrients!$EL$8,Nutrients!$EL$9)*N$7)+(((IF($A$8=Nutrients!$B$79,Nutrients!$EL$79,(IF($A$8=Nutrients!$B$77,Nutrients!$EL$77,Nutrients!$EL$78)))))*N$8))/2000*1000000</f>
        <v>55.059750000000008</v>
      </c>
      <c r="O320" s="234"/>
      <c r="P320" s="21">
        <f>(SUMPRODUCT(P$9:P$229,Nutrients!$EL$8:$EL$228)+(IF($A$7=Nutrients!$B$8,Nutrients!$EL$8,Nutrients!$EL$9)*P$7)+(((IF($A$8=Nutrients!$B$79,Nutrients!$EL$79,(IF($A$8=Nutrients!$B$77,Nutrients!$EL$77,Nutrients!$EL$78)))))*P$8))/2000*1000000</f>
        <v>110.11950000000002</v>
      </c>
      <c r="Q320" s="21">
        <f>(SUMPRODUCT(Q$9:Q$229,Nutrients!$EL$8:$EL$228)+(IF($A$7=Nutrients!$B$8,Nutrients!$EL$8,Nutrients!$EL$9)*Q$7)+(((IF($A$8=Nutrients!$B$79,Nutrients!$EL$79,(IF($A$8=Nutrients!$B$77,Nutrients!$EL$77,Nutrients!$EL$78)))))*Q$8))/2000*1000000</f>
        <v>110.11950000000002</v>
      </c>
      <c r="R320" s="21">
        <f>(SUMPRODUCT(R$9:R$229,Nutrients!$EL$8:$EL$228)+(IF($A$7=Nutrients!$B$8,Nutrients!$EL$8,Nutrients!$EL$9)*R$7)+(((IF($A$8=Nutrients!$B$79,Nutrients!$EL$79,(IF($A$8=Nutrients!$B$77,Nutrients!$EL$77,Nutrients!$EL$78)))))*R$8))/2000*1000000</f>
        <v>91.766249999999999</v>
      </c>
      <c r="S320" s="21">
        <f>(SUMPRODUCT(S$9:S$229,Nutrients!$EL$8:$EL$228)+(IF($A$7=Nutrients!$B$8,Nutrients!$EL$8,Nutrients!$EL$9)*S$7)+(((IF($A$8=Nutrients!$B$79,Nutrients!$EL$79,(IF($A$8=Nutrients!$B$77,Nutrients!$EL$77,Nutrients!$EL$78)))))*S$8))/2000*1000000</f>
        <v>73.413000000000011</v>
      </c>
      <c r="T320" s="21">
        <f>(SUMPRODUCT(T$9:T$229,Nutrients!$EL$8:$EL$228)+(IF($A$7=Nutrients!$B$8,Nutrients!$EL$8,Nutrients!$EL$9)*T$7)+(((IF($A$8=Nutrients!$B$79,Nutrients!$EL$79,(IF($A$8=Nutrients!$B$77,Nutrients!$EL$77,Nutrients!$EL$78)))))*T$8))/2000*1000000</f>
        <v>55.059750000000008</v>
      </c>
      <c r="U320" s="21">
        <f>(SUMPRODUCT(U$9:U$229,Nutrients!$EL$8:$EL$228)+(IF($A$7=Nutrients!$B$8,Nutrients!$EL$8,Nutrients!$EL$9)*U$7)+(((IF($A$8=Nutrients!$B$79,Nutrients!$EL$79,(IF($A$8=Nutrients!$B$77,Nutrients!$EL$77,Nutrients!$EL$78)))))*U$8))/2000*1000000</f>
        <v>55.059750000000008</v>
      </c>
      <c r="W320" s="21">
        <f>(SUMPRODUCT(W$9:W$229,Nutrients!$EL$8:$EL$228)+(IF($A$7=Nutrients!$B$8,Nutrients!$EL$8,Nutrients!$EL$9)*W$7)+(((IF($A$8=Nutrients!$B$79,Nutrients!$EL$79,(IF($A$8=Nutrients!$B$77,Nutrients!$EL$77,Nutrients!$EL$78)))))*W$8))/2000*1000000</f>
        <v>110.11950000000002</v>
      </c>
      <c r="X320" s="21">
        <f>(SUMPRODUCT(X$9:X$229,Nutrients!$EL$8:$EL$228)+(IF($A$7=Nutrients!$B$8,Nutrients!$EL$8,Nutrients!$EL$9)*X$7)+(((IF($A$8=Nutrients!$B$79,Nutrients!$EL$79,(IF($A$8=Nutrients!$B$77,Nutrients!$EL$77,Nutrients!$EL$78)))))*X$8))/2000*1000000</f>
        <v>110.11950000000002</v>
      </c>
      <c r="Y320" s="21">
        <f>(SUMPRODUCT(Y$9:Y$229,Nutrients!$EL$8:$EL$228)+(IF($A$7=Nutrients!$B$8,Nutrients!$EL$8,Nutrients!$EL$9)*Y$7)+(((IF($A$8=Nutrients!$B$79,Nutrients!$EL$79,(IF($A$8=Nutrients!$B$77,Nutrients!$EL$77,Nutrients!$EL$78)))))*Y$8))/2000*1000000</f>
        <v>91.766249999999999</v>
      </c>
      <c r="Z320" s="21">
        <f>(SUMPRODUCT(Z$9:Z$229,Nutrients!$EL$8:$EL$228)+(IF($A$7=Nutrients!$B$8,Nutrients!$EL$8,Nutrients!$EL$9)*Z$7)+(((IF($A$8=Nutrients!$B$79,Nutrients!$EL$79,(IF($A$8=Nutrients!$B$77,Nutrients!$EL$77,Nutrients!$EL$78)))))*Z$8))/2000*1000000</f>
        <v>73.413000000000011</v>
      </c>
      <c r="AA320" s="21">
        <f>(SUMPRODUCT(AA$9:AA$229,Nutrients!$EL$8:$EL$228)+(IF($A$7=Nutrients!$B$8,Nutrients!$EL$8,Nutrients!$EL$9)*AA$7)+(((IF($A$8=Nutrients!$B$79,Nutrients!$EL$79,(IF($A$8=Nutrients!$B$77,Nutrients!$EL$77,Nutrients!$EL$78)))))*AA$8))/2000*1000000</f>
        <v>55.059750000000008</v>
      </c>
      <c r="AB320" s="21">
        <f>(SUMPRODUCT(AB$9:AB$229,Nutrients!$EL$8:$EL$228)+(IF($A$7=Nutrients!$B$8,Nutrients!$EL$8,Nutrients!$EL$9)*AB$7)+(((IF($A$8=Nutrients!$B$79,Nutrients!$EL$79,(IF($A$8=Nutrients!$B$77,Nutrients!$EL$77,Nutrients!$EL$78)))))*AB$8))/2000*1000000</f>
        <v>55.059750000000008</v>
      </c>
      <c r="AD320" s="21">
        <f>(SUMPRODUCT(AD$9:AD$229,Nutrients!$EL$8:$EL$228)+(IF($A$7=Nutrients!$B$8,Nutrients!$EL$8,Nutrients!$EL$9)*AD$7)+(((IF($A$8=Nutrients!$B$79,Nutrients!$EL$79,(IF($A$8=Nutrients!$B$77,Nutrients!$EL$77,Nutrients!$EL$78)))))*AD$8))/2000*1000000</f>
        <v>110.11950000000002</v>
      </c>
      <c r="AE320" s="21">
        <f>(SUMPRODUCT(AE$9:AE$229,Nutrients!$EL$8:$EL$228)+(IF($A$7=Nutrients!$B$8,Nutrients!$EL$8,Nutrients!$EL$9)*AE$7)+(((IF($A$8=Nutrients!$B$79,Nutrients!$EL$79,(IF($A$8=Nutrients!$B$77,Nutrients!$EL$77,Nutrients!$EL$78)))))*AE$8))/2000*1000000</f>
        <v>110.11950000000002</v>
      </c>
      <c r="AF320" s="21">
        <f>(SUMPRODUCT(AF$9:AF$229,Nutrients!$EL$8:$EL$228)+(IF($A$7=Nutrients!$B$8,Nutrients!$EL$8,Nutrients!$EL$9)*AF$7)+(((IF($A$8=Nutrients!$B$79,Nutrients!$EL$79,(IF($A$8=Nutrients!$B$77,Nutrients!$EL$77,Nutrients!$EL$78)))))*AF$8))/2000*1000000</f>
        <v>91.766249999999999</v>
      </c>
      <c r="AG320" s="21">
        <f>(SUMPRODUCT(AG$9:AG$229,Nutrients!$EL$8:$EL$228)+(IF($A$7=Nutrients!$B$8,Nutrients!$EL$8,Nutrients!$EL$9)*AG$7)+(((IF($A$8=Nutrients!$B$79,Nutrients!$EL$79,(IF($A$8=Nutrients!$B$77,Nutrients!$EL$77,Nutrients!$EL$78)))))*AG$8))/2000*1000000</f>
        <v>73.413000000000011</v>
      </c>
      <c r="AH320" s="21">
        <f>(SUMPRODUCT(AH$9:AH$229,Nutrients!$EL$8:$EL$228)+(IF($A$7=Nutrients!$B$8,Nutrients!$EL$8,Nutrients!$EL$9)*AH$7)+(((IF($A$8=Nutrients!$B$79,Nutrients!$EL$79,(IF($A$8=Nutrients!$B$77,Nutrients!$EL$77,Nutrients!$EL$78)))))*AH$8))/2000*1000000</f>
        <v>55.059750000000008</v>
      </c>
      <c r="AI320" s="21">
        <f>(SUMPRODUCT(AI$9:AI$229,Nutrients!$EL$8:$EL$228)+(IF($A$7=Nutrients!$B$8,Nutrients!$EL$8,Nutrients!$EL$9)*AI$7)+(((IF($A$8=Nutrients!$B$79,Nutrients!$EL$79,(IF($A$8=Nutrients!$B$77,Nutrients!$EL$77,Nutrients!$EL$78)))))*AI$8))/2000*1000000</f>
        <v>55.059750000000008</v>
      </c>
      <c r="AK320" s="21">
        <f>(SUMPRODUCT(AK$9:AK$229,Nutrients!$EL$8:$EL$228)+(IF($A$7=Nutrients!$B$8,Nutrients!$EL$8,Nutrients!$EL$9)*AK$7)+(((IF($A$8=Nutrients!$B$79,Nutrients!$EL$79,(IF($A$8=Nutrients!$B$77,Nutrients!$EL$77,Nutrients!$EL$78)))))*AK$8))/2000*1000000</f>
        <v>110.11950000000002</v>
      </c>
      <c r="AL320" s="21">
        <f>(SUMPRODUCT(AL$9:AL$229,Nutrients!$EL$8:$EL$228)+(IF($A$7=Nutrients!$B$8,Nutrients!$EL$8,Nutrients!$EL$9)*AL$7)+(((IF($A$8=Nutrients!$B$79,Nutrients!$EL$79,(IF($A$8=Nutrients!$B$77,Nutrients!$EL$77,Nutrients!$EL$78)))))*AL$8))/2000*1000000</f>
        <v>110.11950000000002</v>
      </c>
      <c r="AM320" s="21">
        <f>(SUMPRODUCT(AM$9:AM$229,Nutrients!$EL$8:$EL$228)+(IF($A$7=Nutrients!$B$8,Nutrients!$EL$8,Nutrients!$EL$9)*AM$7)+(((IF($A$8=Nutrients!$B$79,Nutrients!$EL$79,(IF($A$8=Nutrients!$B$77,Nutrients!$EL$77,Nutrients!$EL$78)))))*AM$8))/2000*1000000</f>
        <v>91.766249999999999</v>
      </c>
      <c r="AN320" s="21">
        <f>(SUMPRODUCT(AN$9:AN$229,Nutrients!$EL$8:$EL$228)+(IF($A$7=Nutrients!$B$8,Nutrients!$EL$8,Nutrients!$EL$9)*AN$7)+(((IF($A$8=Nutrients!$B$79,Nutrients!$EL$79,(IF($A$8=Nutrients!$B$77,Nutrients!$EL$77,Nutrients!$EL$78)))))*AN$8))/2000*1000000</f>
        <v>73.413000000000011</v>
      </c>
      <c r="AO320" s="21">
        <f>(SUMPRODUCT(AO$9:AO$229,Nutrients!$EL$8:$EL$228)+(IF($A$7=Nutrients!$B$8,Nutrients!$EL$8,Nutrients!$EL$9)*AO$7)+(((IF($A$8=Nutrients!$B$79,Nutrients!$EL$79,(IF($A$8=Nutrients!$B$77,Nutrients!$EL$77,Nutrients!$EL$78)))))*AO$8))/2000*1000000</f>
        <v>55.059750000000008</v>
      </c>
      <c r="AP320" s="21">
        <f>(SUMPRODUCT(AP$9:AP$229,Nutrients!$EL$8:$EL$228)+(IF($A$7=Nutrients!$B$8,Nutrients!$EL$8,Nutrients!$EL$9)*AP$7)+(((IF($A$8=Nutrients!$B$79,Nutrients!$EL$79,(IF($A$8=Nutrients!$B$77,Nutrients!$EL$77,Nutrients!$EL$78)))))*AP$8))/2000*1000000</f>
        <v>55.059750000000008</v>
      </c>
      <c r="AR320" s="21">
        <f>(SUMPRODUCT(AR$9:AR$229,Nutrients!$EL$8:$EL$228)+(IF($A$7=Nutrients!$B$8,Nutrients!$EL$8,Nutrients!$EL$9)*AR$7)+(((IF($A$8=Nutrients!$B$79,Nutrients!$EL$79,(IF($A$8=Nutrients!$B$77,Nutrients!$EL$77,Nutrients!$EL$78)))))*AR$8))/2000*1000000</f>
        <v>110.11950000000002</v>
      </c>
      <c r="AS320" s="21">
        <f>(SUMPRODUCT(AS$9:AS$229,Nutrients!$EL$8:$EL$228)+(IF($A$7=Nutrients!$B$8,Nutrients!$EL$8,Nutrients!$EL$9)*AS$7)+(((IF($A$8=Nutrients!$B$79,Nutrients!$EL$79,(IF($A$8=Nutrients!$B$77,Nutrients!$EL$77,Nutrients!$EL$78)))))*AS$8))/2000*1000000</f>
        <v>110.11950000000002</v>
      </c>
      <c r="AT320" s="21">
        <f>(SUMPRODUCT(AT$9:AT$229,Nutrients!$EL$8:$EL$228)+(IF($A$7=Nutrients!$B$8,Nutrients!$EL$8,Nutrients!$EL$9)*AT$7)+(((IF($A$8=Nutrients!$B$79,Nutrients!$EL$79,(IF($A$8=Nutrients!$B$77,Nutrients!$EL$77,Nutrients!$EL$78)))))*AT$8))/2000*1000000</f>
        <v>91.766249999999999</v>
      </c>
      <c r="AU320" s="21">
        <f>(SUMPRODUCT(AU$9:AU$229,Nutrients!$EL$8:$EL$228)+(IF($A$7=Nutrients!$B$8,Nutrients!$EL$8,Nutrients!$EL$9)*AU$7)+(((IF($A$8=Nutrients!$B$79,Nutrients!$EL$79,(IF($A$8=Nutrients!$B$77,Nutrients!$EL$77,Nutrients!$EL$78)))))*AU$8))/2000*1000000</f>
        <v>73.413000000000011</v>
      </c>
      <c r="AV320" s="21">
        <f>(SUMPRODUCT(AV$9:AV$229,Nutrients!$EL$8:$EL$228)+(IF($A$7=Nutrients!$B$8,Nutrients!$EL$8,Nutrients!$EL$9)*AV$7)+(((IF($A$8=Nutrients!$B$79,Nutrients!$EL$79,(IF($A$8=Nutrients!$B$77,Nutrients!$EL$77,Nutrients!$EL$78)))))*AV$8))/2000*1000000</f>
        <v>55.059750000000008</v>
      </c>
      <c r="AW320" s="21">
        <f>(SUMPRODUCT(AW$9:AW$229,Nutrients!$EL$8:$EL$228)+(IF($A$7=Nutrients!$B$8,Nutrients!$EL$8,Nutrients!$EL$9)*AW$7)+(((IF($A$8=Nutrients!$B$79,Nutrients!$EL$79,(IF($A$8=Nutrients!$B$77,Nutrients!$EL$77,Nutrients!$EL$78)))))*AW$8))/2000*1000000</f>
        <v>55.059750000000008</v>
      </c>
    </row>
    <row r="321" spans="1:49" x14ac:dyDescent="0.25">
      <c r="A321" s="34" t="s">
        <v>114</v>
      </c>
      <c r="B321" s="21">
        <f>(SUMPRODUCT(B$9:B$229,Nutrients!$EM$8:$EM$228)+(IF($A$7=Nutrients!$B$8,Nutrients!$EM$8,Nutrients!$EM$9)*B$7)+(((IF($A$8=Nutrients!$B$79,Nutrients!$EM$79,(IF($A$8=Nutrients!$B$77,Nutrients!$EM$77,Nutrients!$EM$78)))))*B$8))/2000*1000000</f>
        <v>33.068999999999996</v>
      </c>
      <c r="C321" s="21">
        <f>(SUMPRODUCT(C$9:C$229,Nutrients!$EM$8:$EM$228)+(IF($A$7=Nutrients!$B$8,Nutrients!$EM$8,Nutrients!$EM$9)*C$7)+(((IF($A$8=Nutrients!$B$79,Nutrients!$EM$79,(IF($A$8=Nutrients!$B$77,Nutrients!$EM$77,Nutrients!$EM$78)))))*C$8))/2000*1000000</f>
        <v>33.068999999999996</v>
      </c>
      <c r="D321" s="21">
        <f>(SUMPRODUCT(D$9:D$229,Nutrients!$EM$8:$EM$228)+(IF($A$7=Nutrients!$B$8,Nutrients!$EM$8,Nutrients!$EM$9)*D$7)+(((IF($A$8=Nutrients!$B$79,Nutrients!$EM$79,(IF($A$8=Nutrients!$B$77,Nutrients!$EM$77,Nutrients!$EM$78)))))*D$8))/2000*1000000</f>
        <v>27.557499999999997</v>
      </c>
      <c r="E321" s="21">
        <f>(SUMPRODUCT(E$9:E$229,Nutrients!$EM$8:$EM$228)+(IF($A$7=Nutrients!$B$8,Nutrients!$EM$8,Nutrients!$EM$9)*E$7)+(((IF($A$8=Nutrients!$B$79,Nutrients!$EM$79,(IF($A$8=Nutrients!$B$77,Nutrients!$EM$77,Nutrients!$EM$78)))))*E$8))/2000*1000000</f>
        <v>22.045999999999999</v>
      </c>
      <c r="F321" s="21">
        <f>(SUMPRODUCT(F$9:F$229,Nutrients!$EM$8:$EM$228)+(IF($A$7=Nutrients!$B$8,Nutrients!$EM$8,Nutrients!$EM$9)*F$7)+(((IF($A$8=Nutrients!$B$79,Nutrients!$EM$79,(IF($A$8=Nutrients!$B$77,Nutrients!$EM$77,Nutrients!$EM$78)))))*F$8))/2000*1000000</f>
        <v>16.534499999999998</v>
      </c>
      <c r="G321" s="21">
        <f>(SUMPRODUCT(G$9:G$229,Nutrients!$EM$8:$EM$228)+(IF($A$7=Nutrients!$B$8,Nutrients!$EM$8,Nutrients!$EM$9)*G$7)+(((IF($A$8=Nutrients!$B$79,Nutrients!$EM$79,(IF($A$8=Nutrients!$B$77,Nutrients!$EM$77,Nutrients!$EM$78)))))*G$8))/2000*1000000</f>
        <v>16.534499999999998</v>
      </c>
      <c r="H321" s="226"/>
      <c r="I321" s="21">
        <f>(SUMPRODUCT(I$9:I$229,Nutrients!$EM$8:$EM$228)+(IF($A$7=Nutrients!$B$8,Nutrients!$EM$8,Nutrients!$EM$9)*I$7)+(((IF($A$8=Nutrients!$B$79,Nutrients!$EM$79,(IF($A$8=Nutrients!$B$77,Nutrients!$EM$77,Nutrients!$EM$78)))))*I$8))/2000*1000000</f>
        <v>33.068999999999996</v>
      </c>
      <c r="J321" s="21">
        <f>(SUMPRODUCT(J$9:J$229,Nutrients!$EM$8:$EM$228)+(IF($A$7=Nutrients!$B$8,Nutrients!$EM$8,Nutrients!$EM$9)*J$7)+(((IF($A$8=Nutrients!$B$79,Nutrients!$EM$79,(IF($A$8=Nutrients!$B$77,Nutrients!$EM$77,Nutrients!$EM$78)))))*J$8))/2000*1000000</f>
        <v>33.068999999999996</v>
      </c>
      <c r="K321" s="21">
        <f>(SUMPRODUCT(K$9:K$229,Nutrients!$EM$8:$EM$228)+(IF($A$7=Nutrients!$B$8,Nutrients!$EM$8,Nutrients!$EM$9)*K$7)+(((IF($A$8=Nutrients!$B$79,Nutrients!$EM$79,(IF($A$8=Nutrients!$B$77,Nutrients!$EM$77,Nutrients!$EM$78)))))*K$8))/2000*1000000</f>
        <v>27.557499999999997</v>
      </c>
      <c r="L321" s="21">
        <f>(SUMPRODUCT(L$9:L$229,Nutrients!$EM$8:$EM$228)+(IF($A$7=Nutrients!$B$8,Nutrients!$EM$8,Nutrients!$EM$9)*L$7)+(((IF($A$8=Nutrients!$B$79,Nutrients!$EM$79,(IF($A$8=Nutrients!$B$77,Nutrients!$EM$77,Nutrients!$EM$78)))))*L$8))/2000*1000000</f>
        <v>22.045999999999999</v>
      </c>
      <c r="M321" s="21">
        <f>(SUMPRODUCT(M$9:M$229,Nutrients!$EM$8:$EM$228)+(IF($A$7=Nutrients!$B$8,Nutrients!$EM$8,Nutrients!$EM$9)*M$7)+(((IF($A$8=Nutrients!$B$79,Nutrients!$EM$79,(IF($A$8=Nutrients!$B$77,Nutrients!$EM$77,Nutrients!$EM$78)))))*M$8))/2000*1000000</f>
        <v>16.534499999999998</v>
      </c>
      <c r="N321" s="21">
        <f>(SUMPRODUCT(N$9:N$229,Nutrients!$EM$8:$EM$228)+(IF($A$7=Nutrients!$B$8,Nutrients!$EM$8,Nutrients!$EM$9)*N$7)+(((IF($A$8=Nutrients!$B$79,Nutrients!$EM$79,(IF($A$8=Nutrients!$B$77,Nutrients!$EM$77,Nutrients!$EM$78)))))*N$8))/2000*1000000</f>
        <v>16.534499999999998</v>
      </c>
      <c r="O321" s="234"/>
      <c r="P321" s="21">
        <f>(SUMPRODUCT(P$9:P$229,Nutrients!$EM$8:$EM$228)+(IF($A$7=Nutrients!$B$8,Nutrients!$EM$8,Nutrients!$EM$9)*P$7)+(((IF($A$8=Nutrients!$B$79,Nutrients!$EM$79,(IF($A$8=Nutrients!$B$77,Nutrients!$EM$77,Nutrients!$EM$78)))))*P$8))/2000*1000000</f>
        <v>33.068999999999996</v>
      </c>
      <c r="Q321" s="21">
        <f>(SUMPRODUCT(Q$9:Q$229,Nutrients!$EM$8:$EM$228)+(IF($A$7=Nutrients!$B$8,Nutrients!$EM$8,Nutrients!$EM$9)*Q$7)+(((IF($A$8=Nutrients!$B$79,Nutrients!$EM$79,(IF($A$8=Nutrients!$B$77,Nutrients!$EM$77,Nutrients!$EM$78)))))*Q$8))/2000*1000000</f>
        <v>33.068999999999996</v>
      </c>
      <c r="R321" s="21">
        <f>(SUMPRODUCT(R$9:R$229,Nutrients!$EM$8:$EM$228)+(IF($A$7=Nutrients!$B$8,Nutrients!$EM$8,Nutrients!$EM$9)*R$7)+(((IF($A$8=Nutrients!$B$79,Nutrients!$EM$79,(IF($A$8=Nutrients!$B$77,Nutrients!$EM$77,Nutrients!$EM$78)))))*R$8))/2000*1000000</f>
        <v>27.557499999999997</v>
      </c>
      <c r="S321" s="21">
        <f>(SUMPRODUCT(S$9:S$229,Nutrients!$EM$8:$EM$228)+(IF($A$7=Nutrients!$B$8,Nutrients!$EM$8,Nutrients!$EM$9)*S$7)+(((IF($A$8=Nutrients!$B$79,Nutrients!$EM$79,(IF($A$8=Nutrients!$B$77,Nutrients!$EM$77,Nutrients!$EM$78)))))*S$8))/2000*1000000</f>
        <v>22.045999999999999</v>
      </c>
      <c r="T321" s="21">
        <f>(SUMPRODUCT(T$9:T$229,Nutrients!$EM$8:$EM$228)+(IF($A$7=Nutrients!$B$8,Nutrients!$EM$8,Nutrients!$EM$9)*T$7)+(((IF($A$8=Nutrients!$B$79,Nutrients!$EM$79,(IF($A$8=Nutrients!$B$77,Nutrients!$EM$77,Nutrients!$EM$78)))))*T$8))/2000*1000000</f>
        <v>16.534499999999998</v>
      </c>
      <c r="U321" s="21">
        <f>(SUMPRODUCT(U$9:U$229,Nutrients!$EM$8:$EM$228)+(IF($A$7=Nutrients!$B$8,Nutrients!$EM$8,Nutrients!$EM$9)*U$7)+(((IF($A$8=Nutrients!$B$79,Nutrients!$EM$79,(IF($A$8=Nutrients!$B$77,Nutrients!$EM$77,Nutrients!$EM$78)))))*U$8))/2000*1000000</f>
        <v>16.534499999999998</v>
      </c>
      <c r="W321" s="21">
        <f>(SUMPRODUCT(W$9:W$229,Nutrients!$EM$8:$EM$228)+(IF($A$7=Nutrients!$B$8,Nutrients!$EM$8,Nutrients!$EM$9)*W$7)+(((IF($A$8=Nutrients!$B$79,Nutrients!$EM$79,(IF($A$8=Nutrients!$B$77,Nutrients!$EM$77,Nutrients!$EM$78)))))*W$8))/2000*1000000</f>
        <v>33.068999999999996</v>
      </c>
      <c r="X321" s="21">
        <f>(SUMPRODUCT(X$9:X$229,Nutrients!$EM$8:$EM$228)+(IF($A$7=Nutrients!$B$8,Nutrients!$EM$8,Nutrients!$EM$9)*X$7)+(((IF($A$8=Nutrients!$B$79,Nutrients!$EM$79,(IF($A$8=Nutrients!$B$77,Nutrients!$EM$77,Nutrients!$EM$78)))))*X$8))/2000*1000000</f>
        <v>33.068999999999996</v>
      </c>
      <c r="Y321" s="21">
        <f>(SUMPRODUCT(Y$9:Y$229,Nutrients!$EM$8:$EM$228)+(IF($A$7=Nutrients!$B$8,Nutrients!$EM$8,Nutrients!$EM$9)*Y$7)+(((IF($A$8=Nutrients!$B$79,Nutrients!$EM$79,(IF($A$8=Nutrients!$B$77,Nutrients!$EM$77,Nutrients!$EM$78)))))*Y$8))/2000*1000000</f>
        <v>27.557499999999997</v>
      </c>
      <c r="Z321" s="21">
        <f>(SUMPRODUCT(Z$9:Z$229,Nutrients!$EM$8:$EM$228)+(IF($A$7=Nutrients!$B$8,Nutrients!$EM$8,Nutrients!$EM$9)*Z$7)+(((IF($A$8=Nutrients!$B$79,Nutrients!$EM$79,(IF($A$8=Nutrients!$B$77,Nutrients!$EM$77,Nutrients!$EM$78)))))*Z$8))/2000*1000000</f>
        <v>22.045999999999999</v>
      </c>
      <c r="AA321" s="21">
        <f>(SUMPRODUCT(AA$9:AA$229,Nutrients!$EM$8:$EM$228)+(IF($A$7=Nutrients!$B$8,Nutrients!$EM$8,Nutrients!$EM$9)*AA$7)+(((IF($A$8=Nutrients!$B$79,Nutrients!$EM$79,(IF($A$8=Nutrients!$B$77,Nutrients!$EM$77,Nutrients!$EM$78)))))*AA$8))/2000*1000000</f>
        <v>16.534499999999998</v>
      </c>
      <c r="AB321" s="21">
        <f>(SUMPRODUCT(AB$9:AB$229,Nutrients!$EM$8:$EM$228)+(IF($A$7=Nutrients!$B$8,Nutrients!$EM$8,Nutrients!$EM$9)*AB$7)+(((IF($A$8=Nutrients!$B$79,Nutrients!$EM$79,(IF($A$8=Nutrients!$B$77,Nutrients!$EM$77,Nutrients!$EM$78)))))*AB$8))/2000*1000000</f>
        <v>16.534499999999998</v>
      </c>
      <c r="AD321" s="21">
        <f>(SUMPRODUCT(AD$9:AD$229,Nutrients!$EM$8:$EM$228)+(IF($A$7=Nutrients!$B$8,Nutrients!$EM$8,Nutrients!$EM$9)*AD$7)+(((IF($A$8=Nutrients!$B$79,Nutrients!$EM$79,(IF($A$8=Nutrients!$B$77,Nutrients!$EM$77,Nutrients!$EM$78)))))*AD$8))/2000*1000000</f>
        <v>33.068999999999996</v>
      </c>
      <c r="AE321" s="21">
        <f>(SUMPRODUCT(AE$9:AE$229,Nutrients!$EM$8:$EM$228)+(IF($A$7=Nutrients!$B$8,Nutrients!$EM$8,Nutrients!$EM$9)*AE$7)+(((IF($A$8=Nutrients!$B$79,Nutrients!$EM$79,(IF($A$8=Nutrients!$B$77,Nutrients!$EM$77,Nutrients!$EM$78)))))*AE$8))/2000*1000000</f>
        <v>33.068999999999996</v>
      </c>
      <c r="AF321" s="21">
        <f>(SUMPRODUCT(AF$9:AF$229,Nutrients!$EM$8:$EM$228)+(IF($A$7=Nutrients!$B$8,Nutrients!$EM$8,Nutrients!$EM$9)*AF$7)+(((IF($A$8=Nutrients!$B$79,Nutrients!$EM$79,(IF($A$8=Nutrients!$B$77,Nutrients!$EM$77,Nutrients!$EM$78)))))*AF$8))/2000*1000000</f>
        <v>27.557499999999997</v>
      </c>
      <c r="AG321" s="21">
        <f>(SUMPRODUCT(AG$9:AG$229,Nutrients!$EM$8:$EM$228)+(IF($A$7=Nutrients!$B$8,Nutrients!$EM$8,Nutrients!$EM$9)*AG$7)+(((IF($A$8=Nutrients!$B$79,Nutrients!$EM$79,(IF($A$8=Nutrients!$B$77,Nutrients!$EM$77,Nutrients!$EM$78)))))*AG$8))/2000*1000000</f>
        <v>22.045999999999999</v>
      </c>
      <c r="AH321" s="21">
        <f>(SUMPRODUCT(AH$9:AH$229,Nutrients!$EM$8:$EM$228)+(IF($A$7=Nutrients!$B$8,Nutrients!$EM$8,Nutrients!$EM$9)*AH$7)+(((IF($A$8=Nutrients!$B$79,Nutrients!$EM$79,(IF($A$8=Nutrients!$B$77,Nutrients!$EM$77,Nutrients!$EM$78)))))*AH$8))/2000*1000000</f>
        <v>16.534499999999998</v>
      </c>
      <c r="AI321" s="21">
        <f>(SUMPRODUCT(AI$9:AI$229,Nutrients!$EM$8:$EM$228)+(IF($A$7=Nutrients!$B$8,Nutrients!$EM$8,Nutrients!$EM$9)*AI$7)+(((IF($A$8=Nutrients!$B$79,Nutrients!$EM$79,(IF($A$8=Nutrients!$B$77,Nutrients!$EM$77,Nutrients!$EM$78)))))*AI$8))/2000*1000000</f>
        <v>16.534499999999998</v>
      </c>
      <c r="AK321" s="21">
        <f>(SUMPRODUCT(AK$9:AK$229,Nutrients!$EM$8:$EM$228)+(IF($A$7=Nutrients!$B$8,Nutrients!$EM$8,Nutrients!$EM$9)*AK$7)+(((IF($A$8=Nutrients!$B$79,Nutrients!$EM$79,(IF($A$8=Nutrients!$B$77,Nutrients!$EM$77,Nutrients!$EM$78)))))*AK$8))/2000*1000000</f>
        <v>33.068999999999996</v>
      </c>
      <c r="AL321" s="21">
        <f>(SUMPRODUCT(AL$9:AL$229,Nutrients!$EM$8:$EM$228)+(IF($A$7=Nutrients!$B$8,Nutrients!$EM$8,Nutrients!$EM$9)*AL$7)+(((IF($A$8=Nutrients!$B$79,Nutrients!$EM$79,(IF($A$8=Nutrients!$B$77,Nutrients!$EM$77,Nutrients!$EM$78)))))*AL$8))/2000*1000000</f>
        <v>33.068999999999996</v>
      </c>
      <c r="AM321" s="21">
        <f>(SUMPRODUCT(AM$9:AM$229,Nutrients!$EM$8:$EM$228)+(IF($A$7=Nutrients!$B$8,Nutrients!$EM$8,Nutrients!$EM$9)*AM$7)+(((IF($A$8=Nutrients!$B$79,Nutrients!$EM$79,(IF($A$8=Nutrients!$B$77,Nutrients!$EM$77,Nutrients!$EM$78)))))*AM$8))/2000*1000000</f>
        <v>27.557499999999997</v>
      </c>
      <c r="AN321" s="21">
        <f>(SUMPRODUCT(AN$9:AN$229,Nutrients!$EM$8:$EM$228)+(IF($A$7=Nutrients!$B$8,Nutrients!$EM$8,Nutrients!$EM$9)*AN$7)+(((IF($A$8=Nutrients!$B$79,Nutrients!$EM$79,(IF($A$8=Nutrients!$B$77,Nutrients!$EM$77,Nutrients!$EM$78)))))*AN$8))/2000*1000000</f>
        <v>22.045999999999999</v>
      </c>
      <c r="AO321" s="21">
        <f>(SUMPRODUCT(AO$9:AO$229,Nutrients!$EM$8:$EM$228)+(IF($A$7=Nutrients!$B$8,Nutrients!$EM$8,Nutrients!$EM$9)*AO$7)+(((IF($A$8=Nutrients!$B$79,Nutrients!$EM$79,(IF($A$8=Nutrients!$B$77,Nutrients!$EM$77,Nutrients!$EM$78)))))*AO$8))/2000*1000000</f>
        <v>16.534499999999998</v>
      </c>
      <c r="AP321" s="21">
        <f>(SUMPRODUCT(AP$9:AP$229,Nutrients!$EM$8:$EM$228)+(IF($A$7=Nutrients!$B$8,Nutrients!$EM$8,Nutrients!$EM$9)*AP$7)+(((IF($A$8=Nutrients!$B$79,Nutrients!$EM$79,(IF($A$8=Nutrients!$B$77,Nutrients!$EM$77,Nutrients!$EM$78)))))*AP$8))/2000*1000000</f>
        <v>16.534499999999998</v>
      </c>
      <c r="AR321" s="21">
        <f>(SUMPRODUCT(AR$9:AR$229,Nutrients!$EM$8:$EM$228)+(IF($A$7=Nutrients!$B$8,Nutrients!$EM$8,Nutrients!$EM$9)*AR$7)+(((IF($A$8=Nutrients!$B$79,Nutrients!$EM$79,(IF($A$8=Nutrients!$B$77,Nutrients!$EM$77,Nutrients!$EM$78)))))*AR$8))/2000*1000000</f>
        <v>33.068999999999996</v>
      </c>
      <c r="AS321" s="21">
        <f>(SUMPRODUCT(AS$9:AS$229,Nutrients!$EM$8:$EM$228)+(IF($A$7=Nutrients!$B$8,Nutrients!$EM$8,Nutrients!$EM$9)*AS$7)+(((IF($A$8=Nutrients!$B$79,Nutrients!$EM$79,(IF($A$8=Nutrients!$B$77,Nutrients!$EM$77,Nutrients!$EM$78)))))*AS$8))/2000*1000000</f>
        <v>33.068999999999996</v>
      </c>
      <c r="AT321" s="21">
        <f>(SUMPRODUCT(AT$9:AT$229,Nutrients!$EM$8:$EM$228)+(IF($A$7=Nutrients!$B$8,Nutrients!$EM$8,Nutrients!$EM$9)*AT$7)+(((IF($A$8=Nutrients!$B$79,Nutrients!$EM$79,(IF($A$8=Nutrients!$B$77,Nutrients!$EM$77,Nutrients!$EM$78)))))*AT$8))/2000*1000000</f>
        <v>27.557499999999997</v>
      </c>
      <c r="AU321" s="21">
        <f>(SUMPRODUCT(AU$9:AU$229,Nutrients!$EM$8:$EM$228)+(IF($A$7=Nutrients!$B$8,Nutrients!$EM$8,Nutrients!$EM$9)*AU$7)+(((IF($A$8=Nutrients!$B$79,Nutrients!$EM$79,(IF($A$8=Nutrients!$B$77,Nutrients!$EM$77,Nutrients!$EM$78)))))*AU$8))/2000*1000000</f>
        <v>22.045999999999999</v>
      </c>
      <c r="AV321" s="21">
        <f>(SUMPRODUCT(AV$9:AV$229,Nutrients!$EM$8:$EM$228)+(IF($A$7=Nutrients!$B$8,Nutrients!$EM$8,Nutrients!$EM$9)*AV$7)+(((IF($A$8=Nutrients!$B$79,Nutrients!$EM$79,(IF($A$8=Nutrients!$B$77,Nutrients!$EM$77,Nutrients!$EM$78)))))*AV$8))/2000*1000000</f>
        <v>16.534499999999998</v>
      </c>
      <c r="AW321" s="21">
        <f>(SUMPRODUCT(AW$9:AW$229,Nutrients!$EM$8:$EM$228)+(IF($A$7=Nutrients!$B$8,Nutrients!$EM$8,Nutrients!$EM$9)*AW$7)+(((IF($A$8=Nutrients!$B$79,Nutrients!$EM$79,(IF($A$8=Nutrients!$B$77,Nutrients!$EM$77,Nutrients!$EM$78)))))*AW$8))/2000*1000000</f>
        <v>16.534499999999998</v>
      </c>
    </row>
    <row r="322" spans="1:49" x14ac:dyDescent="0.25">
      <c r="A322" s="34" t="s">
        <v>115</v>
      </c>
      <c r="B322" s="21">
        <f>(SUMPRODUCT(B$9:B$229,Nutrients!$EN$8:$EN$228)+(IF($A$7=Nutrients!$B$8,Nutrients!$EN$8,Nutrients!$EN$9)*B$7)+(((IF($A$8=Nutrients!$B$79,Nutrients!$EN$79,(IF($A$8=Nutrients!$B$77,Nutrients!$EN$77,Nutrients!$EN$78)))))*B$8))/2000*1000000</f>
        <v>16.5</v>
      </c>
      <c r="C322" s="21">
        <f>(SUMPRODUCT(C$9:C$229,Nutrients!$EN$8:$EN$228)+(IF($A$7=Nutrients!$B$8,Nutrients!$EN$8,Nutrients!$EN$9)*C$7)+(((IF($A$8=Nutrients!$B$79,Nutrients!$EN$79,(IF($A$8=Nutrients!$B$77,Nutrients!$EN$77,Nutrients!$EN$78)))))*C$8))/2000*1000000</f>
        <v>16.5</v>
      </c>
      <c r="D322" s="21">
        <f>(SUMPRODUCT(D$9:D$229,Nutrients!$EN$8:$EN$228)+(IF($A$7=Nutrients!$B$8,Nutrients!$EN$8,Nutrients!$EN$9)*D$7)+(((IF($A$8=Nutrients!$B$79,Nutrients!$EN$79,(IF($A$8=Nutrients!$B$77,Nutrients!$EN$77,Nutrients!$EN$78)))))*D$8))/2000*1000000</f>
        <v>13.749999999999998</v>
      </c>
      <c r="E322" s="21">
        <f>(SUMPRODUCT(E$9:E$229,Nutrients!$EN$8:$EN$228)+(IF($A$7=Nutrients!$B$8,Nutrients!$EN$8,Nutrients!$EN$9)*E$7)+(((IF($A$8=Nutrients!$B$79,Nutrients!$EN$79,(IF($A$8=Nutrients!$B$77,Nutrients!$EN$77,Nutrients!$EN$78)))))*E$8))/2000*1000000</f>
        <v>11</v>
      </c>
      <c r="F322" s="21">
        <f>(SUMPRODUCT(F$9:F$229,Nutrients!$EN$8:$EN$228)+(IF($A$7=Nutrients!$B$8,Nutrients!$EN$8,Nutrients!$EN$9)*F$7)+(((IF($A$8=Nutrients!$B$79,Nutrients!$EN$79,(IF($A$8=Nutrients!$B$77,Nutrients!$EN$77,Nutrients!$EN$78)))))*F$8))/2000*1000000</f>
        <v>8.25</v>
      </c>
      <c r="G322" s="21">
        <f>(SUMPRODUCT(G$9:G$229,Nutrients!$EN$8:$EN$228)+(IF($A$7=Nutrients!$B$8,Nutrients!$EN$8,Nutrients!$EN$9)*G$7)+(((IF($A$8=Nutrients!$B$79,Nutrients!$EN$79,(IF($A$8=Nutrients!$B$77,Nutrients!$EN$77,Nutrients!$EN$78)))))*G$8))/2000*1000000</f>
        <v>8.25</v>
      </c>
      <c r="H322" s="226"/>
      <c r="I322" s="21">
        <f>(SUMPRODUCT(I$9:I$229,Nutrients!$EN$8:$EN$228)+(IF($A$7=Nutrients!$B$8,Nutrients!$EN$8,Nutrients!$EN$9)*I$7)+(((IF($A$8=Nutrients!$B$79,Nutrients!$EN$79,(IF($A$8=Nutrients!$B$77,Nutrients!$EN$77,Nutrients!$EN$78)))))*I$8))/2000*1000000</f>
        <v>16.5</v>
      </c>
      <c r="J322" s="21">
        <f>(SUMPRODUCT(J$9:J$229,Nutrients!$EN$8:$EN$228)+(IF($A$7=Nutrients!$B$8,Nutrients!$EN$8,Nutrients!$EN$9)*J$7)+(((IF($A$8=Nutrients!$B$79,Nutrients!$EN$79,(IF($A$8=Nutrients!$B$77,Nutrients!$EN$77,Nutrients!$EN$78)))))*J$8))/2000*1000000</f>
        <v>16.5</v>
      </c>
      <c r="K322" s="21">
        <f>(SUMPRODUCT(K$9:K$229,Nutrients!$EN$8:$EN$228)+(IF($A$7=Nutrients!$B$8,Nutrients!$EN$8,Nutrients!$EN$9)*K$7)+(((IF($A$8=Nutrients!$B$79,Nutrients!$EN$79,(IF($A$8=Nutrients!$B$77,Nutrients!$EN$77,Nutrients!$EN$78)))))*K$8))/2000*1000000</f>
        <v>13.749999999999998</v>
      </c>
      <c r="L322" s="21">
        <f>(SUMPRODUCT(L$9:L$229,Nutrients!$EN$8:$EN$228)+(IF($A$7=Nutrients!$B$8,Nutrients!$EN$8,Nutrients!$EN$9)*L$7)+(((IF($A$8=Nutrients!$B$79,Nutrients!$EN$79,(IF($A$8=Nutrients!$B$77,Nutrients!$EN$77,Nutrients!$EN$78)))))*L$8))/2000*1000000</f>
        <v>11</v>
      </c>
      <c r="M322" s="21">
        <f>(SUMPRODUCT(M$9:M$229,Nutrients!$EN$8:$EN$228)+(IF($A$7=Nutrients!$B$8,Nutrients!$EN$8,Nutrients!$EN$9)*M$7)+(((IF($A$8=Nutrients!$B$79,Nutrients!$EN$79,(IF($A$8=Nutrients!$B$77,Nutrients!$EN$77,Nutrients!$EN$78)))))*M$8))/2000*1000000</f>
        <v>8.25</v>
      </c>
      <c r="N322" s="21">
        <f>(SUMPRODUCT(N$9:N$229,Nutrients!$EN$8:$EN$228)+(IF($A$7=Nutrients!$B$8,Nutrients!$EN$8,Nutrients!$EN$9)*N$7)+(((IF($A$8=Nutrients!$B$79,Nutrients!$EN$79,(IF($A$8=Nutrients!$B$77,Nutrients!$EN$77,Nutrients!$EN$78)))))*N$8))/2000*1000000</f>
        <v>8.25</v>
      </c>
      <c r="O322" s="234"/>
      <c r="P322" s="21">
        <f>(SUMPRODUCT(P$9:P$229,Nutrients!$EN$8:$EN$228)+(IF($A$7=Nutrients!$B$8,Nutrients!$EN$8,Nutrients!$EN$9)*P$7)+(((IF($A$8=Nutrients!$B$79,Nutrients!$EN$79,(IF($A$8=Nutrients!$B$77,Nutrients!$EN$77,Nutrients!$EN$78)))))*P$8))/2000*1000000</f>
        <v>16.5</v>
      </c>
      <c r="Q322" s="21">
        <f>(SUMPRODUCT(Q$9:Q$229,Nutrients!$EN$8:$EN$228)+(IF($A$7=Nutrients!$B$8,Nutrients!$EN$8,Nutrients!$EN$9)*Q$7)+(((IF($A$8=Nutrients!$B$79,Nutrients!$EN$79,(IF($A$8=Nutrients!$B$77,Nutrients!$EN$77,Nutrients!$EN$78)))))*Q$8))/2000*1000000</f>
        <v>16.5</v>
      </c>
      <c r="R322" s="21">
        <f>(SUMPRODUCT(R$9:R$229,Nutrients!$EN$8:$EN$228)+(IF($A$7=Nutrients!$B$8,Nutrients!$EN$8,Nutrients!$EN$9)*R$7)+(((IF($A$8=Nutrients!$B$79,Nutrients!$EN$79,(IF($A$8=Nutrients!$B$77,Nutrients!$EN$77,Nutrients!$EN$78)))))*R$8))/2000*1000000</f>
        <v>13.749999999999998</v>
      </c>
      <c r="S322" s="21">
        <f>(SUMPRODUCT(S$9:S$229,Nutrients!$EN$8:$EN$228)+(IF($A$7=Nutrients!$B$8,Nutrients!$EN$8,Nutrients!$EN$9)*S$7)+(((IF($A$8=Nutrients!$B$79,Nutrients!$EN$79,(IF($A$8=Nutrients!$B$77,Nutrients!$EN$77,Nutrients!$EN$78)))))*S$8))/2000*1000000</f>
        <v>11</v>
      </c>
      <c r="T322" s="21">
        <f>(SUMPRODUCT(T$9:T$229,Nutrients!$EN$8:$EN$228)+(IF($A$7=Nutrients!$B$8,Nutrients!$EN$8,Nutrients!$EN$9)*T$7)+(((IF($A$8=Nutrients!$B$79,Nutrients!$EN$79,(IF($A$8=Nutrients!$B$77,Nutrients!$EN$77,Nutrients!$EN$78)))))*T$8))/2000*1000000</f>
        <v>8.25</v>
      </c>
      <c r="U322" s="21">
        <f>(SUMPRODUCT(U$9:U$229,Nutrients!$EN$8:$EN$228)+(IF($A$7=Nutrients!$B$8,Nutrients!$EN$8,Nutrients!$EN$9)*U$7)+(((IF($A$8=Nutrients!$B$79,Nutrients!$EN$79,(IF($A$8=Nutrients!$B$77,Nutrients!$EN$77,Nutrients!$EN$78)))))*U$8))/2000*1000000</f>
        <v>8.25</v>
      </c>
      <c r="W322" s="21">
        <f>(SUMPRODUCT(W$9:W$229,Nutrients!$EN$8:$EN$228)+(IF($A$7=Nutrients!$B$8,Nutrients!$EN$8,Nutrients!$EN$9)*W$7)+(((IF($A$8=Nutrients!$B$79,Nutrients!$EN$79,(IF($A$8=Nutrients!$B$77,Nutrients!$EN$77,Nutrients!$EN$78)))))*W$8))/2000*1000000</f>
        <v>16.5</v>
      </c>
      <c r="X322" s="21">
        <f>(SUMPRODUCT(X$9:X$229,Nutrients!$EN$8:$EN$228)+(IF($A$7=Nutrients!$B$8,Nutrients!$EN$8,Nutrients!$EN$9)*X$7)+(((IF($A$8=Nutrients!$B$79,Nutrients!$EN$79,(IF($A$8=Nutrients!$B$77,Nutrients!$EN$77,Nutrients!$EN$78)))))*X$8))/2000*1000000</f>
        <v>16.5</v>
      </c>
      <c r="Y322" s="21">
        <f>(SUMPRODUCT(Y$9:Y$229,Nutrients!$EN$8:$EN$228)+(IF($A$7=Nutrients!$B$8,Nutrients!$EN$8,Nutrients!$EN$9)*Y$7)+(((IF($A$8=Nutrients!$B$79,Nutrients!$EN$79,(IF($A$8=Nutrients!$B$77,Nutrients!$EN$77,Nutrients!$EN$78)))))*Y$8))/2000*1000000</f>
        <v>13.749999999999998</v>
      </c>
      <c r="Z322" s="21">
        <f>(SUMPRODUCT(Z$9:Z$229,Nutrients!$EN$8:$EN$228)+(IF($A$7=Nutrients!$B$8,Nutrients!$EN$8,Nutrients!$EN$9)*Z$7)+(((IF($A$8=Nutrients!$B$79,Nutrients!$EN$79,(IF($A$8=Nutrients!$B$77,Nutrients!$EN$77,Nutrients!$EN$78)))))*Z$8))/2000*1000000</f>
        <v>11</v>
      </c>
      <c r="AA322" s="21">
        <f>(SUMPRODUCT(AA$9:AA$229,Nutrients!$EN$8:$EN$228)+(IF($A$7=Nutrients!$B$8,Nutrients!$EN$8,Nutrients!$EN$9)*AA$7)+(((IF($A$8=Nutrients!$B$79,Nutrients!$EN$79,(IF($A$8=Nutrients!$B$77,Nutrients!$EN$77,Nutrients!$EN$78)))))*AA$8))/2000*1000000</f>
        <v>8.25</v>
      </c>
      <c r="AB322" s="21">
        <f>(SUMPRODUCT(AB$9:AB$229,Nutrients!$EN$8:$EN$228)+(IF($A$7=Nutrients!$B$8,Nutrients!$EN$8,Nutrients!$EN$9)*AB$7)+(((IF($A$8=Nutrients!$B$79,Nutrients!$EN$79,(IF($A$8=Nutrients!$B$77,Nutrients!$EN$77,Nutrients!$EN$78)))))*AB$8))/2000*1000000</f>
        <v>8.25</v>
      </c>
      <c r="AD322" s="21">
        <f>(SUMPRODUCT(AD$9:AD$229,Nutrients!$EN$8:$EN$228)+(IF($A$7=Nutrients!$B$8,Nutrients!$EN$8,Nutrients!$EN$9)*AD$7)+(((IF($A$8=Nutrients!$B$79,Nutrients!$EN$79,(IF($A$8=Nutrients!$B$77,Nutrients!$EN$77,Nutrients!$EN$78)))))*AD$8))/2000*1000000</f>
        <v>16.5</v>
      </c>
      <c r="AE322" s="21">
        <f>(SUMPRODUCT(AE$9:AE$229,Nutrients!$EN$8:$EN$228)+(IF($A$7=Nutrients!$B$8,Nutrients!$EN$8,Nutrients!$EN$9)*AE$7)+(((IF($A$8=Nutrients!$B$79,Nutrients!$EN$79,(IF($A$8=Nutrients!$B$77,Nutrients!$EN$77,Nutrients!$EN$78)))))*AE$8))/2000*1000000</f>
        <v>16.5</v>
      </c>
      <c r="AF322" s="21">
        <f>(SUMPRODUCT(AF$9:AF$229,Nutrients!$EN$8:$EN$228)+(IF($A$7=Nutrients!$B$8,Nutrients!$EN$8,Nutrients!$EN$9)*AF$7)+(((IF($A$8=Nutrients!$B$79,Nutrients!$EN$79,(IF($A$8=Nutrients!$B$77,Nutrients!$EN$77,Nutrients!$EN$78)))))*AF$8))/2000*1000000</f>
        <v>13.749999999999998</v>
      </c>
      <c r="AG322" s="21">
        <f>(SUMPRODUCT(AG$9:AG$229,Nutrients!$EN$8:$EN$228)+(IF($A$7=Nutrients!$B$8,Nutrients!$EN$8,Nutrients!$EN$9)*AG$7)+(((IF($A$8=Nutrients!$B$79,Nutrients!$EN$79,(IF($A$8=Nutrients!$B$77,Nutrients!$EN$77,Nutrients!$EN$78)))))*AG$8))/2000*1000000</f>
        <v>11</v>
      </c>
      <c r="AH322" s="21">
        <f>(SUMPRODUCT(AH$9:AH$229,Nutrients!$EN$8:$EN$228)+(IF($A$7=Nutrients!$B$8,Nutrients!$EN$8,Nutrients!$EN$9)*AH$7)+(((IF($A$8=Nutrients!$B$79,Nutrients!$EN$79,(IF($A$8=Nutrients!$B$77,Nutrients!$EN$77,Nutrients!$EN$78)))))*AH$8))/2000*1000000</f>
        <v>8.25</v>
      </c>
      <c r="AI322" s="21">
        <f>(SUMPRODUCT(AI$9:AI$229,Nutrients!$EN$8:$EN$228)+(IF($A$7=Nutrients!$B$8,Nutrients!$EN$8,Nutrients!$EN$9)*AI$7)+(((IF($A$8=Nutrients!$B$79,Nutrients!$EN$79,(IF($A$8=Nutrients!$B$77,Nutrients!$EN$77,Nutrients!$EN$78)))))*AI$8))/2000*1000000</f>
        <v>8.25</v>
      </c>
      <c r="AK322" s="21">
        <f>(SUMPRODUCT(AK$9:AK$229,Nutrients!$EN$8:$EN$228)+(IF($A$7=Nutrients!$B$8,Nutrients!$EN$8,Nutrients!$EN$9)*AK$7)+(((IF($A$8=Nutrients!$B$79,Nutrients!$EN$79,(IF($A$8=Nutrients!$B$77,Nutrients!$EN$77,Nutrients!$EN$78)))))*AK$8))/2000*1000000</f>
        <v>16.5</v>
      </c>
      <c r="AL322" s="21">
        <f>(SUMPRODUCT(AL$9:AL$229,Nutrients!$EN$8:$EN$228)+(IF($A$7=Nutrients!$B$8,Nutrients!$EN$8,Nutrients!$EN$9)*AL$7)+(((IF($A$8=Nutrients!$B$79,Nutrients!$EN$79,(IF($A$8=Nutrients!$B$77,Nutrients!$EN$77,Nutrients!$EN$78)))))*AL$8))/2000*1000000</f>
        <v>16.5</v>
      </c>
      <c r="AM322" s="21">
        <f>(SUMPRODUCT(AM$9:AM$229,Nutrients!$EN$8:$EN$228)+(IF($A$7=Nutrients!$B$8,Nutrients!$EN$8,Nutrients!$EN$9)*AM$7)+(((IF($A$8=Nutrients!$B$79,Nutrients!$EN$79,(IF($A$8=Nutrients!$B$77,Nutrients!$EN$77,Nutrients!$EN$78)))))*AM$8))/2000*1000000</f>
        <v>13.749999999999998</v>
      </c>
      <c r="AN322" s="21">
        <f>(SUMPRODUCT(AN$9:AN$229,Nutrients!$EN$8:$EN$228)+(IF($A$7=Nutrients!$B$8,Nutrients!$EN$8,Nutrients!$EN$9)*AN$7)+(((IF($A$8=Nutrients!$B$79,Nutrients!$EN$79,(IF($A$8=Nutrients!$B$77,Nutrients!$EN$77,Nutrients!$EN$78)))))*AN$8))/2000*1000000</f>
        <v>11</v>
      </c>
      <c r="AO322" s="21">
        <f>(SUMPRODUCT(AO$9:AO$229,Nutrients!$EN$8:$EN$228)+(IF($A$7=Nutrients!$B$8,Nutrients!$EN$8,Nutrients!$EN$9)*AO$7)+(((IF($A$8=Nutrients!$B$79,Nutrients!$EN$79,(IF($A$8=Nutrients!$B$77,Nutrients!$EN$77,Nutrients!$EN$78)))))*AO$8))/2000*1000000</f>
        <v>8.25</v>
      </c>
      <c r="AP322" s="21">
        <f>(SUMPRODUCT(AP$9:AP$229,Nutrients!$EN$8:$EN$228)+(IF($A$7=Nutrients!$B$8,Nutrients!$EN$8,Nutrients!$EN$9)*AP$7)+(((IF($A$8=Nutrients!$B$79,Nutrients!$EN$79,(IF($A$8=Nutrients!$B$77,Nutrients!$EN$77,Nutrients!$EN$78)))))*AP$8))/2000*1000000</f>
        <v>8.25</v>
      </c>
      <c r="AR322" s="21">
        <f>(SUMPRODUCT(AR$9:AR$229,Nutrients!$EN$8:$EN$228)+(IF($A$7=Nutrients!$B$8,Nutrients!$EN$8,Nutrients!$EN$9)*AR$7)+(((IF($A$8=Nutrients!$B$79,Nutrients!$EN$79,(IF($A$8=Nutrients!$B$77,Nutrients!$EN$77,Nutrients!$EN$78)))))*AR$8))/2000*1000000</f>
        <v>16.5</v>
      </c>
      <c r="AS322" s="21">
        <f>(SUMPRODUCT(AS$9:AS$229,Nutrients!$EN$8:$EN$228)+(IF($A$7=Nutrients!$B$8,Nutrients!$EN$8,Nutrients!$EN$9)*AS$7)+(((IF($A$8=Nutrients!$B$79,Nutrients!$EN$79,(IF($A$8=Nutrients!$B$77,Nutrients!$EN$77,Nutrients!$EN$78)))))*AS$8))/2000*1000000</f>
        <v>16.5</v>
      </c>
      <c r="AT322" s="21">
        <f>(SUMPRODUCT(AT$9:AT$229,Nutrients!$EN$8:$EN$228)+(IF($A$7=Nutrients!$B$8,Nutrients!$EN$8,Nutrients!$EN$9)*AT$7)+(((IF($A$8=Nutrients!$B$79,Nutrients!$EN$79,(IF($A$8=Nutrients!$B$77,Nutrients!$EN$77,Nutrients!$EN$78)))))*AT$8))/2000*1000000</f>
        <v>13.749999999999998</v>
      </c>
      <c r="AU322" s="21">
        <f>(SUMPRODUCT(AU$9:AU$229,Nutrients!$EN$8:$EN$228)+(IF($A$7=Nutrients!$B$8,Nutrients!$EN$8,Nutrients!$EN$9)*AU$7)+(((IF($A$8=Nutrients!$B$79,Nutrients!$EN$79,(IF($A$8=Nutrients!$B$77,Nutrients!$EN$77,Nutrients!$EN$78)))))*AU$8))/2000*1000000</f>
        <v>11</v>
      </c>
      <c r="AV322" s="21">
        <f>(SUMPRODUCT(AV$9:AV$229,Nutrients!$EN$8:$EN$228)+(IF($A$7=Nutrients!$B$8,Nutrients!$EN$8,Nutrients!$EN$9)*AV$7)+(((IF($A$8=Nutrients!$B$79,Nutrients!$EN$79,(IF($A$8=Nutrients!$B$77,Nutrients!$EN$77,Nutrients!$EN$78)))))*AV$8))/2000*1000000</f>
        <v>8.25</v>
      </c>
      <c r="AW322" s="21">
        <f>(SUMPRODUCT(AW$9:AW$229,Nutrients!$EN$8:$EN$228)+(IF($A$7=Nutrients!$B$8,Nutrients!$EN$8,Nutrients!$EN$9)*AW$7)+(((IF($A$8=Nutrients!$B$79,Nutrients!$EN$79,(IF($A$8=Nutrients!$B$77,Nutrients!$EN$77,Nutrients!$EN$78)))))*AW$8))/2000*1000000</f>
        <v>8.25</v>
      </c>
    </row>
    <row r="323" spans="1:49" x14ac:dyDescent="0.25">
      <c r="A323" s="34" t="s">
        <v>116</v>
      </c>
      <c r="B323" s="23">
        <f>(SUMPRODUCT(B$9:B$229,Nutrients!$EO$8:$EO$228)+(IF($A$7=Nutrients!$B$8,Nutrients!$EO$8,Nutrients!$EO$9)*B$7)+(((IF($A$8=Nutrients!$B$79,Nutrients!$EO$79,(IF($A$8=Nutrients!$B$77,Nutrients!$EO$77,Nutrients!$EO$78)))))*B$8))/2000*1000000</f>
        <v>0.29699999999999999</v>
      </c>
      <c r="C323" s="23">
        <f>(SUMPRODUCT(C$9:C$229,Nutrients!$EO$8:$EO$228)+(IF($A$7=Nutrients!$B$8,Nutrients!$EO$8,Nutrients!$EO$9)*C$7)+(((IF($A$8=Nutrients!$B$79,Nutrients!$EO$79,(IF($A$8=Nutrients!$B$77,Nutrients!$EO$77,Nutrients!$EO$78)))))*C$8))/2000*1000000</f>
        <v>0.29699999999999999</v>
      </c>
      <c r="D323" s="23">
        <f>(SUMPRODUCT(D$9:D$229,Nutrients!$EO$8:$EO$228)+(IF($A$7=Nutrients!$B$8,Nutrients!$EO$8,Nutrients!$EO$9)*D$7)+(((IF($A$8=Nutrients!$B$79,Nutrients!$EO$79,(IF($A$8=Nutrients!$B$77,Nutrients!$EO$77,Nutrients!$EO$78)))))*D$8))/2000*1000000</f>
        <v>0.24750000000000003</v>
      </c>
      <c r="E323" s="23">
        <f>(SUMPRODUCT(E$9:E$229,Nutrients!$EO$8:$EO$228)+(IF($A$7=Nutrients!$B$8,Nutrients!$EO$8,Nutrients!$EO$9)*E$7)+(((IF($A$8=Nutrients!$B$79,Nutrients!$EO$79,(IF($A$8=Nutrients!$B$77,Nutrients!$EO$77,Nutrients!$EO$78)))))*E$8))/2000*1000000</f>
        <v>0.19800000000000001</v>
      </c>
      <c r="F323" s="23">
        <f>(SUMPRODUCT(F$9:F$229,Nutrients!$EO$8:$EO$228)+(IF($A$7=Nutrients!$B$8,Nutrients!$EO$8,Nutrients!$EO$9)*F$7)+(((IF($A$8=Nutrients!$B$79,Nutrients!$EO$79,(IF($A$8=Nutrients!$B$77,Nutrients!$EO$77,Nutrients!$EO$78)))))*F$8))/2000*1000000</f>
        <v>0.14849999999999999</v>
      </c>
      <c r="G323" s="23">
        <f>(SUMPRODUCT(G$9:G$229,Nutrients!$EO$8:$EO$228)+(IF($A$7=Nutrients!$B$8,Nutrients!$EO$8,Nutrients!$EO$9)*G$7)+(((IF($A$8=Nutrients!$B$79,Nutrients!$EO$79,(IF($A$8=Nutrients!$B$77,Nutrients!$EO$77,Nutrients!$EO$78)))))*G$8))/2000*1000000</f>
        <v>0.14849999999999999</v>
      </c>
      <c r="H323" s="227"/>
      <c r="I323" s="23">
        <f>(SUMPRODUCT(I$9:I$229,Nutrients!$EO$8:$EO$228)+(IF($A$7=Nutrients!$B$8,Nutrients!$EO$8,Nutrients!$EO$9)*I$7)+(((IF($A$8=Nutrients!$B$79,Nutrients!$EO$79,(IF($A$8=Nutrients!$B$77,Nutrients!$EO$77,Nutrients!$EO$78)))))*I$8))/2000*1000000</f>
        <v>0.29699999999999999</v>
      </c>
      <c r="J323" s="23">
        <f>(SUMPRODUCT(J$9:J$229,Nutrients!$EO$8:$EO$228)+(IF($A$7=Nutrients!$B$8,Nutrients!$EO$8,Nutrients!$EO$9)*J$7)+(((IF($A$8=Nutrients!$B$79,Nutrients!$EO$79,(IF($A$8=Nutrients!$B$77,Nutrients!$EO$77,Nutrients!$EO$78)))))*J$8))/2000*1000000</f>
        <v>0.29699999999999999</v>
      </c>
      <c r="K323" s="23">
        <f>(SUMPRODUCT(K$9:K$229,Nutrients!$EO$8:$EO$228)+(IF($A$7=Nutrients!$B$8,Nutrients!$EO$8,Nutrients!$EO$9)*K$7)+(((IF($A$8=Nutrients!$B$79,Nutrients!$EO$79,(IF($A$8=Nutrients!$B$77,Nutrients!$EO$77,Nutrients!$EO$78)))))*K$8))/2000*1000000</f>
        <v>0.24750000000000003</v>
      </c>
      <c r="L323" s="23">
        <f>(SUMPRODUCT(L$9:L$229,Nutrients!$EO$8:$EO$228)+(IF($A$7=Nutrients!$B$8,Nutrients!$EO$8,Nutrients!$EO$9)*L$7)+(((IF($A$8=Nutrients!$B$79,Nutrients!$EO$79,(IF($A$8=Nutrients!$B$77,Nutrients!$EO$77,Nutrients!$EO$78)))))*L$8))/2000*1000000</f>
        <v>0.19800000000000001</v>
      </c>
      <c r="M323" s="23">
        <f>(SUMPRODUCT(M$9:M$229,Nutrients!$EO$8:$EO$228)+(IF($A$7=Nutrients!$B$8,Nutrients!$EO$8,Nutrients!$EO$9)*M$7)+(((IF($A$8=Nutrients!$B$79,Nutrients!$EO$79,(IF($A$8=Nutrients!$B$77,Nutrients!$EO$77,Nutrients!$EO$78)))))*M$8))/2000*1000000</f>
        <v>0.14849999999999999</v>
      </c>
      <c r="N323" s="23">
        <f>(SUMPRODUCT(N$9:N$229,Nutrients!$EO$8:$EO$228)+(IF($A$7=Nutrients!$B$8,Nutrients!$EO$8,Nutrients!$EO$9)*N$7)+(((IF($A$8=Nutrients!$B$79,Nutrients!$EO$79,(IF($A$8=Nutrients!$B$77,Nutrients!$EO$77,Nutrients!$EO$78)))))*N$8))/2000*1000000</f>
        <v>0.14849999999999999</v>
      </c>
      <c r="O323" s="234"/>
      <c r="P323" s="23">
        <f>(SUMPRODUCT(P$9:P$229,Nutrients!$EO$8:$EO$228)+(IF($A$7=Nutrients!$B$8,Nutrients!$EO$8,Nutrients!$EO$9)*P$7)+(((IF($A$8=Nutrients!$B$79,Nutrients!$EO$79,(IF($A$8=Nutrients!$B$77,Nutrients!$EO$77,Nutrients!$EO$78)))))*P$8))/2000*1000000</f>
        <v>0.29699999999999999</v>
      </c>
      <c r="Q323" s="23">
        <f>(SUMPRODUCT(Q$9:Q$229,Nutrients!$EO$8:$EO$228)+(IF($A$7=Nutrients!$B$8,Nutrients!$EO$8,Nutrients!$EO$9)*Q$7)+(((IF($A$8=Nutrients!$B$79,Nutrients!$EO$79,(IF($A$8=Nutrients!$B$77,Nutrients!$EO$77,Nutrients!$EO$78)))))*Q$8))/2000*1000000</f>
        <v>0.29699999999999999</v>
      </c>
      <c r="R323" s="23">
        <f>(SUMPRODUCT(R$9:R$229,Nutrients!$EO$8:$EO$228)+(IF($A$7=Nutrients!$B$8,Nutrients!$EO$8,Nutrients!$EO$9)*R$7)+(((IF($A$8=Nutrients!$B$79,Nutrients!$EO$79,(IF($A$8=Nutrients!$B$77,Nutrients!$EO$77,Nutrients!$EO$78)))))*R$8))/2000*1000000</f>
        <v>0.24750000000000003</v>
      </c>
      <c r="S323" s="23">
        <f>(SUMPRODUCT(S$9:S$229,Nutrients!$EO$8:$EO$228)+(IF($A$7=Nutrients!$B$8,Nutrients!$EO$8,Nutrients!$EO$9)*S$7)+(((IF($A$8=Nutrients!$B$79,Nutrients!$EO$79,(IF($A$8=Nutrients!$B$77,Nutrients!$EO$77,Nutrients!$EO$78)))))*S$8))/2000*1000000</f>
        <v>0.19800000000000001</v>
      </c>
      <c r="T323" s="23">
        <f>(SUMPRODUCT(T$9:T$229,Nutrients!$EO$8:$EO$228)+(IF($A$7=Nutrients!$B$8,Nutrients!$EO$8,Nutrients!$EO$9)*T$7)+(((IF($A$8=Nutrients!$B$79,Nutrients!$EO$79,(IF($A$8=Nutrients!$B$77,Nutrients!$EO$77,Nutrients!$EO$78)))))*T$8))/2000*1000000</f>
        <v>0.14849999999999999</v>
      </c>
      <c r="U323" s="23">
        <f>(SUMPRODUCT(U$9:U$229,Nutrients!$EO$8:$EO$228)+(IF($A$7=Nutrients!$B$8,Nutrients!$EO$8,Nutrients!$EO$9)*U$7)+(((IF($A$8=Nutrients!$B$79,Nutrients!$EO$79,(IF($A$8=Nutrients!$B$77,Nutrients!$EO$77,Nutrients!$EO$78)))))*U$8))/2000*1000000</f>
        <v>0.14849999999999999</v>
      </c>
      <c r="W323" s="23">
        <f>(SUMPRODUCT(W$9:W$229,Nutrients!$EO$8:$EO$228)+(IF($A$7=Nutrients!$B$8,Nutrients!$EO$8,Nutrients!$EO$9)*W$7)+(((IF($A$8=Nutrients!$B$79,Nutrients!$EO$79,(IF($A$8=Nutrients!$B$77,Nutrients!$EO$77,Nutrients!$EO$78)))))*W$8))/2000*1000000</f>
        <v>0.29699999999999999</v>
      </c>
      <c r="X323" s="23">
        <f>(SUMPRODUCT(X$9:X$229,Nutrients!$EO$8:$EO$228)+(IF($A$7=Nutrients!$B$8,Nutrients!$EO$8,Nutrients!$EO$9)*X$7)+(((IF($A$8=Nutrients!$B$79,Nutrients!$EO$79,(IF($A$8=Nutrients!$B$77,Nutrients!$EO$77,Nutrients!$EO$78)))))*X$8))/2000*1000000</f>
        <v>0.29699999999999999</v>
      </c>
      <c r="Y323" s="23">
        <f>(SUMPRODUCT(Y$9:Y$229,Nutrients!$EO$8:$EO$228)+(IF($A$7=Nutrients!$B$8,Nutrients!$EO$8,Nutrients!$EO$9)*Y$7)+(((IF($A$8=Nutrients!$B$79,Nutrients!$EO$79,(IF($A$8=Nutrients!$B$77,Nutrients!$EO$77,Nutrients!$EO$78)))))*Y$8))/2000*1000000</f>
        <v>0.24750000000000003</v>
      </c>
      <c r="Z323" s="23">
        <f>(SUMPRODUCT(Z$9:Z$229,Nutrients!$EO$8:$EO$228)+(IF($A$7=Nutrients!$B$8,Nutrients!$EO$8,Nutrients!$EO$9)*Z$7)+(((IF($A$8=Nutrients!$B$79,Nutrients!$EO$79,(IF($A$8=Nutrients!$B$77,Nutrients!$EO$77,Nutrients!$EO$78)))))*Z$8))/2000*1000000</f>
        <v>0.19800000000000001</v>
      </c>
      <c r="AA323" s="23">
        <f>(SUMPRODUCT(AA$9:AA$229,Nutrients!$EO$8:$EO$228)+(IF($A$7=Nutrients!$B$8,Nutrients!$EO$8,Nutrients!$EO$9)*AA$7)+(((IF($A$8=Nutrients!$B$79,Nutrients!$EO$79,(IF($A$8=Nutrients!$B$77,Nutrients!$EO$77,Nutrients!$EO$78)))))*AA$8))/2000*1000000</f>
        <v>0.14849999999999999</v>
      </c>
      <c r="AB323" s="23">
        <f>(SUMPRODUCT(AB$9:AB$229,Nutrients!$EO$8:$EO$228)+(IF($A$7=Nutrients!$B$8,Nutrients!$EO$8,Nutrients!$EO$9)*AB$7)+(((IF($A$8=Nutrients!$B$79,Nutrients!$EO$79,(IF($A$8=Nutrients!$B$77,Nutrients!$EO$77,Nutrients!$EO$78)))))*AB$8))/2000*1000000</f>
        <v>0.14849999999999999</v>
      </c>
      <c r="AD323" s="23">
        <f>(SUMPRODUCT(AD$9:AD$229,Nutrients!$EO$8:$EO$228)+(IF($A$7=Nutrients!$B$8,Nutrients!$EO$8,Nutrients!$EO$9)*AD$7)+(((IF($A$8=Nutrients!$B$79,Nutrients!$EO$79,(IF($A$8=Nutrients!$B$77,Nutrients!$EO$77,Nutrients!$EO$78)))))*AD$8))/2000*1000000</f>
        <v>0.29699999999999999</v>
      </c>
      <c r="AE323" s="23">
        <f>(SUMPRODUCT(AE$9:AE$229,Nutrients!$EO$8:$EO$228)+(IF($A$7=Nutrients!$B$8,Nutrients!$EO$8,Nutrients!$EO$9)*AE$7)+(((IF($A$8=Nutrients!$B$79,Nutrients!$EO$79,(IF($A$8=Nutrients!$B$77,Nutrients!$EO$77,Nutrients!$EO$78)))))*AE$8))/2000*1000000</f>
        <v>0.29699999999999999</v>
      </c>
      <c r="AF323" s="23">
        <f>(SUMPRODUCT(AF$9:AF$229,Nutrients!$EO$8:$EO$228)+(IF($A$7=Nutrients!$B$8,Nutrients!$EO$8,Nutrients!$EO$9)*AF$7)+(((IF($A$8=Nutrients!$B$79,Nutrients!$EO$79,(IF($A$8=Nutrients!$B$77,Nutrients!$EO$77,Nutrients!$EO$78)))))*AF$8))/2000*1000000</f>
        <v>0.24750000000000003</v>
      </c>
      <c r="AG323" s="23">
        <f>(SUMPRODUCT(AG$9:AG$229,Nutrients!$EO$8:$EO$228)+(IF($A$7=Nutrients!$B$8,Nutrients!$EO$8,Nutrients!$EO$9)*AG$7)+(((IF($A$8=Nutrients!$B$79,Nutrients!$EO$79,(IF($A$8=Nutrients!$B$77,Nutrients!$EO$77,Nutrients!$EO$78)))))*AG$8))/2000*1000000</f>
        <v>0.19800000000000001</v>
      </c>
      <c r="AH323" s="23">
        <f>(SUMPRODUCT(AH$9:AH$229,Nutrients!$EO$8:$EO$228)+(IF($A$7=Nutrients!$B$8,Nutrients!$EO$8,Nutrients!$EO$9)*AH$7)+(((IF($A$8=Nutrients!$B$79,Nutrients!$EO$79,(IF($A$8=Nutrients!$B$77,Nutrients!$EO$77,Nutrients!$EO$78)))))*AH$8))/2000*1000000</f>
        <v>0.14849999999999999</v>
      </c>
      <c r="AI323" s="23">
        <f>(SUMPRODUCT(AI$9:AI$229,Nutrients!$EO$8:$EO$228)+(IF($A$7=Nutrients!$B$8,Nutrients!$EO$8,Nutrients!$EO$9)*AI$7)+(((IF($A$8=Nutrients!$B$79,Nutrients!$EO$79,(IF($A$8=Nutrients!$B$77,Nutrients!$EO$77,Nutrients!$EO$78)))))*AI$8))/2000*1000000</f>
        <v>0.14849999999999999</v>
      </c>
      <c r="AK323" s="23">
        <f>(SUMPRODUCT(AK$9:AK$229,Nutrients!$EO$8:$EO$228)+(IF($A$7=Nutrients!$B$8,Nutrients!$EO$8,Nutrients!$EO$9)*AK$7)+(((IF($A$8=Nutrients!$B$79,Nutrients!$EO$79,(IF($A$8=Nutrients!$B$77,Nutrients!$EO$77,Nutrients!$EO$78)))))*AK$8))/2000*1000000</f>
        <v>0.29699999999999999</v>
      </c>
      <c r="AL323" s="23">
        <f>(SUMPRODUCT(AL$9:AL$229,Nutrients!$EO$8:$EO$228)+(IF($A$7=Nutrients!$B$8,Nutrients!$EO$8,Nutrients!$EO$9)*AL$7)+(((IF($A$8=Nutrients!$B$79,Nutrients!$EO$79,(IF($A$8=Nutrients!$B$77,Nutrients!$EO$77,Nutrients!$EO$78)))))*AL$8))/2000*1000000</f>
        <v>0.29699999999999999</v>
      </c>
      <c r="AM323" s="23">
        <f>(SUMPRODUCT(AM$9:AM$229,Nutrients!$EO$8:$EO$228)+(IF($A$7=Nutrients!$B$8,Nutrients!$EO$8,Nutrients!$EO$9)*AM$7)+(((IF($A$8=Nutrients!$B$79,Nutrients!$EO$79,(IF($A$8=Nutrients!$B$77,Nutrients!$EO$77,Nutrients!$EO$78)))))*AM$8))/2000*1000000</f>
        <v>0.24750000000000003</v>
      </c>
      <c r="AN323" s="23">
        <f>(SUMPRODUCT(AN$9:AN$229,Nutrients!$EO$8:$EO$228)+(IF($A$7=Nutrients!$B$8,Nutrients!$EO$8,Nutrients!$EO$9)*AN$7)+(((IF($A$8=Nutrients!$B$79,Nutrients!$EO$79,(IF($A$8=Nutrients!$B$77,Nutrients!$EO$77,Nutrients!$EO$78)))))*AN$8))/2000*1000000</f>
        <v>0.19800000000000001</v>
      </c>
      <c r="AO323" s="23">
        <f>(SUMPRODUCT(AO$9:AO$229,Nutrients!$EO$8:$EO$228)+(IF($A$7=Nutrients!$B$8,Nutrients!$EO$8,Nutrients!$EO$9)*AO$7)+(((IF($A$8=Nutrients!$B$79,Nutrients!$EO$79,(IF($A$8=Nutrients!$B$77,Nutrients!$EO$77,Nutrients!$EO$78)))))*AO$8))/2000*1000000</f>
        <v>0.14849999999999999</v>
      </c>
      <c r="AP323" s="23">
        <f>(SUMPRODUCT(AP$9:AP$229,Nutrients!$EO$8:$EO$228)+(IF($A$7=Nutrients!$B$8,Nutrients!$EO$8,Nutrients!$EO$9)*AP$7)+(((IF($A$8=Nutrients!$B$79,Nutrients!$EO$79,(IF($A$8=Nutrients!$B$77,Nutrients!$EO$77,Nutrients!$EO$78)))))*AP$8))/2000*1000000</f>
        <v>0.14849999999999999</v>
      </c>
      <c r="AR323" s="23">
        <f>(SUMPRODUCT(AR$9:AR$229,Nutrients!$EO$8:$EO$228)+(IF($A$7=Nutrients!$B$8,Nutrients!$EO$8,Nutrients!$EO$9)*AR$7)+(((IF($A$8=Nutrients!$B$79,Nutrients!$EO$79,(IF($A$8=Nutrients!$B$77,Nutrients!$EO$77,Nutrients!$EO$78)))))*AR$8))/2000*1000000</f>
        <v>0.29699999999999999</v>
      </c>
      <c r="AS323" s="23">
        <f>(SUMPRODUCT(AS$9:AS$229,Nutrients!$EO$8:$EO$228)+(IF($A$7=Nutrients!$B$8,Nutrients!$EO$8,Nutrients!$EO$9)*AS$7)+(((IF($A$8=Nutrients!$B$79,Nutrients!$EO$79,(IF($A$8=Nutrients!$B$77,Nutrients!$EO$77,Nutrients!$EO$78)))))*AS$8))/2000*1000000</f>
        <v>0.29699999999999999</v>
      </c>
      <c r="AT323" s="23">
        <f>(SUMPRODUCT(AT$9:AT$229,Nutrients!$EO$8:$EO$228)+(IF($A$7=Nutrients!$B$8,Nutrients!$EO$8,Nutrients!$EO$9)*AT$7)+(((IF($A$8=Nutrients!$B$79,Nutrients!$EO$79,(IF($A$8=Nutrients!$B$77,Nutrients!$EO$77,Nutrients!$EO$78)))))*AT$8))/2000*1000000</f>
        <v>0.24750000000000003</v>
      </c>
      <c r="AU323" s="23">
        <f>(SUMPRODUCT(AU$9:AU$229,Nutrients!$EO$8:$EO$228)+(IF($A$7=Nutrients!$B$8,Nutrients!$EO$8,Nutrients!$EO$9)*AU$7)+(((IF($A$8=Nutrients!$B$79,Nutrients!$EO$79,(IF($A$8=Nutrients!$B$77,Nutrients!$EO$77,Nutrients!$EO$78)))))*AU$8))/2000*1000000</f>
        <v>0.19800000000000001</v>
      </c>
      <c r="AV323" s="23">
        <f>(SUMPRODUCT(AV$9:AV$229,Nutrients!$EO$8:$EO$228)+(IF($A$7=Nutrients!$B$8,Nutrients!$EO$8,Nutrients!$EO$9)*AV$7)+(((IF($A$8=Nutrients!$B$79,Nutrients!$EO$79,(IF($A$8=Nutrients!$B$77,Nutrients!$EO$77,Nutrients!$EO$78)))))*AV$8))/2000*1000000</f>
        <v>0.14849999999999999</v>
      </c>
      <c r="AW323" s="23">
        <f>(SUMPRODUCT(AW$9:AW$229,Nutrients!$EO$8:$EO$228)+(IF($A$7=Nutrients!$B$8,Nutrients!$EO$8,Nutrients!$EO$9)*AW$7)+(((IF($A$8=Nutrients!$B$79,Nutrients!$EO$79,(IF($A$8=Nutrients!$B$77,Nutrients!$EO$77,Nutrients!$EO$78)))))*AW$8))/2000*1000000</f>
        <v>0.14849999999999999</v>
      </c>
    </row>
    <row r="324" spans="1:49" x14ac:dyDescent="0.25">
      <c r="A324" s="34" t="s">
        <v>117</v>
      </c>
      <c r="B324" s="23">
        <f>(SUMPRODUCT(B$9:B$229,Nutrients!$EP$8:$EP$228)+(IF($A$7=Nutrients!$B$8,Nutrients!$EP$8,Nutrients!$EP$9)*B$7)+(((IF($A$8=Nutrients!$B$79,Nutrients!$EP$79,(IF($A$8=Nutrients!$B$77,Nutrients!$EP$77,Nutrients!$EP$78)))))*B$8))/2000*1000000</f>
        <v>0.29699999999999999</v>
      </c>
      <c r="C324" s="23">
        <f>(SUMPRODUCT(C$9:C$229,Nutrients!$EP$8:$EP$228)+(IF($A$7=Nutrients!$B$8,Nutrients!$EP$8,Nutrients!$EP$9)*C$7)+(((IF($A$8=Nutrients!$B$79,Nutrients!$EP$79,(IF($A$8=Nutrients!$B$77,Nutrients!$EP$77,Nutrients!$EP$78)))))*C$8))/2000*1000000</f>
        <v>0.29699999999999999</v>
      </c>
      <c r="D324" s="23">
        <f>(SUMPRODUCT(D$9:D$229,Nutrients!$EP$8:$EP$228)+(IF($A$7=Nutrients!$B$8,Nutrients!$EP$8,Nutrients!$EP$9)*D$7)+(((IF($A$8=Nutrients!$B$79,Nutrients!$EP$79,(IF($A$8=Nutrients!$B$77,Nutrients!$EP$77,Nutrients!$EP$78)))))*D$8))/2000*1000000</f>
        <v>0.24750000000000003</v>
      </c>
      <c r="E324" s="23">
        <f>(SUMPRODUCT(E$9:E$229,Nutrients!$EP$8:$EP$228)+(IF($A$7=Nutrients!$B$8,Nutrients!$EP$8,Nutrients!$EP$9)*E$7)+(((IF($A$8=Nutrients!$B$79,Nutrients!$EP$79,(IF($A$8=Nutrients!$B$77,Nutrients!$EP$77,Nutrients!$EP$78)))))*E$8))/2000*1000000</f>
        <v>0.19800000000000001</v>
      </c>
      <c r="F324" s="23">
        <f>(SUMPRODUCT(F$9:F$229,Nutrients!$EP$8:$EP$228)+(IF($A$7=Nutrients!$B$8,Nutrients!$EP$8,Nutrients!$EP$9)*F$7)+(((IF($A$8=Nutrients!$B$79,Nutrients!$EP$79,(IF($A$8=Nutrients!$B$77,Nutrients!$EP$77,Nutrients!$EP$78)))))*F$8))/2000*1000000</f>
        <v>0.14849999999999999</v>
      </c>
      <c r="G324" s="23">
        <f>(SUMPRODUCT(G$9:G$229,Nutrients!$EP$8:$EP$228)+(IF($A$7=Nutrients!$B$8,Nutrients!$EP$8,Nutrients!$EP$9)*G$7)+(((IF($A$8=Nutrients!$B$79,Nutrients!$EP$79,(IF($A$8=Nutrients!$B$77,Nutrients!$EP$77,Nutrients!$EP$78)))))*G$8))/2000*1000000</f>
        <v>0.14849999999999999</v>
      </c>
      <c r="H324" s="227"/>
      <c r="I324" s="23">
        <f>(SUMPRODUCT(I$9:I$229,Nutrients!$EP$8:$EP$228)+(IF($A$7=Nutrients!$B$8,Nutrients!$EP$8,Nutrients!$EP$9)*I$7)+(((IF($A$8=Nutrients!$B$79,Nutrients!$EP$79,(IF($A$8=Nutrients!$B$77,Nutrients!$EP$77,Nutrients!$EP$78)))))*I$8))/2000*1000000</f>
        <v>0.29699999999999999</v>
      </c>
      <c r="J324" s="23">
        <f>(SUMPRODUCT(J$9:J$229,Nutrients!$EP$8:$EP$228)+(IF($A$7=Nutrients!$B$8,Nutrients!$EP$8,Nutrients!$EP$9)*J$7)+(((IF($A$8=Nutrients!$B$79,Nutrients!$EP$79,(IF($A$8=Nutrients!$B$77,Nutrients!$EP$77,Nutrients!$EP$78)))))*J$8))/2000*1000000</f>
        <v>0.29699999999999999</v>
      </c>
      <c r="K324" s="23">
        <f>(SUMPRODUCT(K$9:K$229,Nutrients!$EP$8:$EP$228)+(IF($A$7=Nutrients!$B$8,Nutrients!$EP$8,Nutrients!$EP$9)*K$7)+(((IF($A$8=Nutrients!$B$79,Nutrients!$EP$79,(IF($A$8=Nutrients!$B$77,Nutrients!$EP$77,Nutrients!$EP$78)))))*K$8))/2000*1000000</f>
        <v>0.24750000000000003</v>
      </c>
      <c r="L324" s="23">
        <f>(SUMPRODUCT(L$9:L$229,Nutrients!$EP$8:$EP$228)+(IF($A$7=Nutrients!$B$8,Nutrients!$EP$8,Nutrients!$EP$9)*L$7)+(((IF($A$8=Nutrients!$B$79,Nutrients!$EP$79,(IF($A$8=Nutrients!$B$77,Nutrients!$EP$77,Nutrients!$EP$78)))))*L$8))/2000*1000000</f>
        <v>0.19800000000000001</v>
      </c>
      <c r="M324" s="23">
        <f>(SUMPRODUCT(M$9:M$229,Nutrients!$EP$8:$EP$228)+(IF($A$7=Nutrients!$B$8,Nutrients!$EP$8,Nutrients!$EP$9)*M$7)+(((IF($A$8=Nutrients!$B$79,Nutrients!$EP$79,(IF($A$8=Nutrients!$B$77,Nutrients!$EP$77,Nutrients!$EP$78)))))*M$8))/2000*1000000</f>
        <v>0.14849999999999999</v>
      </c>
      <c r="N324" s="23">
        <f>(SUMPRODUCT(N$9:N$229,Nutrients!$EP$8:$EP$228)+(IF($A$7=Nutrients!$B$8,Nutrients!$EP$8,Nutrients!$EP$9)*N$7)+(((IF($A$8=Nutrients!$B$79,Nutrients!$EP$79,(IF($A$8=Nutrients!$B$77,Nutrients!$EP$77,Nutrients!$EP$78)))))*N$8))/2000*1000000</f>
        <v>0.14849999999999999</v>
      </c>
      <c r="O324" s="198"/>
      <c r="P324" s="23">
        <f>(SUMPRODUCT(P$9:P$229,Nutrients!$EP$8:$EP$228)+(IF($A$7=Nutrients!$B$8,Nutrients!$EP$8,Nutrients!$EP$9)*P$7)+(((IF($A$8=Nutrients!$B$79,Nutrients!$EP$79,(IF($A$8=Nutrients!$B$77,Nutrients!$EP$77,Nutrients!$EP$78)))))*P$8))/2000*1000000</f>
        <v>0.29699999999999999</v>
      </c>
      <c r="Q324" s="23">
        <f>(SUMPRODUCT(Q$9:Q$229,Nutrients!$EP$8:$EP$228)+(IF($A$7=Nutrients!$B$8,Nutrients!$EP$8,Nutrients!$EP$9)*Q$7)+(((IF($A$8=Nutrients!$B$79,Nutrients!$EP$79,(IF($A$8=Nutrients!$B$77,Nutrients!$EP$77,Nutrients!$EP$78)))))*Q$8))/2000*1000000</f>
        <v>0.29699999999999999</v>
      </c>
      <c r="R324" s="23">
        <f>(SUMPRODUCT(R$9:R$229,Nutrients!$EP$8:$EP$228)+(IF($A$7=Nutrients!$B$8,Nutrients!$EP$8,Nutrients!$EP$9)*R$7)+(((IF($A$8=Nutrients!$B$79,Nutrients!$EP$79,(IF($A$8=Nutrients!$B$77,Nutrients!$EP$77,Nutrients!$EP$78)))))*R$8))/2000*1000000</f>
        <v>0.24750000000000003</v>
      </c>
      <c r="S324" s="23">
        <f>(SUMPRODUCT(S$9:S$229,Nutrients!$EP$8:$EP$228)+(IF($A$7=Nutrients!$B$8,Nutrients!$EP$8,Nutrients!$EP$9)*S$7)+(((IF($A$8=Nutrients!$B$79,Nutrients!$EP$79,(IF($A$8=Nutrients!$B$77,Nutrients!$EP$77,Nutrients!$EP$78)))))*S$8))/2000*1000000</f>
        <v>0.19800000000000001</v>
      </c>
      <c r="T324" s="23">
        <f>(SUMPRODUCT(T$9:T$229,Nutrients!$EP$8:$EP$228)+(IF($A$7=Nutrients!$B$8,Nutrients!$EP$8,Nutrients!$EP$9)*T$7)+(((IF($A$8=Nutrients!$B$79,Nutrients!$EP$79,(IF($A$8=Nutrients!$B$77,Nutrients!$EP$77,Nutrients!$EP$78)))))*T$8))/2000*1000000</f>
        <v>0.14849999999999999</v>
      </c>
      <c r="U324" s="23">
        <f>(SUMPRODUCT(U$9:U$229,Nutrients!$EP$8:$EP$228)+(IF($A$7=Nutrients!$B$8,Nutrients!$EP$8,Nutrients!$EP$9)*U$7)+(((IF($A$8=Nutrients!$B$79,Nutrients!$EP$79,(IF($A$8=Nutrients!$B$77,Nutrients!$EP$77,Nutrients!$EP$78)))))*U$8))/2000*1000000</f>
        <v>0.14849999999999999</v>
      </c>
      <c r="W324" s="23">
        <f>(SUMPRODUCT(W$9:W$229,Nutrients!$EP$8:$EP$228)+(IF($A$7=Nutrients!$B$8,Nutrients!$EP$8,Nutrients!$EP$9)*W$7)+(((IF($A$8=Nutrients!$B$79,Nutrients!$EP$79,(IF($A$8=Nutrients!$B$77,Nutrients!$EP$77,Nutrients!$EP$78)))))*W$8))/2000*1000000</f>
        <v>0.29699999999999999</v>
      </c>
      <c r="X324" s="23">
        <f>(SUMPRODUCT(X$9:X$229,Nutrients!$EP$8:$EP$228)+(IF($A$7=Nutrients!$B$8,Nutrients!$EP$8,Nutrients!$EP$9)*X$7)+(((IF($A$8=Nutrients!$B$79,Nutrients!$EP$79,(IF($A$8=Nutrients!$B$77,Nutrients!$EP$77,Nutrients!$EP$78)))))*X$8))/2000*1000000</f>
        <v>0.29699999999999999</v>
      </c>
      <c r="Y324" s="23">
        <f>(SUMPRODUCT(Y$9:Y$229,Nutrients!$EP$8:$EP$228)+(IF($A$7=Nutrients!$B$8,Nutrients!$EP$8,Nutrients!$EP$9)*Y$7)+(((IF($A$8=Nutrients!$B$79,Nutrients!$EP$79,(IF($A$8=Nutrients!$B$77,Nutrients!$EP$77,Nutrients!$EP$78)))))*Y$8))/2000*1000000</f>
        <v>0.24750000000000003</v>
      </c>
      <c r="Z324" s="23">
        <f>(SUMPRODUCT(Z$9:Z$229,Nutrients!$EP$8:$EP$228)+(IF($A$7=Nutrients!$B$8,Nutrients!$EP$8,Nutrients!$EP$9)*Z$7)+(((IF($A$8=Nutrients!$B$79,Nutrients!$EP$79,(IF($A$8=Nutrients!$B$77,Nutrients!$EP$77,Nutrients!$EP$78)))))*Z$8))/2000*1000000</f>
        <v>0.19800000000000001</v>
      </c>
      <c r="AA324" s="23">
        <f>(SUMPRODUCT(AA$9:AA$229,Nutrients!$EP$8:$EP$228)+(IF($A$7=Nutrients!$B$8,Nutrients!$EP$8,Nutrients!$EP$9)*AA$7)+(((IF($A$8=Nutrients!$B$79,Nutrients!$EP$79,(IF($A$8=Nutrients!$B$77,Nutrients!$EP$77,Nutrients!$EP$78)))))*AA$8))/2000*1000000</f>
        <v>0.14849999999999999</v>
      </c>
      <c r="AB324" s="23">
        <f>(SUMPRODUCT(AB$9:AB$229,Nutrients!$EP$8:$EP$228)+(IF($A$7=Nutrients!$B$8,Nutrients!$EP$8,Nutrients!$EP$9)*AB$7)+(((IF($A$8=Nutrients!$B$79,Nutrients!$EP$79,(IF($A$8=Nutrients!$B$77,Nutrients!$EP$77,Nutrients!$EP$78)))))*AB$8))/2000*1000000</f>
        <v>0.14849999999999999</v>
      </c>
      <c r="AD324" s="23">
        <f>(SUMPRODUCT(AD$9:AD$229,Nutrients!$EP$8:$EP$228)+(IF($A$7=Nutrients!$B$8,Nutrients!$EP$8,Nutrients!$EP$9)*AD$7)+(((IF($A$8=Nutrients!$B$79,Nutrients!$EP$79,(IF($A$8=Nutrients!$B$77,Nutrients!$EP$77,Nutrients!$EP$78)))))*AD$8))/2000*1000000</f>
        <v>0.29699999999999999</v>
      </c>
      <c r="AE324" s="23">
        <f>(SUMPRODUCT(AE$9:AE$229,Nutrients!$EP$8:$EP$228)+(IF($A$7=Nutrients!$B$8,Nutrients!$EP$8,Nutrients!$EP$9)*AE$7)+(((IF($A$8=Nutrients!$B$79,Nutrients!$EP$79,(IF($A$8=Nutrients!$B$77,Nutrients!$EP$77,Nutrients!$EP$78)))))*AE$8))/2000*1000000</f>
        <v>0.29699999999999999</v>
      </c>
      <c r="AF324" s="23">
        <f>(SUMPRODUCT(AF$9:AF$229,Nutrients!$EP$8:$EP$228)+(IF($A$7=Nutrients!$B$8,Nutrients!$EP$8,Nutrients!$EP$9)*AF$7)+(((IF($A$8=Nutrients!$B$79,Nutrients!$EP$79,(IF($A$8=Nutrients!$B$77,Nutrients!$EP$77,Nutrients!$EP$78)))))*AF$8))/2000*1000000</f>
        <v>0.24750000000000003</v>
      </c>
      <c r="AG324" s="23">
        <f>(SUMPRODUCT(AG$9:AG$229,Nutrients!$EP$8:$EP$228)+(IF($A$7=Nutrients!$B$8,Nutrients!$EP$8,Nutrients!$EP$9)*AG$7)+(((IF($A$8=Nutrients!$B$79,Nutrients!$EP$79,(IF($A$8=Nutrients!$B$77,Nutrients!$EP$77,Nutrients!$EP$78)))))*AG$8))/2000*1000000</f>
        <v>0.19800000000000001</v>
      </c>
      <c r="AH324" s="23">
        <f>(SUMPRODUCT(AH$9:AH$229,Nutrients!$EP$8:$EP$228)+(IF($A$7=Nutrients!$B$8,Nutrients!$EP$8,Nutrients!$EP$9)*AH$7)+(((IF($A$8=Nutrients!$B$79,Nutrients!$EP$79,(IF($A$8=Nutrients!$B$77,Nutrients!$EP$77,Nutrients!$EP$78)))))*AH$8))/2000*1000000</f>
        <v>0.14849999999999999</v>
      </c>
      <c r="AI324" s="23">
        <f>(SUMPRODUCT(AI$9:AI$229,Nutrients!$EP$8:$EP$228)+(IF($A$7=Nutrients!$B$8,Nutrients!$EP$8,Nutrients!$EP$9)*AI$7)+(((IF($A$8=Nutrients!$B$79,Nutrients!$EP$79,(IF($A$8=Nutrients!$B$77,Nutrients!$EP$77,Nutrients!$EP$78)))))*AI$8))/2000*1000000</f>
        <v>0.14849999999999999</v>
      </c>
      <c r="AK324" s="23">
        <f>(SUMPRODUCT(AK$9:AK$229,Nutrients!$EP$8:$EP$228)+(IF($A$7=Nutrients!$B$8,Nutrients!$EP$8,Nutrients!$EP$9)*AK$7)+(((IF($A$8=Nutrients!$B$79,Nutrients!$EP$79,(IF($A$8=Nutrients!$B$77,Nutrients!$EP$77,Nutrients!$EP$78)))))*AK$8))/2000*1000000</f>
        <v>0.29699999999999999</v>
      </c>
      <c r="AL324" s="23">
        <f>(SUMPRODUCT(AL$9:AL$229,Nutrients!$EP$8:$EP$228)+(IF($A$7=Nutrients!$B$8,Nutrients!$EP$8,Nutrients!$EP$9)*AL$7)+(((IF($A$8=Nutrients!$B$79,Nutrients!$EP$79,(IF($A$8=Nutrients!$B$77,Nutrients!$EP$77,Nutrients!$EP$78)))))*AL$8))/2000*1000000</f>
        <v>0.29699999999999999</v>
      </c>
      <c r="AM324" s="23">
        <f>(SUMPRODUCT(AM$9:AM$229,Nutrients!$EP$8:$EP$228)+(IF($A$7=Nutrients!$B$8,Nutrients!$EP$8,Nutrients!$EP$9)*AM$7)+(((IF($A$8=Nutrients!$B$79,Nutrients!$EP$79,(IF($A$8=Nutrients!$B$77,Nutrients!$EP$77,Nutrients!$EP$78)))))*AM$8))/2000*1000000</f>
        <v>0.24750000000000003</v>
      </c>
      <c r="AN324" s="23">
        <f>(SUMPRODUCT(AN$9:AN$229,Nutrients!$EP$8:$EP$228)+(IF($A$7=Nutrients!$B$8,Nutrients!$EP$8,Nutrients!$EP$9)*AN$7)+(((IF($A$8=Nutrients!$B$79,Nutrients!$EP$79,(IF($A$8=Nutrients!$B$77,Nutrients!$EP$77,Nutrients!$EP$78)))))*AN$8))/2000*1000000</f>
        <v>0.19800000000000001</v>
      </c>
      <c r="AO324" s="23">
        <f>(SUMPRODUCT(AO$9:AO$229,Nutrients!$EP$8:$EP$228)+(IF($A$7=Nutrients!$B$8,Nutrients!$EP$8,Nutrients!$EP$9)*AO$7)+(((IF($A$8=Nutrients!$B$79,Nutrients!$EP$79,(IF($A$8=Nutrients!$B$77,Nutrients!$EP$77,Nutrients!$EP$78)))))*AO$8))/2000*1000000</f>
        <v>0.14849999999999999</v>
      </c>
      <c r="AP324" s="23">
        <f>(SUMPRODUCT(AP$9:AP$229,Nutrients!$EP$8:$EP$228)+(IF($A$7=Nutrients!$B$8,Nutrients!$EP$8,Nutrients!$EP$9)*AP$7)+(((IF($A$8=Nutrients!$B$79,Nutrients!$EP$79,(IF($A$8=Nutrients!$B$77,Nutrients!$EP$77,Nutrients!$EP$78)))))*AP$8))/2000*1000000</f>
        <v>0.14849999999999999</v>
      </c>
      <c r="AR324" s="23">
        <f>(SUMPRODUCT(AR$9:AR$229,Nutrients!$EP$8:$EP$228)+(IF($A$7=Nutrients!$B$8,Nutrients!$EP$8,Nutrients!$EP$9)*AR$7)+(((IF($A$8=Nutrients!$B$79,Nutrients!$EP$79,(IF($A$8=Nutrients!$B$77,Nutrients!$EP$77,Nutrients!$EP$78)))))*AR$8))/2000*1000000</f>
        <v>0.29699999999999999</v>
      </c>
      <c r="AS324" s="23">
        <f>(SUMPRODUCT(AS$9:AS$229,Nutrients!$EP$8:$EP$228)+(IF($A$7=Nutrients!$B$8,Nutrients!$EP$8,Nutrients!$EP$9)*AS$7)+(((IF($A$8=Nutrients!$B$79,Nutrients!$EP$79,(IF($A$8=Nutrients!$B$77,Nutrients!$EP$77,Nutrients!$EP$78)))))*AS$8))/2000*1000000</f>
        <v>0.29699999999999999</v>
      </c>
      <c r="AT324" s="23">
        <f>(SUMPRODUCT(AT$9:AT$229,Nutrients!$EP$8:$EP$228)+(IF($A$7=Nutrients!$B$8,Nutrients!$EP$8,Nutrients!$EP$9)*AT$7)+(((IF($A$8=Nutrients!$B$79,Nutrients!$EP$79,(IF($A$8=Nutrients!$B$77,Nutrients!$EP$77,Nutrients!$EP$78)))))*AT$8))/2000*1000000</f>
        <v>0.24750000000000003</v>
      </c>
      <c r="AU324" s="23">
        <f>(SUMPRODUCT(AU$9:AU$229,Nutrients!$EP$8:$EP$228)+(IF($A$7=Nutrients!$B$8,Nutrients!$EP$8,Nutrients!$EP$9)*AU$7)+(((IF($A$8=Nutrients!$B$79,Nutrients!$EP$79,(IF($A$8=Nutrients!$B$77,Nutrients!$EP$77,Nutrients!$EP$78)))))*AU$8))/2000*1000000</f>
        <v>0.19800000000000001</v>
      </c>
      <c r="AV324" s="23">
        <f>(SUMPRODUCT(AV$9:AV$229,Nutrients!$EP$8:$EP$228)+(IF($A$7=Nutrients!$B$8,Nutrients!$EP$8,Nutrients!$EP$9)*AV$7)+(((IF($A$8=Nutrients!$B$79,Nutrients!$EP$79,(IF($A$8=Nutrients!$B$77,Nutrients!$EP$77,Nutrients!$EP$78)))))*AV$8))/2000*1000000</f>
        <v>0.14849999999999999</v>
      </c>
      <c r="AW324" s="23">
        <f>(SUMPRODUCT(AW$9:AW$229,Nutrients!$EP$8:$EP$228)+(IF($A$7=Nutrients!$B$8,Nutrients!$EP$8,Nutrients!$EP$9)*AW$7)+(((IF($A$8=Nutrients!$B$79,Nutrients!$EP$79,(IF($A$8=Nutrients!$B$77,Nutrients!$EP$77,Nutrients!$EP$78)))))*AW$8))/2000*1000000</f>
        <v>0.14849999999999999</v>
      </c>
    </row>
    <row r="325" spans="1:49" x14ac:dyDescent="0.25">
      <c r="A325" s="34" t="s">
        <v>118</v>
      </c>
      <c r="B325" s="21">
        <f>(SUMPRODUCT(B$9:B$229,Nutrients!$EQ$8:$EQ$228)+(IF($A$7=Nutrients!$B$8,Nutrients!$EQ$8,Nutrients!$EQ$9)*B$7)+(((IF($A$8=Nutrients!$B$79,Nutrients!$EQ$79,(IF($A$8=Nutrients!$B$77,Nutrients!$EQ$77,Nutrients!$EQ$78)))))*B$8))/2000*1000000000</f>
        <v>0</v>
      </c>
      <c r="C325" s="21">
        <f>(SUMPRODUCT(C$9:C$229,Nutrients!$EQ$8:$EQ$228)+(IF($A$7=Nutrients!$B$8,Nutrients!$EQ$8,Nutrients!$EQ$9)*C$7)+(((IF($A$8=Nutrients!$B$79,Nutrients!$EQ$79,(IF($A$8=Nutrients!$B$77,Nutrients!$EQ$77,Nutrients!$EQ$78)))))*C$8))/2000*1000000000</f>
        <v>0</v>
      </c>
      <c r="D325" s="21">
        <f>(SUMPRODUCT(D$9:D$229,Nutrients!$EQ$8:$EQ$228)+(IF($A$7=Nutrients!$B$8,Nutrients!$EQ$8,Nutrients!$EQ$9)*D$7)+(((IF($A$8=Nutrients!$B$79,Nutrients!$EQ$79,(IF($A$8=Nutrients!$B$77,Nutrients!$EQ$77,Nutrients!$EQ$78)))))*D$8))/2000*1000000000</f>
        <v>0</v>
      </c>
      <c r="E325" s="21">
        <f>(SUMPRODUCT(E$9:E$229,Nutrients!$EQ$8:$EQ$228)+(IF($A$7=Nutrients!$B$8,Nutrients!$EQ$8,Nutrients!$EQ$9)*E$7)+(((IF($A$8=Nutrients!$B$79,Nutrients!$EQ$79,(IF($A$8=Nutrients!$B$77,Nutrients!$EQ$77,Nutrients!$EQ$78)))))*E$8))/2000*1000000000</f>
        <v>0</v>
      </c>
      <c r="F325" s="21">
        <f>(SUMPRODUCT(F$9:F$229,Nutrients!$EQ$8:$EQ$228)+(IF($A$7=Nutrients!$B$8,Nutrients!$EQ$8,Nutrients!$EQ$9)*F$7)+(((IF($A$8=Nutrients!$B$79,Nutrients!$EQ$79,(IF($A$8=Nutrients!$B$77,Nutrients!$EQ$77,Nutrients!$EQ$78)))))*F$8))/2000*1000000000</f>
        <v>0</v>
      </c>
      <c r="G325" s="21">
        <f>(SUMPRODUCT(G$9:G$229,Nutrients!$EQ$8:$EQ$228)+(IF($A$7=Nutrients!$B$8,Nutrients!$EQ$8,Nutrients!$EQ$9)*G$7)+(((IF($A$8=Nutrients!$B$79,Nutrients!$EQ$79,(IF($A$8=Nutrients!$B$77,Nutrients!$EQ$77,Nutrients!$EQ$78)))))*G$8))/2000*1000000000</f>
        <v>0</v>
      </c>
      <c r="H325" s="226"/>
      <c r="I325" s="21">
        <f>(SUMPRODUCT(I$9:I$229,Nutrients!$EQ$8:$EQ$228)+(IF($A$7=Nutrients!$B$8,Nutrients!$EQ$8,Nutrients!$EQ$9)*I$7)+(((IF($A$8=Nutrients!$B$79,Nutrients!$EQ$79,(IF($A$8=Nutrients!$B$77,Nutrients!$EQ$77,Nutrients!$EQ$78)))))*I$8))/2000*1000000000</f>
        <v>0</v>
      </c>
      <c r="J325" s="21">
        <f>(SUMPRODUCT(J$9:J$229,Nutrients!$EQ$8:$EQ$228)+(IF($A$7=Nutrients!$B$8,Nutrients!$EQ$8,Nutrients!$EQ$9)*J$7)+(((IF($A$8=Nutrients!$B$79,Nutrients!$EQ$79,(IF($A$8=Nutrients!$B$77,Nutrients!$EQ$77,Nutrients!$EQ$78)))))*J$8))/2000*1000000000</f>
        <v>0</v>
      </c>
      <c r="K325" s="21">
        <f>(SUMPRODUCT(K$9:K$229,Nutrients!$EQ$8:$EQ$228)+(IF($A$7=Nutrients!$B$8,Nutrients!$EQ$8,Nutrients!$EQ$9)*K$7)+(((IF($A$8=Nutrients!$B$79,Nutrients!$EQ$79,(IF($A$8=Nutrients!$B$77,Nutrients!$EQ$77,Nutrients!$EQ$78)))))*K$8))/2000*1000000000</f>
        <v>0</v>
      </c>
      <c r="L325" s="21">
        <f>(SUMPRODUCT(L$9:L$229,Nutrients!$EQ$8:$EQ$228)+(IF($A$7=Nutrients!$B$8,Nutrients!$EQ$8,Nutrients!$EQ$9)*L$7)+(((IF($A$8=Nutrients!$B$79,Nutrients!$EQ$79,(IF($A$8=Nutrients!$B$77,Nutrients!$EQ$77,Nutrients!$EQ$78)))))*L$8))/2000*1000000000</f>
        <v>0</v>
      </c>
      <c r="M325" s="21">
        <f>(SUMPRODUCT(M$9:M$229,Nutrients!$EQ$8:$EQ$228)+(IF($A$7=Nutrients!$B$8,Nutrients!$EQ$8,Nutrients!$EQ$9)*M$7)+(((IF($A$8=Nutrients!$B$79,Nutrients!$EQ$79,(IF($A$8=Nutrients!$B$77,Nutrients!$EQ$77,Nutrients!$EQ$78)))))*M$8))/2000*1000000000</f>
        <v>0</v>
      </c>
      <c r="N325" s="21">
        <f>(SUMPRODUCT(N$9:N$229,Nutrients!$EQ$8:$EQ$228)+(IF($A$7=Nutrients!$B$8,Nutrients!$EQ$8,Nutrients!$EQ$9)*N$7)+(((IF($A$8=Nutrients!$B$79,Nutrients!$EQ$79,(IF($A$8=Nutrients!$B$77,Nutrients!$EQ$77,Nutrients!$EQ$78)))))*N$8))/2000*1000000000</f>
        <v>0</v>
      </c>
      <c r="O325" s="198"/>
      <c r="P325" s="21">
        <f>(SUMPRODUCT(P$9:P$229,Nutrients!$EQ$8:$EQ$228)+(IF($A$7=Nutrients!$B$8,Nutrients!$EQ$8,Nutrients!$EQ$9)*P$7)+(((IF($A$8=Nutrients!$B$79,Nutrients!$EQ$79,(IF($A$8=Nutrients!$B$77,Nutrients!$EQ$77,Nutrients!$EQ$78)))))*P$8))/2000*1000000000</f>
        <v>0</v>
      </c>
      <c r="Q325" s="21">
        <f>(SUMPRODUCT(Q$9:Q$229,Nutrients!$EQ$8:$EQ$228)+(IF($A$7=Nutrients!$B$8,Nutrients!$EQ$8,Nutrients!$EQ$9)*Q$7)+(((IF($A$8=Nutrients!$B$79,Nutrients!$EQ$79,(IF($A$8=Nutrients!$B$77,Nutrients!$EQ$77,Nutrients!$EQ$78)))))*Q$8))/2000*1000000000</f>
        <v>0</v>
      </c>
      <c r="R325" s="21">
        <f>(SUMPRODUCT(R$9:R$229,Nutrients!$EQ$8:$EQ$228)+(IF($A$7=Nutrients!$B$8,Nutrients!$EQ$8,Nutrients!$EQ$9)*R$7)+(((IF($A$8=Nutrients!$B$79,Nutrients!$EQ$79,(IF($A$8=Nutrients!$B$77,Nutrients!$EQ$77,Nutrients!$EQ$78)))))*R$8))/2000*1000000000</f>
        <v>0</v>
      </c>
      <c r="S325" s="21">
        <f>(SUMPRODUCT(S$9:S$229,Nutrients!$EQ$8:$EQ$228)+(IF($A$7=Nutrients!$B$8,Nutrients!$EQ$8,Nutrients!$EQ$9)*S$7)+(((IF($A$8=Nutrients!$B$79,Nutrients!$EQ$79,(IF($A$8=Nutrients!$B$77,Nutrients!$EQ$77,Nutrients!$EQ$78)))))*S$8))/2000*1000000000</f>
        <v>0</v>
      </c>
      <c r="T325" s="21">
        <f>(SUMPRODUCT(T$9:T$229,Nutrients!$EQ$8:$EQ$228)+(IF($A$7=Nutrients!$B$8,Nutrients!$EQ$8,Nutrients!$EQ$9)*T$7)+(((IF($A$8=Nutrients!$B$79,Nutrients!$EQ$79,(IF($A$8=Nutrients!$B$77,Nutrients!$EQ$77,Nutrients!$EQ$78)))))*T$8))/2000*1000000000</f>
        <v>0</v>
      </c>
      <c r="U325" s="21">
        <f>(SUMPRODUCT(U$9:U$229,Nutrients!$EQ$8:$EQ$228)+(IF($A$7=Nutrients!$B$8,Nutrients!$EQ$8,Nutrients!$EQ$9)*U$7)+(((IF($A$8=Nutrients!$B$79,Nutrients!$EQ$79,(IF($A$8=Nutrients!$B$77,Nutrients!$EQ$77,Nutrients!$EQ$78)))))*U$8))/2000*1000000000</f>
        <v>0</v>
      </c>
      <c r="W325" s="21">
        <f>(SUMPRODUCT(W$9:W$229,Nutrients!$EQ$8:$EQ$228)+(IF($A$7=Nutrients!$B$8,Nutrients!$EQ$8,Nutrients!$EQ$9)*W$7)+(((IF($A$8=Nutrients!$B$79,Nutrients!$EQ$79,(IF($A$8=Nutrients!$B$77,Nutrients!$EQ$77,Nutrients!$EQ$78)))))*W$8))/2000*1000000000</f>
        <v>0</v>
      </c>
      <c r="X325" s="21">
        <f>(SUMPRODUCT(X$9:X$229,Nutrients!$EQ$8:$EQ$228)+(IF($A$7=Nutrients!$B$8,Nutrients!$EQ$8,Nutrients!$EQ$9)*X$7)+(((IF($A$8=Nutrients!$B$79,Nutrients!$EQ$79,(IF($A$8=Nutrients!$B$77,Nutrients!$EQ$77,Nutrients!$EQ$78)))))*X$8))/2000*1000000000</f>
        <v>0</v>
      </c>
      <c r="Y325" s="21">
        <f>(SUMPRODUCT(Y$9:Y$229,Nutrients!$EQ$8:$EQ$228)+(IF($A$7=Nutrients!$B$8,Nutrients!$EQ$8,Nutrients!$EQ$9)*Y$7)+(((IF($A$8=Nutrients!$B$79,Nutrients!$EQ$79,(IF($A$8=Nutrients!$B$77,Nutrients!$EQ$77,Nutrients!$EQ$78)))))*Y$8))/2000*1000000000</f>
        <v>0</v>
      </c>
      <c r="Z325" s="21">
        <f>(SUMPRODUCT(Z$9:Z$229,Nutrients!$EQ$8:$EQ$228)+(IF($A$7=Nutrients!$B$8,Nutrients!$EQ$8,Nutrients!$EQ$9)*Z$7)+(((IF($A$8=Nutrients!$B$79,Nutrients!$EQ$79,(IF($A$8=Nutrients!$B$77,Nutrients!$EQ$77,Nutrients!$EQ$78)))))*Z$8))/2000*1000000000</f>
        <v>0</v>
      </c>
      <c r="AA325" s="21">
        <f>(SUMPRODUCT(AA$9:AA$229,Nutrients!$EQ$8:$EQ$228)+(IF($A$7=Nutrients!$B$8,Nutrients!$EQ$8,Nutrients!$EQ$9)*AA$7)+(((IF($A$8=Nutrients!$B$79,Nutrients!$EQ$79,(IF($A$8=Nutrients!$B$77,Nutrients!$EQ$77,Nutrients!$EQ$78)))))*AA$8))/2000*1000000000</f>
        <v>0</v>
      </c>
      <c r="AB325" s="21">
        <f>(SUMPRODUCT(AB$9:AB$229,Nutrients!$EQ$8:$EQ$228)+(IF($A$7=Nutrients!$B$8,Nutrients!$EQ$8,Nutrients!$EQ$9)*AB$7)+(((IF($A$8=Nutrients!$B$79,Nutrients!$EQ$79,(IF($A$8=Nutrients!$B$77,Nutrients!$EQ$77,Nutrients!$EQ$78)))))*AB$8))/2000*1000000000</f>
        <v>0</v>
      </c>
      <c r="AD325" s="21">
        <f>(SUMPRODUCT(AD$9:AD$229,Nutrients!$EQ$8:$EQ$228)+(IF($A$7=Nutrients!$B$8,Nutrients!$EQ$8,Nutrients!$EQ$9)*AD$7)+(((IF($A$8=Nutrients!$B$79,Nutrients!$EQ$79,(IF($A$8=Nutrients!$B$77,Nutrients!$EQ$77,Nutrients!$EQ$78)))))*AD$8))/2000*1000000000</f>
        <v>0</v>
      </c>
      <c r="AE325" s="21">
        <f>(SUMPRODUCT(AE$9:AE$229,Nutrients!$EQ$8:$EQ$228)+(IF($A$7=Nutrients!$B$8,Nutrients!$EQ$8,Nutrients!$EQ$9)*AE$7)+(((IF($A$8=Nutrients!$B$79,Nutrients!$EQ$79,(IF($A$8=Nutrients!$B$77,Nutrients!$EQ$77,Nutrients!$EQ$78)))))*AE$8))/2000*1000000000</f>
        <v>0</v>
      </c>
      <c r="AF325" s="21">
        <f>(SUMPRODUCT(AF$9:AF$229,Nutrients!$EQ$8:$EQ$228)+(IF($A$7=Nutrients!$B$8,Nutrients!$EQ$8,Nutrients!$EQ$9)*AF$7)+(((IF($A$8=Nutrients!$B$79,Nutrients!$EQ$79,(IF($A$8=Nutrients!$B$77,Nutrients!$EQ$77,Nutrients!$EQ$78)))))*AF$8))/2000*1000000000</f>
        <v>0</v>
      </c>
      <c r="AG325" s="21">
        <f>(SUMPRODUCT(AG$9:AG$229,Nutrients!$EQ$8:$EQ$228)+(IF($A$7=Nutrients!$B$8,Nutrients!$EQ$8,Nutrients!$EQ$9)*AG$7)+(((IF($A$8=Nutrients!$B$79,Nutrients!$EQ$79,(IF($A$8=Nutrients!$B$77,Nutrients!$EQ$77,Nutrients!$EQ$78)))))*AG$8))/2000*1000000000</f>
        <v>0</v>
      </c>
      <c r="AH325" s="21">
        <f>(SUMPRODUCT(AH$9:AH$229,Nutrients!$EQ$8:$EQ$228)+(IF($A$7=Nutrients!$B$8,Nutrients!$EQ$8,Nutrients!$EQ$9)*AH$7)+(((IF($A$8=Nutrients!$B$79,Nutrients!$EQ$79,(IF($A$8=Nutrients!$B$77,Nutrients!$EQ$77,Nutrients!$EQ$78)))))*AH$8))/2000*1000000000</f>
        <v>0</v>
      </c>
      <c r="AI325" s="21">
        <f>(SUMPRODUCT(AI$9:AI$229,Nutrients!$EQ$8:$EQ$228)+(IF($A$7=Nutrients!$B$8,Nutrients!$EQ$8,Nutrients!$EQ$9)*AI$7)+(((IF($A$8=Nutrients!$B$79,Nutrients!$EQ$79,(IF($A$8=Nutrients!$B$77,Nutrients!$EQ$77,Nutrients!$EQ$78)))))*AI$8))/2000*1000000000</f>
        <v>0</v>
      </c>
      <c r="AK325" s="21">
        <f>(SUMPRODUCT(AK$9:AK$229,Nutrients!$EQ$8:$EQ$228)+(IF($A$7=Nutrients!$B$8,Nutrients!$EQ$8,Nutrients!$EQ$9)*AK$7)+(((IF($A$8=Nutrients!$B$79,Nutrients!$EQ$79,(IF($A$8=Nutrients!$B$77,Nutrients!$EQ$77,Nutrients!$EQ$78)))))*AK$8))/2000*1000000000</f>
        <v>0</v>
      </c>
      <c r="AL325" s="21">
        <f>(SUMPRODUCT(AL$9:AL$229,Nutrients!$EQ$8:$EQ$228)+(IF($A$7=Nutrients!$B$8,Nutrients!$EQ$8,Nutrients!$EQ$9)*AL$7)+(((IF($A$8=Nutrients!$B$79,Nutrients!$EQ$79,(IF($A$8=Nutrients!$B$77,Nutrients!$EQ$77,Nutrients!$EQ$78)))))*AL$8))/2000*1000000000</f>
        <v>0</v>
      </c>
      <c r="AM325" s="21">
        <f>(SUMPRODUCT(AM$9:AM$229,Nutrients!$EQ$8:$EQ$228)+(IF($A$7=Nutrients!$B$8,Nutrients!$EQ$8,Nutrients!$EQ$9)*AM$7)+(((IF($A$8=Nutrients!$B$79,Nutrients!$EQ$79,(IF($A$8=Nutrients!$B$77,Nutrients!$EQ$77,Nutrients!$EQ$78)))))*AM$8))/2000*1000000000</f>
        <v>0</v>
      </c>
      <c r="AN325" s="21">
        <f>(SUMPRODUCT(AN$9:AN$229,Nutrients!$EQ$8:$EQ$228)+(IF($A$7=Nutrients!$B$8,Nutrients!$EQ$8,Nutrients!$EQ$9)*AN$7)+(((IF($A$8=Nutrients!$B$79,Nutrients!$EQ$79,(IF($A$8=Nutrients!$B$77,Nutrients!$EQ$77,Nutrients!$EQ$78)))))*AN$8))/2000*1000000000</f>
        <v>0</v>
      </c>
      <c r="AO325" s="21">
        <f>(SUMPRODUCT(AO$9:AO$229,Nutrients!$EQ$8:$EQ$228)+(IF($A$7=Nutrients!$B$8,Nutrients!$EQ$8,Nutrients!$EQ$9)*AO$7)+(((IF($A$8=Nutrients!$B$79,Nutrients!$EQ$79,(IF($A$8=Nutrients!$B$77,Nutrients!$EQ$77,Nutrients!$EQ$78)))))*AO$8))/2000*1000000000</f>
        <v>0</v>
      </c>
      <c r="AP325" s="21">
        <f>(SUMPRODUCT(AP$9:AP$229,Nutrients!$EQ$8:$EQ$228)+(IF($A$7=Nutrients!$B$8,Nutrients!$EQ$8,Nutrients!$EQ$9)*AP$7)+(((IF($A$8=Nutrients!$B$79,Nutrients!$EQ$79,(IF($A$8=Nutrients!$B$77,Nutrients!$EQ$77,Nutrients!$EQ$78)))))*AP$8))/2000*1000000000</f>
        <v>0</v>
      </c>
      <c r="AR325" s="21">
        <f>(SUMPRODUCT(AR$9:AR$229,Nutrients!$EQ$8:$EQ$228)+(IF($A$7=Nutrients!$B$8,Nutrients!$EQ$8,Nutrients!$EQ$9)*AR$7)+(((IF($A$8=Nutrients!$B$79,Nutrients!$EQ$79,(IF($A$8=Nutrients!$B$77,Nutrients!$EQ$77,Nutrients!$EQ$78)))))*AR$8))/2000*1000000000</f>
        <v>0</v>
      </c>
      <c r="AS325" s="21">
        <f>(SUMPRODUCT(AS$9:AS$229,Nutrients!$EQ$8:$EQ$228)+(IF($A$7=Nutrients!$B$8,Nutrients!$EQ$8,Nutrients!$EQ$9)*AS$7)+(((IF($A$8=Nutrients!$B$79,Nutrients!$EQ$79,(IF($A$8=Nutrients!$B$77,Nutrients!$EQ$77,Nutrients!$EQ$78)))))*AS$8))/2000*1000000000</f>
        <v>0</v>
      </c>
      <c r="AT325" s="21">
        <f>(SUMPRODUCT(AT$9:AT$229,Nutrients!$EQ$8:$EQ$228)+(IF($A$7=Nutrients!$B$8,Nutrients!$EQ$8,Nutrients!$EQ$9)*AT$7)+(((IF($A$8=Nutrients!$B$79,Nutrients!$EQ$79,(IF($A$8=Nutrients!$B$77,Nutrients!$EQ$77,Nutrients!$EQ$78)))))*AT$8))/2000*1000000000</f>
        <v>0</v>
      </c>
      <c r="AU325" s="21">
        <f>(SUMPRODUCT(AU$9:AU$229,Nutrients!$EQ$8:$EQ$228)+(IF($A$7=Nutrients!$B$8,Nutrients!$EQ$8,Nutrients!$EQ$9)*AU$7)+(((IF($A$8=Nutrients!$B$79,Nutrients!$EQ$79,(IF($A$8=Nutrients!$B$77,Nutrients!$EQ$77,Nutrients!$EQ$78)))))*AU$8))/2000*1000000000</f>
        <v>0</v>
      </c>
      <c r="AV325" s="21">
        <f>(SUMPRODUCT(AV$9:AV$229,Nutrients!$EQ$8:$EQ$228)+(IF($A$7=Nutrients!$B$8,Nutrients!$EQ$8,Nutrients!$EQ$9)*AV$7)+(((IF($A$8=Nutrients!$B$79,Nutrients!$EQ$79,(IF($A$8=Nutrients!$B$77,Nutrients!$EQ$77,Nutrients!$EQ$78)))))*AV$8))/2000*1000000000</f>
        <v>0</v>
      </c>
      <c r="AW325" s="21">
        <f>(SUMPRODUCT(AW$9:AW$229,Nutrients!$EQ$8:$EQ$228)+(IF($A$7=Nutrients!$B$8,Nutrients!$EQ$8,Nutrients!$EQ$9)*AW$7)+(((IF($A$8=Nutrients!$B$79,Nutrients!$EQ$79,(IF($A$8=Nutrients!$B$77,Nutrients!$EQ$77,Nutrients!$EQ$78)))))*AW$8))/2000*1000000000</f>
        <v>0</v>
      </c>
    </row>
    <row r="326" spans="1:49" x14ac:dyDescent="0.25">
      <c r="O326" s="234"/>
    </row>
    <row r="327" spans="1:49" x14ac:dyDescent="0.25">
      <c r="A327" s="34" t="s">
        <v>119</v>
      </c>
    </row>
    <row r="328" spans="1:49" x14ac:dyDescent="0.25">
      <c r="A328" s="34" t="s">
        <v>121</v>
      </c>
      <c r="B328" s="21">
        <f>(SUMPRODUCT(B$9:B$229,Nutrients!$ES$8:$ES$228)+(IF($A$7=Nutrients!$B$8,Nutrients!$ES$8,Nutrients!$ES$9)*B$7)+(((IF($A$8=Nutrients!$B$79,Nutrients!$ES$79,(IF($A$8=Nutrients!$B$77,Nutrients!$ES$77,Nutrients!$ES$78)))))*B$8))</f>
        <v>2250000</v>
      </c>
      <c r="C328" s="21">
        <f>(SUMPRODUCT(C$9:C$229,Nutrients!$ES$8:$ES$228)+(IF($A$7=Nutrients!$B$8,Nutrients!$ES$8,Nutrients!$ES$9)*C$7)+(((IF($A$8=Nutrients!$B$79,Nutrients!$ES$79,(IF($A$8=Nutrients!$B$77,Nutrients!$ES$77,Nutrients!$ES$78)))))*C$8))</f>
        <v>2250000</v>
      </c>
      <c r="D328" s="21">
        <f>(SUMPRODUCT(D$9:D$229,Nutrients!$ES$8:$ES$228)+(IF($A$7=Nutrients!$B$8,Nutrients!$ES$8,Nutrients!$ES$9)*D$7)+(((IF($A$8=Nutrients!$B$79,Nutrients!$ES$79,(IF($A$8=Nutrients!$B$77,Nutrients!$ES$77,Nutrients!$ES$78)))))*D$8))</f>
        <v>1875000</v>
      </c>
      <c r="E328" s="21">
        <f>(SUMPRODUCT(E$9:E$229,Nutrients!$ES$8:$ES$228)+(IF($A$7=Nutrients!$B$8,Nutrients!$ES$8,Nutrients!$ES$9)*E$7)+(((IF($A$8=Nutrients!$B$79,Nutrients!$ES$79,(IF($A$8=Nutrients!$B$77,Nutrients!$ES$77,Nutrients!$ES$78)))))*E$8))</f>
        <v>1500000</v>
      </c>
      <c r="F328" s="21">
        <f>(SUMPRODUCT(F$9:F$229,Nutrients!$ES$8:$ES$228)+(IF($A$7=Nutrients!$B$8,Nutrients!$ES$8,Nutrients!$ES$9)*F$7)+(((IF($A$8=Nutrients!$B$79,Nutrients!$ES$79,(IF($A$8=Nutrients!$B$77,Nutrients!$ES$77,Nutrients!$ES$78)))))*F$8))</f>
        <v>1125000</v>
      </c>
      <c r="G328" s="21">
        <f>(SUMPRODUCT(G$9:G$229,Nutrients!$ES$8:$ES$228)+(IF($A$7=Nutrients!$B$8,Nutrients!$ES$8,Nutrients!$ES$9)*G$7)+(((IF($A$8=Nutrients!$B$79,Nutrients!$ES$79,(IF($A$8=Nutrients!$B$77,Nutrients!$ES$77,Nutrients!$ES$78)))))*G$8))</f>
        <v>1125000</v>
      </c>
      <c r="H328" s="226"/>
      <c r="I328" s="21">
        <f>(SUMPRODUCT(I$9:I$229,Nutrients!$ES$8:$ES$228)+(IF($A$7=Nutrients!$B$8,Nutrients!$ES$8,Nutrients!$ES$9)*I$7)+(((IF($A$8=Nutrients!$B$79,Nutrients!$ES$79,(IF($A$8=Nutrients!$B$77,Nutrients!$ES$77,Nutrients!$ES$78)))))*I$8))</f>
        <v>2250000</v>
      </c>
      <c r="J328" s="21">
        <f>(SUMPRODUCT(J$9:J$229,Nutrients!$ES$8:$ES$228)+(IF($A$7=Nutrients!$B$8,Nutrients!$ES$8,Nutrients!$ES$9)*J$7)+(((IF($A$8=Nutrients!$B$79,Nutrients!$ES$79,(IF($A$8=Nutrients!$B$77,Nutrients!$ES$77,Nutrients!$ES$78)))))*J$8))</f>
        <v>2250000</v>
      </c>
      <c r="K328" s="21">
        <f>(SUMPRODUCT(K$9:K$229,Nutrients!$ES$8:$ES$228)+(IF($A$7=Nutrients!$B$8,Nutrients!$ES$8,Nutrients!$ES$9)*K$7)+(((IF($A$8=Nutrients!$B$79,Nutrients!$ES$79,(IF($A$8=Nutrients!$B$77,Nutrients!$ES$77,Nutrients!$ES$78)))))*K$8))</f>
        <v>1875000</v>
      </c>
      <c r="L328" s="21">
        <f>(SUMPRODUCT(L$9:L$229,Nutrients!$ES$8:$ES$228)+(IF($A$7=Nutrients!$B$8,Nutrients!$ES$8,Nutrients!$ES$9)*L$7)+(((IF($A$8=Nutrients!$B$79,Nutrients!$ES$79,(IF($A$8=Nutrients!$B$77,Nutrients!$ES$77,Nutrients!$ES$78)))))*L$8))</f>
        <v>1500000</v>
      </c>
      <c r="M328" s="21">
        <f>(SUMPRODUCT(M$9:M$229,Nutrients!$ES$8:$ES$228)+(IF($A$7=Nutrients!$B$8,Nutrients!$ES$8,Nutrients!$ES$9)*M$7)+(((IF($A$8=Nutrients!$B$79,Nutrients!$ES$79,(IF($A$8=Nutrients!$B$77,Nutrients!$ES$77,Nutrients!$ES$78)))))*M$8))</f>
        <v>1125000</v>
      </c>
      <c r="N328" s="21">
        <f>(SUMPRODUCT(N$9:N$229,Nutrients!$ES$8:$ES$228)+(IF($A$7=Nutrients!$B$8,Nutrients!$ES$8,Nutrients!$ES$9)*N$7)+(((IF($A$8=Nutrients!$B$79,Nutrients!$ES$79,(IF($A$8=Nutrients!$B$77,Nutrients!$ES$77,Nutrients!$ES$78)))))*N$8))</f>
        <v>1125000</v>
      </c>
      <c r="P328" s="21">
        <f>(SUMPRODUCT(P$9:P$229,Nutrients!$ES$8:$ES$228)+(IF($A$7=Nutrients!$B$8,Nutrients!$ES$8,Nutrients!$ES$9)*P$7)+(((IF($A$8=Nutrients!$B$79,Nutrients!$ES$79,(IF($A$8=Nutrients!$B$77,Nutrients!$ES$77,Nutrients!$ES$78)))))*P$8))</f>
        <v>2250000</v>
      </c>
      <c r="Q328" s="21">
        <f>(SUMPRODUCT(Q$9:Q$229,Nutrients!$ES$8:$ES$228)+(IF($A$7=Nutrients!$B$8,Nutrients!$ES$8,Nutrients!$ES$9)*Q$7)+(((IF($A$8=Nutrients!$B$79,Nutrients!$ES$79,(IF($A$8=Nutrients!$B$77,Nutrients!$ES$77,Nutrients!$ES$78)))))*Q$8))</f>
        <v>2250000</v>
      </c>
      <c r="R328" s="21">
        <f>(SUMPRODUCT(R$9:R$229,Nutrients!$ES$8:$ES$228)+(IF($A$7=Nutrients!$B$8,Nutrients!$ES$8,Nutrients!$ES$9)*R$7)+(((IF($A$8=Nutrients!$B$79,Nutrients!$ES$79,(IF($A$8=Nutrients!$B$77,Nutrients!$ES$77,Nutrients!$ES$78)))))*R$8))</f>
        <v>1875000</v>
      </c>
      <c r="S328" s="21">
        <f>(SUMPRODUCT(S$9:S$229,Nutrients!$ES$8:$ES$228)+(IF($A$7=Nutrients!$B$8,Nutrients!$ES$8,Nutrients!$ES$9)*S$7)+(((IF($A$8=Nutrients!$B$79,Nutrients!$ES$79,(IF($A$8=Nutrients!$B$77,Nutrients!$ES$77,Nutrients!$ES$78)))))*S$8))</f>
        <v>1500000</v>
      </c>
      <c r="T328" s="21">
        <f>(SUMPRODUCT(T$9:T$229,Nutrients!$ES$8:$ES$228)+(IF($A$7=Nutrients!$B$8,Nutrients!$ES$8,Nutrients!$ES$9)*T$7)+(((IF($A$8=Nutrients!$B$79,Nutrients!$ES$79,(IF($A$8=Nutrients!$B$77,Nutrients!$ES$77,Nutrients!$ES$78)))))*T$8))</f>
        <v>1125000</v>
      </c>
      <c r="U328" s="21">
        <f>(SUMPRODUCT(U$9:U$229,Nutrients!$ES$8:$ES$228)+(IF($A$7=Nutrients!$B$8,Nutrients!$ES$8,Nutrients!$ES$9)*U$7)+(((IF($A$8=Nutrients!$B$79,Nutrients!$ES$79,(IF($A$8=Nutrients!$B$77,Nutrients!$ES$77,Nutrients!$ES$78)))))*U$8))</f>
        <v>1125000</v>
      </c>
      <c r="W328" s="21">
        <f>(SUMPRODUCT(W$9:W$229,Nutrients!$ES$8:$ES$228)+(IF($A$7=Nutrients!$B$8,Nutrients!$ES$8,Nutrients!$ES$9)*W$7)+(((IF($A$8=Nutrients!$B$79,Nutrients!$ES$79,(IF($A$8=Nutrients!$B$77,Nutrients!$ES$77,Nutrients!$ES$78)))))*W$8))</f>
        <v>2250000</v>
      </c>
      <c r="X328" s="21">
        <f>(SUMPRODUCT(X$9:X$229,Nutrients!$ES$8:$ES$228)+(IF($A$7=Nutrients!$B$8,Nutrients!$ES$8,Nutrients!$ES$9)*X$7)+(((IF($A$8=Nutrients!$B$79,Nutrients!$ES$79,(IF($A$8=Nutrients!$B$77,Nutrients!$ES$77,Nutrients!$ES$78)))))*X$8))</f>
        <v>2250000</v>
      </c>
      <c r="Y328" s="21">
        <f>(SUMPRODUCT(Y$9:Y$229,Nutrients!$ES$8:$ES$228)+(IF($A$7=Nutrients!$B$8,Nutrients!$ES$8,Nutrients!$ES$9)*Y$7)+(((IF($A$8=Nutrients!$B$79,Nutrients!$ES$79,(IF($A$8=Nutrients!$B$77,Nutrients!$ES$77,Nutrients!$ES$78)))))*Y$8))</f>
        <v>1875000</v>
      </c>
      <c r="Z328" s="21">
        <f>(SUMPRODUCT(Z$9:Z$229,Nutrients!$ES$8:$ES$228)+(IF($A$7=Nutrients!$B$8,Nutrients!$ES$8,Nutrients!$ES$9)*Z$7)+(((IF($A$8=Nutrients!$B$79,Nutrients!$ES$79,(IF($A$8=Nutrients!$B$77,Nutrients!$ES$77,Nutrients!$ES$78)))))*Z$8))</f>
        <v>1500000</v>
      </c>
      <c r="AA328" s="21">
        <f>(SUMPRODUCT(AA$9:AA$229,Nutrients!$ES$8:$ES$228)+(IF($A$7=Nutrients!$B$8,Nutrients!$ES$8,Nutrients!$ES$9)*AA$7)+(((IF($A$8=Nutrients!$B$79,Nutrients!$ES$79,(IF($A$8=Nutrients!$B$77,Nutrients!$ES$77,Nutrients!$ES$78)))))*AA$8))</f>
        <v>1125000</v>
      </c>
      <c r="AB328" s="21">
        <f>(SUMPRODUCT(AB$9:AB$229,Nutrients!$ES$8:$ES$228)+(IF($A$7=Nutrients!$B$8,Nutrients!$ES$8,Nutrients!$ES$9)*AB$7)+(((IF($A$8=Nutrients!$B$79,Nutrients!$ES$79,(IF($A$8=Nutrients!$B$77,Nutrients!$ES$77,Nutrients!$ES$78)))))*AB$8))</f>
        <v>1125000</v>
      </c>
      <c r="AD328" s="21">
        <f>(SUMPRODUCT(AD$9:AD$229,Nutrients!$ES$8:$ES$228)+(IF($A$7=Nutrients!$B$8,Nutrients!$ES$8,Nutrients!$ES$9)*AD$7)+(((IF($A$8=Nutrients!$B$79,Nutrients!$ES$79,(IF($A$8=Nutrients!$B$77,Nutrients!$ES$77,Nutrients!$ES$78)))))*AD$8))</f>
        <v>2250000</v>
      </c>
      <c r="AE328" s="21">
        <f>(SUMPRODUCT(AE$9:AE$229,Nutrients!$ES$8:$ES$228)+(IF($A$7=Nutrients!$B$8,Nutrients!$ES$8,Nutrients!$ES$9)*AE$7)+(((IF($A$8=Nutrients!$B$79,Nutrients!$ES$79,(IF($A$8=Nutrients!$B$77,Nutrients!$ES$77,Nutrients!$ES$78)))))*AE$8))</f>
        <v>2250000</v>
      </c>
      <c r="AF328" s="21">
        <f>(SUMPRODUCT(AF$9:AF$229,Nutrients!$ES$8:$ES$228)+(IF($A$7=Nutrients!$B$8,Nutrients!$ES$8,Nutrients!$ES$9)*AF$7)+(((IF($A$8=Nutrients!$B$79,Nutrients!$ES$79,(IF($A$8=Nutrients!$B$77,Nutrients!$ES$77,Nutrients!$ES$78)))))*AF$8))</f>
        <v>1875000</v>
      </c>
      <c r="AG328" s="21">
        <f>(SUMPRODUCT(AG$9:AG$229,Nutrients!$ES$8:$ES$228)+(IF($A$7=Nutrients!$B$8,Nutrients!$ES$8,Nutrients!$ES$9)*AG$7)+(((IF($A$8=Nutrients!$B$79,Nutrients!$ES$79,(IF($A$8=Nutrients!$B$77,Nutrients!$ES$77,Nutrients!$ES$78)))))*AG$8))</f>
        <v>1500000</v>
      </c>
      <c r="AH328" s="21">
        <f>(SUMPRODUCT(AH$9:AH$229,Nutrients!$ES$8:$ES$228)+(IF($A$7=Nutrients!$B$8,Nutrients!$ES$8,Nutrients!$ES$9)*AH$7)+(((IF($A$8=Nutrients!$B$79,Nutrients!$ES$79,(IF($A$8=Nutrients!$B$77,Nutrients!$ES$77,Nutrients!$ES$78)))))*AH$8))</f>
        <v>1125000</v>
      </c>
      <c r="AI328" s="21">
        <f>(SUMPRODUCT(AI$9:AI$229,Nutrients!$ES$8:$ES$228)+(IF($A$7=Nutrients!$B$8,Nutrients!$ES$8,Nutrients!$ES$9)*AI$7)+(((IF($A$8=Nutrients!$B$79,Nutrients!$ES$79,(IF($A$8=Nutrients!$B$77,Nutrients!$ES$77,Nutrients!$ES$78)))))*AI$8))</f>
        <v>1125000</v>
      </c>
      <c r="AK328" s="21">
        <f>(SUMPRODUCT(AK$9:AK$229,Nutrients!$ES$8:$ES$228)+(IF($A$7=Nutrients!$B$8,Nutrients!$ES$8,Nutrients!$ES$9)*AK$7)+(((IF($A$8=Nutrients!$B$79,Nutrients!$ES$79,(IF($A$8=Nutrients!$B$77,Nutrients!$ES$77,Nutrients!$ES$78)))))*AK$8))</f>
        <v>2250000</v>
      </c>
      <c r="AL328" s="21">
        <f>(SUMPRODUCT(AL$9:AL$229,Nutrients!$ES$8:$ES$228)+(IF($A$7=Nutrients!$B$8,Nutrients!$ES$8,Nutrients!$ES$9)*AL$7)+(((IF($A$8=Nutrients!$B$79,Nutrients!$ES$79,(IF($A$8=Nutrients!$B$77,Nutrients!$ES$77,Nutrients!$ES$78)))))*AL$8))</f>
        <v>2250000</v>
      </c>
      <c r="AM328" s="21">
        <f>(SUMPRODUCT(AM$9:AM$229,Nutrients!$ES$8:$ES$228)+(IF($A$7=Nutrients!$B$8,Nutrients!$ES$8,Nutrients!$ES$9)*AM$7)+(((IF($A$8=Nutrients!$B$79,Nutrients!$ES$79,(IF($A$8=Nutrients!$B$77,Nutrients!$ES$77,Nutrients!$ES$78)))))*AM$8))</f>
        <v>1875000</v>
      </c>
      <c r="AN328" s="21">
        <f>(SUMPRODUCT(AN$9:AN$229,Nutrients!$ES$8:$ES$228)+(IF($A$7=Nutrients!$B$8,Nutrients!$ES$8,Nutrients!$ES$9)*AN$7)+(((IF($A$8=Nutrients!$B$79,Nutrients!$ES$79,(IF($A$8=Nutrients!$B$77,Nutrients!$ES$77,Nutrients!$ES$78)))))*AN$8))</f>
        <v>1500000</v>
      </c>
      <c r="AO328" s="21">
        <f>(SUMPRODUCT(AO$9:AO$229,Nutrients!$ES$8:$ES$228)+(IF($A$7=Nutrients!$B$8,Nutrients!$ES$8,Nutrients!$ES$9)*AO$7)+(((IF($A$8=Nutrients!$B$79,Nutrients!$ES$79,(IF($A$8=Nutrients!$B$77,Nutrients!$ES$77,Nutrients!$ES$78)))))*AO$8))</f>
        <v>1125000</v>
      </c>
      <c r="AP328" s="21">
        <f>(SUMPRODUCT(AP$9:AP$229,Nutrients!$ES$8:$ES$228)+(IF($A$7=Nutrients!$B$8,Nutrients!$ES$8,Nutrients!$ES$9)*AP$7)+(((IF($A$8=Nutrients!$B$79,Nutrients!$ES$79,(IF($A$8=Nutrients!$B$77,Nutrients!$ES$77,Nutrients!$ES$78)))))*AP$8))</f>
        <v>1125000</v>
      </c>
      <c r="AR328" s="21">
        <f>(SUMPRODUCT(AR$9:AR$229,Nutrients!$ES$8:$ES$228)+(IF($A$7=Nutrients!$B$8,Nutrients!$ES$8,Nutrients!$ES$9)*AR$7)+(((IF($A$8=Nutrients!$B$79,Nutrients!$ES$79,(IF($A$8=Nutrients!$B$77,Nutrients!$ES$77,Nutrients!$ES$78)))))*AR$8))</f>
        <v>2250000</v>
      </c>
      <c r="AS328" s="21">
        <f>(SUMPRODUCT(AS$9:AS$229,Nutrients!$ES$8:$ES$228)+(IF($A$7=Nutrients!$B$8,Nutrients!$ES$8,Nutrients!$ES$9)*AS$7)+(((IF($A$8=Nutrients!$B$79,Nutrients!$ES$79,(IF($A$8=Nutrients!$B$77,Nutrients!$ES$77,Nutrients!$ES$78)))))*AS$8))</f>
        <v>2250000</v>
      </c>
      <c r="AT328" s="21">
        <f>(SUMPRODUCT(AT$9:AT$229,Nutrients!$ES$8:$ES$228)+(IF($A$7=Nutrients!$B$8,Nutrients!$ES$8,Nutrients!$ES$9)*AT$7)+(((IF($A$8=Nutrients!$B$79,Nutrients!$ES$79,(IF($A$8=Nutrients!$B$77,Nutrients!$ES$77,Nutrients!$ES$78)))))*AT$8))</f>
        <v>1875000</v>
      </c>
      <c r="AU328" s="21">
        <f>(SUMPRODUCT(AU$9:AU$229,Nutrients!$ES$8:$ES$228)+(IF($A$7=Nutrients!$B$8,Nutrients!$ES$8,Nutrients!$ES$9)*AU$7)+(((IF($A$8=Nutrients!$B$79,Nutrients!$ES$79,(IF($A$8=Nutrients!$B$77,Nutrients!$ES$77,Nutrients!$ES$78)))))*AU$8))</f>
        <v>1500000</v>
      </c>
      <c r="AV328" s="21">
        <f>(SUMPRODUCT(AV$9:AV$229,Nutrients!$ES$8:$ES$228)+(IF($A$7=Nutrients!$B$8,Nutrients!$ES$8,Nutrients!$ES$9)*AV$7)+(((IF($A$8=Nutrients!$B$79,Nutrients!$ES$79,(IF($A$8=Nutrients!$B$77,Nutrients!$ES$77,Nutrients!$ES$78)))))*AV$8))</f>
        <v>1125000</v>
      </c>
      <c r="AW328" s="21">
        <f>(SUMPRODUCT(AW$9:AW$229,Nutrients!$ES$8:$ES$228)+(IF($A$7=Nutrients!$B$8,Nutrients!$ES$8,Nutrients!$ES$9)*AW$7)+(((IF($A$8=Nutrients!$B$79,Nutrients!$ES$79,(IF($A$8=Nutrients!$B$77,Nutrients!$ES$77,Nutrients!$ES$78)))))*AW$8))</f>
        <v>1125000</v>
      </c>
    </row>
    <row r="329" spans="1:49" x14ac:dyDescent="0.25">
      <c r="A329" s="34" t="s">
        <v>122</v>
      </c>
      <c r="B329" s="21">
        <f>(SUMPRODUCT(B$9:B$229,Nutrients!$ET$8:$ET$228)+(IF($A$7=Nutrients!$B$8,Nutrients!$ET$8,Nutrients!$ET$9)*B$7)+(((IF($A$8=Nutrients!$B$79,Nutrients!$ET$79,(IF($A$8=Nutrients!$B$77,Nutrients!$ET$77,Nutrients!$ET$78)))))*B$8))</f>
        <v>900000</v>
      </c>
      <c r="C329" s="21">
        <f>(SUMPRODUCT(C$9:C$229,Nutrients!$ET$8:$ET$228)+(IF($A$7=Nutrients!$B$8,Nutrients!$ET$8,Nutrients!$ET$9)*C$7)+(((IF($A$8=Nutrients!$B$79,Nutrients!$ET$79,(IF($A$8=Nutrients!$B$77,Nutrients!$ET$77,Nutrients!$ET$78)))))*C$8))</f>
        <v>900000</v>
      </c>
      <c r="D329" s="21">
        <f>(SUMPRODUCT(D$9:D$229,Nutrients!$ET$8:$ET$228)+(IF($A$7=Nutrients!$B$8,Nutrients!$ET$8,Nutrients!$ET$9)*D$7)+(((IF($A$8=Nutrients!$B$79,Nutrients!$ET$79,(IF($A$8=Nutrients!$B$77,Nutrients!$ET$77,Nutrients!$ET$78)))))*D$8))</f>
        <v>750000</v>
      </c>
      <c r="E329" s="21">
        <f>(SUMPRODUCT(E$9:E$229,Nutrients!$ET$8:$ET$228)+(IF($A$7=Nutrients!$B$8,Nutrients!$ET$8,Nutrients!$ET$9)*E$7)+(((IF($A$8=Nutrients!$B$79,Nutrients!$ET$79,(IF($A$8=Nutrients!$B$77,Nutrients!$ET$77,Nutrients!$ET$78)))))*E$8))</f>
        <v>600000</v>
      </c>
      <c r="F329" s="21">
        <f>(SUMPRODUCT(F$9:F$229,Nutrients!$ET$8:$ET$228)+(IF($A$7=Nutrients!$B$8,Nutrients!$ET$8,Nutrients!$ET$9)*F$7)+(((IF($A$8=Nutrients!$B$79,Nutrients!$ET$79,(IF($A$8=Nutrients!$B$77,Nutrients!$ET$77,Nutrients!$ET$78)))))*F$8))</f>
        <v>450000</v>
      </c>
      <c r="G329" s="21">
        <f>(SUMPRODUCT(G$9:G$229,Nutrients!$ET$8:$ET$228)+(IF($A$7=Nutrients!$B$8,Nutrients!$ET$8,Nutrients!$ET$9)*G$7)+(((IF($A$8=Nutrients!$B$79,Nutrients!$ET$79,(IF($A$8=Nutrients!$B$77,Nutrients!$ET$77,Nutrients!$ET$78)))))*G$8))</f>
        <v>450000</v>
      </c>
      <c r="H329" s="226"/>
      <c r="I329" s="21">
        <f>(SUMPRODUCT(I$9:I$229,Nutrients!$ET$8:$ET$228)+(IF($A$7=Nutrients!$B$8,Nutrients!$ET$8,Nutrients!$ET$9)*I$7)+(((IF($A$8=Nutrients!$B$79,Nutrients!$ET$79,(IF($A$8=Nutrients!$B$77,Nutrients!$ET$77,Nutrients!$ET$78)))))*I$8))</f>
        <v>900000</v>
      </c>
      <c r="J329" s="21">
        <f>(SUMPRODUCT(J$9:J$229,Nutrients!$ET$8:$ET$228)+(IF($A$7=Nutrients!$B$8,Nutrients!$ET$8,Nutrients!$ET$9)*J$7)+(((IF($A$8=Nutrients!$B$79,Nutrients!$ET$79,(IF($A$8=Nutrients!$B$77,Nutrients!$ET$77,Nutrients!$ET$78)))))*J$8))</f>
        <v>900000</v>
      </c>
      <c r="K329" s="21">
        <f>(SUMPRODUCT(K$9:K$229,Nutrients!$ET$8:$ET$228)+(IF($A$7=Nutrients!$B$8,Nutrients!$ET$8,Nutrients!$ET$9)*K$7)+(((IF($A$8=Nutrients!$B$79,Nutrients!$ET$79,(IF($A$8=Nutrients!$B$77,Nutrients!$ET$77,Nutrients!$ET$78)))))*K$8))</f>
        <v>750000</v>
      </c>
      <c r="L329" s="21">
        <f>(SUMPRODUCT(L$9:L$229,Nutrients!$ET$8:$ET$228)+(IF($A$7=Nutrients!$B$8,Nutrients!$ET$8,Nutrients!$ET$9)*L$7)+(((IF($A$8=Nutrients!$B$79,Nutrients!$ET$79,(IF($A$8=Nutrients!$B$77,Nutrients!$ET$77,Nutrients!$ET$78)))))*L$8))</f>
        <v>600000</v>
      </c>
      <c r="M329" s="21">
        <f>(SUMPRODUCT(M$9:M$229,Nutrients!$ET$8:$ET$228)+(IF($A$7=Nutrients!$B$8,Nutrients!$ET$8,Nutrients!$ET$9)*M$7)+(((IF($A$8=Nutrients!$B$79,Nutrients!$ET$79,(IF($A$8=Nutrients!$B$77,Nutrients!$ET$77,Nutrients!$ET$78)))))*M$8))</f>
        <v>450000</v>
      </c>
      <c r="N329" s="21">
        <f>(SUMPRODUCT(N$9:N$229,Nutrients!$ET$8:$ET$228)+(IF($A$7=Nutrients!$B$8,Nutrients!$ET$8,Nutrients!$ET$9)*N$7)+(((IF($A$8=Nutrients!$B$79,Nutrients!$ET$79,(IF($A$8=Nutrients!$B$77,Nutrients!$ET$77,Nutrients!$ET$78)))))*N$8))</f>
        <v>450000</v>
      </c>
      <c r="O329" s="234"/>
      <c r="P329" s="21">
        <f>(SUMPRODUCT(P$9:P$229,Nutrients!$ET$8:$ET$228)+(IF($A$7=Nutrients!$B$8,Nutrients!$ET$8,Nutrients!$ET$9)*P$7)+(((IF($A$8=Nutrients!$B$79,Nutrients!$ET$79,(IF($A$8=Nutrients!$B$77,Nutrients!$ET$77,Nutrients!$ET$78)))))*P$8))</f>
        <v>900000</v>
      </c>
      <c r="Q329" s="21">
        <f>(SUMPRODUCT(Q$9:Q$229,Nutrients!$ET$8:$ET$228)+(IF($A$7=Nutrients!$B$8,Nutrients!$ET$8,Nutrients!$ET$9)*Q$7)+(((IF($A$8=Nutrients!$B$79,Nutrients!$ET$79,(IF($A$8=Nutrients!$B$77,Nutrients!$ET$77,Nutrients!$ET$78)))))*Q$8))</f>
        <v>900000</v>
      </c>
      <c r="R329" s="21">
        <f>(SUMPRODUCT(R$9:R$229,Nutrients!$ET$8:$ET$228)+(IF($A$7=Nutrients!$B$8,Nutrients!$ET$8,Nutrients!$ET$9)*R$7)+(((IF($A$8=Nutrients!$B$79,Nutrients!$ET$79,(IF($A$8=Nutrients!$B$77,Nutrients!$ET$77,Nutrients!$ET$78)))))*R$8))</f>
        <v>750000</v>
      </c>
      <c r="S329" s="21">
        <f>(SUMPRODUCT(S$9:S$229,Nutrients!$ET$8:$ET$228)+(IF($A$7=Nutrients!$B$8,Nutrients!$ET$8,Nutrients!$ET$9)*S$7)+(((IF($A$8=Nutrients!$B$79,Nutrients!$ET$79,(IF($A$8=Nutrients!$B$77,Nutrients!$ET$77,Nutrients!$ET$78)))))*S$8))</f>
        <v>600000</v>
      </c>
      <c r="T329" s="21">
        <f>(SUMPRODUCT(T$9:T$229,Nutrients!$ET$8:$ET$228)+(IF($A$7=Nutrients!$B$8,Nutrients!$ET$8,Nutrients!$ET$9)*T$7)+(((IF($A$8=Nutrients!$B$79,Nutrients!$ET$79,(IF($A$8=Nutrients!$B$77,Nutrients!$ET$77,Nutrients!$ET$78)))))*T$8))</f>
        <v>450000</v>
      </c>
      <c r="U329" s="21">
        <f>(SUMPRODUCT(U$9:U$229,Nutrients!$ET$8:$ET$228)+(IF($A$7=Nutrients!$B$8,Nutrients!$ET$8,Nutrients!$ET$9)*U$7)+(((IF($A$8=Nutrients!$B$79,Nutrients!$ET$79,(IF($A$8=Nutrients!$B$77,Nutrients!$ET$77,Nutrients!$ET$78)))))*U$8))</f>
        <v>450000</v>
      </c>
      <c r="W329" s="21">
        <f>(SUMPRODUCT(W$9:W$229,Nutrients!$ET$8:$ET$228)+(IF($A$7=Nutrients!$B$8,Nutrients!$ET$8,Nutrients!$ET$9)*W$7)+(((IF($A$8=Nutrients!$B$79,Nutrients!$ET$79,(IF($A$8=Nutrients!$B$77,Nutrients!$ET$77,Nutrients!$ET$78)))))*W$8))</f>
        <v>900000</v>
      </c>
      <c r="X329" s="21">
        <f>(SUMPRODUCT(X$9:X$229,Nutrients!$ET$8:$ET$228)+(IF($A$7=Nutrients!$B$8,Nutrients!$ET$8,Nutrients!$ET$9)*X$7)+(((IF($A$8=Nutrients!$B$79,Nutrients!$ET$79,(IF($A$8=Nutrients!$B$77,Nutrients!$ET$77,Nutrients!$ET$78)))))*X$8))</f>
        <v>900000</v>
      </c>
      <c r="Y329" s="21">
        <f>(SUMPRODUCT(Y$9:Y$229,Nutrients!$ET$8:$ET$228)+(IF($A$7=Nutrients!$B$8,Nutrients!$ET$8,Nutrients!$ET$9)*Y$7)+(((IF($A$8=Nutrients!$B$79,Nutrients!$ET$79,(IF($A$8=Nutrients!$B$77,Nutrients!$ET$77,Nutrients!$ET$78)))))*Y$8))</f>
        <v>750000</v>
      </c>
      <c r="Z329" s="21">
        <f>(SUMPRODUCT(Z$9:Z$229,Nutrients!$ET$8:$ET$228)+(IF($A$7=Nutrients!$B$8,Nutrients!$ET$8,Nutrients!$ET$9)*Z$7)+(((IF($A$8=Nutrients!$B$79,Nutrients!$ET$79,(IF($A$8=Nutrients!$B$77,Nutrients!$ET$77,Nutrients!$ET$78)))))*Z$8))</f>
        <v>600000</v>
      </c>
      <c r="AA329" s="21">
        <f>(SUMPRODUCT(AA$9:AA$229,Nutrients!$ET$8:$ET$228)+(IF($A$7=Nutrients!$B$8,Nutrients!$ET$8,Nutrients!$ET$9)*AA$7)+(((IF($A$8=Nutrients!$B$79,Nutrients!$ET$79,(IF($A$8=Nutrients!$B$77,Nutrients!$ET$77,Nutrients!$ET$78)))))*AA$8))</f>
        <v>450000</v>
      </c>
      <c r="AB329" s="21">
        <f>(SUMPRODUCT(AB$9:AB$229,Nutrients!$ET$8:$ET$228)+(IF($A$7=Nutrients!$B$8,Nutrients!$ET$8,Nutrients!$ET$9)*AB$7)+(((IF($A$8=Nutrients!$B$79,Nutrients!$ET$79,(IF($A$8=Nutrients!$B$77,Nutrients!$ET$77,Nutrients!$ET$78)))))*AB$8))</f>
        <v>450000</v>
      </c>
      <c r="AD329" s="21">
        <f>(SUMPRODUCT(AD$9:AD$229,Nutrients!$ET$8:$ET$228)+(IF($A$7=Nutrients!$B$8,Nutrients!$ET$8,Nutrients!$ET$9)*AD$7)+(((IF($A$8=Nutrients!$B$79,Nutrients!$ET$79,(IF($A$8=Nutrients!$B$77,Nutrients!$ET$77,Nutrients!$ET$78)))))*AD$8))</f>
        <v>900000</v>
      </c>
      <c r="AE329" s="21">
        <f>(SUMPRODUCT(AE$9:AE$229,Nutrients!$ET$8:$ET$228)+(IF($A$7=Nutrients!$B$8,Nutrients!$ET$8,Nutrients!$ET$9)*AE$7)+(((IF($A$8=Nutrients!$B$79,Nutrients!$ET$79,(IF($A$8=Nutrients!$B$77,Nutrients!$ET$77,Nutrients!$ET$78)))))*AE$8))</f>
        <v>900000</v>
      </c>
      <c r="AF329" s="21">
        <f>(SUMPRODUCT(AF$9:AF$229,Nutrients!$ET$8:$ET$228)+(IF($A$7=Nutrients!$B$8,Nutrients!$ET$8,Nutrients!$ET$9)*AF$7)+(((IF($A$8=Nutrients!$B$79,Nutrients!$ET$79,(IF($A$8=Nutrients!$B$77,Nutrients!$ET$77,Nutrients!$ET$78)))))*AF$8))</f>
        <v>750000</v>
      </c>
      <c r="AG329" s="21">
        <f>(SUMPRODUCT(AG$9:AG$229,Nutrients!$ET$8:$ET$228)+(IF($A$7=Nutrients!$B$8,Nutrients!$ET$8,Nutrients!$ET$9)*AG$7)+(((IF($A$8=Nutrients!$B$79,Nutrients!$ET$79,(IF($A$8=Nutrients!$B$77,Nutrients!$ET$77,Nutrients!$ET$78)))))*AG$8))</f>
        <v>600000</v>
      </c>
      <c r="AH329" s="21">
        <f>(SUMPRODUCT(AH$9:AH$229,Nutrients!$ET$8:$ET$228)+(IF($A$7=Nutrients!$B$8,Nutrients!$ET$8,Nutrients!$ET$9)*AH$7)+(((IF($A$8=Nutrients!$B$79,Nutrients!$ET$79,(IF($A$8=Nutrients!$B$77,Nutrients!$ET$77,Nutrients!$ET$78)))))*AH$8))</f>
        <v>450000</v>
      </c>
      <c r="AI329" s="21">
        <f>(SUMPRODUCT(AI$9:AI$229,Nutrients!$ET$8:$ET$228)+(IF($A$7=Nutrients!$B$8,Nutrients!$ET$8,Nutrients!$ET$9)*AI$7)+(((IF($A$8=Nutrients!$B$79,Nutrients!$ET$79,(IF($A$8=Nutrients!$B$77,Nutrients!$ET$77,Nutrients!$ET$78)))))*AI$8))</f>
        <v>450000</v>
      </c>
      <c r="AK329" s="21">
        <f>(SUMPRODUCT(AK$9:AK$229,Nutrients!$ET$8:$ET$228)+(IF($A$7=Nutrients!$B$8,Nutrients!$ET$8,Nutrients!$ET$9)*AK$7)+(((IF($A$8=Nutrients!$B$79,Nutrients!$ET$79,(IF($A$8=Nutrients!$B$77,Nutrients!$ET$77,Nutrients!$ET$78)))))*AK$8))</f>
        <v>900000</v>
      </c>
      <c r="AL329" s="21">
        <f>(SUMPRODUCT(AL$9:AL$229,Nutrients!$ET$8:$ET$228)+(IF($A$7=Nutrients!$B$8,Nutrients!$ET$8,Nutrients!$ET$9)*AL$7)+(((IF($A$8=Nutrients!$B$79,Nutrients!$ET$79,(IF($A$8=Nutrients!$B$77,Nutrients!$ET$77,Nutrients!$ET$78)))))*AL$8))</f>
        <v>900000</v>
      </c>
      <c r="AM329" s="21">
        <f>(SUMPRODUCT(AM$9:AM$229,Nutrients!$ET$8:$ET$228)+(IF($A$7=Nutrients!$B$8,Nutrients!$ET$8,Nutrients!$ET$9)*AM$7)+(((IF($A$8=Nutrients!$B$79,Nutrients!$ET$79,(IF($A$8=Nutrients!$B$77,Nutrients!$ET$77,Nutrients!$ET$78)))))*AM$8))</f>
        <v>750000</v>
      </c>
      <c r="AN329" s="21">
        <f>(SUMPRODUCT(AN$9:AN$229,Nutrients!$ET$8:$ET$228)+(IF($A$7=Nutrients!$B$8,Nutrients!$ET$8,Nutrients!$ET$9)*AN$7)+(((IF($A$8=Nutrients!$B$79,Nutrients!$ET$79,(IF($A$8=Nutrients!$B$77,Nutrients!$ET$77,Nutrients!$ET$78)))))*AN$8))</f>
        <v>600000</v>
      </c>
      <c r="AO329" s="21">
        <f>(SUMPRODUCT(AO$9:AO$229,Nutrients!$ET$8:$ET$228)+(IF($A$7=Nutrients!$B$8,Nutrients!$ET$8,Nutrients!$ET$9)*AO$7)+(((IF($A$8=Nutrients!$B$79,Nutrients!$ET$79,(IF($A$8=Nutrients!$B$77,Nutrients!$ET$77,Nutrients!$ET$78)))))*AO$8))</f>
        <v>450000</v>
      </c>
      <c r="AP329" s="21">
        <f>(SUMPRODUCT(AP$9:AP$229,Nutrients!$ET$8:$ET$228)+(IF($A$7=Nutrients!$B$8,Nutrients!$ET$8,Nutrients!$ET$9)*AP$7)+(((IF($A$8=Nutrients!$B$79,Nutrients!$ET$79,(IF($A$8=Nutrients!$B$77,Nutrients!$ET$77,Nutrients!$ET$78)))))*AP$8))</f>
        <v>450000</v>
      </c>
      <c r="AR329" s="21">
        <f>(SUMPRODUCT(AR$9:AR$229,Nutrients!$ET$8:$ET$228)+(IF($A$7=Nutrients!$B$8,Nutrients!$ET$8,Nutrients!$ET$9)*AR$7)+(((IF($A$8=Nutrients!$B$79,Nutrients!$ET$79,(IF($A$8=Nutrients!$B$77,Nutrients!$ET$77,Nutrients!$ET$78)))))*AR$8))</f>
        <v>900000</v>
      </c>
      <c r="AS329" s="21">
        <f>(SUMPRODUCT(AS$9:AS$229,Nutrients!$ET$8:$ET$228)+(IF($A$7=Nutrients!$B$8,Nutrients!$ET$8,Nutrients!$ET$9)*AS$7)+(((IF($A$8=Nutrients!$B$79,Nutrients!$ET$79,(IF($A$8=Nutrients!$B$77,Nutrients!$ET$77,Nutrients!$ET$78)))))*AS$8))</f>
        <v>900000</v>
      </c>
      <c r="AT329" s="21">
        <f>(SUMPRODUCT(AT$9:AT$229,Nutrients!$ET$8:$ET$228)+(IF($A$7=Nutrients!$B$8,Nutrients!$ET$8,Nutrients!$ET$9)*AT$7)+(((IF($A$8=Nutrients!$B$79,Nutrients!$ET$79,(IF($A$8=Nutrients!$B$77,Nutrients!$ET$77,Nutrients!$ET$78)))))*AT$8))</f>
        <v>750000</v>
      </c>
      <c r="AU329" s="21">
        <f>(SUMPRODUCT(AU$9:AU$229,Nutrients!$ET$8:$ET$228)+(IF($A$7=Nutrients!$B$8,Nutrients!$ET$8,Nutrients!$ET$9)*AU$7)+(((IF($A$8=Nutrients!$B$79,Nutrients!$ET$79,(IF($A$8=Nutrients!$B$77,Nutrients!$ET$77,Nutrients!$ET$78)))))*AU$8))</f>
        <v>600000</v>
      </c>
      <c r="AV329" s="21">
        <f>(SUMPRODUCT(AV$9:AV$229,Nutrients!$ET$8:$ET$228)+(IF($A$7=Nutrients!$B$8,Nutrients!$ET$8,Nutrients!$ET$9)*AV$7)+(((IF($A$8=Nutrients!$B$79,Nutrients!$ET$79,(IF($A$8=Nutrients!$B$77,Nutrients!$ET$77,Nutrients!$ET$78)))))*AV$8))</f>
        <v>450000</v>
      </c>
      <c r="AW329" s="21">
        <f>(SUMPRODUCT(AW$9:AW$229,Nutrients!$ET$8:$ET$228)+(IF($A$7=Nutrients!$B$8,Nutrients!$ET$8,Nutrients!$ET$9)*AW$7)+(((IF($A$8=Nutrients!$B$79,Nutrients!$ET$79,(IF($A$8=Nutrients!$B$77,Nutrients!$ET$77,Nutrients!$ET$78)))))*AW$8))</f>
        <v>450000</v>
      </c>
    </row>
    <row r="330" spans="1:49" x14ac:dyDescent="0.25">
      <c r="A330" s="34" t="s">
        <v>123</v>
      </c>
      <c r="B330" s="21">
        <f>(SUMPRODUCT(B$9:B$229,Nutrients!$EU$8:$EU$228)+(IF($A$7=Nutrients!$B$8,Nutrients!$EU$8,Nutrients!$EU$9)*B$7)+(((IF($A$8=Nutrients!$B$79,Nutrients!$EU$79,(IF($A$8=Nutrients!$B$77,Nutrients!$EU$77,Nutrients!$EU$78)))))*B$8))</f>
        <v>24000</v>
      </c>
      <c r="C330" s="21">
        <f>(SUMPRODUCT(C$9:C$229,Nutrients!$EU$8:$EU$228)+(IF($A$7=Nutrients!$B$8,Nutrients!$EU$8,Nutrients!$EU$9)*C$7)+(((IF($A$8=Nutrients!$B$79,Nutrients!$EU$79,(IF($A$8=Nutrients!$B$77,Nutrients!$EU$77,Nutrients!$EU$78)))))*C$8))</f>
        <v>24000</v>
      </c>
      <c r="D330" s="21">
        <f>(SUMPRODUCT(D$9:D$229,Nutrients!$EU$8:$EU$228)+(IF($A$7=Nutrients!$B$8,Nutrients!$EU$8,Nutrients!$EU$9)*D$7)+(((IF($A$8=Nutrients!$B$79,Nutrients!$EU$79,(IF($A$8=Nutrients!$B$77,Nutrients!$EU$77,Nutrients!$EU$78)))))*D$8))</f>
        <v>20000</v>
      </c>
      <c r="E330" s="21">
        <f>(SUMPRODUCT(E$9:E$229,Nutrients!$EU$8:$EU$228)+(IF($A$7=Nutrients!$B$8,Nutrients!$EU$8,Nutrients!$EU$9)*E$7)+(((IF($A$8=Nutrients!$B$79,Nutrients!$EU$79,(IF($A$8=Nutrients!$B$77,Nutrients!$EU$77,Nutrients!$EU$78)))))*E$8))</f>
        <v>16000</v>
      </c>
      <c r="F330" s="21">
        <f>(SUMPRODUCT(F$9:F$229,Nutrients!$EU$8:$EU$228)+(IF($A$7=Nutrients!$B$8,Nutrients!$EU$8,Nutrients!$EU$9)*F$7)+(((IF($A$8=Nutrients!$B$79,Nutrients!$EU$79,(IF($A$8=Nutrients!$B$77,Nutrients!$EU$77,Nutrients!$EU$78)))))*F$8))</f>
        <v>12000</v>
      </c>
      <c r="G330" s="21">
        <f>(SUMPRODUCT(G$9:G$229,Nutrients!$EU$8:$EU$228)+(IF($A$7=Nutrients!$B$8,Nutrients!$EU$8,Nutrients!$EU$9)*G$7)+(((IF($A$8=Nutrients!$B$79,Nutrients!$EU$79,(IF($A$8=Nutrients!$B$77,Nutrients!$EU$77,Nutrients!$EU$78)))))*G$8))</f>
        <v>12000</v>
      </c>
      <c r="H330" s="226"/>
      <c r="I330" s="21">
        <f>(SUMPRODUCT(I$9:I$229,Nutrients!$EU$8:$EU$228)+(IF($A$7=Nutrients!$B$8,Nutrients!$EU$8,Nutrients!$EU$9)*I$7)+(((IF($A$8=Nutrients!$B$79,Nutrients!$EU$79,(IF($A$8=Nutrients!$B$77,Nutrients!$EU$77,Nutrients!$EU$78)))))*I$8))</f>
        <v>24000</v>
      </c>
      <c r="J330" s="21">
        <f>(SUMPRODUCT(J$9:J$229,Nutrients!$EU$8:$EU$228)+(IF($A$7=Nutrients!$B$8,Nutrients!$EU$8,Nutrients!$EU$9)*J$7)+(((IF($A$8=Nutrients!$B$79,Nutrients!$EU$79,(IF($A$8=Nutrients!$B$77,Nutrients!$EU$77,Nutrients!$EU$78)))))*J$8))</f>
        <v>24000</v>
      </c>
      <c r="K330" s="21">
        <f>(SUMPRODUCT(K$9:K$229,Nutrients!$EU$8:$EU$228)+(IF($A$7=Nutrients!$B$8,Nutrients!$EU$8,Nutrients!$EU$9)*K$7)+(((IF($A$8=Nutrients!$B$79,Nutrients!$EU$79,(IF($A$8=Nutrients!$B$77,Nutrients!$EU$77,Nutrients!$EU$78)))))*K$8))</f>
        <v>20000</v>
      </c>
      <c r="L330" s="21">
        <f>(SUMPRODUCT(L$9:L$229,Nutrients!$EU$8:$EU$228)+(IF($A$7=Nutrients!$B$8,Nutrients!$EU$8,Nutrients!$EU$9)*L$7)+(((IF($A$8=Nutrients!$B$79,Nutrients!$EU$79,(IF($A$8=Nutrients!$B$77,Nutrients!$EU$77,Nutrients!$EU$78)))))*L$8))</f>
        <v>16000</v>
      </c>
      <c r="M330" s="21">
        <f>(SUMPRODUCT(M$9:M$229,Nutrients!$EU$8:$EU$228)+(IF($A$7=Nutrients!$B$8,Nutrients!$EU$8,Nutrients!$EU$9)*M$7)+(((IF($A$8=Nutrients!$B$79,Nutrients!$EU$79,(IF($A$8=Nutrients!$B$77,Nutrients!$EU$77,Nutrients!$EU$78)))))*M$8))</f>
        <v>12000</v>
      </c>
      <c r="N330" s="21">
        <f>(SUMPRODUCT(N$9:N$229,Nutrients!$EU$8:$EU$228)+(IF($A$7=Nutrients!$B$8,Nutrients!$EU$8,Nutrients!$EU$9)*N$7)+(((IF($A$8=Nutrients!$B$79,Nutrients!$EU$79,(IF($A$8=Nutrients!$B$77,Nutrients!$EU$77,Nutrients!$EU$78)))))*N$8))</f>
        <v>12000</v>
      </c>
      <c r="O330" s="234"/>
      <c r="P330" s="21">
        <f>(SUMPRODUCT(P$9:P$229,Nutrients!$EU$8:$EU$228)+(IF($A$7=Nutrients!$B$8,Nutrients!$EU$8,Nutrients!$EU$9)*P$7)+(((IF($A$8=Nutrients!$B$79,Nutrients!$EU$79,(IF($A$8=Nutrients!$B$77,Nutrients!$EU$77,Nutrients!$EU$78)))))*P$8))</f>
        <v>24000</v>
      </c>
      <c r="Q330" s="21">
        <f>(SUMPRODUCT(Q$9:Q$229,Nutrients!$EU$8:$EU$228)+(IF($A$7=Nutrients!$B$8,Nutrients!$EU$8,Nutrients!$EU$9)*Q$7)+(((IF($A$8=Nutrients!$B$79,Nutrients!$EU$79,(IF($A$8=Nutrients!$B$77,Nutrients!$EU$77,Nutrients!$EU$78)))))*Q$8))</f>
        <v>24000</v>
      </c>
      <c r="R330" s="21">
        <f>(SUMPRODUCT(R$9:R$229,Nutrients!$EU$8:$EU$228)+(IF($A$7=Nutrients!$B$8,Nutrients!$EU$8,Nutrients!$EU$9)*R$7)+(((IF($A$8=Nutrients!$B$79,Nutrients!$EU$79,(IF($A$8=Nutrients!$B$77,Nutrients!$EU$77,Nutrients!$EU$78)))))*R$8))</f>
        <v>20000</v>
      </c>
      <c r="S330" s="21">
        <f>(SUMPRODUCT(S$9:S$229,Nutrients!$EU$8:$EU$228)+(IF($A$7=Nutrients!$B$8,Nutrients!$EU$8,Nutrients!$EU$9)*S$7)+(((IF($A$8=Nutrients!$B$79,Nutrients!$EU$79,(IF($A$8=Nutrients!$B$77,Nutrients!$EU$77,Nutrients!$EU$78)))))*S$8))</f>
        <v>16000</v>
      </c>
      <c r="T330" s="21">
        <f>(SUMPRODUCT(T$9:T$229,Nutrients!$EU$8:$EU$228)+(IF($A$7=Nutrients!$B$8,Nutrients!$EU$8,Nutrients!$EU$9)*T$7)+(((IF($A$8=Nutrients!$B$79,Nutrients!$EU$79,(IF($A$8=Nutrients!$B$77,Nutrients!$EU$77,Nutrients!$EU$78)))))*T$8))</f>
        <v>12000</v>
      </c>
      <c r="U330" s="21">
        <f>(SUMPRODUCT(U$9:U$229,Nutrients!$EU$8:$EU$228)+(IF($A$7=Nutrients!$B$8,Nutrients!$EU$8,Nutrients!$EU$9)*U$7)+(((IF($A$8=Nutrients!$B$79,Nutrients!$EU$79,(IF($A$8=Nutrients!$B$77,Nutrients!$EU$77,Nutrients!$EU$78)))))*U$8))</f>
        <v>12000</v>
      </c>
      <c r="W330" s="21">
        <f>(SUMPRODUCT(W$9:W$229,Nutrients!$EU$8:$EU$228)+(IF($A$7=Nutrients!$B$8,Nutrients!$EU$8,Nutrients!$EU$9)*W$7)+(((IF($A$8=Nutrients!$B$79,Nutrients!$EU$79,(IF($A$8=Nutrients!$B$77,Nutrients!$EU$77,Nutrients!$EU$78)))))*W$8))</f>
        <v>24000</v>
      </c>
      <c r="X330" s="21">
        <f>(SUMPRODUCT(X$9:X$229,Nutrients!$EU$8:$EU$228)+(IF($A$7=Nutrients!$B$8,Nutrients!$EU$8,Nutrients!$EU$9)*X$7)+(((IF($A$8=Nutrients!$B$79,Nutrients!$EU$79,(IF($A$8=Nutrients!$B$77,Nutrients!$EU$77,Nutrients!$EU$78)))))*X$8))</f>
        <v>24000</v>
      </c>
      <c r="Y330" s="21">
        <f>(SUMPRODUCT(Y$9:Y$229,Nutrients!$EU$8:$EU$228)+(IF($A$7=Nutrients!$B$8,Nutrients!$EU$8,Nutrients!$EU$9)*Y$7)+(((IF($A$8=Nutrients!$B$79,Nutrients!$EU$79,(IF($A$8=Nutrients!$B$77,Nutrients!$EU$77,Nutrients!$EU$78)))))*Y$8))</f>
        <v>20000</v>
      </c>
      <c r="Z330" s="21">
        <f>(SUMPRODUCT(Z$9:Z$229,Nutrients!$EU$8:$EU$228)+(IF($A$7=Nutrients!$B$8,Nutrients!$EU$8,Nutrients!$EU$9)*Z$7)+(((IF($A$8=Nutrients!$B$79,Nutrients!$EU$79,(IF($A$8=Nutrients!$B$77,Nutrients!$EU$77,Nutrients!$EU$78)))))*Z$8))</f>
        <v>16000</v>
      </c>
      <c r="AA330" s="21">
        <f>(SUMPRODUCT(AA$9:AA$229,Nutrients!$EU$8:$EU$228)+(IF($A$7=Nutrients!$B$8,Nutrients!$EU$8,Nutrients!$EU$9)*AA$7)+(((IF($A$8=Nutrients!$B$79,Nutrients!$EU$79,(IF($A$8=Nutrients!$B$77,Nutrients!$EU$77,Nutrients!$EU$78)))))*AA$8))</f>
        <v>12000</v>
      </c>
      <c r="AB330" s="21">
        <f>(SUMPRODUCT(AB$9:AB$229,Nutrients!$EU$8:$EU$228)+(IF($A$7=Nutrients!$B$8,Nutrients!$EU$8,Nutrients!$EU$9)*AB$7)+(((IF($A$8=Nutrients!$B$79,Nutrients!$EU$79,(IF($A$8=Nutrients!$B$77,Nutrients!$EU$77,Nutrients!$EU$78)))))*AB$8))</f>
        <v>12000</v>
      </c>
      <c r="AD330" s="21">
        <f>(SUMPRODUCT(AD$9:AD$229,Nutrients!$EU$8:$EU$228)+(IF($A$7=Nutrients!$B$8,Nutrients!$EU$8,Nutrients!$EU$9)*AD$7)+(((IF($A$8=Nutrients!$B$79,Nutrients!$EU$79,(IF($A$8=Nutrients!$B$77,Nutrients!$EU$77,Nutrients!$EU$78)))))*AD$8))</f>
        <v>24000</v>
      </c>
      <c r="AE330" s="21">
        <f>(SUMPRODUCT(AE$9:AE$229,Nutrients!$EU$8:$EU$228)+(IF($A$7=Nutrients!$B$8,Nutrients!$EU$8,Nutrients!$EU$9)*AE$7)+(((IF($A$8=Nutrients!$B$79,Nutrients!$EU$79,(IF($A$8=Nutrients!$B$77,Nutrients!$EU$77,Nutrients!$EU$78)))))*AE$8))</f>
        <v>24000</v>
      </c>
      <c r="AF330" s="21">
        <f>(SUMPRODUCT(AF$9:AF$229,Nutrients!$EU$8:$EU$228)+(IF($A$7=Nutrients!$B$8,Nutrients!$EU$8,Nutrients!$EU$9)*AF$7)+(((IF($A$8=Nutrients!$B$79,Nutrients!$EU$79,(IF($A$8=Nutrients!$B$77,Nutrients!$EU$77,Nutrients!$EU$78)))))*AF$8))</f>
        <v>20000</v>
      </c>
      <c r="AG330" s="21">
        <f>(SUMPRODUCT(AG$9:AG$229,Nutrients!$EU$8:$EU$228)+(IF($A$7=Nutrients!$B$8,Nutrients!$EU$8,Nutrients!$EU$9)*AG$7)+(((IF($A$8=Nutrients!$B$79,Nutrients!$EU$79,(IF($A$8=Nutrients!$B$77,Nutrients!$EU$77,Nutrients!$EU$78)))))*AG$8))</f>
        <v>16000</v>
      </c>
      <c r="AH330" s="21">
        <f>(SUMPRODUCT(AH$9:AH$229,Nutrients!$EU$8:$EU$228)+(IF($A$7=Nutrients!$B$8,Nutrients!$EU$8,Nutrients!$EU$9)*AH$7)+(((IF($A$8=Nutrients!$B$79,Nutrients!$EU$79,(IF($A$8=Nutrients!$B$77,Nutrients!$EU$77,Nutrients!$EU$78)))))*AH$8))</f>
        <v>12000</v>
      </c>
      <c r="AI330" s="21">
        <f>(SUMPRODUCT(AI$9:AI$229,Nutrients!$EU$8:$EU$228)+(IF($A$7=Nutrients!$B$8,Nutrients!$EU$8,Nutrients!$EU$9)*AI$7)+(((IF($A$8=Nutrients!$B$79,Nutrients!$EU$79,(IF($A$8=Nutrients!$B$77,Nutrients!$EU$77,Nutrients!$EU$78)))))*AI$8))</f>
        <v>12000</v>
      </c>
      <c r="AK330" s="21">
        <f>(SUMPRODUCT(AK$9:AK$229,Nutrients!$EU$8:$EU$228)+(IF($A$7=Nutrients!$B$8,Nutrients!$EU$8,Nutrients!$EU$9)*AK$7)+(((IF($A$8=Nutrients!$B$79,Nutrients!$EU$79,(IF($A$8=Nutrients!$B$77,Nutrients!$EU$77,Nutrients!$EU$78)))))*AK$8))</f>
        <v>24000</v>
      </c>
      <c r="AL330" s="21">
        <f>(SUMPRODUCT(AL$9:AL$229,Nutrients!$EU$8:$EU$228)+(IF($A$7=Nutrients!$B$8,Nutrients!$EU$8,Nutrients!$EU$9)*AL$7)+(((IF($A$8=Nutrients!$B$79,Nutrients!$EU$79,(IF($A$8=Nutrients!$B$77,Nutrients!$EU$77,Nutrients!$EU$78)))))*AL$8))</f>
        <v>24000</v>
      </c>
      <c r="AM330" s="21">
        <f>(SUMPRODUCT(AM$9:AM$229,Nutrients!$EU$8:$EU$228)+(IF($A$7=Nutrients!$B$8,Nutrients!$EU$8,Nutrients!$EU$9)*AM$7)+(((IF($A$8=Nutrients!$B$79,Nutrients!$EU$79,(IF($A$8=Nutrients!$B$77,Nutrients!$EU$77,Nutrients!$EU$78)))))*AM$8))</f>
        <v>20000</v>
      </c>
      <c r="AN330" s="21">
        <f>(SUMPRODUCT(AN$9:AN$229,Nutrients!$EU$8:$EU$228)+(IF($A$7=Nutrients!$B$8,Nutrients!$EU$8,Nutrients!$EU$9)*AN$7)+(((IF($A$8=Nutrients!$B$79,Nutrients!$EU$79,(IF($A$8=Nutrients!$B$77,Nutrients!$EU$77,Nutrients!$EU$78)))))*AN$8))</f>
        <v>16000</v>
      </c>
      <c r="AO330" s="21">
        <f>(SUMPRODUCT(AO$9:AO$229,Nutrients!$EU$8:$EU$228)+(IF($A$7=Nutrients!$B$8,Nutrients!$EU$8,Nutrients!$EU$9)*AO$7)+(((IF($A$8=Nutrients!$B$79,Nutrients!$EU$79,(IF($A$8=Nutrients!$B$77,Nutrients!$EU$77,Nutrients!$EU$78)))))*AO$8))</f>
        <v>12000</v>
      </c>
      <c r="AP330" s="21">
        <f>(SUMPRODUCT(AP$9:AP$229,Nutrients!$EU$8:$EU$228)+(IF($A$7=Nutrients!$B$8,Nutrients!$EU$8,Nutrients!$EU$9)*AP$7)+(((IF($A$8=Nutrients!$B$79,Nutrients!$EU$79,(IF($A$8=Nutrients!$B$77,Nutrients!$EU$77,Nutrients!$EU$78)))))*AP$8))</f>
        <v>12000</v>
      </c>
      <c r="AR330" s="21">
        <f>(SUMPRODUCT(AR$9:AR$229,Nutrients!$EU$8:$EU$228)+(IF($A$7=Nutrients!$B$8,Nutrients!$EU$8,Nutrients!$EU$9)*AR$7)+(((IF($A$8=Nutrients!$B$79,Nutrients!$EU$79,(IF($A$8=Nutrients!$B$77,Nutrients!$EU$77,Nutrients!$EU$78)))))*AR$8))</f>
        <v>24000</v>
      </c>
      <c r="AS330" s="21">
        <f>(SUMPRODUCT(AS$9:AS$229,Nutrients!$EU$8:$EU$228)+(IF($A$7=Nutrients!$B$8,Nutrients!$EU$8,Nutrients!$EU$9)*AS$7)+(((IF($A$8=Nutrients!$B$79,Nutrients!$EU$79,(IF($A$8=Nutrients!$B$77,Nutrients!$EU$77,Nutrients!$EU$78)))))*AS$8))</f>
        <v>24000</v>
      </c>
      <c r="AT330" s="21">
        <f>(SUMPRODUCT(AT$9:AT$229,Nutrients!$EU$8:$EU$228)+(IF($A$7=Nutrients!$B$8,Nutrients!$EU$8,Nutrients!$EU$9)*AT$7)+(((IF($A$8=Nutrients!$B$79,Nutrients!$EU$79,(IF($A$8=Nutrients!$B$77,Nutrients!$EU$77,Nutrients!$EU$78)))))*AT$8))</f>
        <v>20000</v>
      </c>
      <c r="AU330" s="21">
        <f>(SUMPRODUCT(AU$9:AU$229,Nutrients!$EU$8:$EU$228)+(IF($A$7=Nutrients!$B$8,Nutrients!$EU$8,Nutrients!$EU$9)*AU$7)+(((IF($A$8=Nutrients!$B$79,Nutrients!$EU$79,(IF($A$8=Nutrients!$B$77,Nutrients!$EU$77,Nutrients!$EU$78)))))*AU$8))</f>
        <v>16000</v>
      </c>
      <c r="AV330" s="21">
        <f>(SUMPRODUCT(AV$9:AV$229,Nutrients!$EU$8:$EU$228)+(IF($A$7=Nutrients!$B$8,Nutrients!$EU$8,Nutrients!$EU$9)*AV$7)+(((IF($A$8=Nutrients!$B$79,Nutrients!$EU$79,(IF($A$8=Nutrients!$B$77,Nutrients!$EU$77,Nutrients!$EU$78)))))*AV$8))</f>
        <v>12000</v>
      </c>
      <c r="AW330" s="21">
        <f>(SUMPRODUCT(AW$9:AW$229,Nutrients!$EU$8:$EU$228)+(IF($A$7=Nutrients!$B$8,Nutrients!$EU$8,Nutrients!$EU$9)*AW$7)+(((IF($A$8=Nutrients!$B$79,Nutrients!$EU$79,(IF($A$8=Nutrients!$B$77,Nutrients!$EU$77,Nutrients!$EU$78)))))*AW$8))</f>
        <v>12000</v>
      </c>
    </row>
    <row r="331" spans="1:49" x14ac:dyDescent="0.25">
      <c r="A331" s="34" t="s">
        <v>124</v>
      </c>
      <c r="B331" s="21">
        <f>(SUMPRODUCT(B$9:B$229,Nutrients!$EV$8:$EV$228)+(IF($A$7=Nutrients!$B$8,Nutrients!$EV$8,Nutrients!$EV$9)*B$7)+(((IF($A$8=Nutrients!$B$79,Nutrients!$EV$79,(IF($A$8=Nutrients!$B$77,Nutrients!$EV$77,Nutrients!$EV$78)))))*B$8))</f>
        <v>1800</v>
      </c>
      <c r="C331" s="21">
        <f>(SUMPRODUCT(C$9:C$229,Nutrients!$EV$8:$EV$228)+(IF($A$7=Nutrients!$B$8,Nutrients!$EV$8,Nutrients!$EV$9)*C$7)+(((IF($A$8=Nutrients!$B$79,Nutrients!$EV$79,(IF($A$8=Nutrients!$B$77,Nutrients!$EV$77,Nutrients!$EV$78)))))*C$8))</f>
        <v>1800</v>
      </c>
      <c r="D331" s="21">
        <f>(SUMPRODUCT(D$9:D$229,Nutrients!$EV$8:$EV$228)+(IF($A$7=Nutrients!$B$8,Nutrients!$EV$8,Nutrients!$EV$9)*D$7)+(((IF($A$8=Nutrients!$B$79,Nutrients!$EV$79,(IF($A$8=Nutrients!$B$77,Nutrients!$EV$77,Nutrients!$EV$78)))))*D$8))</f>
        <v>1500</v>
      </c>
      <c r="E331" s="21">
        <f>(SUMPRODUCT(E$9:E$229,Nutrients!$EV$8:$EV$228)+(IF($A$7=Nutrients!$B$8,Nutrients!$EV$8,Nutrients!$EV$9)*E$7)+(((IF($A$8=Nutrients!$B$79,Nutrients!$EV$79,(IF($A$8=Nutrients!$B$77,Nutrients!$EV$77,Nutrients!$EV$78)))))*E$8))</f>
        <v>1200</v>
      </c>
      <c r="F331" s="21">
        <f>(SUMPRODUCT(F$9:F$229,Nutrients!$EV$8:$EV$228)+(IF($A$7=Nutrients!$B$8,Nutrients!$EV$8,Nutrients!$EV$9)*F$7)+(((IF($A$8=Nutrients!$B$79,Nutrients!$EV$79,(IF($A$8=Nutrients!$B$77,Nutrients!$EV$77,Nutrients!$EV$78)))))*F$8))</f>
        <v>900</v>
      </c>
      <c r="G331" s="21">
        <f>(SUMPRODUCT(G$9:G$229,Nutrients!$EV$8:$EV$228)+(IF($A$7=Nutrients!$B$8,Nutrients!$EV$8,Nutrients!$EV$9)*G$7)+(((IF($A$8=Nutrients!$B$79,Nutrients!$EV$79,(IF($A$8=Nutrients!$B$77,Nutrients!$EV$77,Nutrients!$EV$78)))))*G$8))</f>
        <v>900</v>
      </c>
      <c r="H331" s="226"/>
      <c r="I331" s="21">
        <f>(SUMPRODUCT(I$9:I$229,Nutrients!$EV$8:$EV$228)+(IF($A$7=Nutrients!$B$8,Nutrients!$EV$8,Nutrients!$EV$9)*I$7)+(((IF($A$8=Nutrients!$B$79,Nutrients!$EV$79,(IF($A$8=Nutrients!$B$77,Nutrients!$EV$77,Nutrients!$EV$78)))))*I$8))</f>
        <v>1800</v>
      </c>
      <c r="J331" s="21">
        <f>(SUMPRODUCT(J$9:J$229,Nutrients!$EV$8:$EV$228)+(IF($A$7=Nutrients!$B$8,Nutrients!$EV$8,Nutrients!$EV$9)*J$7)+(((IF($A$8=Nutrients!$B$79,Nutrients!$EV$79,(IF($A$8=Nutrients!$B$77,Nutrients!$EV$77,Nutrients!$EV$78)))))*J$8))</f>
        <v>1800</v>
      </c>
      <c r="K331" s="21">
        <f>(SUMPRODUCT(K$9:K$229,Nutrients!$EV$8:$EV$228)+(IF($A$7=Nutrients!$B$8,Nutrients!$EV$8,Nutrients!$EV$9)*K$7)+(((IF($A$8=Nutrients!$B$79,Nutrients!$EV$79,(IF($A$8=Nutrients!$B$77,Nutrients!$EV$77,Nutrients!$EV$78)))))*K$8))</f>
        <v>1500</v>
      </c>
      <c r="L331" s="21">
        <f>(SUMPRODUCT(L$9:L$229,Nutrients!$EV$8:$EV$228)+(IF($A$7=Nutrients!$B$8,Nutrients!$EV$8,Nutrients!$EV$9)*L$7)+(((IF($A$8=Nutrients!$B$79,Nutrients!$EV$79,(IF($A$8=Nutrients!$B$77,Nutrients!$EV$77,Nutrients!$EV$78)))))*L$8))</f>
        <v>1200</v>
      </c>
      <c r="M331" s="21">
        <f>(SUMPRODUCT(M$9:M$229,Nutrients!$EV$8:$EV$228)+(IF($A$7=Nutrients!$B$8,Nutrients!$EV$8,Nutrients!$EV$9)*M$7)+(((IF($A$8=Nutrients!$B$79,Nutrients!$EV$79,(IF($A$8=Nutrients!$B$77,Nutrients!$EV$77,Nutrients!$EV$78)))))*M$8))</f>
        <v>900</v>
      </c>
      <c r="N331" s="21">
        <f>(SUMPRODUCT(N$9:N$229,Nutrients!$EV$8:$EV$228)+(IF($A$7=Nutrients!$B$8,Nutrients!$EV$8,Nutrients!$EV$9)*N$7)+(((IF($A$8=Nutrients!$B$79,Nutrients!$EV$79,(IF($A$8=Nutrients!$B$77,Nutrients!$EV$77,Nutrients!$EV$78)))))*N$8))</f>
        <v>900</v>
      </c>
      <c r="O331" s="234"/>
      <c r="P331" s="21">
        <f>(SUMPRODUCT(P$9:P$229,Nutrients!$EV$8:$EV$228)+(IF($A$7=Nutrients!$B$8,Nutrients!$EV$8,Nutrients!$EV$9)*P$7)+(((IF($A$8=Nutrients!$B$79,Nutrients!$EV$79,(IF($A$8=Nutrients!$B$77,Nutrients!$EV$77,Nutrients!$EV$78)))))*P$8))</f>
        <v>1800</v>
      </c>
      <c r="Q331" s="21">
        <f>(SUMPRODUCT(Q$9:Q$229,Nutrients!$EV$8:$EV$228)+(IF($A$7=Nutrients!$B$8,Nutrients!$EV$8,Nutrients!$EV$9)*Q$7)+(((IF($A$8=Nutrients!$B$79,Nutrients!$EV$79,(IF($A$8=Nutrients!$B$77,Nutrients!$EV$77,Nutrients!$EV$78)))))*Q$8))</f>
        <v>1800</v>
      </c>
      <c r="R331" s="21">
        <f>(SUMPRODUCT(R$9:R$229,Nutrients!$EV$8:$EV$228)+(IF($A$7=Nutrients!$B$8,Nutrients!$EV$8,Nutrients!$EV$9)*R$7)+(((IF($A$8=Nutrients!$B$79,Nutrients!$EV$79,(IF($A$8=Nutrients!$B$77,Nutrients!$EV$77,Nutrients!$EV$78)))))*R$8))</f>
        <v>1500</v>
      </c>
      <c r="S331" s="21">
        <f>(SUMPRODUCT(S$9:S$229,Nutrients!$EV$8:$EV$228)+(IF($A$7=Nutrients!$B$8,Nutrients!$EV$8,Nutrients!$EV$9)*S$7)+(((IF($A$8=Nutrients!$B$79,Nutrients!$EV$79,(IF($A$8=Nutrients!$B$77,Nutrients!$EV$77,Nutrients!$EV$78)))))*S$8))</f>
        <v>1200</v>
      </c>
      <c r="T331" s="21">
        <f>(SUMPRODUCT(T$9:T$229,Nutrients!$EV$8:$EV$228)+(IF($A$7=Nutrients!$B$8,Nutrients!$EV$8,Nutrients!$EV$9)*T$7)+(((IF($A$8=Nutrients!$B$79,Nutrients!$EV$79,(IF($A$8=Nutrients!$B$77,Nutrients!$EV$77,Nutrients!$EV$78)))))*T$8))</f>
        <v>900</v>
      </c>
      <c r="U331" s="21">
        <f>(SUMPRODUCT(U$9:U$229,Nutrients!$EV$8:$EV$228)+(IF($A$7=Nutrients!$B$8,Nutrients!$EV$8,Nutrients!$EV$9)*U$7)+(((IF($A$8=Nutrients!$B$79,Nutrients!$EV$79,(IF($A$8=Nutrients!$B$77,Nutrients!$EV$77,Nutrients!$EV$78)))))*U$8))</f>
        <v>900</v>
      </c>
      <c r="W331" s="21">
        <f>(SUMPRODUCT(W$9:W$229,Nutrients!$EV$8:$EV$228)+(IF($A$7=Nutrients!$B$8,Nutrients!$EV$8,Nutrients!$EV$9)*W$7)+(((IF($A$8=Nutrients!$B$79,Nutrients!$EV$79,(IF($A$8=Nutrients!$B$77,Nutrients!$EV$77,Nutrients!$EV$78)))))*W$8))</f>
        <v>1800</v>
      </c>
      <c r="X331" s="21">
        <f>(SUMPRODUCT(X$9:X$229,Nutrients!$EV$8:$EV$228)+(IF($A$7=Nutrients!$B$8,Nutrients!$EV$8,Nutrients!$EV$9)*X$7)+(((IF($A$8=Nutrients!$B$79,Nutrients!$EV$79,(IF($A$8=Nutrients!$B$77,Nutrients!$EV$77,Nutrients!$EV$78)))))*X$8))</f>
        <v>1800</v>
      </c>
      <c r="Y331" s="21">
        <f>(SUMPRODUCT(Y$9:Y$229,Nutrients!$EV$8:$EV$228)+(IF($A$7=Nutrients!$B$8,Nutrients!$EV$8,Nutrients!$EV$9)*Y$7)+(((IF($A$8=Nutrients!$B$79,Nutrients!$EV$79,(IF($A$8=Nutrients!$B$77,Nutrients!$EV$77,Nutrients!$EV$78)))))*Y$8))</f>
        <v>1500</v>
      </c>
      <c r="Z331" s="21">
        <f>(SUMPRODUCT(Z$9:Z$229,Nutrients!$EV$8:$EV$228)+(IF($A$7=Nutrients!$B$8,Nutrients!$EV$8,Nutrients!$EV$9)*Z$7)+(((IF($A$8=Nutrients!$B$79,Nutrients!$EV$79,(IF($A$8=Nutrients!$B$77,Nutrients!$EV$77,Nutrients!$EV$78)))))*Z$8))</f>
        <v>1200</v>
      </c>
      <c r="AA331" s="21">
        <f>(SUMPRODUCT(AA$9:AA$229,Nutrients!$EV$8:$EV$228)+(IF($A$7=Nutrients!$B$8,Nutrients!$EV$8,Nutrients!$EV$9)*AA$7)+(((IF($A$8=Nutrients!$B$79,Nutrients!$EV$79,(IF($A$8=Nutrients!$B$77,Nutrients!$EV$77,Nutrients!$EV$78)))))*AA$8))</f>
        <v>900</v>
      </c>
      <c r="AB331" s="21">
        <f>(SUMPRODUCT(AB$9:AB$229,Nutrients!$EV$8:$EV$228)+(IF($A$7=Nutrients!$B$8,Nutrients!$EV$8,Nutrients!$EV$9)*AB$7)+(((IF($A$8=Nutrients!$B$79,Nutrients!$EV$79,(IF($A$8=Nutrients!$B$77,Nutrients!$EV$77,Nutrients!$EV$78)))))*AB$8))</f>
        <v>900</v>
      </c>
      <c r="AD331" s="21">
        <f>(SUMPRODUCT(AD$9:AD$229,Nutrients!$EV$8:$EV$228)+(IF($A$7=Nutrients!$B$8,Nutrients!$EV$8,Nutrients!$EV$9)*AD$7)+(((IF($A$8=Nutrients!$B$79,Nutrients!$EV$79,(IF($A$8=Nutrients!$B$77,Nutrients!$EV$77,Nutrients!$EV$78)))))*AD$8))</f>
        <v>1800</v>
      </c>
      <c r="AE331" s="21">
        <f>(SUMPRODUCT(AE$9:AE$229,Nutrients!$EV$8:$EV$228)+(IF($A$7=Nutrients!$B$8,Nutrients!$EV$8,Nutrients!$EV$9)*AE$7)+(((IF($A$8=Nutrients!$B$79,Nutrients!$EV$79,(IF($A$8=Nutrients!$B$77,Nutrients!$EV$77,Nutrients!$EV$78)))))*AE$8))</f>
        <v>1800</v>
      </c>
      <c r="AF331" s="21">
        <f>(SUMPRODUCT(AF$9:AF$229,Nutrients!$EV$8:$EV$228)+(IF($A$7=Nutrients!$B$8,Nutrients!$EV$8,Nutrients!$EV$9)*AF$7)+(((IF($A$8=Nutrients!$B$79,Nutrients!$EV$79,(IF($A$8=Nutrients!$B$77,Nutrients!$EV$77,Nutrients!$EV$78)))))*AF$8))</f>
        <v>1500</v>
      </c>
      <c r="AG331" s="21">
        <f>(SUMPRODUCT(AG$9:AG$229,Nutrients!$EV$8:$EV$228)+(IF($A$7=Nutrients!$B$8,Nutrients!$EV$8,Nutrients!$EV$9)*AG$7)+(((IF($A$8=Nutrients!$B$79,Nutrients!$EV$79,(IF($A$8=Nutrients!$B$77,Nutrients!$EV$77,Nutrients!$EV$78)))))*AG$8))</f>
        <v>1200</v>
      </c>
      <c r="AH331" s="21">
        <f>(SUMPRODUCT(AH$9:AH$229,Nutrients!$EV$8:$EV$228)+(IF($A$7=Nutrients!$B$8,Nutrients!$EV$8,Nutrients!$EV$9)*AH$7)+(((IF($A$8=Nutrients!$B$79,Nutrients!$EV$79,(IF($A$8=Nutrients!$B$77,Nutrients!$EV$77,Nutrients!$EV$78)))))*AH$8))</f>
        <v>900</v>
      </c>
      <c r="AI331" s="21">
        <f>(SUMPRODUCT(AI$9:AI$229,Nutrients!$EV$8:$EV$228)+(IF($A$7=Nutrients!$B$8,Nutrients!$EV$8,Nutrients!$EV$9)*AI$7)+(((IF($A$8=Nutrients!$B$79,Nutrients!$EV$79,(IF($A$8=Nutrients!$B$77,Nutrients!$EV$77,Nutrients!$EV$78)))))*AI$8))</f>
        <v>900</v>
      </c>
      <c r="AK331" s="21">
        <f>(SUMPRODUCT(AK$9:AK$229,Nutrients!$EV$8:$EV$228)+(IF($A$7=Nutrients!$B$8,Nutrients!$EV$8,Nutrients!$EV$9)*AK$7)+(((IF($A$8=Nutrients!$B$79,Nutrients!$EV$79,(IF($A$8=Nutrients!$B$77,Nutrients!$EV$77,Nutrients!$EV$78)))))*AK$8))</f>
        <v>1800</v>
      </c>
      <c r="AL331" s="21">
        <f>(SUMPRODUCT(AL$9:AL$229,Nutrients!$EV$8:$EV$228)+(IF($A$7=Nutrients!$B$8,Nutrients!$EV$8,Nutrients!$EV$9)*AL$7)+(((IF($A$8=Nutrients!$B$79,Nutrients!$EV$79,(IF($A$8=Nutrients!$B$77,Nutrients!$EV$77,Nutrients!$EV$78)))))*AL$8))</f>
        <v>1800</v>
      </c>
      <c r="AM331" s="21">
        <f>(SUMPRODUCT(AM$9:AM$229,Nutrients!$EV$8:$EV$228)+(IF($A$7=Nutrients!$B$8,Nutrients!$EV$8,Nutrients!$EV$9)*AM$7)+(((IF($A$8=Nutrients!$B$79,Nutrients!$EV$79,(IF($A$8=Nutrients!$B$77,Nutrients!$EV$77,Nutrients!$EV$78)))))*AM$8))</f>
        <v>1500</v>
      </c>
      <c r="AN331" s="21">
        <f>(SUMPRODUCT(AN$9:AN$229,Nutrients!$EV$8:$EV$228)+(IF($A$7=Nutrients!$B$8,Nutrients!$EV$8,Nutrients!$EV$9)*AN$7)+(((IF($A$8=Nutrients!$B$79,Nutrients!$EV$79,(IF($A$8=Nutrients!$B$77,Nutrients!$EV$77,Nutrients!$EV$78)))))*AN$8))</f>
        <v>1200</v>
      </c>
      <c r="AO331" s="21">
        <f>(SUMPRODUCT(AO$9:AO$229,Nutrients!$EV$8:$EV$228)+(IF($A$7=Nutrients!$B$8,Nutrients!$EV$8,Nutrients!$EV$9)*AO$7)+(((IF($A$8=Nutrients!$B$79,Nutrients!$EV$79,(IF($A$8=Nutrients!$B$77,Nutrients!$EV$77,Nutrients!$EV$78)))))*AO$8))</f>
        <v>900</v>
      </c>
      <c r="AP331" s="21">
        <f>(SUMPRODUCT(AP$9:AP$229,Nutrients!$EV$8:$EV$228)+(IF($A$7=Nutrients!$B$8,Nutrients!$EV$8,Nutrients!$EV$9)*AP$7)+(((IF($A$8=Nutrients!$B$79,Nutrients!$EV$79,(IF($A$8=Nutrients!$B$77,Nutrients!$EV$77,Nutrients!$EV$78)))))*AP$8))</f>
        <v>900</v>
      </c>
      <c r="AR331" s="21">
        <f>(SUMPRODUCT(AR$9:AR$229,Nutrients!$EV$8:$EV$228)+(IF($A$7=Nutrients!$B$8,Nutrients!$EV$8,Nutrients!$EV$9)*AR$7)+(((IF($A$8=Nutrients!$B$79,Nutrients!$EV$79,(IF($A$8=Nutrients!$B$77,Nutrients!$EV$77,Nutrients!$EV$78)))))*AR$8))</f>
        <v>1800</v>
      </c>
      <c r="AS331" s="21">
        <f>(SUMPRODUCT(AS$9:AS$229,Nutrients!$EV$8:$EV$228)+(IF($A$7=Nutrients!$B$8,Nutrients!$EV$8,Nutrients!$EV$9)*AS$7)+(((IF($A$8=Nutrients!$B$79,Nutrients!$EV$79,(IF($A$8=Nutrients!$B$77,Nutrients!$EV$77,Nutrients!$EV$78)))))*AS$8))</f>
        <v>1800</v>
      </c>
      <c r="AT331" s="21">
        <f>(SUMPRODUCT(AT$9:AT$229,Nutrients!$EV$8:$EV$228)+(IF($A$7=Nutrients!$B$8,Nutrients!$EV$8,Nutrients!$EV$9)*AT$7)+(((IF($A$8=Nutrients!$B$79,Nutrients!$EV$79,(IF($A$8=Nutrients!$B$77,Nutrients!$EV$77,Nutrients!$EV$78)))))*AT$8))</f>
        <v>1500</v>
      </c>
      <c r="AU331" s="21">
        <f>(SUMPRODUCT(AU$9:AU$229,Nutrients!$EV$8:$EV$228)+(IF($A$7=Nutrients!$B$8,Nutrients!$EV$8,Nutrients!$EV$9)*AU$7)+(((IF($A$8=Nutrients!$B$79,Nutrients!$EV$79,(IF($A$8=Nutrients!$B$77,Nutrients!$EV$77,Nutrients!$EV$78)))))*AU$8))</f>
        <v>1200</v>
      </c>
      <c r="AV331" s="21">
        <f>(SUMPRODUCT(AV$9:AV$229,Nutrients!$EV$8:$EV$228)+(IF($A$7=Nutrients!$B$8,Nutrients!$EV$8,Nutrients!$EV$9)*AV$7)+(((IF($A$8=Nutrients!$B$79,Nutrients!$EV$79,(IF($A$8=Nutrients!$B$77,Nutrients!$EV$77,Nutrients!$EV$78)))))*AV$8))</f>
        <v>900</v>
      </c>
      <c r="AW331" s="21">
        <f>(SUMPRODUCT(AW$9:AW$229,Nutrients!$EV$8:$EV$228)+(IF($A$7=Nutrients!$B$8,Nutrients!$EV$8,Nutrients!$EV$9)*AW$7)+(((IF($A$8=Nutrients!$B$79,Nutrients!$EV$79,(IF($A$8=Nutrients!$B$77,Nutrients!$EV$77,Nutrients!$EV$78)))))*AW$8))</f>
        <v>900</v>
      </c>
    </row>
    <row r="332" spans="1:49" x14ac:dyDescent="0.25">
      <c r="A332" s="34" t="s">
        <v>125</v>
      </c>
      <c r="B332" s="21">
        <f>(SUMPRODUCT(B$9:B$229,Nutrients!$EW$8:$EW$228)+(IF($A$7=Nutrients!$B$8,Nutrients!$EW$8,Nutrients!$EW$9)*B$7)+(((IF($A$8=Nutrients!$B$79,Nutrients!$EW$79,(IF($A$8=Nutrients!$B$77,Nutrients!$EW$77,Nutrients!$EW$78)))))*B$8))</f>
        <v>18</v>
      </c>
      <c r="C332" s="21">
        <f>(SUMPRODUCT(C$9:C$229,Nutrients!$EW$8:$EW$228)+(IF($A$7=Nutrients!$B$8,Nutrients!$EW$8,Nutrients!$EW$9)*C$7)+(((IF($A$8=Nutrients!$B$79,Nutrients!$EW$79,(IF($A$8=Nutrients!$B$77,Nutrients!$EW$77,Nutrients!$EW$78)))))*C$8))</f>
        <v>18</v>
      </c>
      <c r="D332" s="21">
        <f>(SUMPRODUCT(D$9:D$229,Nutrients!$EW$8:$EW$228)+(IF($A$7=Nutrients!$B$8,Nutrients!$EW$8,Nutrients!$EW$9)*D$7)+(((IF($A$8=Nutrients!$B$79,Nutrients!$EW$79,(IF($A$8=Nutrients!$B$77,Nutrients!$EW$77,Nutrients!$EW$78)))))*D$8))</f>
        <v>15</v>
      </c>
      <c r="E332" s="21">
        <f>(SUMPRODUCT(E$9:E$229,Nutrients!$EW$8:$EW$228)+(IF($A$7=Nutrients!$B$8,Nutrients!$EW$8,Nutrients!$EW$9)*E$7)+(((IF($A$8=Nutrients!$B$79,Nutrients!$EW$79,(IF($A$8=Nutrients!$B$77,Nutrients!$EW$77,Nutrients!$EW$78)))))*E$8))</f>
        <v>12</v>
      </c>
      <c r="F332" s="21">
        <f>(SUMPRODUCT(F$9:F$229,Nutrients!$EW$8:$EW$228)+(IF($A$7=Nutrients!$B$8,Nutrients!$EW$8,Nutrients!$EW$9)*F$7)+(((IF($A$8=Nutrients!$B$79,Nutrients!$EW$79,(IF($A$8=Nutrients!$B$77,Nutrients!$EW$77,Nutrients!$EW$78)))))*F$8))</f>
        <v>9</v>
      </c>
      <c r="G332" s="21">
        <f>(SUMPRODUCT(G$9:G$229,Nutrients!$EW$8:$EW$228)+(IF($A$7=Nutrients!$B$8,Nutrients!$EW$8,Nutrients!$EW$9)*G$7)+(((IF($A$8=Nutrients!$B$79,Nutrients!$EW$79,(IF($A$8=Nutrients!$B$77,Nutrients!$EW$77,Nutrients!$EW$78)))))*G$8))</f>
        <v>9</v>
      </c>
      <c r="H332" s="226"/>
      <c r="I332" s="21">
        <f>(SUMPRODUCT(I$9:I$229,Nutrients!$EW$8:$EW$228)+(IF($A$7=Nutrients!$B$8,Nutrients!$EW$8,Nutrients!$EW$9)*I$7)+(((IF($A$8=Nutrients!$B$79,Nutrients!$EW$79,(IF($A$8=Nutrients!$B$77,Nutrients!$EW$77,Nutrients!$EW$78)))))*I$8))</f>
        <v>18</v>
      </c>
      <c r="J332" s="21">
        <f>(SUMPRODUCT(J$9:J$229,Nutrients!$EW$8:$EW$228)+(IF($A$7=Nutrients!$B$8,Nutrients!$EW$8,Nutrients!$EW$9)*J$7)+(((IF($A$8=Nutrients!$B$79,Nutrients!$EW$79,(IF($A$8=Nutrients!$B$77,Nutrients!$EW$77,Nutrients!$EW$78)))))*J$8))</f>
        <v>18</v>
      </c>
      <c r="K332" s="21">
        <f>(SUMPRODUCT(K$9:K$229,Nutrients!$EW$8:$EW$228)+(IF($A$7=Nutrients!$B$8,Nutrients!$EW$8,Nutrients!$EW$9)*K$7)+(((IF($A$8=Nutrients!$B$79,Nutrients!$EW$79,(IF($A$8=Nutrients!$B$77,Nutrients!$EW$77,Nutrients!$EW$78)))))*K$8))</f>
        <v>15</v>
      </c>
      <c r="L332" s="21">
        <f>(SUMPRODUCT(L$9:L$229,Nutrients!$EW$8:$EW$228)+(IF($A$7=Nutrients!$B$8,Nutrients!$EW$8,Nutrients!$EW$9)*L$7)+(((IF($A$8=Nutrients!$B$79,Nutrients!$EW$79,(IF($A$8=Nutrients!$B$77,Nutrients!$EW$77,Nutrients!$EW$78)))))*L$8))</f>
        <v>12</v>
      </c>
      <c r="M332" s="21">
        <f>(SUMPRODUCT(M$9:M$229,Nutrients!$EW$8:$EW$228)+(IF($A$7=Nutrients!$B$8,Nutrients!$EW$8,Nutrients!$EW$9)*M$7)+(((IF($A$8=Nutrients!$B$79,Nutrients!$EW$79,(IF($A$8=Nutrients!$B$77,Nutrients!$EW$77,Nutrients!$EW$78)))))*M$8))</f>
        <v>9</v>
      </c>
      <c r="N332" s="21">
        <f>(SUMPRODUCT(N$9:N$229,Nutrients!$EW$8:$EW$228)+(IF($A$7=Nutrients!$B$8,Nutrients!$EW$8,Nutrients!$EW$9)*N$7)+(((IF($A$8=Nutrients!$B$79,Nutrients!$EW$79,(IF($A$8=Nutrients!$B$77,Nutrients!$EW$77,Nutrients!$EW$78)))))*N$8))</f>
        <v>9</v>
      </c>
      <c r="O332" s="234"/>
      <c r="P332" s="21">
        <f>(SUMPRODUCT(P$9:P$229,Nutrients!$EW$8:$EW$228)+(IF($A$7=Nutrients!$B$8,Nutrients!$EW$8,Nutrients!$EW$9)*P$7)+(((IF($A$8=Nutrients!$B$79,Nutrients!$EW$79,(IF($A$8=Nutrients!$B$77,Nutrients!$EW$77,Nutrients!$EW$78)))))*P$8))</f>
        <v>18</v>
      </c>
      <c r="Q332" s="21">
        <f>(SUMPRODUCT(Q$9:Q$229,Nutrients!$EW$8:$EW$228)+(IF($A$7=Nutrients!$B$8,Nutrients!$EW$8,Nutrients!$EW$9)*Q$7)+(((IF($A$8=Nutrients!$B$79,Nutrients!$EW$79,(IF($A$8=Nutrients!$B$77,Nutrients!$EW$77,Nutrients!$EW$78)))))*Q$8))</f>
        <v>18</v>
      </c>
      <c r="R332" s="21">
        <f>(SUMPRODUCT(R$9:R$229,Nutrients!$EW$8:$EW$228)+(IF($A$7=Nutrients!$B$8,Nutrients!$EW$8,Nutrients!$EW$9)*R$7)+(((IF($A$8=Nutrients!$B$79,Nutrients!$EW$79,(IF($A$8=Nutrients!$B$77,Nutrients!$EW$77,Nutrients!$EW$78)))))*R$8))</f>
        <v>15</v>
      </c>
      <c r="S332" s="21">
        <f>(SUMPRODUCT(S$9:S$229,Nutrients!$EW$8:$EW$228)+(IF($A$7=Nutrients!$B$8,Nutrients!$EW$8,Nutrients!$EW$9)*S$7)+(((IF($A$8=Nutrients!$B$79,Nutrients!$EW$79,(IF($A$8=Nutrients!$B$77,Nutrients!$EW$77,Nutrients!$EW$78)))))*S$8))</f>
        <v>12</v>
      </c>
      <c r="T332" s="21">
        <f>(SUMPRODUCT(T$9:T$229,Nutrients!$EW$8:$EW$228)+(IF($A$7=Nutrients!$B$8,Nutrients!$EW$8,Nutrients!$EW$9)*T$7)+(((IF($A$8=Nutrients!$B$79,Nutrients!$EW$79,(IF($A$8=Nutrients!$B$77,Nutrients!$EW$77,Nutrients!$EW$78)))))*T$8))</f>
        <v>9</v>
      </c>
      <c r="U332" s="21">
        <f>(SUMPRODUCT(U$9:U$229,Nutrients!$EW$8:$EW$228)+(IF($A$7=Nutrients!$B$8,Nutrients!$EW$8,Nutrients!$EW$9)*U$7)+(((IF($A$8=Nutrients!$B$79,Nutrients!$EW$79,(IF($A$8=Nutrients!$B$77,Nutrients!$EW$77,Nutrients!$EW$78)))))*U$8))</f>
        <v>9</v>
      </c>
      <c r="W332" s="21">
        <f>(SUMPRODUCT(W$9:W$229,Nutrients!$EW$8:$EW$228)+(IF($A$7=Nutrients!$B$8,Nutrients!$EW$8,Nutrients!$EW$9)*W$7)+(((IF($A$8=Nutrients!$B$79,Nutrients!$EW$79,(IF($A$8=Nutrients!$B$77,Nutrients!$EW$77,Nutrients!$EW$78)))))*W$8))</f>
        <v>18</v>
      </c>
      <c r="X332" s="21">
        <f>(SUMPRODUCT(X$9:X$229,Nutrients!$EW$8:$EW$228)+(IF($A$7=Nutrients!$B$8,Nutrients!$EW$8,Nutrients!$EW$9)*X$7)+(((IF($A$8=Nutrients!$B$79,Nutrients!$EW$79,(IF($A$8=Nutrients!$B$77,Nutrients!$EW$77,Nutrients!$EW$78)))))*X$8))</f>
        <v>18</v>
      </c>
      <c r="Y332" s="21">
        <f>(SUMPRODUCT(Y$9:Y$229,Nutrients!$EW$8:$EW$228)+(IF($A$7=Nutrients!$B$8,Nutrients!$EW$8,Nutrients!$EW$9)*Y$7)+(((IF($A$8=Nutrients!$B$79,Nutrients!$EW$79,(IF($A$8=Nutrients!$B$77,Nutrients!$EW$77,Nutrients!$EW$78)))))*Y$8))</f>
        <v>15</v>
      </c>
      <c r="Z332" s="21">
        <f>(SUMPRODUCT(Z$9:Z$229,Nutrients!$EW$8:$EW$228)+(IF($A$7=Nutrients!$B$8,Nutrients!$EW$8,Nutrients!$EW$9)*Z$7)+(((IF($A$8=Nutrients!$B$79,Nutrients!$EW$79,(IF($A$8=Nutrients!$B$77,Nutrients!$EW$77,Nutrients!$EW$78)))))*Z$8))</f>
        <v>12</v>
      </c>
      <c r="AA332" s="21">
        <f>(SUMPRODUCT(AA$9:AA$229,Nutrients!$EW$8:$EW$228)+(IF($A$7=Nutrients!$B$8,Nutrients!$EW$8,Nutrients!$EW$9)*AA$7)+(((IF($A$8=Nutrients!$B$79,Nutrients!$EW$79,(IF($A$8=Nutrients!$B$77,Nutrients!$EW$77,Nutrients!$EW$78)))))*AA$8))</f>
        <v>9</v>
      </c>
      <c r="AB332" s="21">
        <f>(SUMPRODUCT(AB$9:AB$229,Nutrients!$EW$8:$EW$228)+(IF($A$7=Nutrients!$B$8,Nutrients!$EW$8,Nutrients!$EW$9)*AB$7)+(((IF($A$8=Nutrients!$B$79,Nutrients!$EW$79,(IF($A$8=Nutrients!$B$77,Nutrients!$EW$77,Nutrients!$EW$78)))))*AB$8))</f>
        <v>9</v>
      </c>
      <c r="AD332" s="21">
        <f>(SUMPRODUCT(AD$9:AD$229,Nutrients!$EW$8:$EW$228)+(IF($A$7=Nutrients!$B$8,Nutrients!$EW$8,Nutrients!$EW$9)*AD$7)+(((IF($A$8=Nutrients!$B$79,Nutrients!$EW$79,(IF($A$8=Nutrients!$B$77,Nutrients!$EW$77,Nutrients!$EW$78)))))*AD$8))</f>
        <v>18</v>
      </c>
      <c r="AE332" s="21">
        <f>(SUMPRODUCT(AE$9:AE$229,Nutrients!$EW$8:$EW$228)+(IF($A$7=Nutrients!$B$8,Nutrients!$EW$8,Nutrients!$EW$9)*AE$7)+(((IF($A$8=Nutrients!$B$79,Nutrients!$EW$79,(IF($A$8=Nutrients!$B$77,Nutrients!$EW$77,Nutrients!$EW$78)))))*AE$8))</f>
        <v>18</v>
      </c>
      <c r="AF332" s="21">
        <f>(SUMPRODUCT(AF$9:AF$229,Nutrients!$EW$8:$EW$228)+(IF($A$7=Nutrients!$B$8,Nutrients!$EW$8,Nutrients!$EW$9)*AF$7)+(((IF($A$8=Nutrients!$B$79,Nutrients!$EW$79,(IF($A$8=Nutrients!$B$77,Nutrients!$EW$77,Nutrients!$EW$78)))))*AF$8))</f>
        <v>15</v>
      </c>
      <c r="AG332" s="21">
        <f>(SUMPRODUCT(AG$9:AG$229,Nutrients!$EW$8:$EW$228)+(IF($A$7=Nutrients!$B$8,Nutrients!$EW$8,Nutrients!$EW$9)*AG$7)+(((IF($A$8=Nutrients!$B$79,Nutrients!$EW$79,(IF($A$8=Nutrients!$B$77,Nutrients!$EW$77,Nutrients!$EW$78)))))*AG$8))</f>
        <v>12</v>
      </c>
      <c r="AH332" s="21">
        <f>(SUMPRODUCT(AH$9:AH$229,Nutrients!$EW$8:$EW$228)+(IF($A$7=Nutrients!$B$8,Nutrients!$EW$8,Nutrients!$EW$9)*AH$7)+(((IF($A$8=Nutrients!$B$79,Nutrients!$EW$79,(IF($A$8=Nutrients!$B$77,Nutrients!$EW$77,Nutrients!$EW$78)))))*AH$8))</f>
        <v>9</v>
      </c>
      <c r="AI332" s="21">
        <f>(SUMPRODUCT(AI$9:AI$229,Nutrients!$EW$8:$EW$228)+(IF($A$7=Nutrients!$B$8,Nutrients!$EW$8,Nutrients!$EW$9)*AI$7)+(((IF($A$8=Nutrients!$B$79,Nutrients!$EW$79,(IF($A$8=Nutrients!$B$77,Nutrients!$EW$77,Nutrients!$EW$78)))))*AI$8))</f>
        <v>9</v>
      </c>
      <c r="AK332" s="21">
        <f>(SUMPRODUCT(AK$9:AK$229,Nutrients!$EW$8:$EW$228)+(IF($A$7=Nutrients!$B$8,Nutrients!$EW$8,Nutrients!$EW$9)*AK$7)+(((IF($A$8=Nutrients!$B$79,Nutrients!$EW$79,(IF($A$8=Nutrients!$B$77,Nutrients!$EW$77,Nutrients!$EW$78)))))*AK$8))</f>
        <v>18</v>
      </c>
      <c r="AL332" s="21">
        <f>(SUMPRODUCT(AL$9:AL$229,Nutrients!$EW$8:$EW$228)+(IF($A$7=Nutrients!$B$8,Nutrients!$EW$8,Nutrients!$EW$9)*AL$7)+(((IF($A$8=Nutrients!$B$79,Nutrients!$EW$79,(IF($A$8=Nutrients!$B$77,Nutrients!$EW$77,Nutrients!$EW$78)))))*AL$8))</f>
        <v>18</v>
      </c>
      <c r="AM332" s="21">
        <f>(SUMPRODUCT(AM$9:AM$229,Nutrients!$EW$8:$EW$228)+(IF($A$7=Nutrients!$B$8,Nutrients!$EW$8,Nutrients!$EW$9)*AM$7)+(((IF($A$8=Nutrients!$B$79,Nutrients!$EW$79,(IF($A$8=Nutrients!$B$77,Nutrients!$EW$77,Nutrients!$EW$78)))))*AM$8))</f>
        <v>15</v>
      </c>
      <c r="AN332" s="21">
        <f>(SUMPRODUCT(AN$9:AN$229,Nutrients!$EW$8:$EW$228)+(IF($A$7=Nutrients!$B$8,Nutrients!$EW$8,Nutrients!$EW$9)*AN$7)+(((IF($A$8=Nutrients!$B$79,Nutrients!$EW$79,(IF($A$8=Nutrients!$B$77,Nutrients!$EW$77,Nutrients!$EW$78)))))*AN$8))</f>
        <v>12</v>
      </c>
      <c r="AO332" s="21">
        <f>(SUMPRODUCT(AO$9:AO$229,Nutrients!$EW$8:$EW$228)+(IF($A$7=Nutrients!$B$8,Nutrients!$EW$8,Nutrients!$EW$9)*AO$7)+(((IF($A$8=Nutrients!$B$79,Nutrients!$EW$79,(IF($A$8=Nutrients!$B$77,Nutrients!$EW$77,Nutrients!$EW$78)))))*AO$8))</f>
        <v>9</v>
      </c>
      <c r="AP332" s="21">
        <f>(SUMPRODUCT(AP$9:AP$229,Nutrients!$EW$8:$EW$228)+(IF($A$7=Nutrients!$B$8,Nutrients!$EW$8,Nutrients!$EW$9)*AP$7)+(((IF($A$8=Nutrients!$B$79,Nutrients!$EW$79,(IF($A$8=Nutrients!$B$77,Nutrients!$EW$77,Nutrients!$EW$78)))))*AP$8))</f>
        <v>9</v>
      </c>
      <c r="AR332" s="21">
        <f>(SUMPRODUCT(AR$9:AR$229,Nutrients!$EW$8:$EW$228)+(IF($A$7=Nutrients!$B$8,Nutrients!$EW$8,Nutrients!$EW$9)*AR$7)+(((IF($A$8=Nutrients!$B$79,Nutrients!$EW$79,(IF($A$8=Nutrients!$B$77,Nutrients!$EW$77,Nutrients!$EW$78)))))*AR$8))</f>
        <v>18</v>
      </c>
      <c r="AS332" s="21">
        <f>(SUMPRODUCT(AS$9:AS$229,Nutrients!$EW$8:$EW$228)+(IF($A$7=Nutrients!$B$8,Nutrients!$EW$8,Nutrients!$EW$9)*AS$7)+(((IF($A$8=Nutrients!$B$79,Nutrients!$EW$79,(IF($A$8=Nutrients!$B$77,Nutrients!$EW$77,Nutrients!$EW$78)))))*AS$8))</f>
        <v>18</v>
      </c>
      <c r="AT332" s="21">
        <f>(SUMPRODUCT(AT$9:AT$229,Nutrients!$EW$8:$EW$228)+(IF($A$7=Nutrients!$B$8,Nutrients!$EW$8,Nutrients!$EW$9)*AT$7)+(((IF($A$8=Nutrients!$B$79,Nutrients!$EW$79,(IF($A$8=Nutrients!$B$77,Nutrients!$EW$77,Nutrients!$EW$78)))))*AT$8))</f>
        <v>15</v>
      </c>
      <c r="AU332" s="21">
        <f>(SUMPRODUCT(AU$9:AU$229,Nutrients!$EW$8:$EW$228)+(IF($A$7=Nutrients!$B$8,Nutrients!$EW$8,Nutrients!$EW$9)*AU$7)+(((IF($A$8=Nutrients!$B$79,Nutrients!$EW$79,(IF($A$8=Nutrients!$B$77,Nutrients!$EW$77,Nutrients!$EW$78)))))*AU$8))</f>
        <v>12</v>
      </c>
      <c r="AV332" s="21">
        <f>(SUMPRODUCT(AV$9:AV$229,Nutrients!$EW$8:$EW$228)+(IF($A$7=Nutrients!$B$8,Nutrients!$EW$8,Nutrients!$EW$9)*AV$7)+(((IF($A$8=Nutrients!$B$79,Nutrients!$EW$79,(IF($A$8=Nutrients!$B$77,Nutrients!$EW$77,Nutrients!$EW$78)))))*AV$8))</f>
        <v>9</v>
      </c>
      <c r="AW332" s="21">
        <f>(SUMPRODUCT(AW$9:AW$229,Nutrients!$EW$8:$EW$228)+(IF($A$7=Nutrients!$B$8,Nutrients!$EW$8,Nutrients!$EW$9)*AW$7)+(((IF($A$8=Nutrients!$B$79,Nutrients!$EW$79,(IF($A$8=Nutrients!$B$77,Nutrients!$EW$77,Nutrients!$EW$78)))))*AW$8))</f>
        <v>9</v>
      </c>
    </row>
    <row r="333" spans="1:49" x14ac:dyDescent="0.25">
      <c r="A333" s="34" t="s">
        <v>126</v>
      </c>
      <c r="B333" s="21">
        <f>(SUMPRODUCT(B$9:B$229,Nutrients!$EX$8:$EX$228)+(IF($A$7=Nutrients!$B$8,Nutrients!$EX$8,Nutrients!$EX$9)*B$7)+(((IF($A$8=Nutrients!$B$79,Nutrients!$EX$79,(IF($A$8=Nutrients!$B$77,Nutrients!$EX$77,Nutrients!$EX$78)))))*B$8))</f>
        <v>27000</v>
      </c>
      <c r="C333" s="21">
        <f>(SUMPRODUCT(C$9:C$229,Nutrients!$EX$8:$EX$228)+(IF($A$7=Nutrients!$B$8,Nutrients!$EX$8,Nutrients!$EX$9)*C$7)+(((IF($A$8=Nutrients!$B$79,Nutrients!$EX$79,(IF($A$8=Nutrients!$B$77,Nutrients!$EX$77,Nutrients!$EX$78)))))*C$8))</f>
        <v>27000</v>
      </c>
      <c r="D333" s="21">
        <f>(SUMPRODUCT(D$9:D$229,Nutrients!$EX$8:$EX$228)+(IF($A$7=Nutrients!$B$8,Nutrients!$EX$8,Nutrients!$EX$9)*D$7)+(((IF($A$8=Nutrients!$B$79,Nutrients!$EX$79,(IF($A$8=Nutrients!$B$77,Nutrients!$EX$77,Nutrients!$EX$78)))))*D$8))</f>
        <v>22500</v>
      </c>
      <c r="E333" s="21">
        <f>(SUMPRODUCT(E$9:E$229,Nutrients!$EX$8:$EX$228)+(IF($A$7=Nutrients!$B$8,Nutrients!$EX$8,Nutrients!$EX$9)*E$7)+(((IF($A$8=Nutrients!$B$79,Nutrients!$EX$79,(IF($A$8=Nutrients!$B$77,Nutrients!$EX$77,Nutrients!$EX$78)))))*E$8))</f>
        <v>18000</v>
      </c>
      <c r="F333" s="21">
        <f>(SUMPRODUCT(F$9:F$229,Nutrients!$EX$8:$EX$228)+(IF($A$7=Nutrients!$B$8,Nutrients!$EX$8,Nutrients!$EX$9)*F$7)+(((IF($A$8=Nutrients!$B$79,Nutrients!$EX$79,(IF($A$8=Nutrients!$B$77,Nutrients!$EX$77,Nutrients!$EX$78)))))*F$8))</f>
        <v>13500</v>
      </c>
      <c r="G333" s="21">
        <f>(SUMPRODUCT(G$9:G$229,Nutrients!$EX$8:$EX$228)+(IF($A$7=Nutrients!$B$8,Nutrients!$EX$8,Nutrients!$EX$9)*G$7)+(((IF($A$8=Nutrients!$B$79,Nutrients!$EX$79,(IF($A$8=Nutrients!$B$77,Nutrients!$EX$77,Nutrients!$EX$78)))))*G$8))</f>
        <v>13500</v>
      </c>
      <c r="H333" s="226"/>
      <c r="I333" s="21">
        <f>(SUMPRODUCT(I$9:I$229,Nutrients!$EX$8:$EX$228)+(IF($A$7=Nutrients!$B$8,Nutrients!$EX$8,Nutrients!$EX$9)*I$7)+(((IF($A$8=Nutrients!$B$79,Nutrients!$EX$79,(IF($A$8=Nutrients!$B$77,Nutrients!$EX$77,Nutrients!$EX$78)))))*I$8))</f>
        <v>27000</v>
      </c>
      <c r="J333" s="21">
        <f>(SUMPRODUCT(J$9:J$229,Nutrients!$EX$8:$EX$228)+(IF($A$7=Nutrients!$B$8,Nutrients!$EX$8,Nutrients!$EX$9)*J$7)+(((IF($A$8=Nutrients!$B$79,Nutrients!$EX$79,(IF($A$8=Nutrients!$B$77,Nutrients!$EX$77,Nutrients!$EX$78)))))*J$8))</f>
        <v>27000</v>
      </c>
      <c r="K333" s="21">
        <f>(SUMPRODUCT(K$9:K$229,Nutrients!$EX$8:$EX$228)+(IF($A$7=Nutrients!$B$8,Nutrients!$EX$8,Nutrients!$EX$9)*K$7)+(((IF($A$8=Nutrients!$B$79,Nutrients!$EX$79,(IF($A$8=Nutrients!$B$77,Nutrients!$EX$77,Nutrients!$EX$78)))))*K$8))</f>
        <v>22500</v>
      </c>
      <c r="L333" s="21">
        <f>(SUMPRODUCT(L$9:L$229,Nutrients!$EX$8:$EX$228)+(IF($A$7=Nutrients!$B$8,Nutrients!$EX$8,Nutrients!$EX$9)*L$7)+(((IF($A$8=Nutrients!$B$79,Nutrients!$EX$79,(IF($A$8=Nutrients!$B$77,Nutrients!$EX$77,Nutrients!$EX$78)))))*L$8))</f>
        <v>18000</v>
      </c>
      <c r="M333" s="21">
        <f>(SUMPRODUCT(M$9:M$229,Nutrients!$EX$8:$EX$228)+(IF($A$7=Nutrients!$B$8,Nutrients!$EX$8,Nutrients!$EX$9)*M$7)+(((IF($A$8=Nutrients!$B$79,Nutrients!$EX$79,(IF($A$8=Nutrients!$B$77,Nutrients!$EX$77,Nutrients!$EX$78)))))*M$8))</f>
        <v>13500</v>
      </c>
      <c r="N333" s="21">
        <f>(SUMPRODUCT(N$9:N$229,Nutrients!$EX$8:$EX$228)+(IF($A$7=Nutrients!$B$8,Nutrients!$EX$8,Nutrients!$EX$9)*N$7)+(((IF($A$8=Nutrients!$B$79,Nutrients!$EX$79,(IF($A$8=Nutrients!$B$77,Nutrients!$EX$77,Nutrients!$EX$78)))))*N$8))</f>
        <v>13500</v>
      </c>
      <c r="O333" s="234"/>
      <c r="P333" s="21">
        <f>(SUMPRODUCT(P$9:P$229,Nutrients!$EX$8:$EX$228)+(IF($A$7=Nutrients!$B$8,Nutrients!$EX$8,Nutrients!$EX$9)*P$7)+(((IF($A$8=Nutrients!$B$79,Nutrients!$EX$79,(IF($A$8=Nutrients!$B$77,Nutrients!$EX$77,Nutrients!$EX$78)))))*P$8))</f>
        <v>27000</v>
      </c>
      <c r="Q333" s="21">
        <f>(SUMPRODUCT(Q$9:Q$229,Nutrients!$EX$8:$EX$228)+(IF($A$7=Nutrients!$B$8,Nutrients!$EX$8,Nutrients!$EX$9)*Q$7)+(((IF($A$8=Nutrients!$B$79,Nutrients!$EX$79,(IF($A$8=Nutrients!$B$77,Nutrients!$EX$77,Nutrients!$EX$78)))))*Q$8))</f>
        <v>27000</v>
      </c>
      <c r="R333" s="21">
        <f>(SUMPRODUCT(R$9:R$229,Nutrients!$EX$8:$EX$228)+(IF($A$7=Nutrients!$B$8,Nutrients!$EX$8,Nutrients!$EX$9)*R$7)+(((IF($A$8=Nutrients!$B$79,Nutrients!$EX$79,(IF($A$8=Nutrients!$B$77,Nutrients!$EX$77,Nutrients!$EX$78)))))*R$8))</f>
        <v>22500</v>
      </c>
      <c r="S333" s="21">
        <f>(SUMPRODUCT(S$9:S$229,Nutrients!$EX$8:$EX$228)+(IF($A$7=Nutrients!$B$8,Nutrients!$EX$8,Nutrients!$EX$9)*S$7)+(((IF($A$8=Nutrients!$B$79,Nutrients!$EX$79,(IF($A$8=Nutrients!$B$77,Nutrients!$EX$77,Nutrients!$EX$78)))))*S$8))</f>
        <v>18000</v>
      </c>
      <c r="T333" s="21">
        <f>(SUMPRODUCT(T$9:T$229,Nutrients!$EX$8:$EX$228)+(IF($A$7=Nutrients!$B$8,Nutrients!$EX$8,Nutrients!$EX$9)*T$7)+(((IF($A$8=Nutrients!$B$79,Nutrients!$EX$79,(IF($A$8=Nutrients!$B$77,Nutrients!$EX$77,Nutrients!$EX$78)))))*T$8))</f>
        <v>13500</v>
      </c>
      <c r="U333" s="21">
        <f>(SUMPRODUCT(U$9:U$229,Nutrients!$EX$8:$EX$228)+(IF($A$7=Nutrients!$B$8,Nutrients!$EX$8,Nutrients!$EX$9)*U$7)+(((IF($A$8=Nutrients!$B$79,Nutrients!$EX$79,(IF($A$8=Nutrients!$B$77,Nutrients!$EX$77,Nutrients!$EX$78)))))*U$8))</f>
        <v>13500</v>
      </c>
      <c r="W333" s="21">
        <f>(SUMPRODUCT(W$9:W$229,Nutrients!$EX$8:$EX$228)+(IF($A$7=Nutrients!$B$8,Nutrients!$EX$8,Nutrients!$EX$9)*W$7)+(((IF($A$8=Nutrients!$B$79,Nutrients!$EX$79,(IF($A$8=Nutrients!$B$77,Nutrients!$EX$77,Nutrients!$EX$78)))))*W$8))</f>
        <v>27000</v>
      </c>
      <c r="X333" s="21">
        <f>(SUMPRODUCT(X$9:X$229,Nutrients!$EX$8:$EX$228)+(IF($A$7=Nutrients!$B$8,Nutrients!$EX$8,Nutrients!$EX$9)*X$7)+(((IF($A$8=Nutrients!$B$79,Nutrients!$EX$79,(IF($A$8=Nutrients!$B$77,Nutrients!$EX$77,Nutrients!$EX$78)))))*X$8))</f>
        <v>27000</v>
      </c>
      <c r="Y333" s="21">
        <f>(SUMPRODUCT(Y$9:Y$229,Nutrients!$EX$8:$EX$228)+(IF($A$7=Nutrients!$B$8,Nutrients!$EX$8,Nutrients!$EX$9)*Y$7)+(((IF($A$8=Nutrients!$B$79,Nutrients!$EX$79,(IF($A$8=Nutrients!$B$77,Nutrients!$EX$77,Nutrients!$EX$78)))))*Y$8))</f>
        <v>22500</v>
      </c>
      <c r="Z333" s="21">
        <f>(SUMPRODUCT(Z$9:Z$229,Nutrients!$EX$8:$EX$228)+(IF($A$7=Nutrients!$B$8,Nutrients!$EX$8,Nutrients!$EX$9)*Z$7)+(((IF($A$8=Nutrients!$B$79,Nutrients!$EX$79,(IF($A$8=Nutrients!$B$77,Nutrients!$EX$77,Nutrients!$EX$78)))))*Z$8))</f>
        <v>18000</v>
      </c>
      <c r="AA333" s="21">
        <f>(SUMPRODUCT(AA$9:AA$229,Nutrients!$EX$8:$EX$228)+(IF($A$7=Nutrients!$B$8,Nutrients!$EX$8,Nutrients!$EX$9)*AA$7)+(((IF($A$8=Nutrients!$B$79,Nutrients!$EX$79,(IF($A$8=Nutrients!$B$77,Nutrients!$EX$77,Nutrients!$EX$78)))))*AA$8))</f>
        <v>13500</v>
      </c>
      <c r="AB333" s="21">
        <f>(SUMPRODUCT(AB$9:AB$229,Nutrients!$EX$8:$EX$228)+(IF($A$7=Nutrients!$B$8,Nutrients!$EX$8,Nutrients!$EX$9)*AB$7)+(((IF($A$8=Nutrients!$B$79,Nutrients!$EX$79,(IF($A$8=Nutrients!$B$77,Nutrients!$EX$77,Nutrients!$EX$78)))))*AB$8))</f>
        <v>13500</v>
      </c>
      <c r="AD333" s="21">
        <f>(SUMPRODUCT(AD$9:AD$229,Nutrients!$EX$8:$EX$228)+(IF($A$7=Nutrients!$B$8,Nutrients!$EX$8,Nutrients!$EX$9)*AD$7)+(((IF($A$8=Nutrients!$B$79,Nutrients!$EX$79,(IF($A$8=Nutrients!$B$77,Nutrients!$EX$77,Nutrients!$EX$78)))))*AD$8))</f>
        <v>27000</v>
      </c>
      <c r="AE333" s="21">
        <f>(SUMPRODUCT(AE$9:AE$229,Nutrients!$EX$8:$EX$228)+(IF($A$7=Nutrients!$B$8,Nutrients!$EX$8,Nutrients!$EX$9)*AE$7)+(((IF($A$8=Nutrients!$B$79,Nutrients!$EX$79,(IF($A$8=Nutrients!$B$77,Nutrients!$EX$77,Nutrients!$EX$78)))))*AE$8))</f>
        <v>27000</v>
      </c>
      <c r="AF333" s="21">
        <f>(SUMPRODUCT(AF$9:AF$229,Nutrients!$EX$8:$EX$228)+(IF($A$7=Nutrients!$B$8,Nutrients!$EX$8,Nutrients!$EX$9)*AF$7)+(((IF($A$8=Nutrients!$B$79,Nutrients!$EX$79,(IF($A$8=Nutrients!$B$77,Nutrients!$EX$77,Nutrients!$EX$78)))))*AF$8))</f>
        <v>22500</v>
      </c>
      <c r="AG333" s="21">
        <f>(SUMPRODUCT(AG$9:AG$229,Nutrients!$EX$8:$EX$228)+(IF($A$7=Nutrients!$B$8,Nutrients!$EX$8,Nutrients!$EX$9)*AG$7)+(((IF($A$8=Nutrients!$B$79,Nutrients!$EX$79,(IF($A$8=Nutrients!$B$77,Nutrients!$EX$77,Nutrients!$EX$78)))))*AG$8))</f>
        <v>18000</v>
      </c>
      <c r="AH333" s="21">
        <f>(SUMPRODUCT(AH$9:AH$229,Nutrients!$EX$8:$EX$228)+(IF($A$7=Nutrients!$B$8,Nutrients!$EX$8,Nutrients!$EX$9)*AH$7)+(((IF($A$8=Nutrients!$B$79,Nutrients!$EX$79,(IF($A$8=Nutrients!$B$77,Nutrients!$EX$77,Nutrients!$EX$78)))))*AH$8))</f>
        <v>13500</v>
      </c>
      <c r="AI333" s="21">
        <f>(SUMPRODUCT(AI$9:AI$229,Nutrients!$EX$8:$EX$228)+(IF($A$7=Nutrients!$B$8,Nutrients!$EX$8,Nutrients!$EX$9)*AI$7)+(((IF($A$8=Nutrients!$B$79,Nutrients!$EX$79,(IF($A$8=Nutrients!$B$77,Nutrients!$EX$77,Nutrients!$EX$78)))))*AI$8))</f>
        <v>13500</v>
      </c>
      <c r="AK333" s="21">
        <f>(SUMPRODUCT(AK$9:AK$229,Nutrients!$EX$8:$EX$228)+(IF($A$7=Nutrients!$B$8,Nutrients!$EX$8,Nutrients!$EX$9)*AK$7)+(((IF($A$8=Nutrients!$B$79,Nutrients!$EX$79,(IF($A$8=Nutrients!$B$77,Nutrients!$EX$77,Nutrients!$EX$78)))))*AK$8))</f>
        <v>27000</v>
      </c>
      <c r="AL333" s="21">
        <f>(SUMPRODUCT(AL$9:AL$229,Nutrients!$EX$8:$EX$228)+(IF($A$7=Nutrients!$B$8,Nutrients!$EX$8,Nutrients!$EX$9)*AL$7)+(((IF($A$8=Nutrients!$B$79,Nutrients!$EX$79,(IF($A$8=Nutrients!$B$77,Nutrients!$EX$77,Nutrients!$EX$78)))))*AL$8))</f>
        <v>27000</v>
      </c>
      <c r="AM333" s="21">
        <f>(SUMPRODUCT(AM$9:AM$229,Nutrients!$EX$8:$EX$228)+(IF($A$7=Nutrients!$B$8,Nutrients!$EX$8,Nutrients!$EX$9)*AM$7)+(((IF($A$8=Nutrients!$B$79,Nutrients!$EX$79,(IF($A$8=Nutrients!$B$77,Nutrients!$EX$77,Nutrients!$EX$78)))))*AM$8))</f>
        <v>22500</v>
      </c>
      <c r="AN333" s="21">
        <f>(SUMPRODUCT(AN$9:AN$229,Nutrients!$EX$8:$EX$228)+(IF($A$7=Nutrients!$B$8,Nutrients!$EX$8,Nutrients!$EX$9)*AN$7)+(((IF($A$8=Nutrients!$B$79,Nutrients!$EX$79,(IF($A$8=Nutrients!$B$77,Nutrients!$EX$77,Nutrients!$EX$78)))))*AN$8))</f>
        <v>18000</v>
      </c>
      <c r="AO333" s="21">
        <f>(SUMPRODUCT(AO$9:AO$229,Nutrients!$EX$8:$EX$228)+(IF($A$7=Nutrients!$B$8,Nutrients!$EX$8,Nutrients!$EX$9)*AO$7)+(((IF($A$8=Nutrients!$B$79,Nutrients!$EX$79,(IF($A$8=Nutrients!$B$77,Nutrients!$EX$77,Nutrients!$EX$78)))))*AO$8))</f>
        <v>13500</v>
      </c>
      <c r="AP333" s="21">
        <f>(SUMPRODUCT(AP$9:AP$229,Nutrients!$EX$8:$EX$228)+(IF($A$7=Nutrients!$B$8,Nutrients!$EX$8,Nutrients!$EX$9)*AP$7)+(((IF($A$8=Nutrients!$B$79,Nutrients!$EX$79,(IF($A$8=Nutrients!$B$77,Nutrients!$EX$77,Nutrients!$EX$78)))))*AP$8))</f>
        <v>13500</v>
      </c>
      <c r="AR333" s="21">
        <f>(SUMPRODUCT(AR$9:AR$229,Nutrients!$EX$8:$EX$228)+(IF($A$7=Nutrients!$B$8,Nutrients!$EX$8,Nutrients!$EX$9)*AR$7)+(((IF($A$8=Nutrients!$B$79,Nutrients!$EX$79,(IF($A$8=Nutrients!$B$77,Nutrients!$EX$77,Nutrients!$EX$78)))))*AR$8))</f>
        <v>27000</v>
      </c>
      <c r="AS333" s="21">
        <f>(SUMPRODUCT(AS$9:AS$229,Nutrients!$EX$8:$EX$228)+(IF($A$7=Nutrients!$B$8,Nutrients!$EX$8,Nutrients!$EX$9)*AS$7)+(((IF($A$8=Nutrients!$B$79,Nutrients!$EX$79,(IF($A$8=Nutrients!$B$77,Nutrients!$EX$77,Nutrients!$EX$78)))))*AS$8))</f>
        <v>27000</v>
      </c>
      <c r="AT333" s="21">
        <f>(SUMPRODUCT(AT$9:AT$229,Nutrients!$EX$8:$EX$228)+(IF($A$7=Nutrients!$B$8,Nutrients!$EX$8,Nutrients!$EX$9)*AT$7)+(((IF($A$8=Nutrients!$B$79,Nutrients!$EX$79,(IF($A$8=Nutrients!$B$77,Nutrients!$EX$77,Nutrients!$EX$78)))))*AT$8))</f>
        <v>22500</v>
      </c>
      <c r="AU333" s="21">
        <f>(SUMPRODUCT(AU$9:AU$229,Nutrients!$EX$8:$EX$228)+(IF($A$7=Nutrients!$B$8,Nutrients!$EX$8,Nutrients!$EX$9)*AU$7)+(((IF($A$8=Nutrients!$B$79,Nutrients!$EX$79,(IF($A$8=Nutrients!$B$77,Nutrients!$EX$77,Nutrients!$EX$78)))))*AU$8))</f>
        <v>18000</v>
      </c>
      <c r="AV333" s="21">
        <f>(SUMPRODUCT(AV$9:AV$229,Nutrients!$EX$8:$EX$228)+(IF($A$7=Nutrients!$B$8,Nutrients!$EX$8,Nutrients!$EX$9)*AV$7)+(((IF($A$8=Nutrients!$B$79,Nutrients!$EX$79,(IF($A$8=Nutrients!$B$77,Nutrients!$EX$77,Nutrients!$EX$78)))))*AV$8))</f>
        <v>13500</v>
      </c>
      <c r="AW333" s="21">
        <f>(SUMPRODUCT(AW$9:AW$229,Nutrients!$EX$8:$EX$228)+(IF($A$7=Nutrients!$B$8,Nutrients!$EX$8,Nutrients!$EX$9)*AW$7)+(((IF($A$8=Nutrients!$B$79,Nutrients!$EX$79,(IF($A$8=Nutrients!$B$77,Nutrients!$EX$77,Nutrients!$EX$78)))))*AW$8))</f>
        <v>13500</v>
      </c>
    </row>
    <row r="334" spans="1:49" x14ac:dyDescent="0.25">
      <c r="A334" s="34" t="s">
        <v>127</v>
      </c>
      <c r="B334" s="21">
        <f>(SUMPRODUCT(B$9:B$229,Nutrients!$EY$8:$EY$228)+(IF($A$7=Nutrients!$B$8,Nutrients!$EY$8,Nutrients!$EY$9)*B$7)+(((IF($A$8=Nutrients!$B$79,Nutrients!$EY$79,(IF($A$8=Nutrients!$B$77,Nutrients!$EY$77,Nutrients!$EY$78)))))*B$8))</f>
        <v>15000</v>
      </c>
      <c r="C334" s="21">
        <f>(SUMPRODUCT(C$9:C$229,Nutrients!$EY$8:$EY$228)+(IF($A$7=Nutrients!$B$8,Nutrients!$EY$8,Nutrients!$EY$9)*C$7)+(((IF($A$8=Nutrients!$B$79,Nutrients!$EY$79,(IF($A$8=Nutrients!$B$77,Nutrients!$EY$77,Nutrients!$EY$78)))))*C$8))</f>
        <v>15000</v>
      </c>
      <c r="D334" s="21">
        <f>(SUMPRODUCT(D$9:D$229,Nutrients!$EY$8:$EY$228)+(IF($A$7=Nutrients!$B$8,Nutrients!$EY$8,Nutrients!$EY$9)*D$7)+(((IF($A$8=Nutrients!$B$79,Nutrients!$EY$79,(IF($A$8=Nutrients!$B$77,Nutrients!$EY$77,Nutrients!$EY$78)))))*D$8))</f>
        <v>12500</v>
      </c>
      <c r="E334" s="21">
        <f>(SUMPRODUCT(E$9:E$229,Nutrients!$EY$8:$EY$228)+(IF($A$7=Nutrients!$B$8,Nutrients!$EY$8,Nutrients!$EY$9)*E$7)+(((IF($A$8=Nutrients!$B$79,Nutrients!$EY$79,(IF($A$8=Nutrients!$B$77,Nutrients!$EY$77,Nutrients!$EY$78)))))*E$8))</f>
        <v>10000</v>
      </c>
      <c r="F334" s="21">
        <f>(SUMPRODUCT(F$9:F$229,Nutrients!$EY$8:$EY$228)+(IF($A$7=Nutrients!$B$8,Nutrients!$EY$8,Nutrients!$EY$9)*F$7)+(((IF($A$8=Nutrients!$B$79,Nutrients!$EY$79,(IF($A$8=Nutrients!$B$77,Nutrients!$EY$77,Nutrients!$EY$78)))))*F$8))</f>
        <v>7500</v>
      </c>
      <c r="G334" s="21">
        <f>(SUMPRODUCT(G$9:G$229,Nutrients!$EY$8:$EY$228)+(IF($A$7=Nutrients!$B$8,Nutrients!$EY$8,Nutrients!$EY$9)*G$7)+(((IF($A$8=Nutrients!$B$79,Nutrients!$EY$79,(IF($A$8=Nutrients!$B$77,Nutrients!$EY$77,Nutrients!$EY$78)))))*G$8))</f>
        <v>7500</v>
      </c>
      <c r="H334" s="226"/>
      <c r="I334" s="21">
        <f>(SUMPRODUCT(I$9:I$229,Nutrients!$EY$8:$EY$228)+(IF($A$7=Nutrients!$B$8,Nutrients!$EY$8,Nutrients!$EY$9)*I$7)+(((IF($A$8=Nutrients!$B$79,Nutrients!$EY$79,(IF($A$8=Nutrients!$B$77,Nutrients!$EY$77,Nutrients!$EY$78)))))*I$8))</f>
        <v>15000</v>
      </c>
      <c r="J334" s="21">
        <f>(SUMPRODUCT(J$9:J$229,Nutrients!$EY$8:$EY$228)+(IF($A$7=Nutrients!$B$8,Nutrients!$EY$8,Nutrients!$EY$9)*J$7)+(((IF($A$8=Nutrients!$B$79,Nutrients!$EY$79,(IF($A$8=Nutrients!$B$77,Nutrients!$EY$77,Nutrients!$EY$78)))))*J$8))</f>
        <v>15000</v>
      </c>
      <c r="K334" s="21">
        <f>(SUMPRODUCT(K$9:K$229,Nutrients!$EY$8:$EY$228)+(IF($A$7=Nutrients!$B$8,Nutrients!$EY$8,Nutrients!$EY$9)*K$7)+(((IF($A$8=Nutrients!$B$79,Nutrients!$EY$79,(IF($A$8=Nutrients!$B$77,Nutrients!$EY$77,Nutrients!$EY$78)))))*K$8))</f>
        <v>12500</v>
      </c>
      <c r="L334" s="21">
        <f>(SUMPRODUCT(L$9:L$229,Nutrients!$EY$8:$EY$228)+(IF($A$7=Nutrients!$B$8,Nutrients!$EY$8,Nutrients!$EY$9)*L$7)+(((IF($A$8=Nutrients!$B$79,Nutrients!$EY$79,(IF($A$8=Nutrients!$B$77,Nutrients!$EY$77,Nutrients!$EY$78)))))*L$8))</f>
        <v>10000</v>
      </c>
      <c r="M334" s="21">
        <f>(SUMPRODUCT(M$9:M$229,Nutrients!$EY$8:$EY$228)+(IF($A$7=Nutrients!$B$8,Nutrients!$EY$8,Nutrients!$EY$9)*M$7)+(((IF($A$8=Nutrients!$B$79,Nutrients!$EY$79,(IF($A$8=Nutrients!$B$77,Nutrients!$EY$77,Nutrients!$EY$78)))))*M$8))</f>
        <v>7500</v>
      </c>
      <c r="N334" s="21">
        <f>(SUMPRODUCT(N$9:N$229,Nutrients!$EY$8:$EY$228)+(IF($A$7=Nutrients!$B$8,Nutrients!$EY$8,Nutrients!$EY$9)*N$7)+(((IF($A$8=Nutrients!$B$79,Nutrients!$EY$79,(IF($A$8=Nutrients!$B$77,Nutrients!$EY$77,Nutrients!$EY$78)))))*N$8))</f>
        <v>7500</v>
      </c>
      <c r="O334" s="234"/>
      <c r="P334" s="21">
        <f>(SUMPRODUCT(P$9:P$229,Nutrients!$EY$8:$EY$228)+(IF($A$7=Nutrients!$B$8,Nutrients!$EY$8,Nutrients!$EY$9)*P$7)+(((IF($A$8=Nutrients!$B$79,Nutrients!$EY$79,(IF($A$8=Nutrients!$B$77,Nutrients!$EY$77,Nutrients!$EY$78)))))*P$8))</f>
        <v>15000</v>
      </c>
      <c r="Q334" s="21">
        <f>(SUMPRODUCT(Q$9:Q$229,Nutrients!$EY$8:$EY$228)+(IF($A$7=Nutrients!$B$8,Nutrients!$EY$8,Nutrients!$EY$9)*Q$7)+(((IF($A$8=Nutrients!$B$79,Nutrients!$EY$79,(IF($A$8=Nutrients!$B$77,Nutrients!$EY$77,Nutrients!$EY$78)))))*Q$8))</f>
        <v>15000</v>
      </c>
      <c r="R334" s="21">
        <f>(SUMPRODUCT(R$9:R$229,Nutrients!$EY$8:$EY$228)+(IF($A$7=Nutrients!$B$8,Nutrients!$EY$8,Nutrients!$EY$9)*R$7)+(((IF($A$8=Nutrients!$B$79,Nutrients!$EY$79,(IF($A$8=Nutrients!$B$77,Nutrients!$EY$77,Nutrients!$EY$78)))))*R$8))</f>
        <v>12500</v>
      </c>
      <c r="S334" s="21">
        <f>(SUMPRODUCT(S$9:S$229,Nutrients!$EY$8:$EY$228)+(IF($A$7=Nutrients!$B$8,Nutrients!$EY$8,Nutrients!$EY$9)*S$7)+(((IF($A$8=Nutrients!$B$79,Nutrients!$EY$79,(IF($A$8=Nutrients!$B$77,Nutrients!$EY$77,Nutrients!$EY$78)))))*S$8))</f>
        <v>10000</v>
      </c>
      <c r="T334" s="21">
        <f>(SUMPRODUCT(T$9:T$229,Nutrients!$EY$8:$EY$228)+(IF($A$7=Nutrients!$B$8,Nutrients!$EY$8,Nutrients!$EY$9)*T$7)+(((IF($A$8=Nutrients!$B$79,Nutrients!$EY$79,(IF($A$8=Nutrients!$B$77,Nutrients!$EY$77,Nutrients!$EY$78)))))*T$8))</f>
        <v>7500</v>
      </c>
      <c r="U334" s="21">
        <f>(SUMPRODUCT(U$9:U$229,Nutrients!$EY$8:$EY$228)+(IF($A$7=Nutrients!$B$8,Nutrients!$EY$8,Nutrients!$EY$9)*U$7)+(((IF($A$8=Nutrients!$B$79,Nutrients!$EY$79,(IF($A$8=Nutrients!$B$77,Nutrients!$EY$77,Nutrients!$EY$78)))))*U$8))</f>
        <v>7500</v>
      </c>
      <c r="W334" s="21">
        <f>(SUMPRODUCT(W$9:W$229,Nutrients!$EY$8:$EY$228)+(IF($A$7=Nutrients!$B$8,Nutrients!$EY$8,Nutrients!$EY$9)*W$7)+(((IF($A$8=Nutrients!$B$79,Nutrients!$EY$79,(IF($A$8=Nutrients!$B$77,Nutrients!$EY$77,Nutrients!$EY$78)))))*W$8))</f>
        <v>15000</v>
      </c>
      <c r="X334" s="21">
        <f>(SUMPRODUCT(X$9:X$229,Nutrients!$EY$8:$EY$228)+(IF($A$7=Nutrients!$B$8,Nutrients!$EY$8,Nutrients!$EY$9)*X$7)+(((IF($A$8=Nutrients!$B$79,Nutrients!$EY$79,(IF($A$8=Nutrients!$B$77,Nutrients!$EY$77,Nutrients!$EY$78)))))*X$8))</f>
        <v>15000</v>
      </c>
      <c r="Y334" s="21">
        <f>(SUMPRODUCT(Y$9:Y$229,Nutrients!$EY$8:$EY$228)+(IF($A$7=Nutrients!$B$8,Nutrients!$EY$8,Nutrients!$EY$9)*Y$7)+(((IF($A$8=Nutrients!$B$79,Nutrients!$EY$79,(IF($A$8=Nutrients!$B$77,Nutrients!$EY$77,Nutrients!$EY$78)))))*Y$8))</f>
        <v>12500</v>
      </c>
      <c r="Z334" s="21">
        <f>(SUMPRODUCT(Z$9:Z$229,Nutrients!$EY$8:$EY$228)+(IF($A$7=Nutrients!$B$8,Nutrients!$EY$8,Nutrients!$EY$9)*Z$7)+(((IF($A$8=Nutrients!$B$79,Nutrients!$EY$79,(IF($A$8=Nutrients!$B$77,Nutrients!$EY$77,Nutrients!$EY$78)))))*Z$8))</f>
        <v>10000</v>
      </c>
      <c r="AA334" s="21">
        <f>(SUMPRODUCT(AA$9:AA$229,Nutrients!$EY$8:$EY$228)+(IF($A$7=Nutrients!$B$8,Nutrients!$EY$8,Nutrients!$EY$9)*AA$7)+(((IF($A$8=Nutrients!$B$79,Nutrients!$EY$79,(IF($A$8=Nutrients!$B$77,Nutrients!$EY$77,Nutrients!$EY$78)))))*AA$8))</f>
        <v>7500</v>
      </c>
      <c r="AB334" s="21">
        <f>(SUMPRODUCT(AB$9:AB$229,Nutrients!$EY$8:$EY$228)+(IF($A$7=Nutrients!$B$8,Nutrients!$EY$8,Nutrients!$EY$9)*AB$7)+(((IF($A$8=Nutrients!$B$79,Nutrients!$EY$79,(IF($A$8=Nutrients!$B$77,Nutrients!$EY$77,Nutrients!$EY$78)))))*AB$8))</f>
        <v>7500</v>
      </c>
      <c r="AD334" s="21">
        <f>(SUMPRODUCT(AD$9:AD$229,Nutrients!$EY$8:$EY$228)+(IF($A$7=Nutrients!$B$8,Nutrients!$EY$8,Nutrients!$EY$9)*AD$7)+(((IF($A$8=Nutrients!$B$79,Nutrients!$EY$79,(IF($A$8=Nutrients!$B$77,Nutrients!$EY$77,Nutrients!$EY$78)))))*AD$8))</f>
        <v>15000</v>
      </c>
      <c r="AE334" s="21">
        <f>(SUMPRODUCT(AE$9:AE$229,Nutrients!$EY$8:$EY$228)+(IF($A$7=Nutrients!$B$8,Nutrients!$EY$8,Nutrients!$EY$9)*AE$7)+(((IF($A$8=Nutrients!$B$79,Nutrients!$EY$79,(IF($A$8=Nutrients!$B$77,Nutrients!$EY$77,Nutrients!$EY$78)))))*AE$8))</f>
        <v>15000</v>
      </c>
      <c r="AF334" s="21">
        <f>(SUMPRODUCT(AF$9:AF$229,Nutrients!$EY$8:$EY$228)+(IF($A$7=Nutrients!$B$8,Nutrients!$EY$8,Nutrients!$EY$9)*AF$7)+(((IF($A$8=Nutrients!$B$79,Nutrients!$EY$79,(IF($A$8=Nutrients!$B$77,Nutrients!$EY$77,Nutrients!$EY$78)))))*AF$8))</f>
        <v>12500</v>
      </c>
      <c r="AG334" s="21">
        <f>(SUMPRODUCT(AG$9:AG$229,Nutrients!$EY$8:$EY$228)+(IF($A$7=Nutrients!$B$8,Nutrients!$EY$8,Nutrients!$EY$9)*AG$7)+(((IF($A$8=Nutrients!$B$79,Nutrients!$EY$79,(IF($A$8=Nutrients!$B$77,Nutrients!$EY$77,Nutrients!$EY$78)))))*AG$8))</f>
        <v>10000</v>
      </c>
      <c r="AH334" s="21">
        <f>(SUMPRODUCT(AH$9:AH$229,Nutrients!$EY$8:$EY$228)+(IF($A$7=Nutrients!$B$8,Nutrients!$EY$8,Nutrients!$EY$9)*AH$7)+(((IF($A$8=Nutrients!$B$79,Nutrients!$EY$79,(IF($A$8=Nutrients!$B$77,Nutrients!$EY$77,Nutrients!$EY$78)))))*AH$8))</f>
        <v>7500</v>
      </c>
      <c r="AI334" s="21">
        <f>(SUMPRODUCT(AI$9:AI$229,Nutrients!$EY$8:$EY$228)+(IF($A$7=Nutrients!$B$8,Nutrients!$EY$8,Nutrients!$EY$9)*AI$7)+(((IF($A$8=Nutrients!$B$79,Nutrients!$EY$79,(IF($A$8=Nutrients!$B$77,Nutrients!$EY$77,Nutrients!$EY$78)))))*AI$8))</f>
        <v>7500</v>
      </c>
      <c r="AK334" s="21">
        <f>(SUMPRODUCT(AK$9:AK$229,Nutrients!$EY$8:$EY$228)+(IF($A$7=Nutrients!$B$8,Nutrients!$EY$8,Nutrients!$EY$9)*AK$7)+(((IF($A$8=Nutrients!$B$79,Nutrients!$EY$79,(IF($A$8=Nutrients!$B$77,Nutrients!$EY$77,Nutrients!$EY$78)))))*AK$8))</f>
        <v>15000</v>
      </c>
      <c r="AL334" s="21">
        <f>(SUMPRODUCT(AL$9:AL$229,Nutrients!$EY$8:$EY$228)+(IF($A$7=Nutrients!$B$8,Nutrients!$EY$8,Nutrients!$EY$9)*AL$7)+(((IF($A$8=Nutrients!$B$79,Nutrients!$EY$79,(IF($A$8=Nutrients!$B$77,Nutrients!$EY$77,Nutrients!$EY$78)))))*AL$8))</f>
        <v>15000</v>
      </c>
      <c r="AM334" s="21">
        <f>(SUMPRODUCT(AM$9:AM$229,Nutrients!$EY$8:$EY$228)+(IF($A$7=Nutrients!$B$8,Nutrients!$EY$8,Nutrients!$EY$9)*AM$7)+(((IF($A$8=Nutrients!$B$79,Nutrients!$EY$79,(IF($A$8=Nutrients!$B$77,Nutrients!$EY$77,Nutrients!$EY$78)))))*AM$8))</f>
        <v>12500</v>
      </c>
      <c r="AN334" s="21">
        <f>(SUMPRODUCT(AN$9:AN$229,Nutrients!$EY$8:$EY$228)+(IF($A$7=Nutrients!$B$8,Nutrients!$EY$8,Nutrients!$EY$9)*AN$7)+(((IF($A$8=Nutrients!$B$79,Nutrients!$EY$79,(IF($A$8=Nutrients!$B$77,Nutrients!$EY$77,Nutrients!$EY$78)))))*AN$8))</f>
        <v>10000</v>
      </c>
      <c r="AO334" s="21">
        <f>(SUMPRODUCT(AO$9:AO$229,Nutrients!$EY$8:$EY$228)+(IF($A$7=Nutrients!$B$8,Nutrients!$EY$8,Nutrients!$EY$9)*AO$7)+(((IF($A$8=Nutrients!$B$79,Nutrients!$EY$79,(IF($A$8=Nutrients!$B$77,Nutrients!$EY$77,Nutrients!$EY$78)))))*AO$8))</f>
        <v>7500</v>
      </c>
      <c r="AP334" s="21">
        <f>(SUMPRODUCT(AP$9:AP$229,Nutrients!$EY$8:$EY$228)+(IF($A$7=Nutrients!$B$8,Nutrients!$EY$8,Nutrients!$EY$9)*AP$7)+(((IF($A$8=Nutrients!$B$79,Nutrients!$EY$79,(IF($A$8=Nutrients!$B$77,Nutrients!$EY$77,Nutrients!$EY$78)))))*AP$8))</f>
        <v>7500</v>
      </c>
      <c r="AR334" s="21">
        <f>(SUMPRODUCT(AR$9:AR$229,Nutrients!$EY$8:$EY$228)+(IF($A$7=Nutrients!$B$8,Nutrients!$EY$8,Nutrients!$EY$9)*AR$7)+(((IF($A$8=Nutrients!$B$79,Nutrients!$EY$79,(IF($A$8=Nutrients!$B$77,Nutrients!$EY$77,Nutrients!$EY$78)))))*AR$8))</f>
        <v>15000</v>
      </c>
      <c r="AS334" s="21">
        <f>(SUMPRODUCT(AS$9:AS$229,Nutrients!$EY$8:$EY$228)+(IF($A$7=Nutrients!$B$8,Nutrients!$EY$8,Nutrients!$EY$9)*AS$7)+(((IF($A$8=Nutrients!$B$79,Nutrients!$EY$79,(IF($A$8=Nutrients!$B$77,Nutrients!$EY$77,Nutrients!$EY$78)))))*AS$8))</f>
        <v>15000</v>
      </c>
      <c r="AT334" s="21">
        <f>(SUMPRODUCT(AT$9:AT$229,Nutrients!$EY$8:$EY$228)+(IF($A$7=Nutrients!$B$8,Nutrients!$EY$8,Nutrients!$EY$9)*AT$7)+(((IF($A$8=Nutrients!$B$79,Nutrients!$EY$79,(IF($A$8=Nutrients!$B$77,Nutrients!$EY$77,Nutrients!$EY$78)))))*AT$8))</f>
        <v>12500</v>
      </c>
      <c r="AU334" s="21">
        <f>(SUMPRODUCT(AU$9:AU$229,Nutrients!$EY$8:$EY$228)+(IF($A$7=Nutrients!$B$8,Nutrients!$EY$8,Nutrients!$EY$9)*AU$7)+(((IF($A$8=Nutrients!$B$79,Nutrients!$EY$79,(IF($A$8=Nutrients!$B$77,Nutrients!$EY$77,Nutrients!$EY$78)))))*AU$8))</f>
        <v>10000</v>
      </c>
      <c r="AV334" s="21">
        <f>(SUMPRODUCT(AV$9:AV$229,Nutrients!$EY$8:$EY$228)+(IF($A$7=Nutrients!$B$8,Nutrients!$EY$8,Nutrients!$EY$9)*AV$7)+(((IF($A$8=Nutrients!$B$79,Nutrients!$EY$79,(IF($A$8=Nutrients!$B$77,Nutrients!$EY$77,Nutrients!$EY$78)))))*AV$8))</f>
        <v>7500</v>
      </c>
      <c r="AW334" s="21">
        <f>(SUMPRODUCT(AW$9:AW$229,Nutrients!$EY$8:$EY$228)+(IF($A$7=Nutrients!$B$8,Nutrients!$EY$8,Nutrients!$EY$9)*AW$7)+(((IF($A$8=Nutrients!$B$79,Nutrients!$EY$79,(IF($A$8=Nutrients!$B$77,Nutrients!$EY$77,Nutrients!$EY$78)))))*AW$8))</f>
        <v>7500</v>
      </c>
    </row>
    <row r="335" spans="1:49" x14ac:dyDescent="0.25">
      <c r="A335" s="34" t="s">
        <v>128</v>
      </c>
      <c r="B335" s="21">
        <f>(SUMPRODUCT(B$9:B$229,Nutrients!$EZ$8:$EZ$228)+(IF($A$7=Nutrients!$B$8,Nutrients!$EZ$8,Nutrients!$EZ$9)*B$7)+(((IF($A$8=Nutrients!$B$79,Nutrients!$EZ$79,(IF($A$8=Nutrients!$B$77,Nutrients!$EZ$77,Nutrients!$EZ$78)))))*B$8))</f>
        <v>4500</v>
      </c>
      <c r="C335" s="21">
        <f>(SUMPRODUCT(C$9:C$229,Nutrients!$EZ$8:$EZ$228)+(IF($A$7=Nutrients!$B$8,Nutrients!$EZ$8,Nutrients!$EZ$9)*C$7)+(((IF($A$8=Nutrients!$B$79,Nutrients!$EZ$79,(IF($A$8=Nutrients!$B$77,Nutrients!$EZ$77,Nutrients!$EZ$78)))))*C$8))</f>
        <v>4500</v>
      </c>
      <c r="D335" s="21">
        <f>(SUMPRODUCT(D$9:D$229,Nutrients!$EZ$8:$EZ$228)+(IF($A$7=Nutrients!$B$8,Nutrients!$EZ$8,Nutrients!$EZ$9)*D$7)+(((IF($A$8=Nutrients!$B$79,Nutrients!$EZ$79,(IF($A$8=Nutrients!$B$77,Nutrients!$EZ$77,Nutrients!$EZ$78)))))*D$8))</f>
        <v>3750</v>
      </c>
      <c r="E335" s="21">
        <f>(SUMPRODUCT(E$9:E$229,Nutrients!$EZ$8:$EZ$228)+(IF($A$7=Nutrients!$B$8,Nutrients!$EZ$8,Nutrients!$EZ$9)*E$7)+(((IF($A$8=Nutrients!$B$79,Nutrients!$EZ$79,(IF($A$8=Nutrients!$B$77,Nutrients!$EZ$77,Nutrients!$EZ$78)))))*E$8))</f>
        <v>3000</v>
      </c>
      <c r="F335" s="21">
        <f>(SUMPRODUCT(F$9:F$229,Nutrients!$EZ$8:$EZ$228)+(IF($A$7=Nutrients!$B$8,Nutrients!$EZ$8,Nutrients!$EZ$9)*F$7)+(((IF($A$8=Nutrients!$B$79,Nutrients!$EZ$79,(IF($A$8=Nutrients!$B$77,Nutrients!$EZ$77,Nutrients!$EZ$78)))))*F$8))</f>
        <v>2250</v>
      </c>
      <c r="G335" s="21">
        <f>(SUMPRODUCT(G$9:G$229,Nutrients!$EZ$8:$EZ$228)+(IF($A$7=Nutrients!$B$8,Nutrients!$EZ$8,Nutrients!$EZ$9)*G$7)+(((IF($A$8=Nutrients!$B$79,Nutrients!$EZ$79,(IF($A$8=Nutrients!$B$77,Nutrients!$EZ$77,Nutrients!$EZ$78)))))*G$8))</f>
        <v>2250</v>
      </c>
      <c r="H335" s="226"/>
      <c r="I335" s="21">
        <f>(SUMPRODUCT(I$9:I$229,Nutrients!$EZ$8:$EZ$228)+(IF($A$7=Nutrients!$B$8,Nutrients!$EZ$8,Nutrients!$EZ$9)*I$7)+(((IF($A$8=Nutrients!$B$79,Nutrients!$EZ$79,(IF($A$8=Nutrients!$B$77,Nutrients!$EZ$77,Nutrients!$EZ$78)))))*I$8))</f>
        <v>4500</v>
      </c>
      <c r="J335" s="21">
        <f>(SUMPRODUCT(J$9:J$229,Nutrients!$EZ$8:$EZ$228)+(IF($A$7=Nutrients!$B$8,Nutrients!$EZ$8,Nutrients!$EZ$9)*J$7)+(((IF($A$8=Nutrients!$B$79,Nutrients!$EZ$79,(IF($A$8=Nutrients!$B$77,Nutrients!$EZ$77,Nutrients!$EZ$78)))))*J$8))</f>
        <v>4500</v>
      </c>
      <c r="K335" s="21">
        <f>(SUMPRODUCT(K$9:K$229,Nutrients!$EZ$8:$EZ$228)+(IF($A$7=Nutrients!$B$8,Nutrients!$EZ$8,Nutrients!$EZ$9)*K$7)+(((IF($A$8=Nutrients!$B$79,Nutrients!$EZ$79,(IF($A$8=Nutrients!$B$77,Nutrients!$EZ$77,Nutrients!$EZ$78)))))*K$8))</f>
        <v>3750</v>
      </c>
      <c r="L335" s="21">
        <f>(SUMPRODUCT(L$9:L$229,Nutrients!$EZ$8:$EZ$228)+(IF($A$7=Nutrients!$B$8,Nutrients!$EZ$8,Nutrients!$EZ$9)*L$7)+(((IF($A$8=Nutrients!$B$79,Nutrients!$EZ$79,(IF($A$8=Nutrients!$B$77,Nutrients!$EZ$77,Nutrients!$EZ$78)))))*L$8))</f>
        <v>3000</v>
      </c>
      <c r="M335" s="21">
        <f>(SUMPRODUCT(M$9:M$229,Nutrients!$EZ$8:$EZ$228)+(IF($A$7=Nutrients!$B$8,Nutrients!$EZ$8,Nutrients!$EZ$9)*M$7)+(((IF($A$8=Nutrients!$B$79,Nutrients!$EZ$79,(IF($A$8=Nutrients!$B$77,Nutrients!$EZ$77,Nutrients!$EZ$78)))))*M$8))</f>
        <v>2250</v>
      </c>
      <c r="N335" s="21">
        <f>(SUMPRODUCT(N$9:N$229,Nutrients!$EZ$8:$EZ$228)+(IF($A$7=Nutrients!$B$8,Nutrients!$EZ$8,Nutrients!$EZ$9)*N$7)+(((IF($A$8=Nutrients!$B$79,Nutrients!$EZ$79,(IF($A$8=Nutrients!$B$77,Nutrients!$EZ$77,Nutrients!$EZ$78)))))*N$8))</f>
        <v>2250</v>
      </c>
      <c r="O335" s="234"/>
      <c r="P335" s="21">
        <f>(SUMPRODUCT(P$9:P$229,Nutrients!$EZ$8:$EZ$228)+(IF($A$7=Nutrients!$B$8,Nutrients!$EZ$8,Nutrients!$EZ$9)*P$7)+(((IF($A$8=Nutrients!$B$79,Nutrients!$EZ$79,(IF($A$8=Nutrients!$B$77,Nutrients!$EZ$77,Nutrients!$EZ$78)))))*P$8))</f>
        <v>4500</v>
      </c>
      <c r="Q335" s="21">
        <f>(SUMPRODUCT(Q$9:Q$229,Nutrients!$EZ$8:$EZ$228)+(IF($A$7=Nutrients!$B$8,Nutrients!$EZ$8,Nutrients!$EZ$9)*Q$7)+(((IF($A$8=Nutrients!$B$79,Nutrients!$EZ$79,(IF($A$8=Nutrients!$B$77,Nutrients!$EZ$77,Nutrients!$EZ$78)))))*Q$8))</f>
        <v>4500</v>
      </c>
      <c r="R335" s="21">
        <f>(SUMPRODUCT(R$9:R$229,Nutrients!$EZ$8:$EZ$228)+(IF($A$7=Nutrients!$B$8,Nutrients!$EZ$8,Nutrients!$EZ$9)*R$7)+(((IF($A$8=Nutrients!$B$79,Nutrients!$EZ$79,(IF($A$8=Nutrients!$B$77,Nutrients!$EZ$77,Nutrients!$EZ$78)))))*R$8))</f>
        <v>3750</v>
      </c>
      <c r="S335" s="21">
        <f>(SUMPRODUCT(S$9:S$229,Nutrients!$EZ$8:$EZ$228)+(IF($A$7=Nutrients!$B$8,Nutrients!$EZ$8,Nutrients!$EZ$9)*S$7)+(((IF($A$8=Nutrients!$B$79,Nutrients!$EZ$79,(IF($A$8=Nutrients!$B$77,Nutrients!$EZ$77,Nutrients!$EZ$78)))))*S$8))</f>
        <v>3000</v>
      </c>
      <c r="T335" s="21">
        <f>(SUMPRODUCT(T$9:T$229,Nutrients!$EZ$8:$EZ$228)+(IF($A$7=Nutrients!$B$8,Nutrients!$EZ$8,Nutrients!$EZ$9)*T$7)+(((IF($A$8=Nutrients!$B$79,Nutrients!$EZ$79,(IF($A$8=Nutrients!$B$77,Nutrients!$EZ$77,Nutrients!$EZ$78)))))*T$8))</f>
        <v>2250</v>
      </c>
      <c r="U335" s="21">
        <f>(SUMPRODUCT(U$9:U$229,Nutrients!$EZ$8:$EZ$228)+(IF($A$7=Nutrients!$B$8,Nutrients!$EZ$8,Nutrients!$EZ$9)*U$7)+(((IF($A$8=Nutrients!$B$79,Nutrients!$EZ$79,(IF($A$8=Nutrients!$B$77,Nutrients!$EZ$77,Nutrients!$EZ$78)))))*U$8))</f>
        <v>2250</v>
      </c>
      <c r="W335" s="21">
        <f>(SUMPRODUCT(W$9:W$229,Nutrients!$EZ$8:$EZ$228)+(IF($A$7=Nutrients!$B$8,Nutrients!$EZ$8,Nutrients!$EZ$9)*W$7)+(((IF($A$8=Nutrients!$B$79,Nutrients!$EZ$79,(IF($A$8=Nutrients!$B$77,Nutrients!$EZ$77,Nutrients!$EZ$78)))))*W$8))</f>
        <v>4500</v>
      </c>
      <c r="X335" s="21">
        <f>(SUMPRODUCT(X$9:X$229,Nutrients!$EZ$8:$EZ$228)+(IF($A$7=Nutrients!$B$8,Nutrients!$EZ$8,Nutrients!$EZ$9)*X$7)+(((IF($A$8=Nutrients!$B$79,Nutrients!$EZ$79,(IF($A$8=Nutrients!$B$77,Nutrients!$EZ$77,Nutrients!$EZ$78)))))*X$8))</f>
        <v>4500</v>
      </c>
      <c r="Y335" s="21">
        <f>(SUMPRODUCT(Y$9:Y$229,Nutrients!$EZ$8:$EZ$228)+(IF($A$7=Nutrients!$B$8,Nutrients!$EZ$8,Nutrients!$EZ$9)*Y$7)+(((IF($A$8=Nutrients!$B$79,Nutrients!$EZ$79,(IF($A$8=Nutrients!$B$77,Nutrients!$EZ$77,Nutrients!$EZ$78)))))*Y$8))</f>
        <v>3750</v>
      </c>
      <c r="Z335" s="21">
        <f>(SUMPRODUCT(Z$9:Z$229,Nutrients!$EZ$8:$EZ$228)+(IF($A$7=Nutrients!$B$8,Nutrients!$EZ$8,Nutrients!$EZ$9)*Z$7)+(((IF($A$8=Nutrients!$B$79,Nutrients!$EZ$79,(IF($A$8=Nutrients!$B$77,Nutrients!$EZ$77,Nutrients!$EZ$78)))))*Z$8))</f>
        <v>3000</v>
      </c>
      <c r="AA335" s="21">
        <f>(SUMPRODUCT(AA$9:AA$229,Nutrients!$EZ$8:$EZ$228)+(IF($A$7=Nutrients!$B$8,Nutrients!$EZ$8,Nutrients!$EZ$9)*AA$7)+(((IF($A$8=Nutrients!$B$79,Nutrients!$EZ$79,(IF($A$8=Nutrients!$B$77,Nutrients!$EZ$77,Nutrients!$EZ$78)))))*AA$8))</f>
        <v>2250</v>
      </c>
      <c r="AB335" s="21">
        <f>(SUMPRODUCT(AB$9:AB$229,Nutrients!$EZ$8:$EZ$228)+(IF($A$7=Nutrients!$B$8,Nutrients!$EZ$8,Nutrients!$EZ$9)*AB$7)+(((IF($A$8=Nutrients!$B$79,Nutrients!$EZ$79,(IF($A$8=Nutrients!$B$77,Nutrients!$EZ$77,Nutrients!$EZ$78)))))*AB$8))</f>
        <v>2250</v>
      </c>
      <c r="AD335" s="21">
        <f>(SUMPRODUCT(AD$9:AD$229,Nutrients!$EZ$8:$EZ$228)+(IF($A$7=Nutrients!$B$8,Nutrients!$EZ$8,Nutrients!$EZ$9)*AD$7)+(((IF($A$8=Nutrients!$B$79,Nutrients!$EZ$79,(IF($A$8=Nutrients!$B$77,Nutrients!$EZ$77,Nutrients!$EZ$78)))))*AD$8))</f>
        <v>4500</v>
      </c>
      <c r="AE335" s="21">
        <f>(SUMPRODUCT(AE$9:AE$229,Nutrients!$EZ$8:$EZ$228)+(IF($A$7=Nutrients!$B$8,Nutrients!$EZ$8,Nutrients!$EZ$9)*AE$7)+(((IF($A$8=Nutrients!$B$79,Nutrients!$EZ$79,(IF($A$8=Nutrients!$B$77,Nutrients!$EZ$77,Nutrients!$EZ$78)))))*AE$8))</f>
        <v>4500</v>
      </c>
      <c r="AF335" s="21">
        <f>(SUMPRODUCT(AF$9:AF$229,Nutrients!$EZ$8:$EZ$228)+(IF($A$7=Nutrients!$B$8,Nutrients!$EZ$8,Nutrients!$EZ$9)*AF$7)+(((IF($A$8=Nutrients!$B$79,Nutrients!$EZ$79,(IF($A$8=Nutrients!$B$77,Nutrients!$EZ$77,Nutrients!$EZ$78)))))*AF$8))</f>
        <v>3750</v>
      </c>
      <c r="AG335" s="21">
        <f>(SUMPRODUCT(AG$9:AG$229,Nutrients!$EZ$8:$EZ$228)+(IF($A$7=Nutrients!$B$8,Nutrients!$EZ$8,Nutrients!$EZ$9)*AG$7)+(((IF($A$8=Nutrients!$B$79,Nutrients!$EZ$79,(IF($A$8=Nutrients!$B$77,Nutrients!$EZ$77,Nutrients!$EZ$78)))))*AG$8))</f>
        <v>3000</v>
      </c>
      <c r="AH335" s="21">
        <f>(SUMPRODUCT(AH$9:AH$229,Nutrients!$EZ$8:$EZ$228)+(IF($A$7=Nutrients!$B$8,Nutrients!$EZ$8,Nutrients!$EZ$9)*AH$7)+(((IF($A$8=Nutrients!$B$79,Nutrients!$EZ$79,(IF($A$8=Nutrients!$B$77,Nutrients!$EZ$77,Nutrients!$EZ$78)))))*AH$8))</f>
        <v>2250</v>
      </c>
      <c r="AI335" s="21">
        <f>(SUMPRODUCT(AI$9:AI$229,Nutrients!$EZ$8:$EZ$228)+(IF($A$7=Nutrients!$B$8,Nutrients!$EZ$8,Nutrients!$EZ$9)*AI$7)+(((IF($A$8=Nutrients!$B$79,Nutrients!$EZ$79,(IF($A$8=Nutrients!$B$77,Nutrients!$EZ$77,Nutrients!$EZ$78)))))*AI$8))</f>
        <v>2250</v>
      </c>
      <c r="AK335" s="21">
        <f>(SUMPRODUCT(AK$9:AK$229,Nutrients!$EZ$8:$EZ$228)+(IF($A$7=Nutrients!$B$8,Nutrients!$EZ$8,Nutrients!$EZ$9)*AK$7)+(((IF($A$8=Nutrients!$B$79,Nutrients!$EZ$79,(IF($A$8=Nutrients!$B$77,Nutrients!$EZ$77,Nutrients!$EZ$78)))))*AK$8))</f>
        <v>4500</v>
      </c>
      <c r="AL335" s="21">
        <f>(SUMPRODUCT(AL$9:AL$229,Nutrients!$EZ$8:$EZ$228)+(IF($A$7=Nutrients!$B$8,Nutrients!$EZ$8,Nutrients!$EZ$9)*AL$7)+(((IF($A$8=Nutrients!$B$79,Nutrients!$EZ$79,(IF($A$8=Nutrients!$B$77,Nutrients!$EZ$77,Nutrients!$EZ$78)))))*AL$8))</f>
        <v>4500</v>
      </c>
      <c r="AM335" s="21">
        <f>(SUMPRODUCT(AM$9:AM$229,Nutrients!$EZ$8:$EZ$228)+(IF($A$7=Nutrients!$B$8,Nutrients!$EZ$8,Nutrients!$EZ$9)*AM$7)+(((IF($A$8=Nutrients!$B$79,Nutrients!$EZ$79,(IF($A$8=Nutrients!$B$77,Nutrients!$EZ$77,Nutrients!$EZ$78)))))*AM$8))</f>
        <v>3750</v>
      </c>
      <c r="AN335" s="21">
        <f>(SUMPRODUCT(AN$9:AN$229,Nutrients!$EZ$8:$EZ$228)+(IF($A$7=Nutrients!$B$8,Nutrients!$EZ$8,Nutrients!$EZ$9)*AN$7)+(((IF($A$8=Nutrients!$B$79,Nutrients!$EZ$79,(IF($A$8=Nutrients!$B$77,Nutrients!$EZ$77,Nutrients!$EZ$78)))))*AN$8))</f>
        <v>3000</v>
      </c>
      <c r="AO335" s="21">
        <f>(SUMPRODUCT(AO$9:AO$229,Nutrients!$EZ$8:$EZ$228)+(IF($A$7=Nutrients!$B$8,Nutrients!$EZ$8,Nutrients!$EZ$9)*AO$7)+(((IF($A$8=Nutrients!$B$79,Nutrients!$EZ$79,(IF($A$8=Nutrients!$B$77,Nutrients!$EZ$77,Nutrients!$EZ$78)))))*AO$8))</f>
        <v>2250</v>
      </c>
      <c r="AP335" s="21">
        <f>(SUMPRODUCT(AP$9:AP$229,Nutrients!$EZ$8:$EZ$228)+(IF($A$7=Nutrients!$B$8,Nutrients!$EZ$8,Nutrients!$EZ$9)*AP$7)+(((IF($A$8=Nutrients!$B$79,Nutrients!$EZ$79,(IF($A$8=Nutrients!$B$77,Nutrients!$EZ$77,Nutrients!$EZ$78)))))*AP$8))</f>
        <v>2250</v>
      </c>
      <c r="AR335" s="21">
        <f>(SUMPRODUCT(AR$9:AR$229,Nutrients!$EZ$8:$EZ$228)+(IF($A$7=Nutrients!$B$8,Nutrients!$EZ$8,Nutrients!$EZ$9)*AR$7)+(((IF($A$8=Nutrients!$B$79,Nutrients!$EZ$79,(IF($A$8=Nutrients!$B$77,Nutrients!$EZ$77,Nutrients!$EZ$78)))))*AR$8))</f>
        <v>4500</v>
      </c>
      <c r="AS335" s="21">
        <f>(SUMPRODUCT(AS$9:AS$229,Nutrients!$EZ$8:$EZ$228)+(IF($A$7=Nutrients!$B$8,Nutrients!$EZ$8,Nutrients!$EZ$9)*AS$7)+(((IF($A$8=Nutrients!$B$79,Nutrients!$EZ$79,(IF($A$8=Nutrients!$B$77,Nutrients!$EZ$77,Nutrients!$EZ$78)))))*AS$8))</f>
        <v>4500</v>
      </c>
      <c r="AT335" s="21">
        <f>(SUMPRODUCT(AT$9:AT$229,Nutrients!$EZ$8:$EZ$228)+(IF($A$7=Nutrients!$B$8,Nutrients!$EZ$8,Nutrients!$EZ$9)*AT$7)+(((IF($A$8=Nutrients!$B$79,Nutrients!$EZ$79,(IF($A$8=Nutrients!$B$77,Nutrients!$EZ$77,Nutrients!$EZ$78)))))*AT$8))</f>
        <v>3750</v>
      </c>
      <c r="AU335" s="21">
        <f>(SUMPRODUCT(AU$9:AU$229,Nutrients!$EZ$8:$EZ$228)+(IF($A$7=Nutrients!$B$8,Nutrients!$EZ$8,Nutrients!$EZ$9)*AU$7)+(((IF($A$8=Nutrients!$B$79,Nutrients!$EZ$79,(IF($A$8=Nutrients!$B$77,Nutrients!$EZ$77,Nutrients!$EZ$78)))))*AU$8))</f>
        <v>3000</v>
      </c>
      <c r="AV335" s="21">
        <f>(SUMPRODUCT(AV$9:AV$229,Nutrients!$EZ$8:$EZ$228)+(IF($A$7=Nutrients!$B$8,Nutrients!$EZ$8,Nutrients!$EZ$9)*AV$7)+(((IF($A$8=Nutrients!$B$79,Nutrients!$EZ$79,(IF($A$8=Nutrients!$B$77,Nutrients!$EZ$77,Nutrients!$EZ$78)))))*AV$8))</f>
        <v>2250</v>
      </c>
      <c r="AW335" s="21">
        <f>(SUMPRODUCT(AW$9:AW$229,Nutrients!$EZ$8:$EZ$228)+(IF($A$7=Nutrients!$B$8,Nutrients!$EZ$8,Nutrients!$EZ$9)*AW$7)+(((IF($A$8=Nutrients!$B$79,Nutrients!$EZ$79,(IF($A$8=Nutrients!$B$77,Nutrients!$EZ$77,Nutrients!$EZ$78)))))*AW$8))</f>
        <v>2250</v>
      </c>
    </row>
    <row r="336" spans="1:49" x14ac:dyDescent="0.25">
      <c r="A336" s="34" t="s">
        <v>129</v>
      </c>
      <c r="B336" s="21">
        <f>(SUMPRODUCT(B$9:B$229,Nutrients!$FA$8:$FA$228)+(IF($A$7=Nutrients!$B$8,Nutrients!$FA$8,Nutrients!$FA$9)*B$7)+(((IF($A$8=Nutrients!$B$79,Nutrients!$FA$79,(IF($A$8=Nutrients!$B$77,Nutrients!$FA$77,Nutrients!$FA$78)))))*B$8))</f>
        <v>0</v>
      </c>
      <c r="C336" s="21">
        <f>(SUMPRODUCT(C$9:C$229,Nutrients!$FA$8:$FA$228)+(IF($A$7=Nutrients!$B$8,Nutrients!$FA$8,Nutrients!$FA$9)*C$7)+(((IF($A$8=Nutrients!$B$79,Nutrients!$FA$79,(IF($A$8=Nutrients!$B$77,Nutrients!$FA$77,Nutrients!$FA$78)))))*C$8))</f>
        <v>0</v>
      </c>
      <c r="D336" s="21">
        <f>(SUMPRODUCT(D$9:D$229,Nutrients!$FA$8:$FA$228)+(IF($A$7=Nutrients!$B$8,Nutrients!$FA$8,Nutrients!$FA$9)*D$7)+(((IF($A$8=Nutrients!$B$79,Nutrients!$FA$79,(IF($A$8=Nutrients!$B$77,Nutrients!$FA$77,Nutrients!$FA$78)))))*D$8))</f>
        <v>0</v>
      </c>
      <c r="E336" s="21">
        <f>(SUMPRODUCT(E$9:E$229,Nutrients!$FA$8:$FA$228)+(IF($A$7=Nutrients!$B$8,Nutrients!$FA$8,Nutrients!$FA$9)*E$7)+(((IF($A$8=Nutrients!$B$79,Nutrients!$FA$79,(IF($A$8=Nutrients!$B$77,Nutrients!$FA$77,Nutrients!$FA$78)))))*E$8))</f>
        <v>0</v>
      </c>
      <c r="F336" s="21">
        <f>(SUMPRODUCT(F$9:F$229,Nutrients!$FA$8:$FA$228)+(IF($A$7=Nutrients!$B$8,Nutrients!$FA$8,Nutrients!$FA$9)*F$7)+(((IF($A$8=Nutrients!$B$79,Nutrients!$FA$79,(IF($A$8=Nutrients!$B$77,Nutrients!$FA$77,Nutrients!$FA$78)))))*F$8))</f>
        <v>0</v>
      </c>
      <c r="G336" s="21">
        <f>(SUMPRODUCT(G$9:G$229,Nutrients!$FA$8:$FA$228)+(IF($A$7=Nutrients!$B$8,Nutrients!$FA$8,Nutrients!$FA$9)*G$7)+(((IF($A$8=Nutrients!$B$79,Nutrients!$FA$79,(IF($A$8=Nutrients!$B$77,Nutrients!$FA$77,Nutrients!$FA$78)))))*G$8))</f>
        <v>0</v>
      </c>
      <c r="H336" s="226"/>
      <c r="I336" s="21">
        <f>(SUMPRODUCT(I$9:I$229,Nutrients!$FA$8:$FA$228)+(IF($A$7=Nutrients!$B$8,Nutrients!$FA$8,Nutrients!$FA$9)*I$7)+(((IF($A$8=Nutrients!$B$79,Nutrients!$FA$79,(IF($A$8=Nutrients!$B$77,Nutrients!$FA$77,Nutrients!$FA$78)))))*I$8))</f>
        <v>0</v>
      </c>
      <c r="J336" s="21">
        <f>(SUMPRODUCT(J$9:J$229,Nutrients!$FA$8:$FA$228)+(IF($A$7=Nutrients!$B$8,Nutrients!$FA$8,Nutrients!$FA$9)*J$7)+(((IF($A$8=Nutrients!$B$79,Nutrients!$FA$79,(IF($A$8=Nutrients!$B$77,Nutrients!$FA$77,Nutrients!$FA$78)))))*J$8))</f>
        <v>0</v>
      </c>
      <c r="K336" s="21">
        <f>(SUMPRODUCT(K$9:K$229,Nutrients!$FA$8:$FA$228)+(IF($A$7=Nutrients!$B$8,Nutrients!$FA$8,Nutrients!$FA$9)*K$7)+(((IF($A$8=Nutrients!$B$79,Nutrients!$FA$79,(IF($A$8=Nutrients!$B$77,Nutrients!$FA$77,Nutrients!$FA$78)))))*K$8))</f>
        <v>0</v>
      </c>
      <c r="L336" s="21">
        <f>(SUMPRODUCT(L$9:L$229,Nutrients!$FA$8:$FA$228)+(IF($A$7=Nutrients!$B$8,Nutrients!$FA$8,Nutrients!$FA$9)*L$7)+(((IF($A$8=Nutrients!$B$79,Nutrients!$FA$79,(IF($A$8=Nutrients!$B$77,Nutrients!$FA$77,Nutrients!$FA$78)))))*L$8))</f>
        <v>0</v>
      </c>
      <c r="M336" s="21">
        <f>(SUMPRODUCT(M$9:M$229,Nutrients!$FA$8:$FA$228)+(IF($A$7=Nutrients!$B$8,Nutrients!$FA$8,Nutrients!$FA$9)*M$7)+(((IF($A$8=Nutrients!$B$79,Nutrients!$FA$79,(IF($A$8=Nutrients!$B$77,Nutrients!$FA$77,Nutrients!$FA$78)))))*M$8))</f>
        <v>0</v>
      </c>
      <c r="N336" s="21">
        <f>(SUMPRODUCT(N$9:N$229,Nutrients!$FA$8:$FA$228)+(IF($A$7=Nutrients!$B$8,Nutrients!$FA$8,Nutrients!$FA$9)*N$7)+(((IF($A$8=Nutrients!$B$79,Nutrients!$FA$79,(IF($A$8=Nutrients!$B$77,Nutrients!$FA$77,Nutrients!$FA$78)))))*N$8))</f>
        <v>0</v>
      </c>
      <c r="O336" s="234"/>
      <c r="P336" s="21">
        <f>(SUMPRODUCT(P$9:P$229,Nutrients!$FA$8:$FA$228)+(IF($A$7=Nutrients!$B$8,Nutrients!$FA$8,Nutrients!$FA$9)*P$7)+(((IF($A$8=Nutrients!$B$79,Nutrients!$FA$79,(IF($A$8=Nutrients!$B$77,Nutrients!$FA$77,Nutrients!$FA$78)))))*P$8))</f>
        <v>0</v>
      </c>
      <c r="Q336" s="21">
        <f>(SUMPRODUCT(Q$9:Q$229,Nutrients!$FA$8:$FA$228)+(IF($A$7=Nutrients!$B$8,Nutrients!$FA$8,Nutrients!$FA$9)*Q$7)+(((IF($A$8=Nutrients!$B$79,Nutrients!$FA$79,(IF($A$8=Nutrients!$B$77,Nutrients!$FA$77,Nutrients!$FA$78)))))*Q$8))</f>
        <v>0</v>
      </c>
      <c r="R336" s="21">
        <f>(SUMPRODUCT(R$9:R$229,Nutrients!$FA$8:$FA$228)+(IF($A$7=Nutrients!$B$8,Nutrients!$FA$8,Nutrients!$FA$9)*R$7)+(((IF($A$8=Nutrients!$B$79,Nutrients!$FA$79,(IF($A$8=Nutrients!$B$77,Nutrients!$FA$77,Nutrients!$FA$78)))))*R$8))</f>
        <v>0</v>
      </c>
      <c r="S336" s="21">
        <f>(SUMPRODUCT(S$9:S$229,Nutrients!$FA$8:$FA$228)+(IF($A$7=Nutrients!$B$8,Nutrients!$FA$8,Nutrients!$FA$9)*S$7)+(((IF($A$8=Nutrients!$B$79,Nutrients!$FA$79,(IF($A$8=Nutrients!$B$77,Nutrients!$FA$77,Nutrients!$FA$78)))))*S$8))</f>
        <v>0</v>
      </c>
      <c r="T336" s="21">
        <f>(SUMPRODUCT(T$9:T$229,Nutrients!$FA$8:$FA$228)+(IF($A$7=Nutrients!$B$8,Nutrients!$FA$8,Nutrients!$FA$9)*T$7)+(((IF($A$8=Nutrients!$B$79,Nutrients!$FA$79,(IF($A$8=Nutrients!$B$77,Nutrients!$FA$77,Nutrients!$FA$78)))))*T$8))</f>
        <v>0</v>
      </c>
      <c r="U336" s="21">
        <f>(SUMPRODUCT(U$9:U$229,Nutrients!$FA$8:$FA$228)+(IF($A$7=Nutrients!$B$8,Nutrients!$FA$8,Nutrients!$FA$9)*U$7)+(((IF($A$8=Nutrients!$B$79,Nutrients!$FA$79,(IF($A$8=Nutrients!$B$77,Nutrients!$FA$77,Nutrients!$FA$78)))))*U$8))</f>
        <v>0</v>
      </c>
      <c r="W336" s="21">
        <f>(SUMPRODUCT(W$9:W$229,Nutrients!$FA$8:$FA$228)+(IF($A$7=Nutrients!$B$8,Nutrients!$FA$8,Nutrients!$FA$9)*W$7)+(((IF($A$8=Nutrients!$B$79,Nutrients!$FA$79,(IF($A$8=Nutrients!$B$77,Nutrients!$FA$77,Nutrients!$FA$78)))))*W$8))</f>
        <v>0</v>
      </c>
      <c r="X336" s="21">
        <f>(SUMPRODUCT(X$9:X$229,Nutrients!$FA$8:$FA$228)+(IF($A$7=Nutrients!$B$8,Nutrients!$FA$8,Nutrients!$FA$9)*X$7)+(((IF($A$8=Nutrients!$B$79,Nutrients!$FA$79,(IF($A$8=Nutrients!$B$77,Nutrients!$FA$77,Nutrients!$FA$78)))))*X$8))</f>
        <v>0</v>
      </c>
      <c r="Y336" s="21">
        <f>(SUMPRODUCT(Y$9:Y$229,Nutrients!$FA$8:$FA$228)+(IF($A$7=Nutrients!$B$8,Nutrients!$FA$8,Nutrients!$FA$9)*Y$7)+(((IF($A$8=Nutrients!$B$79,Nutrients!$FA$79,(IF($A$8=Nutrients!$B$77,Nutrients!$FA$77,Nutrients!$FA$78)))))*Y$8))</f>
        <v>0</v>
      </c>
      <c r="Z336" s="21">
        <f>(SUMPRODUCT(Z$9:Z$229,Nutrients!$FA$8:$FA$228)+(IF($A$7=Nutrients!$B$8,Nutrients!$FA$8,Nutrients!$FA$9)*Z$7)+(((IF($A$8=Nutrients!$B$79,Nutrients!$FA$79,(IF($A$8=Nutrients!$B$77,Nutrients!$FA$77,Nutrients!$FA$78)))))*Z$8))</f>
        <v>0</v>
      </c>
      <c r="AA336" s="21">
        <f>(SUMPRODUCT(AA$9:AA$229,Nutrients!$FA$8:$FA$228)+(IF($A$7=Nutrients!$B$8,Nutrients!$FA$8,Nutrients!$FA$9)*AA$7)+(((IF($A$8=Nutrients!$B$79,Nutrients!$FA$79,(IF($A$8=Nutrients!$B$77,Nutrients!$FA$77,Nutrients!$FA$78)))))*AA$8))</f>
        <v>0</v>
      </c>
      <c r="AB336" s="21">
        <f>(SUMPRODUCT(AB$9:AB$229,Nutrients!$FA$8:$FA$228)+(IF($A$7=Nutrients!$B$8,Nutrients!$FA$8,Nutrients!$FA$9)*AB$7)+(((IF($A$8=Nutrients!$B$79,Nutrients!$FA$79,(IF($A$8=Nutrients!$B$77,Nutrients!$FA$77,Nutrients!$FA$78)))))*AB$8))</f>
        <v>0</v>
      </c>
      <c r="AD336" s="21">
        <f>(SUMPRODUCT(AD$9:AD$229,Nutrients!$FA$8:$FA$228)+(IF($A$7=Nutrients!$B$8,Nutrients!$FA$8,Nutrients!$FA$9)*AD$7)+(((IF($A$8=Nutrients!$B$79,Nutrients!$FA$79,(IF($A$8=Nutrients!$B$77,Nutrients!$FA$77,Nutrients!$FA$78)))))*AD$8))</f>
        <v>0</v>
      </c>
      <c r="AE336" s="21">
        <f>(SUMPRODUCT(AE$9:AE$229,Nutrients!$FA$8:$FA$228)+(IF($A$7=Nutrients!$B$8,Nutrients!$FA$8,Nutrients!$FA$9)*AE$7)+(((IF($A$8=Nutrients!$B$79,Nutrients!$FA$79,(IF($A$8=Nutrients!$B$77,Nutrients!$FA$77,Nutrients!$FA$78)))))*AE$8))</f>
        <v>0</v>
      </c>
      <c r="AF336" s="21">
        <f>(SUMPRODUCT(AF$9:AF$229,Nutrients!$FA$8:$FA$228)+(IF($A$7=Nutrients!$B$8,Nutrients!$FA$8,Nutrients!$FA$9)*AF$7)+(((IF($A$8=Nutrients!$B$79,Nutrients!$FA$79,(IF($A$8=Nutrients!$B$77,Nutrients!$FA$77,Nutrients!$FA$78)))))*AF$8))</f>
        <v>0</v>
      </c>
      <c r="AG336" s="21">
        <f>(SUMPRODUCT(AG$9:AG$229,Nutrients!$FA$8:$FA$228)+(IF($A$7=Nutrients!$B$8,Nutrients!$FA$8,Nutrients!$FA$9)*AG$7)+(((IF($A$8=Nutrients!$B$79,Nutrients!$FA$79,(IF($A$8=Nutrients!$B$77,Nutrients!$FA$77,Nutrients!$FA$78)))))*AG$8))</f>
        <v>0</v>
      </c>
      <c r="AH336" s="21">
        <f>(SUMPRODUCT(AH$9:AH$229,Nutrients!$FA$8:$FA$228)+(IF($A$7=Nutrients!$B$8,Nutrients!$FA$8,Nutrients!$FA$9)*AH$7)+(((IF($A$8=Nutrients!$B$79,Nutrients!$FA$79,(IF($A$8=Nutrients!$B$77,Nutrients!$FA$77,Nutrients!$FA$78)))))*AH$8))</f>
        <v>0</v>
      </c>
      <c r="AI336" s="21">
        <f>(SUMPRODUCT(AI$9:AI$229,Nutrients!$FA$8:$FA$228)+(IF($A$7=Nutrients!$B$8,Nutrients!$FA$8,Nutrients!$FA$9)*AI$7)+(((IF($A$8=Nutrients!$B$79,Nutrients!$FA$79,(IF($A$8=Nutrients!$B$77,Nutrients!$FA$77,Nutrients!$FA$78)))))*AI$8))</f>
        <v>0</v>
      </c>
      <c r="AK336" s="21">
        <f>(SUMPRODUCT(AK$9:AK$229,Nutrients!$FA$8:$FA$228)+(IF($A$7=Nutrients!$B$8,Nutrients!$FA$8,Nutrients!$FA$9)*AK$7)+(((IF($A$8=Nutrients!$B$79,Nutrients!$FA$79,(IF($A$8=Nutrients!$B$77,Nutrients!$FA$77,Nutrients!$FA$78)))))*AK$8))</f>
        <v>0</v>
      </c>
      <c r="AL336" s="21">
        <f>(SUMPRODUCT(AL$9:AL$229,Nutrients!$FA$8:$FA$228)+(IF($A$7=Nutrients!$B$8,Nutrients!$FA$8,Nutrients!$FA$9)*AL$7)+(((IF($A$8=Nutrients!$B$79,Nutrients!$FA$79,(IF($A$8=Nutrients!$B$77,Nutrients!$FA$77,Nutrients!$FA$78)))))*AL$8))</f>
        <v>0</v>
      </c>
      <c r="AM336" s="21">
        <f>(SUMPRODUCT(AM$9:AM$229,Nutrients!$FA$8:$FA$228)+(IF($A$7=Nutrients!$B$8,Nutrients!$FA$8,Nutrients!$FA$9)*AM$7)+(((IF($A$8=Nutrients!$B$79,Nutrients!$FA$79,(IF($A$8=Nutrients!$B$77,Nutrients!$FA$77,Nutrients!$FA$78)))))*AM$8))</f>
        <v>0</v>
      </c>
      <c r="AN336" s="21">
        <f>(SUMPRODUCT(AN$9:AN$229,Nutrients!$FA$8:$FA$228)+(IF($A$7=Nutrients!$B$8,Nutrients!$FA$8,Nutrients!$FA$9)*AN$7)+(((IF($A$8=Nutrients!$B$79,Nutrients!$FA$79,(IF($A$8=Nutrients!$B$77,Nutrients!$FA$77,Nutrients!$FA$78)))))*AN$8))</f>
        <v>0</v>
      </c>
      <c r="AO336" s="21">
        <f>(SUMPRODUCT(AO$9:AO$229,Nutrients!$FA$8:$FA$228)+(IF($A$7=Nutrients!$B$8,Nutrients!$FA$8,Nutrients!$FA$9)*AO$7)+(((IF($A$8=Nutrients!$B$79,Nutrients!$FA$79,(IF($A$8=Nutrients!$B$77,Nutrients!$FA$77,Nutrients!$FA$78)))))*AO$8))</f>
        <v>0</v>
      </c>
      <c r="AP336" s="21">
        <f>(SUMPRODUCT(AP$9:AP$229,Nutrients!$FA$8:$FA$228)+(IF($A$7=Nutrients!$B$8,Nutrients!$FA$8,Nutrients!$FA$9)*AP$7)+(((IF($A$8=Nutrients!$B$79,Nutrients!$FA$79,(IF($A$8=Nutrients!$B$77,Nutrients!$FA$77,Nutrients!$FA$78)))))*AP$8))</f>
        <v>0</v>
      </c>
      <c r="AR336" s="21">
        <f>(SUMPRODUCT(AR$9:AR$229,Nutrients!$FA$8:$FA$228)+(IF($A$7=Nutrients!$B$8,Nutrients!$FA$8,Nutrients!$FA$9)*AR$7)+(((IF($A$8=Nutrients!$B$79,Nutrients!$FA$79,(IF($A$8=Nutrients!$B$77,Nutrients!$FA$77,Nutrients!$FA$78)))))*AR$8))</f>
        <v>0</v>
      </c>
      <c r="AS336" s="21">
        <f>(SUMPRODUCT(AS$9:AS$229,Nutrients!$FA$8:$FA$228)+(IF($A$7=Nutrients!$B$8,Nutrients!$FA$8,Nutrients!$FA$9)*AS$7)+(((IF($A$8=Nutrients!$B$79,Nutrients!$FA$79,(IF($A$8=Nutrients!$B$77,Nutrients!$FA$77,Nutrients!$FA$78)))))*AS$8))</f>
        <v>0</v>
      </c>
      <c r="AT336" s="21">
        <f>(SUMPRODUCT(AT$9:AT$229,Nutrients!$FA$8:$FA$228)+(IF($A$7=Nutrients!$B$8,Nutrients!$FA$8,Nutrients!$FA$9)*AT$7)+(((IF($A$8=Nutrients!$B$79,Nutrients!$FA$79,(IF($A$8=Nutrients!$B$77,Nutrients!$FA$77,Nutrients!$FA$78)))))*AT$8))</f>
        <v>0</v>
      </c>
      <c r="AU336" s="21">
        <f>(SUMPRODUCT(AU$9:AU$229,Nutrients!$FA$8:$FA$228)+(IF($A$7=Nutrients!$B$8,Nutrients!$FA$8,Nutrients!$FA$9)*AU$7)+(((IF($A$8=Nutrients!$B$79,Nutrients!$FA$79,(IF($A$8=Nutrients!$B$77,Nutrients!$FA$77,Nutrients!$FA$78)))))*AU$8))</f>
        <v>0</v>
      </c>
      <c r="AV336" s="21">
        <f>(SUMPRODUCT(AV$9:AV$229,Nutrients!$FA$8:$FA$228)+(IF($A$7=Nutrients!$B$8,Nutrients!$FA$8,Nutrients!$FA$9)*AV$7)+(((IF($A$8=Nutrients!$B$79,Nutrients!$FA$79,(IF($A$8=Nutrients!$B$77,Nutrients!$FA$77,Nutrients!$FA$78)))))*AV$8))</f>
        <v>0</v>
      </c>
      <c r="AW336" s="21">
        <f>(SUMPRODUCT(AW$9:AW$229,Nutrients!$FA$8:$FA$228)+(IF($A$7=Nutrients!$B$8,Nutrients!$FA$8,Nutrients!$FA$9)*AW$7)+(((IF($A$8=Nutrients!$B$79,Nutrients!$FA$79,(IF($A$8=Nutrients!$B$77,Nutrients!$FA$77,Nutrients!$FA$78)))))*AW$8))</f>
        <v>0</v>
      </c>
    </row>
    <row r="337" spans="1:52" x14ac:dyDescent="0.25">
      <c r="A337" s="34" t="s">
        <v>130</v>
      </c>
      <c r="B337" s="21">
        <f>(SUMPRODUCT(B$9:B$229,Nutrients!$FB$8:$FB$228)+(IF($A$7=Nutrients!$B$8,Nutrients!$FB$8,Nutrients!$FB$9)*B$7)+(((IF($A$8=Nutrients!$B$79,Nutrients!$FB$79,(IF($A$8=Nutrients!$B$77,Nutrients!$FB$77,Nutrients!$FB$78)))))*B$8))</f>
        <v>0</v>
      </c>
      <c r="C337" s="21">
        <f>(SUMPRODUCT(C$9:C$229,Nutrients!$FB$8:$FB$228)+(IF($A$7=Nutrients!$B$8,Nutrients!$FB$8,Nutrients!$FB$9)*C$7)+(((IF($A$8=Nutrients!$B$79,Nutrients!$FB$79,(IF($A$8=Nutrients!$B$77,Nutrients!$FB$77,Nutrients!$FB$78)))))*C$8))</f>
        <v>0</v>
      </c>
      <c r="D337" s="21">
        <f>(SUMPRODUCT(D$9:D$229,Nutrients!$FB$8:$FB$228)+(IF($A$7=Nutrients!$B$8,Nutrients!$FB$8,Nutrients!$FB$9)*D$7)+(((IF($A$8=Nutrients!$B$79,Nutrients!$FB$79,(IF($A$8=Nutrients!$B$77,Nutrients!$FB$77,Nutrients!$FB$78)))))*D$8))</f>
        <v>0</v>
      </c>
      <c r="E337" s="21">
        <f>(SUMPRODUCT(E$9:E$229,Nutrients!$FB$8:$FB$228)+(IF($A$7=Nutrients!$B$8,Nutrients!$FB$8,Nutrients!$FB$9)*E$7)+(((IF($A$8=Nutrients!$B$79,Nutrients!$FB$79,(IF($A$8=Nutrients!$B$77,Nutrients!$FB$77,Nutrients!$FB$78)))))*E$8))</f>
        <v>0</v>
      </c>
      <c r="F337" s="21">
        <f>(SUMPRODUCT(F$9:F$229,Nutrients!$FB$8:$FB$228)+(IF($A$7=Nutrients!$B$8,Nutrients!$FB$8,Nutrients!$FB$9)*F$7)+(((IF($A$8=Nutrients!$B$79,Nutrients!$FB$79,(IF($A$8=Nutrients!$B$77,Nutrients!$FB$77,Nutrients!$FB$78)))))*F$8))</f>
        <v>0</v>
      </c>
      <c r="G337" s="21">
        <f>(SUMPRODUCT(G$9:G$229,Nutrients!$FB$8:$FB$228)+(IF($A$7=Nutrients!$B$8,Nutrients!$FB$8,Nutrients!$FB$9)*G$7)+(((IF($A$8=Nutrients!$B$79,Nutrients!$FB$79,(IF($A$8=Nutrients!$B$77,Nutrients!$FB$77,Nutrients!$FB$78)))))*G$8))</f>
        <v>0</v>
      </c>
      <c r="H337" s="226"/>
      <c r="I337" s="21">
        <f>(SUMPRODUCT(I$9:I$229,Nutrients!$FB$8:$FB$228)+(IF($A$7=Nutrients!$B$8,Nutrients!$FB$8,Nutrients!$FB$9)*I$7)+(((IF($A$8=Nutrients!$B$79,Nutrients!$FB$79,(IF($A$8=Nutrients!$B$77,Nutrients!$FB$77,Nutrients!$FB$78)))))*I$8))</f>
        <v>0</v>
      </c>
      <c r="J337" s="21">
        <f>(SUMPRODUCT(J$9:J$229,Nutrients!$FB$8:$FB$228)+(IF($A$7=Nutrients!$B$8,Nutrients!$FB$8,Nutrients!$FB$9)*J$7)+(((IF($A$8=Nutrients!$B$79,Nutrients!$FB$79,(IF($A$8=Nutrients!$B$77,Nutrients!$FB$77,Nutrients!$FB$78)))))*J$8))</f>
        <v>0</v>
      </c>
      <c r="K337" s="21">
        <f>(SUMPRODUCT(K$9:K$229,Nutrients!$FB$8:$FB$228)+(IF($A$7=Nutrients!$B$8,Nutrients!$FB$8,Nutrients!$FB$9)*K$7)+(((IF($A$8=Nutrients!$B$79,Nutrients!$FB$79,(IF($A$8=Nutrients!$B$77,Nutrients!$FB$77,Nutrients!$FB$78)))))*K$8))</f>
        <v>0</v>
      </c>
      <c r="L337" s="21">
        <f>(SUMPRODUCT(L$9:L$229,Nutrients!$FB$8:$FB$228)+(IF($A$7=Nutrients!$B$8,Nutrients!$FB$8,Nutrients!$FB$9)*L$7)+(((IF($A$8=Nutrients!$B$79,Nutrients!$FB$79,(IF($A$8=Nutrients!$B$77,Nutrients!$FB$77,Nutrients!$FB$78)))))*L$8))</f>
        <v>0</v>
      </c>
      <c r="M337" s="21">
        <f>(SUMPRODUCT(M$9:M$229,Nutrients!$FB$8:$FB$228)+(IF($A$7=Nutrients!$B$8,Nutrients!$FB$8,Nutrients!$FB$9)*M$7)+(((IF($A$8=Nutrients!$B$79,Nutrients!$FB$79,(IF($A$8=Nutrients!$B$77,Nutrients!$FB$77,Nutrients!$FB$78)))))*M$8))</f>
        <v>0</v>
      </c>
      <c r="N337" s="21">
        <f>(SUMPRODUCT(N$9:N$229,Nutrients!$FB$8:$FB$228)+(IF($A$7=Nutrients!$B$8,Nutrients!$FB$8,Nutrients!$FB$9)*N$7)+(((IF($A$8=Nutrients!$B$79,Nutrients!$FB$79,(IF($A$8=Nutrients!$B$77,Nutrients!$FB$77,Nutrients!$FB$78)))))*N$8))</f>
        <v>0</v>
      </c>
      <c r="O337" s="234"/>
      <c r="P337" s="21">
        <f>(SUMPRODUCT(P$9:P$229,Nutrients!$FB$8:$FB$228)+(IF($A$7=Nutrients!$B$8,Nutrients!$FB$8,Nutrients!$FB$9)*P$7)+(((IF($A$8=Nutrients!$B$79,Nutrients!$FB$79,(IF($A$8=Nutrients!$B$77,Nutrients!$FB$77,Nutrients!$FB$78)))))*P$8))</f>
        <v>0</v>
      </c>
      <c r="Q337" s="21">
        <f>(SUMPRODUCT(Q$9:Q$229,Nutrients!$FB$8:$FB$228)+(IF($A$7=Nutrients!$B$8,Nutrients!$FB$8,Nutrients!$FB$9)*Q$7)+(((IF($A$8=Nutrients!$B$79,Nutrients!$FB$79,(IF($A$8=Nutrients!$B$77,Nutrients!$FB$77,Nutrients!$FB$78)))))*Q$8))</f>
        <v>0</v>
      </c>
      <c r="R337" s="21">
        <f>(SUMPRODUCT(R$9:R$229,Nutrients!$FB$8:$FB$228)+(IF($A$7=Nutrients!$B$8,Nutrients!$FB$8,Nutrients!$FB$9)*R$7)+(((IF($A$8=Nutrients!$B$79,Nutrients!$FB$79,(IF($A$8=Nutrients!$B$77,Nutrients!$FB$77,Nutrients!$FB$78)))))*R$8))</f>
        <v>0</v>
      </c>
      <c r="S337" s="21">
        <f>(SUMPRODUCT(S$9:S$229,Nutrients!$FB$8:$FB$228)+(IF($A$7=Nutrients!$B$8,Nutrients!$FB$8,Nutrients!$FB$9)*S$7)+(((IF($A$8=Nutrients!$B$79,Nutrients!$FB$79,(IF($A$8=Nutrients!$B$77,Nutrients!$FB$77,Nutrients!$FB$78)))))*S$8))</f>
        <v>0</v>
      </c>
      <c r="T337" s="21">
        <f>(SUMPRODUCT(T$9:T$229,Nutrients!$FB$8:$FB$228)+(IF($A$7=Nutrients!$B$8,Nutrients!$FB$8,Nutrients!$FB$9)*T$7)+(((IF($A$8=Nutrients!$B$79,Nutrients!$FB$79,(IF($A$8=Nutrients!$B$77,Nutrients!$FB$77,Nutrients!$FB$78)))))*T$8))</f>
        <v>0</v>
      </c>
      <c r="U337" s="21">
        <f>(SUMPRODUCT(U$9:U$229,Nutrients!$FB$8:$FB$228)+(IF($A$7=Nutrients!$B$8,Nutrients!$FB$8,Nutrients!$FB$9)*U$7)+(((IF($A$8=Nutrients!$B$79,Nutrients!$FB$79,(IF($A$8=Nutrients!$B$77,Nutrients!$FB$77,Nutrients!$FB$78)))))*U$8))</f>
        <v>0</v>
      </c>
      <c r="W337" s="21">
        <f>(SUMPRODUCT(W$9:W$229,Nutrients!$FB$8:$FB$228)+(IF($A$7=Nutrients!$B$8,Nutrients!$FB$8,Nutrients!$FB$9)*W$7)+(((IF($A$8=Nutrients!$B$79,Nutrients!$FB$79,(IF($A$8=Nutrients!$B$77,Nutrients!$FB$77,Nutrients!$FB$78)))))*W$8))</f>
        <v>0</v>
      </c>
      <c r="X337" s="21">
        <f>(SUMPRODUCT(X$9:X$229,Nutrients!$FB$8:$FB$228)+(IF($A$7=Nutrients!$B$8,Nutrients!$FB$8,Nutrients!$FB$9)*X$7)+(((IF($A$8=Nutrients!$B$79,Nutrients!$FB$79,(IF($A$8=Nutrients!$B$77,Nutrients!$FB$77,Nutrients!$FB$78)))))*X$8))</f>
        <v>0</v>
      </c>
      <c r="Y337" s="21">
        <f>(SUMPRODUCT(Y$9:Y$229,Nutrients!$FB$8:$FB$228)+(IF($A$7=Nutrients!$B$8,Nutrients!$FB$8,Nutrients!$FB$9)*Y$7)+(((IF($A$8=Nutrients!$B$79,Nutrients!$FB$79,(IF($A$8=Nutrients!$B$77,Nutrients!$FB$77,Nutrients!$FB$78)))))*Y$8))</f>
        <v>0</v>
      </c>
      <c r="Z337" s="21">
        <f>(SUMPRODUCT(Z$9:Z$229,Nutrients!$FB$8:$FB$228)+(IF($A$7=Nutrients!$B$8,Nutrients!$FB$8,Nutrients!$FB$9)*Z$7)+(((IF($A$8=Nutrients!$B$79,Nutrients!$FB$79,(IF($A$8=Nutrients!$B$77,Nutrients!$FB$77,Nutrients!$FB$78)))))*Z$8))</f>
        <v>0</v>
      </c>
      <c r="AA337" s="21">
        <f>(SUMPRODUCT(AA$9:AA$229,Nutrients!$FB$8:$FB$228)+(IF($A$7=Nutrients!$B$8,Nutrients!$FB$8,Nutrients!$FB$9)*AA$7)+(((IF($A$8=Nutrients!$B$79,Nutrients!$FB$79,(IF($A$8=Nutrients!$B$77,Nutrients!$FB$77,Nutrients!$FB$78)))))*AA$8))</f>
        <v>0</v>
      </c>
      <c r="AB337" s="21">
        <f>(SUMPRODUCT(AB$9:AB$229,Nutrients!$FB$8:$FB$228)+(IF($A$7=Nutrients!$B$8,Nutrients!$FB$8,Nutrients!$FB$9)*AB$7)+(((IF($A$8=Nutrients!$B$79,Nutrients!$FB$79,(IF($A$8=Nutrients!$B$77,Nutrients!$FB$77,Nutrients!$FB$78)))))*AB$8))</f>
        <v>0</v>
      </c>
      <c r="AD337" s="21">
        <f>(SUMPRODUCT(AD$9:AD$229,Nutrients!$FB$8:$FB$228)+(IF($A$7=Nutrients!$B$8,Nutrients!$FB$8,Nutrients!$FB$9)*AD$7)+(((IF($A$8=Nutrients!$B$79,Nutrients!$FB$79,(IF($A$8=Nutrients!$B$77,Nutrients!$FB$77,Nutrients!$FB$78)))))*AD$8))</f>
        <v>0</v>
      </c>
      <c r="AE337" s="21">
        <f>(SUMPRODUCT(AE$9:AE$229,Nutrients!$FB$8:$FB$228)+(IF($A$7=Nutrients!$B$8,Nutrients!$FB$8,Nutrients!$FB$9)*AE$7)+(((IF($A$8=Nutrients!$B$79,Nutrients!$FB$79,(IF($A$8=Nutrients!$B$77,Nutrients!$FB$77,Nutrients!$FB$78)))))*AE$8))</f>
        <v>0</v>
      </c>
      <c r="AF337" s="21">
        <f>(SUMPRODUCT(AF$9:AF$229,Nutrients!$FB$8:$FB$228)+(IF($A$7=Nutrients!$B$8,Nutrients!$FB$8,Nutrients!$FB$9)*AF$7)+(((IF($A$8=Nutrients!$B$79,Nutrients!$FB$79,(IF($A$8=Nutrients!$B$77,Nutrients!$FB$77,Nutrients!$FB$78)))))*AF$8))</f>
        <v>0</v>
      </c>
      <c r="AG337" s="21">
        <f>(SUMPRODUCT(AG$9:AG$229,Nutrients!$FB$8:$FB$228)+(IF($A$7=Nutrients!$B$8,Nutrients!$FB$8,Nutrients!$FB$9)*AG$7)+(((IF($A$8=Nutrients!$B$79,Nutrients!$FB$79,(IF($A$8=Nutrients!$B$77,Nutrients!$FB$77,Nutrients!$FB$78)))))*AG$8))</f>
        <v>0</v>
      </c>
      <c r="AH337" s="21">
        <f>(SUMPRODUCT(AH$9:AH$229,Nutrients!$FB$8:$FB$228)+(IF($A$7=Nutrients!$B$8,Nutrients!$FB$8,Nutrients!$FB$9)*AH$7)+(((IF($A$8=Nutrients!$B$79,Nutrients!$FB$79,(IF($A$8=Nutrients!$B$77,Nutrients!$FB$77,Nutrients!$FB$78)))))*AH$8))</f>
        <v>0</v>
      </c>
      <c r="AI337" s="21">
        <f>(SUMPRODUCT(AI$9:AI$229,Nutrients!$FB$8:$FB$228)+(IF($A$7=Nutrients!$B$8,Nutrients!$FB$8,Nutrients!$FB$9)*AI$7)+(((IF($A$8=Nutrients!$B$79,Nutrients!$FB$79,(IF($A$8=Nutrients!$B$77,Nutrients!$FB$77,Nutrients!$FB$78)))))*AI$8))</f>
        <v>0</v>
      </c>
      <c r="AK337" s="21">
        <f>(SUMPRODUCT(AK$9:AK$229,Nutrients!$FB$8:$FB$228)+(IF($A$7=Nutrients!$B$8,Nutrients!$FB$8,Nutrients!$FB$9)*AK$7)+(((IF($A$8=Nutrients!$B$79,Nutrients!$FB$79,(IF($A$8=Nutrients!$B$77,Nutrients!$FB$77,Nutrients!$FB$78)))))*AK$8))</f>
        <v>0</v>
      </c>
      <c r="AL337" s="21">
        <f>(SUMPRODUCT(AL$9:AL$229,Nutrients!$FB$8:$FB$228)+(IF($A$7=Nutrients!$B$8,Nutrients!$FB$8,Nutrients!$FB$9)*AL$7)+(((IF($A$8=Nutrients!$B$79,Nutrients!$FB$79,(IF($A$8=Nutrients!$B$77,Nutrients!$FB$77,Nutrients!$FB$78)))))*AL$8))</f>
        <v>0</v>
      </c>
      <c r="AM337" s="21">
        <f>(SUMPRODUCT(AM$9:AM$229,Nutrients!$FB$8:$FB$228)+(IF($A$7=Nutrients!$B$8,Nutrients!$FB$8,Nutrients!$FB$9)*AM$7)+(((IF($A$8=Nutrients!$B$79,Nutrients!$FB$79,(IF($A$8=Nutrients!$B$77,Nutrients!$FB$77,Nutrients!$FB$78)))))*AM$8))</f>
        <v>0</v>
      </c>
      <c r="AN337" s="21">
        <f>(SUMPRODUCT(AN$9:AN$229,Nutrients!$FB$8:$FB$228)+(IF($A$7=Nutrients!$B$8,Nutrients!$FB$8,Nutrients!$FB$9)*AN$7)+(((IF($A$8=Nutrients!$B$79,Nutrients!$FB$79,(IF($A$8=Nutrients!$B$77,Nutrients!$FB$77,Nutrients!$FB$78)))))*AN$8))</f>
        <v>0</v>
      </c>
      <c r="AO337" s="21">
        <f>(SUMPRODUCT(AO$9:AO$229,Nutrients!$FB$8:$FB$228)+(IF($A$7=Nutrients!$B$8,Nutrients!$FB$8,Nutrients!$FB$9)*AO$7)+(((IF($A$8=Nutrients!$B$79,Nutrients!$FB$79,(IF($A$8=Nutrients!$B$77,Nutrients!$FB$77,Nutrients!$FB$78)))))*AO$8))</f>
        <v>0</v>
      </c>
      <c r="AP337" s="21">
        <f>(SUMPRODUCT(AP$9:AP$229,Nutrients!$FB$8:$FB$228)+(IF($A$7=Nutrients!$B$8,Nutrients!$FB$8,Nutrients!$FB$9)*AP$7)+(((IF($A$8=Nutrients!$B$79,Nutrients!$FB$79,(IF($A$8=Nutrients!$B$77,Nutrients!$FB$77,Nutrients!$FB$78)))))*AP$8))</f>
        <v>0</v>
      </c>
      <c r="AR337" s="21">
        <f>(SUMPRODUCT(AR$9:AR$229,Nutrients!$FB$8:$FB$228)+(IF($A$7=Nutrients!$B$8,Nutrients!$FB$8,Nutrients!$FB$9)*AR$7)+(((IF($A$8=Nutrients!$B$79,Nutrients!$FB$79,(IF($A$8=Nutrients!$B$77,Nutrients!$FB$77,Nutrients!$FB$78)))))*AR$8))</f>
        <v>0</v>
      </c>
      <c r="AS337" s="21">
        <f>(SUMPRODUCT(AS$9:AS$229,Nutrients!$FB$8:$FB$228)+(IF($A$7=Nutrients!$B$8,Nutrients!$FB$8,Nutrients!$FB$9)*AS$7)+(((IF($A$8=Nutrients!$B$79,Nutrients!$FB$79,(IF($A$8=Nutrients!$B$77,Nutrients!$FB$77,Nutrients!$FB$78)))))*AS$8))</f>
        <v>0</v>
      </c>
      <c r="AT337" s="21">
        <f>(SUMPRODUCT(AT$9:AT$229,Nutrients!$FB$8:$FB$228)+(IF($A$7=Nutrients!$B$8,Nutrients!$FB$8,Nutrients!$FB$9)*AT$7)+(((IF($A$8=Nutrients!$B$79,Nutrients!$FB$79,(IF($A$8=Nutrients!$B$77,Nutrients!$FB$77,Nutrients!$FB$78)))))*AT$8))</f>
        <v>0</v>
      </c>
      <c r="AU337" s="21">
        <f>(SUMPRODUCT(AU$9:AU$229,Nutrients!$FB$8:$FB$228)+(IF($A$7=Nutrients!$B$8,Nutrients!$FB$8,Nutrients!$FB$9)*AU$7)+(((IF($A$8=Nutrients!$B$79,Nutrients!$FB$79,(IF($A$8=Nutrients!$B$77,Nutrients!$FB$77,Nutrients!$FB$78)))))*AU$8))</f>
        <v>0</v>
      </c>
      <c r="AV337" s="21">
        <f>(SUMPRODUCT(AV$9:AV$229,Nutrients!$FB$8:$FB$228)+(IF($A$7=Nutrients!$B$8,Nutrients!$FB$8,Nutrients!$FB$9)*AV$7)+(((IF($A$8=Nutrients!$B$79,Nutrients!$FB$79,(IF($A$8=Nutrients!$B$77,Nutrients!$FB$77,Nutrients!$FB$78)))))*AV$8))</f>
        <v>0</v>
      </c>
      <c r="AW337" s="21">
        <f>(SUMPRODUCT(AW$9:AW$229,Nutrients!$FB$8:$FB$228)+(IF($A$7=Nutrients!$B$8,Nutrients!$FB$8,Nutrients!$FB$9)*AW$7)+(((IF($A$8=Nutrients!$B$79,Nutrients!$FB$79,(IF($A$8=Nutrients!$B$77,Nutrients!$FB$77,Nutrients!$FB$78)))))*AW$8))</f>
        <v>0</v>
      </c>
    </row>
    <row r="338" spans="1:52" x14ac:dyDescent="0.25">
      <c r="A338" s="34" t="s">
        <v>131</v>
      </c>
      <c r="B338" s="21">
        <f>(SUMPRODUCT(B$9:B$229,Nutrients!$FC$8:$FC$228)+(IF($A$7=Nutrients!$B$8,Nutrients!$FC$8,Nutrients!$FC$9)*B$7)+(((IF($A$8=Nutrients!$B$79,Nutrients!$FC$79,(IF($A$8=Nutrients!$B$77,Nutrients!$FC$77,Nutrients!$FC$78)))))*B$8))</f>
        <v>0</v>
      </c>
      <c r="C338" s="21">
        <f>(SUMPRODUCT(C$9:C$229,Nutrients!$FC$8:$FC$228)+(IF($A$7=Nutrients!$B$8,Nutrients!$FC$8,Nutrients!$FC$9)*C$7)+(((IF($A$8=Nutrients!$B$79,Nutrients!$FC$79,(IF($A$8=Nutrients!$B$77,Nutrients!$FC$77,Nutrients!$FC$78)))))*C$8))</f>
        <v>0</v>
      </c>
      <c r="D338" s="21">
        <f>(SUMPRODUCT(D$9:D$229,Nutrients!$FC$8:$FC$228)+(IF($A$7=Nutrients!$B$8,Nutrients!$FC$8,Nutrients!$FC$9)*D$7)+(((IF($A$8=Nutrients!$B$79,Nutrients!$FC$79,(IF($A$8=Nutrients!$B$77,Nutrients!$FC$77,Nutrients!$FC$78)))))*D$8))</f>
        <v>0</v>
      </c>
      <c r="E338" s="21">
        <f>(SUMPRODUCT(E$9:E$229,Nutrients!$FC$8:$FC$228)+(IF($A$7=Nutrients!$B$8,Nutrients!$FC$8,Nutrients!$FC$9)*E$7)+(((IF($A$8=Nutrients!$B$79,Nutrients!$FC$79,(IF($A$8=Nutrients!$B$77,Nutrients!$FC$77,Nutrients!$FC$78)))))*E$8))</f>
        <v>0</v>
      </c>
      <c r="F338" s="21">
        <f>(SUMPRODUCT(F$9:F$229,Nutrients!$FC$8:$FC$228)+(IF($A$7=Nutrients!$B$8,Nutrients!$FC$8,Nutrients!$FC$9)*F$7)+(((IF($A$8=Nutrients!$B$79,Nutrients!$FC$79,(IF($A$8=Nutrients!$B$77,Nutrients!$FC$77,Nutrients!$FC$78)))))*F$8))</f>
        <v>0</v>
      </c>
      <c r="G338" s="21">
        <f>(SUMPRODUCT(G$9:G$229,Nutrients!$FC$8:$FC$228)+(IF($A$7=Nutrients!$B$8,Nutrients!$FC$8,Nutrients!$FC$9)*G$7)+(((IF($A$8=Nutrients!$B$79,Nutrients!$FC$79,(IF($A$8=Nutrients!$B$77,Nutrients!$FC$77,Nutrients!$FC$78)))))*G$8))</f>
        <v>0</v>
      </c>
      <c r="H338" s="226"/>
      <c r="I338" s="21">
        <f>(SUMPRODUCT(I$9:I$229,Nutrients!$FC$8:$FC$228)+(IF($A$7=Nutrients!$B$8,Nutrients!$FC$8,Nutrients!$FC$9)*I$7)+(((IF($A$8=Nutrients!$B$79,Nutrients!$FC$79,(IF($A$8=Nutrients!$B$77,Nutrients!$FC$77,Nutrients!$FC$78)))))*I$8))</f>
        <v>0</v>
      </c>
      <c r="J338" s="21">
        <f>(SUMPRODUCT(J$9:J$229,Nutrients!$FC$8:$FC$228)+(IF($A$7=Nutrients!$B$8,Nutrients!$FC$8,Nutrients!$FC$9)*J$7)+(((IF($A$8=Nutrients!$B$79,Nutrients!$FC$79,(IF($A$8=Nutrients!$B$77,Nutrients!$FC$77,Nutrients!$FC$78)))))*J$8))</f>
        <v>0</v>
      </c>
      <c r="K338" s="21">
        <f>(SUMPRODUCT(K$9:K$229,Nutrients!$FC$8:$FC$228)+(IF($A$7=Nutrients!$B$8,Nutrients!$FC$8,Nutrients!$FC$9)*K$7)+(((IF($A$8=Nutrients!$B$79,Nutrients!$FC$79,(IF($A$8=Nutrients!$B$77,Nutrients!$FC$77,Nutrients!$FC$78)))))*K$8))</f>
        <v>0</v>
      </c>
      <c r="L338" s="21">
        <f>(SUMPRODUCT(L$9:L$229,Nutrients!$FC$8:$FC$228)+(IF($A$7=Nutrients!$B$8,Nutrients!$FC$8,Nutrients!$FC$9)*L$7)+(((IF($A$8=Nutrients!$B$79,Nutrients!$FC$79,(IF($A$8=Nutrients!$B$77,Nutrients!$FC$77,Nutrients!$FC$78)))))*L$8))</f>
        <v>0</v>
      </c>
      <c r="M338" s="21">
        <f>(SUMPRODUCT(M$9:M$229,Nutrients!$FC$8:$FC$228)+(IF($A$7=Nutrients!$B$8,Nutrients!$FC$8,Nutrients!$FC$9)*M$7)+(((IF($A$8=Nutrients!$B$79,Nutrients!$FC$79,(IF($A$8=Nutrients!$B$77,Nutrients!$FC$77,Nutrients!$FC$78)))))*M$8))</f>
        <v>0</v>
      </c>
      <c r="N338" s="21">
        <f>(SUMPRODUCT(N$9:N$229,Nutrients!$FC$8:$FC$228)+(IF($A$7=Nutrients!$B$8,Nutrients!$FC$8,Nutrients!$FC$9)*N$7)+(((IF($A$8=Nutrients!$B$79,Nutrients!$FC$79,(IF($A$8=Nutrients!$B$77,Nutrients!$FC$77,Nutrients!$FC$78)))))*N$8))</f>
        <v>0</v>
      </c>
      <c r="O338" s="234"/>
      <c r="P338" s="21">
        <f>(SUMPRODUCT(P$9:P$229,Nutrients!$FC$8:$FC$228)+(IF($A$7=Nutrients!$B$8,Nutrients!$FC$8,Nutrients!$FC$9)*P$7)+(((IF($A$8=Nutrients!$B$79,Nutrients!$FC$79,(IF($A$8=Nutrients!$B$77,Nutrients!$FC$77,Nutrients!$FC$78)))))*P$8))</f>
        <v>0</v>
      </c>
      <c r="Q338" s="21">
        <f>(SUMPRODUCT(Q$9:Q$229,Nutrients!$FC$8:$FC$228)+(IF($A$7=Nutrients!$B$8,Nutrients!$FC$8,Nutrients!$FC$9)*Q$7)+(((IF($A$8=Nutrients!$B$79,Nutrients!$FC$79,(IF($A$8=Nutrients!$B$77,Nutrients!$FC$77,Nutrients!$FC$78)))))*Q$8))</f>
        <v>0</v>
      </c>
      <c r="R338" s="21">
        <f>(SUMPRODUCT(R$9:R$229,Nutrients!$FC$8:$FC$228)+(IF($A$7=Nutrients!$B$8,Nutrients!$FC$8,Nutrients!$FC$9)*R$7)+(((IF($A$8=Nutrients!$B$79,Nutrients!$FC$79,(IF($A$8=Nutrients!$B$77,Nutrients!$FC$77,Nutrients!$FC$78)))))*R$8))</f>
        <v>0</v>
      </c>
      <c r="S338" s="21">
        <f>(SUMPRODUCT(S$9:S$229,Nutrients!$FC$8:$FC$228)+(IF($A$7=Nutrients!$B$8,Nutrients!$FC$8,Nutrients!$FC$9)*S$7)+(((IF($A$8=Nutrients!$B$79,Nutrients!$FC$79,(IF($A$8=Nutrients!$B$77,Nutrients!$FC$77,Nutrients!$FC$78)))))*S$8))</f>
        <v>0</v>
      </c>
      <c r="T338" s="21">
        <f>(SUMPRODUCT(T$9:T$229,Nutrients!$FC$8:$FC$228)+(IF($A$7=Nutrients!$B$8,Nutrients!$FC$8,Nutrients!$FC$9)*T$7)+(((IF($A$8=Nutrients!$B$79,Nutrients!$FC$79,(IF($A$8=Nutrients!$B$77,Nutrients!$FC$77,Nutrients!$FC$78)))))*T$8))</f>
        <v>0</v>
      </c>
      <c r="U338" s="21">
        <f>(SUMPRODUCT(U$9:U$229,Nutrients!$FC$8:$FC$228)+(IF($A$7=Nutrients!$B$8,Nutrients!$FC$8,Nutrients!$FC$9)*U$7)+(((IF($A$8=Nutrients!$B$79,Nutrients!$FC$79,(IF($A$8=Nutrients!$B$77,Nutrients!$FC$77,Nutrients!$FC$78)))))*U$8))</f>
        <v>0</v>
      </c>
      <c r="W338" s="21">
        <f>(SUMPRODUCT(W$9:W$229,Nutrients!$FC$8:$FC$228)+(IF($A$7=Nutrients!$B$8,Nutrients!$FC$8,Nutrients!$FC$9)*W$7)+(((IF($A$8=Nutrients!$B$79,Nutrients!$FC$79,(IF($A$8=Nutrients!$B$77,Nutrients!$FC$77,Nutrients!$FC$78)))))*W$8))</f>
        <v>0</v>
      </c>
      <c r="X338" s="21">
        <f>(SUMPRODUCT(X$9:X$229,Nutrients!$FC$8:$FC$228)+(IF($A$7=Nutrients!$B$8,Nutrients!$FC$8,Nutrients!$FC$9)*X$7)+(((IF($A$8=Nutrients!$B$79,Nutrients!$FC$79,(IF($A$8=Nutrients!$B$77,Nutrients!$FC$77,Nutrients!$FC$78)))))*X$8))</f>
        <v>0</v>
      </c>
      <c r="Y338" s="21">
        <f>(SUMPRODUCT(Y$9:Y$229,Nutrients!$FC$8:$FC$228)+(IF($A$7=Nutrients!$B$8,Nutrients!$FC$8,Nutrients!$FC$9)*Y$7)+(((IF($A$8=Nutrients!$B$79,Nutrients!$FC$79,(IF($A$8=Nutrients!$B$77,Nutrients!$FC$77,Nutrients!$FC$78)))))*Y$8))</f>
        <v>0</v>
      </c>
      <c r="Z338" s="21">
        <f>(SUMPRODUCT(Z$9:Z$229,Nutrients!$FC$8:$FC$228)+(IF($A$7=Nutrients!$B$8,Nutrients!$FC$8,Nutrients!$FC$9)*Z$7)+(((IF($A$8=Nutrients!$B$79,Nutrients!$FC$79,(IF($A$8=Nutrients!$B$77,Nutrients!$FC$77,Nutrients!$FC$78)))))*Z$8))</f>
        <v>0</v>
      </c>
      <c r="AA338" s="21">
        <f>(SUMPRODUCT(AA$9:AA$229,Nutrients!$FC$8:$FC$228)+(IF($A$7=Nutrients!$B$8,Nutrients!$FC$8,Nutrients!$FC$9)*AA$7)+(((IF($A$8=Nutrients!$B$79,Nutrients!$FC$79,(IF($A$8=Nutrients!$B$77,Nutrients!$FC$77,Nutrients!$FC$78)))))*AA$8))</f>
        <v>0</v>
      </c>
      <c r="AB338" s="21">
        <f>(SUMPRODUCT(AB$9:AB$229,Nutrients!$FC$8:$FC$228)+(IF($A$7=Nutrients!$B$8,Nutrients!$FC$8,Nutrients!$FC$9)*AB$7)+(((IF($A$8=Nutrients!$B$79,Nutrients!$FC$79,(IF($A$8=Nutrients!$B$77,Nutrients!$FC$77,Nutrients!$FC$78)))))*AB$8))</f>
        <v>0</v>
      </c>
      <c r="AD338" s="21">
        <f>(SUMPRODUCT(AD$9:AD$229,Nutrients!$FC$8:$FC$228)+(IF($A$7=Nutrients!$B$8,Nutrients!$FC$8,Nutrients!$FC$9)*AD$7)+(((IF($A$8=Nutrients!$B$79,Nutrients!$FC$79,(IF($A$8=Nutrients!$B$77,Nutrients!$FC$77,Nutrients!$FC$78)))))*AD$8))</f>
        <v>0</v>
      </c>
      <c r="AE338" s="21">
        <f>(SUMPRODUCT(AE$9:AE$229,Nutrients!$FC$8:$FC$228)+(IF($A$7=Nutrients!$B$8,Nutrients!$FC$8,Nutrients!$FC$9)*AE$7)+(((IF($A$8=Nutrients!$B$79,Nutrients!$FC$79,(IF($A$8=Nutrients!$B$77,Nutrients!$FC$77,Nutrients!$FC$78)))))*AE$8))</f>
        <v>0</v>
      </c>
      <c r="AF338" s="21">
        <f>(SUMPRODUCT(AF$9:AF$229,Nutrients!$FC$8:$FC$228)+(IF($A$7=Nutrients!$B$8,Nutrients!$FC$8,Nutrients!$FC$9)*AF$7)+(((IF($A$8=Nutrients!$B$79,Nutrients!$FC$79,(IF($A$8=Nutrients!$B$77,Nutrients!$FC$77,Nutrients!$FC$78)))))*AF$8))</f>
        <v>0</v>
      </c>
      <c r="AG338" s="21">
        <f>(SUMPRODUCT(AG$9:AG$229,Nutrients!$FC$8:$FC$228)+(IF($A$7=Nutrients!$B$8,Nutrients!$FC$8,Nutrients!$FC$9)*AG$7)+(((IF($A$8=Nutrients!$B$79,Nutrients!$FC$79,(IF($A$8=Nutrients!$B$77,Nutrients!$FC$77,Nutrients!$FC$78)))))*AG$8))</f>
        <v>0</v>
      </c>
      <c r="AH338" s="21">
        <f>(SUMPRODUCT(AH$9:AH$229,Nutrients!$FC$8:$FC$228)+(IF($A$7=Nutrients!$B$8,Nutrients!$FC$8,Nutrients!$FC$9)*AH$7)+(((IF($A$8=Nutrients!$B$79,Nutrients!$FC$79,(IF($A$8=Nutrients!$B$77,Nutrients!$FC$77,Nutrients!$FC$78)))))*AH$8))</f>
        <v>0</v>
      </c>
      <c r="AI338" s="21">
        <f>(SUMPRODUCT(AI$9:AI$229,Nutrients!$FC$8:$FC$228)+(IF($A$7=Nutrients!$B$8,Nutrients!$FC$8,Nutrients!$FC$9)*AI$7)+(((IF($A$8=Nutrients!$B$79,Nutrients!$FC$79,(IF($A$8=Nutrients!$B$77,Nutrients!$FC$77,Nutrients!$FC$78)))))*AI$8))</f>
        <v>0</v>
      </c>
      <c r="AK338" s="21">
        <f>(SUMPRODUCT(AK$9:AK$229,Nutrients!$FC$8:$FC$228)+(IF($A$7=Nutrients!$B$8,Nutrients!$FC$8,Nutrients!$FC$9)*AK$7)+(((IF($A$8=Nutrients!$B$79,Nutrients!$FC$79,(IF($A$8=Nutrients!$B$77,Nutrients!$FC$77,Nutrients!$FC$78)))))*AK$8))</f>
        <v>0</v>
      </c>
      <c r="AL338" s="21">
        <f>(SUMPRODUCT(AL$9:AL$229,Nutrients!$FC$8:$FC$228)+(IF($A$7=Nutrients!$B$8,Nutrients!$FC$8,Nutrients!$FC$9)*AL$7)+(((IF($A$8=Nutrients!$B$79,Nutrients!$FC$79,(IF($A$8=Nutrients!$B$77,Nutrients!$FC$77,Nutrients!$FC$78)))))*AL$8))</f>
        <v>0</v>
      </c>
      <c r="AM338" s="21">
        <f>(SUMPRODUCT(AM$9:AM$229,Nutrients!$FC$8:$FC$228)+(IF($A$7=Nutrients!$B$8,Nutrients!$FC$8,Nutrients!$FC$9)*AM$7)+(((IF($A$8=Nutrients!$B$79,Nutrients!$FC$79,(IF($A$8=Nutrients!$B$77,Nutrients!$FC$77,Nutrients!$FC$78)))))*AM$8))</f>
        <v>0</v>
      </c>
      <c r="AN338" s="21">
        <f>(SUMPRODUCT(AN$9:AN$229,Nutrients!$FC$8:$FC$228)+(IF($A$7=Nutrients!$B$8,Nutrients!$FC$8,Nutrients!$FC$9)*AN$7)+(((IF($A$8=Nutrients!$B$79,Nutrients!$FC$79,(IF($A$8=Nutrients!$B$77,Nutrients!$FC$77,Nutrients!$FC$78)))))*AN$8))</f>
        <v>0</v>
      </c>
      <c r="AO338" s="21">
        <f>(SUMPRODUCT(AO$9:AO$229,Nutrients!$FC$8:$FC$228)+(IF($A$7=Nutrients!$B$8,Nutrients!$FC$8,Nutrients!$FC$9)*AO$7)+(((IF($A$8=Nutrients!$B$79,Nutrients!$FC$79,(IF($A$8=Nutrients!$B$77,Nutrients!$FC$77,Nutrients!$FC$78)))))*AO$8))</f>
        <v>0</v>
      </c>
      <c r="AP338" s="21">
        <f>(SUMPRODUCT(AP$9:AP$229,Nutrients!$FC$8:$FC$228)+(IF($A$7=Nutrients!$B$8,Nutrients!$FC$8,Nutrients!$FC$9)*AP$7)+(((IF($A$8=Nutrients!$B$79,Nutrients!$FC$79,(IF($A$8=Nutrients!$B$77,Nutrients!$FC$77,Nutrients!$FC$78)))))*AP$8))</f>
        <v>0</v>
      </c>
      <c r="AR338" s="21">
        <f>(SUMPRODUCT(AR$9:AR$229,Nutrients!$FC$8:$FC$228)+(IF($A$7=Nutrients!$B$8,Nutrients!$FC$8,Nutrients!$FC$9)*AR$7)+(((IF($A$8=Nutrients!$B$79,Nutrients!$FC$79,(IF($A$8=Nutrients!$B$77,Nutrients!$FC$77,Nutrients!$FC$78)))))*AR$8))</f>
        <v>0</v>
      </c>
      <c r="AS338" s="21">
        <f>(SUMPRODUCT(AS$9:AS$229,Nutrients!$FC$8:$FC$228)+(IF($A$7=Nutrients!$B$8,Nutrients!$FC$8,Nutrients!$FC$9)*AS$7)+(((IF($A$8=Nutrients!$B$79,Nutrients!$FC$79,(IF($A$8=Nutrients!$B$77,Nutrients!$FC$77,Nutrients!$FC$78)))))*AS$8))</f>
        <v>0</v>
      </c>
      <c r="AT338" s="21">
        <f>(SUMPRODUCT(AT$9:AT$229,Nutrients!$FC$8:$FC$228)+(IF($A$7=Nutrients!$B$8,Nutrients!$FC$8,Nutrients!$FC$9)*AT$7)+(((IF($A$8=Nutrients!$B$79,Nutrients!$FC$79,(IF($A$8=Nutrients!$B$77,Nutrients!$FC$77,Nutrients!$FC$78)))))*AT$8))</f>
        <v>0</v>
      </c>
      <c r="AU338" s="21">
        <f>(SUMPRODUCT(AU$9:AU$229,Nutrients!$FC$8:$FC$228)+(IF($A$7=Nutrients!$B$8,Nutrients!$FC$8,Nutrients!$FC$9)*AU$7)+(((IF($A$8=Nutrients!$B$79,Nutrients!$FC$79,(IF($A$8=Nutrients!$B$77,Nutrients!$FC$77,Nutrients!$FC$78)))))*AU$8))</f>
        <v>0</v>
      </c>
      <c r="AV338" s="21">
        <f>(SUMPRODUCT(AV$9:AV$229,Nutrients!$FC$8:$FC$228)+(IF($A$7=Nutrients!$B$8,Nutrients!$FC$8,Nutrients!$FC$9)*AV$7)+(((IF($A$8=Nutrients!$B$79,Nutrients!$FC$79,(IF($A$8=Nutrients!$B$77,Nutrients!$FC$77,Nutrients!$FC$78)))))*AV$8))</f>
        <v>0</v>
      </c>
      <c r="AW338" s="21">
        <f>(SUMPRODUCT(AW$9:AW$229,Nutrients!$FC$8:$FC$228)+(IF($A$7=Nutrients!$B$8,Nutrients!$FC$8,Nutrients!$FC$9)*AW$7)+(((IF($A$8=Nutrients!$B$79,Nutrients!$FC$79,(IF($A$8=Nutrients!$B$77,Nutrients!$FC$77,Nutrients!$FC$78)))))*AW$8))</f>
        <v>0</v>
      </c>
    </row>
    <row r="339" spans="1:52" x14ac:dyDescent="0.25">
      <c r="A339" s="34" t="s">
        <v>132</v>
      </c>
      <c r="B339" s="21">
        <f>(SUMPRODUCT(B$9:B$229,Nutrients!$FD$8:$FD$228)+(IF($A$7=Nutrients!$B$8,Nutrients!$FD$8,Nutrients!$FD$9)*B$7)+(((IF($A$8=Nutrients!$B$79,Nutrients!$FD$79,(IF($A$8=Nutrients!$B$77,Nutrients!$FD$77,Nutrients!$FD$78)))))*B$8))</f>
        <v>0</v>
      </c>
      <c r="C339" s="21">
        <f>(SUMPRODUCT(C$9:C$229,Nutrients!$FD$8:$FD$228)+(IF($A$7=Nutrients!$B$8,Nutrients!$FD$8,Nutrients!$FD$9)*C$7)+(((IF($A$8=Nutrients!$B$79,Nutrients!$FD$79,(IF($A$8=Nutrients!$B$77,Nutrients!$FD$77,Nutrients!$FD$78)))))*C$8))</f>
        <v>0</v>
      </c>
      <c r="D339" s="21">
        <f>(SUMPRODUCT(D$9:D$229,Nutrients!$FD$8:$FD$228)+(IF($A$7=Nutrients!$B$8,Nutrients!$FD$8,Nutrients!$FD$9)*D$7)+(((IF($A$8=Nutrients!$B$79,Nutrients!$FD$79,(IF($A$8=Nutrients!$B$77,Nutrients!$FD$77,Nutrients!$FD$78)))))*D$8))</f>
        <v>0</v>
      </c>
      <c r="E339" s="21">
        <f>(SUMPRODUCT(E$9:E$229,Nutrients!$FD$8:$FD$228)+(IF($A$7=Nutrients!$B$8,Nutrients!$FD$8,Nutrients!$FD$9)*E$7)+(((IF($A$8=Nutrients!$B$79,Nutrients!$FD$79,(IF($A$8=Nutrients!$B$77,Nutrients!$FD$77,Nutrients!$FD$78)))))*E$8))</f>
        <v>0</v>
      </c>
      <c r="F339" s="21">
        <f>(SUMPRODUCT(F$9:F$229,Nutrients!$FD$8:$FD$228)+(IF($A$7=Nutrients!$B$8,Nutrients!$FD$8,Nutrients!$FD$9)*F$7)+(((IF($A$8=Nutrients!$B$79,Nutrients!$FD$79,(IF($A$8=Nutrients!$B$77,Nutrients!$FD$77,Nutrients!$FD$78)))))*F$8))</f>
        <v>0</v>
      </c>
      <c r="G339" s="21">
        <f>(SUMPRODUCT(G$9:G$229,Nutrients!$FD$8:$FD$228)+(IF($A$7=Nutrients!$B$8,Nutrients!$FD$8,Nutrients!$FD$9)*G$7)+(((IF($A$8=Nutrients!$B$79,Nutrients!$FD$79,(IF($A$8=Nutrients!$B$77,Nutrients!$FD$77,Nutrients!$FD$78)))))*G$8))</f>
        <v>0</v>
      </c>
      <c r="H339" s="226"/>
      <c r="I339" s="21">
        <f>(SUMPRODUCT(I$9:I$229,Nutrients!$FD$8:$FD$228)+(IF($A$7=Nutrients!$B$8,Nutrients!$FD$8,Nutrients!$FD$9)*I$7)+(((IF($A$8=Nutrients!$B$79,Nutrients!$FD$79,(IF($A$8=Nutrients!$B$77,Nutrients!$FD$77,Nutrients!$FD$78)))))*I$8))</f>
        <v>0</v>
      </c>
      <c r="J339" s="21">
        <f>(SUMPRODUCT(J$9:J$229,Nutrients!$FD$8:$FD$228)+(IF($A$7=Nutrients!$B$8,Nutrients!$FD$8,Nutrients!$FD$9)*J$7)+(((IF($A$8=Nutrients!$B$79,Nutrients!$FD$79,(IF($A$8=Nutrients!$B$77,Nutrients!$FD$77,Nutrients!$FD$78)))))*J$8))</f>
        <v>0</v>
      </c>
      <c r="K339" s="21">
        <f>(SUMPRODUCT(K$9:K$229,Nutrients!$FD$8:$FD$228)+(IF($A$7=Nutrients!$B$8,Nutrients!$FD$8,Nutrients!$FD$9)*K$7)+(((IF($A$8=Nutrients!$B$79,Nutrients!$FD$79,(IF($A$8=Nutrients!$B$77,Nutrients!$FD$77,Nutrients!$FD$78)))))*K$8))</f>
        <v>0</v>
      </c>
      <c r="L339" s="21">
        <f>(SUMPRODUCT(L$9:L$229,Nutrients!$FD$8:$FD$228)+(IF($A$7=Nutrients!$B$8,Nutrients!$FD$8,Nutrients!$FD$9)*L$7)+(((IF($A$8=Nutrients!$B$79,Nutrients!$FD$79,(IF($A$8=Nutrients!$B$77,Nutrients!$FD$77,Nutrients!$FD$78)))))*L$8))</f>
        <v>0</v>
      </c>
      <c r="M339" s="21">
        <f>(SUMPRODUCT(M$9:M$229,Nutrients!$FD$8:$FD$228)+(IF($A$7=Nutrients!$B$8,Nutrients!$FD$8,Nutrients!$FD$9)*M$7)+(((IF($A$8=Nutrients!$B$79,Nutrients!$FD$79,(IF($A$8=Nutrients!$B$77,Nutrients!$FD$77,Nutrients!$FD$78)))))*M$8))</f>
        <v>0</v>
      </c>
      <c r="N339" s="21">
        <f>(SUMPRODUCT(N$9:N$229,Nutrients!$FD$8:$FD$228)+(IF($A$7=Nutrients!$B$8,Nutrients!$FD$8,Nutrients!$FD$9)*N$7)+(((IF($A$8=Nutrients!$B$79,Nutrients!$FD$79,(IF($A$8=Nutrients!$B$77,Nutrients!$FD$77,Nutrients!$FD$78)))))*N$8))</f>
        <v>0</v>
      </c>
      <c r="O339" s="234"/>
      <c r="P339" s="21">
        <f>(SUMPRODUCT(P$9:P$229,Nutrients!$FD$8:$FD$228)+(IF($A$7=Nutrients!$B$8,Nutrients!$FD$8,Nutrients!$FD$9)*P$7)+(((IF($A$8=Nutrients!$B$79,Nutrients!$FD$79,(IF($A$8=Nutrients!$B$77,Nutrients!$FD$77,Nutrients!$FD$78)))))*P$8))</f>
        <v>0</v>
      </c>
      <c r="Q339" s="21">
        <f>(SUMPRODUCT(Q$9:Q$229,Nutrients!$FD$8:$FD$228)+(IF($A$7=Nutrients!$B$8,Nutrients!$FD$8,Nutrients!$FD$9)*Q$7)+(((IF($A$8=Nutrients!$B$79,Nutrients!$FD$79,(IF($A$8=Nutrients!$B$77,Nutrients!$FD$77,Nutrients!$FD$78)))))*Q$8))</f>
        <v>0</v>
      </c>
      <c r="R339" s="21">
        <f>(SUMPRODUCT(R$9:R$229,Nutrients!$FD$8:$FD$228)+(IF($A$7=Nutrients!$B$8,Nutrients!$FD$8,Nutrients!$FD$9)*R$7)+(((IF($A$8=Nutrients!$B$79,Nutrients!$FD$79,(IF($A$8=Nutrients!$B$77,Nutrients!$FD$77,Nutrients!$FD$78)))))*R$8))</f>
        <v>0</v>
      </c>
      <c r="S339" s="21">
        <f>(SUMPRODUCT(S$9:S$229,Nutrients!$FD$8:$FD$228)+(IF($A$7=Nutrients!$B$8,Nutrients!$FD$8,Nutrients!$FD$9)*S$7)+(((IF($A$8=Nutrients!$B$79,Nutrients!$FD$79,(IF($A$8=Nutrients!$B$77,Nutrients!$FD$77,Nutrients!$FD$78)))))*S$8))</f>
        <v>0</v>
      </c>
      <c r="T339" s="21">
        <f>(SUMPRODUCT(T$9:T$229,Nutrients!$FD$8:$FD$228)+(IF($A$7=Nutrients!$B$8,Nutrients!$FD$8,Nutrients!$FD$9)*T$7)+(((IF($A$8=Nutrients!$B$79,Nutrients!$FD$79,(IF($A$8=Nutrients!$B$77,Nutrients!$FD$77,Nutrients!$FD$78)))))*T$8))</f>
        <v>0</v>
      </c>
      <c r="U339" s="21">
        <f>(SUMPRODUCT(U$9:U$229,Nutrients!$FD$8:$FD$228)+(IF($A$7=Nutrients!$B$8,Nutrients!$FD$8,Nutrients!$FD$9)*U$7)+(((IF($A$8=Nutrients!$B$79,Nutrients!$FD$79,(IF($A$8=Nutrients!$B$77,Nutrients!$FD$77,Nutrients!$FD$78)))))*U$8))</f>
        <v>0</v>
      </c>
      <c r="W339" s="21">
        <f>(SUMPRODUCT(W$9:W$229,Nutrients!$FD$8:$FD$228)+(IF($A$7=Nutrients!$B$8,Nutrients!$FD$8,Nutrients!$FD$9)*W$7)+(((IF($A$8=Nutrients!$B$79,Nutrients!$FD$79,(IF($A$8=Nutrients!$B$77,Nutrients!$FD$77,Nutrients!$FD$78)))))*W$8))</f>
        <v>0</v>
      </c>
      <c r="X339" s="21">
        <f>(SUMPRODUCT(X$9:X$229,Nutrients!$FD$8:$FD$228)+(IF($A$7=Nutrients!$B$8,Nutrients!$FD$8,Nutrients!$FD$9)*X$7)+(((IF($A$8=Nutrients!$B$79,Nutrients!$FD$79,(IF($A$8=Nutrients!$B$77,Nutrients!$FD$77,Nutrients!$FD$78)))))*X$8))</f>
        <v>0</v>
      </c>
      <c r="Y339" s="21">
        <f>(SUMPRODUCT(Y$9:Y$229,Nutrients!$FD$8:$FD$228)+(IF($A$7=Nutrients!$B$8,Nutrients!$FD$8,Nutrients!$FD$9)*Y$7)+(((IF($A$8=Nutrients!$B$79,Nutrients!$FD$79,(IF($A$8=Nutrients!$B$77,Nutrients!$FD$77,Nutrients!$FD$78)))))*Y$8))</f>
        <v>0</v>
      </c>
      <c r="Z339" s="21">
        <f>(SUMPRODUCT(Z$9:Z$229,Nutrients!$FD$8:$FD$228)+(IF($A$7=Nutrients!$B$8,Nutrients!$FD$8,Nutrients!$FD$9)*Z$7)+(((IF($A$8=Nutrients!$B$79,Nutrients!$FD$79,(IF($A$8=Nutrients!$B$77,Nutrients!$FD$77,Nutrients!$FD$78)))))*Z$8))</f>
        <v>0</v>
      </c>
      <c r="AA339" s="21">
        <f>(SUMPRODUCT(AA$9:AA$229,Nutrients!$FD$8:$FD$228)+(IF($A$7=Nutrients!$B$8,Nutrients!$FD$8,Nutrients!$FD$9)*AA$7)+(((IF($A$8=Nutrients!$B$79,Nutrients!$FD$79,(IF($A$8=Nutrients!$B$77,Nutrients!$FD$77,Nutrients!$FD$78)))))*AA$8))</f>
        <v>0</v>
      </c>
      <c r="AB339" s="21">
        <f>(SUMPRODUCT(AB$9:AB$229,Nutrients!$FD$8:$FD$228)+(IF($A$7=Nutrients!$B$8,Nutrients!$FD$8,Nutrients!$FD$9)*AB$7)+(((IF($A$8=Nutrients!$B$79,Nutrients!$FD$79,(IF($A$8=Nutrients!$B$77,Nutrients!$FD$77,Nutrients!$FD$78)))))*AB$8))</f>
        <v>0</v>
      </c>
      <c r="AD339" s="21">
        <f>(SUMPRODUCT(AD$9:AD$229,Nutrients!$FD$8:$FD$228)+(IF($A$7=Nutrients!$B$8,Nutrients!$FD$8,Nutrients!$FD$9)*AD$7)+(((IF($A$8=Nutrients!$B$79,Nutrients!$FD$79,(IF($A$8=Nutrients!$B$77,Nutrients!$FD$77,Nutrients!$FD$78)))))*AD$8))</f>
        <v>0</v>
      </c>
      <c r="AE339" s="21">
        <f>(SUMPRODUCT(AE$9:AE$229,Nutrients!$FD$8:$FD$228)+(IF($A$7=Nutrients!$B$8,Nutrients!$FD$8,Nutrients!$FD$9)*AE$7)+(((IF($A$8=Nutrients!$B$79,Nutrients!$FD$79,(IF($A$8=Nutrients!$B$77,Nutrients!$FD$77,Nutrients!$FD$78)))))*AE$8))</f>
        <v>0</v>
      </c>
      <c r="AF339" s="21">
        <f>(SUMPRODUCT(AF$9:AF$229,Nutrients!$FD$8:$FD$228)+(IF($A$7=Nutrients!$B$8,Nutrients!$FD$8,Nutrients!$FD$9)*AF$7)+(((IF($A$8=Nutrients!$B$79,Nutrients!$FD$79,(IF($A$8=Nutrients!$B$77,Nutrients!$FD$77,Nutrients!$FD$78)))))*AF$8))</f>
        <v>0</v>
      </c>
      <c r="AG339" s="21">
        <f>(SUMPRODUCT(AG$9:AG$229,Nutrients!$FD$8:$FD$228)+(IF($A$7=Nutrients!$B$8,Nutrients!$FD$8,Nutrients!$FD$9)*AG$7)+(((IF($A$8=Nutrients!$B$79,Nutrients!$FD$79,(IF($A$8=Nutrients!$B$77,Nutrients!$FD$77,Nutrients!$FD$78)))))*AG$8))</f>
        <v>0</v>
      </c>
      <c r="AH339" s="21">
        <f>(SUMPRODUCT(AH$9:AH$229,Nutrients!$FD$8:$FD$228)+(IF($A$7=Nutrients!$B$8,Nutrients!$FD$8,Nutrients!$FD$9)*AH$7)+(((IF($A$8=Nutrients!$B$79,Nutrients!$FD$79,(IF($A$8=Nutrients!$B$77,Nutrients!$FD$77,Nutrients!$FD$78)))))*AH$8))</f>
        <v>0</v>
      </c>
      <c r="AI339" s="21">
        <f>(SUMPRODUCT(AI$9:AI$229,Nutrients!$FD$8:$FD$228)+(IF($A$7=Nutrients!$B$8,Nutrients!$FD$8,Nutrients!$FD$9)*AI$7)+(((IF($A$8=Nutrients!$B$79,Nutrients!$FD$79,(IF($A$8=Nutrients!$B$77,Nutrients!$FD$77,Nutrients!$FD$78)))))*AI$8))</f>
        <v>0</v>
      </c>
      <c r="AK339" s="21">
        <f>(SUMPRODUCT(AK$9:AK$229,Nutrients!$FD$8:$FD$228)+(IF($A$7=Nutrients!$B$8,Nutrients!$FD$8,Nutrients!$FD$9)*AK$7)+(((IF($A$8=Nutrients!$B$79,Nutrients!$FD$79,(IF($A$8=Nutrients!$B$77,Nutrients!$FD$77,Nutrients!$FD$78)))))*AK$8))</f>
        <v>0</v>
      </c>
      <c r="AL339" s="21">
        <f>(SUMPRODUCT(AL$9:AL$229,Nutrients!$FD$8:$FD$228)+(IF($A$7=Nutrients!$B$8,Nutrients!$FD$8,Nutrients!$FD$9)*AL$7)+(((IF($A$8=Nutrients!$B$79,Nutrients!$FD$79,(IF($A$8=Nutrients!$B$77,Nutrients!$FD$77,Nutrients!$FD$78)))))*AL$8))</f>
        <v>0</v>
      </c>
      <c r="AM339" s="21">
        <f>(SUMPRODUCT(AM$9:AM$229,Nutrients!$FD$8:$FD$228)+(IF($A$7=Nutrients!$B$8,Nutrients!$FD$8,Nutrients!$FD$9)*AM$7)+(((IF($A$8=Nutrients!$B$79,Nutrients!$FD$79,(IF($A$8=Nutrients!$B$77,Nutrients!$FD$77,Nutrients!$FD$78)))))*AM$8))</f>
        <v>0</v>
      </c>
      <c r="AN339" s="21">
        <f>(SUMPRODUCT(AN$9:AN$229,Nutrients!$FD$8:$FD$228)+(IF($A$7=Nutrients!$B$8,Nutrients!$FD$8,Nutrients!$FD$9)*AN$7)+(((IF($A$8=Nutrients!$B$79,Nutrients!$FD$79,(IF($A$8=Nutrients!$B$77,Nutrients!$FD$77,Nutrients!$FD$78)))))*AN$8))</f>
        <v>0</v>
      </c>
      <c r="AO339" s="21">
        <f>(SUMPRODUCT(AO$9:AO$229,Nutrients!$FD$8:$FD$228)+(IF($A$7=Nutrients!$B$8,Nutrients!$FD$8,Nutrients!$FD$9)*AO$7)+(((IF($A$8=Nutrients!$B$79,Nutrients!$FD$79,(IF($A$8=Nutrients!$B$77,Nutrients!$FD$77,Nutrients!$FD$78)))))*AO$8))</f>
        <v>0</v>
      </c>
      <c r="AP339" s="21">
        <f>(SUMPRODUCT(AP$9:AP$229,Nutrients!$FD$8:$FD$228)+(IF($A$7=Nutrients!$B$8,Nutrients!$FD$8,Nutrients!$FD$9)*AP$7)+(((IF($A$8=Nutrients!$B$79,Nutrients!$FD$79,(IF($A$8=Nutrients!$B$77,Nutrients!$FD$77,Nutrients!$FD$78)))))*AP$8))</f>
        <v>0</v>
      </c>
      <c r="AR339" s="21">
        <f>(SUMPRODUCT(AR$9:AR$229,Nutrients!$FD$8:$FD$228)+(IF($A$7=Nutrients!$B$8,Nutrients!$FD$8,Nutrients!$FD$9)*AR$7)+(((IF($A$8=Nutrients!$B$79,Nutrients!$FD$79,(IF($A$8=Nutrients!$B$77,Nutrients!$FD$77,Nutrients!$FD$78)))))*AR$8))</f>
        <v>0</v>
      </c>
      <c r="AS339" s="21">
        <f>(SUMPRODUCT(AS$9:AS$229,Nutrients!$FD$8:$FD$228)+(IF($A$7=Nutrients!$B$8,Nutrients!$FD$8,Nutrients!$FD$9)*AS$7)+(((IF($A$8=Nutrients!$B$79,Nutrients!$FD$79,(IF($A$8=Nutrients!$B$77,Nutrients!$FD$77,Nutrients!$FD$78)))))*AS$8))</f>
        <v>0</v>
      </c>
      <c r="AT339" s="21">
        <f>(SUMPRODUCT(AT$9:AT$229,Nutrients!$FD$8:$FD$228)+(IF($A$7=Nutrients!$B$8,Nutrients!$FD$8,Nutrients!$FD$9)*AT$7)+(((IF($A$8=Nutrients!$B$79,Nutrients!$FD$79,(IF($A$8=Nutrients!$B$77,Nutrients!$FD$77,Nutrients!$FD$78)))))*AT$8))</f>
        <v>0</v>
      </c>
      <c r="AU339" s="21">
        <f>(SUMPRODUCT(AU$9:AU$229,Nutrients!$FD$8:$FD$228)+(IF($A$7=Nutrients!$B$8,Nutrients!$FD$8,Nutrients!$FD$9)*AU$7)+(((IF($A$8=Nutrients!$B$79,Nutrients!$FD$79,(IF($A$8=Nutrients!$B$77,Nutrients!$FD$77,Nutrients!$FD$78)))))*AU$8))</f>
        <v>0</v>
      </c>
      <c r="AV339" s="21">
        <f>(SUMPRODUCT(AV$9:AV$229,Nutrients!$FD$8:$FD$228)+(IF($A$7=Nutrients!$B$8,Nutrients!$FD$8,Nutrients!$FD$9)*AV$7)+(((IF($A$8=Nutrients!$B$79,Nutrients!$FD$79,(IF($A$8=Nutrients!$B$77,Nutrients!$FD$77,Nutrients!$FD$78)))))*AV$8))</f>
        <v>0</v>
      </c>
      <c r="AW339" s="21">
        <f>(SUMPRODUCT(AW$9:AW$229,Nutrients!$FD$8:$FD$228)+(IF($A$7=Nutrients!$B$8,Nutrients!$FD$8,Nutrients!$FD$9)*AW$7)+(((IF($A$8=Nutrients!$B$79,Nutrients!$FD$79,(IF($A$8=Nutrients!$B$77,Nutrients!$FD$77,Nutrients!$FD$78)))))*AW$8))</f>
        <v>0</v>
      </c>
    </row>
    <row r="340" spans="1:52" x14ac:dyDescent="0.25">
      <c r="A340" s="34" t="s">
        <v>133</v>
      </c>
      <c r="B340" s="21">
        <f>(SUMPRODUCT(B$9:B$229,Nutrients!$FE$8:$FE$228)+(IF($A$7=Nutrients!$B$8,Nutrients!$FE$8,Nutrients!$FE$9)*B$7)+(((IF($A$8=Nutrients!$B$79,Nutrients!$FE$79,(IF($A$8=Nutrients!$B$77,Nutrients!$FE$77,Nutrients!$FE$78)))))*B$8))</f>
        <v>0</v>
      </c>
      <c r="C340" s="21">
        <f>(SUMPRODUCT(C$9:C$229,Nutrients!$FE$8:$FE$228)+(IF($A$7=Nutrients!$B$8,Nutrients!$FE$8,Nutrients!$FE$9)*C$7)+(((IF($A$8=Nutrients!$B$79,Nutrients!$FE$79,(IF($A$8=Nutrients!$B$77,Nutrients!$FE$77,Nutrients!$FE$78)))))*C$8))</f>
        <v>0</v>
      </c>
      <c r="D340" s="21">
        <f>(SUMPRODUCT(D$9:D$229,Nutrients!$FE$8:$FE$228)+(IF($A$7=Nutrients!$B$8,Nutrients!$FE$8,Nutrients!$FE$9)*D$7)+(((IF($A$8=Nutrients!$B$79,Nutrients!$FE$79,(IF($A$8=Nutrients!$B$77,Nutrients!$FE$77,Nutrients!$FE$78)))))*D$8))</f>
        <v>0</v>
      </c>
      <c r="E340" s="21">
        <f>(SUMPRODUCT(E$9:E$229,Nutrients!$FE$8:$FE$228)+(IF($A$7=Nutrients!$B$8,Nutrients!$FE$8,Nutrients!$FE$9)*E$7)+(((IF($A$8=Nutrients!$B$79,Nutrients!$FE$79,(IF($A$8=Nutrients!$B$77,Nutrients!$FE$77,Nutrients!$FE$78)))))*E$8))</f>
        <v>0</v>
      </c>
      <c r="F340" s="21">
        <f>(SUMPRODUCT(F$9:F$229,Nutrients!$FE$8:$FE$228)+(IF($A$7=Nutrients!$B$8,Nutrients!$FE$8,Nutrients!$FE$9)*F$7)+(((IF($A$8=Nutrients!$B$79,Nutrients!$FE$79,(IF($A$8=Nutrients!$B$77,Nutrients!$FE$77,Nutrients!$FE$78)))))*F$8))</f>
        <v>0</v>
      </c>
      <c r="G340" s="21">
        <f>(SUMPRODUCT(G$9:G$229,Nutrients!$FE$8:$FE$228)+(IF($A$7=Nutrients!$B$8,Nutrients!$FE$8,Nutrients!$FE$9)*G$7)+(((IF($A$8=Nutrients!$B$79,Nutrients!$FE$79,(IF($A$8=Nutrients!$B$77,Nutrients!$FE$77,Nutrients!$FE$78)))))*G$8))</f>
        <v>0</v>
      </c>
      <c r="H340" s="226"/>
      <c r="I340" s="21">
        <f>(SUMPRODUCT(I$9:I$229,Nutrients!$FE$8:$FE$228)+(IF($A$7=Nutrients!$B$8,Nutrients!$FE$8,Nutrients!$FE$9)*I$7)+(((IF($A$8=Nutrients!$B$79,Nutrients!$FE$79,(IF($A$8=Nutrients!$B$77,Nutrients!$FE$77,Nutrients!$FE$78)))))*I$8))</f>
        <v>0</v>
      </c>
      <c r="J340" s="21">
        <f>(SUMPRODUCT(J$9:J$229,Nutrients!$FE$8:$FE$228)+(IF($A$7=Nutrients!$B$8,Nutrients!$FE$8,Nutrients!$FE$9)*J$7)+(((IF($A$8=Nutrients!$B$79,Nutrients!$FE$79,(IF($A$8=Nutrients!$B$77,Nutrients!$FE$77,Nutrients!$FE$78)))))*J$8))</f>
        <v>0</v>
      </c>
      <c r="K340" s="21">
        <f>(SUMPRODUCT(K$9:K$229,Nutrients!$FE$8:$FE$228)+(IF($A$7=Nutrients!$B$8,Nutrients!$FE$8,Nutrients!$FE$9)*K$7)+(((IF($A$8=Nutrients!$B$79,Nutrients!$FE$79,(IF($A$8=Nutrients!$B$77,Nutrients!$FE$77,Nutrients!$FE$78)))))*K$8))</f>
        <v>0</v>
      </c>
      <c r="L340" s="21">
        <f>(SUMPRODUCT(L$9:L$229,Nutrients!$FE$8:$FE$228)+(IF($A$7=Nutrients!$B$8,Nutrients!$FE$8,Nutrients!$FE$9)*L$7)+(((IF($A$8=Nutrients!$B$79,Nutrients!$FE$79,(IF($A$8=Nutrients!$B$77,Nutrients!$FE$77,Nutrients!$FE$78)))))*L$8))</f>
        <v>0</v>
      </c>
      <c r="M340" s="21">
        <f>(SUMPRODUCT(M$9:M$229,Nutrients!$FE$8:$FE$228)+(IF($A$7=Nutrients!$B$8,Nutrients!$FE$8,Nutrients!$FE$9)*M$7)+(((IF($A$8=Nutrients!$B$79,Nutrients!$FE$79,(IF($A$8=Nutrients!$B$77,Nutrients!$FE$77,Nutrients!$FE$78)))))*M$8))</f>
        <v>0</v>
      </c>
      <c r="N340" s="21">
        <f>(SUMPRODUCT(N$9:N$229,Nutrients!$FE$8:$FE$228)+(IF($A$7=Nutrients!$B$8,Nutrients!$FE$8,Nutrients!$FE$9)*N$7)+(((IF($A$8=Nutrients!$B$79,Nutrients!$FE$79,(IF($A$8=Nutrients!$B$77,Nutrients!$FE$77,Nutrients!$FE$78)))))*N$8))</f>
        <v>0</v>
      </c>
      <c r="O340" s="234"/>
      <c r="P340" s="21">
        <f>(SUMPRODUCT(P$9:P$229,Nutrients!$FE$8:$FE$228)+(IF($A$7=Nutrients!$B$8,Nutrients!$FE$8,Nutrients!$FE$9)*P$7)+(((IF($A$8=Nutrients!$B$79,Nutrients!$FE$79,(IF($A$8=Nutrients!$B$77,Nutrients!$FE$77,Nutrients!$FE$78)))))*P$8))</f>
        <v>0</v>
      </c>
      <c r="Q340" s="21">
        <f>(SUMPRODUCT(Q$9:Q$229,Nutrients!$FE$8:$FE$228)+(IF($A$7=Nutrients!$B$8,Nutrients!$FE$8,Nutrients!$FE$9)*Q$7)+(((IF($A$8=Nutrients!$B$79,Nutrients!$FE$79,(IF($A$8=Nutrients!$B$77,Nutrients!$FE$77,Nutrients!$FE$78)))))*Q$8))</f>
        <v>0</v>
      </c>
      <c r="R340" s="21">
        <f>(SUMPRODUCT(R$9:R$229,Nutrients!$FE$8:$FE$228)+(IF($A$7=Nutrients!$B$8,Nutrients!$FE$8,Nutrients!$FE$9)*R$7)+(((IF($A$8=Nutrients!$B$79,Nutrients!$FE$79,(IF($A$8=Nutrients!$B$77,Nutrients!$FE$77,Nutrients!$FE$78)))))*R$8))</f>
        <v>0</v>
      </c>
      <c r="S340" s="21">
        <f>(SUMPRODUCT(S$9:S$229,Nutrients!$FE$8:$FE$228)+(IF($A$7=Nutrients!$B$8,Nutrients!$FE$8,Nutrients!$FE$9)*S$7)+(((IF($A$8=Nutrients!$B$79,Nutrients!$FE$79,(IF($A$8=Nutrients!$B$77,Nutrients!$FE$77,Nutrients!$FE$78)))))*S$8))</f>
        <v>0</v>
      </c>
      <c r="T340" s="21">
        <f>(SUMPRODUCT(T$9:T$229,Nutrients!$FE$8:$FE$228)+(IF($A$7=Nutrients!$B$8,Nutrients!$FE$8,Nutrients!$FE$9)*T$7)+(((IF($A$8=Nutrients!$B$79,Nutrients!$FE$79,(IF($A$8=Nutrients!$B$77,Nutrients!$FE$77,Nutrients!$FE$78)))))*T$8))</f>
        <v>0</v>
      </c>
      <c r="U340" s="21">
        <f>(SUMPRODUCT(U$9:U$229,Nutrients!$FE$8:$FE$228)+(IF($A$7=Nutrients!$B$8,Nutrients!$FE$8,Nutrients!$FE$9)*U$7)+(((IF($A$8=Nutrients!$B$79,Nutrients!$FE$79,(IF($A$8=Nutrients!$B$77,Nutrients!$FE$77,Nutrients!$FE$78)))))*U$8))</f>
        <v>0</v>
      </c>
      <c r="W340" s="21">
        <f>(SUMPRODUCT(W$9:W$229,Nutrients!$FE$8:$FE$228)+(IF($A$7=Nutrients!$B$8,Nutrients!$FE$8,Nutrients!$FE$9)*W$7)+(((IF($A$8=Nutrients!$B$79,Nutrients!$FE$79,(IF($A$8=Nutrients!$B$77,Nutrients!$FE$77,Nutrients!$FE$78)))))*W$8))</f>
        <v>0</v>
      </c>
      <c r="X340" s="21">
        <f>(SUMPRODUCT(X$9:X$229,Nutrients!$FE$8:$FE$228)+(IF($A$7=Nutrients!$B$8,Nutrients!$FE$8,Nutrients!$FE$9)*X$7)+(((IF($A$8=Nutrients!$B$79,Nutrients!$FE$79,(IF($A$8=Nutrients!$B$77,Nutrients!$FE$77,Nutrients!$FE$78)))))*X$8))</f>
        <v>0</v>
      </c>
      <c r="Y340" s="21">
        <f>(SUMPRODUCT(Y$9:Y$229,Nutrients!$FE$8:$FE$228)+(IF($A$7=Nutrients!$B$8,Nutrients!$FE$8,Nutrients!$FE$9)*Y$7)+(((IF($A$8=Nutrients!$B$79,Nutrients!$FE$79,(IF($A$8=Nutrients!$B$77,Nutrients!$FE$77,Nutrients!$FE$78)))))*Y$8))</f>
        <v>0</v>
      </c>
      <c r="Z340" s="21">
        <f>(SUMPRODUCT(Z$9:Z$229,Nutrients!$FE$8:$FE$228)+(IF($A$7=Nutrients!$B$8,Nutrients!$FE$8,Nutrients!$FE$9)*Z$7)+(((IF($A$8=Nutrients!$B$79,Nutrients!$FE$79,(IF($A$8=Nutrients!$B$77,Nutrients!$FE$77,Nutrients!$FE$78)))))*Z$8))</f>
        <v>0</v>
      </c>
      <c r="AA340" s="21">
        <f>(SUMPRODUCT(AA$9:AA$229,Nutrients!$FE$8:$FE$228)+(IF($A$7=Nutrients!$B$8,Nutrients!$FE$8,Nutrients!$FE$9)*AA$7)+(((IF($A$8=Nutrients!$B$79,Nutrients!$FE$79,(IF($A$8=Nutrients!$B$77,Nutrients!$FE$77,Nutrients!$FE$78)))))*AA$8))</f>
        <v>0</v>
      </c>
      <c r="AB340" s="21">
        <f>(SUMPRODUCT(AB$9:AB$229,Nutrients!$FE$8:$FE$228)+(IF($A$7=Nutrients!$B$8,Nutrients!$FE$8,Nutrients!$FE$9)*AB$7)+(((IF($A$8=Nutrients!$B$79,Nutrients!$FE$79,(IF($A$8=Nutrients!$B$77,Nutrients!$FE$77,Nutrients!$FE$78)))))*AB$8))</f>
        <v>0</v>
      </c>
      <c r="AD340" s="21">
        <f>(SUMPRODUCT(AD$9:AD$229,Nutrients!$FE$8:$FE$228)+(IF($A$7=Nutrients!$B$8,Nutrients!$FE$8,Nutrients!$FE$9)*AD$7)+(((IF($A$8=Nutrients!$B$79,Nutrients!$FE$79,(IF($A$8=Nutrients!$B$77,Nutrients!$FE$77,Nutrients!$FE$78)))))*AD$8))</f>
        <v>0</v>
      </c>
      <c r="AE340" s="21">
        <f>(SUMPRODUCT(AE$9:AE$229,Nutrients!$FE$8:$FE$228)+(IF($A$7=Nutrients!$B$8,Nutrients!$FE$8,Nutrients!$FE$9)*AE$7)+(((IF($A$8=Nutrients!$B$79,Nutrients!$FE$79,(IF($A$8=Nutrients!$B$77,Nutrients!$FE$77,Nutrients!$FE$78)))))*AE$8))</f>
        <v>0</v>
      </c>
      <c r="AF340" s="21">
        <f>(SUMPRODUCT(AF$9:AF$229,Nutrients!$FE$8:$FE$228)+(IF($A$7=Nutrients!$B$8,Nutrients!$FE$8,Nutrients!$FE$9)*AF$7)+(((IF($A$8=Nutrients!$B$79,Nutrients!$FE$79,(IF($A$8=Nutrients!$B$77,Nutrients!$FE$77,Nutrients!$FE$78)))))*AF$8))</f>
        <v>0</v>
      </c>
      <c r="AG340" s="21">
        <f>(SUMPRODUCT(AG$9:AG$229,Nutrients!$FE$8:$FE$228)+(IF($A$7=Nutrients!$B$8,Nutrients!$FE$8,Nutrients!$FE$9)*AG$7)+(((IF($A$8=Nutrients!$B$79,Nutrients!$FE$79,(IF($A$8=Nutrients!$B$77,Nutrients!$FE$77,Nutrients!$FE$78)))))*AG$8))</f>
        <v>0</v>
      </c>
      <c r="AH340" s="21">
        <f>(SUMPRODUCT(AH$9:AH$229,Nutrients!$FE$8:$FE$228)+(IF($A$7=Nutrients!$B$8,Nutrients!$FE$8,Nutrients!$FE$9)*AH$7)+(((IF($A$8=Nutrients!$B$79,Nutrients!$FE$79,(IF($A$8=Nutrients!$B$77,Nutrients!$FE$77,Nutrients!$FE$78)))))*AH$8))</f>
        <v>0</v>
      </c>
      <c r="AI340" s="21">
        <f>(SUMPRODUCT(AI$9:AI$229,Nutrients!$FE$8:$FE$228)+(IF($A$7=Nutrients!$B$8,Nutrients!$FE$8,Nutrients!$FE$9)*AI$7)+(((IF($A$8=Nutrients!$B$79,Nutrients!$FE$79,(IF($A$8=Nutrients!$B$77,Nutrients!$FE$77,Nutrients!$FE$78)))))*AI$8))</f>
        <v>0</v>
      </c>
      <c r="AK340" s="21">
        <f>(SUMPRODUCT(AK$9:AK$229,Nutrients!$FE$8:$FE$228)+(IF($A$7=Nutrients!$B$8,Nutrients!$FE$8,Nutrients!$FE$9)*AK$7)+(((IF($A$8=Nutrients!$B$79,Nutrients!$FE$79,(IF($A$8=Nutrients!$B$77,Nutrients!$FE$77,Nutrients!$FE$78)))))*AK$8))</f>
        <v>0</v>
      </c>
      <c r="AL340" s="21">
        <f>(SUMPRODUCT(AL$9:AL$229,Nutrients!$FE$8:$FE$228)+(IF($A$7=Nutrients!$B$8,Nutrients!$FE$8,Nutrients!$FE$9)*AL$7)+(((IF($A$8=Nutrients!$B$79,Nutrients!$FE$79,(IF($A$8=Nutrients!$B$77,Nutrients!$FE$77,Nutrients!$FE$78)))))*AL$8))</f>
        <v>0</v>
      </c>
      <c r="AM340" s="21">
        <f>(SUMPRODUCT(AM$9:AM$229,Nutrients!$FE$8:$FE$228)+(IF($A$7=Nutrients!$B$8,Nutrients!$FE$8,Nutrients!$FE$9)*AM$7)+(((IF($A$8=Nutrients!$B$79,Nutrients!$FE$79,(IF($A$8=Nutrients!$B$77,Nutrients!$FE$77,Nutrients!$FE$78)))))*AM$8))</f>
        <v>0</v>
      </c>
      <c r="AN340" s="21">
        <f>(SUMPRODUCT(AN$9:AN$229,Nutrients!$FE$8:$FE$228)+(IF($A$7=Nutrients!$B$8,Nutrients!$FE$8,Nutrients!$FE$9)*AN$7)+(((IF($A$8=Nutrients!$B$79,Nutrients!$FE$79,(IF($A$8=Nutrients!$B$77,Nutrients!$FE$77,Nutrients!$FE$78)))))*AN$8))</f>
        <v>0</v>
      </c>
      <c r="AO340" s="21">
        <f>(SUMPRODUCT(AO$9:AO$229,Nutrients!$FE$8:$FE$228)+(IF($A$7=Nutrients!$B$8,Nutrients!$FE$8,Nutrients!$FE$9)*AO$7)+(((IF($A$8=Nutrients!$B$79,Nutrients!$FE$79,(IF($A$8=Nutrients!$B$77,Nutrients!$FE$77,Nutrients!$FE$78)))))*AO$8))</f>
        <v>0</v>
      </c>
      <c r="AP340" s="21">
        <f>(SUMPRODUCT(AP$9:AP$229,Nutrients!$FE$8:$FE$228)+(IF($A$7=Nutrients!$B$8,Nutrients!$FE$8,Nutrients!$FE$9)*AP$7)+(((IF($A$8=Nutrients!$B$79,Nutrients!$FE$79,(IF($A$8=Nutrients!$B$77,Nutrients!$FE$77,Nutrients!$FE$78)))))*AP$8))</f>
        <v>0</v>
      </c>
      <c r="AR340" s="21">
        <f>(SUMPRODUCT(AR$9:AR$229,Nutrients!$FE$8:$FE$228)+(IF($A$7=Nutrients!$B$8,Nutrients!$FE$8,Nutrients!$FE$9)*AR$7)+(((IF($A$8=Nutrients!$B$79,Nutrients!$FE$79,(IF($A$8=Nutrients!$B$77,Nutrients!$FE$77,Nutrients!$FE$78)))))*AR$8))</f>
        <v>0</v>
      </c>
      <c r="AS340" s="21">
        <f>(SUMPRODUCT(AS$9:AS$229,Nutrients!$FE$8:$FE$228)+(IF($A$7=Nutrients!$B$8,Nutrients!$FE$8,Nutrients!$FE$9)*AS$7)+(((IF($A$8=Nutrients!$B$79,Nutrients!$FE$79,(IF($A$8=Nutrients!$B$77,Nutrients!$FE$77,Nutrients!$FE$78)))))*AS$8))</f>
        <v>0</v>
      </c>
      <c r="AT340" s="21">
        <f>(SUMPRODUCT(AT$9:AT$229,Nutrients!$FE$8:$FE$228)+(IF($A$7=Nutrients!$B$8,Nutrients!$FE$8,Nutrients!$FE$9)*AT$7)+(((IF($A$8=Nutrients!$B$79,Nutrients!$FE$79,(IF($A$8=Nutrients!$B$77,Nutrients!$FE$77,Nutrients!$FE$78)))))*AT$8))</f>
        <v>0</v>
      </c>
      <c r="AU340" s="21">
        <f>(SUMPRODUCT(AU$9:AU$229,Nutrients!$FE$8:$FE$228)+(IF($A$7=Nutrients!$B$8,Nutrients!$FE$8,Nutrients!$FE$9)*AU$7)+(((IF($A$8=Nutrients!$B$79,Nutrients!$FE$79,(IF($A$8=Nutrients!$B$77,Nutrients!$FE$77,Nutrients!$FE$78)))))*AU$8))</f>
        <v>0</v>
      </c>
      <c r="AV340" s="21">
        <f>(SUMPRODUCT(AV$9:AV$229,Nutrients!$FE$8:$FE$228)+(IF($A$7=Nutrients!$B$8,Nutrients!$FE$8,Nutrients!$FE$9)*AV$7)+(((IF($A$8=Nutrients!$B$79,Nutrients!$FE$79,(IF($A$8=Nutrients!$B$77,Nutrients!$FE$77,Nutrients!$FE$78)))))*AV$8))</f>
        <v>0</v>
      </c>
      <c r="AW340" s="21">
        <f>(SUMPRODUCT(AW$9:AW$229,Nutrients!$FE$8:$FE$228)+(IF($A$7=Nutrients!$B$8,Nutrients!$FE$8,Nutrients!$FE$9)*AW$7)+(((IF($A$8=Nutrients!$B$79,Nutrients!$FE$79,(IF($A$8=Nutrients!$B$77,Nutrients!$FE$77,Nutrients!$FE$78)))))*AW$8))</f>
        <v>0</v>
      </c>
    </row>
    <row r="341" spans="1:52" x14ac:dyDescent="0.25">
      <c r="B341" s="7"/>
      <c r="C341" s="7"/>
      <c r="D341" s="7"/>
      <c r="E341" s="7"/>
      <c r="F341" s="7"/>
      <c r="G341" s="7"/>
      <c r="O341" s="234"/>
      <c r="AD341" s="380"/>
      <c r="AR341" s="436"/>
      <c r="AS341" s="7"/>
      <c r="AT341" s="7"/>
      <c r="AU341" s="7"/>
      <c r="AV341" s="7"/>
      <c r="AW341" s="7"/>
    </row>
    <row r="342" spans="1:52" x14ac:dyDescent="0.25">
      <c r="A342" s="298" t="s">
        <v>478</v>
      </c>
      <c r="B342" s="299">
        <f xml:space="preserve"> (-1619.2980797296 + 25.9248064834 * (B251/1000) - 2657.6209162609 * B236 +
123.0469725298 * B253 - 9.2854579989 * B316 + 872.0182830582 * B252 + 26.664395965 * (AVERAGE(B5:B6)*0.453592) +
2599.7646012325 * B236 * B236- 0.1016237102 *  (AVERAGE(B5:B6)*0.453592) *  (AVERAGE(B5:B6)*0.453592) - 71.8618465276 * B236 * B253 -
607.1294449572 * B236 * B252 + 25.6463076451 * B236 * (AVERAGE(B5:B6)*0.453592) - 0.8399854508 * B253 * (AVERAGE(B5:B6)*0.453592) +
0.0967347393 * B316 * (AVERAGE(B5:B6)*0.453592) - 5.2553838048 * B252 * (AVERAGE(B5:B6)*0.453592))</f>
        <v>740.32616660444182</v>
      </c>
      <c r="C342" s="299">
        <f xml:space="preserve"> -1619.2980797296 + 25.9248064834 * (C251/1000) - 2657.6209162609 * C236 +
123.0469725298 * C253 - 9.2854579989 * C316 + 872.0182830582 * C252 + 26.664395965 * (AVERAGE(C5:C6)*0.453592) +
2599.7646012325 * C236 * C236- 0.1016237102 *  (AVERAGE(C5:C6)*0.453592) *  (AVERAGE(C5:C6)*0.453592) - 71.8618465276 * C236 * C253 -
607.1294449572 * C236 * C252 + 25.6463076451 * C236 * (AVERAGE(C5:C6)*0.453592) - 0.8399854508 * C253 * (AVERAGE(C5:C6)*0.453592) +
0.0967347393 * C316 * (AVERAGE(C5:C6)*0.453592) - 5.2553838048 * C252 * (AVERAGE(C5:C6)*0.453592)</f>
        <v>862.50756659214221</v>
      </c>
      <c r="D342" s="299">
        <f xml:space="preserve"> -1619.2980797296 + 25.9248064834 * (D251/1000) - 2657.6209162609 * D236 +
123.0469725298 * D253 - 9.2854579989 * D316 + 872.0182830582 * D252 + 26.664395965 * (AVERAGE(D5:D6)*0.453592) +
2599.7646012325 * D236 * D236- 0.1016237102 *  (AVERAGE(D5:D6)*0.453592) *  (AVERAGE(D5:D6)*0.453592) - 71.8618465276 * D236 * D253 -
607.1294449572 * D236 * D252 + 25.6463076451 * D236 * (AVERAGE(D5:D6)*0.453592) - 0.8399854508 * D253 * (AVERAGE(D5:D6)*0.453592) +
0.0967347393 * D316 * (AVERAGE(D5:D6)*0.453592) - 5.2553838048 * D252 * (AVERAGE(D5:D6)*0.453592)</f>
        <v>944.95636803551065</v>
      </c>
      <c r="E342" s="299">
        <f xml:space="preserve"> -1619.2980797296 + 25.9248064834 * (E251/1000) - 2657.6209162609 * E236 +
123.0469725298 * E253 - 9.2854579989 * E316 + 872.0182830582 * E252 + 26.664395965 * (AVERAGE(E5:E6)*0.453592) +
2599.7646012325 * E236 * E236- 0.1016237102 *  (AVERAGE(E5:E6)*0.453592) *  (AVERAGE(E5:E6)*0.453592) - 71.8618465276 * E236 * E253 -
607.1294449572 * E236 * E252 + 25.6463076451 * E236 * (AVERAGE(E5:E6)*0.453592) - 0.8399854508 * E253 * (AVERAGE(E5:E6)*0.453592) +
0.0967347393 * E316 * (AVERAGE(E5:E6)*0.453592) - 5.2553838048 * E252 * (AVERAGE(E5:E6)*0.453592)</f>
        <v>984.20180073567008</v>
      </c>
      <c r="F342" s="299">
        <f xml:space="preserve"> -1619.2980797296 + 25.9248064834 * (F251/1000) - 2657.6209162609 * F236 +
123.0469725298 * F253 - 9.2854579989 * F316 + 872.0182830582 * F252 + 26.664395965 * (AVERAGE(F5:F6)*0.453592) +
2599.7646012325 * F236 * F236- 0.1016237102 *  (AVERAGE(F5:F6)*0.453592) *  (AVERAGE(F5:F6)*0.453592) - 71.8618465276 * F236 * F253 -
607.1294449572 * F236 * F252 + 25.6463076451 * F236 * (AVERAGE(F5:F6)*0.453592) - 0.8399854508 * F253 * (AVERAGE(F5:F6)*0.453592) +
0.0967347393 * F316 * (AVERAGE(F5:F6)*0.453592) - 5.2553838048 * F252 * (AVERAGE(F5:F6)*0.453592)</f>
        <v>982.04258582759257</v>
      </c>
      <c r="G342" s="299">
        <f xml:space="preserve"> -1619.2980797296 + 25.9248064834 * (G251/1000) - 2657.6209162609 * G236 +
123.0469725298 * G253 - 9.2854579989 * G316 + 872.0182830582 * G252 + 26.664395965 * (AVERAGE(G5:G6)*0.453592) +
2599.7646012325 * G236 * G236- 0.1016237102 *  (AVERAGE(G5:G6)*0.453592) *  (AVERAGE(G5:G6)*0.453592) - 71.8618465276 * G236 * G253 -
607.1294449572 * G236 * G252 + 25.6463076451 * G236 * (AVERAGE(G5:G6)*0.453592) - 0.8399854508 * G253 * (AVERAGE(G5:G6)*0.453592) +
0.0967347393 * G316 * (AVERAGE(G5:G6)*0.453592) - 5.2553838048 * G252 * (AVERAGE(G5:G6)*0.453592)</f>
        <v>932.08406418687355</v>
      </c>
      <c r="I342" s="299">
        <f xml:space="preserve"> (-1619.2980797296 + 25.9248064834 * (I251/1000) - 2657.6209162609 * I236 +
123.0469725298 * I253 - 9.2854579989 * I316 + 872.0182830582 * I252 + 26.664395965 * (AVERAGE(I5:I6)*0.453592) +
2599.7646012325 * I236 * I236- 0.1016237102 *  (AVERAGE(I5:I6)*0.453592) *  (AVERAGE(I5:I6)*0.453592) - 71.8618465276 * I236 * I253 -
607.1294449572 * I236 * I252 + 25.6463076451 * I236 * (AVERAGE(I5:I6)*0.453592) - 0.8399854508 * I253 * (AVERAGE(I5:I6)*0.453592) +
0.0967347393 * I316 * (AVERAGE(I5:I6)*0.453592) - 5.2553838048 * I252 * (AVERAGE(I5:I6)*0.453592))</f>
        <v>734.98200857534789</v>
      </c>
      <c r="J342" s="299">
        <f xml:space="preserve"> -1619.2980797296 + 25.9248064834 * (J251/1000) - 2657.6209162609 * J236 +
123.0469725298 * J253 - 9.2854579989 * J316 + 872.0182830582 * J252 + 26.664395965 * (AVERAGE(J5:J6)*0.453592) +
2599.7646012325 * J236 * J236- 0.1016237102 *  (AVERAGE(J5:J6)*0.453592) *  (AVERAGE(J5:J6)*0.453592) - 71.8618465276 * J236 * J253 -
607.1294449572 * J236 * J252 + 25.6463076451 * J236 * (AVERAGE(J5:J6)*0.453592) - 0.8399854508 * J253 * (AVERAGE(J5:J6)*0.453592) +
0.0967347393 * J316 * (AVERAGE(J5:J6)*0.453592) - 5.2553838048 * J252 * (AVERAGE(J5:J6)*0.453592)</f>
        <v>857.03896662430009</v>
      </c>
      <c r="K342" s="299">
        <f xml:space="preserve"> -1619.2980797296 + 25.9248064834 * (K251/1000) - 2657.6209162609 * K236 +
123.0469725298 * K253 - 9.2854579989 * K316 + 872.0182830582 * K252 + 26.664395965 * (AVERAGE(K5:K6)*0.453592) +
2599.7646012325 * K236 * K236- 0.1016237102 *  (AVERAGE(K5:K6)*0.453592) *  (AVERAGE(K5:K6)*0.453592) - 71.8618465276 * K236 * K253 -
607.1294449572 * K236 * K252 + 25.6463076451 * K236 * (AVERAGE(K5:K6)*0.453592) - 0.8399854508 * K253 * (AVERAGE(K5:K6)*0.453592) +
0.0967347393 * K316 * (AVERAGE(K5:K6)*0.453592) - 5.2553838048 * K252 * (AVERAGE(K5:K6)*0.453592)</f>
        <v>938.67333767113405</v>
      </c>
      <c r="L342" s="299">
        <f xml:space="preserve"> -1619.2980797296 + 25.9248064834 * (L251/1000) - 2657.6209162609 * L236 +
123.0469725298 * L253 - 9.2854579989 * L316 + 872.0182830582 * L252 + 26.664395965 * (AVERAGE(L5:L6)*0.453592) +
2599.7646012325 * L236 * L236- 0.1016237102 *  (AVERAGE(L5:L6)*0.453592) *  (AVERAGE(L5:L6)*0.453592) - 71.8618465276 * L236 * L253 -
607.1294449572 * L236 * L252 + 25.6463076451 * L236 * (AVERAGE(L5:L6)*0.453592) - 0.8399854508 * L253 * (AVERAGE(L5:L6)*0.453592) +
0.0967347393 * L316 * (AVERAGE(L5:L6)*0.453592) - 5.2553838048 * L252 * (AVERAGE(L5:L6)*0.453592)</f>
        <v>975.87519399902249</v>
      </c>
      <c r="M342" s="299">
        <f xml:space="preserve"> -1619.2980797296 + 25.9248064834 * (M251/1000) - 2657.6209162609 * M236 +
123.0469725298 * M253 - 9.2854579989 * M316 + 872.0182830582 * M252 + 26.664395965 * (AVERAGE(M5:M6)*0.453592) +
2599.7646012325 * M236 * M236- 0.1016237102 *  (AVERAGE(M5:M6)*0.453592) *  (AVERAGE(M5:M6)*0.453592) - 71.8618465276 * M236 * M253 -
607.1294449572 * M236 * M252 + 25.6463076451 * M236 * (AVERAGE(M5:M6)*0.453592) - 0.8399854508 * M253 * (AVERAGE(M5:M6)*0.453592) +
0.0967347393 * M316 * (AVERAGE(M5:M6)*0.453592) - 5.2553838048 * M252 * (AVERAGE(M5:M6)*0.453592)</f>
        <v>970.37168111826622</v>
      </c>
      <c r="N342" s="299">
        <f xml:space="preserve"> -1619.2980797296 + 25.9248064834 * (N251/1000) - 2657.6209162609 * N236 +
123.0469725298 * N253 - 9.2854579989 * N316 + 872.0182830582 * N252 + 26.664395965 * (AVERAGE(N5:N6)*0.453592) +
2599.7646012325 * N236 * N236- 0.1016237102 *  (AVERAGE(N5:N6)*0.453592) *  (AVERAGE(N5:N6)*0.453592) - 71.8618465276 * N236 * N253 -
607.1294449572 * N236 * N252 + 25.6463076451 * N236 * (AVERAGE(N5:N6)*0.453592) - 0.8399854508 * N253 * (AVERAGE(N5:N6)*0.453592) +
0.0967347393 * N316 * (AVERAGE(N5:N6)*0.453592) - 5.2553838048 * N252 * (AVERAGE(N5:N6)*0.453592)</f>
        <v>932.08406418687355</v>
      </c>
      <c r="P342" s="299">
        <f xml:space="preserve"> (-1619.2980797296 + 25.9248064834 * (P251/1000) - 2657.6209162609 * P236 +
123.0469725298 * P253 - 9.2854579989 * P316 + 872.0182830582 * P252 + 26.664395965 * (AVERAGE(P5:P6)*0.453592) +
2599.7646012325 * P236 * P236- 0.1016237102 *  (AVERAGE(P5:P6)*0.453592) *  (AVERAGE(P5:P6)*0.453592) - 71.8618465276 * P236 * P253 -
607.1294449572 * P236 * P252 + 25.6463076451 * P236 * (AVERAGE(P5:P6)*0.453592) - 0.8399854508 * P253 * (AVERAGE(P5:P6)*0.453592) +
0.0967347393 * P316 * (AVERAGE(P5:P6)*0.453592) - 5.2553838048 * P252 * (AVERAGE(P5:P6)*0.453592))</f>
        <v>730.86253902058513</v>
      </c>
      <c r="Q342" s="299">
        <f xml:space="preserve"> -1619.2980797296 + 25.9248064834 * (Q251/1000) - 2657.6209162609 * Q236 +
123.0469725298 * Q253 - 9.2854579989 * Q316 + 872.0182830582 * Q252 + 26.664395965 * (AVERAGE(Q5:Q6)*0.453592) +
2599.7646012325 * Q236 * Q236- 0.1016237102 *  (AVERAGE(Q5:Q6)*0.453592) *  (AVERAGE(Q5:Q6)*0.453592) - 71.8618465276 * Q236 * Q253 -
607.1294449572 * Q236 * Q252 + 25.6463076451 * Q236 * (AVERAGE(Q5:Q6)*0.453592) - 0.8399854508 * Q253 * (AVERAGE(Q5:Q6)*0.453592) +
0.0967347393 * Q316 * (AVERAGE(Q5:Q6)*0.453592) - 5.2553838048 * Q252 * (AVERAGE(Q5:Q6)*0.453592)</f>
        <v>852.70454847034819</v>
      </c>
      <c r="R342" s="299">
        <f xml:space="preserve"> -1619.2980797296 + 25.9248064834 * (R251/1000) - 2657.6209162609 * R236 +
123.0469725298 * R253 - 9.2854579989 * R316 + 872.0182830582 * R252 + 26.664395965 * (AVERAGE(R5:R6)*0.453592) +
2599.7646012325 * R236 * R236- 0.1016237102 *  (AVERAGE(R5:R6)*0.453592) *  (AVERAGE(R5:R6)*0.453592) - 71.8618465276 * R236 * R253 -
607.1294449572 * R236 * R252 + 25.6463076451 * R236 * (AVERAGE(R5:R6)*0.453592) - 0.8399854508 * R253 * (AVERAGE(R5:R6)*0.453592) +
0.0967347393 * R316 * (AVERAGE(R5:R6)*0.453592) - 5.2553838048 * R252 * (AVERAGE(R5:R6)*0.453592)</f>
        <v>933.32207144981544</v>
      </c>
      <c r="S342" s="299">
        <f xml:space="preserve"> -1619.2980797296 + 25.9248064834 * (S251/1000) - 2657.6209162609 * S236 +
123.0469725298 * S253 - 9.2854579989 * S316 + 872.0182830582 * S252 + 26.664395965 * (AVERAGE(S5:S6)*0.453592) +
2599.7646012325 * S236 * S236- 0.1016237102 *  (AVERAGE(S5:S6)*0.453592) *  (AVERAGE(S5:S6)*0.453592) - 71.8618465276 * S236 * S253 -
607.1294449572 * S236 * S252 + 25.6463076451 * S236 * (AVERAGE(S5:S6)*0.453592) - 0.8399854508 * S253 * (AVERAGE(S5:S6)*0.453592) +
0.0967347393 * S316 * (AVERAGE(S5:S6)*0.453592) - 5.2553838048 * S252 * (AVERAGE(S5:S6)*0.453592)</f>
        <v>967.99604287988086</v>
      </c>
      <c r="T342" s="299">
        <f xml:space="preserve"> -1619.2980797296 + 25.9248064834 * (T251/1000) - 2657.6209162609 * T236 +
123.0469725298 * T253 - 9.2854579989 * T316 + 872.0182830582 * T252 + 26.664395965 * (AVERAGE(T5:T6)*0.453592) +
2599.7646012325 * T236 * T236- 0.1016237102 *  (AVERAGE(T5:T6)*0.453592) *  (AVERAGE(T5:T6)*0.453592) - 71.8618465276 * T236 * T253 -
607.1294449572 * T236 * T252 + 25.6463076451 * T236 * (AVERAGE(T5:T6)*0.453592) - 0.8399854508 * T253 * (AVERAGE(T5:T6)*0.453592) +
0.0967347393 * T316 * (AVERAGE(T5:T6)*0.453592) - 5.2553838048 * T252 * (AVERAGE(T5:T6)*0.453592)</f>
        <v>959.34807253354575</v>
      </c>
      <c r="U342" s="299">
        <f xml:space="preserve"> -1619.2980797296 + 25.9248064834 * (U251/1000) - 2657.6209162609 * U236 +
123.0469725298 * U253 - 9.2854579989 * U316 + 872.0182830582 * U252 + 26.664395965 * (AVERAGE(U5:U6)*0.453592) +
2599.7646012325 * U236 * U236- 0.1016237102 *  (AVERAGE(U5:U6)*0.453592) *  (AVERAGE(U5:U6)*0.453592) - 71.8618465276 * U236 * U253 -
607.1294449572 * U236 * U252 + 25.6463076451 * U236 * (AVERAGE(U5:U6)*0.453592) - 0.8399854508 * U253 * (AVERAGE(U5:U6)*0.453592) +
0.0967347393 * U316 * (AVERAGE(U5:U6)*0.453592) - 5.2553838048 * U252 * (AVERAGE(U5:U6)*0.453592)</f>
        <v>932.08406418687355</v>
      </c>
      <c r="W342" s="299">
        <f xml:space="preserve"> (-1619.2980797296 + 25.9248064834 * (W251/1000) - 2657.6209162609 * W236 +
123.0469725298 * W253 - 9.2854579989 * W316 + 872.0182830582 * W252 + 26.664395965 * (AVERAGE(W5:W6)*0.453592) +
2599.7646012325 * W236 * W236- 0.1016237102 *  (AVERAGE(W5:W6)*0.453592) *  (AVERAGE(W5:W6)*0.453592) - 71.8618465276 * W236 * W253 -
607.1294449572 * W236 * W252 + 25.6463076451 * W236 * (AVERAGE(W5:W6)*0.453592) - 0.8399854508 * W253 * (AVERAGE(W5:W6)*0.453592) +
0.0967347393 * W316 * (AVERAGE(W5:W6)*0.453592) - 5.2553838048 * W252 * (AVERAGE(W5:W6)*0.453592))</f>
        <v>727.51552435711903</v>
      </c>
      <c r="X342" s="299">
        <f xml:space="preserve"> -1619.2980797296 + 25.9248064834 * (X251/1000) - 2657.6209162609 * X236 +
123.0469725298 * X253 - 9.2854579989 * X316 + 872.0182830582 * X252 + 26.664395965 * (AVERAGE(X5:X6)*0.453592) +
2599.7646012325 * X236 * X236- 0.1016237102 *  (AVERAGE(X5:X6)*0.453592) *  (AVERAGE(X5:X6)*0.453592) - 71.8618465276 * X236 * X253 -
607.1294449572 * X236 * X252 + 25.6463076451 * X236 * (AVERAGE(X5:X6)*0.453592) - 0.8399854508 * X253 * (AVERAGE(X5:X6)*0.453592) +
0.0967347393 * X316 * (AVERAGE(X5:X6)*0.453592) - 5.2553838048 * X252 * (AVERAGE(X5:X6)*0.453592)</f>
        <v>848.998506061993</v>
      </c>
      <c r="Y342" s="299">
        <f xml:space="preserve"> -1619.2980797296 + 25.9248064834 * (Y251/1000) - 2657.6209162609 * Y236 +
123.0469725298 * Y253 - 9.2854579989 * Y316 + 872.0182830582 * Y252 + 26.664395965 * (AVERAGE(Y5:Y6)*0.453592) +
2599.7646012325 * Y236 * Y236- 0.1016237102 *  (AVERAGE(Y5:Y6)*0.453592) *  (AVERAGE(Y5:Y6)*0.453592) - 71.8618465276 * Y236 * Y253 -
607.1294449572 * Y236 * Y252 + 25.6463076451 * Y236 * (AVERAGE(Y5:Y6)*0.453592) - 0.8399854508 * Y253 * (AVERAGE(Y5:Y6)*0.453592) +
0.0967347393 * Y316 * (AVERAGE(Y5:Y6)*0.453592) - 5.2553838048 * Y252 * (AVERAGE(Y5:Y6)*0.453592)</f>
        <v>928.12318501505911</v>
      </c>
      <c r="Z342" s="299">
        <f xml:space="preserve"> -1619.2980797296 + 25.9248064834 * (Z251/1000) - 2657.6209162609 * Z236 +
123.0469725298 * Z253 - 9.2854579989 * Z316 + 872.0182830582 * Z252 + 26.664395965 * (AVERAGE(Z5:Z6)*0.453592) +
2599.7646012325 * Z236 * Z236- 0.1016237102 *  (AVERAGE(Z5:Z6)*0.453592) *  (AVERAGE(Z5:Z6)*0.453592) - 71.8618465276 * Z236 * Z253 -
607.1294449572 * Z236 * Z252 + 25.6463076451 * Z236 * (AVERAGE(Z5:Z6)*0.453592) - 0.8399854508 * Z253 * (AVERAGE(Z5:Z6)*0.453592) +
0.0967347393 * Z316 * (AVERAGE(Z5:Z6)*0.453592) - 5.2553838048 * Z252 * (AVERAGE(Z5:Z6)*0.453592)</f>
        <v>960.75385333371219</v>
      </c>
      <c r="AA342" s="299">
        <f xml:space="preserve"> -1619.2980797296 + 25.9248064834 * (AA251/1000) - 2657.6209162609 * AA236 +
123.0469725298 * AA253 - 9.2854579989 * AA316 + 872.0182830582 * AA252 + 26.664395965 * (AVERAGE(AA5:AA6)*0.453592) +
2599.7646012325 * AA236 * AA236- 0.1016237102 *  (AVERAGE(AA5:AA6)*0.453592) *  (AVERAGE(AA5:AA6)*0.453592) - 71.8618465276 * AA236 * AA253 -
607.1294449572 * AA236 * AA252 + 25.6463076451 * AA236 * (AVERAGE(AA5:AA6)*0.453592) - 0.8399854508 * AA253 * (AVERAGE(AA5:AA6)*0.453592) +
0.0967347393 * AA316 * (AVERAGE(AA5:AA6)*0.453592) - 5.2553838048 * AA252 * (AVERAGE(AA5:AA6)*0.453592)</f>
        <v>948.70954572017718</v>
      </c>
      <c r="AB342" s="299">
        <f xml:space="preserve"> -1619.2980797296 + 25.9248064834 * (AB251/1000) - 2657.6209162609 * AB236 +
123.0469725298 * AB253 - 9.2854579989 * AB316 + 872.0182830582 * AB252 + 26.664395965 * (AVERAGE(AB5:AB6)*0.453592) +
2599.7646012325 * AB236 * AB236- 0.1016237102 *  (AVERAGE(AB5:AB6)*0.453592) *  (AVERAGE(AB5:AB6)*0.453592) - 71.8618465276 * AB236 * AB253 -
607.1294449572 * AB236 * AB252 + 25.6463076451 * AB236 * (AVERAGE(AB5:AB6)*0.453592) - 0.8399854508 * AB253 * (AVERAGE(AB5:AB6)*0.453592) +
0.0967347393 * AB316 * (AVERAGE(AB5:AB6)*0.453592) - 5.2553838048 * AB252 * (AVERAGE(AB5:AB6)*0.453592)</f>
        <v>932.08406418687355</v>
      </c>
      <c r="AD342" s="299">
        <f xml:space="preserve"> (-1619.2980797296 + 25.9248064834 * (AD251/1000) - 2657.6209162609 * AD236 +
123.0469725298 * AD253 - 9.2854579989 * AD316 + 872.0182830582 * AD252 + 26.664395965 * (AVERAGE(AD5:AD6)*0.453592) +
2599.7646012325 * AD236 * AD236- 0.1016237102 *  (AVERAGE(AD5:AD6)*0.453592) *  (AVERAGE(AD5:AD6)*0.453592) - 71.8618465276 * AD236 * AD253 -
607.1294449572 * AD236 * AD252 + 25.6463076451 * AD236 * (AVERAGE(AD5:AD6)*0.453592) - 0.8399854508 * AD253 * (AVERAGE(AD5:AD6)*0.453592) +
0.0967347393 * AD316 * (AVERAGE(AD5:AD6)*0.453592) - 5.2553838048 * AD252 * (AVERAGE(AD5:AD6)*0.453592))</f>
        <v>724.94582154114494</v>
      </c>
      <c r="AE342" s="299">
        <f xml:space="preserve"> -1619.2980797296 + 25.9248064834 * (AE251/1000) - 2657.6209162609 * AE236 +
123.0469725298 * AE253 - 9.2854579989 * AE316 + 872.0182830582 * AE252 + 26.664395965 * (AVERAGE(AE5:AE6)*0.453592) +
2599.7646012325 * AE236 * AE236- 0.1016237102 *  (AVERAGE(AE5:AE6)*0.453592) *  (AVERAGE(AE5:AE6)*0.453592) - 71.8618465276 * AE236 * AE253 -
607.1294449572 * AE236 * AE252 + 25.6463076451 * AE236 * (AVERAGE(AE5:AE6)*0.453592) - 0.8399854508 * AE253 * (AVERAGE(AE5:AE6)*0.453592) +
0.0967347393 * AE316 * (AVERAGE(AE5:AE6)*0.453592) - 5.2553838048 * AE252 * (AVERAGE(AE5:AE6)*0.453592)</f>
        <v>845.69421270540624</v>
      </c>
      <c r="AF342" s="299">
        <f xml:space="preserve"> -1619.2980797296 + 25.9248064834 * (AF251/1000) - 2657.6209162609 * AF236 +
123.0469725298 * AF253 - 9.2854579989 * AF316 + 872.0182830582 * AF252 + 26.664395965 * (AVERAGE(AF5:AF6)*0.453592) +
2599.7646012325 * AF236 * AF236- 0.1016237102 *  (AVERAGE(AF5:AF6)*0.453592) *  (AVERAGE(AF5:AF6)*0.453592) - 71.8618465276 * AF236 * AF253 -
607.1294449572 * AF236 * AF252 + 25.6463076451 * AF236 * (AVERAGE(AF5:AF6)*0.453592) - 0.8399854508 * AF253 * (AVERAGE(AF5:AF6)*0.453592) +
0.0967347393 * AF316 * (AVERAGE(AF5:AF6)*0.453592) - 5.2553838048 * AF252 * (AVERAGE(AF5:AF6)*0.453592)</f>
        <v>923.65864602576949</v>
      </c>
      <c r="AG342" s="299">
        <f xml:space="preserve"> -1619.2980797296 + 25.9248064834 * (AG251/1000) - 2657.6209162609 * AG236 +
123.0469725298 * AG253 - 9.2854579989 * AG316 + 872.0182830582 * AG252 + 26.664395965 * (AVERAGE(AG5:AG6)*0.453592) +
2599.7646012325 * AG236 * AG236- 0.1016237102 *  (AVERAGE(AG5:AG6)*0.453592) *  (AVERAGE(AG5:AG6)*0.453592) - 71.8618465276 * AG236 * AG253 -
607.1294449572 * AG236 * AG252 + 25.6463076451 * AG236 * (AVERAGE(AG5:AG6)*0.453592) - 0.8399854508 * AG253 * (AVERAGE(AG5:AG6)*0.453592) +
0.0967347393 * AG316 * (AVERAGE(AG5:AG6)*0.453592) - 5.2553838048 * AG252 * (AVERAGE(AG5:AG6)*0.453592)</f>
        <v>954.01012781500322</v>
      </c>
      <c r="AH342" s="299">
        <f xml:space="preserve"> -1619.2980797296 + 25.9248064834 * (AH251/1000) - 2657.6209162609 * AH236 +
123.0469725298 * AH253 - 9.2854579989 * AH316 + 872.0182830582 * AH252 + 26.664395965 * (AVERAGE(AH5:AH6)*0.453592) +
2599.7646012325 * AH236 * AH236- 0.1016237102 *  (AVERAGE(AH5:AH6)*0.453592) *  (AVERAGE(AH5:AH6)*0.453592) - 71.8618465276 * AH236 * AH253 -
607.1294449572 * AH236 * AH252 + 25.6463076451 * AH236 * (AVERAGE(AH5:AH6)*0.453592) - 0.8399854508 * AH253 * (AVERAGE(AH5:AH6)*0.453592) +
0.0967347393 * AH316 * (AVERAGE(AH5:AH6)*0.453592) - 5.2553838048 * AH252 * (AVERAGE(AH5:AH6)*0.453592)</f>
        <v>938.19318574970953</v>
      </c>
      <c r="AI342" s="299">
        <f xml:space="preserve"> -1619.2980797296 + 25.9248064834 * (AI251/1000) - 2657.6209162609 * AI236 +
123.0469725298 * AI253 - 9.2854579989 * AI316 + 872.0182830582 * AI252 + 26.664395965 * (AVERAGE(AI5:AI6)*0.453592) +
2599.7646012325 * AI236 * AI236- 0.1016237102 *  (AVERAGE(AI5:AI6)*0.453592) *  (AVERAGE(AI5:AI6)*0.453592) - 71.8618465276 * AI236 * AI253 -
607.1294449572 * AI236 * AI252 + 25.6463076451 * AI236 * (AVERAGE(AI5:AI6)*0.453592) - 0.8399854508 * AI253 * (AVERAGE(AI5:AI6)*0.453592) +
0.0967347393 * AI316 * (AVERAGE(AI5:AI6)*0.453592) - 5.2553838048 * AI252 * (AVERAGE(AI5:AI6)*0.453592)</f>
        <v>932.08406418687355</v>
      </c>
      <c r="AK342" s="299">
        <f xml:space="preserve"> (-1619.2980797296 + 25.9248064834 * (AK251/1000) - 2657.6209162609 * AK236 +
123.0469725298 * AK253 - 9.2854579989 * AK316 + 872.0182830582 * AK252 + 26.664395965 * (AVERAGE(AK5:AK6)*0.453592) +
2599.7646012325 * AK236 * AK236- 0.1016237102 *  (AVERAGE(AK5:AK6)*0.453592) *  (AVERAGE(AK5:AK6)*0.453592) - 71.8618465276 * AK236 * AK253 -
607.1294449572 * AK236 * AK252 + 25.6463076451 * AK236 * (AVERAGE(AK5:AK6)*0.453592) - 0.8399854508 * AK253 * (AVERAGE(AK5:AK6)*0.453592) +
0.0967347393 * AK316 * (AVERAGE(AK5:AK6)*0.453592) - 5.2553838048 * AK252 * (AVERAGE(AK5:AK6)*0.453592))</f>
        <v>723.16476170971032</v>
      </c>
      <c r="AL342" s="299">
        <f xml:space="preserve"> -1619.2980797296 + 25.9248064834 * (AL251/1000) - 2657.6209162609 * AL236 +
123.0469725298 * AL253 - 9.2854579989 * AL316 + 872.0182830582 * AL252 + 26.664395965 * (AVERAGE(AL5:AL6)*0.453592) +
2599.7646012325 * AL236 * AL236- 0.1016237102 *  (AVERAGE(AL5:AL6)*0.453592) *  (AVERAGE(AL5:AL6)*0.453592) - 71.8618465276 * AL236 * AL253 -
607.1294449572 * AL236 * AL252 + 25.6463076451 * AL236 * (AVERAGE(AL5:AL6)*0.453592) - 0.8399854508 * AL253 * (AVERAGE(AL5:AL6)*0.453592) +
0.0967347393 * AL316 * (AVERAGE(AL5:AL6)*0.453592) - 5.2553838048 * AL252 * (AVERAGE(AL5:AL6)*0.453592)</f>
        <v>843.16103565379217</v>
      </c>
      <c r="AM342" s="299">
        <f xml:space="preserve"> -1619.2980797296 + 25.9248064834 * (AM251/1000) - 2657.6209162609 * AM236 +
123.0469725298 * AM253 - 9.2854579989 * AM316 + 872.0182830582 * AM252 + 26.664395965 * (AVERAGE(AM5:AM6)*0.453592) +
2599.7646012325 * AM236 * AM236- 0.1016237102 *  (AVERAGE(AM5:AM6)*0.453592) *  (AVERAGE(AM5:AM6)*0.453592) - 71.8618465276 * AM236 * AM253 -
607.1294449572 * AM236 * AM252 + 25.6463076451 * AM236 * (AVERAGE(AM5:AM6)*0.453592) - 0.8399854508 * AM253 * (AVERAGE(AM5:AM6)*0.453592) +
0.0967347393 * AM316 * (AVERAGE(AM5:AM6)*0.453592) - 5.2553838048 * AM252 * (AVERAGE(AM5:AM6)*0.453592)</f>
        <v>919.85722269718804</v>
      </c>
      <c r="AN342" s="299">
        <f xml:space="preserve"> -1619.2980797296 + 25.9248064834 * (AN251/1000) - 2657.6209162609 * AN236 +
123.0469725298 * AN253 - 9.2854579989 * AN316 + 872.0182830582 * AN252 + 26.664395965 * (AVERAGE(AN5:AN6)*0.453592) +
2599.7646012325 * AN236 * AN236- 0.1016237102 *  (AVERAGE(AN5:AN6)*0.453592) *  (AVERAGE(AN5:AN6)*0.453592) - 71.8618465276 * AN236 * AN253 -
607.1294449572 * AN236 * AN252 + 25.6463076451 * AN236 * (AVERAGE(AN5:AN6)*0.453592) - 0.8399854508 * AN253 * (AVERAGE(AN5:AN6)*0.453592) +
0.0967347393 * AN316 * (AVERAGE(AN5:AN6)*0.453592) - 5.2553838048 * AN252 * (AVERAGE(AN5:AN6)*0.453592)</f>
        <v>947.59682363309821</v>
      </c>
      <c r="AO342" s="299">
        <f xml:space="preserve"> -1619.2980797296 + 25.9248064834 * (AO251/1000) - 2657.6209162609 * AO236 +
123.0469725298 * AO253 - 9.2854579989 * AO316 + 872.0182830582 * AO252 + 26.664395965 * (AVERAGE(AO5:AO6)*0.453592) +
2599.7646012325 * AO236 * AO236- 0.1016237102 *  (AVERAGE(AO5:AO6)*0.453592) *  (AVERAGE(AO5:AO6)*0.453592) - 71.8618465276 * AO236 * AO253 -
607.1294449572 * AO236 * AO252 + 25.6463076451 * AO236 * (AVERAGE(AO5:AO6)*0.453592) - 0.8399854508 * AO253 * (AVERAGE(AO5:AO6)*0.453592) +
0.0967347393 * AO316 * (AVERAGE(AO5:AO6)*0.453592) - 5.2553838048 * AO252 * (AVERAGE(AO5:AO6)*0.453592)</f>
        <v>928.08306099373704</v>
      </c>
      <c r="AP342" s="299">
        <f xml:space="preserve"> -1619.2980797296 + 25.9248064834 * (AP251/1000) - 2657.6209162609 * AP236 +
123.0469725298 * AP253 - 9.2854579989 * AP316 + 872.0182830582 * AP252 + 26.664395965 * (AVERAGE(AP5:AP6)*0.453592) +
2599.7646012325 * AP236 * AP236- 0.1016237102 *  (AVERAGE(AP5:AP6)*0.453592) *  (AVERAGE(AP5:AP6)*0.453592) - 71.8618465276 * AP236 * AP253 -
607.1294449572 * AP236 * AP252 + 25.6463076451 * AP236 * (AVERAGE(AP5:AP6)*0.453592) - 0.8399854508 * AP253 * (AVERAGE(AP5:AP6)*0.453592) +
0.0967347393 * AP316 * (AVERAGE(AP5:AP6)*0.453592) - 5.2553838048 * AP252 * (AVERAGE(AP5:AP6)*0.453592)</f>
        <v>932.08406418687355</v>
      </c>
      <c r="AR342" s="299">
        <f xml:space="preserve"> (-1619.2980797296 + 25.9248064834 * (AR251/1000) - 2657.6209162609 * AR236 +
123.0469725298 * AR253 - 9.2854579989 * AR316 + 872.0182830582 * AR252 + 26.664395965 * (AVERAGE(AR5:AR6)*0.453592) +
2599.7646012325 * AR236 * AR236- 0.1016237102 *  (AVERAGE(AR5:AR6)*0.453592) *  (AVERAGE(AR5:AR6)*0.453592) - 71.8618465276 * AR236 * AR253 -
607.1294449572 * AR236 * AR252 + 25.6463076451 * AR236 * (AVERAGE(AR5:AR6)*0.453592) - 0.8399854508 * AR253 * (AVERAGE(AR5:AR6)*0.453592) +
0.0967347393 * AR316 * (AVERAGE(AR5:AR6)*0.453592) - 5.2553838048 * AR252 * (AVERAGE(AR5:AR6)*0.453592))</f>
        <v>722.13641638624006</v>
      </c>
      <c r="AS342" s="299">
        <f xml:space="preserve"> -1619.2980797296 + 25.9248064834 * (AS251/1000) - 2657.6209162609 * AS236 +
123.0469725298 * AS253 - 9.2854579989 * AS316 + 872.0182830582 * AS252 + 26.664395965 * (AVERAGE(AS5:AS6)*0.453592) +
2599.7646012325 * AS236 * AS236- 0.1016237102 *  (AVERAGE(AS5:AS6)*0.453592) *  (AVERAGE(AS5:AS6)*0.453592) - 71.8618465276 * AS236 * AS253 -
607.1294449572 * AS236 * AS252 + 25.6463076451 * AS236 * (AVERAGE(AS5:AS6)*0.453592) - 0.8399854508 * AS253 * (AVERAGE(AS5:AS6)*0.453592) +
0.0967347393 * AS316 * (AVERAGE(AS5:AS6)*0.453592) - 5.2553838048 * AS252 * (AVERAGE(AS5:AS6)*0.453592)</f>
        <v>841.40646013664229</v>
      </c>
      <c r="AT342" s="299">
        <f xml:space="preserve"> -1619.2980797296 + 25.9248064834 * (AT251/1000) - 2657.6209162609 * AT236 +
123.0469725298 * AT253 - 9.2854579989 * AT316 + 872.0182830582 * AT252 + 26.664395965 * (AVERAGE(AT5:AT6)*0.453592) +
2599.7646012325 * AT236 * AT236- 0.1016237102 *  (AVERAGE(AT5:AT6)*0.453592) *  (AVERAGE(AT5:AT6)*0.453592) - 71.8618465276 * AT236 * AT253 -
607.1294449572 * AT236 * AT252 + 25.6463076451 * AT236 * (AVERAGE(AT5:AT6)*0.453592) - 0.8399854508 * AT253 * (AVERAGE(AT5:AT6)*0.453592) +
0.0967347393 * AT316 * (AVERAGE(AT5:AT6)*0.453592) - 5.2553838048 * AT252 * (AVERAGE(AT5:AT6)*0.453592)</f>
        <v>916.72904437624834</v>
      </c>
      <c r="AU342" s="299">
        <f xml:space="preserve"> -1619.2980797296 + 25.9248064834 * (AU251/1000) - 2657.6209162609 * AU236 +
123.0469725298 * AU253 - 9.2854579989 * AU316 + 872.0182830582 * AU252 + 26.664395965 * (AVERAGE(AU5:AU6)*0.453592) +
2599.7646012325 * AU236 * AU236- 0.1016237102 *  (AVERAGE(AU5:AU6)*0.453592) *  (AVERAGE(AU5:AU6)*0.453592) - 71.8618465276 * AU236 * AU253 -
607.1294449572 * AU236 * AU252 + 25.6463076451 * AU236 * (AVERAGE(AU5:AU6)*0.453592) - 0.8399854508 * AU253 * (AVERAGE(AU5:AU6)*0.453592) +
0.0967347393 * AU316 * (AVERAGE(AU5:AU6)*0.453592) - 5.2553838048 * AU252 * (AVERAGE(AU5:AU6)*0.453592)</f>
        <v>941.64006968999638</v>
      </c>
      <c r="AV342" s="299">
        <f xml:space="preserve"> -1619.2980797296 + 25.9248064834 * (AV251/1000) - 2657.6209162609 * AV236 +
123.0469725298 * AV253 - 9.2854579989 * AV316 + 872.0182830582 * AV252 + 26.664395965 * (AVERAGE(AV5:AV6)*0.453592) +
2599.7646012325 * AV236 * AV236- 0.1016237102 *  (AVERAGE(AV5:AV6)*0.453592) *  (AVERAGE(AV5:AV6)*0.453592) - 71.8618465276 * AV236 * AV253 -
607.1294449572 * AV236 * AV252 + 25.6463076451 * AV236 * (AVERAGE(AV5:AV6)*0.453592) - 0.8399854508 * AV253 * (AVERAGE(AV5:AV6)*0.453592) +
0.0967347393 * AV316 * (AVERAGE(AV5:AV6)*0.453592) - 5.2553838048 * AV252 * (AVERAGE(AV5:AV6)*0.453592)</f>
        <v>918.50077750001947</v>
      </c>
      <c r="AW342" s="299">
        <f xml:space="preserve"> -1619.2980797296 + 25.9248064834 * (AW251/1000) - 2657.6209162609 * AW236 +
123.0469725298 * AW253 - 9.2854579989 * AW316 + 872.0182830582 * AW252 + 26.664395965 * (AVERAGE(AW5:AW6)*0.453592) +
2599.7646012325 * AW236 * AW236- 0.1016237102 *  (AVERAGE(AW5:AW6)*0.453592) *  (AVERAGE(AW5:AW6)*0.453592) - 71.8618465276 * AW236 * AW253 -
607.1294449572 * AW236 * AW252 + 25.6463076451 * AW236 * (AVERAGE(AW5:AW6)*0.453592) - 0.8399854508 * AW253 * (AVERAGE(AW5:AW6)*0.453592) +
0.0967347393 * AW316 * (AVERAGE(AW5:AW6)*0.453592) - 5.2553838048 * AW252 * (AVERAGE(AW5:AW6)*0.453592)</f>
        <v>932.08406418687355</v>
      </c>
    </row>
    <row r="343" spans="1:52" x14ac:dyDescent="0.25">
      <c r="A343" s="298" t="s">
        <v>479</v>
      </c>
      <c r="B343" s="300">
        <f t="shared" ref="B343:G343" si="220">B342/B344*1000</f>
        <v>1359.5480024980595</v>
      </c>
      <c r="C343" s="300">
        <f t="shared" si="220"/>
        <v>1828.292464469157</v>
      </c>
      <c r="D343" s="300">
        <f t="shared" si="220"/>
        <v>2305.5922105887325</v>
      </c>
      <c r="E343" s="300">
        <f t="shared" si="220"/>
        <v>2729.415034120711</v>
      </c>
      <c r="F343" s="300">
        <f t="shared" si="220"/>
        <v>3011.820185199786</v>
      </c>
      <c r="G343" s="300">
        <f t="shared" si="220"/>
        <v>3094.1334754619566</v>
      </c>
      <c r="I343" s="300">
        <f t="shared" ref="I343:N343" si="221">I342/I344*1000</f>
        <v>1348.7826007278509</v>
      </c>
      <c r="J343" s="300">
        <f t="shared" si="221"/>
        <v>1815.68177892228</v>
      </c>
      <c r="K343" s="300">
        <f t="shared" si="221"/>
        <v>2290.067197897029</v>
      </c>
      <c r="L343" s="300">
        <f t="shared" si="221"/>
        <v>2711.4157746123528</v>
      </c>
      <c r="M343" s="300">
        <f t="shared" si="221"/>
        <v>2994.3858231473955</v>
      </c>
      <c r="N343" s="300">
        <f t="shared" si="221"/>
        <v>3094.1334754619566</v>
      </c>
      <c r="P343" s="300">
        <f t="shared" ref="P343:U343" si="222">P342/P344*1000</f>
        <v>1341.39899974334</v>
      </c>
      <c r="Q343" s="300">
        <f t="shared" si="222"/>
        <v>1806.839086588014</v>
      </c>
      <c r="R343" s="300">
        <f t="shared" si="222"/>
        <v>2278.4572570527534</v>
      </c>
      <c r="S343" s="300">
        <f t="shared" si="222"/>
        <v>2696.6793919520519</v>
      </c>
      <c r="T343" s="300">
        <f t="shared" si="222"/>
        <v>2979.536691801507</v>
      </c>
      <c r="U343" s="300">
        <f t="shared" si="222"/>
        <v>3094.1334754619566</v>
      </c>
      <c r="W343" s="300">
        <f t="shared" ref="W343:AB343" si="223">W342/W344*1000</f>
        <v>1337.2933270276556</v>
      </c>
      <c r="X343" s="300">
        <f t="shared" si="223"/>
        <v>1801.6127543216869</v>
      </c>
      <c r="Y343" s="300">
        <f t="shared" si="223"/>
        <v>2270.4372365023082</v>
      </c>
      <c r="Z343" s="300">
        <f t="shared" si="223"/>
        <v>2685.3276063188227</v>
      </c>
      <c r="AA343" s="300">
        <f t="shared" si="223"/>
        <v>2966.9564816925654</v>
      </c>
      <c r="AB343" s="300">
        <f t="shared" si="223"/>
        <v>3094.1334754619566</v>
      </c>
      <c r="AD343" s="300">
        <f t="shared" ref="AD343:AI343" si="224">AD342/AD344*1000</f>
        <v>1336.515183527601</v>
      </c>
      <c r="AE343" s="300">
        <f t="shared" si="224"/>
        <v>1800.0075173063415</v>
      </c>
      <c r="AF343" s="300">
        <f t="shared" si="224"/>
        <v>2266.1761342156888</v>
      </c>
      <c r="AG343" s="300">
        <f t="shared" si="224"/>
        <v>2677.2240023138611</v>
      </c>
      <c r="AH343" s="300">
        <f t="shared" si="224"/>
        <v>2958.2648530923721</v>
      </c>
      <c r="AI343" s="300">
        <f t="shared" si="224"/>
        <v>3094.1334754619566</v>
      </c>
      <c r="AK343" s="300">
        <f t="shared" ref="AK343:AP343" si="225">AK342/AK344*1000</f>
        <v>1339.0267496662491</v>
      </c>
      <c r="AL343" s="300">
        <f t="shared" si="225"/>
        <v>1802.1045793076732</v>
      </c>
      <c r="AM343" s="300">
        <f t="shared" si="225"/>
        <v>2265.7188386996818</v>
      </c>
      <c r="AN343" s="300">
        <f t="shared" si="225"/>
        <v>2673.778103049729</v>
      </c>
      <c r="AO343" s="300">
        <f t="shared" si="225"/>
        <v>2953.0939340480559</v>
      </c>
      <c r="AP343" s="300">
        <f t="shared" si="225"/>
        <v>3094.1334754619566</v>
      </c>
      <c r="AR343" s="300">
        <f t="shared" ref="AR343:AW343" si="226">AR342/AR344*1000</f>
        <v>1344.5555326317949</v>
      </c>
      <c r="AS343" s="300">
        <f t="shared" si="226"/>
        <v>1808.0599837870654</v>
      </c>
      <c r="AT343" s="300">
        <f t="shared" si="226"/>
        <v>2269.2107982590765</v>
      </c>
      <c r="AU343" s="300">
        <f t="shared" si="226"/>
        <v>2674.9271955846516</v>
      </c>
      <c r="AV343" s="300">
        <f t="shared" si="226"/>
        <v>2951.2306264149029</v>
      </c>
      <c r="AW343" s="300">
        <f t="shared" si="226"/>
        <v>3094.1334754619566</v>
      </c>
      <c r="AZ343" s="373"/>
    </row>
    <row r="344" spans="1:52" x14ac:dyDescent="0.25">
      <c r="A344" s="298" t="s">
        <v>480</v>
      </c>
      <c r="B344" s="299">
        <f t="shared" ref="B344:G344" si="227" xml:space="preserve"> -232.8670000513 - (102.0339177026 * (B251/1000)) + (1386.8135453223 * B236) - (3.1583174866 * B253) + (80.3303777865 * B316) - (115.1570451563 * B252) + (4.1836503117 * (AVERAGE(B5:B6)*0.453592)) + (2553.6417073224 * B236 * B236) + (228.757399518 * B252 * B252) + (12.736240264 *  (B251/1000) * B253) - (24.4502664605 *  (B251/1000) * B316) - (23.0415882284 * B236 * B253) + (101.5847297779 * B236 * B316) - (1559.9331198689 * B236 *B252) - (3.9239483753 * B236 * (AVERAGE(B5:B6)*0.453592)) - (0.1078600966 * B253 * (AVERAGE(B5:B6)*0.453592)) - (28.1879330488 * B316 * B252) - (0.1153929924 * B316 * (AVERAGE(B5:B6)*0.453592))</f>
        <v>544.53845340080113</v>
      </c>
      <c r="C344" s="299">
        <f t="shared" si="227"/>
        <v>471.75579583355693</v>
      </c>
      <c r="D344" s="299">
        <f t="shared" si="227"/>
        <v>409.85407727163351</v>
      </c>
      <c r="E344" s="299">
        <f t="shared" si="227"/>
        <v>360.59074506150858</v>
      </c>
      <c r="F344" s="299">
        <f t="shared" si="227"/>
        <v>326.06282096567122</v>
      </c>
      <c r="G344" s="299">
        <f t="shared" si="227"/>
        <v>301.24235802326291</v>
      </c>
      <c r="I344" s="299">
        <f t="shared" ref="I344:N344" si="228" xml:space="preserve"> -232.8670000513 - (102.0339177026 * (I251/1000)) + (1386.8135453223 * I236) - (3.1583174866 * I253) + (80.3303777865 * I316) - (115.1570451563 * I252) + (4.1836503117 * (AVERAGE(I5:I6)*0.453592)) + (2553.6417073224 * I236 * I236) + (228.757399518 * I252 * I252) + (12.736240264 *  (I251/1000) * I253) - (24.4502664605 *  (I251/1000) * I316) - (23.0415882284 * I236 * I253) + (101.5847297779 * I236 * I316) - (1559.9331198689 * I236 *I252) - (3.9239483753 * I236 * (AVERAGE(I5:I6)*0.453592)) - (0.1078600966 * I253 * (AVERAGE(I5:I6)*0.453592)) - (28.1879330488 * I316 * I252) - (0.1153929924 * I316 * (AVERAGE(I5:I6)*0.453592))</f>
        <v>544.92251618513285</v>
      </c>
      <c r="J344" s="299">
        <f t="shared" si="228"/>
        <v>472.02046998180811</v>
      </c>
      <c r="K344" s="299">
        <f t="shared" si="228"/>
        <v>409.88899300995126</v>
      </c>
      <c r="L344" s="299">
        <f t="shared" si="228"/>
        <v>359.91351940059508</v>
      </c>
      <c r="M344" s="299">
        <f t="shared" si="228"/>
        <v>324.0636773047201</v>
      </c>
      <c r="N344" s="299">
        <f t="shared" si="228"/>
        <v>301.24235802326291</v>
      </c>
      <c r="P344" s="299">
        <f t="shared" ref="P344:U344" si="229" xml:space="preserve"> -232.8670000513 - (102.0339177026 * (P251/1000)) + (1386.8135453223 * P236) - (3.1583174866 * P253) + (80.3303777865 * P316) - (115.1570451563 * P252) + (4.1836503117 * (AVERAGE(P5:P6)*0.453592)) + (2553.6417073224 * P236 * P236) + (228.757399518 * P252 * P252) + (12.736240264 *  (P251/1000) * P253) - (24.4502664605 *  (P251/1000) * P316) - (23.0415882284 * P236 * P253) + (101.5847297779 * P236 * P316) - (1559.9331198689 * P236 *P252) - (3.9239483753 * P236 * (AVERAGE(P5:P6)*0.453592)) - (0.1078600966 * P253 * (AVERAGE(P5:P6)*0.453592)) - (28.1879330488 * P316 * P252) - (0.1153929924 * P316 * (AVERAGE(P5:P6)*0.453592))</f>
        <v>544.85096467227618</v>
      </c>
      <c r="Q344" s="299">
        <f t="shared" si="229"/>
        <v>471.93164836862832</v>
      </c>
      <c r="R344" s="299">
        <f t="shared" si="229"/>
        <v>409.62895773480216</v>
      </c>
      <c r="S344" s="299">
        <f t="shared" si="229"/>
        <v>358.95851978872997</v>
      </c>
      <c r="T344" s="299">
        <f t="shared" si="229"/>
        <v>321.97894228766768</v>
      </c>
      <c r="U344" s="299">
        <f t="shared" si="229"/>
        <v>301.24235802326291</v>
      </c>
      <c r="W344" s="299">
        <f t="shared" ref="W344:AB344" si="230" xml:space="preserve"> -232.8670000513 - (102.0339177026 * (W251/1000)) + (1386.8135453223 * W236) - (3.1583174866 * W253) + (80.3303777865 * W316) - (115.1570451563 * W252) + (4.1836503117 * (AVERAGE(W5:W6)*0.453592)) + (2553.6417073224 * W236 * W236) + (228.757399518 * W252 * W252) + (12.736240264 *  (W251/1000) * W253) - (24.4502664605 *  (W251/1000) * W316) - (23.0415882284 * W236 * W253) + (101.5847297779 * W236 * W316) - (1559.9331198689 * W236 *W252) - (3.9239483753 * W236 * (AVERAGE(W5:W6)*0.453592)) - (0.1078600966 * W253 * (AVERAGE(W5:W6)*0.453592)) - (28.1879330488 * W316 * W252) - (0.1153929924 * W316 * (AVERAGE(W5:W6)*0.453592))</f>
        <v>544.02090375649789</v>
      </c>
      <c r="X344" s="299">
        <f t="shared" si="230"/>
        <v>471.24361438129569</v>
      </c>
      <c r="Y344" s="299">
        <f t="shared" si="230"/>
        <v>408.78610079742481</v>
      </c>
      <c r="Z344" s="299">
        <f t="shared" si="230"/>
        <v>357.7790103051002</v>
      </c>
      <c r="AA344" s="299">
        <f t="shared" si="230"/>
        <v>319.75849715832874</v>
      </c>
      <c r="AB344" s="299">
        <f t="shared" si="230"/>
        <v>301.24235802326291</v>
      </c>
      <c r="AD344" s="299">
        <f t="shared" ref="AD344:AI344" si="231" xml:space="preserve"> -232.8670000513 - (102.0339177026 * (AD251/1000)) + (1386.8135453223 * AD236) - (3.1583174866 * AD253) + (80.3303777865 * AD316) - (115.1570451563 * AD252) + (4.1836503117 * (AVERAGE(AD5:AD6)*0.453592)) + (2553.6417073224 * AD236 * AD236) + (228.757399518 * AD252 * AD252) + (12.736240264 *  (AD251/1000) * AD253) - (24.4502664605 *  (AD251/1000) * AD316) - (23.0415882284 * AD236 * AD253) + (101.5847297779 * AD236 * AD316) - (1559.9331198689 * AD236 *AD252) - (3.9239483753 * AD236 * (AVERAGE(AD5:AD6)*0.453592)) - (0.1078600966 * AD253 * (AVERAGE(AD5:AD6)*0.453592)) - (28.1879330488 * AD316 * AD252) - (0.1153929924 * AD316 * (AVERAGE(AD5:AD6)*0.453592))</f>
        <v>542.41495381124025</v>
      </c>
      <c r="AE344" s="299">
        <f t="shared" si="231"/>
        <v>469.82815603512751</v>
      </c>
      <c r="AF344" s="299">
        <f t="shared" si="231"/>
        <v>407.58466744044267</v>
      </c>
      <c r="AG344" s="299">
        <f t="shared" si="231"/>
        <v>356.34303554371058</v>
      </c>
      <c r="AH344" s="299">
        <f t="shared" si="231"/>
        <v>317.14306606759203</v>
      </c>
      <c r="AI344" s="299">
        <f t="shared" si="231"/>
        <v>301.24235802326291</v>
      </c>
      <c r="AK344" s="299">
        <f t="shared" ref="AK344:AP344" si="232" xml:space="preserve"> -232.8670000513 - (102.0339177026 * (AK251/1000)) + (1386.8135453223 * AK236) - (3.1583174866 * AK253) + (80.3303777865 * AK316) - (115.1570451563 * AK252) + (4.1836503117 * (AVERAGE(AK5:AK6)*0.453592)) + (2553.6417073224 * AK236 * AK236) + (228.757399518 * AK252 * AK252) + (12.736240264 *  (AK251/1000) * AK253) - (24.4502664605 *  (AK251/1000) * AK316) - (23.0415882284 * AK236 * AK253) + (101.5847297779 * AK236 * AK316) - (1559.9331198689 * AK236 *AK252) - (3.9239483753 * AK236 * (AVERAGE(AK5:AK6)*0.453592)) - (0.1078600966 * AK253 * (AVERAGE(AK5:AK6)*0.453592)) - (28.1879330488 * AK316 * AK252) - (0.1153929924 * AK316 * (AVERAGE(AK5:AK6)*0.453592))</f>
        <v>540.06744965323378</v>
      </c>
      <c r="AL344" s="299">
        <f t="shared" si="232"/>
        <v>467.87575223726196</v>
      </c>
      <c r="AM344" s="299">
        <f t="shared" si="232"/>
        <v>405.98913112498241</v>
      </c>
      <c r="AN344" s="299">
        <f t="shared" si="232"/>
        <v>354.40368912897554</v>
      </c>
      <c r="AO344" s="299">
        <f t="shared" si="232"/>
        <v>314.274818790317</v>
      </c>
      <c r="AP344" s="299">
        <f t="shared" si="232"/>
        <v>301.24235802326291</v>
      </c>
      <c r="AR344" s="299">
        <f t="shared" ref="AR344:AW344" si="233" xml:space="preserve"> -232.8670000513 - (102.0339177026 * (AR251/1000)) + (1386.8135453223 * AR236) - (3.1583174866 * AR253) + (80.3303777865 * AR316) - (115.1570451563 * AR252) + (4.1836503117 * (AVERAGE(AR5:AR6)*0.453592)) + (2553.6417073224 * AR236 * AR236) + (228.757399518 * AR252 * AR252) + (12.736240264 *  (AR251/1000) * AR253) - (24.4502664605 *  (AR251/1000) * AR316) - (23.0415882284 * AR236 * AR253) + (101.5847297779 * AR236 * AR316) - (1559.9331198689 * AR236 *AR252) - (3.9239483753 * AR236 * (AVERAGE(AR5:AR6)*0.453592)) - (0.1078600966 * AR253 * (AVERAGE(AR5:AR6)*0.453592)) - (28.1879330488 * AR316 * AR252) - (0.1153929924 * AR316 * (AVERAGE(AR5:AR6)*0.453592))</f>
        <v>537.08188234721013</v>
      </c>
      <c r="AS344" s="299">
        <f t="shared" si="233"/>
        <v>465.36423994865339</v>
      </c>
      <c r="AT344" s="299">
        <f t="shared" si="233"/>
        <v>403.98584612745401</v>
      </c>
      <c r="AU344" s="299">
        <f t="shared" si="233"/>
        <v>352.02456023637109</v>
      </c>
      <c r="AV344" s="299">
        <f t="shared" si="233"/>
        <v>311.22636410689336</v>
      </c>
      <c r="AW344" s="299">
        <f t="shared" si="233"/>
        <v>301.24235802326291</v>
      </c>
      <c r="AZ344" s="2"/>
    </row>
    <row r="345" spans="1:52" x14ac:dyDescent="0.25">
      <c r="A345" s="298" t="s">
        <v>134</v>
      </c>
      <c r="B345" s="301">
        <f t="shared" ref="B345:G345" si="234">IF(B323="","0",1/B344*1000)</f>
        <v>1.8364176005472321</v>
      </c>
      <c r="C345" s="301">
        <f t="shared" si="234"/>
        <v>2.1197407829045858</v>
      </c>
      <c r="D345" s="301">
        <f t="shared" si="234"/>
        <v>2.4398927702681932</v>
      </c>
      <c r="E345" s="301">
        <f t="shared" si="234"/>
        <v>2.7732270273032733</v>
      </c>
      <c r="F345" s="301">
        <f t="shared" si="234"/>
        <v>3.0668936649642822</v>
      </c>
      <c r="G345" s="301">
        <f t="shared" si="234"/>
        <v>3.319586284485188</v>
      </c>
      <c r="I345" s="301">
        <f t="shared" ref="I345:N345" si="235">IF(I323="","0",1/I344*1000)</f>
        <v>1.8351232887213975</v>
      </c>
      <c r="J345" s="301">
        <f t="shared" si="235"/>
        <v>2.1185521891424335</v>
      </c>
      <c r="K345" s="301">
        <f t="shared" si="235"/>
        <v>2.4396849319047758</v>
      </c>
      <c r="L345" s="301">
        <f t="shared" si="235"/>
        <v>2.7784452266906055</v>
      </c>
      <c r="M345" s="301">
        <f t="shared" si="235"/>
        <v>3.0858132831088341</v>
      </c>
      <c r="N345" s="301">
        <f t="shared" si="235"/>
        <v>3.319586284485188</v>
      </c>
      <c r="P345" s="301">
        <f t="shared" ref="P345:U345" si="236">IF(P323="","0",1/P344*1000)</f>
        <v>1.8353642827841785</v>
      </c>
      <c r="Q345" s="301">
        <f t="shared" si="236"/>
        <v>2.11895091896633</v>
      </c>
      <c r="R345" s="301">
        <f t="shared" si="236"/>
        <v>2.4412336606520135</v>
      </c>
      <c r="S345" s="301">
        <f t="shared" si="236"/>
        <v>2.7858372064509398</v>
      </c>
      <c r="T345" s="301">
        <f t="shared" si="236"/>
        <v>3.1057931704942483</v>
      </c>
      <c r="U345" s="301">
        <f t="shared" si="236"/>
        <v>3.319586284485188</v>
      </c>
      <c r="W345" s="301">
        <f t="shared" ref="W345:AB345" si="237">IF(W323="","0",1/W344*1000)</f>
        <v>1.8381646607601625</v>
      </c>
      <c r="X345" s="301">
        <f t="shared" si="237"/>
        <v>2.1220446696406023</v>
      </c>
      <c r="Y345" s="301">
        <f t="shared" si="237"/>
        <v>2.4462671261309668</v>
      </c>
      <c r="Z345" s="301">
        <f t="shared" si="237"/>
        <v>2.7950214271855645</v>
      </c>
      <c r="AA345" s="301">
        <f t="shared" si="237"/>
        <v>3.1273602074281985</v>
      </c>
      <c r="AB345" s="301">
        <f t="shared" si="237"/>
        <v>3.319586284485188</v>
      </c>
      <c r="AD345" s="301">
        <f t="shared" ref="AD345:AI345" si="238">IF(AD323="","0",1/AD344*1000)</f>
        <v>1.8436069893972702</v>
      </c>
      <c r="AE345" s="301">
        <f t="shared" si="238"/>
        <v>2.1284377855064807</v>
      </c>
      <c r="AF345" s="301">
        <f t="shared" si="238"/>
        <v>2.4534779639278814</v>
      </c>
      <c r="AG345" s="301">
        <f t="shared" si="238"/>
        <v>2.8062846758719258</v>
      </c>
      <c r="AH345" s="301">
        <f t="shared" si="238"/>
        <v>3.1531510759465009</v>
      </c>
      <c r="AI345" s="301">
        <f t="shared" si="238"/>
        <v>3.319586284485188</v>
      </c>
      <c r="AK345" s="301">
        <f t="shared" ref="AK345:AP345" si="239">IF(AK323="","0",1/AK344*1000)</f>
        <v>1.8516205719157477</v>
      </c>
      <c r="AL345" s="301">
        <f t="shared" si="239"/>
        <v>2.1373195666119824</v>
      </c>
      <c r="AM345" s="301">
        <f t="shared" si="239"/>
        <v>2.4631201264650437</v>
      </c>
      <c r="AN345" s="301">
        <f t="shared" si="239"/>
        <v>2.8216410570040011</v>
      </c>
      <c r="AO345" s="301">
        <f t="shared" si="239"/>
        <v>3.1819284912775538</v>
      </c>
      <c r="AP345" s="301">
        <f t="shared" si="239"/>
        <v>3.319586284485188</v>
      </c>
      <c r="AR345" s="301">
        <f t="shared" ref="AR345:AW345" si="240">IF(AR323="","0",1/AR344*1000)</f>
        <v>1.8619134863192512</v>
      </c>
      <c r="AS345" s="301">
        <f t="shared" si="240"/>
        <v>2.1488544115687453</v>
      </c>
      <c r="AT345" s="301">
        <f t="shared" si="240"/>
        <v>2.4753342464490915</v>
      </c>
      <c r="AU345" s="301">
        <f t="shared" si="240"/>
        <v>2.840710884855699</v>
      </c>
      <c r="AV345" s="301">
        <f t="shared" si="240"/>
        <v>3.2130954036289205</v>
      </c>
      <c r="AW345" s="301">
        <f t="shared" si="240"/>
        <v>3.319586284485188</v>
      </c>
      <c r="AZ345" s="180"/>
    </row>
    <row r="346" spans="1:52" x14ac:dyDescent="0.25">
      <c r="A346" s="298" t="s">
        <v>481</v>
      </c>
      <c r="B346" s="301">
        <f t="shared" ref="B346:G346" si="241">(B6-B5)*0.453592/(B342/1000)</f>
        <v>21.444223797755399</v>
      </c>
      <c r="C346" s="301">
        <f t="shared" si="241"/>
        <v>18.406470406661629</v>
      </c>
      <c r="D346" s="301">
        <f t="shared" si="241"/>
        <v>19.20054789166538</v>
      </c>
      <c r="E346" s="301">
        <f t="shared" si="241"/>
        <v>18.43491851613966</v>
      </c>
      <c r="F346" s="301">
        <f t="shared" si="241"/>
        <v>18.475451331583397</v>
      </c>
      <c r="G346" s="301">
        <f t="shared" si="241"/>
        <v>21.898926056424528</v>
      </c>
      <c r="I346" s="301">
        <f>(I351-I5)*0.453592/(I342/1000)</f>
        <v>21.444180490323113</v>
      </c>
      <c r="J346" s="301">
        <f>(J351-I351)*0.453592/(J342/1000)</f>
        <v>18.54018815491974</v>
      </c>
      <c r="K346" s="301">
        <f>(K351-J351)*0.453592/(K342/1000)</f>
        <v>19.307776969413119</v>
      </c>
      <c r="L346" s="301">
        <f>(L351-K351)*0.453592/(L342/1000)</f>
        <v>18.55853844844027</v>
      </c>
      <c r="M346" s="301">
        <f>(M351-L351)*0.453592/(M342/1000)</f>
        <v>18.633638467186056</v>
      </c>
      <c r="N346" s="301">
        <f>(N351-M351)*0.453592/(N342/1000)</f>
        <v>22.130257856922302</v>
      </c>
      <c r="P346" s="301">
        <f>(P351-P5)*0.453592/(P342/1000)</f>
        <v>21.444180246222977</v>
      </c>
      <c r="Q346" s="301">
        <f>(Q351-P351)*0.453592/(Q342/1000)</f>
        <v>18.644466261393351</v>
      </c>
      <c r="R346" s="301">
        <f>(R351-Q351)*0.453592/(R342/1000)</f>
        <v>19.393872812724403</v>
      </c>
      <c r="S346" s="301">
        <f>(S351-R351)*0.453592/(S342/1000)</f>
        <v>18.665688952054769</v>
      </c>
      <c r="T346" s="301">
        <f>(T351-S351)*0.453592/(T342/1000)</f>
        <v>18.786862626521202</v>
      </c>
      <c r="U346" s="301">
        <f>(U351-T351)*0.453592/(U342/1000)</f>
        <v>22.348764053660151</v>
      </c>
      <c r="W346" s="301">
        <f>(W351-W5)*0.453592/(W342/1000)</f>
        <v>21.444180045859394</v>
      </c>
      <c r="X346" s="301">
        <f>(X351-W351)*0.453592/(X342/1000)</f>
        <v>18.730044921084275</v>
      </c>
      <c r="Y346" s="301">
        <f>(Y351-X351)*0.453592/(Y342/1000)</f>
        <v>19.468453682314134</v>
      </c>
      <c r="Z346" s="301">
        <f>(Z351-Y351)*0.453592/(Z342/1000)</f>
        <v>18.77132761367476</v>
      </c>
      <c r="AA346" s="301">
        <f>(AA351-Z351)*0.453592/(AA342/1000)</f>
        <v>18.931081826370587</v>
      </c>
      <c r="AB346" s="301">
        <f>(AB351-AA351)*0.453592/(AB342/1000)</f>
        <v>22.55963729131345</v>
      </c>
      <c r="AD346" s="301">
        <f>(AD351-AD5)*0.453592/(AD342/1000)</f>
        <v>21.444179890772812</v>
      </c>
      <c r="AE346" s="301">
        <f>(AE351-AD351)*0.453592/(AE342/1000)</f>
        <v>18.796469009784296</v>
      </c>
      <c r="AF346" s="301">
        <f>(AF351-AE351)*0.453592/(AF342/1000)</f>
        <v>19.535595860864181</v>
      </c>
      <c r="AG346" s="301">
        <f>(AG351-AF351)*0.453592/(AG342/1000)</f>
        <v>18.863559596049374</v>
      </c>
      <c r="AH346" s="301">
        <f>(AH351-AG351)*0.453592/(AH342/1000)</f>
        <v>19.068699117447089</v>
      </c>
      <c r="AI346" s="301">
        <f>(AI351-AH351)*0.453592/(AI342/1000)</f>
        <v>22.768088979616145</v>
      </c>
      <c r="AK346" s="301">
        <f>(AK351-AK5)*0.453592/(AK342/1000)</f>
        <v>21.444179782635668</v>
      </c>
      <c r="AL346" s="301">
        <f>(AL351-AK351)*0.453592/(AL342/1000)</f>
        <v>18.842938639519613</v>
      </c>
      <c r="AM346" s="301">
        <f>(AM351-AL351)*0.453592/(AM342/1000)</f>
        <v>19.58766971147897</v>
      </c>
      <c r="AN346" s="301">
        <f>(AN351-AM351)*0.453592/(AN342/1000)</f>
        <v>18.943486432461576</v>
      </c>
      <c r="AO346" s="301">
        <f>(AO351-AN351)*0.453592/(AO342/1000)</f>
        <v>19.2025519527805</v>
      </c>
      <c r="AP346" s="301">
        <f>(AP351-AO351)*0.453592/(AP342/1000)</f>
        <v>22.968488412523691</v>
      </c>
      <c r="AR346" s="301">
        <f>(AR351-AR5)*0.453592/(AR342/1000)</f>
        <v>21.44417971995674</v>
      </c>
      <c r="AS346" s="301">
        <f>(AS351-AR351)*0.453592/(AS342/1000)</f>
        <v>18.870057380359263</v>
      </c>
      <c r="AT346" s="301">
        <f>(AT351-AS351)*0.453592/(AT342/1000)</f>
        <v>19.624219800758382</v>
      </c>
      <c r="AU346" s="301">
        <f>(AU351-AT351)*0.453592/(AU342/1000)</f>
        <v>19.010488839895785</v>
      </c>
      <c r="AV346" s="301">
        <f>(AV351-AU351)*0.453592/(AV342/1000)</f>
        <v>19.329693443243265</v>
      </c>
      <c r="AW346" s="301">
        <f>(AW351-AV351)*0.453592/(AW342/1000)</f>
        <v>23.158425156574825</v>
      </c>
    </row>
    <row r="347" spans="1:52" x14ac:dyDescent="0.25">
      <c r="A347" s="298" t="s">
        <v>482</v>
      </c>
      <c r="B347" s="299">
        <f t="shared" ref="B347:G347" si="242" xml:space="preserve"> 51.6684755267 + 7.1030096064 * (B251/1000) + 54.0870565413 * B236 + 1.6439820046 * B253 + 0.4039153805 * B316 - 20.5375389219 * B252 + 0.2869358688 *(AVERAGE(B5:B6)*0.453592) - 0.016597667 * B316 * B316 - 0.1531408962 * (B251/1000) * (AVERAGE(B5:B6)*0.453592) - 4.8153797375 * B236 * B253 + 0.5304361357 * B236 * (AVERAGE(B5:B6)*0.453592) + 0.9830652207 * B253 * B252 - 0.0127129553 * B253 *(AVERAGE(B5:B6)*0.453592)</f>
        <v>58.926946242378264</v>
      </c>
      <c r="C347" s="299">
        <f t="shared" si="242"/>
        <v>66.189194917789251</v>
      </c>
      <c r="D347" s="299">
        <f t="shared" si="242"/>
        <v>71.395755678401272</v>
      </c>
      <c r="E347" s="299">
        <f t="shared" si="242"/>
        <v>74.83136084114436</v>
      </c>
      <c r="F347" s="299">
        <f t="shared" si="242"/>
        <v>76.96558226351317</v>
      </c>
      <c r="G347" s="299">
        <f t="shared" si="242"/>
        <v>78.664524560378098</v>
      </c>
      <c r="I347" s="299">
        <f t="shared" ref="I347:N347" si="243" xml:space="preserve"> 51.6684755267 + 7.1030096064 * (I251/1000) + 54.0870565413 * I236 + 1.6439820046 * I253 + 0.4039153805 * I316 - 20.5375389219 * I252 + 0.2869358688 *(AVERAGE(I5:I6)*0.453592) - 0.016597667 * I316 * I316 - 0.1531408962 * (I251/1000) * (AVERAGE(I5:I6)*0.453592) - 4.8153797375 * I236 * I253 + 0.5304361357 * I236 * (AVERAGE(I5:I6)*0.453592) + 0.9830652207 * I253 * I252 - 0.0127129553 * I253 *(AVERAGE(I5:I6)*0.453592)</f>
        <v>59.256306467592132</v>
      </c>
      <c r="J347" s="299">
        <f t="shared" si="243"/>
        <v>66.367015134120294</v>
      </c>
      <c r="K347" s="299">
        <f t="shared" si="243"/>
        <v>71.46679607070223</v>
      </c>
      <c r="L347" s="299">
        <f t="shared" si="243"/>
        <v>74.814708578542152</v>
      </c>
      <c r="M347" s="299">
        <f t="shared" si="243"/>
        <v>76.870626445897727</v>
      </c>
      <c r="N347" s="299">
        <f t="shared" si="243"/>
        <v>78.664524560378098</v>
      </c>
      <c r="P347" s="299">
        <f t="shared" ref="P347:U347" si="244" xml:space="preserve"> 51.6684755267 + 7.1030096064 * (P251/1000) + 54.0870565413 * P236 + 1.6439820046 * P253 + 0.4039153805 * P316 - 20.5375389219 * P252 + 0.2869358688 *(AVERAGE(P5:P6)*0.453592) - 0.016597667 * P316 * P316 - 0.1531408962 * (P251/1000) * (AVERAGE(P5:P6)*0.453592) - 4.8153797375 * P236 * P253 + 0.5304361357 * P236 * (AVERAGE(P5:P6)*0.453592) + 0.9830652207 * P253 * P252 - 0.0127129553 * P253 *(AVERAGE(P5:P6)*0.453592)</f>
        <v>59.514103916213948</v>
      </c>
      <c r="Q347" s="299">
        <f t="shared" si="244"/>
        <v>66.499242398773589</v>
      </c>
      <c r="R347" s="299">
        <f t="shared" si="244"/>
        <v>71.502289957165786</v>
      </c>
      <c r="S347" s="299">
        <f t="shared" si="244"/>
        <v>74.770812876218599</v>
      </c>
      <c r="T347" s="299">
        <f t="shared" si="244"/>
        <v>76.74974151558925</v>
      </c>
      <c r="U347" s="299">
        <f t="shared" si="244"/>
        <v>78.664524560378098</v>
      </c>
      <c r="W347" s="299">
        <f t="shared" ref="W347:AB347" si="245" xml:space="preserve"> 51.6684755267 + 7.1030096064 * (W251/1000) + 54.0870565413 * W236 + 1.6439820046 * W253 + 0.4039153805 * W316 - 20.5375389219 * W252 + 0.2869358688 *(AVERAGE(W5:W6)*0.453592) - 0.016597667 * W316 * W316 - 0.1531408962 * (W251/1000) * (AVERAGE(W5:W6)*0.453592) - 4.8153797375 * W236 * W253 + 0.5304361357 * W236 * (AVERAGE(W5:W6)*0.453592) + 0.9830652207 * W253 * W252 - 0.0127129553 * W253 *(AVERAGE(W5:W6)*0.453592)</f>
        <v>59.752063785782312</v>
      </c>
      <c r="X347" s="299">
        <f t="shared" si="245"/>
        <v>66.608813671194355</v>
      </c>
      <c r="Y347" s="299">
        <f t="shared" si="245"/>
        <v>71.525998193160518</v>
      </c>
      <c r="Z347" s="299">
        <f t="shared" si="245"/>
        <v>74.699496213849145</v>
      </c>
      <c r="AA347" s="299">
        <f t="shared" si="245"/>
        <v>76.598094339391096</v>
      </c>
      <c r="AB347" s="299">
        <f t="shared" si="245"/>
        <v>78.664524560378098</v>
      </c>
      <c r="AD347" s="299">
        <f t="shared" ref="AD347:AI347" si="246" xml:space="preserve"> 51.6684755267 + 7.1030096064 * (AD251/1000) + 54.0870565413 * AD236 + 1.6439820046 * AD253 + 0.4039153805 * AD316 - 20.5375389219 * AD252 + 0.2869358688 *(AVERAGE(AD5:AD6)*0.453592) - 0.016597667 * AD316 * AD316 - 0.1531408962 * (AD251/1000) * (AVERAGE(AD5:AD6)*0.453592) - 4.8153797375 * AD236 * AD253 + 0.5304361357 * AD236 * (AVERAGE(AD5:AD6)*0.453592) + 0.9830652207 * AD253 * AD252 - 0.0127129553 * AD253 *(AVERAGE(AD5:AD6)*0.453592)</f>
        <v>59.973458805908173</v>
      </c>
      <c r="AE347" s="299">
        <f t="shared" si="246"/>
        <v>66.719667287807752</v>
      </c>
      <c r="AF347" s="299">
        <f t="shared" si="246"/>
        <v>71.522174498494138</v>
      </c>
      <c r="AG347" s="299">
        <f t="shared" si="246"/>
        <v>74.601166796203174</v>
      </c>
      <c r="AH347" s="299">
        <f t="shared" si="246"/>
        <v>76.418925247056848</v>
      </c>
      <c r="AI347" s="299">
        <f t="shared" si="246"/>
        <v>78.664524560378098</v>
      </c>
      <c r="AK347" s="299">
        <f t="shared" ref="AK347:AP347" si="247" xml:space="preserve"> 51.6684755267 + 7.1030096064 * (AK251/1000) + 54.0870565413 * AK236 + 1.6439820046 * AK253 + 0.4039153805 * AK316 - 20.5375389219 * AK252 + 0.2869358688 *(AVERAGE(AK5:AK6)*0.453592) - 0.016597667 * AK316 * AK316 - 0.1531408962 * (AK251/1000) * (AVERAGE(AK5:AK6)*0.453592) - 4.8153797375 * AK236 * AK253 + 0.5304361357 * AK236 * (AVERAGE(AK5:AK6)*0.453592) + 0.9830652207 * AK253 * AK252 - 0.0127129553 * AK253 *(AVERAGE(AK5:AK6)*0.453592)</f>
        <v>60.166396912108425</v>
      </c>
      <c r="AL347" s="299">
        <f t="shared" si="247"/>
        <v>66.800023372360315</v>
      </c>
      <c r="AM347" s="299">
        <f t="shared" si="247"/>
        <v>71.49279477845046</v>
      </c>
      <c r="AN347" s="299">
        <f t="shared" si="247"/>
        <v>74.477267086053544</v>
      </c>
      <c r="AO347" s="299">
        <f t="shared" si="247"/>
        <v>76.214163950856815</v>
      </c>
      <c r="AP347" s="299">
        <f t="shared" si="247"/>
        <v>78.664524560378098</v>
      </c>
      <c r="AR347" s="299">
        <f t="shared" ref="AR347:AW347" si="248" xml:space="preserve"> 51.6684755267 + 7.1030096064 * (AR251/1000) + 54.0870565413 * AR236 + 1.6439820046 * AR253 + 0.4039153805 * AR316 - 20.5375389219 * AR252 + 0.2869358688 *(AVERAGE(AR5:AR6)*0.453592) - 0.016597667 * AR316 * AR316 - 0.1531408962 * (AR251/1000) * (AVERAGE(AR5:AR6)*0.453592) - 4.8153797375 * AR236 * AR253 + 0.5304361357 * AR236 * (AVERAGE(AR5:AR6)*0.453592) + 0.9830652207 * AR253 * AR252 - 0.0127129553 * AR253 *(AVERAGE(AR5:AR6)*0.453592)</f>
        <v>60.276466664575793</v>
      </c>
      <c r="AS347" s="299">
        <f t="shared" si="248"/>
        <v>66.859194238658858</v>
      </c>
      <c r="AT347" s="299">
        <f t="shared" si="248"/>
        <v>71.437507554301305</v>
      </c>
      <c r="AU347" s="299">
        <f t="shared" si="248"/>
        <v>74.329152219885884</v>
      </c>
      <c r="AV347" s="299">
        <f t="shared" si="248"/>
        <v>75.98395173551873</v>
      </c>
      <c r="AW347" s="299">
        <f t="shared" si="248"/>
        <v>78.664524560378098</v>
      </c>
    </row>
    <row r="348" spans="1:52" x14ac:dyDescent="0.25">
      <c r="A348" s="298" t="s">
        <v>474</v>
      </c>
      <c r="B348" s="299">
        <f t="shared" ref="B348:G348" si="249" xml:space="preserve"> 41.4410513954 + (14.8656283053 * B236) - (0.6326892081 * B253) - (12.1380129342 * B252) -
(0.0133880688 * (B253^2)) + (1.1112817574 * (B252^2))</f>
        <v>9.5560371255009784</v>
      </c>
      <c r="C348" s="299">
        <f t="shared" si="249"/>
        <v>10.757396605242121</v>
      </c>
      <c r="D348" s="299">
        <f t="shared" si="249"/>
        <v>12.259709285644082</v>
      </c>
      <c r="E348" s="299">
        <f t="shared" si="249"/>
        <v>14.049104759357949</v>
      </c>
      <c r="F348" s="299">
        <f t="shared" si="249"/>
        <v>15.652515990358797</v>
      </c>
      <c r="G348" s="299">
        <f t="shared" si="249"/>
        <v>16.585997021003028</v>
      </c>
      <c r="I348" s="299">
        <f t="shared" ref="I348:N348" si="250" xml:space="preserve"> 41.4410513954 + (14.8656283053 * I236) - (0.6326892081 * I253) - (12.1380129342 * I252) -
(0.0133880688 * (I253^2)) + (1.1112817574 * (I252^2))</f>
        <v>9.1030847275408817</v>
      </c>
      <c r="J348" s="299">
        <f t="shared" si="250"/>
        <v>10.305509878608344</v>
      </c>
      <c r="K348" s="299">
        <f t="shared" si="250"/>
        <v>11.80655762230802</v>
      </c>
      <c r="L348" s="299">
        <f t="shared" si="250"/>
        <v>13.606325223804614</v>
      </c>
      <c r="M348" s="299">
        <f t="shared" si="250"/>
        <v>15.234798120870087</v>
      </c>
      <c r="N348" s="299">
        <f t="shared" si="250"/>
        <v>16.585997021003028</v>
      </c>
      <c r="P348" s="299">
        <f t="shared" ref="P348:U348" si="251" xml:space="preserve"> 41.4410513954 + (14.8656283053 * P236) - (0.6326892081 * P253) - (12.1380129342 * P252) -
(0.0133880688 * (P253^2)) + (1.1112817574 * (P252^2))</f>
        <v>8.6249365428602918</v>
      </c>
      <c r="Q348" s="299">
        <f t="shared" si="251"/>
        <v>9.8263274993130985</v>
      </c>
      <c r="R348" s="299">
        <f t="shared" si="251"/>
        <v>11.330481300635393</v>
      </c>
      <c r="S348" s="299">
        <f t="shared" si="251"/>
        <v>13.161962974540518</v>
      </c>
      <c r="T348" s="299">
        <f t="shared" si="251"/>
        <v>14.79370407992214</v>
      </c>
      <c r="U348" s="299">
        <f t="shared" si="251"/>
        <v>16.585997021003028</v>
      </c>
      <c r="W348" s="299">
        <f t="shared" ref="W348:AB348" si="252" xml:space="preserve"> 41.4410513954 + (14.8656283053 * W236) - (0.6326892081 * W253) - (12.1380129342 * W252) -
(0.0133880688 * (W253^2)) + (1.1112817574 * (W252^2))</f>
        <v>8.1423115986948211</v>
      </c>
      <c r="X348" s="299">
        <f t="shared" si="252"/>
        <v>9.3449814882317455</v>
      </c>
      <c r="Y348" s="299">
        <f t="shared" si="252"/>
        <v>10.876068590363264</v>
      </c>
      <c r="Z348" s="299">
        <f t="shared" si="252"/>
        <v>12.703476594817129</v>
      </c>
      <c r="AA348" s="299">
        <f t="shared" si="252"/>
        <v>14.33860576939837</v>
      </c>
      <c r="AB348" s="299">
        <f t="shared" si="252"/>
        <v>16.585997021003028</v>
      </c>
      <c r="AD348" s="299">
        <f t="shared" ref="AD348:AI348" si="253" xml:space="preserve"> 41.4410513954 + (14.8656283053 * AD236) - (0.6326892081 * AD253) - (12.1380129342 * AD252) -
(0.0133880688 * (AD253^2)) + (1.1112817574 * (AD252^2))</f>
        <v>7.6556553743262796</v>
      </c>
      <c r="AE348" s="299">
        <f t="shared" si="253"/>
        <v>8.879947331605095</v>
      </c>
      <c r="AF348" s="299">
        <f t="shared" si="253"/>
        <v>10.409077879673632</v>
      </c>
      <c r="AG348" s="299">
        <f t="shared" si="253"/>
        <v>12.235613105516206</v>
      </c>
      <c r="AH348" s="299">
        <f t="shared" si="253"/>
        <v>13.884315353758383</v>
      </c>
      <c r="AI348" s="299">
        <f t="shared" si="253"/>
        <v>16.585997021003028</v>
      </c>
      <c r="AK348" s="299">
        <f t="shared" ref="AK348:AP348" si="254" xml:space="preserve"> 41.4410513954 + (14.8656283053 * AK236) - (0.6326892081 * AK253) - (12.1380129342 * AK252) -
(0.0133880688 * (AK253^2)) + (1.1112817574 * (AK252^2))</f>
        <v>7.161747877848704</v>
      </c>
      <c r="AL348" s="299">
        <f t="shared" si="254"/>
        <v>8.4084256625830598</v>
      </c>
      <c r="AM348" s="299">
        <f t="shared" si="254"/>
        <v>9.9334328557634741</v>
      </c>
      <c r="AN348" s="299">
        <f t="shared" si="254"/>
        <v>11.76815195558817</v>
      </c>
      <c r="AO348" s="299">
        <f t="shared" si="254"/>
        <v>13.428627470540391</v>
      </c>
      <c r="AP348" s="299">
        <f t="shared" si="254"/>
        <v>16.585997021003028</v>
      </c>
      <c r="AR348" s="299">
        <f t="shared" ref="AR348:AW348" si="255" xml:space="preserve"> 41.4410513954 + (14.8656283053 * AR236) - (0.6326892081 * AR253) - (12.1380129342 * AR252) -
(0.0133880688 * (AR253^2)) + (1.1112817574 * (AR252^2))</f>
        <v>6.6356117359756333</v>
      </c>
      <c r="AS348" s="299">
        <f t="shared" si="255"/>
        <v>7.9284471969483086</v>
      </c>
      <c r="AT348" s="299">
        <f t="shared" si="255"/>
        <v>9.445868384140848</v>
      </c>
      <c r="AU348" s="299">
        <f t="shared" si="255"/>
        <v>11.297682804889151</v>
      </c>
      <c r="AV348" s="299">
        <f t="shared" si="255"/>
        <v>12.969505073923386</v>
      </c>
      <c r="AW348" s="299">
        <f t="shared" si="255"/>
        <v>16.585997021003028</v>
      </c>
    </row>
    <row r="349" spans="1:52" x14ac:dyDescent="0.25">
      <c r="A349" s="298" t="s">
        <v>483</v>
      </c>
      <c r="B349" s="299">
        <f t="shared" ref="B349:G349" si="256" xml:space="preserve"> -16.7992454106 + 17.2658536059 * (B251/1000) - 106.6634904715 * B236 + 0.1550376119 * B253 - 0.0727312562 * B316 + 48.6541457906 * B252 - 0.1535643762 * B253 * B253 - 0.0358142801 * B316 * B316 - 5.4618633046 * B252 * B252 + 4.2267870055 * B236 * B253 - 2.0313848595 * B236 * B316 + 0.1484978883 * B253 * B316</f>
        <v>51.865570489059841</v>
      </c>
      <c r="C349" s="299">
        <f t="shared" si="256"/>
        <v>57.191564116130472</v>
      </c>
      <c r="D349" s="299">
        <f t="shared" si="256"/>
        <v>59.985859623399051</v>
      </c>
      <c r="E349" s="299">
        <f t="shared" si="256"/>
        <v>60.902879894464405</v>
      </c>
      <c r="F349" s="299">
        <f t="shared" si="256"/>
        <v>60.770621726469166</v>
      </c>
      <c r="G349" s="299">
        <f t="shared" si="256"/>
        <v>60.466263275736296</v>
      </c>
      <c r="I349" s="299">
        <f t="shared" ref="I349:N349" si="257" xml:space="preserve"> -16.7992454106 + 17.2658536059 * (I251/1000) - 106.6634904715 * I236 + 0.1550376119 * I253 - 0.0727312562 * I316 + 48.6541457906 * I252 - 0.1535643762 * I253 * I253 - 0.0358142801 * I316 * I316 - 5.4618633046 * I252 * I252 + 4.2267870055 * I236 * I253 - 2.0313848595 * I236 * I316 + 0.1484978883 * I253 * I316</f>
        <v>51.760378730115342</v>
      </c>
      <c r="J349" s="299">
        <f t="shared" si="257"/>
        <v>57.116711951056431</v>
      </c>
      <c r="K349" s="299">
        <f t="shared" si="257"/>
        <v>59.941048790236486</v>
      </c>
      <c r="L349" s="299">
        <f t="shared" si="257"/>
        <v>60.8598012284709</v>
      </c>
      <c r="M349" s="299">
        <f t="shared" si="257"/>
        <v>60.7084798007822</v>
      </c>
      <c r="N349" s="299">
        <f t="shared" si="257"/>
        <v>60.466263275736296</v>
      </c>
      <c r="P349" s="299">
        <f t="shared" ref="P349:U349" si="258" xml:space="preserve"> -16.7992454106 + 17.2658536059 * (P251/1000) - 106.6634904715 * P236 + 0.1550376119 * P253 - 0.0727312562 * P316 + 48.6541457906 * P252 - 0.1535643762 * P253 * P253 - 0.0358142801 * P316 * P316 - 5.4618633046 * P252 * P252 + 4.2267870055 * P236 * P253 - 2.0313848595 * P236 * P316 + 0.1484978883 * P253 * P316</f>
        <v>51.564383022474743</v>
      </c>
      <c r="Q349" s="299">
        <f t="shared" si="258"/>
        <v>57.004125727873273</v>
      </c>
      <c r="R349" s="299">
        <f t="shared" si="258"/>
        <v>59.875239356438691</v>
      </c>
      <c r="S349" s="299">
        <f t="shared" si="258"/>
        <v>60.812923277768796</v>
      </c>
      <c r="T349" s="299">
        <f t="shared" si="258"/>
        <v>60.647135830635534</v>
      </c>
      <c r="U349" s="299">
        <f t="shared" si="258"/>
        <v>60.466263275736296</v>
      </c>
      <c r="W349" s="299">
        <f t="shared" ref="W349:AB349" si="259" xml:space="preserve"> -16.7992454106 + 17.2658536059 * (W251/1000) - 106.6634904715 * W236 + 0.1550376119 * W253 - 0.0727312562 * W316 + 48.6541457906 * W252 - 0.1535643762 * W253 * W253 - 0.0358142801 * W316 * W316 - 5.4618633046 * W252 * W252 + 4.2267870055 * W236 * W253 - 2.0313848595 * W236 * W316 + 0.1484978883 * W253 * W316</f>
        <v>51.36375182922437</v>
      </c>
      <c r="X349" s="299">
        <f t="shared" si="259"/>
        <v>56.884900906553185</v>
      </c>
      <c r="Y349" s="299">
        <f t="shared" si="259"/>
        <v>59.824341205821518</v>
      </c>
      <c r="Z349" s="299">
        <f t="shared" si="259"/>
        <v>60.761990922695603</v>
      </c>
      <c r="AA349" s="299">
        <f t="shared" si="259"/>
        <v>60.586855208223852</v>
      </c>
      <c r="AB349" s="299">
        <f t="shared" si="259"/>
        <v>60.466263275736296</v>
      </c>
      <c r="AD349" s="299">
        <f t="shared" ref="AD349:AI349" si="260" xml:space="preserve"> -16.7992454106 + 17.2658536059 * (AD251/1000) - 106.6634904715 * AD236 + 0.1550376119 * AD253 - 0.0727312562 * AD316 + 48.6541457906 * AD252 - 0.1535643762 * AD253 * AD253 - 0.0358142801 * AD316 * AD316 - 5.4618633046 * AD252 * AD252 + 4.2267870055 * AD236 * AD253 - 2.0313848595 * AD236 * AD316 + 0.1484978883 * AD253 * AD316</f>
        <v>51.164803681444724</v>
      </c>
      <c r="AE349" s="299">
        <f t="shared" si="260"/>
        <v>56.801760235365194</v>
      </c>
      <c r="AF349" s="299">
        <f t="shared" si="260"/>
        <v>59.766387181758517</v>
      </c>
      <c r="AG349" s="299">
        <f t="shared" si="260"/>
        <v>60.710785086977566</v>
      </c>
      <c r="AH349" s="299">
        <f t="shared" si="260"/>
        <v>60.522198947372814</v>
      </c>
      <c r="AI349" s="299">
        <f t="shared" si="260"/>
        <v>60.466263275736296</v>
      </c>
      <c r="AK349" s="299">
        <f t="shared" ref="AK349:AP349" si="261" xml:space="preserve"> -16.7992454106 + 17.2658536059 * (AK251/1000) - 106.6634904715 * AK236 + 0.1550376119 * AK253 - 0.0727312562 * AK316 + 48.6541457906 * AK252 - 0.1535643762 * AK253 * AK253 - 0.0358142801 * AK316 * AK316 - 5.4618633046 * AK252 * AK252 + 4.2267870055 * AK236 * AK253 - 2.0313848595 * AK236 * AK316 + 0.1484978883 * AK253 * AK316</f>
        <v>50.94290975293066</v>
      </c>
      <c r="AL349" s="299">
        <f t="shared" si="261"/>
        <v>56.69976786992531</v>
      </c>
      <c r="AM349" s="299">
        <f t="shared" si="261"/>
        <v>59.703609749018526</v>
      </c>
      <c r="AN349" s="299">
        <f t="shared" si="261"/>
        <v>60.655471088189302</v>
      </c>
      <c r="AO349" s="299">
        <f t="shared" si="261"/>
        <v>60.452970367087858</v>
      </c>
      <c r="AP349" s="299">
        <f t="shared" si="261"/>
        <v>60.466263275736296</v>
      </c>
      <c r="AR349" s="299">
        <f t="shared" ref="AR349:AW349" si="262" xml:space="preserve"> -16.7992454106 + 17.2658536059 * (AR251/1000) - 106.6634904715 * AR236 + 0.1550376119 * AR253 - 0.0727312562 * AR316 + 48.6541457906 * AR252 - 0.1535643762 * AR253 * AR253 - 0.0358142801 * AR316 * AR316 - 5.4618633046 * AR252 * AR252 + 4.2267870055 * AR236 * AR253 - 2.0313848595 * AR236 * AR316 + 0.1484978883 * AR253 * AR316</f>
        <v>50.580550318529227</v>
      </c>
      <c r="AS349" s="299">
        <f t="shared" si="262"/>
        <v>56.598490848196249</v>
      </c>
      <c r="AT349" s="299">
        <f t="shared" si="262"/>
        <v>59.635455727621</v>
      </c>
      <c r="AU349" s="299">
        <f t="shared" si="262"/>
        <v>60.596415736436171</v>
      </c>
      <c r="AV349" s="299">
        <f t="shared" si="262"/>
        <v>60.379503525965447</v>
      </c>
      <c r="AW349" s="299">
        <f t="shared" si="262"/>
        <v>60.466263275736296</v>
      </c>
    </row>
    <row r="350" spans="1:52" x14ac:dyDescent="0.25">
      <c r="A350" s="298" t="s">
        <v>484</v>
      </c>
      <c r="B350" s="299">
        <f t="shared" ref="B350:G350" si="263" xml:space="preserve"> 49.3215904687 - 4.5564383267 * (B251/1000) + 31.3355706686 * B236 + 0.0864922401 * B253 - 16.201377828 * B236 * B236</f>
        <v>53.767985207144591</v>
      </c>
      <c r="C350" s="299">
        <f t="shared" si="263"/>
        <v>54.221957863966054</v>
      </c>
      <c r="D350" s="299">
        <f t="shared" si="263"/>
        <v>54.11985087991409</v>
      </c>
      <c r="E350" s="299">
        <f t="shared" si="263"/>
        <v>53.644786108848308</v>
      </c>
      <c r="F350" s="299">
        <f t="shared" si="263"/>
        <v>53.100859923606755</v>
      </c>
      <c r="G350" s="299">
        <f t="shared" si="263"/>
        <v>52.737723960313936</v>
      </c>
      <c r="I350" s="299">
        <f t="shared" ref="I350:N350" si="264" xml:space="preserve"> 49.3215904687 - 4.5564383267 * (I251/1000) + 31.3355706686 * I236 + 0.0864922401 * I253 - 16.201377828 * I236 * I236</f>
        <v>53.956077548996447</v>
      </c>
      <c r="J350" s="299">
        <f t="shared" si="264"/>
        <v>54.366625145917489</v>
      </c>
      <c r="K350" s="299">
        <f t="shared" si="264"/>
        <v>54.234757433588257</v>
      </c>
      <c r="L350" s="299">
        <f t="shared" si="264"/>
        <v>53.742359587401396</v>
      </c>
      <c r="M350" s="299">
        <f t="shared" si="264"/>
        <v>53.183906533208742</v>
      </c>
      <c r="N350" s="299">
        <f t="shared" si="264"/>
        <v>52.737723960313936</v>
      </c>
      <c r="P350" s="299">
        <f t="shared" ref="P350:U350" si="265" xml:space="preserve"> 49.3215904687 - 4.5564383267 * (P251/1000) + 31.3355706686 * P236 + 0.0864922401 * P253 - 16.201377828 * P236 * P236</f>
        <v>54.132567492720966</v>
      </c>
      <c r="Q350" s="299">
        <f t="shared" si="265"/>
        <v>54.508201757543986</v>
      </c>
      <c r="R350" s="299">
        <f t="shared" si="265"/>
        <v>54.35234124423387</v>
      </c>
      <c r="S350" s="299">
        <f t="shared" si="265"/>
        <v>53.837272757177388</v>
      </c>
      <c r="T350" s="299">
        <f t="shared" si="265"/>
        <v>53.27123913416856</v>
      </c>
      <c r="U350" s="299">
        <f t="shared" si="265"/>
        <v>52.737723960313936</v>
      </c>
      <c r="W350" s="299">
        <f t="shared" ref="W350:AB350" si="266" xml:space="preserve"> 49.3215904687 - 4.5564383267 * (W251/1000) + 31.3355706686 * W236 + 0.0864922401 * W253 - 16.201377828 * W236 * W236</f>
        <v>54.307004225333472</v>
      </c>
      <c r="X350" s="299">
        <f t="shared" si="266"/>
        <v>54.648121880587475</v>
      </c>
      <c r="Y350" s="299">
        <f t="shared" si="266"/>
        <v>54.463469021621179</v>
      </c>
      <c r="Z350" s="299">
        <f t="shared" si="266"/>
        <v>53.933215354730756</v>
      </c>
      <c r="AA350" s="299">
        <f t="shared" si="266"/>
        <v>53.358066482317938</v>
      </c>
      <c r="AB350" s="299">
        <f t="shared" si="266"/>
        <v>52.737723960313936</v>
      </c>
      <c r="AD350" s="299">
        <f t="shared" ref="AD350:AI350" si="267" xml:space="preserve"> 49.3215904687 - 4.5564383267 * (AD251/1000) + 31.3355706686 * AD236 + 0.0864922401 * AD253 - 16.201377828 * AD236 * AD236</f>
        <v>54.479807730815537</v>
      </c>
      <c r="AE350" s="299">
        <f t="shared" si="267"/>
        <v>54.78611423596584</v>
      </c>
      <c r="AF350" s="299">
        <f t="shared" si="267"/>
        <v>54.574045893424795</v>
      </c>
      <c r="AG350" s="299">
        <f t="shared" si="267"/>
        <v>54.027666739240473</v>
      </c>
      <c r="AH350" s="299">
        <f t="shared" si="267"/>
        <v>53.446946471505626</v>
      </c>
      <c r="AI350" s="299">
        <f t="shared" si="267"/>
        <v>52.737723960313936</v>
      </c>
      <c r="AK350" s="299">
        <f t="shared" ref="AK350:AP350" si="268" xml:space="preserve"> 49.3215904687 - 4.5564383267 * (AK251/1000) + 31.3355706686 * AK236 + 0.0864922401 * AK253 - 16.201377828 * AK236 * AK236</f>
        <v>54.649163636177029</v>
      </c>
      <c r="AL350" s="299">
        <f t="shared" si="268"/>
        <v>54.922113926009153</v>
      </c>
      <c r="AM350" s="299">
        <f t="shared" si="268"/>
        <v>54.683565008213925</v>
      </c>
      <c r="AN350" s="299">
        <f t="shared" si="268"/>
        <v>54.124115745648581</v>
      </c>
      <c r="AO350" s="299">
        <f t="shared" si="268"/>
        <v>53.535689017141308</v>
      </c>
      <c r="AP350" s="299">
        <f t="shared" si="268"/>
        <v>52.737723960313936</v>
      </c>
      <c r="AR350" s="299">
        <f t="shared" ref="AR350:AW350" si="269" xml:space="preserve"> 49.3215904687 - 4.5564383267 * (AR251/1000) + 31.3355706686 * AR236 + 0.0864922401 * AR253 - 16.201377828 * AR236 * AR236</f>
        <v>54.807012934984947</v>
      </c>
      <c r="AS350" s="299">
        <f t="shared" si="269"/>
        <v>55.055937715870606</v>
      </c>
      <c r="AT350" s="299">
        <f t="shared" si="269"/>
        <v>54.792747672122793</v>
      </c>
      <c r="AU350" s="299">
        <f t="shared" si="269"/>
        <v>54.222094315597218</v>
      </c>
      <c r="AV350" s="299">
        <f t="shared" si="269"/>
        <v>53.623204458478163</v>
      </c>
      <c r="AW350" s="299">
        <f t="shared" si="269"/>
        <v>52.737723960313936</v>
      </c>
    </row>
    <row r="351" spans="1:52" x14ac:dyDescent="0.25">
      <c r="A351" s="298" t="s">
        <v>513</v>
      </c>
      <c r="B351" s="364">
        <f t="shared" ref="B351:G351" si="270">B5+(B342*0.00220462*B346)</f>
        <v>84.999929826400006</v>
      </c>
      <c r="C351" s="364">
        <f t="shared" si="270"/>
        <v>119.99992982640001</v>
      </c>
      <c r="D351" s="364">
        <f t="shared" si="270"/>
        <v>159.99991980159999</v>
      </c>
      <c r="E351" s="364">
        <f t="shared" si="270"/>
        <v>199.99991980160002</v>
      </c>
      <c r="F351" s="364">
        <f t="shared" si="270"/>
        <v>239.99991980159999</v>
      </c>
      <c r="G351" s="364">
        <f t="shared" si="270"/>
        <v>284.9999097768</v>
      </c>
      <c r="H351" s="7"/>
      <c r="I351" s="364">
        <f>$B$351-I268</f>
        <v>84.747276956008861</v>
      </c>
      <c r="J351" s="364">
        <f>$C$351-J268</f>
        <v>119.77801757161166</v>
      </c>
      <c r="K351" s="364">
        <f>$D$351-K268</f>
        <v>159.73395914661489</v>
      </c>
      <c r="L351" s="364">
        <f>$E$351-L268</f>
        <v>199.66150925488392</v>
      </c>
      <c r="M351" s="364">
        <f>$F$351-M268</f>
        <v>239.52454714962926</v>
      </c>
      <c r="N351" s="364">
        <f>$G$351-N268</f>
        <v>284.9999097768</v>
      </c>
      <c r="O351" s="2"/>
      <c r="P351" s="364">
        <f>$B$351-P268</f>
        <v>84.55252302062118</v>
      </c>
      <c r="Q351" s="364">
        <f>$C$351-Q268</f>
        <v>119.60212968231728</v>
      </c>
      <c r="R351" s="364">
        <f>$D$351-R268</f>
        <v>159.50744006478919</v>
      </c>
      <c r="S351" s="364">
        <f>$E$351-S268</f>
        <v>199.34128423138765</v>
      </c>
      <c r="T351" s="364">
        <f>$F$351-T268</f>
        <v>239.07553979521069</v>
      </c>
      <c r="U351" s="364">
        <f>$G$351-U268</f>
        <v>284.9999097768</v>
      </c>
      <c r="V351" s="2"/>
      <c r="W351" s="364">
        <f>$B$351-W268</f>
        <v>84.39428801758379</v>
      </c>
      <c r="X351" s="364">
        <f>$C$351-X268</f>
        <v>119.45174087494144</v>
      </c>
      <c r="Y351" s="364">
        <f>$D$351-Y268</f>
        <v>159.2873712188354</v>
      </c>
      <c r="Z351" s="364">
        <f>$E$351-Z268</f>
        <v>199.04694664571142</v>
      </c>
      <c r="AA351" s="364">
        <f>$F$351-AA268</f>
        <v>238.64221737246044</v>
      </c>
      <c r="AB351" s="364">
        <f>$G$351-AB268</f>
        <v>284.9999097768</v>
      </c>
      <c r="AC351" s="2"/>
      <c r="AD351" s="364">
        <f>$B$351-AD268</f>
        <v>84.272801566589351</v>
      </c>
      <c r="AE351" s="364">
        <f>$C$351-AE268</f>
        <v>119.3176547846159</v>
      </c>
      <c r="AF351" s="364">
        <f>$D$351-AF268</f>
        <v>159.09838729787106</v>
      </c>
      <c r="AG351" s="364">
        <f>$E$351-AG268</f>
        <v>198.77286767070169</v>
      </c>
      <c r="AH351" s="364">
        <f>$F$351-AH268</f>
        <v>238.2138709800642</v>
      </c>
      <c r="AI351" s="364">
        <f>$G$351-AI268</f>
        <v>284.9999097768</v>
      </c>
      <c r="AJ351" s="2"/>
      <c r="AK351" s="364">
        <f>$B$351-AK268</f>
        <v>84.18859936367906</v>
      </c>
      <c r="AL351" s="364">
        <f>$C$351-AL268</f>
        <v>119.21486009591908</v>
      </c>
      <c r="AM351" s="364">
        <f>$D$351-AM268</f>
        <v>158.93747306067789</v>
      </c>
      <c r="AN351" s="364">
        <f>$E$351-AN268</f>
        <v>198.51221770330227</v>
      </c>
      <c r="AO351" s="364">
        <f>$F$351-AO268</f>
        <v>237.80207112934988</v>
      </c>
      <c r="AP351" s="364">
        <f>$G$351-AP268</f>
        <v>284.9999097768</v>
      </c>
      <c r="AQ351" s="2"/>
      <c r="AR351" s="364">
        <f>$B$351-AR268</f>
        <v>84.13998283768683</v>
      </c>
      <c r="AS351" s="364">
        <f>$C$351-AS268</f>
        <v>119.14366055462939</v>
      </c>
      <c r="AT351" s="364">
        <f>$D$351-AT268</f>
        <v>158.80505728247883</v>
      </c>
      <c r="AU351" s="364">
        <f>$E$351-AU268</f>
        <v>198.27012288337207</v>
      </c>
      <c r="AV351" s="364">
        <f>$F$351-AV268</f>
        <v>237.41177100868285</v>
      </c>
      <c r="AW351" s="364">
        <f>$G$351-AW268</f>
        <v>284.9999097768</v>
      </c>
      <c r="AX351" s="2"/>
      <c r="AY351" s="7"/>
      <c r="AZ351" s="2"/>
    </row>
    <row r="352" spans="1:52" x14ac:dyDescent="0.25">
      <c r="A352" s="298" t="s">
        <v>514</v>
      </c>
      <c r="B352" s="364">
        <v>0</v>
      </c>
      <c r="C352" s="364">
        <v>0</v>
      </c>
      <c r="D352" s="364">
        <v>0</v>
      </c>
      <c r="E352" s="364">
        <v>0</v>
      </c>
      <c r="F352" s="364">
        <v>0</v>
      </c>
      <c r="G352" s="364">
        <v>0</v>
      </c>
      <c r="H352" s="7"/>
      <c r="I352" s="364">
        <v>0</v>
      </c>
      <c r="J352" s="364">
        <v>0</v>
      </c>
      <c r="K352" s="364">
        <v>0</v>
      </c>
      <c r="L352" s="364">
        <v>0</v>
      </c>
      <c r="M352" s="364">
        <v>0</v>
      </c>
      <c r="N352" s="364">
        <v>0</v>
      </c>
      <c r="O352" s="2"/>
      <c r="P352" s="364">
        <v>0</v>
      </c>
      <c r="Q352" s="364">
        <v>0</v>
      </c>
      <c r="R352" s="364">
        <v>0</v>
      </c>
      <c r="S352" s="364">
        <v>0</v>
      </c>
      <c r="T352" s="364">
        <v>0</v>
      </c>
      <c r="U352" s="364">
        <v>0</v>
      </c>
      <c r="V352" s="2"/>
      <c r="W352" s="364">
        <v>0</v>
      </c>
      <c r="X352" s="364">
        <v>0</v>
      </c>
      <c r="Y352" s="364">
        <v>0</v>
      </c>
      <c r="Z352" s="364">
        <v>0</v>
      </c>
      <c r="AA352" s="364">
        <v>0</v>
      </c>
      <c r="AB352" s="364">
        <v>0</v>
      </c>
      <c r="AC352" s="2"/>
      <c r="AD352" s="364">
        <v>0</v>
      </c>
      <c r="AE352" s="364">
        <v>0</v>
      </c>
      <c r="AF352" s="364">
        <v>0</v>
      </c>
      <c r="AG352" s="364">
        <v>0</v>
      </c>
      <c r="AH352" s="364">
        <v>0</v>
      </c>
      <c r="AI352" s="364">
        <v>0</v>
      </c>
      <c r="AJ352" s="2"/>
      <c r="AK352" s="364">
        <v>0</v>
      </c>
      <c r="AL352" s="364">
        <v>0</v>
      </c>
      <c r="AM352" s="364">
        <v>0</v>
      </c>
      <c r="AN352" s="364">
        <v>0</v>
      </c>
      <c r="AO352" s="364">
        <v>0</v>
      </c>
      <c r="AP352" s="364">
        <v>0</v>
      </c>
      <c r="AQ352" s="2"/>
      <c r="AR352" s="364">
        <v>0</v>
      </c>
      <c r="AS352" s="364">
        <v>0</v>
      </c>
      <c r="AT352" s="364">
        <v>0</v>
      </c>
      <c r="AU352" s="364">
        <v>0</v>
      </c>
      <c r="AV352" s="364">
        <v>0</v>
      </c>
      <c r="AW352" s="364">
        <v>0</v>
      </c>
      <c r="AX352" s="2"/>
    </row>
    <row r="353" spans="1:57" ht="14.4" x14ac:dyDescent="0.3">
      <c r="A353" s="365" t="s">
        <v>515</v>
      </c>
      <c r="B353" s="462">
        <f xml:space="preserve"> 0.03492* B352 - 0.05092 * B316 - 0.06897 * B316 - 0.00289 * (B316 * B352) + 'DDGS Calculator'!$G$9</f>
        <v>73.972551185589822</v>
      </c>
      <c r="C353" s="462">
        <f xml:space="preserve"> 0.03492* C352 - 0.05092 * B316- 0.06897 * C316 - 0.00289 * (C316 * C352) + 'DDGS Calculator'!$G$9</f>
        <v>73.967590114943533</v>
      </c>
      <c r="D353" s="462">
        <f xml:space="preserve"> 0.03492* D352 - 0.05092 * C316- 0.06897 * D316 - 0.00289 * (D316 * D352) + 'DDGS Calculator'!$G$9</f>
        <v>73.959502824315024</v>
      </c>
      <c r="E353" s="462">
        <f xml:space="preserve"> 0.03492* E352 - 0.05092 * D316- 0.06897 * E316 - 0.00289 * (E316 * E352) + 'DDGS Calculator'!$G$9</f>
        <v>73.952564091992727</v>
      </c>
      <c r="F353" s="462">
        <f xml:space="preserve"> 0.03492* F352 - 0.05092 * E316- 0.06897 * F316 - 0.00289 * (F316 * F352) + 'DDGS Calculator'!$G$9</f>
        <v>73.947050097444134</v>
      </c>
      <c r="G353" s="462">
        <f xml:space="preserve"> 0.03492* G352 - 0.05092 * F316- 0.06897 * G316 - 0.00289 * (G316 * G352) + 'DDGS Calculator'!$G$9</f>
        <v>73.9437035156581</v>
      </c>
      <c r="H353" s="7"/>
      <c r="I353" s="462">
        <f xml:space="preserve"> 0.03492* I352 - 0.05092 * I316 - 0.06897 * I316 - 0.00289 * (I316 * I352) + 'DDGS Calculator'!$G$9</f>
        <v>73.827969709053932</v>
      </c>
      <c r="J353" s="462">
        <f xml:space="preserve"> 0.03492* J352 - 0.05092 * I316- 0.06897 * J316 - 0.00289 * (J316 * J352) + 'DDGS Calculator'!$G$9</f>
        <v>73.823095508682854</v>
      </c>
      <c r="K353" s="462">
        <f xml:space="preserve"> 0.03492* K352 - 0.05092 * J316- 0.06897 * K316 - 0.00289 * (K316 * K352) + 'DDGS Calculator'!$G$9</f>
        <v>73.81509848572216</v>
      </c>
      <c r="L353" s="462">
        <f xml:space="preserve"> 0.03492* L352 - 0.05092 * K316- 0.06897 * L316 - 0.00289 * (L316 * L352) + 'DDGS Calculator'!$G$9</f>
        <v>73.8082061056962</v>
      </c>
      <c r="M353" s="462">
        <f xml:space="preserve"> 0.03492* M352 - 0.05092 * L316- 0.06897 * M316 - 0.00289 * (M316 * M352) + 'DDGS Calculator'!$G$9</f>
        <v>73.80269487037036</v>
      </c>
      <c r="N353" s="462">
        <f xml:space="preserve"> 0.03492* N352 - 0.05092 * M316- 0.06897 * N316 - 0.00289 * (N316 * N352) + 'DDGS Calculator'!$G$9</f>
        <v>73.882387180120503</v>
      </c>
      <c r="O353" s="7"/>
      <c r="P353" s="462">
        <f xml:space="preserve"> 0.03492* P352 - 0.05092 * P316 - 0.06897 * P316 - 0.00289 * (P316 * P352) + 'DDGS Calculator'!$G$9</f>
        <v>73.683519915497129</v>
      </c>
      <c r="Q353" s="462">
        <f xml:space="preserve"> 0.03492* Q352 - 0.05092 * P316- 0.06897 * Q316 - 0.00289 * (Q316 * Q352) + 'DDGS Calculator'!$G$9</f>
        <v>73.678710640693126</v>
      </c>
      <c r="R353" s="462">
        <f xml:space="preserve"> 0.03492* R352 - 0.05092 * Q316- 0.06897 * R316 - 0.00289 * (R316 * R352) + 'DDGS Calculator'!$G$9</f>
        <v>73.670780213230529</v>
      </c>
      <c r="S353" s="462">
        <f xml:space="preserve"> 0.03492* S352 - 0.05092 * R316- 0.06897 * S316 - 0.00289 * (S316 * S352) + 'DDGS Calculator'!$G$9</f>
        <v>73.663905575179484</v>
      </c>
      <c r="T353" s="462">
        <f xml:space="preserve"> 0.03492* T352 - 0.05092 * S316- 0.06897 * T316 - 0.00289 * (T316 * T352) + 'DDGS Calculator'!$G$9</f>
        <v>73.658424263577388</v>
      </c>
      <c r="U353" s="462">
        <f xml:space="preserve"> 0.03492* U352 - 0.05092 * T316- 0.06897 * U316 - 0.00289 * (U316 * U352) + 'DDGS Calculator'!$G$9</f>
        <v>73.82112064928188</v>
      </c>
      <c r="V353" s="7"/>
      <c r="W353" s="462">
        <f xml:space="preserve"> 0.03492* W352 - 0.05092 * W316 - 0.06897 * W316 - 0.00289 * (W316 * W352) + 'DDGS Calculator'!$G$9</f>
        <v>73.539097625975515</v>
      </c>
      <c r="X353" s="462">
        <f xml:space="preserve"> 0.03492* X352 - 0.05092 * W316- 0.06897 * X316 - 0.00289 * (X316 * X352) + 'DDGS Calculator'!$G$9</f>
        <v>73.534325779816029</v>
      </c>
      <c r="Y353" s="462">
        <f xml:space="preserve"> 0.03492* Y352 - 0.05092 * X316- 0.06897 * Y316 - 0.00289 * (Y316 * Y352) + 'DDGS Calculator'!$G$9</f>
        <v>73.526437114426912</v>
      </c>
      <c r="Z353" s="462">
        <f xml:space="preserve"> 0.03492* Z352 - 0.05092 * Y316- 0.06897 * Z316 - 0.00289 * (Z316 * Z352) + 'DDGS Calculator'!$G$9</f>
        <v>73.519635495324664</v>
      </c>
      <c r="AA353" s="462">
        <f xml:space="preserve"> 0.03492* AA352 - 0.05092 * Z316- 0.06897 * AA316 - 0.00289 * (AA316 * AA352) + 'DDGS Calculator'!$G$9</f>
        <v>73.514292556668451</v>
      </c>
      <c r="AB353" s="462">
        <f xml:space="preserve"> 0.03492* AB352 - 0.05092 * AA316- 0.06897 * AB316 - 0.00289 * (AB316 * AB352) + 'DDGS Calculator'!$G$9</f>
        <v>73.759933547068627</v>
      </c>
      <c r="AC353" s="7"/>
      <c r="AD353" s="462">
        <f xml:space="preserve"> 0.03492* AD352 - 0.05092 * AD316 - 0.06897 * AD316 - 0.00289 * (AD316 * AD352) + 'DDGS Calculator'!$G$9</f>
        <v>73.394710737703804</v>
      </c>
      <c r="AE353" s="462">
        <f xml:space="preserve"> 0.03492* AE352 - 0.05092 * AD316- 0.06897 * AE316 - 0.00289 * (AE316 * AE352) + 'DDGS Calculator'!$G$9</f>
        <v>73.389942088275788</v>
      </c>
      <c r="AF353" s="462">
        <f xml:space="preserve"> 0.03492* AF352 - 0.05092 * AE316- 0.06897 * AF316 - 0.00289 * (AF316 * AF352) + 'DDGS Calculator'!$G$9</f>
        <v>73.382125449893522</v>
      </c>
      <c r="AG353" s="462">
        <f xml:space="preserve"> 0.03492* AG352 - 0.05092 * AF316- 0.06897 * AG316 - 0.00289 * (AG316 * AG352) + 'DDGS Calculator'!$G$9</f>
        <v>73.375489067781572</v>
      </c>
      <c r="AH353" s="462">
        <f xml:space="preserve"> 0.03492* AH352 - 0.05092 * AG316- 0.06897 * AH316 - 0.00289 * (AH316 * AH352) + 'DDGS Calculator'!$G$9</f>
        <v>73.370648209025447</v>
      </c>
      <c r="AI353" s="462">
        <f xml:space="preserve"> 0.03492* AI352 - 0.05092 * AH316- 0.06897 * AI316 - 0.00289 * (AI316 * AI352) + 'DDGS Calculator'!$G$9</f>
        <v>73.699055628231221</v>
      </c>
      <c r="AJ353" s="7"/>
      <c r="AK353" s="462">
        <f xml:space="preserve"> 0.03492* AK352 - 0.05092 * AK316 - 0.06897 * AK316 - 0.00289 * (AK316 * AK352) + 'DDGS Calculator'!$G$9</f>
        <v>73.250352416994545</v>
      </c>
      <c r="AL353" s="462">
        <f xml:space="preserve"> 0.03492* AL352 - 0.05092 * AK316- 0.06897 * AL316 - 0.00289 * (AL316 * AL352) + 'DDGS Calculator'!$G$9</f>
        <v>73.245559424968391</v>
      </c>
      <c r="AM353" s="462">
        <f xml:space="preserve"> 0.03492* AM352 - 0.05092 * AL316- 0.06897 * AM316 - 0.00289 * (AM316 * AM352) + 'DDGS Calculator'!$G$9</f>
        <v>73.237843470397252</v>
      </c>
      <c r="AN353" s="462">
        <f xml:space="preserve"> 0.03492* AN352 - 0.05092 * AM316- 0.06897 * AN316 - 0.00289 * (AN316 * AN352) + 'DDGS Calculator'!$G$9</f>
        <v>73.231688746506677</v>
      </c>
      <c r="AO353" s="462">
        <f xml:space="preserve"> 0.03492* AO352 - 0.05092 * AN316- 0.06897 * AO316 - 0.00289 * (AO316 * AO352) + 'DDGS Calculator'!$G$9</f>
        <v>73.227380642912948</v>
      </c>
      <c r="AP353" s="462">
        <f xml:space="preserve"> 0.03492* AP352 - 0.05092 * AO316- 0.06897 * AP316 - 0.00289 * (AP316 * AP352) + 'DDGS Calculator'!$G$9</f>
        <v>73.638282475658968</v>
      </c>
      <c r="AQ353" s="7"/>
      <c r="AR353" s="462">
        <f xml:space="preserve"> 0.03492* AR352 - 0.05092 * AR316 - 0.06897 * AR316 - 0.00289 * (AR316 * AR352) + 'DDGS Calculator'!$G$9</f>
        <v>73.106094390504623</v>
      </c>
      <c r="AS353" s="462">
        <f xml:space="preserve"> 0.03492* AS352 - 0.05092 * AR316- 0.06897 * AS316 - 0.00289 * (AS316 * AS352) + 'DDGS Calculator'!$G$9</f>
        <v>73.101272427249754</v>
      </c>
      <c r="AT353" s="462">
        <f xml:space="preserve"> 0.03492* AT352 - 0.05092 * AS316- 0.06897 * AT316 - 0.00289 * (AT316 * AT352) + 'DDGS Calculator'!$G$9</f>
        <v>73.093658387754516</v>
      </c>
      <c r="AU353" s="462">
        <f xml:space="preserve"> 0.03492* AU352 - 0.05092 * AT316- 0.06897 * AU316 - 0.00289 * (AU316 * AU352) + 'DDGS Calculator'!$G$9</f>
        <v>73.088165166049109</v>
      </c>
      <c r="AV353" s="462">
        <f xml:space="preserve"> 0.03492* AV352 - 0.05092 * AU316- 0.06897 * AV316 - 0.00289 * (AV316 * AV352) + 'DDGS Calculator'!$G$9</f>
        <v>73.084286128513853</v>
      </c>
      <c r="AW353" s="462">
        <f xml:space="preserve"> 0.03492* AW352 - 0.05092 * AV316- 0.06897 * AW316 - 0.00289 * (AW316 * AW352) + 'DDGS Calculator'!$G$9</f>
        <v>73.577509467959658</v>
      </c>
      <c r="AX353" s="7"/>
    </row>
    <row r="354" spans="1:57" x14ac:dyDescent="0.25">
      <c r="A354" s="71"/>
      <c r="B354" s="33"/>
      <c r="C354" s="33"/>
      <c r="D354" s="33"/>
      <c r="E354" s="33"/>
      <c r="F354" s="33"/>
      <c r="G354" s="33"/>
      <c r="I354" s="33"/>
      <c r="J354" s="33"/>
      <c r="K354" s="33"/>
      <c r="L354" s="33"/>
      <c r="M354" s="33"/>
      <c r="N354" s="33"/>
      <c r="P354" s="33"/>
      <c r="Q354" s="33"/>
      <c r="R354" s="33"/>
      <c r="S354" s="33"/>
      <c r="T354" s="33"/>
      <c r="U354" s="33"/>
      <c r="W354" s="33"/>
      <c r="X354" s="33"/>
      <c r="Y354" s="33"/>
      <c r="Z354" s="33"/>
      <c r="AA354" s="33"/>
      <c r="AB354" s="33"/>
      <c r="AD354" s="33"/>
      <c r="AE354" s="33"/>
      <c r="AF354" s="33"/>
      <c r="AG354" s="33"/>
      <c r="AH354" s="33"/>
      <c r="AI354" s="33"/>
      <c r="AK354" s="33"/>
      <c r="AL354" s="33"/>
      <c r="AM354" s="33"/>
      <c r="AN354" s="33"/>
      <c r="AO354" s="33"/>
      <c r="AP354" s="33"/>
      <c r="AR354" s="33"/>
      <c r="AS354" s="33"/>
      <c r="AT354" s="33"/>
      <c r="AU354" s="33"/>
      <c r="AV354" s="33"/>
      <c r="AW354" s="33"/>
    </row>
    <row r="355" spans="1:57" x14ac:dyDescent="0.25">
      <c r="I355" s="7"/>
      <c r="J355" s="7"/>
      <c r="K355" s="7"/>
      <c r="L355" s="7"/>
      <c r="M355" s="7"/>
      <c r="N355" s="7"/>
      <c r="P355" s="7"/>
      <c r="Q355" s="7"/>
      <c r="R355" s="7"/>
      <c r="S355" s="7"/>
      <c r="T355" s="7"/>
      <c r="U355" s="7"/>
      <c r="W355" s="7"/>
      <c r="X355" s="7"/>
      <c r="Y355" s="7"/>
      <c r="Z355" s="7"/>
      <c r="AA355" s="7"/>
      <c r="AB355" s="7"/>
      <c r="AC355" s="6"/>
      <c r="AD355" s="7"/>
      <c r="AE355" s="7"/>
      <c r="AF355" s="7"/>
      <c r="AG355" s="7"/>
      <c r="AH355" s="7"/>
      <c r="AI355" s="7"/>
      <c r="AK355" s="7"/>
      <c r="AL355" s="7"/>
      <c r="AM355" s="7"/>
      <c r="AN355" s="7"/>
      <c r="AO355" s="7"/>
      <c r="AP355" s="7"/>
      <c r="AR355" s="7"/>
      <c r="AS355" s="7"/>
      <c r="AT355" s="7"/>
      <c r="AU355" s="7"/>
      <c r="AV355" s="7"/>
      <c r="AW355" s="7"/>
      <c r="AX355" s="6"/>
      <c r="AZ355" s="7"/>
      <c r="BA355" s="7"/>
      <c r="BB355" s="7"/>
      <c r="BC355" s="7"/>
      <c r="BD355" s="7"/>
      <c r="BE355" s="7"/>
    </row>
    <row r="356" spans="1:57" x14ac:dyDescent="0.25">
      <c r="A356" s="71"/>
      <c r="B356" s="7"/>
      <c r="C356" s="7"/>
      <c r="D356" s="7"/>
      <c r="E356" s="7"/>
      <c r="F356" s="7"/>
      <c r="G356" s="7"/>
      <c r="I356" s="7"/>
      <c r="J356" s="7"/>
      <c r="K356" s="7"/>
      <c r="L356" s="7"/>
      <c r="M356" s="7"/>
      <c r="N356" s="7"/>
      <c r="P356" s="7"/>
      <c r="Q356" s="7"/>
      <c r="R356" s="7"/>
      <c r="S356" s="7"/>
      <c r="T356" s="7"/>
      <c r="U356" s="7"/>
      <c r="W356" s="7"/>
      <c r="X356" s="7"/>
      <c r="Y356" s="7"/>
      <c r="Z356" s="7"/>
      <c r="AA356" s="7"/>
      <c r="AB356" s="7"/>
      <c r="AC356" s="6"/>
      <c r="AD356" s="7"/>
      <c r="AE356" s="7"/>
      <c r="AF356" s="7"/>
      <c r="AG356" s="7"/>
      <c r="AH356" s="7"/>
      <c r="AI356" s="7"/>
      <c r="AK356" s="7"/>
      <c r="AL356" s="7"/>
      <c r="AM356" s="7"/>
      <c r="AN356" s="7"/>
      <c r="AO356" s="7"/>
      <c r="AP356" s="7"/>
      <c r="AR356" s="7"/>
      <c r="AS356" s="7"/>
      <c r="AT356" s="7"/>
      <c r="AU356" s="7"/>
      <c r="AV356" s="7"/>
      <c r="AW356" s="7"/>
      <c r="AX356" s="6"/>
      <c r="AZ356" s="7"/>
      <c r="BA356" s="7"/>
      <c r="BB356" s="7"/>
      <c r="BC356" s="7"/>
      <c r="BD356" s="7"/>
      <c r="BE356" s="7"/>
    </row>
    <row r="357" spans="1:57" x14ac:dyDescent="0.25">
      <c r="A357" s="71"/>
      <c r="B357" s="7"/>
      <c r="C357" s="7"/>
      <c r="D357" s="7"/>
      <c r="E357" s="7"/>
      <c r="F357" s="7"/>
      <c r="G357" s="7"/>
      <c r="I357" s="7"/>
      <c r="J357" s="7"/>
      <c r="K357" s="7"/>
      <c r="L357" s="7"/>
      <c r="M357" s="7"/>
      <c r="N357" s="7"/>
      <c r="P357" s="7"/>
      <c r="Q357" s="7"/>
      <c r="R357" s="7"/>
      <c r="S357" s="7"/>
      <c r="T357" s="7"/>
      <c r="U357" s="7"/>
      <c r="W357" s="7"/>
      <c r="X357" s="7"/>
      <c r="Y357" s="7"/>
      <c r="Z357" s="7"/>
      <c r="AA357" s="7"/>
      <c r="AB357" s="7"/>
      <c r="AC357" s="6"/>
      <c r="AD357" s="7"/>
      <c r="AE357" s="7"/>
      <c r="AF357" s="7"/>
      <c r="AG357" s="7"/>
      <c r="AH357" s="7"/>
      <c r="AI357" s="7"/>
      <c r="AK357" s="7"/>
      <c r="AL357" s="7"/>
      <c r="AM357" s="7"/>
      <c r="AN357" s="7"/>
      <c r="AO357" s="7"/>
      <c r="AP357" s="7"/>
      <c r="AR357" s="7"/>
      <c r="AS357" s="7"/>
      <c r="AT357" s="7"/>
      <c r="AU357" s="7"/>
      <c r="AV357" s="7"/>
      <c r="AW357" s="7"/>
      <c r="AX357" s="6"/>
      <c r="AZ357" s="7"/>
      <c r="BA357" s="7"/>
      <c r="BB357" s="7"/>
      <c r="BC357" s="7"/>
      <c r="BD357" s="7"/>
      <c r="BE357" s="7"/>
    </row>
    <row r="358" spans="1:57" x14ac:dyDescent="0.25">
      <c r="A358" s="34"/>
      <c r="B358" s="7"/>
      <c r="C358" s="7"/>
      <c r="D358" s="7"/>
      <c r="E358" s="7"/>
      <c r="F358" s="7"/>
      <c r="G358" s="7"/>
      <c r="I358" s="7"/>
      <c r="J358" s="7"/>
      <c r="K358" s="7"/>
      <c r="L358" s="7"/>
      <c r="M358" s="7"/>
      <c r="N358" s="7"/>
      <c r="P358" s="7"/>
      <c r="Q358" s="7"/>
      <c r="R358" s="7"/>
      <c r="S358" s="7"/>
      <c r="T358" s="7"/>
      <c r="U358" s="7"/>
      <c r="W358" s="7"/>
      <c r="X358" s="7"/>
      <c r="Y358" s="7"/>
      <c r="Z358" s="7"/>
      <c r="AA358" s="7"/>
      <c r="AB358" s="7"/>
      <c r="AC358" s="6"/>
      <c r="AD358" s="7"/>
      <c r="AE358" s="7"/>
      <c r="AF358" s="7"/>
      <c r="AG358" s="7"/>
      <c r="AH358" s="7"/>
      <c r="AI358" s="7"/>
      <c r="AK358" s="7"/>
      <c r="AL358" s="7"/>
      <c r="AM358" s="7"/>
      <c r="AN358" s="7"/>
      <c r="AO358" s="7"/>
      <c r="AP358" s="7"/>
      <c r="AR358" s="7"/>
      <c r="AS358" s="7"/>
      <c r="AT358" s="7"/>
      <c r="AU358" s="7"/>
      <c r="AV358" s="7"/>
      <c r="AW358" s="7"/>
      <c r="AX358" s="6"/>
      <c r="AZ358" s="7"/>
      <c r="BA358" s="7"/>
      <c r="BB358" s="7"/>
      <c r="BC358" s="7"/>
      <c r="BD358" s="7"/>
      <c r="BE358" s="7"/>
    </row>
    <row r="359" spans="1:57" x14ac:dyDescent="0.25">
      <c r="A359" s="71"/>
      <c r="B359" s="7"/>
      <c r="C359" s="7"/>
      <c r="D359" s="7"/>
      <c r="E359" s="7"/>
      <c r="F359" s="7"/>
      <c r="G359" s="7"/>
      <c r="I359" s="7"/>
      <c r="J359" s="7"/>
      <c r="K359" s="7"/>
      <c r="L359" s="7"/>
      <c r="M359" s="7"/>
      <c r="N359" s="7"/>
      <c r="P359" s="7"/>
      <c r="Q359" s="7"/>
      <c r="R359" s="7"/>
      <c r="S359" s="7"/>
      <c r="T359" s="7"/>
      <c r="U359" s="7"/>
      <c r="W359" s="7"/>
      <c r="X359" s="7"/>
      <c r="Y359" s="7"/>
      <c r="Z359" s="7"/>
      <c r="AA359" s="7"/>
      <c r="AB359" s="7"/>
      <c r="AC359" s="6"/>
      <c r="AD359" s="7"/>
      <c r="AE359" s="7"/>
      <c r="AF359" s="7"/>
      <c r="AG359" s="7"/>
      <c r="AH359" s="7"/>
      <c r="AI359" s="7"/>
      <c r="AK359" s="7"/>
      <c r="AL359" s="7"/>
      <c r="AM359" s="7"/>
      <c r="AN359" s="7"/>
      <c r="AO359" s="7"/>
      <c r="AP359" s="7"/>
      <c r="AR359" s="7"/>
      <c r="AS359" s="7"/>
      <c r="AT359" s="7"/>
      <c r="AU359" s="7"/>
      <c r="AV359" s="7"/>
      <c r="AW359" s="7"/>
      <c r="AX359" s="6"/>
      <c r="AZ359" s="7"/>
      <c r="BA359" s="7"/>
      <c r="BB359" s="7"/>
      <c r="BC359" s="7"/>
      <c r="BD359" s="7"/>
      <c r="BE359" s="7"/>
    </row>
    <row r="360" spans="1:57" x14ac:dyDescent="0.25">
      <c r="A360" s="71"/>
      <c r="B360" s="7"/>
      <c r="C360" s="7"/>
      <c r="D360" s="7"/>
      <c r="E360" s="7"/>
      <c r="F360" s="7"/>
      <c r="G360" s="7"/>
      <c r="I360" s="7"/>
      <c r="J360" s="7"/>
      <c r="K360" s="7"/>
      <c r="L360" s="7"/>
      <c r="M360" s="7"/>
      <c r="N360" s="7"/>
      <c r="P360" s="7"/>
      <c r="Q360" s="7"/>
      <c r="R360" s="7"/>
      <c r="S360" s="7"/>
      <c r="T360" s="7"/>
      <c r="U360" s="7"/>
      <c r="W360" s="7"/>
      <c r="X360" s="7"/>
      <c r="Y360" s="7"/>
      <c r="Z360" s="7"/>
      <c r="AA360" s="7"/>
      <c r="AB360" s="7"/>
      <c r="AD360" s="7"/>
      <c r="AE360" s="7"/>
      <c r="AF360" s="7"/>
      <c r="AG360" s="7"/>
      <c r="AH360" s="7"/>
      <c r="AI360" s="7"/>
      <c r="AK360" s="7"/>
      <c r="AL360" s="7"/>
      <c r="AM360" s="7"/>
      <c r="AN360" s="7"/>
      <c r="AO360" s="7"/>
      <c r="AP360" s="7"/>
      <c r="AR360" s="7"/>
      <c r="AS360" s="7"/>
      <c r="AT360" s="7"/>
      <c r="AU360" s="7"/>
      <c r="AV360" s="7"/>
      <c r="AW360" s="7"/>
      <c r="AX360" s="6"/>
      <c r="AZ360" s="7"/>
      <c r="BA360" s="7"/>
      <c r="BB360" s="7"/>
      <c r="BC360" s="7"/>
      <c r="BD360" s="7"/>
      <c r="BE360" s="7"/>
    </row>
    <row r="361" spans="1:57" x14ac:dyDescent="0.25">
      <c r="A361" s="34"/>
      <c r="B361" s="7"/>
      <c r="C361" s="7"/>
      <c r="D361" s="7"/>
      <c r="E361" s="7"/>
      <c r="F361" s="7"/>
      <c r="G361" s="7"/>
      <c r="I361" s="7"/>
      <c r="J361" s="7"/>
      <c r="K361" s="7"/>
      <c r="L361" s="7"/>
      <c r="M361" s="7"/>
      <c r="N361" s="7"/>
      <c r="P361" s="7"/>
      <c r="Q361" s="7"/>
      <c r="R361" s="7"/>
      <c r="S361" s="7"/>
      <c r="T361" s="7"/>
      <c r="U361" s="7"/>
      <c r="W361" s="7"/>
      <c r="X361" s="7"/>
      <c r="Y361" s="7"/>
      <c r="Z361" s="7"/>
      <c r="AA361" s="7"/>
      <c r="AB361" s="7"/>
      <c r="AD361" s="7"/>
      <c r="AE361" s="7"/>
      <c r="AF361" s="7"/>
      <c r="AG361" s="7"/>
      <c r="AH361" s="7"/>
      <c r="AI361" s="7"/>
      <c r="AK361" s="7"/>
      <c r="AL361" s="7"/>
      <c r="AM361" s="7"/>
      <c r="AN361" s="7"/>
      <c r="AO361" s="7"/>
      <c r="AP361" s="7"/>
      <c r="AR361" s="7"/>
      <c r="AS361" s="7"/>
      <c r="AT361" s="7"/>
      <c r="AU361" s="7"/>
      <c r="AV361" s="7"/>
      <c r="AW361" s="7"/>
      <c r="AX361" s="6"/>
      <c r="AZ361" s="7"/>
      <c r="BA361" s="7"/>
      <c r="BB361" s="7"/>
      <c r="BC361" s="7"/>
      <c r="BD361" s="7"/>
      <c r="BE361" s="7"/>
    </row>
    <row r="362" spans="1:57" x14ac:dyDescent="0.25">
      <c r="A362" s="71"/>
      <c r="B362" s="7"/>
      <c r="C362" s="7"/>
      <c r="D362" s="7"/>
      <c r="E362" s="7"/>
      <c r="F362" s="7"/>
      <c r="G362" s="7"/>
      <c r="I362" s="7"/>
      <c r="J362" s="7"/>
      <c r="K362" s="7"/>
      <c r="L362" s="7"/>
      <c r="M362" s="7"/>
      <c r="N362" s="7"/>
      <c r="P362" s="7"/>
      <c r="Q362" s="7"/>
      <c r="R362" s="7"/>
      <c r="S362" s="7"/>
      <c r="T362" s="7"/>
      <c r="U362" s="7"/>
      <c r="W362" s="7"/>
      <c r="X362" s="7"/>
      <c r="Y362" s="7"/>
      <c r="Z362" s="7"/>
      <c r="AA362" s="7"/>
      <c r="AB362" s="7"/>
      <c r="AD362" s="7"/>
      <c r="AE362" s="7"/>
      <c r="AF362" s="7"/>
      <c r="AG362" s="7"/>
      <c r="AH362" s="7"/>
      <c r="AI362" s="7"/>
      <c r="AK362" s="7"/>
      <c r="AL362" s="7"/>
      <c r="AM362" s="7"/>
      <c r="AN362" s="7"/>
      <c r="AO362" s="7"/>
      <c r="AP362" s="7"/>
      <c r="AR362" s="7"/>
      <c r="AS362" s="7"/>
      <c r="AT362" s="7"/>
      <c r="AU362" s="7"/>
      <c r="AV362" s="7"/>
      <c r="AW362" s="7"/>
    </row>
    <row r="363" spans="1:57" x14ac:dyDescent="0.25">
      <c r="B363" s="7"/>
      <c r="C363" s="7"/>
      <c r="D363" s="7"/>
      <c r="E363" s="7"/>
      <c r="F363" s="7"/>
      <c r="G363" s="7"/>
      <c r="I363" s="7"/>
      <c r="J363" s="7"/>
      <c r="K363" s="7"/>
      <c r="L363" s="7"/>
      <c r="M363" s="7"/>
      <c r="N363" s="7"/>
      <c r="P363" s="7"/>
      <c r="Q363" s="7"/>
      <c r="R363" s="7"/>
      <c r="S363" s="7"/>
      <c r="T363" s="7"/>
      <c r="U363" s="7"/>
      <c r="W363" s="7"/>
      <c r="X363" s="7"/>
      <c r="Y363" s="7"/>
      <c r="Z363" s="7"/>
      <c r="AA363" s="7"/>
      <c r="AB363" s="7"/>
      <c r="AD363" s="7"/>
      <c r="AE363" s="7"/>
      <c r="AF363" s="7"/>
      <c r="AG363" s="7"/>
      <c r="AH363" s="7"/>
      <c r="AI363" s="7"/>
      <c r="AK363" s="7"/>
      <c r="AL363" s="7"/>
      <c r="AM363" s="7"/>
      <c r="AN363" s="7"/>
      <c r="AO363" s="7"/>
      <c r="AP363" s="7"/>
      <c r="AR363" s="7"/>
      <c r="AS363" s="7"/>
      <c r="AT363" s="7"/>
      <c r="AU363" s="7"/>
      <c r="AV363" s="7"/>
      <c r="AW363" s="7"/>
    </row>
    <row r="364" spans="1:57" x14ac:dyDescent="0.25">
      <c r="A364" s="71"/>
      <c r="I364" s="380"/>
      <c r="J364" s="380"/>
      <c r="K364" s="380"/>
      <c r="L364" s="380"/>
      <c r="M364" s="380"/>
      <c r="N364" s="380"/>
      <c r="P364" s="380"/>
      <c r="Q364" s="380"/>
      <c r="R364" s="380"/>
      <c r="S364" s="380"/>
      <c r="T364" s="380"/>
      <c r="U364" s="380"/>
      <c r="W364" s="380"/>
      <c r="X364" s="380"/>
      <c r="Y364" s="380"/>
      <c r="Z364" s="380"/>
      <c r="AA364" s="380"/>
      <c r="AB364" s="380"/>
      <c r="AD364" s="380"/>
      <c r="AE364" s="380"/>
      <c r="AF364" s="380"/>
      <c r="AG364" s="380"/>
      <c r="AH364" s="380"/>
      <c r="AI364" s="380"/>
      <c r="AK364" s="380"/>
      <c r="AL364" s="380"/>
      <c r="AM364" s="380"/>
      <c r="AN364" s="380"/>
      <c r="AO364" s="380"/>
      <c r="AP364" s="380"/>
      <c r="AR364" s="380"/>
      <c r="AS364" s="380"/>
      <c r="AT364" s="380"/>
      <c r="AU364" s="380"/>
      <c r="AV364" s="380"/>
      <c r="AW364" s="380"/>
    </row>
    <row r="365" spans="1:57" x14ac:dyDescent="0.25">
      <c r="A365" s="71"/>
      <c r="B365" s="416"/>
      <c r="C365" s="416"/>
      <c r="D365" s="416"/>
      <c r="E365" s="416"/>
      <c r="F365" s="416"/>
      <c r="G365" s="416"/>
      <c r="I365" s="7"/>
      <c r="J365" s="7"/>
      <c r="K365" s="7"/>
      <c r="L365" s="7"/>
      <c r="M365" s="7"/>
      <c r="N365" s="7"/>
      <c r="P365" s="7"/>
      <c r="Q365" s="7"/>
      <c r="R365" s="7"/>
      <c r="S365" s="7"/>
      <c r="T365" s="7"/>
      <c r="U365" s="7"/>
      <c r="W365" s="7"/>
      <c r="X365" s="7"/>
      <c r="Y365" s="7"/>
      <c r="Z365" s="7"/>
      <c r="AA365" s="7"/>
      <c r="AB365" s="7"/>
      <c r="AD365" s="7"/>
      <c r="AE365" s="7"/>
      <c r="AF365" s="7"/>
      <c r="AG365" s="7"/>
      <c r="AH365" s="7"/>
      <c r="AI365" s="7"/>
      <c r="AK365" s="7"/>
      <c r="AL365" s="7"/>
      <c r="AM365" s="7"/>
      <c r="AN365" s="7"/>
      <c r="AO365" s="7"/>
      <c r="AP365" s="7"/>
      <c r="AR365" s="7"/>
      <c r="AS365" s="7"/>
      <c r="AT365" s="7"/>
      <c r="AU365" s="7"/>
      <c r="AV365" s="7"/>
      <c r="AW365" s="7"/>
    </row>
    <row r="366" spans="1:57" x14ac:dyDescent="0.25">
      <c r="A366" s="34"/>
      <c r="B366" s="416"/>
      <c r="C366" s="416"/>
      <c r="D366" s="416"/>
      <c r="E366" s="416"/>
      <c r="F366" s="416"/>
      <c r="G366" s="416"/>
      <c r="I366" s="7"/>
      <c r="J366" s="7"/>
      <c r="K366" s="7"/>
      <c r="L366" s="7"/>
      <c r="M366" s="7"/>
      <c r="N366" s="7"/>
      <c r="P366" s="7"/>
      <c r="Q366" s="7"/>
      <c r="R366" s="7"/>
      <c r="S366" s="7"/>
      <c r="T366" s="7"/>
      <c r="U366" s="7"/>
      <c r="W366" s="7"/>
      <c r="X366" s="7"/>
      <c r="Y366" s="7"/>
      <c r="Z366" s="7"/>
      <c r="AA366" s="7"/>
      <c r="AB366" s="7"/>
      <c r="AD366" s="7"/>
      <c r="AE366" s="7"/>
      <c r="AF366" s="7"/>
      <c r="AG366" s="7"/>
      <c r="AH366" s="7"/>
      <c r="AI366" s="7"/>
      <c r="AK366" s="7"/>
      <c r="AL366" s="7"/>
      <c r="AM366" s="7"/>
      <c r="AN366" s="7"/>
      <c r="AO366" s="7"/>
      <c r="AP366" s="7"/>
      <c r="AR366" s="7"/>
      <c r="AS366" s="7"/>
      <c r="AT366" s="7"/>
      <c r="AU366" s="7"/>
      <c r="AV366" s="7"/>
      <c r="AW366" s="7"/>
    </row>
    <row r="367" spans="1:57" x14ac:dyDescent="0.25">
      <c r="A367" s="71"/>
      <c r="B367" s="416"/>
      <c r="C367" s="416"/>
      <c r="D367" s="416"/>
      <c r="E367" s="416"/>
      <c r="F367" s="416"/>
      <c r="G367" s="416"/>
      <c r="I367" s="7"/>
      <c r="J367" s="7"/>
      <c r="K367" s="7"/>
      <c r="L367" s="7"/>
      <c r="M367" s="7"/>
      <c r="N367" s="7"/>
      <c r="O367" s="7"/>
      <c r="AR367" s="117"/>
      <c r="AS367" s="117"/>
      <c r="AT367" s="117"/>
      <c r="AU367" s="117"/>
      <c r="AV367" s="117"/>
      <c r="AW367" s="117"/>
    </row>
    <row r="368" spans="1:57" x14ac:dyDescent="0.25">
      <c r="A368" s="71"/>
      <c r="B368" s="416"/>
      <c r="C368" s="416"/>
      <c r="D368" s="416"/>
      <c r="E368" s="416"/>
      <c r="F368" s="416"/>
      <c r="G368" s="416"/>
      <c r="I368" s="7"/>
      <c r="J368" s="7"/>
      <c r="K368" s="7"/>
      <c r="L368" s="7"/>
      <c r="M368" s="7"/>
      <c r="N368" s="7"/>
      <c r="O368" s="7"/>
    </row>
    <row r="369" spans="1:15" x14ac:dyDescent="0.25">
      <c r="A369" s="34"/>
      <c r="B369" s="416"/>
      <c r="C369" s="416"/>
      <c r="D369" s="416"/>
      <c r="E369" s="416"/>
      <c r="F369" s="416"/>
      <c r="G369" s="416"/>
      <c r="I369" s="7"/>
      <c r="J369" s="7"/>
      <c r="K369" s="7"/>
      <c r="L369" s="7"/>
      <c r="M369" s="7"/>
      <c r="N369" s="7"/>
      <c r="O369" s="7"/>
    </row>
    <row r="370" spans="1:15" x14ac:dyDescent="0.25">
      <c r="A370" s="71"/>
      <c r="B370" s="416"/>
      <c r="C370" s="416"/>
      <c r="D370" s="416"/>
      <c r="E370" s="416"/>
      <c r="F370" s="416"/>
      <c r="G370" s="416"/>
      <c r="I370" s="7"/>
      <c r="J370" s="7"/>
      <c r="K370" s="7"/>
      <c r="L370" s="7"/>
      <c r="M370" s="7"/>
      <c r="N370" s="7"/>
      <c r="O370" s="7"/>
    </row>
    <row r="371" spans="1:15" x14ac:dyDescent="0.25">
      <c r="J371" s="7"/>
      <c r="K371" s="7"/>
      <c r="L371" s="7"/>
      <c r="M371" s="7"/>
      <c r="N371" s="7"/>
      <c r="O371" s="7"/>
    </row>
    <row r="372" spans="1:15" x14ac:dyDescent="0.25">
      <c r="J372" s="7"/>
      <c r="K372" s="7"/>
      <c r="L372" s="7"/>
      <c r="M372" s="7"/>
      <c r="N372" s="7"/>
      <c r="O372" s="7"/>
    </row>
    <row r="373" spans="1:15" x14ac:dyDescent="0.25">
      <c r="B373" s="416"/>
      <c r="C373" s="416"/>
      <c r="D373" s="416"/>
      <c r="E373" s="416"/>
      <c r="F373" s="416"/>
      <c r="G373" s="416"/>
      <c r="J373" s="7"/>
      <c r="K373" s="7"/>
      <c r="L373" s="7"/>
      <c r="M373" s="7"/>
      <c r="N373" s="7"/>
      <c r="O373" s="7"/>
    </row>
    <row r="374" spans="1:15" x14ac:dyDescent="0.25">
      <c r="B374" s="416"/>
      <c r="C374" s="416"/>
      <c r="D374" s="416"/>
      <c r="E374" s="416"/>
      <c r="F374" s="416"/>
      <c r="G374" s="416"/>
      <c r="J374" s="7"/>
      <c r="K374" s="7"/>
      <c r="L374" s="7"/>
      <c r="M374" s="7"/>
      <c r="N374" s="7"/>
      <c r="O374" s="7"/>
    </row>
    <row r="375" spans="1:15" x14ac:dyDescent="0.25">
      <c r="B375" s="416"/>
      <c r="C375" s="416"/>
      <c r="D375" s="416"/>
      <c r="E375" s="416"/>
      <c r="F375" s="416"/>
      <c r="G375" s="416"/>
      <c r="J375" s="7"/>
      <c r="K375" s="7"/>
      <c r="L375" s="7"/>
      <c r="M375" s="7"/>
      <c r="N375" s="7"/>
      <c r="O375" s="7"/>
    </row>
    <row r="376" spans="1:15" x14ac:dyDescent="0.25">
      <c r="B376" s="416"/>
      <c r="C376" s="416"/>
      <c r="D376" s="416"/>
      <c r="E376" s="416"/>
      <c r="F376" s="416"/>
      <c r="G376" s="416"/>
    </row>
    <row r="377" spans="1:15" x14ac:dyDescent="0.25">
      <c r="B377" s="416"/>
      <c r="C377" s="416"/>
      <c r="D377" s="416"/>
      <c r="E377" s="416"/>
      <c r="F377" s="416"/>
      <c r="G377" s="416"/>
    </row>
    <row r="378" spans="1:15" x14ac:dyDescent="0.25">
      <c r="B378" s="416"/>
      <c r="C378" s="416"/>
      <c r="D378" s="416"/>
      <c r="E378" s="416"/>
      <c r="F378" s="416"/>
      <c r="G378" s="416"/>
    </row>
  </sheetData>
  <mergeCells count="7">
    <mergeCell ref="AK4:AO4"/>
    <mergeCell ref="AR4:AV4"/>
    <mergeCell ref="B4:F4"/>
    <mergeCell ref="I4:M4"/>
    <mergeCell ref="P4:T4"/>
    <mergeCell ref="W4:AA4"/>
    <mergeCell ref="AD4:AH4"/>
  </mergeCells>
  <conditionalFormatting sqref="B273:N280 P273:U280 W273:AB280 AD273:AI280 AK273:AP280 AR273:AW280 O274:O281">
    <cfRule type="cellIs" dxfId="61" priority="31" stopIfTrue="1" operator="greaterThan">
      <formula>B237/100</formula>
    </cfRule>
  </conditionalFormatting>
  <conditionalFormatting sqref="B281:N281 P281:U281 O282">
    <cfRule type="cellIs" dxfId="60" priority="30" stopIfTrue="1" operator="greaterThan">
      <formula>B258</formula>
    </cfRule>
  </conditionalFormatting>
  <conditionalFormatting sqref="B283:N283 P283:U283 O284">
    <cfRule type="cellIs" dxfId="59" priority="29" stopIfTrue="1" operator="greaterThan">
      <formula>B257</formula>
    </cfRule>
  </conditionalFormatting>
  <conditionalFormatting sqref="B284:N284 P284:U284 O285">
    <cfRule type="cellIs" dxfId="58" priority="25" stopIfTrue="1" operator="greaterThan">
      <formula>B254</formula>
    </cfRule>
  </conditionalFormatting>
  <conditionalFormatting sqref="B285:N285 P285:U285 O286">
    <cfRule type="cellIs" dxfId="57" priority="28" stopIfTrue="1" operator="greaterThan">
      <formula>B254/B255</formula>
    </cfRule>
  </conditionalFormatting>
  <conditionalFormatting sqref="B286:N286 P286:U286 O287">
    <cfRule type="cellIs" dxfId="56" priority="27" stopIfTrue="1" operator="lessThan">
      <formula>B254/B255</formula>
    </cfRule>
  </conditionalFormatting>
  <conditionalFormatting sqref="B290:N290 P290:U290 O291">
    <cfRule type="cellIs" dxfId="55" priority="26" stopIfTrue="1" operator="lessThan">
      <formula>B300</formula>
    </cfRule>
  </conditionalFormatting>
  <conditionalFormatting sqref="W281:AB281">
    <cfRule type="cellIs" dxfId="54" priority="23" stopIfTrue="1" operator="greaterThan">
      <formula>W258</formula>
    </cfRule>
  </conditionalFormatting>
  <conditionalFormatting sqref="W283:AB283">
    <cfRule type="cellIs" dxfId="53" priority="22" stopIfTrue="1" operator="greaterThan">
      <formula>W257</formula>
    </cfRule>
  </conditionalFormatting>
  <conditionalFormatting sqref="W284:AB284">
    <cfRule type="cellIs" dxfId="52" priority="19" stopIfTrue="1" operator="greaterThan">
      <formula>W254</formula>
    </cfRule>
  </conditionalFormatting>
  <conditionalFormatting sqref="W285:AB285">
    <cfRule type="cellIs" dxfId="51" priority="21" stopIfTrue="1" operator="greaterThan">
      <formula>W254/W255</formula>
    </cfRule>
  </conditionalFormatting>
  <conditionalFormatting sqref="W286:AB286">
    <cfRule type="cellIs" dxfId="50" priority="20" stopIfTrue="1" operator="lessThan">
      <formula>W254/W255</formula>
    </cfRule>
  </conditionalFormatting>
  <conditionalFormatting sqref="W290:AB290">
    <cfRule type="cellIs" dxfId="49" priority="24" stopIfTrue="1" operator="lessThan">
      <formula>W300</formula>
    </cfRule>
  </conditionalFormatting>
  <conditionalFormatting sqref="AD281:AI281">
    <cfRule type="cellIs" dxfId="48" priority="17" stopIfTrue="1" operator="greaterThan">
      <formula>AD258</formula>
    </cfRule>
  </conditionalFormatting>
  <conditionalFormatting sqref="AD283:AI283">
    <cfRule type="cellIs" dxfId="47" priority="16" stopIfTrue="1" operator="greaterThan">
      <formula>AD257</formula>
    </cfRule>
  </conditionalFormatting>
  <conditionalFormatting sqref="AD284:AI284">
    <cfRule type="cellIs" dxfId="46" priority="13" stopIfTrue="1" operator="greaterThan">
      <formula>AD254</formula>
    </cfRule>
  </conditionalFormatting>
  <conditionalFormatting sqref="AD285:AI285">
    <cfRule type="cellIs" dxfId="45" priority="15" stopIfTrue="1" operator="greaterThan">
      <formula>AD254/AD255</formula>
    </cfRule>
  </conditionalFormatting>
  <conditionalFormatting sqref="AD286:AI286">
    <cfRule type="cellIs" dxfId="44" priority="14" stopIfTrue="1" operator="lessThan">
      <formula>AD254/AD255</formula>
    </cfRule>
  </conditionalFormatting>
  <conditionalFormatting sqref="AD290:AI290">
    <cfRule type="cellIs" dxfId="43" priority="18" stopIfTrue="1" operator="lessThan">
      <formula>AD300</formula>
    </cfRule>
  </conditionalFormatting>
  <conditionalFormatting sqref="AK281:AP281">
    <cfRule type="cellIs" dxfId="42" priority="11" stopIfTrue="1" operator="greaterThan">
      <formula>AK258</formula>
    </cfRule>
  </conditionalFormatting>
  <conditionalFormatting sqref="AK283:AP283">
    <cfRule type="cellIs" dxfId="41" priority="10" stopIfTrue="1" operator="greaterThan">
      <formula>AK257</formula>
    </cfRule>
  </conditionalFormatting>
  <conditionalFormatting sqref="AK284:AP284">
    <cfRule type="cellIs" dxfId="40" priority="7" stopIfTrue="1" operator="greaterThan">
      <formula>AK254</formula>
    </cfRule>
  </conditionalFormatting>
  <conditionalFormatting sqref="AK285:AP285">
    <cfRule type="cellIs" dxfId="39" priority="9" stopIfTrue="1" operator="greaterThan">
      <formula>AK254/AK255</formula>
    </cfRule>
  </conditionalFormatting>
  <conditionalFormatting sqref="AK286:AP286">
    <cfRule type="cellIs" dxfId="38" priority="8" stopIfTrue="1" operator="lessThan">
      <formula>AK254/AK255</formula>
    </cfRule>
  </conditionalFormatting>
  <conditionalFormatting sqref="AK290:AP290">
    <cfRule type="cellIs" dxfId="37" priority="12" stopIfTrue="1" operator="lessThan">
      <formula>AK300</formula>
    </cfRule>
  </conditionalFormatting>
  <conditionalFormatting sqref="AR281:AW281">
    <cfRule type="cellIs" dxfId="36" priority="5" stopIfTrue="1" operator="greaterThan">
      <formula>AR258</formula>
    </cfRule>
  </conditionalFormatting>
  <conditionalFormatting sqref="AR283:AW283">
    <cfRule type="cellIs" dxfId="35" priority="4" stopIfTrue="1" operator="greaterThan">
      <formula>AR257</formula>
    </cfRule>
  </conditionalFormatting>
  <conditionalFormatting sqref="AR284:AW284">
    <cfRule type="cellIs" dxfId="34" priority="1" stopIfTrue="1" operator="greaterThan">
      <formula>AR254</formula>
    </cfRule>
  </conditionalFormatting>
  <conditionalFormatting sqref="AR285:AW285">
    <cfRule type="cellIs" dxfId="33" priority="3" stopIfTrue="1" operator="greaterThan">
      <formula>AR254/AR255</formula>
    </cfRule>
  </conditionalFormatting>
  <conditionalFormatting sqref="AR286:AW286">
    <cfRule type="cellIs" dxfId="32" priority="2" stopIfTrue="1" operator="lessThan">
      <formula>AR254/AR255</formula>
    </cfRule>
  </conditionalFormatting>
  <conditionalFormatting sqref="AR290:AW290">
    <cfRule type="cellIs" dxfId="31" priority="6" stopIfTrue="1" operator="lessThan">
      <formula>AR300</formula>
    </cfRule>
  </conditionalFormatting>
  <dataValidations count="2">
    <dataValidation type="list" allowBlank="1" showInputMessage="1" showErrorMessage="1" sqref="A7" xr:uid="{732C9468-367A-40A3-8196-001366ECCE25}">
      <formula1>$A$9:$A$10</formula1>
    </dataValidation>
    <dataValidation type="list" allowBlank="1" showInputMessage="1" showErrorMessage="1" sqref="A8" xr:uid="{94852E7E-04E2-46BC-86C6-915FF7D2C68D}">
      <formula1>$A$78:$A$80</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50220-76C7-AA4B-B2A1-ADAD52E90690}">
  <sheetPr codeName="Sheet7">
    <tabColor theme="9" tint="0.79998168889431442"/>
  </sheetPr>
  <dimension ref="A1:BL378"/>
  <sheetViews>
    <sheetView zoomScale="91" workbookViewId="0">
      <pane xSplit="1" ySplit="5" topLeftCell="B6" activePane="bottomRight" state="frozen"/>
      <selection pane="topRight" activeCell="B1" sqref="B1"/>
      <selection pane="bottomLeft" activeCell="A6" sqref="A6"/>
      <selection pane="bottomRight" activeCell="A355" sqref="A355:XFD378"/>
    </sheetView>
  </sheetViews>
  <sheetFormatPr defaultColWidth="8.77734375" defaultRowHeight="13.2" x14ac:dyDescent="0.25"/>
  <cols>
    <col min="1" max="1" width="41.21875" bestFit="1" customWidth="1"/>
    <col min="2" max="14" width="10.109375" style="6" customWidth="1"/>
    <col min="15" max="15" width="10.109375" customWidth="1"/>
    <col min="16" max="21" width="10.109375" style="6" customWidth="1"/>
    <col min="23" max="28" width="10.109375" style="6" customWidth="1"/>
    <col min="30" max="35" width="10.109375" style="6" customWidth="1"/>
    <col min="37" max="42" width="10.109375" style="6" customWidth="1"/>
    <col min="44" max="49" width="10.109375" style="6" customWidth="1"/>
  </cols>
  <sheetData>
    <row r="1" spans="1:49" x14ac:dyDescent="0.25">
      <c r="A1" t="s">
        <v>1</v>
      </c>
      <c r="I1" s="8">
        <f>B7-I7</f>
        <v>82.36576274423237</v>
      </c>
      <c r="J1" s="8">
        <f t="shared" ref="J1:N2" si="0">C7-J7</f>
        <v>82.701965234004547</v>
      </c>
      <c r="K1" s="8">
        <f t="shared" si="0"/>
        <v>82.528955754677099</v>
      </c>
      <c r="L1" s="8">
        <f t="shared" si="0"/>
        <v>82.674559526328949</v>
      </c>
      <c r="M1" s="8">
        <f t="shared" si="0"/>
        <v>82.675336185561036</v>
      </c>
      <c r="N1" s="8">
        <f t="shared" si="0"/>
        <v>0</v>
      </c>
      <c r="P1" s="8">
        <f>I7-P7</f>
        <v>82.581472590025896</v>
      </c>
      <c r="Q1" s="8">
        <f t="shared" ref="Q1:U2" si="1">J7-Q7</f>
        <v>82.666285192887244</v>
      </c>
      <c r="R1" s="8">
        <f t="shared" si="1"/>
        <v>82.753503782033704</v>
      </c>
      <c r="S1" s="8">
        <f t="shared" si="1"/>
        <v>82.729318604659966</v>
      </c>
      <c r="T1" s="8">
        <f t="shared" si="1"/>
        <v>82.674444951338046</v>
      </c>
      <c r="U1" s="8">
        <f t="shared" si="1"/>
        <v>0</v>
      </c>
      <c r="W1" s="8">
        <f>P7-W7</f>
        <v>82.506008568100015</v>
      </c>
      <c r="X1" s="8">
        <f t="shared" ref="X1:AB2" si="2">Q7-X7</f>
        <v>82.642780463570944</v>
      </c>
      <c r="Y1" s="8">
        <f t="shared" si="2"/>
        <v>82.618962361468448</v>
      </c>
      <c r="Z1" s="8">
        <f t="shared" si="2"/>
        <v>82.773112757807667</v>
      </c>
      <c r="AA1" s="8">
        <f t="shared" si="2"/>
        <v>82.927615308699615</v>
      </c>
      <c r="AB1" s="8">
        <f t="shared" si="2"/>
        <v>0</v>
      </c>
      <c r="AD1" s="8">
        <f>W7-AD7</f>
        <v>82.636095451643087</v>
      </c>
      <c r="AE1" s="8">
        <f t="shared" ref="AE1:AI2" si="3">X7-AE7</f>
        <v>82.581907933398043</v>
      </c>
      <c r="AF1" s="8">
        <f t="shared" si="3"/>
        <v>82.771225361127563</v>
      </c>
      <c r="AG1" s="8">
        <f t="shared" si="3"/>
        <v>82.850233769434453</v>
      </c>
      <c r="AH1" s="8">
        <f t="shared" si="3"/>
        <v>85.510406908593268</v>
      </c>
      <c r="AI1" s="8">
        <f t="shared" si="3"/>
        <v>0</v>
      </c>
      <c r="AK1" s="8">
        <f>AD7-AK7</f>
        <v>82.729118692952738</v>
      </c>
      <c r="AL1" s="8">
        <f t="shared" ref="AL1:AP2" si="4">AE7-AL7</f>
        <v>82.772825041090982</v>
      </c>
      <c r="AM1" s="8">
        <f t="shared" si="4"/>
        <v>82.708854609684067</v>
      </c>
      <c r="AN1" s="8">
        <f t="shared" si="4"/>
        <v>85.12970777509986</v>
      </c>
      <c r="AO1" s="8">
        <f t="shared" si="4"/>
        <v>86.217084550415166</v>
      </c>
      <c r="AP1" s="8">
        <f t="shared" si="4"/>
        <v>0</v>
      </c>
      <c r="AR1" s="8">
        <f>AK7-AR7</f>
        <v>82.901579466484463</v>
      </c>
      <c r="AS1" s="8">
        <f t="shared" ref="AS1:AW2" si="5">AL7-AS7</f>
        <v>82.798681375446108</v>
      </c>
      <c r="AT1" s="8">
        <f t="shared" si="5"/>
        <v>83.149937937093682</v>
      </c>
      <c r="AU1" s="8">
        <f t="shared" si="5"/>
        <v>86.213049764250172</v>
      </c>
      <c r="AV1" s="8">
        <f t="shared" si="5"/>
        <v>86.217580774798762</v>
      </c>
      <c r="AW1" s="8">
        <f t="shared" si="5"/>
        <v>0</v>
      </c>
    </row>
    <row r="2" spans="1:49" x14ac:dyDescent="0.25">
      <c r="A2" t="s">
        <v>569</v>
      </c>
      <c r="I2" s="8">
        <f>B8-I8</f>
        <v>26.611878944851469</v>
      </c>
      <c r="J2" s="8">
        <f t="shared" si="0"/>
        <v>26.588269219446147</v>
      </c>
      <c r="K2" s="8">
        <f t="shared" si="0"/>
        <v>26.600418761533547</v>
      </c>
      <c r="L2" s="8">
        <f t="shared" si="0"/>
        <v>26.590193777569539</v>
      </c>
      <c r="M2" s="8">
        <f t="shared" si="0"/>
        <v>26.590139236893037</v>
      </c>
      <c r="N2" s="8">
        <f t="shared" si="0"/>
        <v>0</v>
      </c>
      <c r="P2" s="8">
        <f>I8-P8</f>
        <v>26.596730781523092</v>
      </c>
      <c r="Q2" s="8">
        <f t="shared" si="1"/>
        <v>26.590774840311497</v>
      </c>
      <c r="R2" s="8">
        <f t="shared" si="1"/>
        <v>26.584649939388328</v>
      </c>
      <c r="S2" s="8">
        <f t="shared" si="1"/>
        <v>26.586348336675428</v>
      </c>
      <c r="T2" s="8">
        <f t="shared" si="1"/>
        <v>26.590201823566076</v>
      </c>
      <c r="U2" s="8">
        <f t="shared" si="1"/>
        <v>0</v>
      </c>
      <c r="W2" s="8">
        <f>P8-W8</f>
        <v>26.602030221265295</v>
      </c>
      <c r="X2" s="8">
        <f t="shared" si="2"/>
        <v>26.59242545332495</v>
      </c>
      <c r="Y2" s="8">
        <f t="shared" si="2"/>
        <v>26.594098072854422</v>
      </c>
      <c r="Z2" s="8">
        <f t="shared" si="2"/>
        <v>26.583272904572368</v>
      </c>
      <c r="AA2" s="8">
        <f t="shared" si="2"/>
        <v>26.572423006335839</v>
      </c>
      <c r="AB2" s="8">
        <f t="shared" si="2"/>
        <v>0</v>
      </c>
      <c r="AD2" s="8">
        <f>W8-AD8</f>
        <v>26.592894906410038</v>
      </c>
      <c r="AE2" s="8">
        <f t="shared" si="3"/>
        <v>26.596700209657229</v>
      </c>
      <c r="AF2" s="8">
        <f t="shared" si="3"/>
        <v>26.583405446473989</v>
      </c>
      <c r="AG2" s="8">
        <f t="shared" si="3"/>
        <v>26.577857103194219</v>
      </c>
      <c r="AH2" s="8">
        <f t="shared" si="3"/>
        <v>26.391047191736334</v>
      </c>
      <c r="AI2" s="8">
        <f t="shared" si="3"/>
        <v>0</v>
      </c>
      <c r="AK2" s="8">
        <f>AD8-AK8</f>
        <v>26.586362375419071</v>
      </c>
      <c r="AL2" s="8">
        <f t="shared" si="4"/>
        <v>26.583293109398028</v>
      </c>
      <c r="AM2" s="8">
        <f t="shared" si="4"/>
        <v>26.587785414974633</v>
      </c>
      <c r="AN2" s="8">
        <f t="shared" si="4"/>
        <v>26.417781681447877</v>
      </c>
      <c r="AO2" s="8">
        <f t="shared" si="4"/>
        <v>26.341420952844146</v>
      </c>
      <c r="AP2" s="8">
        <f t="shared" si="4"/>
        <v>0</v>
      </c>
      <c r="AR2" s="8">
        <f>AK8-AR8</f>
        <v>26.574251366041608</v>
      </c>
      <c r="AS2" s="8">
        <f t="shared" si="5"/>
        <v>26.581477355580887</v>
      </c>
      <c r="AT2" s="8">
        <f t="shared" si="5"/>
        <v>26.556810462206613</v>
      </c>
      <c r="AU2" s="8">
        <f t="shared" si="5"/>
        <v>26.341704294569354</v>
      </c>
      <c r="AV2" s="8">
        <f t="shared" si="5"/>
        <v>26.341386105626498</v>
      </c>
      <c r="AW2" s="8">
        <f t="shared" si="5"/>
        <v>0</v>
      </c>
    </row>
    <row r="3" spans="1:49" ht="15.6" x14ac:dyDescent="0.3">
      <c r="A3" s="4"/>
      <c r="B3" s="196" t="s">
        <v>37</v>
      </c>
      <c r="C3" s="196" t="s">
        <v>38</v>
      </c>
      <c r="D3" s="196" t="s">
        <v>39</v>
      </c>
      <c r="E3" s="196" t="s">
        <v>40</v>
      </c>
      <c r="F3" s="196" t="s">
        <v>41</v>
      </c>
      <c r="G3" s="196" t="s">
        <v>141</v>
      </c>
      <c r="H3" s="196"/>
      <c r="I3" s="196" t="s">
        <v>37</v>
      </c>
      <c r="J3" s="196" t="s">
        <v>38</v>
      </c>
      <c r="K3" s="196" t="s">
        <v>39</v>
      </c>
      <c r="L3" s="196" t="s">
        <v>40</v>
      </c>
      <c r="M3" s="196" t="s">
        <v>41</v>
      </c>
      <c r="N3" s="196" t="s">
        <v>141</v>
      </c>
      <c r="O3" s="196"/>
      <c r="P3" s="196" t="s">
        <v>37</v>
      </c>
      <c r="Q3" s="196" t="s">
        <v>38</v>
      </c>
      <c r="R3" s="196" t="s">
        <v>39</v>
      </c>
      <c r="S3" s="196" t="s">
        <v>40</v>
      </c>
      <c r="T3" s="196" t="s">
        <v>41</v>
      </c>
      <c r="U3" s="196" t="s">
        <v>141</v>
      </c>
      <c r="W3" s="196" t="s">
        <v>37</v>
      </c>
      <c r="X3" s="196" t="s">
        <v>38</v>
      </c>
      <c r="Y3" s="196" t="s">
        <v>39</v>
      </c>
      <c r="Z3" s="196" t="s">
        <v>40</v>
      </c>
      <c r="AA3" s="196" t="s">
        <v>41</v>
      </c>
      <c r="AB3" s="196" t="s">
        <v>141</v>
      </c>
      <c r="AD3" s="196" t="s">
        <v>37</v>
      </c>
      <c r="AE3" s="196" t="s">
        <v>38</v>
      </c>
      <c r="AF3" s="196" t="s">
        <v>39</v>
      </c>
      <c r="AG3" s="196" t="s">
        <v>40</v>
      </c>
      <c r="AH3" s="196" t="s">
        <v>41</v>
      </c>
      <c r="AI3" s="196" t="s">
        <v>141</v>
      </c>
      <c r="AK3" s="196" t="s">
        <v>37</v>
      </c>
      <c r="AL3" s="196" t="s">
        <v>38</v>
      </c>
      <c r="AM3" s="196" t="s">
        <v>39</v>
      </c>
      <c r="AN3" s="196" t="s">
        <v>40</v>
      </c>
      <c r="AO3" s="196" t="s">
        <v>41</v>
      </c>
      <c r="AP3" s="196" t="s">
        <v>141</v>
      </c>
      <c r="AR3" s="196" t="s">
        <v>37</v>
      </c>
      <c r="AS3" s="196" t="s">
        <v>38</v>
      </c>
      <c r="AT3" s="196" t="s">
        <v>39</v>
      </c>
      <c r="AU3" s="196" t="s">
        <v>40</v>
      </c>
      <c r="AV3" s="196" t="s">
        <v>41</v>
      </c>
      <c r="AW3" s="196" t="s">
        <v>141</v>
      </c>
    </row>
    <row r="4" spans="1:49" ht="12.75" customHeight="1" x14ac:dyDescent="0.25">
      <c r="B4" s="565" t="s">
        <v>72</v>
      </c>
      <c r="C4" s="565"/>
      <c r="D4" s="565"/>
      <c r="E4" s="565"/>
      <c r="F4" s="565"/>
      <c r="G4" s="75"/>
      <c r="I4" s="565" t="s">
        <v>72</v>
      </c>
      <c r="J4" s="565"/>
      <c r="K4" s="565"/>
      <c r="L4" s="565"/>
      <c r="M4" s="565"/>
      <c r="N4" s="75"/>
      <c r="O4" s="6"/>
      <c r="P4" s="565" t="s">
        <v>72</v>
      </c>
      <c r="Q4" s="565"/>
      <c r="R4" s="565"/>
      <c r="S4" s="565"/>
      <c r="T4" s="565"/>
      <c r="U4" s="75"/>
      <c r="W4" s="565" t="s">
        <v>72</v>
      </c>
      <c r="X4" s="565"/>
      <c r="Y4" s="565"/>
      <c r="Z4" s="565"/>
      <c r="AA4" s="565"/>
      <c r="AB4" s="75"/>
      <c r="AD4" s="565" t="s">
        <v>72</v>
      </c>
      <c r="AE4" s="565"/>
      <c r="AF4" s="565"/>
      <c r="AG4" s="565"/>
      <c r="AH4" s="565"/>
      <c r="AI4" s="75"/>
      <c r="AK4" s="565" t="s">
        <v>72</v>
      </c>
      <c r="AL4" s="565"/>
      <c r="AM4" s="565"/>
      <c r="AN4" s="565"/>
      <c r="AO4" s="565"/>
      <c r="AP4" s="75"/>
      <c r="AR4" s="565" t="s">
        <v>72</v>
      </c>
      <c r="AS4" s="565"/>
      <c r="AT4" s="565"/>
      <c r="AU4" s="565"/>
      <c r="AV4" s="565"/>
      <c r="AW4" s="75"/>
    </row>
    <row r="5" spans="1:49" x14ac:dyDescent="0.25">
      <c r="B5" s="376">
        <v>50</v>
      </c>
      <c r="C5" s="376">
        <v>85</v>
      </c>
      <c r="D5" s="376">
        <v>120</v>
      </c>
      <c r="E5" s="376">
        <v>160</v>
      </c>
      <c r="F5" s="376">
        <v>200</v>
      </c>
      <c r="G5" s="376">
        <v>240</v>
      </c>
      <c r="H5" s="99"/>
      <c r="I5" s="376">
        <v>50</v>
      </c>
      <c r="J5" s="376">
        <v>85</v>
      </c>
      <c r="K5" s="376">
        <v>120</v>
      </c>
      <c r="L5" s="376">
        <v>160</v>
      </c>
      <c r="M5" s="376">
        <v>200</v>
      </c>
      <c r="N5" s="376">
        <v>240</v>
      </c>
      <c r="O5" s="99"/>
      <c r="P5" s="376">
        <v>50</v>
      </c>
      <c r="Q5" s="376">
        <v>85</v>
      </c>
      <c r="R5" s="376">
        <v>120</v>
      </c>
      <c r="S5" s="376">
        <v>160</v>
      </c>
      <c r="T5" s="376">
        <v>200</v>
      </c>
      <c r="U5" s="376">
        <v>240</v>
      </c>
      <c r="W5" s="376">
        <v>50</v>
      </c>
      <c r="X5" s="376">
        <v>85</v>
      </c>
      <c r="Y5" s="376">
        <v>120</v>
      </c>
      <c r="Z5" s="376">
        <v>160</v>
      </c>
      <c r="AA5" s="376">
        <v>200</v>
      </c>
      <c r="AB5" s="376">
        <v>240</v>
      </c>
      <c r="AD5" s="376">
        <v>50</v>
      </c>
      <c r="AE5" s="376">
        <v>85</v>
      </c>
      <c r="AF5" s="376">
        <v>120</v>
      </c>
      <c r="AG5" s="376">
        <v>160</v>
      </c>
      <c r="AH5" s="376">
        <v>200</v>
      </c>
      <c r="AI5" s="376">
        <v>240</v>
      </c>
      <c r="AK5" s="376">
        <v>50</v>
      </c>
      <c r="AL5" s="376">
        <v>85</v>
      </c>
      <c r="AM5" s="376">
        <v>120</v>
      </c>
      <c r="AN5" s="376">
        <v>160</v>
      </c>
      <c r="AO5" s="376">
        <v>200</v>
      </c>
      <c r="AP5" s="376">
        <v>240</v>
      </c>
      <c r="AR5" s="376">
        <v>50</v>
      </c>
      <c r="AS5" s="376">
        <v>85</v>
      </c>
      <c r="AT5" s="376">
        <v>120</v>
      </c>
      <c r="AU5" s="376">
        <v>160</v>
      </c>
      <c r="AV5" s="376">
        <v>200</v>
      </c>
      <c r="AW5" s="376">
        <v>240</v>
      </c>
    </row>
    <row r="6" spans="1:49" ht="13.8" thickBot="1" x14ac:dyDescent="0.3">
      <c r="A6" s="306" t="s">
        <v>15</v>
      </c>
      <c r="B6" s="11">
        <v>85</v>
      </c>
      <c r="C6" s="11">
        <v>120</v>
      </c>
      <c r="D6" s="11">
        <v>160</v>
      </c>
      <c r="E6" s="11">
        <v>200</v>
      </c>
      <c r="F6" s="11">
        <v>240</v>
      </c>
      <c r="G6" s="11">
        <v>285</v>
      </c>
      <c r="H6" s="222"/>
      <c r="I6" s="11">
        <v>85</v>
      </c>
      <c r="J6" s="11">
        <v>120</v>
      </c>
      <c r="K6" s="11">
        <v>160</v>
      </c>
      <c r="L6" s="11">
        <v>200</v>
      </c>
      <c r="M6" s="11">
        <v>240</v>
      </c>
      <c r="N6" s="11">
        <v>285</v>
      </c>
      <c r="O6" s="94"/>
      <c r="P6" s="11">
        <v>85</v>
      </c>
      <c r="Q6" s="11">
        <v>120</v>
      </c>
      <c r="R6" s="11">
        <v>160</v>
      </c>
      <c r="S6" s="11">
        <v>200</v>
      </c>
      <c r="T6" s="11">
        <v>240</v>
      </c>
      <c r="U6" s="11">
        <v>285</v>
      </c>
      <c r="W6" s="11">
        <v>85</v>
      </c>
      <c r="X6" s="11">
        <v>120</v>
      </c>
      <c r="Y6" s="11">
        <v>160</v>
      </c>
      <c r="Z6" s="11">
        <v>200</v>
      </c>
      <c r="AA6" s="11">
        <v>240</v>
      </c>
      <c r="AB6" s="11">
        <v>285</v>
      </c>
      <c r="AD6" s="11">
        <v>85</v>
      </c>
      <c r="AE6" s="11">
        <v>120</v>
      </c>
      <c r="AF6" s="11">
        <v>160</v>
      </c>
      <c r="AG6" s="11">
        <v>200</v>
      </c>
      <c r="AH6" s="11">
        <v>240</v>
      </c>
      <c r="AI6" s="11">
        <v>285</v>
      </c>
      <c r="AK6" s="11">
        <v>85</v>
      </c>
      <c r="AL6" s="11">
        <v>120</v>
      </c>
      <c r="AM6" s="11">
        <v>160</v>
      </c>
      <c r="AN6" s="11">
        <v>200</v>
      </c>
      <c r="AO6" s="11">
        <v>240</v>
      </c>
      <c r="AP6" s="11">
        <v>285</v>
      </c>
      <c r="AR6" s="11">
        <v>85</v>
      </c>
      <c r="AS6" s="11">
        <v>120</v>
      </c>
      <c r="AT6" s="11">
        <v>160</v>
      </c>
      <c r="AU6" s="11">
        <v>200</v>
      </c>
      <c r="AV6" s="11">
        <v>240</v>
      </c>
      <c r="AW6" s="11">
        <v>285</v>
      </c>
    </row>
    <row r="7" spans="1:49" x14ac:dyDescent="0.25">
      <c r="A7" t="s">
        <v>1</v>
      </c>
      <c r="B7" s="291">
        <f>IF(B5="","",((((B236-B297)*2000)+((SUM(B9:B229)-2000)*((IF($A8=Nutrients!$B$79,Nutrients!$DA$79,(IF($A8=Nutrients!$B$77,Nutrients!$DA$77,Nutrients!$DA$78)))))))/((IF($A7=Nutrients!$B$8,Nutrients!$DA$8,Nutrients!$DA$9))-((IF($A8=Nutrients!$B$79,Nutrients!$DA$79,(IF($A8=Nutrients!$B$77,Nutrients!$DA$77,Nutrients!$DA$78))))))))</f>
        <v>1401.204118179855</v>
      </c>
      <c r="C7" s="291">
        <f>IF(C5="","",((((C236-C297)*2000)+((SUM(C9:C229)-2000)*((IF($A8=Nutrients!$B$79,Nutrients!$DA$79,(IF($A8=Nutrients!$B$77,Nutrients!$DA$77,Nutrients!$DA$78)))))))/((IF($A7=Nutrients!$B$8,Nutrients!$DA$8,Nutrients!$DA$9))-((IF($A8=Nutrients!$B$79,Nutrients!$DA$79,(IF($A8=Nutrients!$B$77,Nutrients!$DA$77,Nutrients!$DA$78))))))))</f>
        <v>1489.6346777263973</v>
      </c>
      <c r="D7" s="291">
        <f>IF(D5="","",((((D236-D297)*2000)+((SUM(D9:D229)-2000)*((IF($A8=Nutrients!$B$79,Nutrients!$DA$79,(IF($A8=Nutrients!$B$77,Nutrients!$DA$77,Nutrients!$DA$78)))))))/((IF($A7=Nutrients!$B$8,Nutrients!$DA$8,Nutrients!$DA$9))-((IF($A8=Nutrients!$B$79,Nutrients!$DA$79,(IF($A8=Nutrients!$B$77,Nutrients!$DA$77,Nutrients!$DA$78))))))))</f>
        <v>1564.8539711032211</v>
      </c>
      <c r="E7" s="291">
        <f>IF(E5="","",((((E236-E297)*2000)+((SUM(E9:E229)-2000)*((IF($A8=Nutrients!$B$79,Nutrients!$DA$79,(IF($A8=Nutrients!$B$77,Nutrients!$DA$77,Nutrients!$DA$78)))))))/((IF($A7=Nutrients!$B$8,Nutrients!$DA$8,Nutrients!$DA$9))-((IF($A8=Nutrients!$B$79,Nutrients!$DA$79,(IF($A8=Nutrients!$B$77,Nutrients!$DA$77,Nutrients!$DA$78))))))))</f>
        <v>1637.2122226458096</v>
      </c>
      <c r="F7" s="291">
        <f>IF(F5="","",((((F236-F297)*2000)+((SUM(F9:F229)-2000)*((IF($A8=Nutrients!$B$79,Nutrients!$DA$79,(IF($A8=Nutrients!$B$77,Nutrients!$DA$77,Nutrients!$DA$78)))))))/((IF($A7=Nutrients!$B$8,Nutrients!$DA$8,Nutrients!$DA$9))-((IF($A8=Nutrients!$B$79,Nutrients!$DA$79,(IF($A8=Nutrients!$B$77,Nutrients!$DA$77,Nutrients!$DA$78))))))))</f>
        <v>1697.3820399240099</v>
      </c>
      <c r="G7" s="291">
        <f>IF(G5="","",((((G236-G297)*2000)+((SUM(G9:G229)-2000)*((IF($A8=Nutrients!$B$79,Nutrients!$DA$79,(IF($A8=Nutrients!$B$77,Nutrients!$DA$77,Nutrients!$DA$78)))))))/((IF($A7=Nutrients!$B$8,Nutrients!$DA$8,Nutrients!$DA$9))-((IF($A8=Nutrients!$B$79,Nutrients!$DA$79,(IF($A8=Nutrients!$B$77,Nutrients!$DA$77,Nutrients!$DA$78))))))))</f>
        <v>1729.7239606988965</v>
      </c>
      <c r="H7" s="291"/>
      <c r="I7" s="291">
        <f>IF(I5="","",((((I236-I297)*2000)+((SUM(I9:I229)-2000)*((IF($A8=Nutrients!$B$79,Nutrients!$DA$79,(IF($A8=Nutrients!$B$77,Nutrients!$DA$77,Nutrients!$DA$78)))))))/((IF($A7=Nutrients!$B$8,Nutrients!$DA$8,Nutrients!$DA$9))-((IF($A8=Nutrients!$B$79,Nutrients!$DA$79,(IF($A8=Nutrients!$B$77,Nutrients!$DA$77,Nutrients!$DA$78))))))))</f>
        <v>1318.8383554356226</v>
      </c>
      <c r="J7" s="291">
        <f>IF(J5="","",((((J236-J297)*2000)+((SUM(J9:J229)-2000)*((IF($A8=Nutrients!$B$79,Nutrients!$DA$79,(IF($A8=Nutrients!$B$77,Nutrients!$DA$77,Nutrients!$DA$78)))))))/((IF($A7=Nutrients!$B$8,Nutrients!$DA$8,Nutrients!$DA$9))-((IF($A8=Nutrients!$B$79,Nutrients!$DA$79,(IF($A8=Nutrients!$B$77,Nutrients!$DA$77,Nutrients!$DA$78))))))))</f>
        <v>1406.9327124923927</v>
      </c>
      <c r="K7" s="291">
        <f>IF(K5="","",((((K236-K297)*2000)+((SUM(K9:K229)-2000)*((IF($A8=Nutrients!$B$79,Nutrients!$DA$79,(IF($A8=Nutrients!$B$77,Nutrients!$DA$77,Nutrients!$DA$78)))))))/((IF($A7=Nutrients!$B$8,Nutrients!$DA$8,Nutrients!$DA$9))-((IF($A8=Nutrients!$B$79,Nutrients!$DA$79,(IF($A8=Nutrients!$B$77,Nutrients!$DA$77,Nutrients!$DA$78))))))))</f>
        <v>1482.325015348544</v>
      </c>
      <c r="L7" s="291">
        <f>IF(L5="","",((((L236-L297)*2000)+((SUM(L9:L229)-2000)*((IF($A8=Nutrients!$B$79,Nutrients!$DA$79,(IF($A8=Nutrients!$B$77,Nutrients!$DA$77,Nutrients!$DA$78)))))))/((IF($A7=Nutrients!$B$8,Nutrients!$DA$8,Nutrients!$DA$9))-((IF($A8=Nutrients!$B$79,Nutrients!$DA$79,(IF($A8=Nutrients!$B$77,Nutrients!$DA$77,Nutrients!$DA$78))))))))</f>
        <v>1554.5376631194806</v>
      </c>
      <c r="M7" s="291">
        <f>IF(M5="","",((((M236-M297)*2000)+((SUM(M9:M229)-2000)*((IF($A8=Nutrients!$B$79,Nutrients!$DA$79,(IF($A8=Nutrients!$B$77,Nutrients!$DA$77,Nutrients!$DA$78)))))))/((IF($A7=Nutrients!$B$8,Nutrients!$DA$8,Nutrients!$DA$9))-((IF($A8=Nutrients!$B$79,Nutrients!$DA$79,(IF($A8=Nutrients!$B$77,Nutrients!$DA$77,Nutrients!$DA$78))))))))</f>
        <v>1614.7067037384488</v>
      </c>
      <c r="N7" s="291">
        <f>IF(N5="","",((((N236-N297)*2000)+((SUM(N9:N229)-2000)*((IF($A8=Nutrients!$B$79,Nutrients!$DA$79,(IF($A8=Nutrients!$B$77,Nutrients!$DA$77,Nutrients!$DA$78)))))))/((IF($A7=Nutrients!$B$8,Nutrients!$DA$8,Nutrients!$DA$9))-((IF($A8=Nutrients!$B$79,Nutrients!$DA$79,(IF($A8=Nutrients!$B$77,Nutrients!$DA$77,Nutrients!$DA$78))))))))</f>
        <v>1729.7239606988965</v>
      </c>
      <c r="O7" s="30"/>
      <c r="P7" s="291">
        <f>IF(P5="","",((((P236-P297)*2000)+((SUM(P9:P229)-2000)*((IF($A8=Nutrients!$B$79,Nutrients!$DA$79,(IF($A8=Nutrients!$B$77,Nutrients!$DA$77,Nutrients!$DA$78)))))))/((IF($A7=Nutrients!$B$8,Nutrients!$DA$8,Nutrients!$DA$9))-((IF($A8=Nutrients!$B$79,Nutrients!$DA$79,(IF($A8=Nutrients!$B$77,Nutrients!$DA$77,Nutrients!$DA$78))))))))</f>
        <v>1236.2568828455967</v>
      </c>
      <c r="Q7" s="291">
        <f>IF(Q5="","",((((Q236-Q297)*2000)+((SUM(Q9:Q229)-2000)*((IF($A8=Nutrients!$B$79,Nutrients!$DA$79,(IF($A8=Nutrients!$B$77,Nutrients!$DA$77,Nutrients!$DA$78)))))))/((IF($A7=Nutrients!$B$8,Nutrients!$DA$8,Nutrients!$DA$9))-((IF($A8=Nutrients!$B$79,Nutrients!$DA$79,(IF($A8=Nutrients!$B$77,Nutrients!$DA$77,Nutrients!$DA$78))))))))</f>
        <v>1324.2664272995055</v>
      </c>
      <c r="R7" s="291">
        <f>IF(R5="","",((((R236-R297)*2000)+((SUM(R9:R229)-2000)*((IF($A8=Nutrients!$B$79,Nutrients!$DA$79,(IF($A8=Nutrients!$B$77,Nutrients!$DA$77,Nutrients!$DA$78)))))))/((IF($A7=Nutrients!$B$8,Nutrients!$DA$8,Nutrients!$DA$9))-((IF($A8=Nutrients!$B$79,Nutrients!$DA$79,(IF($A8=Nutrients!$B$77,Nutrients!$DA$77,Nutrients!$DA$78))))))))</f>
        <v>1399.5715115665103</v>
      </c>
      <c r="S7" s="291">
        <f>IF(S5="","",((((S236-S297)*2000)+((SUM(S9:S229)-2000)*((IF($A8=Nutrients!$B$79,Nutrients!$DA$79,(IF($A8=Nutrients!$B$77,Nutrients!$DA$77,Nutrients!$DA$78)))))))/((IF($A7=Nutrients!$B$8,Nutrients!$DA$8,Nutrients!$DA$9))-((IF($A8=Nutrients!$B$79,Nutrients!$DA$79,(IF($A8=Nutrients!$B$77,Nutrients!$DA$77,Nutrients!$DA$78))))))))</f>
        <v>1471.8083445148206</v>
      </c>
      <c r="T7" s="291">
        <f>IF(T5="","",((((T236-T297)*2000)+((SUM(T9:T229)-2000)*((IF($A8=Nutrients!$B$79,Nutrients!$DA$79,(IF($A8=Nutrients!$B$77,Nutrients!$DA$77,Nutrients!$DA$78)))))))/((IF($A7=Nutrients!$B$8,Nutrients!$DA$8,Nutrients!$DA$9))-((IF($A8=Nutrients!$B$79,Nutrients!$DA$79,(IF($A8=Nutrients!$B$77,Nutrients!$DA$77,Nutrients!$DA$78))))))))</f>
        <v>1532.0322587871108</v>
      </c>
      <c r="U7" s="291">
        <f>IF(U5="","",((((U236-U297)*2000)+((SUM(U9:U229)-2000)*((IF($A8=Nutrients!$B$79,Nutrients!$DA$79,(IF($A8=Nutrients!$B$77,Nutrients!$DA$77,Nutrients!$DA$78)))))))/((IF($A7=Nutrients!$B$8,Nutrients!$DA$8,Nutrients!$DA$9))-((IF($A8=Nutrients!$B$79,Nutrients!$DA$79,(IF($A8=Nutrients!$B$77,Nutrients!$DA$77,Nutrients!$DA$78))))))))</f>
        <v>1729.7239606988965</v>
      </c>
      <c r="W7" s="291">
        <f>IF(W5="","",((((W236-W297)*2000)+((SUM(W9:W229)-2000)*((IF($A8=Nutrients!$B$79,Nutrients!$DA$79,(IF($A8=Nutrients!$B$77,Nutrients!$DA$77,Nutrients!$DA$78)))))))/((IF($A7=Nutrients!$B$8,Nutrients!$DA$8,Nutrients!$DA$9))-((IF($A8=Nutrients!$B$79,Nutrients!$DA$79,(IF($A8=Nutrients!$B$77,Nutrients!$DA$77,Nutrients!$DA$78))))))))</f>
        <v>1153.7508742774967</v>
      </c>
      <c r="X7" s="291">
        <f>IF(X5="","",((((X236-X297)*2000)+((SUM(X9:X229)-2000)*((IF($A8=Nutrients!$B$79,Nutrients!$DA$79,(IF($A8=Nutrients!$B$77,Nutrients!$DA$77,Nutrients!$DA$78)))))))/((IF($A7=Nutrients!$B$8,Nutrients!$DA$8,Nutrients!$DA$9))-((IF($A8=Nutrients!$B$79,Nutrients!$DA$79,(IF($A8=Nutrients!$B$77,Nutrients!$DA$77,Nutrients!$DA$78))))))))</f>
        <v>1241.6236468359346</v>
      </c>
      <c r="Y7" s="291">
        <f>IF(Y5="","",((((Y236-Y297)*2000)+((SUM(Y9:Y229)-2000)*((IF($A8=Nutrients!$B$79,Nutrients!$DA$79,(IF($A8=Nutrients!$B$77,Nutrients!$DA$77,Nutrients!$DA$78)))))))/((IF($A7=Nutrients!$B$8,Nutrients!$DA$8,Nutrients!$DA$9))-((IF($A8=Nutrients!$B$79,Nutrients!$DA$79,(IF($A8=Nutrients!$B$77,Nutrients!$DA$77,Nutrients!$DA$78))))))))</f>
        <v>1316.9525492050418</v>
      </c>
      <c r="Z7" s="291">
        <f>IF(Z5="","",((((Z236-Z297)*2000)+((SUM(Z9:Z229)-2000)*((IF($A8=Nutrients!$B$79,Nutrients!$DA$79,(IF($A8=Nutrients!$B$77,Nutrients!$DA$77,Nutrients!$DA$78)))))))/((IF($A7=Nutrients!$B$8,Nutrients!$DA$8,Nutrients!$DA$9))-((IF($A8=Nutrients!$B$79,Nutrients!$DA$79,(IF($A8=Nutrients!$B$77,Nutrients!$DA$77,Nutrients!$DA$78))))))))</f>
        <v>1389.035231757013</v>
      </c>
      <c r="AA7" s="291">
        <f>IF(AA5="","",((((AA236-AA297)*2000)+((SUM(AA9:AA229)-2000)*((IF($A8=Nutrients!$B$79,Nutrients!$DA$79,(IF($A8=Nutrients!$B$77,Nutrients!$DA$77,Nutrients!$DA$78)))))))/((IF($A7=Nutrients!$B$8,Nutrients!$DA$8,Nutrients!$DA$9))-((IF($A8=Nutrients!$B$79,Nutrients!$DA$79,(IF($A8=Nutrients!$B$77,Nutrients!$DA$77,Nutrients!$DA$78))))))))</f>
        <v>1449.1046434784112</v>
      </c>
      <c r="AB7" s="291">
        <f>IF(AB5="","",((((AB236-AB297)*2000)+((SUM(AB9:AB229)-2000)*((IF($A8=Nutrients!$B$79,Nutrients!$DA$79,(IF($A8=Nutrients!$B$77,Nutrients!$DA$77,Nutrients!$DA$78)))))))/((IF($A7=Nutrients!$B$8,Nutrients!$DA$8,Nutrients!$DA$9))-((IF($A8=Nutrients!$B$79,Nutrients!$DA$79,(IF($A8=Nutrients!$B$77,Nutrients!$DA$77,Nutrients!$DA$78))))))))</f>
        <v>1729.7239606988965</v>
      </c>
      <c r="AD7" s="291">
        <f>IF(AD5="","",((((AD236-AD297)*2000)+((SUM(AD9:AD229)-2000)*((IF($A8=Nutrients!$B$79,Nutrients!$DA$79,(IF($A8=Nutrients!$B$77,Nutrients!$DA$77,Nutrients!$DA$78)))))))/((IF($A7=Nutrients!$B$8,Nutrients!$DA$8,Nutrients!$DA$9))-((IF($A8=Nutrients!$B$79,Nutrients!$DA$79,(IF($A8=Nutrients!$B$77,Nutrients!$DA$77,Nutrients!$DA$78))))))))</f>
        <v>1071.1147788258536</v>
      </c>
      <c r="AE7" s="291">
        <f>IF(AE5="","",((((AE236-AE297)*2000)+((SUM(AE9:AE229)-2000)*((IF($A8=Nutrients!$B$79,Nutrients!$DA$79,(IF($A8=Nutrients!$B$77,Nutrients!$DA$77,Nutrients!$DA$78)))))))/((IF($A7=Nutrients!$B$8,Nutrients!$DA$8,Nutrients!$DA$9))-((IF($A8=Nutrients!$B$79,Nutrients!$DA$79,(IF($A8=Nutrients!$B$77,Nutrients!$DA$77,Nutrients!$DA$78))))))))</f>
        <v>1159.0417389025365</v>
      </c>
      <c r="AF7" s="291">
        <f>IF(AF5="","",((((AF236-AF297)*2000)+((SUM(AF9:AF229)-2000)*((IF($A8=Nutrients!$B$79,Nutrients!$DA$79,(IF($A8=Nutrients!$B$77,Nutrients!$DA$77,Nutrients!$DA$78)))))))/((IF($A7=Nutrients!$B$8,Nutrients!$DA$8,Nutrients!$DA$9))-((IF($A8=Nutrients!$B$79,Nutrients!$DA$79,(IF($A8=Nutrients!$B$77,Nutrients!$DA$77,Nutrients!$DA$78))))))))</f>
        <v>1234.1813238439142</v>
      </c>
      <c r="AG7" s="291">
        <f>IF(AG5="","",((((AG236-AG297)*2000)+((SUM(AG9:AG229)-2000)*((IF($A8=Nutrients!$B$79,Nutrients!$DA$79,(IF($A8=Nutrients!$B$77,Nutrients!$DA$77,Nutrients!$DA$78)))))))/((IF($A7=Nutrients!$B$8,Nutrients!$DA$8,Nutrients!$DA$9))-((IF($A8=Nutrients!$B$79,Nutrients!$DA$79,(IF($A8=Nutrients!$B$77,Nutrients!$DA$77,Nutrients!$DA$78))))))))</f>
        <v>1306.1849979875785</v>
      </c>
      <c r="AH7" s="291">
        <f>IF(AH5="","",((((AH236-AH297)*2000)+((SUM(AH9:AH229)-2000)*((IF($A8=Nutrients!$B$79,Nutrients!$DA$79,(IF($A8=Nutrients!$B$77,Nutrients!$DA$77,Nutrients!$DA$78)))))))/((IF($A7=Nutrients!$B$8,Nutrients!$DA$8,Nutrients!$DA$9))-((IF($A8=Nutrients!$B$79,Nutrients!$DA$79,(IF($A8=Nutrients!$B$77,Nutrients!$DA$77,Nutrients!$DA$78))))))))</f>
        <v>1363.5942365698179</v>
      </c>
      <c r="AI7" s="291">
        <f>IF(AI5="","",((((AI236-AI297)*2000)+((SUM(AI9:AI229)-2000)*((IF($A8=Nutrients!$B$79,Nutrients!$DA$79,(IF($A8=Nutrients!$B$77,Nutrients!$DA$77,Nutrients!$DA$78)))))))/((IF($A7=Nutrients!$B$8,Nutrients!$DA$8,Nutrients!$DA$9))-((IF($A8=Nutrients!$B$79,Nutrients!$DA$79,(IF($A8=Nutrients!$B$77,Nutrients!$DA$77,Nutrients!$DA$78))))))))</f>
        <v>1729.7239606988965</v>
      </c>
      <c r="AK7" s="291">
        <f>IF(AK5="","",((((AK236-AK297)*2000)+((SUM(AK9:AK229)-2000)*((IF($A8=Nutrients!$B$79,Nutrients!$DA$79,(IF($A8=Nutrients!$B$77,Nutrients!$DA$77,Nutrients!$DA$78)))))))/((IF($A7=Nutrients!$B$8,Nutrients!$DA$8,Nutrients!$DA$9))-((IF($A8=Nutrients!$B$79,Nutrients!$DA$79,(IF($A8=Nutrients!$B$77,Nutrients!$DA$77,Nutrients!$DA$78))))))))</f>
        <v>988.38566013290085</v>
      </c>
      <c r="AL7" s="291">
        <f>IF(AL5="","",((((AL236-AL297)*2000)+((SUM(AL9:AL229)-2000)*((IF($A8=Nutrients!$B$79,Nutrients!$DA$79,(IF($A8=Nutrients!$B$77,Nutrients!$DA$77,Nutrients!$DA$78)))))))/((IF($A7=Nutrients!$B$8,Nutrients!$DA$8,Nutrients!$DA$9))-((IF($A8=Nutrients!$B$79,Nutrients!$DA$79,(IF($A8=Nutrients!$B$77,Nutrients!$DA$77,Nutrients!$DA$78))))))))</f>
        <v>1076.2689138614455</v>
      </c>
      <c r="AM7" s="291">
        <f>IF(AM5="","",((((AM236-AM297)*2000)+((SUM(AM9:AM229)-2000)*((IF($A8=Nutrients!$B$79,Nutrients!$DA$79,(IF($A8=Nutrients!$B$77,Nutrients!$DA$77,Nutrients!$DA$78)))))))/((IF($A7=Nutrients!$B$8,Nutrients!$DA$8,Nutrients!$DA$9))-((IF($A8=Nutrients!$B$79,Nutrients!$DA$79,(IF($A8=Nutrients!$B$77,Nutrients!$DA$77,Nutrients!$DA$78))))))))</f>
        <v>1151.4724692342302</v>
      </c>
      <c r="AN7" s="291">
        <f>IF(AN5="","",((((AN236-AN297)*2000)+((SUM(AN9:AN229)-2000)*((IF($A8=Nutrients!$B$79,Nutrients!$DA$79,(IF($A8=Nutrients!$B$77,Nutrients!$DA$77,Nutrients!$DA$78)))))))/((IF($A7=Nutrients!$B$8,Nutrients!$DA$8,Nutrients!$DA$9))-((IF($A8=Nutrients!$B$79,Nutrients!$DA$79,(IF($A8=Nutrients!$B$77,Nutrients!$DA$77,Nutrients!$DA$78))))))))</f>
        <v>1221.0552902124787</v>
      </c>
      <c r="AO7" s="291">
        <f>IF(AO5="","",((((AO236-AO297)*2000)+((SUM(AO9:AO229)-2000)*((IF($A8=Nutrients!$B$79,Nutrients!$DA$79,(IF($A8=Nutrients!$B$77,Nutrients!$DA$77,Nutrients!$DA$78)))))))/((IF($A7=Nutrients!$B$8,Nutrients!$DA$8,Nutrients!$DA$9))-((IF($A8=Nutrients!$B$79,Nutrients!$DA$79,(IF($A8=Nutrients!$B$77,Nutrients!$DA$77,Nutrients!$DA$78))))))))</f>
        <v>1277.3771520194027</v>
      </c>
      <c r="AP7" s="291">
        <f>IF(AP5="","",((((AP236-AP297)*2000)+((SUM(AP9:AP229)-2000)*((IF($A8=Nutrients!$B$79,Nutrients!$DA$79,(IF($A8=Nutrients!$B$77,Nutrients!$DA$77,Nutrients!$DA$78)))))))/((IF($A7=Nutrients!$B$8,Nutrients!$DA$8,Nutrients!$DA$9))-((IF($A8=Nutrients!$B$79,Nutrients!$DA$79,(IF($A8=Nutrients!$B$77,Nutrients!$DA$77,Nutrients!$DA$78))))))))</f>
        <v>1729.7239606988965</v>
      </c>
      <c r="AR7" s="291">
        <f>IF(AR5="","",((((AR236-AR297)*2000)+((SUM(AR9:AR229)-2000)*((IF($A8=Nutrients!$B$79,Nutrients!$DA$79,(IF($A8=Nutrients!$B$77,Nutrients!$DA$77,Nutrients!$DA$78)))))))/((IF($A7=Nutrients!$B$8,Nutrients!$DA$8,Nutrients!$DA$9))-((IF($A8=Nutrients!$B$79,Nutrients!$DA$79,(IF($A8=Nutrients!$B$77,Nutrients!$DA$77,Nutrients!$DA$78))))))))</f>
        <v>905.48408066641639</v>
      </c>
      <c r="AS7" s="291">
        <f>IF(AS5="","",((((AS236-AS297)*2000)+((SUM(AS9:AS229)-2000)*((IF($A8=Nutrients!$B$79,Nutrients!$DA$79,(IF($A8=Nutrients!$B$77,Nutrients!$DA$77,Nutrients!$DA$78)))))))/((IF($A7=Nutrients!$B$8,Nutrients!$DA$8,Nutrients!$DA$9))-((IF($A8=Nutrients!$B$79,Nutrients!$DA$79,(IF($A8=Nutrients!$B$77,Nutrients!$DA$77,Nutrients!$DA$78))))))))</f>
        <v>993.47023248599942</v>
      </c>
      <c r="AT7" s="291">
        <f>IF(AT5="","",((((AT236-AT297)*2000)+((SUM(AT9:AT229)-2000)*((IF($A8=Nutrients!$B$79,Nutrients!$DA$79,(IF($A8=Nutrients!$B$77,Nutrients!$DA$77,Nutrients!$DA$78)))))))/((IF($A7=Nutrients!$B$8,Nutrients!$DA$8,Nutrients!$DA$9))-((IF($A8=Nutrients!$B$79,Nutrients!$DA$79,(IF($A8=Nutrients!$B$77,Nutrients!$DA$77,Nutrients!$DA$78))))))))</f>
        <v>1068.3225312971365</v>
      </c>
      <c r="AU7" s="291">
        <f>IF(AU5="","",((((AU236-AU297)*2000)+((SUM(AU9:AU229)-2000)*((IF($A8=Nutrients!$B$79,Nutrients!$DA$79,(IF($A8=Nutrients!$B$77,Nutrients!$DA$77,Nutrients!$DA$78)))))))/((IF($A7=Nutrients!$B$8,Nutrients!$DA$8,Nutrients!$DA$9))-((IF($A8=Nutrients!$B$79,Nutrients!$DA$79,(IF($A8=Nutrients!$B$77,Nutrients!$DA$77,Nutrients!$DA$78))))))))</f>
        <v>1134.8422404482285</v>
      </c>
      <c r="AV7" s="291">
        <f>IF(AV5="","",((((AV236-AV297)*2000)+((SUM(AV9:AV229)-2000)*((IF($A8=Nutrients!$B$79,Nutrients!$DA$79,(IF($A8=Nutrients!$B$77,Nutrients!$DA$77,Nutrients!$DA$78)))))))/((IF($A7=Nutrients!$B$8,Nutrients!$DA$8,Nutrients!$DA$9))-((IF($A8=Nutrients!$B$79,Nutrients!$DA$79,(IF($A8=Nutrients!$B$77,Nutrients!$DA$77,Nutrients!$DA$78))))))))</f>
        <v>1191.159571244604</v>
      </c>
      <c r="AW7" s="291">
        <f>IF(AW5="","",((((AW236-AW297)*2000)+((SUM(AW9:AW229)-2000)*((IF($A8=Nutrients!$B$79,Nutrients!$DA$79,(IF($A8=Nutrients!$B$77,Nutrients!$DA$77,Nutrients!$DA$78)))))))/((IF($A7=Nutrients!$B$8,Nutrients!$DA$8,Nutrients!$DA$9))-((IF($A8=Nutrients!$B$79,Nutrients!$DA$79,(IF($A8=Nutrients!$B$77,Nutrients!$DA$77,Nutrients!$DA$78))))))))</f>
        <v>1729.7239606988965</v>
      </c>
    </row>
    <row r="8" spans="1:49" x14ac:dyDescent="0.25">
      <c r="A8" t="s">
        <v>295</v>
      </c>
      <c r="B8" s="291">
        <f t="shared" ref="B8:G8" si="6">IF(B5="","",2000-SUM(B9:B218)-B7)</f>
        <v>532.87319453405121</v>
      </c>
      <c r="C8" s="291">
        <f t="shared" si="6"/>
        <v>452.27140406672561</v>
      </c>
      <c r="D8" s="291">
        <f t="shared" si="6"/>
        <v>384.4341908979336</v>
      </c>
      <c r="E8" s="291">
        <f t="shared" si="6"/>
        <v>317.11390951924227</v>
      </c>
      <c r="F8" s="291">
        <f t="shared" si="6"/>
        <v>260.24813699960987</v>
      </c>
      <c r="G8" s="291">
        <f t="shared" si="6"/>
        <v>228.872010022209</v>
      </c>
      <c r="H8" s="291"/>
      <c r="I8" s="291">
        <f t="shared" ref="I8:N8" si="7">IF(I5="","",2000-SUM(I9:I220)-I7)</f>
        <v>506.26131558919974</v>
      </c>
      <c r="J8" s="291">
        <f t="shared" si="7"/>
        <v>425.68313484727946</v>
      </c>
      <c r="K8" s="291">
        <f t="shared" si="7"/>
        <v>357.83377213640006</v>
      </c>
      <c r="L8" s="291">
        <f t="shared" si="7"/>
        <v>290.52371574167273</v>
      </c>
      <c r="M8" s="291">
        <f t="shared" si="7"/>
        <v>233.65799776271683</v>
      </c>
      <c r="N8" s="291">
        <f t="shared" si="7"/>
        <v>228.872010022209</v>
      </c>
      <c r="O8" s="30"/>
      <c r="P8" s="291">
        <f t="shared" ref="P8:U8" si="8">IF(P5="","",2000-SUM(P9:P220)-P7)</f>
        <v>479.66458480767665</v>
      </c>
      <c r="Q8" s="291">
        <f t="shared" si="8"/>
        <v>399.09236000696797</v>
      </c>
      <c r="R8" s="291">
        <f t="shared" si="8"/>
        <v>331.24912219701173</v>
      </c>
      <c r="S8" s="291">
        <f t="shared" si="8"/>
        <v>263.9373674049973</v>
      </c>
      <c r="T8" s="291">
        <f t="shared" si="8"/>
        <v>207.06779593915076</v>
      </c>
      <c r="U8" s="291">
        <f t="shared" si="8"/>
        <v>228.872010022209</v>
      </c>
      <c r="W8" s="291">
        <f t="shared" ref="W8:AB8" si="9">IF(W5="","",2000-SUM(W9:W220)-W7)</f>
        <v>453.06255458641135</v>
      </c>
      <c r="X8" s="291">
        <f t="shared" si="9"/>
        <v>372.49993455364302</v>
      </c>
      <c r="Y8" s="291">
        <f t="shared" si="9"/>
        <v>304.65502412415731</v>
      </c>
      <c r="Z8" s="291">
        <f t="shared" si="9"/>
        <v>237.35409450042494</v>
      </c>
      <c r="AA8" s="291">
        <f t="shared" si="9"/>
        <v>180.49537293281492</v>
      </c>
      <c r="AB8" s="291">
        <f t="shared" si="9"/>
        <v>228.872010022209</v>
      </c>
      <c r="AD8" s="291">
        <f t="shared" ref="AD8:AI8" si="10">IF(AD5="","",2000-SUM(AD9:AD220)-AD7)</f>
        <v>426.46965968000131</v>
      </c>
      <c r="AE8" s="291">
        <f t="shared" si="10"/>
        <v>345.90323434398579</v>
      </c>
      <c r="AF8" s="291">
        <f t="shared" si="10"/>
        <v>278.07161867768332</v>
      </c>
      <c r="AG8" s="291">
        <f t="shared" si="10"/>
        <v>210.77623739723072</v>
      </c>
      <c r="AH8" s="291">
        <f t="shared" si="10"/>
        <v>154.10432574107858</v>
      </c>
      <c r="AI8" s="291">
        <f t="shared" si="10"/>
        <v>228.872010022209</v>
      </c>
      <c r="AK8" s="291">
        <f t="shared" ref="AK8:AP8" si="11">IF(AK5="","",2000-SUM(AK9:AK220)-AK7)</f>
        <v>399.88329730458224</v>
      </c>
      <c r="AL8" s="291">
        <f t="shared" si="11"/>
        <v>319.31994123458776</v>
      </c>
      <c r="AM8" s="291">
        <f t="shared" si="11"/>
        <v>251.48383326270869</v>
      </c>
      <c r="AN8" s="291">
        <f t="shared" si="11"/>
        <v>184.35845571578284</v>
      </c>
      <c r="AO8" s="291">
        <f t="shared" si="11"/>
        <v>127.76290478823444</v>
      </c>
      <c r="AP8" s="291">
        <f t="shared" si="11"/>
        <v>228.872010022209</v>
      </c>
      <c r="AR8" s="291">
        <f t="shared" ref="AR8:AW8" si="12">IF(AR5="","",2000-SUM(AR9:AR220)-AR7)</f>
        <v>373.30904593854063</v>
      </c>
      <c r="AS8" s="291">
        <f t="shared" si="12"/>
        <v>292.73846387900687</v>
      </c>
      <c r="AT8" s="291">
        <f t="shared" si="12"/>
        <v>224.92702280050207</v>
      </c>
      <c r="AU8" s="291">
        <f t="shared" si="12"/>
        <v>158.01675142121348</v>
      </c>
      <c r="AV8" s="291">
        <f t="shared" si="12"/>
        <v>101.42151868260794</v>
      </c>
      <c r="AW8" s="291">
        <f t="shared" si="12"/>
        <v>228.872010022209</v>
      </c>
    </row>
    <row r="9" spans="1:49" ht="13.05" hidden="1" customHeight="1" x14ac:dyDescent="0.25">
      <c r="A9" t="str">
        <f>Nutrients!B8</f>
        <v>Corn</v>
      </c>
      <c r="B9" s="99"/>
      <c r="C9" s="99"/>
      <c r="D9" s="99"/>
      <c r="E9" s="99"/>
      <c r="F9" s="99"/>
      <c r="G9" s="99"/>
      <c r="H9" s="99"/>
      <c r="I9" s="99"/>
      <c r="J9" s="99"/>
      <c r="K9" s="99"/>
      <c r="L9" s="99"/>
      <c r="M9" s="99"/>
      <c r="N9" s="99"/>
      <c r="O9" s="10"/>
      <c r="P9" s="99"/>
      <c r="Q9" s="99"/>
      <c r="R9" s="99"/>
      <c r="S9" s="99"/>
      <c r="T9" s="99"/>
      <c r="U9" s="99"/>
      <c r="W9" s="99"/>
      <c r="X9" s="99"/>
      <c r="Y9" s="99"/>
      <c r="Z9" s="99"/>
      <c r="AA9" s="99"/>
      <c r="AB9" s="99"/>
      <c r="AD9" s="99"/>
      <c r="AE9" s="99"/>
      <c r="AF9" s="99"/>
      <c r="AG9" s="99"/>
      <c r="AH9" s="99"/>
      <c r="AI9" s="99"/>
      <c r="AK9" s="99"/>
      <c r="AL9" s="99"/>
      <c r="AM9" s="99"/>
      <c r="AN9" s="99"/>
      <c r="AO9" s="99"/>
      <c r="AP9" s="99"/>
      <c r="AR9" s="99"/>
      <c r="AS9" s="99"/>
      <c r="AT9" s="99"/>
      <c r="AU9" s="99"/>
      <c r="AV9" s="99"/>
      <c r="AW9" s="99"/>
    </row>
    <row r="10" spans="1:49" ht="13.05" hidden="1" customHeight="1" x14ac:dyDescent="0.25">
      <c r="A10" t="str">
        <f>Nutrients!B9</f>
        <v>Milo</v>
      </c>
      <c r="B10" s="99"/>
      <c r="C10" s="99"/>
      <c r="D10" s="99"/>
      <c r="E10" s="99"/>
      <c r="F10" s="99"/>
      <c r="G10" s="99"/>
      <c r="H10" s="99"/>
      <c r="I10" s="99"/>
      <c r="J10" s="99"/>
      <c r="K10" s="99"/>
      <c r="L10" s="99"/>
      <c r="M10" s="99"/>
      <c r="N10" s="99"/>
      <c r="O10" s="10"/>
      <c r="P10" s="99"/>
      <c r="Q10" s="99"/>
      <c r="R10" s="99"/>
      <c r="S10" s="99"/>
      <c r="T10" s="99"/>
      <c r="U10" s="99"/>
      <c r="W10" s="99"/>
      <c r="X10" s="99"/>
      <c r="Y10" s="99"/>
      <c r="Z10" s="99"/>
      <c r="AA10" s="99"/>
      <c r="AB10" s="99"/>
      <c r="AD10" s="99"/>
      <c r="AE10" s="99"/>
      <c r="AF10" s="99"/>
      <c r="AG10" s="99"/>
      <c r="AH10" s="99"/>
      <c r="AI10" s="99"/>
      <c r="AK10" s="99"/>
      <c r="AL10" s="99"/>
      <c r="AM10" s="99"/>
      <c r="AN10" s="99"/>
      <c r="AO10" s="99"/>
      <c r="AP10" s="99"/>
      <c r="AR10" s="99"/>
      <c r="AS10" s="99"/>
      <c r="AT10" s="99"/>
      <c r="AU10" s="99"/>
      <c r="AV10" s="99"/>
      <c r="AW10" s="99"/>
    </row>
    <row r="11" spans="1:49" ht="13.05" hidden="1" customHeight="1" x14ac:dyDescent="0.25">
      <c r="A11" t="str">
        <f>Nutrients!B10</f>
        <v>Alfalfa Meal</v>
      </c>
      <c r="B11" s="106"/>
      <c r="C11" s="106"/>
      <c r="D11" s="106"/>
      <c r="E11" s="106"/>
      <c r="F11" s="106"/>
      <c r="G11" s="106"/>
      <c r="H11" s="106"/>
      <c r="I11" s="106"/>
      <c r="J11" s="106"/>
      <c r="K11" s="106"/>
      <c r="L11" s="106"/>
      <c r="M11" s="106"/>
      <c r="N11" s="106"/>
      <c r="O11" s="29"/>
      <c r="P11" s="106"/>
      <c r="Q11" s="106"/>
      <c r="R11" s="106"/>
      <c r="S11" s="106"/>
      <c r="T11" s="106"/>
      <c r="U11" s="106"/>
      <c r="W11" s="106"/>
      <c r="X11" s="106"/>
      <c r="Y11" s="106"/>
      <c r="Z11" s="106"/>
      <c r="AA11" s="106"/>
      <c r="AB11" s="106"/>
      <c r="AD11" s="106"/>
      <c r="AE11" s="106"/>
      <c r="AF11" s="106"/>
      <c r="AG11" s="106"/>
      <c r="AH11" s="106"/>
      <c r="AI11" s="106"/>
      <c r="AK11" s="106"/>
      <c r="AL11" s="106"/>
      <c r="AM11" s="106"/>
      <c r="AN11" s="106"/>
      <c r="AO11" s="106"/>
      <c r="AP11" s="106"/>
      <c r="AR11" s="106"/>
      <c r="AS11" s="106"/>
      <c r="AT11" s="106"/>
      <c r="AU11" s="106"/>
      <c r="AV11" s="106"/>
      <c r="AW11" s="106"/>
    </row>
    <row r="12" spans="1:49" ht="13.05" hidden="1" customHeight="1" x14ac:dyDescent="0.25">
      <c r="A12" t="str">
        <f>Nutrients!B11</f>
        <v>Bakery Meal</v>
      </c>
      <c r="B12" s="106"/>
      <c r="C12" s="106"/>
      <c r="D12" s="106"/>
      <c r="E12" s="106"/>
      <c r="F12" s="106"/>
      <c r="G12" s="106"/>
      <c r="H12" s="106"/>
      <c r="I12" s="106"/>
      <c r="J12" s="106"/>
      <c r="K12" s="106"/>
      <c r="L12" s="106"/>
      <c r="M12" s="106"/>
      <c r="N12" s="106"/>
      <c r="O12" s="29"/>
      <c r="P12" s="106"/>
      <c r="Q12" s="106"/>
      <c r="R12" s="106"/>
      <c r="S12" s="106"/>
      <c r="T12" s="106"/>
      <c r="U12" s="106"/>
      <c r="W12" s="106"/>
      <c r="X12" s="106"/>
      <c r="Y12" s="106"/>
      <c r="Z12" s="106"/>
      <c r="AA12" s="106"/>
      <c r="AB12" s="106"/>
      <c r="AD12" s="106"/>
      <c r="AE12" s="106"/>
      <c r="AF12" s="106"/>
      <c r="AG12" s="106"/>
      <c r="AH12" s="106"/>
      <c r="AI12" s="106"/>
      <c r="AK12" s="106"/>
      <c r="AL12" s="106"/>
      <c r="AM12" s="106"/>
      <c r="AN12" s="106"/>
      <c r="AO12" s="106"/>
      <c r="AP12" s="106"/>
      <c r="AR12" s="106"/>
      <c r="AS12" s="106"/>
      <c r="AT12" s="106"/>
      <c r="AU12" s="106"/>
      <c r="AV12" s="106"/>
      <c r="AW12" s="106"/>
    </row>
    <row r="13" spans="1:49" ht="13.05" hidden="1" customHeight="1" x14ac:dyDescent="0.25">
      <c r="A13" t="str">
        <f>Nutrients!B12</f>
        <v>Barley</v>
      </c>
      <c r="B13" s="99"/>
      <c r="C13" s="99"/>
      <c r="D13" s="99"/>
      <c r="E13" s="99"/>
      <c r="F13" s="99"/>
      <c r="G13" s="99"/>
      <c r="H13" s="99"/>
      <c r="I13" s="99"/>
      <c r="J13" s="99"/>
      <c r="K13" s="99"/>
      <c r="L13" s="99"/>
      <c r="M13" s="99"/>
      <c r="N13" s="99"/>
      <c r="O13" s="10"/>
      <c r="P13" s="99"/>
      <c r="Q13" s="99"/>
      <c r="R13" s="99"/>
      <c r="S13" s="99"/>
      <c r="T13" s="99"/>
      <c r="U13" s="99"/>
      <c r="W13" s="99"/>
      <c r="X13" s="99"/>
      <c r="Y13" s="99"/>
      <c r="Z13" s="99"/>
      <c r="AA13" s="99"/>
      <c r="AB13" s="99"/>
      <c r="AD13" s="99"/>
      <c r="AE13" s="99"/>
      <c r="AF13" s="99"/>
      <c r="AG13" s="99"/>
      <c r="AH13" s="99"/>
      <c r="AI13" s="99"/>
      <c r="AK13" s="99"/>
      <c r="AL13" s="99"/>
      <c r="AM13" s="99"/>
      <c r="AN13" s="99"/>
      <c r="AO13" s="99"/>
      <c r="AP13" s="99"/>
      <c r="AR13" s="99"/>
      <c r="AS13" s="99"/>
      <c r="AT13" s="99"/>
      <c r="AU13" s="99"/>
      <c r="AV13" s="99"/>
      <c r="AW13" s="99"/>
    </row>
    <row r="14" spans="1:49" ht="13.05" hidden="1" customHeight="1" x14ac:dyDescent="0.25">
      <c r="A14" t="str">
        <f>Nutrients!B13</f>
        <v>Barley, Hulless</v>
      </c>
      <c r="B14" s="99"/>
      <c r="C14" s="99"/>
      <c r="D14" s="99"/>
      <c r="E14" s="99"/>
      <c r="F14" s="99"/>
      <c r="G14" s="99"/>
      <c r="H14" s="99"/>
      <c r="I14" s="99"/>
      <c r="J14" s="99"/>
      <c r="K14" s="99"/>
      <c r="L14" s="99"/>
      <c r="M14" s="99"/>
      <c r="N14" s="99"/>
      <c r="O14" s="10"/>
      <c r="P14" s="99"/>
      <c r="Q14" s="99"/>
      <c r="R14" s="99"/>
      <c r="S14" s="99"/>
      <c r="T14" s="99"/>
      <c r="U14" s="99"/>
      <c r="W14" s="99"/>
      <c r="X14" s="99"/>
      <c r="Y14" s="99"/>
      <c r="Z14" s="99"/>
      <c r="AA14" s="99"/>
      <c r="AB14" s="99"/>
      <c r="AD14" s="99"/>
      <c r="AE14" s="99"/>
      <c r="AF14" s="99"/>
      <c r="AG14" s="99"/>
      <c r="AH14" s="99"/>
      <c r="AI14" s="99"/>
      <c r="AK14" s="99"/>
      <c r="AL14" s="99"/>
      <c r="AM14" s="99"/>
      <c r="AN14" s="99"/>
      <c r="AO14" s="99"/>
      <c r="AP14" s="99"/>
      <c r="AR14" s="99"/>
      <c r="AS14" s="99"/>
      <c r="AT14" s="99"/>
      <c r="AU14" s="99"/>
      <c r="AV14" s="99"/>
      <c r="AW14" s="99"/>
    </row>
    <row r="15" spans="1:49" ht="13.05" hidden="1" customHeight="1" x14ac:dyDescent="0.25">
      <c r="A15" t="str">
        <f>Nutrients!B14</f>
        <v>Beans, Faba</v>
      </c>
      <c r="B15" s="99"/>
      <c r="C15" s="99"/>
      <c r="D15" s="99"/>
      <c r="E15" s="99"/>
      <c r="F15" s="99"/>
      <c r="G15" s="99"/>
      <c r="H15" s="99"/>
      <c r="I15" s="99"/>
      <c r="J15" s="99"/>
      <c r="K15" s="99"/>
      <c r="L15" s="99"/>
      <c r="M15" s="99"/>
      <c r="N15" s="99"/>
      <c r="O15" s="10"/>
      <c r="P15" s="99"/>
      <c r="Q15" s="99"/>
      <c r="R15" s="99"/>
      <c r="S15" s="99"/>
      <c r="T15" s="99"/>
      <c r="U15" s="99"/>
      <c r="W15" s="99"/>
      <c r="X15" s="99"/>
      <c r="Y15" s="99"/>
      <c r="Z15" s="99"/>
      <c r="AA15" s="99"/>
      <c r="AB15" s="99"/>
      <c r="AD15" s="99"/>
      <c r="AE15" s="99"/>
      <c r="AF15" s="99"/>
      <c r="AG15" s="99"/>
      <c r="AH15" s="99"/>
      <c r="AI15" s="99"/>
      <c r="AK15" s="99"/>
      <c r="AL15" s="99"/>
      <c r="AM15" s="99"/>
      <c r="AN15" s="99"/>
      <c r="AO15" s="99"/>
      <c r="AP15" s="99"/>
      <c r="AR15" s="99"/>
      <c r="AS15" s="99"/>
      <c r="AT15" s="99"/>
      <c r="AU15" s="99"/>
      <c r="AV15" s="99"/>
      <c r="AW15" s="99"/>
    </row>
    <row r="16" spans="1:49" ht="13.05" hidden="1" customHeight="1" x14ac:dyDescent="0.25">
      <c r="A16" t="str">
        <f>Nutrients!B15</f>
        <v>Blood Meal</v>
      </c>
      <c r="B16" s="99"/>
      <c r="C16" s="99"/>
      <c r="D16" s="99"/>
      <c r="E16" s="99"/>
      <c r="F16" s="99"/>
      <c r="G16" s="99"/>
      <c r="H16" s="99"/>
      <c r="I16" s="99"/>
      <c r="J16" s="99"/>
      <c r="K16" s="99"/>
      <c r="L16" s="99"/>
      <c r="M16" s="99"/>
      <c r="N16" s="99"/>
      <c r="O16" s="10"/>
      <c r="P16" s="99"/>
      <c r="Q16" s="99"/>
      <c r="R16" s="99"/>
      <c r="S16" s="99"/>
      <c r="T16" s="99"/>
      <c r="U16" s="99"/>
      <c r="W16" s="99"/>
      <c r="X16" s="99"/>
      <c r="Y16" s="99"/>
      <c r="Z16" s="99"/>
      <c r="AA16" s="99"/>
      <c r="AB16" s="99"/>
      <c r="AD16" s="99"/>
      <c r="AE16" s="99"/>
      <c r="AF16" s="99"/>
      <c r="AG16" s="99"/>
      <c r="AH16" s="99"/>
      <c r="AI16" s="99"/>
      <c r="AK16" s="99"/>
      <c r="AL16" s="99"/>
      <c r="AM16" s="99"/>
      <c r="AN16" s="99"/>
      <c r="AO16" s="99"/>
      <c r="AP16" s="99"/>
      <c r="AR16" s="99"/>
      <c r="AS16" s="99"/>
      <c r="AT16" s="99"/>
      <c r="AU16" s="99"/>
      <c r="AV16" s="99"/>
      <c r="AW16" s="99"/>
    </row>
    <row r="17" spans="1:49" ht="13.05" hidden="1" customHeight="1" x14ac:dyDescent="0.25">
      <c r="A17" t="str">
        <f>Nutrients!B16</f>
        <v>Blood Plasma</v>
      </c>
      <c r="B17" s="99"/>
      <c r="C17" s="99"/>
      <c r="D17" s="99"/>
      <c r="E17" s="99"/>
      <c r="F17" s="99"/>
      <c r="G17" s="99"/>
      <c r="H17" s="99"/>
      <c r="I17" s="99"/>
      <c r="J17" s="99"/>
      <c r="K17" s="99"/>
      <c r="L17" s="99"/>
      <c r="M17" s="99"/>
      <c r="N17" s="99"/>
      <c r="O17" s="10"/>
      <c r="P17" s="99"/>
      <c r="Q17" s="99"/>
      <c r="R17" s="99"/>
      <c r="S17" s="99"/>
      <c r="T17" s="99"/>
      <c r="U17" s="99"/>
      <c r="W17" s="99"/>
      <c r="X17" s="99"/>
      <c r="Y17" s="99"/>
      <c r="Z17" s="99"/>
      <c r="AA17" s="99"/>
      <c r="AB17" s="99"/>
      <c r="AD17" s="99"/>
      <c r="AE17" s="99"/>
      <c r="AF17" s="99"/>
      <c r="AG17" s="99"/>
      <c r="AH17" s="99"/>
      <c r="AI17" s="99"/>
      <c r="AK17" s="99"/>
      <c r="AL17" s="99"/>
      <c r="AM17" s="99"/>
      <c r="AN17" s="99"/>
      <c r="AO17" s="99"/>
      <c r="AP17" s="99"/>
      <c r="AR17" s="99"/>
      <c r="AS17" s="99"/>
      <c r="AT17" s="99"/>
      <c r="AU17" s="99"/>
      <c r="AV17" s="99"/>
      <c r="AW17" s="99"/>
    </row>
    <row r="18" spans="1:49" ht="13.05" hidden="1" customHeight="1" x14ac:dyDescent="0.25">
      <c r="A18" t="str">
        <f>Nutrients!B17</f>
        <v>Brewers Grain</v>
      </c>
      <c r="B18" s="99"/>
      <c r="C18" s="99"/>
      <c r="D18" s="99"/>
      <c r="E18" s="99"/>
      <c r="F18" s="99"/>
      <c r="G18" s="99"/>
      <c r="H18" s="99"/>
      <c r="I18" s="99"/>
      <c r="J18" s="99"/>
      <c r="K18" s="99"/>
      <c r="L18" s="99"/>
      <c r="M18" s="99"/>
      <c r="N18" s="99"/>
      <c r="O18" s="10"/>
      <c r="P18" s="99"/>
      <c r="Q18" s="99"/>
      <c r="R18" s="99"/>
      <c r="S18" s="99"/>
      <c r="T18" s="99"/>
      <c r="U18" s="99"/>
      <c r="W18" s="99"/>
      <c r="X18" s="99"/>
      <c r="Y18" s="99"/>
      <c r="Z18" s="99"/>
      <c r="AA18" s="99"/>
      <c r="AB18" s="99"/>
      <c r="AD18" s="99"/>
      <c r="AE18" s="99"/>
      <c r="AF18" s="99"/>
      <c r="AG18" s="99"/>
      <c r="AH18" s="99"/>
      <c r="AI18" s="99"/>
      <c r="AK18" s="99"/>
      <c r="AL18" s="99"/>
      <c r="AM18" s="99"/>
      <c r="AN18" s="99"/>
      <c r="AO18" s="99"/>
      <c r="AP18" s="99"/>
      <c r="AR18" s="99"/>
      <c r="AS18" s="99"/>
      <c r="AT18" s="99"/>
      <c r="AU18" s="99"/>
      <c r="AV18" s="99"/>
      <c r="AW18" s="99"/>
    </row>
    <row r="19" spans="1:49" ht="13.05" hidden="1" customHeight="1" x14ac:dyDescent="0.25">
      <c r="A19" t="str">
        <f>Nutrients!B18</f>
        <v>Canola, Full Fat</v>
      </c>
      <c r="B19" s="99"/>
      <c r="C19" s="99"/>
      <c r="D19" s="99"/>
      <c r="E19" s="99"/>
      <c r="F19" s="99"/>
      <c r="G19" s="99"/>
      <c r="H19" s="99"/>
      <c r="I19" s="99"/>
      <c r="J19" s="99"/>
      <c r="K19" s="99"/>
      <c r="L19" s="99"/>
      <c r="M19" s="99"/>
      <c r="N19" s="99"/>
      <c r="O19" s="10"/>
      <c r="P19" s="99"/>
      <c r="Q19" s="99"/>
      <c r="R19" s="99"/>
      <c r="S19" s="99"/>
      <c r="T19" s="99"/>
      <c r="U19" s="99"/>
      <c r="W19" s="99"/>
      <c r="X19" s="99"/>
      <c r="Y19" s="99"/>
      <c r="Z19" s="99"/>
      <c r="AA19" s="99"/>
      <c r="AB19" s="99"/>
      <c r="AD19" s="99"/>
      <c r="AE19" s="99"/>
      <c r="AF19" s="99"/>
      <c r="AG19" s="99"/>
      <c r="AH19" s="99"/>
      <c r="AI19" s="99"/>
      <c r="AK19" s="99"/>
      <c r="AL19" s="99"/>
      <c r="AM19" s="99"/>
      <c r="AN19" s="99"/>
      <c r="AO19" s="99"/>
      <c r="AP19" s="99"/>
      <c r="AR19" s="99"/>
      <c r="AS19" s="99"/>
      <c r="AT19" s="99"/>
      <c r="AU19" s="99"/>
      <c r="AV19" s="99"/>
      <c r="AW19" s="99"/>
    </row>
    <row r="20" spans="1:49" ht="13.05" hidden="1" customHeight="1" x14ac:dyDescent="0.25">
      <c r="A20" t="str">
        <f>Nutrients!B19</f>
        <v>Canola Meal, Expelled</v>
      </c>
      <c r="B20" s="99"/>
      <c r="C20" s="99"/>
      <c r="D20" s="99"/>
      <c r="E20" s="99"/>
      <c r="F20" s="99"/>
      <c r="G20" s="99"/>
      <c r="H20" s="99"/>
      <c r="I20" s="99"/>
      <c r="J20" s="99"/>
      <c r="K20" s="99"/>
      <c r="L20" s="99"/>
      <c r="M20" s="99"/>
      <c r="N20" s="99"/>
      <c r="O20" s="10"/>
      <c r="P20" s="99"/>
      <c r="Q20" s="99"/>
      <c r="R20" s="99"/>
      <c r="S20" s="99"/>
      <c r="T20" s="99"/>
      <c r="U20" s="99"/>
      <c r="W20" s="99"/>
      <c r="X20" s="99"/>
      <c r="Y20" s="99"/>
      <c r="Z20" s="99"/>
      <c r="AA20" s="99"/>
      <c r="AB20" s="99"/>
      <c r="AD20" s="99"/>
      <c r="AE20" s="99"/>
      <c r="AF20" s="99"/>
      <c r="AG20" s="99"/>
      <c r="AH20" s="99"/>
      <c r="AI20" s="99"/>
      <c r="AK20" s="99"/>
      <c r="AL20" s="99"/>
      <c r="AM20" s="99"/>
      <c r="AN20" s="99"/>
      <c r="AO20" s="99"/>
      <c r="AP20" s="99"/>
      <c r="AR20" s="99"/>
      <c r="AS20" s="99"/>
      <c r="AT20" s="99"/>
      <c r="AU20" s="99"/>
      <c r="AV20" s="99"/>
      <c r="AW20" s="99"/>
    </row>
    <row r="21" spans="1:49" ht="13.05" hidden="1" customHeight="1" x14ac:dyDescent="0.25">
      <c r="A21" t="str">
        <f>Nutrients!B20</f>
        <v>Canola Meal, Solvent Extracted</v>
      </c>
      <c r="B21" s="99"/>
      <c r="C21" s="99"/>
      <c r="D21" s="99"/>
      <c r="E21" s="99"/>
      <c r="F21" s="99"/>
      <c r="G21" s="99"/>
      <c r="H21" s="99"/>
      <c r="I21" s="99"/>
      <c r="J21" s="99"/>
      <c r="K21" s="99"/>
      <c r="L21" s="99"/>
      <c r="M21" s="99"/>
      <c r="N21" s="99"/>
      <c r="O21" s="10"/>
      <c r="P21" s="99"/>
      <c r="Q21" s="99"/>
      <c r="R21" s="99"/>
      <c r="S21" s="99"/>
      <c r="T21" s="99"/>
      <c r="U21" s="99"/>
      <c r="W21" s="99"/>
      <c r="X21" s="99"/>
      <c r="Y21" s="99"/>
      <c r="Z21" s="99"/>
      <c r="AA21" s="99"/>
      <c r="AB21" s="99"/>
      <c r="AD21" s="99"/>
      <c r="AE21" s="99"/>
      <c r="AF21" s="99"/>
      <c r="AG21" s="99"/>
      <c r="AH21" s="99"/>
      <c r="AI21" s="99"/>
      <c r="AK21" s="99"/>
      <c r="AL21" s="99"/>
      <c r="AM21" s="99"/>
      <c r="AN21" s="99"/>
      <c r="AO21" s="99"/>
      <c r="AP21" s="99"/>
      <c r="AR21" s="99"/>
      <c r="AS21" s="99"/>
      <c r="AT21" s="99"/>
      <c r="AU21" s="99"/>
      <c r="AV21" s="99"/>
      <c r="AW21" s="99"/>
    </row>
    <row r="22" spans="1:49" ht="13.05" hidden="1" customHeight="1" x14ac:dyDescent="0.25">
      <c r="A22" t="str">
        <f>Nutrients!B21</f>
        <v>Casava Meal</v>
      </c>
      <c r="B22" s="99"/>
      <c r="C22" s="99"/>
      <c r="D22" s="99"/>
      <c r="E22" s="99"/>
      <c r="F22" s="99"/>
      <c r="G22" s="99"/>
      <c r="H22" s="99"/>
      <c r="I22" s="99"/>
      <c r="J22" s="99"/>
      <c r="K22" s="99"/>
      <c r="L22" s="99"/>
      <c r="M22" s="99"/>
      <c r="N22" s="99"/>
      <c r="O22" s="10"/>
      <c r="P22" s="99"/>
      <c r="Q22" s="99"/>
      <c r="R22" s="99"/>
      <c r="S22" s="99"/>
      <c r="T22" s="99"/>
      <c r="U22" s="99"/>
      <c r="W22" s="99"/>
      <c r="X22" s="99"/>
      <c r="Y22" s="99"/>
      <c r="Z22" s="99"/>
      <c r="AA22" s="99"/>
      <c r="AB22" s="99"/>
      <c r="AD22" s="99"/>
      <c r="AE22" s="99"/>
      <c r="AF22" s="99"/>
      <c r="AG22" s="99"/>
      <c r="AH22" s="99"/>
      <c r="AI22" s="99"/>
      <c r="AK22" s="99"/>
      <c r="AL22" s="99"/>
      <c r="AM22" s="99"/>
      <c r="AN22" s="99"/>
      <c r="AO22" s="99"/>
      <c r="AP22" s="99"/>
      <c r="AR22" s="99"/>
      <c r="AS22" s="99"/>
      <c r="AT22" s="99"/>
      <c r="AU22" s="99"/>
      <c r="AV22" s="99"/>
      <c r="AW22" s="99"/>
    </row>
    <row r="23" spans="1:49" ht="13.05" hidden="1" customHeight="1" x14ac:dyDescent="0.25">
      <c r="A23" t="str">
        <f>Nutrients!B22</f>
        <v>Citrus Pulp</v>
      </c>
      <c r="B23" s="99"/>
      <c r="C23" s="99"/>
      <c r="D23" s="99"/>
      <c r="E23" s="99"/>
      <c r="F23" s="99"/>
      <c r="G23" s="99"/>
      <c r="H23" s="99"/>
      <c r="I23" s="99"/>
      <c r="J23" s="99"/>
      <c r="K23" s="99"/>
      <c r="L23" s="99"/>
      <c r="M23" s="99"/>
      <c r="N23" s="99"/>
      <c r="O23" s="10"/>
      <c r="P23" s="99"/>
      <c r="Q23" s="99"/>
      <c r="R23" s="99"/>
      <c r="S23" s="99"/>
      <c r="T23" s="99"/>
      <c r="U23" s="99"/>
      <c r="W23" s="99"/>
      <c r="X23" s="99"/>
      <c r="Y23" s="99"/>
      <c r="Z23" s="99"/>
      <c r="AA23" s="99"/>
      <c r="AB23" s="99"/>
      <c r="AD23" s="99"/>
      <c r="AE23" s="99"/>
      <c r="AF23" s="99"/>
      <c r="AG23" s="99"/>
      <c r="AH23" s="99"/>
      <c r="AI23" s="99"/>
      <c r="AK23" s="99"/>
      <c r="AL23" s="99"/>
      <c r="AM23" s="99"/>
      <c r="AN23" s="99"/>
      <c r="AO23" s="99"/>
      <c r="AP23" s="99"/>
      <c r="AR23" s="99"/>
      <c r="AS23" s="99"/>
      <c r="AT23" s="99"/>
      <c r="AU23" s="99"/>
      <c r="AV23" s="99"/>
      <c r="AW23" s="99"/>
    </row>
    <row r="24" spans="1:49" ht="13.05" hidden="1" customHeight="1" x14ac:dyDescent="0.25">
      <c r="A24" t="str">
        <f>Nutrients!B23</f>
        <v>Copra Meal</v>
      </c>
      <c r="B24" s="99"/>
      <c r="C24" s="99"/>
      <c r="D24" s="99"/>
      <c r="E24" s="99"/>
      <c r="F24" s="99"/>
      <c r="G24" s="99"/>
      <c r="H24" s="99"/>
      <c r="I24" s="99"/>
      <c r="J24" s="99"/>
      <c r="K24" s="99"/>
      <c r="L24" s="99"/>
      <c r="M24" s="99"/>
      <c r="N24" s="99"/>
      <c r="O24" s="10"/>
      <c r="P24" s="99"/>
      <c r="Q24" s="99"/>
      <c r="R24" s="99"/>
      <c r="S24" s="99"/>
      <c r="T24" s="99"/>
      <c r="U24" s="99"/>
      <c r="W24" s="99"/>
      <c r="X24" s="99"/>
      <c r="Y24" s="99"/>
      <c r="Z24" s="99"/>
      <c r="AA24" s="99"/>
      <c r="AB24" s="99"/>
      <c r="AD24" s="99"/>
      <c r="AE24" s="99"/>
      <c r="AF24" s="99"/>
      <c r="AG24" s="99"/>
      <c r="AH24" s="99"/>
      <c r="AI24" s="99"/>
      <c r="AK24" s="99"/>
      <c r="AL24" s="99"/>
      <c r="AM24" s="99"/>
      <c r="AN24" s="99"/>
      <c r="AO24" s="99"/>
      <c r="AP24" s="99"/>
      <c r="AR24" s="99"/>
      <c r="AS24" s="99"/>
      <c r="AT24" s="99"/>
      <c r="AU24" s="99"/>
      <c r="AV24" s="99"/>
      <c r="AW24" s="99"/>
    </row>
    <row r="25" spans="1:49" ht="13.05" hidden="1" customHeight="1" x14ac:dyDescent="0.25">
      <c r="A25" t="str">
        <f>Nutrients!B24</f>
        <v>Corn, Yellow Dent</v>
      </c>
      <c r="B25" s="99"/>
      <c r="C25" s="99"/>
      <c r="D25" s="99"/>
      <c r="E25" s="99"/>
      <c r="F25" s="99"/>
      <c r="G25" s="99"/>
      <c r="H25" s="99"/>
      <c r="I25" s="99"/>
      <c r="J25" s="99"/>
      <c r="K25" s="99"/>
      <c r="L25" s="99"/>
      <c r="M25" s="99"/>
      <c r="N25" s="99"/>
      <c r="O25" s="10"/>
      <c r="P25" s="99"/>
      <c r="Q25" s="99"/>
      <c r="R25" s="99"/>
      <c r="S25" s="99"/>
      <c r="T25" s="99"/>
      <c r="U25" s="99"/>
      <c r="W25" s="99"/>
      <c r="X25" s="99"/>
      <c r="Y25" s="99"/>
      <c r="Z25" s="99"/>
      <c r="AA25" s="99"/>
      <c r="AB25" s="99"/>
      <c r="AD25" s="99"/>
      <c r="AE25" s="99"/>
      <c r="AF25" s="99"/>
      <c r="AG25" s="99"/>
      <c r="AH25" s="99"/>
      <c r="AI25" s="99"/>
      <c r="AK25" s="99"/>
      <c r="AL25" s="99"/>
      <c r="AM25" s="99"/>
      <c r="AN25" s="99"/>
      <c r="AO25" s="99"/>
      <c r="AP25" s="99"/>
      <c r="AR25" s="99"/>
      <c r="AS25" s="99"/>
      <c r="AT25" s="99"/>
      <c r="AU25" s="99"/>
      <c r="AV25" s="99"/>
      <c r="AW25" s="99"/>
    </row>
    <row r="26" spans="1:49" ht="13.05" hidden="1" customHeight="1" x14ac:dyDescent="0.25">
      <c r="A26" t="str">
        <f>Nutrients!B25</f>
        <v>Corn, Nutridense</v>
      </c>
      <c r="B26" s="99"/>
      <c r="C26" s="99"/>
      <c r="D26" s="99"/>
      <c r="E26" s="99"/>
      <c r="F26" s="99"/>
      <c r="G26" s="99"/>
      <c r="H26" s="99"/>
      <c r="I26" s="99"/>
      <c r="J26" s="99"/>
      <c r="K26" s="99"/>
      <c r="L26" s="99"/>
      <c r="M26" s="99"/>
      <c r="N26" s="99"/>
      <c r="O26" s="10"/>
      <c r="P26" s="99"/>
      <c r="Q26" s="99"/>
      <c r="R26" s="99"/>
      <c r="S26" s="99"/>
      <c r="T26" s="99"/>
      <c r="U26" s="99"/>
      <c r="W26" s="99"/>
      <c r="X26" s="99"/>
      <c r="Y26" s="99"/>
      <c r="Z26" s="99"/>
      <c r="AA26" s="99"/>
      <c r="AB26" s="99"/>
      <c r="AD26" s="99"/>
      <c r="AE26" s="99"/>
      <c r="AF26" s="99"/>
      <c r="AG26" s="99"/>
      <c r="AH26" s="99"/>
      <c r="AI26" s="99"/>
      <c r="AK26" s="99"/>
      <c r="AL26" s="99"/>
      <c r="AM26" s="99"/>
      <c r="AN26" s="99"/>
      <c r="AO26" s="99"/>
      <c r="AP26" s="99"/>
      <c r="AR26" s="99"/>
      <c r="AS26" s="99"/>
      <c r="AT26" s="99"/>
      <c r="AU26" s="99"/>
      <c r="AV26" s="99"/>
      <c r="AW26" s="99"/>
    </row>
    <row r="27" spans="1:49" ht="13.05" hidden="1" customHeight="1" x14ac:dyDescent="0.25">
      <c r="A27" t="str">
        <f>Nutrients!B26</f>
        <v>Corn Bran</v>
      </c>
      <c r="B27" s="99"/>
      <c r="C27" s="99"/>
      <c r="D27" s="99"/>
      <c r="E27" s="99"/>
      <c r="F27" s="99"/>
      <c r="G27" s="99"/>
      <c r="H27" s="99"/>
      <c r="I27" s="99"/>
      <c r="J27" s="99"/>
      <c r="K27" s="99"/>
      <c r="L27" s="99"/>
      <c r="M27" s="99"/>
      <c r="N27" s="99"/>
      <c r="O27" s="10"/>
      <c r="P27" s="99"/>
      <c r="Q27" s="99"/>
      <c r="R27" s="99"/>
      <c r="S27" s="99"/>
      <c r="T27" s="99"/>
      <c r="U27" s="99"/>
      <c r="W27" s="99"/>
      <c r="X27" s="99"/>
      <c r="Y27" s="99"/>
      <c r="Z27" s="99"/>
      <c r="AA27" s="99"/>
      <c r="AB27" s="99"/>
      <c r="AD27" s="99"/>
      <c r="AE27" s="99"/>
      <c r="AF27" s="99"/>
      <c r="AG27" s="99"/>
      <c r="AH27" s="99"/>
      <c r="AI27" s="99"/>
      <c r="AK27" s="99"/>
      <c r="AL27" s="99"/>
      <c r="AM27" s="99"/>
      <c r="AN27" s="99"/>
      <c r="AO27" s="99"/>
      <c r="AP27" s="99"/>
      <c r="AR27" s="99"/>
      <c r="AS27" s="99"/>
      <c r="AT27" s="99"/>
      <c r="AU27" s="99"/>
      <c r="AV27" s="99"/>
      <c r="AW27" s="99"/>
    </row>
    <row r="28" spans="1:49" ht="13.05" hidden="1" customHeight="1" x14ac:dyDescent="0.25">
      <c r="A28" t="str">
        <f>Nutrients!B27</f>
        <v>Corn DDG</v>
      </c>
      <c r="B28" s="99"/>
      <c r="C28" s="99"/>
      <c r="D28" s="99"/>
      <c r="E28" s="99"/>
      <c r="F28" s="99"/>
      <c r="G28" s="99"/>
      <c r="H28" s="99"/>
      <c r="I28" s="99"/>
      <c r="J28" s="99"/>
      <c r="K28" s="99"/>
      <c r="L28" s="99"/>
      <c r="M28" s="99"/>
      <c r="N28" s="99"/>
      <c r="O28" s="10"/>
      <c r="P28" s="99"/>
      <c r="Q28" s="99"/>
      <c r="R28" s="99"/>
      <c r="S28" s="99"/>
      <c r="T28" s="99"/>
      <c r="U28" s="99"/>
      <c r="W28" s="99"/>
      <c r="X28" s="99"/>
      <c r="Y28" s="99"/>
      <c r="Z28" s="99"/>
      <c r="AA28" s="99"/>
      <c r="AB28" s="99"/>
      <c r="AD28" s="99"/>
      <c r="AE28" s="99"/>
      <c r="AF28" s="99"/>
      <c r="AG28" s="99"/>
      <c r="AH28" s="99"/>
      <c r="AI28" s="99"/>
      <c r="AK28" s="99"/>
      <c r="AL28" s="99"/>
      <c r="AM28" s="99"/>
      <c r="AN28" s="99"/>
      <c r="AO28" s="99"/>
      <c r="AP28" s="99"/>
      <c r="AR28" s="99"/>
      <c r="AS28" s="99"/>
      <c r="AT28" s="99"/>
      <c r="AU28" s="99"/>
      <c r="AV28" s="99"/>
      <c r="AW28" s="99"/>
    </row>
    <row r="29" spans="1:49" ht="13.05" hidden="1" customHeight="1" x14ac:dyDescent="0.25">
      <c r="A29" t="str">
        <f>Nutrients!B28</f>
        <v>Corn DDGS, &gt;10% Oil</v>
      </c>
      <c r="B29" s="99"/>
      <c r="C29" s="99"/>
      <c r="D29" s="99"/>
      <c r="E29" s="99"/>
      <c r="F29" s="99"/>
      <c r="G29" s="99"/>
      <c r="H29" s="99"/>
      <c r="I29" s="99"/>
      <c r="J29" s="99"/>
      <c r="K29" s="99"/>
      <c r="L29" s="99"/>
      <c r="M29" s="99"/>
      <c r="N29" s="99"/>
      <c r="O29" s="10"/>
      <c r="P29" s="99"/>
      <c r="Q29" s="99"/>
      <c r="R29" s="99"/>
      <c r="S29" s="99"/>
      <c r="T29" s="99"/>
      <c r="U29" s="99"/>
      <c r="W29" s="99"/>
      <c r="X29" s="99"/>
      <c r="Y29" s="99"/>
      <c r="Z29" s="99"/>
      <c r="AA29" s="99"/>
      <c r="AB29" s="99"/>
      <c r="AD29" s="99"/>
      <c r="AE29" s="99"/>
      <c r="AF29" s="99"/>
      <c r="AG29" s="99"/>
      <c r="AH29" s="99"/>
      <c r="AI29" s="99"/>
      <c r="AK29" s="99"/>
      <c r="AL29" s="99"/>
      <c r="AM29" s="99"/>
      <c r="AN29" s="99"/>
      <c r="AO29" s="99"/>
      <c r="AP29" s="99"/>
      <c r="AR29" s="99"/>
      <c r="AS29" s="99"/>
      <c r="AT29" s="99"/>
      <c r="AU29" s="99"/>
      <c r="AV29" s="99"/>
      <c r="AW29" s="99"/>
    </row>
    <row r="30" spans="1:49" ht="13.05" hidden="1" customHeight="1" x14ac:dyDescent="0.25">
      <c r="A30" t="str">
        <f>Nutrients!B29</f>
        <v>Corn DDGS, &gt;6 and &lt;9% Oil</v>
      </c>
      <c r="B30" s="99"/>
      <c r="C30" s="99"/>
      <c r="D30" s="99"/>
      <c r="E30" s="99"/>
      <c r="F30" s="99"/>
      <c r="G30" s="99"/>
      <c r="H30" s="99"/>
      <c r="I30" s="99"/>
      <c r="J30" s="99"/>
      <c r="K30" s="99"/>
      <c r="L30" s="99"/>
      <c r="M30" s="99"/>
      <c r="N30" s="99"/>
      <c r="O30" s="10"/>
      <c r="P30" s="99"/>
      <c r="Q30" s="99"/>
      <c r="R30" s="99"/>
      <c r="S30" s="99"/>
      <c r="T30" s="99"/>
      <c r="U30" s="99"/>
      <c r="W30" s="99"/>
      <c r="X30" s="99"/>
      <c r="Y30" s="99"/>
      <c r="Z30" s="99"/>
      <c r="AA30" s="99"/>
      <c r="AB30" s="99"/>
      <c r="AD30" s="99"/>
      <c r="AE30" s="99"/>
      <c r="AF30" s="99"/>
      <c r="AG30" s="99"/>
      <c r="AH30" s="99"/>
      <c r="AI30" s="99"/>
      <c r="AK30" s="99"/>
      <c r="AL30" s="99"/>
      <c r="AM30" s="99"/>
      <c r="AN30" s="99"/>
      <c r="AO30" s="99"/>
      <c r="AP30" s="99"/>
      <c r="AR30" s="99"/>
      <c r="AS30" s="99"/>
      <c r="AT30" s="99"/>
      <c r="AU30" s="99"/>
      <c r="AV30" s="99"/>
      <c r="AW30" s="99"/>
    </row>
    <row r="31" spans="1:49" ht="13.05" hidden="1" customHeight="1" x14ac:dyDescent="0.25">
      <c r="A31" t="str">
        <f>Nutrients!B30</f>
        <v>Corn DDGS, &lt;4% Oil</v>
      </c>
      <c r="B31" s="99"/>
      <c r="C31" s="99"/>
      <c r="D31" s="99"/>
      <c r="E31" s="99"/>
      <c r="F31" s="99"/>
      <c r="G31" s="99"/>
      <c r="H31" s="99"/>
      <c r="I31" s="99"/>
      <c r="J31" s="99"/>
      <c r="K31" s="99"/>
      <c r="L31" s="99"/>
      <c r="M31" s="99"/>
      <c r="N31" s="99"/>
      <c r="O31" s="10"/>
      <c r="P31" s="99"/>
      <c r="Q31" s="99"/>
      <c r="R31" s="99"/>
      <c r="S31" s="99"/>
      <c r="T31" s="99"/>
      <c r="U31" s="99"/>
      <c r="W31" s="99"/>
      <c r="X31" s="99"/>
      <c r="Y31" s="99"/>
      <c r="Z31" s="99"/>
      <c r="AA31" s="99"/>
      <c r="AB31" s="99"/>
      <c r="AD31" s="99"/>
      <c r="AE31" s="99"/>
      <c r="AF31" s="99"/>
      <c r="AG31" s="99"/>
      <c r="AH31" s="99"/>
      <c r="AI31" s="99"/>
      <c r="AK31" s="99"/>
      <c r="AL31" s="99"/>
      <c r="AM31" s="99"/>
      <c r="AN31" s="99"/>
      <c r="AO31" s="99"/>
      <c r="AP31" s="99"/>
      <c r="AR31" s="99"/>
      <c r="AS31" s="99"/>
      <c r="AT31" s="99"/>
      <c r="AU31" s="99"/>
      <c r="AV31" s="99"/>
      <c r="AW31" s="99"/>
    </row>
    <row r="32" spans="1:49" ht="13.05" hidden="1" customHeight="1" x14ac:dyDescent="0.25">
      <c r="A32" t="str">
        <f>Nutrients!B31</f>
        <v>Corn HP DDG</v>
      </c>
      <c r="B32" s="99"/>
      <c r="C32" s="99"/>
      <c r="D32" s="99"/>
      <c r="E32" s="99"/>
      <c r="F32" s="99"/>
      <c r="G32" s="99"/>
      <c r="H32" s="99"/>
      <c r="I32" s="99"/>
      <c r="J32" s="99"/>
      <c r="K32" s="99"/>
      <c r="L32" s="99"/>
      <c r="M32" s="99"/>
      <c r="N32" s="99"/>
      <c r="O32" s="10"/>
      <c r="P32" s="99"/>
      <c r="Q32" s="99"/>
      <c r="R32" s="99"/>
      <c r="S32" s="99"/>
      <c r="T32" s="99"/>
      <c r="U32" s="99"/>
      <c r="W32" s="99"/>
      <c r="X32" s="99"/>
      <c r="Y32" s="99"/>
      <c r="Z32" s="99"/>
      <c r="AA32" s="99"/>
      <c r="AB32" s="99"/>
      <c r="AD32" s="99"/>
      <c r="AE32" s="99"/>
      <c r="AF32" s="99"/>
      <c r="AG32" s="99"/>
      <c r="AH32" s="99"/>
      <c r="AI32" s="99"/>
      <c r="AK32" s="99"/>
      <c r="AL32" s="99"/>
      <c r="AM32" s="99"/>
      <c r="AN32" s="99"/>
      <c r="AO32" s="99"/>
      <c r="AP32" s="99"/>
      <c r="AR32" s="99"/>
      <c r="AS32" s="99"/>
      <c r="AT32" s="99"/>
      <c r="AU32" s="99"/>
      <c r="AV32" s="99"/>
      <c r="AW32" s="99"/>
    </row>
    <row r="33" spans="1:49" ht="13.05" hidden="1" customHeight="1" x14ac:dyDescent="0.25">
      <c r="A33" t="str">
        <f>Nutrients!B32</f>
        <v>Corn Germ</v>
      </c>
      <c r="B33" s="99"/>
      <c r="C33" s="99"/>
      <c r="D33" s="99"/>
      <c r="E33" s="99"/>
      <c r="F33" s="99"/>
      <c r="G33" s="99"/>
      <c r="H33" s="99"/>
      <c r="I33" s="99"/>
      <c r="J33" s="99"/>
      <c r="K33" s="99"/>
      <c r="L33" s="99"/>
      <c r="M33" s="99"/>
      <c r="N33" s="99"/>
      <c r="O33" s="10"/>
      <c r="P33" s="99"/>
      <c r="Q33" s="99"/>
      <c r="R33" s="99"/>
      <c r="S33" s="99"/>
      <c r="T33" s="99"/>
      <c r="U33" s="99"/>
      <c r="W33" s="99"/>
      <c r="X33" s="99"/>
      <c r="Y33" s="99"/>
      <c r="Z33" s="99"/>
      <c r="AA33" s="99"/>
      <c r="AB33" s="99"/>
      <c r="AD33" s="99"/>
      <c r="AE33" s="99"/>
      <c r="AF33" s="99"/>
      <c r="AG33" s="99"/>
      <c r="AH33" s="99"/>
      <c r="AI33" s="99"/>
      <c r="AK33" s="99"/>
      <c r="AL33" s="99"/>
      <c r="AM33" s="99"/>
      <c r="AN33" s="99"/>
      <c r="AO33" s="99"/>
      <c r="AP33" s="99"/>
      <c r="AR33" s="99"/>
      <c r="AS33" s="99"/>
      <c r="AT33" s="99"/>
      <c r="AU33" s="99"/>
      <c r="AV33" s="99"/>
      <c r="AW33" s="99"/>
    </row>
    <row r="34" spans="1:49" ht="13.05" hidden="1" customHeight="1" x14ac:dyDescent="0.25">
      <c r="A34" t="str">
        <f>Nutrients!B33</f>
        <v>Corn Germ Meal</v>
      </c>
      <c r="B34" s="99"/>
      <c r="C34" s="99"/>
      <c r="D34" s="99"/>
      <c r="E34" s="99"/>
      <c r="F34" s="99"/>
      <c r="G34" s="99"/>
      <c r="H34" s="99"/>
      <c r="I34" s="99"/>
      <c r="J34" s="99"/>
      <c r="K34" s="99"/>
      <c r="L34" s="99"/>
      <c r="M34" s="99"/>
      <c r="N34" s="99"/>
      <c r="O34" s="10"/>
      <c r="P34" s="99"/>
      <c r="Q34" s="99"/>
      <c r="R34" s="99"/>
      <c r="S34" s="99"/>
      <c r="T34" s="99"/>
      <c r="U34" s="99"/>
      <c r="W34" s="99"/>
      <c r="X34" s="99"/>
      <c r="Y34" s="99"/>
      <c r="Z34" s="99"/>
      <c r="AA34" s="99"/>
      <c r="AB34" s="99"/>
      <c r="AD34" s="99"/>
      <c r="AE34" s="99"/>
      <c r="AF34" s="99"/>
      <c r="AG34" s="99"/>
      <c r="AH34" s="99"/>
      <c r="AI34" s="99"/>
      <c r="AK34" s="99"/>
      <c r="AL34" s="99"/>
      <c r="AM34" s="99"/>
      <c r="AN34" s="99"/>
      <c r="AO34" s="99"/>
      <c r="AP34" s="99"/>
      <c r="AR34" s="99"/>
      <c r="AS34" s="99"/>
      <c r="AT34" s="99"/>
      <c r="AU34" s="99"/>
      <c r="AV34" s="99"/>
      <c r="AW34" s="99"/>
    </row>
    <row r="35" spans="1:49" ht="13.05" hidden="1" customHeight="1" x14ac:dyDescent="0.25">
      <c r="A35" t="str">
        <f>Nutrients!B34</f>
        <v>Corn Gluten Feed</v>
      </c>
      <c r="B35" s="99"/>
      <c r="C35" s="99"/>
      <c r="D35" s="99"/>
      <c r="E35" s="99"/>
      <c r="F35" s="99"/>
      <c r="G35" s="99"/>
      <c r="H35" s="99"/>
      <c r="I35" s="99"/>
      <c r="J35" s="99"/>
      <c r="K35" s="99"/>
      <c r="L35" s="99"/>
      <c r="M35" s="99"/>
      <c r="N35" s="99"/>
      <c r="O35" s="10"/>
      <c r="P35" s="99"/>
      <c r="Q35" s="99"/>
      <c r="R35" s="99"/>
      <c r="S35" s="99"/>
      <c r="T35" s="99"/>
      <c r="U35" s="99"/>
      <c r="W35" s="99"/>
      <c r="X35" s="99"/>
      <c r="Y35" s="99"/>
      <c r="Z35" s="99"/>
      <c r="AA35" s="99"/>
      <c r="AB35" s="99"/>
      <c r="AD35" s="99"/>
      <c r="AE35" s="99"/>
      <c r="AF35" s="99"/>
      <c r="AG35" s="99"/>
      <c r="AH35" s="99"/>
      <c r="AI35" s="99"/>
      <c r="AK35" s="99"/>
      <c r="AL35" s="99"/>
      <c r="AM35" s="99"/>
      <c r="AN35" s="99"/>
      <c r="AO35" s="99"/>
      <c r="AP35" s="99"/>
      <c r="AR35" s="99"/>
      <c r="AS35" s="99"/>
      <c r="AT35" s="99"/>
      <c r="AU35" s="99"/>
      <c r="AV35" s="99"/>
      <c r="AW35" s="99"/>
    </row>
    <row r="36" spans="1:49" ht="13.05" hidden="1" customHeight="1" x14ac:dyDescent="0.25">
      <c r="A36" t="str">
        <f>Nutrients!B35</f>
        <v>Corn Gluten Meal</v>
      </c>
      <c r="B36" s="99"/>
      <c r="C36" s="99"/>
      <c r="D36" s="99"/>
      <c r="E36" s="99"/>
      <c r="F36" s="99"/>
      <c r="G36" s="99"/>
      <c r="H36" s="99"/>
      <c r="I36" s="99"/>
      <c r="J36" s="99"/>
      <c r="K36" s="99"/>
      <c r="L36" s="99"/>
      <c r="M36" s="99"/>
      <c r="N36" s="99"/>
      <c r="O36" s="10"/>
      <c r="P36" s="99"/>
      <c r="Q36" s="99"/>
      <c r="R36" s="99"/>
      <c r="S36" s="99"/>
      <c r="T36" s="99"/>
      <c r="U36" s="99"/>
      <c r="W36" s="99"/>
      <c r="X36" s="99"/>
      <c r="Y36" s="99"/>
      <c r="Z36" s="99"/>
      <c r="AA36" s="99"/>
      <c r="AB36" s="99"/>
      <c r="AD36" s="99"/>
      <c r="AE36" s="99"/>
      <c r="AF36" s="99"/>
      <c r="AG36" s="99"/>
      <c r="AH36" s="99"/>
      <c r="AI36" s="99"/>
      <c r="AK36" s="99"/>
      <c r="AL36" s="99"/>
      <c r="AM36" s="99"/>
      <c r="AN36" s="99"/>
      <c r="AO36" s="99"/>
      <c r="AP36" s="99"/>
      <c r="AR36" s="99"/>
      <c r="AS36" s="99"/>
      <c r="AT36" s="99"/>
      <c r="AU36" s="99"/>
      <c r="AV36" s="99"/>
      <c r="AW36" s="99"/>
    </row>
    <row r="37" spans="1:49" ht="13.05" hidden="1" customHeight="1" x14ac:dyDescent="0.25">
      <c r="A37" t="str">
        <f>Nutrients!B36</f>
        <v>Corn Grits, Hominy Feed</v>
      </c>
      <c r="B37" s="99"/>
      <c r="C37" s="99"/>
      <c r="D37" s="99"/>
      <c r="E37" s="99"/>
      <c r="F37" s="99"/>
      <c r="G37" s="99"/>
      <c r="H37" s="99"/>
      <c r="I37" s="99"/>
      <c r="J37" s="99"/>
      <c r="K37" s="99"/>
      <c r="L37" s="99"/>
      <c r="M37" s="99"/>
      <c r="N37" s="99"/>
      <c r="O37" s="10"/>
      <c r="P37" s="99"/>
      <c r="Q37" s="99"/>
      <c r="R37" s="99"/>
      <c r="S37" s="99"/>
      <c r="T37" s="99"/>
      <c r="U37" s="99"/>
      <c r="W37" s="99"/>
      <c r="X37" s="99"/>
      <c r="Y37" s="99"/>
      <c r="Z37" s="99"/>
      <c r="AA37" s="99"/>
      <c r="AB37" s="99"/>
      <c r="AD37" s="99"/>
      <c r="AE37" s="99"/>
      <c r="AF37" s="99"/>
      <c r="AG37" s="99"/>
      <c r="AH37" s="99"/>
      <c r="AI37" s="99"/>
      <c r="AK37" s="99"/>
      <c r="AL37" s="99"/>
      <c r="AM37" s="99"/>
      <c r="AN37" s="99"/>
      <c r="AO37" s="99"/>
      <c r="AP37" s="99"/>
      <c r="AR37" s="99"/>
      <c r="AS37" s="99"/>
      <c r="AT37" s="99"/>
      <c r="AU37" s="99"/>
      <c r="AV37" s="99"/>
      <c r="AW37" s="99"/>
    </row>
    <row r="38" spans="1:49" ht="13.05" hidden="1" customHeight="1" x14ac:dyDescent="0.25">
      <c r="A38" t="str">
        <f>Nutrients!B37</f>
        <v>Cotton Seeds, Fullfat</v>
      </c>
      <c r="B38" s="99"/>
      <c r="C38" s="99"/>
      <c r="D38" s="99"/>
      <c r="E38" s="99"/>
      <c r="F38" s="99"/>
      <c r="G38" s="99"/>
      <c r="H38" s="99"/>
      <c r="I38" s="99"/>
      <c r="J38" s="99"/>
      <c r="K38" s="99"/>
      <c r="L38" s="99"/>
      <c r="M38" s="99"/>
      <c r="N38" s="99"/>
      <c r="O38" s="10"/>
      <c r="P38" s="99"/>
      <c r="Q38" s="99"/>
      <c r="R38" s="99"/>
      <c r="S38" s="99"/>
      <c r="T38" s="99"/>
      <c r="U38" s="99"/>
      <c r="W38" s="99"/>
      <c r="X38" s="99"/>
      <c r="Y38" s="99"/>
      <c r="Z38" s="99"/>
      <c r="AA38" s="99"/>
      <c r="AB38" s="99"/>
      <c r="AD38" s="99"/>
      <c r="AE38" s="99"/>
      <c r="AF38" s="99"/>
      <c r="AG38" s="99"/>
      <c r="AH38" s="99"/>
      <c r="AI38" s="99"/>
      <c r="AK38" s="99"/>
      <c r="AL38" s="99"/>
      <c r="AM38" s="99"/>
      <c r="AN38" s="99"/>
      <c r="AO38" s="99"/>
      <c r="AP38" s="99"/>
      <c r="AR38" s="99"/>
      <c r="AS38" s="99"/>
      <c r="AT38" s="99"/>
      <c r="AU38" s="99"/>
      <c r="AV38" s="99"/>
      <c r="AW38" s="99"/>
    </row>
    <row r="39" spans="1:49" ht="13.05" hidden="1" customHeight="1" x14ac:dyDescent="0.25">
      <c r="A39" t="str">
        <f>Nutrients!B38</f>
        <v>Cotton Seed Meal</v>
      </c>
      <c r="B39" s="99"/>
      <c r="C39" s="99"/>
      <c r="D39" s="99"/>
      <c r="E39" s="99"/>
      <c r="F39" s="99"/>
      <c r="G39" s="99"/>
      <c r="H39" s="99"/>
      <c r="I39" s="99"/>
      <c r="J39" s="99"/>
      <c r="K39" s="99"/>
      <c r="L39" s="99"/>
      <c r="M39" s="99"/>
      <c r="N39" s="99"/>
      <c r="O39" s="10"/>
      <c r="P39" s="99"/>
      <c r="Q39" s="99"/>
      <c r="R39" s="99"/>
      <c r="S39" s="99"/>
      <c r="T39" s="99"/>
      <c r="U39" s="99"/>
      <c r="W39" s="99"/>
      <c r="X39" s="99"/>
      <c r="Y39" s="99"/>
      <c r="Z39" s="99"/>
      <c r="AA39" s="99"/>
      <c r="AB39" s="99"/>
      <c r="AD39" s="99"/>
      <c r="AE39" s="99"/>
      <c r="AF39" s="99"/>
      <c r="AG39" s="99"/>
      <c r="AH39" s="99"/>
      <c r="AI39" s="99"/>
      <c r="AK39" s="99"/>
      <c r="AL39" s="99"/>
      <c r="AM39" s="99"/>
      <c r="AN39" s="99"/>
      <c r="AO39" s="99"/>
      <c r="AP39" s="99"/>
      <c r="AR39" s="99"/>
      <c r="AS39" s="99"/>
      <c r="AT39" s="99"/>
      <c r="AU39" s="99"/>
      <c r="AV39" s="99"/>
      <c r="AW39" s="99"/>
    </row>
    <row r="40" spans="1:49" ht="13.05" hidden="1" customHeight="1" x14ac:dyDescent="0.25">
      <c r="A40" t="str">
        <f>Nutrients!B39</f>
        <v>Feather Meal</v>
      </c>
      <c r="B40" s="99"/>
      <c r="C40" s="99"/>
      <c r="D40" s="99"/>
      <c r="E40" s="99"/>
      <c r="F40" s="99"/>
      <c r="G40" s="99"/>
      <c r="H40" s="99"/>
      <c r="I40" s="99"/>
      <c r="J40" s="99"/>
      <c r="K40" s="99"/>
      <c r="L40" s="99"/>
      <c r="M40" s="99"/>
      <c r="N40" s="99"/>
      <c r="O40" s="10"/>
      <c r="P40" s="99"/>
      <c r="Q40" s="99"/>
      <c r="R40" s="99"/>
      <c r="S40" s="99"/>
      <c r="T40" s="99"/>
      <c r="U40" s="99"/>
      <c r="W40" s="99"/>
      <c r="X40" s="99"/>
      <c r="Y40" s="99"/>
      <c r="Z40" s="99"/>
      <c r="AA40" s="99"/>
      <c r="AB40" s="99"/>
      <c r="AD40" s="99"/>
      <c r="AE40" s="99"/>
      <c r="AF40" s="99"/>
      <c r="AG40" s="99"/>
      <c r="AH40" s="99"/>
      <c r="AI40" s="99"/>
      <c r="AK40" s="99"/>
      <c r="AL40" s="99"/>
      <c r="AM40" s="99"/>
      <c r="AN40" s="99"/>
      <c r="AO40" s="99"/>
      <c r="AP40" s="99"/>
      <c r="AR40" s="99"/>
      <c r="AS40" s="99"/>
      <c r="AT40" s="99"/>
      <c r="AU40" s="99"/>
      <c r="AV40" s="99"/>
      <c r="AW40" s="99"/>
    </row>
    <row r="41" spans="1:49" ht="13.05" hidden="1" customHeight="1" x14ac:dyDescent="0.25">
      <c r="A41" t="str">
        <f>Nutrients!B40</f>
        <v>Fish Meal Combined</v>
      </c>
      <c r="B41" s="99"/>
      <c r="C41" s="99"/>
      <c r="D41" s="99"/>
      <c r="E41" s="99"/>
      <c r="F41" s="99"/>
      <c r="G41" s="99"/>
      <c r="H41" s="99"/>
      <c r="I41" s="99"/>
      <c r="J41" s="99"/>
      <c r="K41" s="99"/>
      <c r="L41" s="99"/>
      <c r="M41" s="99"/>
      <c r="N41" s="99"/>
      <c r="O41" s="10"/>
      <c r="P41" s="99"/>
      <c r="Q41" s="99"/>
      <c r="R41" s="99"/>
      <c r="S41" s="99"/>
      <c r="T41" s="99"/>
      <c r="U41" s="99"/>
      <c r="W41" s="99"/>
      <c r="X41" s="99"/>
      <c r="Y41" s="99"/>
      <c r="Z41" s="99"/>
      <c r="AA41" s="99"/>
      <c r="AB41" s="99"/>
      <c r="AD41" s="99"/>
      <c r="AE41" s="99"/>
      <c r="AF41" s="99"/>
      <c r="AG41" s="99"/>
      <c r="AH41" s="99"/>
      <c r="AI41" s="99"/>
      <c r="AK41" s="99"/>
      <c r="AL41" s="99"/>
      <c r="AM41" s="99"/>
      <c r="AN41" s="99"/>
      <c r="AO41" s="99"/>
      <c r="AP41" s="99"/>
      <c r="AR41" s="99"/>
      <c r="AS41" s="99"/>
      <c r="AT41" s="99"/>
      <c r="AU41" s="99"/>
      <c r="AV41" s="99"/>
      <c r="AW41" s="99"/>
    </row>
    <row r="42" spans="1:49" ht="13.05" hidden="1" customHeight="1" x14ac:dyDescent="0.25">
      <c r="A42" t="str">
        <f>Nutrients!B41</f>
        <v>Flaxseed</v>
      </c>
      <c r="B42" s="99"/>
      <c r="C42" s="99"/>
      <c r="D42" s="99"/>
      <c r="E42" s="99"/>
      <c r="F42" s="99"/>
      <c r="G42" s="99"/>
      <c r="H42" s="99"/>
      <c r="I42" s="99"/>
      <c r="J42" s="99"/>
      <c r="K42" s="99"/>
      <c r="L42" s="99"/>
      <c r="M42" s="99"/>
      <c r="N42" s="99"/>
      <c r="O42" s="10"/>
      <c r="P42" s="99"/>
      <c r="Q42" s="99"/>
      <c r="R42" s="99"/>
      <c r="S42" s="99"/>
      <c r="T42" s="99"/>
      <c r="U42" s="99"/>
      <c r="W42" s="99"/>
      <c r="X42" s="99"/>
      <c r="Y42" s="99"/>
      <c r="Z42" s="99"/>
      <c r="AA42" s="99"/>
      <c r="AB42" s="99"/>
      <c r="AD42" s="99"/>
      <c r="AE42" s="99"/>
      <c r="AF42" s="99"/>
      <c r="AG42" s="99"/>
      <c r="AH42" s="99"/>
      <c r="AI42" s="99"/>
      <c r="AK42" s="99"/>
      <c r="AL42" s="99"/>
      <c r="AM42" s="99"/>
      <c r="AN42" s="99"/>
      <c r="AO42" s="99"/>
      <c r="AP42" s="99"/>
      <c r="AR42" s="99"/>
      <c r="AS42" s="99"/>
      <c r="AT42" s="99"/>
      <c r="AU42" s="99"/>
      <c r="AV42" s="99"/>
      <c r="AW42" s="99"/>
    </row>
    <row r="43" spans="1:49" ht="13.05" hidden="1" customHeight="1" x14ac:dyDescent="0.25">
      <c r="A43" t="str">
        <f>Nutrients!B42</f>
        <v>Flaxseed Meal</v>
      </c>
      <c r="B43" s="99"/>
      <c r="C43" s="99"/>
      <c r="D43" s="99"/>
      <c r="E43" s="99"/>
      <c r="F43" s="99"/>
      <c r="G43" s="99"/>
      <c r="H43" s="99"/>
      <c r="I43" s="99"/>
      <c r="J43" s="99"/>
      <c r="K43" s="99"/>
      <c r="L43" s="99"/>
      <c r="M43" s="99"/>
      <c r="N43" s="99"/>
      <c r="O43" s="10"/>
      <c r="P43" s="99"/>
      <c r="Q43" s="99"/>
      <c r="R43" s="99"/>
      <c r="S43" s="99"/>
      <c r="T43" s="99"/>
      <c r="U43" s="99"/>
      <c r="W43" s="99"/>
      <c r="X43" s="99"/>
      <c r="Y43" s="99"/>
      <c r="Z43" s="99"/>
      <c r="AA43" s="99"/>
      <c r="AB43" s="99"/>
      <c r="AD43" s="99"/>
      <c r="AE43" s="99"/>
      <c r="AF43" s="99"/>
      <c r="AG43" s="99"/>
      <c r="AH43" s="99"/>
      <c r="AI43" s="99"/>
      <c r="AK43" s="99"/>
      <c r="AL43" s="99"/>
      <c r="AM43" s="99"/>
      <c r="AN43" s="99"/>
      <c r="AO43" s="99"/>
      <c r="AP43" s="99"/>
      <c r="AR43" s="99"/>
      <c r="AS43" s="99"/>
      <c r="AT43" s="99"/>
      <c r="AU43" s="99"/>
      <c r="AV43" s="99"/>
      <c r="AW43" s="99"/>
    </row>
    <row r="44" spans="1:49" ht="13.05" hidden="1" customHeight="1" x14ac:dyDescent="0.25">
      <c r="A44" t="str">
        <f>Nutrients!B43</f>
        <v>Lupins</v>
      </c>
      <c r="B44" s="99"/>
      <c r="C44" s="99"/>
      <c r="D44" s="99"/>
      <c r="E44" s="99"/>
      <c r="F44" s="99"/>
      <c r="G44" s="99"/>
      <c r="H44" s="99"/>
      <c r="I44" s="99"/>
      <c r="J44" s="99"/>
      <c r="K44" s="99"/>
      <c r="L44" s="99"/>
      <c r="M44" s="99"/>
      <c r="N44" s="99"/>
      <c r="O44" s="10"/>
      <c r="P44" s="99"/>
      <c r="Q44" s="99"/>
      <c r="R44" s="99"/>
      <c r="S44" s="99"/>
      <c r="T44" s="99"/>
      <c r="U44" s="99"/>
      <c r="W44" s="99"/>
      <c r="X44" s="99"/>
      <c r="Y44" s="99"/>
      <c r="Z44" s="99"/>
      <c r="AA44" s="99"/>
      <c r="AB44" s="99"/>
      <c r="AD44" s="99"/>
      <c r="AE44" s="99"/>
      <c r="AF44" s="99"/>
      <c r="AG44" s="99"/>
      <c r="AH44" s="99"/>
      <c r="AI44" s="99"/>
      <c r="AK44" s="99"/>
      <c r="AL44" s="99"/>
      <c r="AM44" s="99"/>
      <c r="AN44" s="99"/>
      <c r="AO44" s="99"/>
      <c r="AP44" s="99"/>
      <c r="AR44" s="99"/>
      <c r="AS44" s="99"/>
      <c r="AT44" s="99"/>
      <c r="AU44" s="99"/>
      <c r="AV44" s="99"/>
      <c r="AW44" s="99"/>
    </row>
    <row r="45" spans="1:49" ht="13.05" hidden="1" customHeight="1" x14ac:dyDescent="0.25">
      <c r="A45" t="str">
        <f>Nutrients!B44</f>
        <v>Meat Meal</v>
      </c>
      <c r="B45" s="99"/>
      <c r="C45" s="99"/>
      <c r="D45" s="99"/>
      <c r="E45" s="99"/>
      <c r="F45" s="99"/>
      <c r="G45" s="99"/>
      <c r="H45" s="99"/>
      <c r="I45" s="99"/>
      <c r="J45" s="99"/>
      <c r="K45" s="99"/>
      <c r="L45" s="99"/>
      <c r="M45" s="99"/>
      <c r="N45" s="99"/>
      <c r="O45" s="10"/>
      <c r="P45" s="99"/>
      <c r="Q45" s="99"/>
      <c r="R45" s="99"/>
      <c r="S45" s="99"/>
      <c r="T45" s="99"/>
      <c r="U45" s="99"/>
      <c r="W45" s="99"/>
      <c r="X45" s="99"/>
      <c r="Y45" s="99"/>
      <c r="Z45" s="99"/>
      <c r="AA45" s="99"/>
      <c r="AB45" s="99"/>
      <c r="AD45" s="99"/>
      <c r="AE45" s="99"/>
      <c r="AF45" s="99"/>
      <c r="AG45" s="99"/>
      <c r="AH45" s="99"/>
      <c r="AI45" s="99"/>
      <c r="AK45" s="99"/>
      <c r="AL45" s="99"/>
      <c r="AM45" s="99"/>
      <c r="AN45" s="99"/>
      <c r="AO45" s="99"/>
      <c r="AP45" s="99"/>
      <c r="AR45" s="99"/>
      <c r="AS45" s="99"/>
      <c r="AT45" s="99"/>
      <c r="AU45" s="99"/>
      <c r="AV45" s="99"/>
      <c r="AW45" s="99"/>
    </row>
    <row r="46" spans="1:49" ht="13.05" hidden="1" customHeight="1" x14ac:dyDescent="0.25">
      <c r="A46" t="str">
        <f>Nutrients!B45</f>
        <v>Meat and Bone Meal, P &gt;4%</v>
      </c>
      <c r="B46" s="99"/>
      <c r="C46" s="99"/>
      <c r="D46" s="99"/>
      <c r="E46" s="99"/>
      <c r="F46" s="99"/>
      <c r="G46" s="99"/>
      <c r="H46" s="99"/>
      <c r="I46" s="99"/>
      <c r="J46" s="99"/>
      <c r="K46" s="99"/>
      <c r="L46" s="99"/>
      <c r="M46" s="99"/>
      <c r="N46" s="99"/>
      <c r="O46" s="10"/>
      <c r="P46" s="99"/>
      <c r="Q46" s="99"/>
      <c r="R46" s="99"/>
      <c r="S46" s="99"/>
      <c r="T46" s="99"/>
      <c r="U46" s="99"/>
      <c r="W46" s="99"/>
      <c r="X46" s="99"/>
      <c r="Y46" s="99"/>
      <c r="Z46" s="99"/>
      <c r="AA46" s="99"/>
      <c r="AB46" s="99"/>
      <c r="AD46" s="99"/>
      <c r="AE46" s="99"/>
      <c r="AF46" s="99"/>
      <c r="AG46" s="99"/>
      <c r="AH46" s="99"/>
      <c r="AI46" s="99"/>
      <c r="AK46" s="99"/>
      <c r="AL46" s="99"/>
      <c r="AM46" s="99"/>
      <c r="AN46" s="99"/>
      <c r="AO46" s="99"/>
      <c r="AP46" s="99"/>
      <c r="AR46" s="99"/>
      <c r="AS46" s="99"/>
      <c r="AT46" s="99"/>
      <c r="AU46" s="99"/>
      <c r="AV46" s="99"/>
      <c r="AW46" s="99"/>
    </row>
    <row r="47" spans="1:49" ht="13.05" hidden="1" customHeight="1" x14ac:dyDescent="0.25">
      <c r="A47" t="str">
        <f>Nutrients!B46</f>
        <v>Milk, Casein</v>
      </c>
      <c r="B47" s="99"/>
      <c r="C47" s="99"/>
      <c r="D47" s="99"/>
      <c r="E47" s="99"/>
      <c r="F47" s="99"/>
      <c r="G47" s="99"/>
      <c r="H47" s="99"/>
      <c r="I47" s="99"/>
      <c r="J47" s="99"/>
      <c r="K47" s="99"/>
      <c r="L47" s="99"/>
      <c r="M47" s="99"/>
      <c r="N47" s="99"/>
      <c r="O47" s="10"/>
      <c r="P47" s="99"/>
      <c r="Q47" s="99"/>
      <c r="R47" s="99"/>
      <c r="S47" s="99"/>
      <c r="T47" s="99"/>
      <c r="U47" s="99"/>
      <c r="W47" s="99"/>
      <c r="X47" s="99"/>
      <c r="Y47" s="99"/>
      <c r="Z47" s="99"/>
      <c r="AA47" s="99"/>
      <c r="AB47" s="99"/>
      <c r="AD47" s="99"/>
      <c r="AE47" s="99"/>
      <c r="AF47" s="99"/>
      <c r="AG47" s="99"/>
      <c r="AH47" s="99"/>
      <c r="AI47" s="99"/>
      <c r="AK47" s="99"/>
      <c r="AL47" s="99"/>
      <c r="AM47" s="99"/>
      <c r="AN47" s="99"/>
      <c r="AO47" s="99"/>
      <c r="AP47" s="99"/>
      <c r="AR47" s="99"/>
      <c r="AS47" s="99"/>
      <c r="AT47" s="99"/>
      <c r="AU47" s="99"/>
      <c r="AV47" s="99"/>
      <c r="AW47" s="99"/>
    </row>
    <row r="48" spans="1:49" ht="13.05" hidden="1" customHeight="1" x14ac:dyDescent="0.25">
      <c r="A48" t="str">
        <f>Nutrients!B47</f>
        <v>Milk, Lactose</v>
      </c>
      <c r="B48" s="99"/>
      <c r="C48" s="99"/>
      <c r="D48" s="99"/>
      <c r="E48" s="99"/>
      <c r="F48" s="99"/>
      <c r="G48" s="99"/>
      <c r="H48" s="99"/>
      <c r="I48" s="99"/>
      <c r="J48" s="99"/>
      <c r="K48" s="99"/>
      <c r="L48" s="99"/>
      <c r="M48" s="99"/>
      <c r="N48" s="99"/>
      <c r="O48" s="10"/>
      <c r="P48" s="99"/>
      <c r="Q48" s="99"/>
      <c r="R48" s="99"/>
      <c r="S48" s="99"/>
      <c r="T48" s="99"/>
      <c r="U48" s="99"/>
      <c r="W48" s="99"/>
      <c r="X48" s="99"/>
      <c r="Y48" s="99"/>
      <c r="Z48" s="99"/>
      <c r="AA48" s="99"/>
      <c r="AB48" s="99"/>
      <c r="AD48" s="99"/>
      <c r="AE48" s="99"/>
      <c r="AF48" s="99"/>
      <c r="AG48" s="99"/>
      <c r="AH48" s="99"/>
      <c r="AI48" s="99"/>
      <c r="AK48" s="99"/>
      <c r="AL48" s="99"/>
      <c r="AM48" s="99"/>
      <c r="AN48" s="99"/>
      <c r="AO48" s="99"/>
      <c r="AP48" s="99"/>
      <c r="AR48" s="99"/>
      <c r="AS48" s="99"/>
      <c r="AT48" s="99"/>
      <c r="AU48" s="99"/>
      <c r="AV48" s="99"/>
      <c r="AW48" s="99"/>
    </row>
    <row r="49" spans="1:49" ht="13.05" hidden="1" customHeight="1" x14ac:dyDescent="0.25">
      <c r="A49" t="str">
        <f>Nutrients!B48</f>
        <v>Milk, Skim Milk Powder</v>
      </c>
      <c r="B49" s="99"/>
      <c r="C49" s="99"/>
      <c r="D49" s="99"/>
      <c r="E49" s="99"/>
      <c r="F49" s="99"/>
      <c r="G49" s="99"/>
      <c r="H49" s="99"/>
      <c r="I49" s="99"/>
      <c r="J49" s="99"/>
      <c r="K49" s="99"/>
      <c r="L49" s="99"/>
      <c r="M49" s="99"/>
      <c r="N49" s="99"/>
      <c r="O49" s="10"/>
      <c r="P49" s="99"/>
      <c r="Q49" s="99"/>
      <c r="R49" s="99"/>
      <c r="S49" s="99"/>
      <c r="T49" s="99"/>
      <c r="U49" s="99"/>
      <c r="W49" s="99"/>
      <c r="X49" s="99"/>
      <c r="Y49" s="99"/>
      <c r="Z49" s="99"/>
      <c r="AA49" s="99"/>
      <c r="AB49" s="99"/>
      <c r="AD49" s="99"/>
      <c r="AE49" s="99"/>
      <c r="AF49" s="99"/>
      <c r="AG49" s="99"/>
      <c r="AH49" s="99"/>
      <c r="AI49" s="99"/>
      <c r="AK49" s="99"/>
      <c r="AL49" s="99"/>
      <c r="AM49" s="99"/>
      <c r="AN49" s="99"/>
      <c r="AO49" s="99"/>
      <c r="AP49" s="99"/>
      <c r="AR49" s="99"/>
      <c r="AS49" s="99"/>
      <c r="AT49" s="99"/>
      <c r="AU49" s="99"/>
      <c r="AV49" s="99"/>
      <c r="AW49" s="99"/>
    </row>
    <row r="50" spans="1:49" ht="13.05" hidden="1" customHeight="1" x14ac:dyDescent="0.25">
      <c r="A50" t="str">
        <f>Nutrients!B49</f>
        <v>Milk, Whey Powder</v>
      </c>
      <c r="B50" s="99"/>
      <c r="C50" s="99"/>
      <c r="D50" s="99"/>
      <c r="E50" s="99"/>
      <c r="F50" s="99"/>
      <c r="G50" s="99"/>
      <c r="H50" s="99"/>
      <c r="I50" s="99"/>
      <c r="J50" s="99"/>
      <c r="K50" s="99"/>
      <c r="L50" s="99"/>
      <c r="M50" s="99"/>
      <c r="N50" s="99"/>
      <c r="O50" s="10"/>
      <c r="P50" s="99"/>
      <c r="Q50" s="99"/>
      <c r="R50" s="99"/>
      <c r="S50" s="99"/>
      <c r="T50" s="99"/>
      <c r="U50" s="99"/>
      <c r="W50" s="99"/>
      <c r="X50" s="99"/>
      <c r="Y50" s="99"/>
      <c r="Z50" s="99"/>
      <c r="AA50" s="99"/>
      <c r="AB50" s="99"/>
      <c r="AD50" s="99"/>
      <c r="AE50" s="99"/>
      <c r="AF50" s="99"/>
      <c r="AG50" s="99"/>
      <c r="AH50" s="99"/>
      <c r="AI50" s="99"/>
      <c r="AK50" s="99"/>
      <c r="AL50" s="99"/>
      <c r="AM50" s="99"/>
      <c r="AN50" s="99"/>
      <c r="AO50" s="99"/>
      <c r="AP50" s="99"/>
      <c r="AR50" s="99"/>
      <c r="AS50" s="99"/>
      <c r="AT50" s="99"/>
      <c r="AU50" s="99"/>
      <c r="AV50" s="99"/>
      <c r="AW50" s="99"/>
    </row>
    <row r="51" spans="1:49" ht="13.05" hidden="1" customHeight="1" x14ac:dyDescent="0.25">
      <c r="A51" t="str">
        <f>Nutrients!B50</f>
        <v>Milk, Whey Permeate, 80% lactose</v>
      </c>
      <c r="B51" s="99"/>
      <c r="C51" s="99"/>
      <c r="D51" s="99"/>
      <c r="E51" s="99"/>
      <c r="F51" s="99"/>
      <c r="G51" s="99"/>
      <c r="H51" s="99"/>
      <c r="I51" s="99"/>
      <c r="J51" s="99"/>
      <c r="K51" s="99"/>
      <c r="L51" s="99"/>
      <c r="M51" s="99"/>
      <c r="N51" s="99"/>
      <c r="O51" s="10"/>
      <c r="P51" s="99"/>
      <c r="Q51" s="99"/>
      <c r="R51" s="99"/>
      <c r="S51" s="99"/>
      <c r="T51" s="99"/>
      <c r="U51" s="99"/>
      <c r="W51" s="99"/>
      <c r="X51" s="99"/>
      <c r="Y51" s="99"/>
      <c r="Z51" s="99"/>
      <c r="AA51" s="99"/>
      <c r="AB51" s="99"/>
      <c r="AD51" s="99"/>
      <c r="AE51" s="99"/>
      <c r="AF51" s="99"/>
      <c r="AG51" s="99"/>
      <c r="AH51" s="99"/>
      <c r="AI51" s="99"/>
      <c r="AK51" s="99"/>
      <c r="AL51" s="99"/>
      <c r="AM51" s="99"/>
      <c r="AN51" s="99"/>
      <c r="AO51" s="99"/>
      <c r="AP51" s="99"/>
      <c r="AR51" s="99"/>
      <c r="AS51" s="99"/>
      <c r="AT51" s="99"/>
      <c r="AU51" s="99"/>
      <c r="AV51" s="99"/>
      <c r="AW51" s="99"/>
    </row>
    <row r="52" spans="1:49" ht="12.75" hidden="1" customHeight="1" x14ac:dyDescent="0.25">
      <c r="A52" t="str">
        <f>Nutrients!B51</f>
        <v>Milk, Whey Protein Concentrate</v>
      </c>
      <c r="B52" s="99"/>
      <c r="C52" s="99"/>
      <c r="D52" s="99"/>
      <c r="E52" s="99"/>
      <c r="F52" s="99"/>
      <c r="G52" s="99"/>
      <c r="H52" s="99"/>
      <c r="I52" s="99"/>
      <c r="J52" s="99"/>
      <c r="K52" s="99"/>
      <c r="L52" s="99"/>
      <c r="M52" s="99"/>
      <c r="N52" s="99"/>
      <c r="O52" s="10"/>
      <c r="P52" s="99"/>
      <c r="Q52" s="99"/>
      <c r="R52" s="99"/>
      <c r="S52" s="99"/>
      <c r="T52" s="99"/>
      <c r="U52" s="99"/>
      <c r="W52" s="99"/>
      <c r="X52" s="99"/>
      <c r="Y52" s="99"/>
      <c r="Z52" s="99"/>
      <c r="AA52" s="99"/>
      <c r="AB52" s="99"/>
      <c r="AD52" s="99"/>
      <c r="AE52" s="99"/>
      <c r="AF52" s="99"/>
      <c r="AG52" s="99"/>
      <c r="AH52" s="99"/>
      <c r="AI52" s="99"/>
      <c r="AK52" s="99"/>
      <c r="AL52" s="99"/>
      <c r="AM52" s="99"/>
      <c r="AN52" s="99"/>
      <c r="AO52" s="99"/>
      <c r="AP52" s="99"/>
      <c r="AR52" s="99"/>
      <c r="AS52" s="99"/>
      <c r="AT52" s="99"/>
      <c r="AU52" s="99"/>
      <c r="AV52" s="99"/>
      <c r="AW52" s="99"/>
    </row>
    <row r="53" spans="1:49" ht="12.75" hidden="1" customHeight="1" x14ac:dyDescent="0.25">
      <c r="A53" t="str">
        <f>Nutrients!B52</f>
        <v>Millet</v>
      </c>
      <c r="B53" s="99"/>
      <c r="C53" s="99"/>
      <c r="D53" s="99"/>
      <c r="E53" s="99"/>
      <c r="F53" s="99"/>
      <c r="G53" s="99"/>
      <c r="H53" s="99"/>
      <c r="I53" s="99"/>
      <c r="J53" s="99"/>
      <c r="K53" s="99"/>
      <c r="L53" s="99"/>
      <c r="M53" s="99"/>
      <c r="N53" s="99"/>
      <c r="O53" s="10"/>
      <c r="P53" s="99"/>
      <c r="Q53" s="99"/>
      <c r="R53" s="99"/>
      <c r="S53" s="99"/>
      <c r="T53" s="99"/>
      <c r="U53" s="99"/>
      <c r="W53" s="99"/>
      <c r="X53" s="99"/>
      <c r="Y53" s="99"/>
      <c r="Z53" s="99"/>
      <c r="AA53" s="99"/>
      <c r="AB53" s="99"/>
      <c r="AD53" s="99"/>
      <c r="AE53" s="99"/>
      <c r="AF53" s="99"/>
      <c r="AG53" s="99"/>
      <c r="AH53" s="99"/>
      <c r="AI53" s="99"/>
      <c r="AK53" s="99"/>
      <c r="AL53" s="99"/>
      <c r="AM53" s="99"/>
      <c r="AN53" s="99"/>
      <c r="AO53" s="99"/>
      <c r="AP53" s="99"/>
      <c r="AR53" s="99"/>
      <c r="AS53" s="99"/>
      <c r="AT53" s="99"/>
      <c r="AU53" s="99"/>
      <c r="AV53" s="99"/>
      <c r="AW53" s="99"/>
    </row>
    <row r="54" spans="1:49" ht="12.75" hidden="1" customHeight="1" x14ac:dyDescent="0.25">
      <c r="A54" t="str">
        <f>Nutrients!B53</f>
        <v>Molasses, Sugarbeet</v>
      </c>
      <c r="B54" s="99"/>
      <c r="C54" s="99"/>
      <c r="D54" s="99"/>
      <c r="E54" s="99"/>
      <c r="F54" s="99"/>
      <c r="G54" s="99"/>
      <c r="H54" s="99"/>
      <c r="I54" s="99"/>
      <c r="J54" s="99"/>
      <c r="K54" s="99"/>
      <c r="L54" s="99"/>
      <c r="M54" s="99"/>
      <c r="N54" s="99"/>
      <c r="O54" s="10"/>
      <c r="P54" s="99"/>
      <c r="Q54" s="99"/>
      <c r="R54" s="99"/>
      <c r="S54" s="99"/>
      <c r="T54" s="99"/>
      <c r="U54" s="99"/>
      <c r="W54" s="99"/>
      <c r="X54" s="99"/>
      <c r="Y54" s="99"/>
      <c r="Z54" s="99"/>
      <c r="AA54" s="99"/>
      <c r="AB54" s="99"/>
      <c r="AD54" s="99"/>
      <c r="AE54" s="99"/>
      <c r="AF54" s="99"/>
      <c r="AG54" s="99"/>
      <c r="AH54" s="99"/>
      <c r="AI54" s="99"/>
      <c r="AK54" s="99"/>
      <c r="AL54" s="99"/>
      <c r="AM54" s="99"/>
      <c r="AN54" s="99"/>
      <c r="AO54" s="99"/>
      <c r="AP54" s="99"/>
      <c r="AR54" s="99"/>
      <c r="AS54" s="99"/>
      <c r="AT54" s="99"/>
      <c r="AU54" s="99"/>
      <c r="AV54" s="99"/>
      <c r="AW54" s="99"/>
    </row>
    <row r="55" spans="1:49" ht="12.75" hidden="1" customHeight="1" x14ac:dyDescent="0.25">
      <c r="A55" t="str">
        <f>Nutrients!B54</f>
        <v>Molasses, Sugarcane</v>
      </c>
      <c r="B55" s="99"/>
      <c r="C55" s="99"/>
      <c r="D55" s="99"/>
      <c r="E55" s="99"/>
      <c r="F55" s="99"/>
      <c r="G55" s="99"/>
      <c r="H55" s="99"/>
      <c r="I55" s="99"/>
      <c r="J55" s="99"/>
      <c r="K55" s="99"/>
      <c r="L55" s="99"/>
      <c r="M55" s="99"/>
      <c r="N55" s="99"/>
      <c r="O55" s="10"/>
      <c r="P55" s="99"/>
      <c r="Q55" s="99"/>
      <c r="R55" s="99"/>
      <c r="S55" s="99"/>
      <c r="T55" s="99"/>
      <c r="U55" s="99"/>
      <c r="W55" s="99"/>
      <c r="X55" s="99"/>
      <c r="Y55" s="99"/>
      <c r="Z55" s="99"/>
      <c r="AA55" s="99"/>
      <c r="AB55" s="99"/>
      <c r="AD55" s="99"/>
      <c r="AE55" s="99"/>
      <c r="AF55" s="99"/>
      <c r="AG55" s="99"/>
      <c r="AH55" s="99"/>
      <c r="AI55" s="99"/>
      <c r="AK55" s="99"/>
      <c r="AL55" s="99"/>
      <c r="AM55" s="99"/>
      <c r="AN55" s="99"/>
      <c r="AO55" s="99"/>
      <c r="AP55" s="99"/>
      <c r="AR55" s="99"/>
      <c r="AS55" s="99"/>
      <c r="AT55" s="99"/>
      <c r="AU55" s="99"/>
      <c r="AV55" s="99"/>
      <c r="AW55" s="99"/>
    </row>
    <row r="56" spans="1:49" ht="12.75" hidden="1" customHeight="1" x14ac:dyDescent="0.25">
      <c r="A56" t="str">
        <f>Nutrients!B55</f>
        <v>Oats</v>
      </c>
      <c r="B56" s="99"/>
      <c r="C56" s="99"/>
      <c r="D56" s="99"/>
      <c r="E56" s="99"/>
      <c r="F56" s="99"/>
      <c r="G56" s="99"/>
      <c r="H56" s="99"/>
      <c r="I56" s="99"/>
      <c r="J56" s="99"/>
      <c r="K56" s="99"/>
      <c r="L56" s="99"/>
      <c r="M56" s="99"/>
      <c r="N56" s="99"/>
      <c r="O56" s="10"/>
      <c r="P56" s="99"/>
      <c r="Q56" s="99"/>
      <c r="R56" s="99"/>
      <c r="S56" s="99"/>
      <c r="T56" s="99"/>
      <c r="U56" s="99"/>
      <c r="W56" s="99"/>
      <c r="X56" s="99"/>
      <c r="Y56" s="99"/>
      <c r="Z56" s="99"/>
      <c r="AA56" s="99"/>
      <c r="AB56" s="99"/>
      <c r="AD56" s="99"/>
      <c r="AE56" s="99"/>
      <c r="AF56" s="99"/>
      <c r="AG56" s="99"/>
      <c r="AH56" s="99"/>
      <c r="AI56" s="99"/>
      <c r="AK56" s="99"/>
      <c r="AL56" s="99"/>
      <c r="AM56" s="99"/>
      <c r="AN56" s="99"/>
      <c r="AO56" s="99"/>
      <c r="AP56" s="99"/>
      <c r="AR56" s="99"/>
      <c r="AS56" s="99"/>
      <c r="AT56" s="99"/>
      <c r="AU56" s="99"/>
      <c r="AV56" s="99"/>
      <c r="AW56" s="99"/>
    </row>
    <row r="57" spans="1:49" ht="12.75" hidden="1" customHeight="1" x14ac:dyDescent="0.25">
      <c r="A57" t="str">
        <f>Nutrients!B56</f>
        <v>Oats, Naked</v>
      </c>
      <c r="B57" s="99"/>
      <c r="C57" s="99"/>
      <c r="D57" s="99"/>
      <c r="E57" s="99"/>
      <c r="F57" s="99"/>
      <c r="G57" s="99"/>
      <c r="H57" s="99"/>
      <c r="I57" s="99"/>
      <c r="J57" s="99"/>
      <c r="K57" s="99"/>
      <c r="L57" s="99"/>
      <c r="M57" s="99"/>
      <c r="N57" s="99"/>
      <c r="O57" s="10"/>
      <c r="P57" s="99"/>
      <c r="Q57" s="99"/>
      <c r="R57" s="99"/>
      <c r="S57" s="99"/>
      <c r="T57" s="99"/>
      <c r="U57" s="99"/>
      <c r="W57" s="99"/>
      <c r="X57" s="99"/>
      <c r="Y57" s="99"/>
      <c r="Z57" s="99"/>
      <c r="AA57" s="99"/>
      <c r="AB57" s="99"/>
      <c r="AD57" s="99"/>
      <c r="AE57" s="99"/>
      <c r="AF57" s="99"/>
      <c r="AG57" s="99"/>
      <c r="AH57" s="99"/>
      <c r="AI57" s="99"/>
      <c r="AK57" s="99"/>
      <c r="AL57" s="99"/>
      <c r="AM57" s="99"/>
      <c r="AN57" s="99"/>
      <c r="AO57" s="99"/>
      <c r="AP57" s="99"/>
      <c r="AR57" s="99"/>
      <c r="AS57" s="99"/>
      <c r="AT57" s="99"/>
      <c r="AU57" s="99"/>
      <c r="AV57" s="99"/>
      <c r="AW57" s="99"/>
    </row>
    <row r="58" spans="1:49" ht="12.75" hidden="1" customHeight="1" x14ac:dyDescent="0.25">
      <c r="A58" t="str">
        <f>Nutrients!B57</f>
        <v>Oat Groats</v>
      </c>
      <c r="B58" s="99"/>
      <c r="C58" s="99"/>
      <c r="D58" s="99"/>
      <c r="E58" s="99"/>
      <c r="F58" s="99"/>
      <c r="G58" s="99"/>
      <c r="H58" s="99"/>
      <c r="I58" s="99"/>
      <c r="J58" s="99"/>
      <c r="K58" s="99"/>
      <c r="L58" s="99"/>
      <c r="M58" s="99"/>
      <c r="N58" s="99"/>
      <c r="O58" s="10"/>
      <c r="P58" s="99"/>
      <c r="Q58" s="99"/>
      <c r="R58" s="99"/>
      <c r="S58" s="99"/>
      <c r="T58" s="99"/>
      <c r="U58" s="99"/>
      <c r="W58" s="99"/>
      <c r="X58" s="99"/>
      <c r="Y58" s="99"/>
      <c r="Z58" s="99"/>
      <c r="AA58" s="99"/>
      <c r="AB58" s="99"/>
      <c r="AD58" s="99"/>
      <c r="AE58" s="99"/>
      <c r="AF58" s="99"/>
      <c r="AG58" s="99"/>
      <c r="AH58" s="99"/>
      <c r="AI58" s="99"/>
      <c r="AK58" s="99"/>
      <c r="AL58" s="99"/>
      <c r="AM58" s="99"/>
      <c r="AN58" s="99"/>
      <c r="AO58" s="99"/>
      <c r="AP58" s="99"/>
      <c r="AR58" s="99"/>
      <c r="AS58" s="99"/>
      <c r="AT58" s="99"/>
      <c r="AU58" s="99"/>
      <c r="AV58" s="99"/>
      <c r="AW58" s="99"/>
    </row>
    <row r="59" spans="1:49" ht="12.75" hidden="1" customHeight="1" x14ac:dyDescent="0.25">
      <c r="A59" t="str">
        <f>Nutrients!B58</f>
        <v>Peanut Meal, Expelled</v>
      </c>
      <c r="B59" s="99"/>
      <c r="C59" s="99"/>
      <c r="D59" s="99"/>
      <c r="E59" s="99"/>
      <c r="F59" s="99"/>
      <c r="G59" s="99"/>
      <c r="H59" s="99"/>
      <c r="I59" s="99"/>
      <c r="J59" s="99"/>
      <c r="K59" s="99"/>
      <c r="L59" s="99"/>
      <c r="M59" s="99"/>
      <c r="N59" s="99"/>
      <c r="O59" s="10"/>
      <c r="P59" s="99"/>
      <c r="Q59" s="99"/>
      <c r="R59" s="99"/>
      <c r="S59" s="99"/>
      <c r="T59" s="99"/>
      <c r="U59" s="99"/>
      <c r="W59" s="99"/>
      <c r="X59" s="99"/>
      <c r="Y59" s="99"/>
      <c r="Z59" s="99"/>
      <c r="AA59" s="99"/>
      <c r="AB59" s="99"/>
      <c r="AD59" s="99"/>
      <c r="AE59" s="99"/>
      <c r="AF59" s="99"/>
      <c r="AG59" s="99"/>
      <c r="AH59" s="99"/>
      <c r="AI59" s="99"/>
      <c r="AK59" s="99"/>
      <c r="AL59" s="99"/>
      <c r="AM59" s="99"/>
      <c r="AN59" s="99"/>
      <c r="AO59" s="99"/>
      <c r="AP59" s="99"/>
      <c r="AR59" s="99"/>
      <c r="AS59" s="99"/>
      <c r="AT59" s="99"/>
      <c r="AU59" s="99"/>
      <c r="AV59" s="99"/>
      <c r="AW59" s="99"/>
    </row>
    <row r="60" spans="1:49" ht="12.75" hidden="1" customHeight="1" x14ac:dyDescent="0.25">
      <c r="A60" t="str">
        <f>Nutrients!B59</f>
        <v>Peanut Meal, Extracted</v>
      </c>
      <c r="B60" s="99"/>
      <c r="C60" s="99"/>
      <c r="D60" s="99"/>
      <c r="E60" s="99"/>
      <c r="F60" s="99"/>
      <c r="G60" s="99"/>
      <c r="H60" s="99"/>
      <c r="I60" s="99"/>
      <c r="J60" s="99"/>
      <c r="K60" s="99"/>
      <c r="L60" s="99"/>
      <c r="M60" s="99"/>
      <c r="N60" s="99"/>
      <c r="O60" s="10"/>
      <c r="P60" s="99"/>
      <c r="Q60" s="99"/>
      <c r="R60" s="99"/>
      <c r="S60" s="99"/>
      <c r="T60" s="99"/>
      <c r="U60" s="99"/>
      <c r="W60" s="99"/>
      <c r="X60" s="99"/>
      <c r="Y60" s="99"/>
      <c r="Z60" s="99"/>
      <c r="AA60" s="99"/>
      <c r="AB60" s="99"/>
      <c r="AD60" s="99"/>
      <c r="AE60" s="99"/>
      <c r="AF60" s="99"/>
      <c r="AG60" s="99"/>
      <c r="AH60" s="99"/>
      <c r="AI60" s="99"/>
      <c r="AK60" s="99"/>
      <c r="AL60" s="99"/>
      <c r="AM60" s="99"/>
      <c r="AN60" s="99"/>
      <c r="AO60" s="99"/>
      <c r="AP60" s="99"/>
      <c r="AR60" s="99"/>
      <c r="AS60" s="99"/>
      <c r="AT60" s="99"/>
      <c r="AU60" s="99"/>
      <c r="AV60" s="99"/>
      <c r="AW60" s="99"/>
    </row>
    <row r="61" spans="1:49" ht="12.75" hidden="1" customHeight="1" x14ac:dyDescent="0.25">
      <c r="A61" t="str">
        <f>Nutrients!B60</f>
        <v>Peas, Field Peas</v>
      </c>
      <c r="B61" s="99"/>
      <c r="C61" s="99"/>
      <c r="D61" s="99"/>
      <c r="E61" s="99"/>
      <c r="F61" s="99"/>
      <c r="G61" s="99"/>
      <c r="H61" s="99"/>
      <c r="I61" s="99"/>
      <c r="J61" s="99"/>
      <c r="K61" s="99"/>
      <c r="L61" s="99"/>
      <c r="M61" s="99"/>
      <c r="N61" s="99"/>
      <c r="O61" s="10"/>
      <c r="P61" s="99"/>
      <c r="Q61" s="99"/>
      <c r="R61" s="99"/>
      <c r="S61" s="99"/>
      <c r="T61" s="99"/>
      <c r="U61" s="99"/>
      <c r="W61" s="99"/>
      <c r="X61" s="99"/>
      <c r="Y61" s="99"/>
      <c r="Z61" s="99"/>
      <c r="AA61" s="99"/>
      <c r="AB61" s="99"/>
      <c r="AD61" s="99"/>
      <c r="AE61" s="99"/>
      <c r="AF61" s="99"/>
      <c r="AG61" s="99"/>
      <c r="AH61" s="99"/>
      <c r="AI61" s="99"/>
      <c r="AK61" s="99"/>
      <c r="AL61" s="99"/>
      <c r="AM61" s="99"/>
      <c r="AN61" s="99"/>
      <c r="AO61" s="99"/>
      <c r="AP61" s="99"/>
      <c r="AR61" s="99"/>
      <c r="AS61" s="99"/>
      <c r="AT61" s="99"/>
      <c r="AU61" s="99"/>
      <c r="AV61" s="99"/>
      <c r="AW61" s="99"/>
    </row>
    <row r="62" spans="1:49" ht="12.75" hidden="1" customHeight="1" x14ac:dyDescent="0.25">
      <c r="A62" t="str">
        <f>Nutrients!B61</f>
        <v>Pea Protein Concentrate</v>
      </c>
      <c r="B62" s="99"/>
      <c r="C62" s="99"/>
      <c r="D62" s="99"/>
      <c r="E62" s="99"/>
      <c r="F62" s="99"/>
      <c r="G62" s="99"/>
      <c r="H62" s="99"/>
      <c r="I62" s="99"/>
      <c r="J62" s="99"/>
      <c r="K62" s="99"/>
      <c r="L62" s="99"/>
      <c r="M62" s="99"/>
      <c r="N62" s="99"/>
      <c r="O62" s="10"/>
      <c r="P62" s="99"/>
      <c r="Q62" s="99"/>
      <c r="R62" s="99"/>
      <c r="S62" s="99"/>
      <c r="T62" s="99"/>
      <c r="U62" s="99"/>
      <c r="W62" s="99"/>
      <c r="X62" s="99"/>
      <c r="Y62" s="99"/>
      <c r="Z62" s="99"/>
      <c r="AA62" s="99"/>
      <c r="AB62" s="99"/>
      <c r="AD62" s="99"/>
      <c r="AE62" s="99"/>
      <c r="AF62" s="99"/>
      <c r="AG62" s="99"/>
      <c r="AH62" s="99"/>
      <c r="AI62" s="99"/>
      <c r="AK62" s="99"/>
      <c r="AL62" s="99"/>
      <c r="AM62" s="99"/>
      <c r="AN62" s="99"/>
      <c r="AO62" s="99"/>
      <c r="AP62" s="99"/>
      <c r="AR62" s="99"/>
      <c r="AS62" s="99"/>
      <c r="AT62" s="99"/>
      <c r="AU62" s="99"/>
      <c r="AV62" s="99"/>
      <c r="AW62" s="99"/>
    </row>
    <row r="63" spans="1:49" ht="12.75" hidden="1" customHeight="1" x14ac:dyDescent="0.25">
      <c r="A63" t="str">
        <f>Nutrients!B62</f>
        <v>Potato Protein Concentrate</v>
      </c>
      <c r="B63" s="99"/>
      <c r="C63" s="99"/>
      <c r="D63" s="99"/>
      <c r="E63" s="99"/>
      <c r="F63" s="99"/>
      <c r="G63" s="99"/>
      <c r="H63" s="99"/>
      <c r="I63" s="99"/>
      <c r="J63" s="99"/>
      <c r="K63" s="99"/>
      <c r="L63" s="99"/>
      <c r="M63" s="99"/>
      <c r="N63" s="99"/>
      <c r="O63" s="10"/>
      <c r="P63" s="99"/>
      <c r="Q63" s="99"/>
      <c r="R63" s="99"/>
      <c r="S63" s="99"/>
      <c r="T63" s="99"/>
      <c r="U63" s="99"/>
      <c r="W63" s="99"/>
      <c r="X63" s="99"/>
      <c r="Y63" s="99"/>
      <c r="Z63" s="99"/>
      <c r="AA63" s="99"/>
      <c r="AB63" s="99"/>
      <c r="AD63" s="99"/>
      <c r="AE63" s="99"/>
      <c r="AF63" s="99"/>
      <c r="AG63" s="99"/>
      <c r="AH63" s="99"/>
      <c r="AI63" s="99"/>
      <c r="AK63" s="99"/>
      <c r="AL63" s="99"/>
      <c r="AM63" s="99"/>
      <c r="AN63" s="99"/>
      <c r="AO63" s="99"/>
      <c r="AP63" s="99"/>
      <c r="AR63" s="99"/>
      <c r="AS63" s="99"/>
      <c r="AT63" s="99"/>
      <c r="AU63" s="99"/>
      <c r="AV63" s="99"/>
      <c r="AW63" s="99"/>
    </row>
    <row r="64" spans="1:49" ht="12.75" hidden="1" customHeight="1" x14ac:dyDescent="0.25">
      <c r="A64" t="str">
        <f>Nutrients!B63</f>
        <v>Poultry Byproduct</v>
      </c>
      <c r="B64" s="99"/>
      <c r="C64" s="99"/>
      <c r="D64" s="99"/>
      <c r="E64" s="99"/>
      <c r="F64" s="99"/>
      <c r="G64" s="99"/>
      <c r="H64" s="99"/>
      <c r="I64" s="99"/>
      <c r="J64" s="99"/>
      <c r="K64" s="99"/>
      <c r="L64" s="99"/>
      <c r="M64" s="99"/>
      <c r="N64" s="99"/>
      <c r="O64" s="10"/>
      <c r="P64" s="99"/>
      <c r="Q64" s="99"/>
      <c r="R64" s="99"/>
      <c r="S64" s="99"/>
      <c r="T64" s="99"/>
      <c r="U64" s="99"/>
      <c r="W64" s="99"/>
      <c r="X64" s="99"/>
      <c r="Y64" s="99"/>
      <c r="Z64" s="99"/>
      <c r="AA64" s="99"/>
      <c r="AB64" s="99"/>
      <c r="AD64" s="99"/>
      <c r="AE64" s="99"/>
      <c r="AF64" s="99"/>
      <c r="AG64" s="99"/>
      <c r="AH64" s="99"/>
      <c r="AI64" s="99"/>
      <c r="AK64" s="99"/>
      <c r="AL64" s="99"/>
      <c r="AM64" s="99"/>
      <c r="AN64" s="99"/>
      <c r="AO64" s="99"/>
      <c r="AP64" s="99"/>
      <c r="AR64" s="99"/>
      <c r="AS64" s="99"/>
      <c r="AT64" s="99"/>
      <c r="AU64" s="99"/>
      <c r="AV64" s="99"/>
      <c r="AW64" s="99"/>
    </row>
    <row r="65" spans="1:49" ht="12.75" hidden="1" customHeight="1" x14ac:dyDescent="0.25">
      <c r="A65" t="str">
        <f>Nutrients!B64</f>
        <v>Rice</v>
      </c>
      <c r="B65" s="99"/>
      <c r="C65" s="99"/>
      <c r="D65" s="99"/>
      <c r="E65" s="99"/>
      <c r="F65" s="99"/>
      <c r="G65" s="99"/>
      <c r="H65" s="99"/>
      <c r="I65" s="99"/>
      <c r="J65" s="99"/>
      <c r="K65" s="99"/>
      <c r="L65" s="99"/>
      <c r="M65" s="99"/>
      <c r="N65" s="99"/>
      <c r="O65" s="10"/>
      <c r="P65" s="99"/>
      <c r="Q65" s="99"/>
      <c r="R65" s="99"/>
      <c r="S65" s="99"/>
      <c r="T65" s="99"/>
      <c r="U65" s="99"/>
      <c r="W65" s="99"/>
      <c r="X65" s="99"/>
      <c r="Y65" s="99"/>
      <c r="Z65" s="99"/>
      <c r="AA65" s="99"/>
      <c r="AB65" s="99"/>
      <c r="AD65" s="99"/>
      <c r="AE65" s="99"/>
      <c r="AF65" s="99"/>
      <c r="AG65" s="99"/>
      <c r="AH65" s="99"/>
      <c r="AI65" s="99"/>
      <c r="AK65" s="99"/>
      <c r="AL65" s="99"/>
      <c r="AM65" s="99"/>
      <c r="AN65" s="99"/>
      <c r="AO65" s="99"/>
      <c r="AP65" s="99"/>
      <c r="AR65" s="99"/>
      <c r="AS65" s="99"/>
      <c r="AT65" s="99"/>
      <c r="AU65" s="99"/>
      <c r="AV65" s="99"/>
      <c r="AW65" s="99"/>
    </row>
    <row r="66" spans="1:49" ht="12.75" hidden="1" customHeight="1" x14ac:dyDescent="0.25">
      <c r="A66" t="str">
        <f>Nutrients!B65</f>
        <v>Rice Bran</v>
      </c>
      <c r="B66" s="99"/>
      <c r="C66" s="99"/>
      <c r="D66" s="99"/>
      <c r="E66" s="99"/>
      <c r="F66" s="99"/>
      <c r="G66" s="99"/>
      <c r="H66" s="99"/>
      <c r="I66" s="99"/>
      <c r="J66" s="99"/>
      <c r="K66" s="99"/>
      <c r="L66" s="99"/>
      <c r="M66" s="99"/>
      <c r="N66" s="99"/>
      <c r="O66" s="10"/>
      <c r="P66" s="99"/>
      <c r="Q66" s="99"/>
      <c r="R66" s="99"/>
      <c r="S66" s="99"/>
      <c r="T66" s="99"/>
      <c r="U66" s="99"/>
      <c r="W66" s="99"/>
      <c r="X66" s="99"/>
      <c r="Y66" s="99"/>
      <c r="Z66" s="99"/>
      <c r="AA66" s="99"/>
      <c r="AB66" s="99"/>
      <c r="AD66" s="99"/>
      <c r="AE66" s="99"/>
      <c r="AF66" s="99"/>
      <c r="AG66" s="99"/>
      <c r="AH66" s="99"/>
      <c r="AI66" s="99"/>
      <c r="AK66" s="99"/>
      <c r="AL66" s="99"/>
      <c r="AM66" s="99"/>
      <c r="AN66" s="99"/>
      <c r="AO66" s="99"/>
      <c r="AP66" s="99"/>
      <c r="AR66" s="99"/>
      <c r="AS66" s="99"/>
      <c r="AT66" s="99"/>
      <c r="AU66" s="99"/>
      <c r="AV66" s="99"/>
      <c r="AW66" s="99"/>
    </row>
    <row r="67" spans="1:49" ht="12.75" hidden="1" customHeight="1" x14ac:dyDescent="0.25">
      <c r="A67" t="str">
        <f>Nutrients!B66</f>
        <v>Rice Bran, Defatted</v>
      </c>
      <c r="B67" s="99"/>
      <c r="C67" s="99"/>
      <c r="D67" s="99"/>
      <c r="E67" s="99"/>
      <c r="F67" s="99"/>
      <c r="G67" s="99"/>
      <c r="H67" s="99"/>
      <c r="I67" s="99"/>
      <c r="J67" s="99"/>
      <c r="K67" s="99"/>
      <c r="L67" s="99"/>
      <c r="M67" s="99"/>
      <c r="N67" s="99"/>
      <c r="O67" s="10"/>
      <c r="P67" s="99"/>
      <c r="Q67" s="99"/>
      <c r="R67" s="99"/>
      <c r="S67" s="99"/>
      <c r="T67" s="99"/>
      <c r="U67" s="99"/>
      <c r="W67" s="99"/>
      <c r="X67" s="99"/>
      <c r="Y67" s="99"/>
      <c r="Z67" s="99"/>
      <c r="AA67" s="99"/>
      <c r="AB67" s="99"/>
      <c r="AD67" s="99"/>
      <c r="AE67" s="99"/>
      <c r="AF67" s="99"/>
      <c r="AG67" s="99"/>
      <c r="AH67" s="99"/>
      <c r="AI67" s="99"/>
      <c r="AK67" s="99"/>
      <c r="AL67" s="99"/>
      <c r="AM67" s="99"/>
      <c r="AN67" s="99"/>
      <c r="AO67" s="99"/>
      <c r="AP67" s="99"/>
      <c r="AR67" s="99"/>
      <c r="AS67" s="99"/>
      <c r="AT67" s="99"/>
      <c r="AU67" s="99"/>
      <c r="AV67" s="99"/>
      <c r="AW67" s="99"/>
    </row>
    <row r="68" spans="1:49" ht="12.75" hidden="1" customHeight="1" x14ac:dyDescent="0.25">
      <c r="A68" t="str">
        <f>Nutrients!B67</f>
        <v>Rice, Broken</v>
      </c>
      <c r="B68" s="99"/>
      <c r="C68" s="99"/>
      <c r="D68" s="99"/>
      <c r="E68" s="99"/>
      <c r="F68" s="99"/>
      <c r="G68" s="99"/>
      <c r="H68" s="99"/>
      <c r="I68" s="99"/>
      <c r="J68" s="99"/>
      <c r="K68" s="99"/>
      <c r="L68" s="99"/>
      <c r="M68" s="99"/>
      <c r="N68" s="99"/>
      <c r="O68" s="10"/>
      <c r="P68" s="99"/>
      <c r="Q68" s="99"/>
      <c r="R68" s="99"/>
      <c r="S68" s="99"/>
      <c r="T68" s="99"/>
      <c r="U68" s="99"/>
      <c r="W68" s="99"/>
      <c r="X68" s="99"/>
      <c r="Y68" s="99"/>
      <c r="Z68" s="99"/>
      <c r="AA68" s="99"/>
      <c r="AB68" s="99"/>
      <c r="AD68" s="99"/>
      <c r="AE68" s="99"/>
      <c r="AF68" s="99"/>
      <c r="AG68" s="99"/>
      <c r="AH68" s="99"/>
      <c r="AI68" s="99"/>
      <c r="AK68" s="99"/>
      <c r="AL68" s="99"/>
      <c r="AM68" s="99"/>
      <c r="AN68" s="99"/>
      <c r="AO68" s="99"/>
      <c r="AP68" s="99"/>
      <c r="AR68" s="99"/>
      <c r="AS68" s="99"/>
      <c r="AT68" s="99"/>
      <c r="AU68" s="99"/>
      <c r="AV68" s="99"/>
      <c r="AW68" s="99"/>
    </row>
    <row r="69" spans="1:49" ht="12.75" hidden="1" customHeight="1" x14ac:dyDescent="0.25">
      <c r="A69" t="str">
        <f>Nutrients!B68</f>
        <v>Rye</v>
      </c>
      <c r="B69" s="99"/>
      <c r="C69" s="99"/>
      <c r="D69" s="99"/>
      <c r="E69" s="99"/>
      <c r="F69" s="99"/>
      <c r="G69" s="99"/>
      <c r="H69" s="99"/>
      <c r="I69" s="99"/>
      <c r="J69" s="99"/>
      <c r="K69" s="99"/>
      <c r="L69" s="99"/>
      <c r="M69" s="99"/>
      <c r="N69" s="99"/>
      <c r="O69" s="10"/>
      <c r="P69" s="99"/>
      <c r="Q69" s="99"/>
      <c r="R69" s="99"/>
      <c r="S69" s="99"/>
      <c r="T69" s="99"/>
      <c r="U69" s="99"/>
      <c r="W69" s="99"/>
      <c r="X69" s="99"/>
      <c r="Y69" s="99"/>
      <c r="Z69" s="99"/>
      <c r="AA69" s="99"/>
      <c r="AB69" s="99"/>
      <c r="AD69" s="99"/>
      <c r="AE69" s="99"/>
      <c r="AF69" s="99"/>
      <c r="AG69" s="99"/>
      <c r="AH69" s="99"/>
      <c r="AI69" s="99"/>
      <c r="AK69" s="99"/>
      <c r="AL69" s="99"/>
      <c r="AM69" s="99"/>
      <c r="AN69" s="99"/>
      <c r="AO69" s="99"/>
      <c r="AP69" s="99"/>
      <c r="AR69" s="99"/>
      <c r="AS69" s="99"/>
      <c r="AT69" s="99"/>
      <c r="AU69" s="99"/>
      <c r="AV69" s="99"/>
      <c r="AW69" s="99"/>
    </row>
    <row r="70" spans="1:49" ht="12.75" hidden="1" customHeight="1" x14ac:dyDescent="0.25">
      <c r="A70" t="str">
        <f>Nutrients!B69</f>
        <v>Sesame Meal</v>
      </c>
      <c r="B70" s="99"/>
      <c r="C70" s="99"/>
      <c r="D70" s="99"/>
      <c r="E70" s="99"/>
      <c r="F70" s="99"/>
      <c r="G70" s="99"/>
      <c r="H70" s="99"/>
      <c r="I70" s="99"/>
      <c r="J70" s="99"/>
      <c r="K70" s="99"/>
      <c r="L70" s="99"/>
      <c r="M70" s="99"/>
      <c r="N70" s="99"/>
      <c r="O70" s="10"/>
      <c r="P70" s="99"/>
      <c r="Q70" s="99"/>
      <c r="R70" s="99"/>
      <c r="S70" s="99"/>
      <c r="T70" s="99"/>
      <c r="U70" s="99"/>
      <c r="W70" s="99"/>
      <c r="X70" s="99"/>
      <c r="Y70" s="99"/>
      <c r="Z70" s="99"/>
      <c r="AA70" s="99"/>
      <c r="AB70" s="99"/>
      <c r="AD70" s="99"/>
      <c r="AE70" s="99"/>
      <c r="AF70" s="99"/>
      <c r="AG70" s="99"/>
      <c r="AH70" s="99"/>
      <c r="AI70" s="99"/>
      <c r="AK70" s="99"/>
      <c r="AL70" s="99"/>
      <c r="AM70" s="99"/>
      <c r="AN70" s="99"/>
      <c r="AO70" s="99"/>
      <c r="AP70" s="99"/>
      <c r="AR70" s="99"/>
      <c r="AS70" s="99"/>
      <c r="AT70" s="99"/>
      <c r="AU70" s="99"/>
      <c r="AV70" s="99"/>
      <c r="AW70" s="99"/>
    </row>
    <row r="71" spans="1:49" ht="12.75" hidden="1" customHeight="1" x14ac:dyDescent="0.25">
      <c r="A71" t="str">
        <f>Nutrients!B70</f>
        <v>Sorghum</v>
      </c>
      <c r="B71" s="99"/>
      <c r="C71" s="99"/>
      <c r="D71" s="99"/>
      <c r="E71" s="99"/>
      <c r="F71" s="99"/>
      <c r="G71" s="99"/>
      <c r="H71" s="99"/>
      <c r="I71" s="99"/>
      <c r="J71" s="99"/>
      <c r="K71" s="99"/>
      <c r="L71" s="99"/>
      <c r="M71" s="99"/>
      <c r="N71" s="99"/>
      <c r="O71" s="10"/>
      <c r="P71" s="99"/>
      <c r="Q71" s="99"/>
      <c r="R71" s="99"/>
      <c r="S71" s="99"/>
      <c r="T71" s="99"/>
      <c r="U71" s="99"/>
      <c r="W71" s="99"/>
      <c r="X71" s="99"/>
      <c r="Y71" s="99"/>
      <c r="Z71" s="99"/>
      <c r="AA71" s="99"/>
      <c r="AB71" s="99"/>
      <c r="AD71" s="99"/>
      <c r="AE71" s="99"/>
      <c r="AF71" s="99"/>
      <c r="AG71" s="99"/>
      <c r="AH71" s="99"/>
      <c r="AI71" s="99"/>
      <c r="AK71" s="99"/>
      <c r="AL71" s="99"/>
      <c r="AM71" s="99"/>
      <c r="AN71" s="99"/>
      <c r="AO71" s="99"/>
      <c r="AP71" s="99"/>
      <c r="AR71" s="99"/>
      <c r="AS71" s="99"/>
      <c r="AT71" s="99"/>
      <c r="AU71" s="99"/>
      <c r="AV71" s="99"/>
      <c r="AW71" s="99"/>
    </row>
    <row r="72" spans="1:49" ht="12.75" hidden="1" customHeight="1" x14ac:dyDescent="0.25">
      <c r="A72" t="str">
        <f>Nutrients!B71</f>
        <v>Soybeans, Full Fat</v>
      </c>
      <c r="B72" s="99"/>
      <c r="C72" s="99"/>
      <c r="D72" s="99"/>
      <c r="E72" s="99"/>
      <c r="F72" s="99"/>
      <c r="G72" s="99"/>
      <c r="H72" s="99"/>
      <c r="I72" s="99"/>
      <c r="J72" s="99"/>
      <c r="K72" s="99"/>
      <c r="L72" s="99"/>
      <c r="M72" s="99"/>
      <c r="N72" s="99"/>
      <c r="O72" s="10"/>
      <c r="P72" s="99"/>
      <c r="Q72" s="99"/>
      <c r="R72" s="99"/>
      <c r="S72" s="99"/>
      <c r="T72" s="99"/>
      <c r="U72" s="99"/>
      <c r="W72" s="99"/>
      <c r="X72" s="99"/>
      <c r="Y72" s="99"/>
      <c r="Z72" s="99"/>
      <c r="AA72" s="99"/>
      <c r="AB72" s="99"/>
      <c r="AD72" s="99"/>
      <c r="AE72" s="99"/>
      <c r="AF72" s="99"/>
      <c r="AG72" s="99"/>
      <c r="AH72" s="99"/>
      <c r="AI72" s="99"/>
      <c r="AK72" s="99"/>
      <c r="AL72" s="99"/>
      <c r="AM72" s="99"/>
      <c r="AN72" s="99"/>
      <c r="AO72" s="99"/>
      <c r="AP72" s="99"/>
      <c r="AR72" s="99"/>
      <c r="AS72" s="99"/>
      <c r="AT72" s="99"/>
      <c r="AU72" s="99"/>
      <c r="AV72" s="99"/>
      <c r="AW72" s="99"/>
    </row>
    <row r="73" spans="1:49" ht="12.75" hidden="1" customHeight="1" x14ac:dyDescent="0.25">
      <c r="A73" t="str">
        <f>Nutrients!B72</f>
        <v>Soybeans, High Protein, Full Fat</v>
      </c>
      <c r="B73" s="99"/>
      <c r="C73" s="99"/>
      <c r="D73" s="99"/>
      <c r="E73" s="99"/>
      <c r="F73" s="99"/>
      <c r="G73" s="99"/>
      <c r="H73" s="99"/>
      <c r="I73" s="99"/>
      <c r="J73" s="99"/>
      <c r="K73" s="99"/>
      <c r="L73" s="99"/>
      <c r="M73" s="99"/>
      <c r="N73" s="99"/>
      <c r="O73" s="10"/>
      <c r="P73" s="99"/>
      <c r="Q73" s="99"/>
      <c r="R73" s="99"/>
      <c r="S73" s="99"/>
      <c r="T73" s="99"/>
      <c r="U73" s="99"/>
      <c r="W73" s="99"/>
      <c r="X73" s="99"/>
      <c r="Y73" s="99"/>
      <c r="Z73" s="99"/>
      <c r="AA73" s="99"/>
      <c r="AB73" s="99"/>
      <c r="AD73" s="99"/>
      <c r="AE73" s="99"/>
      <c r="AF73" s="99"/>
      <c r="AG73" s="99"/>
      <c r="AH73" s="99"/>
      <c r="AI73" s="99"/>
      <c r="AK73" s="99"/>
      <c r="AL73" s="99"/>
      <c r="AM73" s="99"/>
      <c r="AN73" s="99"/>
      <c r="AO73" s="99"/>
      <c r="AP73" s="99"/>
      <c r="AR73" s="99"/>
      <c r="AS73" s="99"/>
      <c r="AT73" s="99"/>
      <c r="AU73" s="99"/>
      <c r="AV73" s="99"/>
      <c r="AW73" s="99"/>
    </row>
    <row r="74" spans="1:49" ht="12.75" hidden="1" customHeight="1" x14ac:dyDescent="0.25">
      <c r="A74" t="str">
        <f>Nutrients!B73</f>
        <v>Soybeans, Low Oligosaccharide, Full Fat</v>
      </c>
      <c r="B74" s="99"/>
      <c r="C74" s="99"/>
      <c r="D74" s="99"/>
      <c r="E74" s="99"/>
      <c r="F74" s="99"/>
      <c r="G74" s="99"/>
      <c r="H74" s="99"/>
      <c r="I74" s="99"/>
      <c r="J74" s="99"/>
      <c r="K74" s="99"/>
      <c r="L74" s="99"/>
      <c r="M74" s="99"/>
      <c r="N74" s="99"/>
      <c r="O74" s="10"/>
      <c r="P74" s="99"/>
      <c r="Q74" s="99"/>
      <c r="R74" s="99"/>
      <c r="S74" s="99"/>
      <c r="T74" s="99"/>
      <c r="U74" s="99"/>
      <c r="W74" s="99"/>
      <c r="X74" s="99"/>
      <c r="Y74" s="99"/>
      <c r="Z74" s="99"/>
      <c r="AA74" s="99"/>
      <c r="AB74" s="99"/>
      <c r="AD74" s="99"/>
      <c r="AE74" s="99"/>
      <c r="AF74" s="99"/>
      <c r="AG74" s="99"/>
      <c r="AH74" s="99"/>
      <c r="AI74" s="99"/>
      <c r="AK74" s="99"/>
      <c r="AL74" s="99"/>
      <c r="AM74" s="99"/>
      <c r="AN74" s="99"/>
      <c r="AO74" s="99"/>
      <c r="AP74" s="99"/>
      <c r="AR74" s="99"/>
      <c r="AS74" s="99"/>
      <c r="AT74" s="99"/>
      <c r="AU74" s="99"/>
      <c r="AV74" s="99"/>
      <c r="AW74" s="99"/>
    </row>
    <row r="75" spans="1:49" ht="12.75" hidden="1" customHeight="1" x14ac:dyDescent="0.25">
      <c r="A75" t="str">
        <f>Nutrients!B74</f>
        <v>Soybean Meal, High Protein, Expelled</v>
      </c>
      <c r="B75" s="99"/>
      <c r="C75" s="99"/>
      <c r="D75" s="99"/>
      <c r="E75" s="99"/>
      <c r="F75" s="99"/>
      <c r="G75" s="99"/>
      <c r="H75" s="99"/>
      <c r="I75" s="99"/>
      <c r="J75" s="99"/>
      <c r="K75" s="99"/>
      <c r="L75" s="99"/>
      <c r="M75" s="99"/>
      <c r="N75" s="99"/>
      <c r="O75" s="10"/>
      <c r="P75" s="99"/>
      <c r="Q75" s="99"/>
      <c r="R75" s="99"/>
      <c r="S75" s="99"/>
      <c r="T75" s="99"/>
      <c r="U75" s="99"/>
      <c r="W75" s="99"/>
      <c r="X75" s="99"/>
      <c r="Y75" s="99"/>
      <c r="Z75" s="99"/>
      <c r="AA75" s="99"/>
      <c r="AB75" s="99"/>
      <c r="AD75" s="99"/>
      <c r="AE75" s="99"/>
      <c r="AF75" s="99"/>
      <c r="AG75" s="99"/>
      <c r="AH75" s="99"/>
      <c r="AI75" s="99"/>
      <c r="AK75" s="99"/>
      <c r="AL75" s="99"/>
      <c r="AM75" s="99"/>
      <c r="AN75" s="99"/>
      <c r="AO75" s="99"/>
      <c r="AP75" s="99"/>
      <c r="AR75" s="99"/>
      <c r="AS75" s="99"/>
      <c r="AT75" s="99"/>
      <c r="AU75" s="99"/>
      <c r="AV75" s="99"/>
      <c r="AW75" s="99"/>
    </row>
    <row r="76" spans="1:49" ht="12.75" hidden="1" customHeight="1" x14ac:dyDescent="0.25">
      <c r="A76" t="str">
        <f>Nutrients!B75</f>
        <v>Soybean Meal, Low Oligosacch, Expell</v>
      </c>
      <c r="B76" s="99"/>
      <c r="C76" s="99"/>
      <c r="D76" s="99"/>
      <c r="E76" s="99"/>
      <c r="F76" s="99"/>
      <c r="G76" s="99"/>
      <c r="H76" s="99"/>
      <c r="I76" s="99"/>
      <c r="J76" s="99"/>
      <c r="K76" s="99"/>
      <c r="L76" s="99"/>
      <c r="M76" s="99"/>
      <c r="N76" s="99"/>
      <c r="O76" s="10"/>
      <c r="P76" s="99"/>
      <c r="Q76" s="99"/>
      <c r="R76" s="99"/>
      <c r="S76" s="99"/>
      <c r="T76" s="99"/>
      <c r="U76" s="99"/>
      <c r="W76" s="99"/>
      <c r="X76" s="99"/>
      <c r="Y76" s="99"/>
      <c r="Z76" s="99"/>
      <c r="AA76" s="99"/>
      <c r="AB76" s="99"/>
      <c r="AD76" s="99"/>
      <c r="AE76" s="99"/>
      <c r="AF76" s="99"/>
      <c r="AG76" s="99"/>
      <c r="AH76" s="99"/>
      <c r="AI76" s="99"/>
      <c r="AK76" s="99"/>
      <c r="AL76" s="99"/>
      <c r="AM76" s="99"/>
      <c r="AN76" s="99"/>
      <c r="AO76" s="99"/>
      <c r="AP76" s="99"/>
      <c r="AR76" s="99"/>
      <c r="AS76" s="99"/>
      <c r="AT76" s="99"/>
      <c r="AU76" s="99"/>
      <c r="AV76" s="99"/>
      <c r="AW76" s="99"/>
    </row>
    <row r="77" spans="1:49" ht="12.75" hidden="1" customHeight="1" x14ac:dyDescent="0.25">
      <c r="A77" t="str">
        <f>Nutrients!B76</f>
        <v>Soybean Meal, Expelled</v>
      </c>
      <c r="B77" s="99"/>
      <c r="C77" s="99"/>
      <c r="D77" s="99"/>
      <c r="E77" s="99"/>
      <c r="F77" s="99"/>
      <c r="G77" s="99"/>
      <c r="H77" s="99"/>
      <c r="I77" s="99"/>
      <c r="J77" s="99"/>
      <c r="K77" s="99"/>
      <c r="L77" s="99"/>
      <c r="M77" s="99"/>
      <c r="N77" s="99"/>
      <c r="O77" s="10"/>
      <c r="P77" s="99"/>
      <c r="Q77" s="99"/>
      <c r="R77" s="99"/>
      <c r="S77" s="99"/>
      <c r="T77" s="99"/>
      <c r="U77" s="99"/>
      <c r="W77" s="99"/>
      <c r="X77" s="99"/>
      <c r="Y77" s="99"/>
      <c r="Z77" s="99"/>
      <c r="AA77" s="99"/>
      <c r="AB77" s="99"/>
      <c r="AD77" s="99"/>
      <c r="AE77" s="99"/>
      <c r="AF77" s="99"/>
      <c r="AG77" s="99"/>
      <c r="AH77" s="99"/>
      <c r="AI77" s="99"/>
      <c r="AK77" s="99"/>
      <c r="AL77" s="99"/>
      <c r="AM77" s="99"/>
      <c r="AN77" s="99"/>
      <c r="AO77" s="99"/>
      <c r="AP77" s="99"/>
      <c r="AR77" s="99"/>
      <c r="AS77" s="99"/>
      <c r="AT77" s="99"/>
      <c r="AU77" s="99"/>
      <c r="AV77" s="99"/>
      <c r="AW77" s="99"/>
    </row>
    <row r="78" spans="1:49" ht="12.75" hidden="1" customHeight="1" x14ac:dyDescent="0.25">
      <c r="A78" t="str">
        <f>Nutrients!B77</f>
        <v>Soybean Meal, Dehulled, Expelled</v>
      </c>
      <c r="B78" s="99"/>
      <c r="C78" s="99"/>
      <c r="D78" s="99"/>
      <c r="E78" s="99"/>
      <c r="F78" s="99"/>
      <c r="G78" s="99"/>
      <c r="H78" s="99"/>
      <c r="I78" s="99"/>
      <c r="J78" s="99"/>
      <c r="K78" s="99"/>
      <c r="L78" s="99"/>
      <c r="M78" s="99"/>
      <c r="N78" s="99"/>
      <c r="O78" s="10"/>
      <c r="P78" s="99"/>
      <c r="Q78" s="99"/>
      <c r="R78" s="99"/>
      <c r="S78" s="99"/>
      <c r="T78" s="99"/>
      <c r="U78" s="99"/>
      <c r="W78" s="99"/>
      <c r="X78" s="99"/>
      <c r="Y78" s="99"/>
      <c r="Z78" s="99"/>
      <c r="AA78" s="99"/>
      <c r="AB78" s="99"/>
      <c r="AD78" s="99"/>
      <c r="AE78" s="99"/>
      <c r="AF78" s="99"/>
      <c r="AG78" s="99"/>
      <c r="AH78" s="99"/>
      <c r="AI78" s="99"/>
      <c r="AK78" s="99"/>
      <c r="AL78" s="99"/>
      <c r="AM78" s="99"/>
      <c r="AN78" s="99"/>
      <c r="AO78" s="99"/>
      <c r="AP78" s="99"/>
      <c r="AR78" s="99"/>
      <c r="AS78" s="99"/>
      <c r="AT78" s="99"/>
      <c r="AU78" s="99"/>
      <c r="AV78" s="99"/>
      <c r="AW78" s="99"/>
    </row>
    <row r="79" spans="1:49" ht="12.75" hidden="1" customHeight="1" x14ac:dyDescent="0.25">
      <c r="A79" t="str">
        <f>Nutrients!B78</f>
        <v>Soybean Meal, Solvent Extracted</v>
      </c>
      <c r="B79" s="99"/>
      <c r="C79" s="99"/>
      <c r="D79" s="99"/>
      <c r="E79" s="99"/>
      <c r="F79" s="99"/>
      <c r="G79" s="99"/>
      <c r="H79" s="99"/>
      <c r="I79" s="99"/>
      <c r="J79" s="99"/>
      <c r="K79" s="99"/>
      <c r="L79" s="99"/>
      <c r="M79" s="99"/>
      <c r="N79" s="99"/>
      <c r="O79" s="10"/>
      <c r="P79" s="99"/>
      <c r="Q79" s="99"/>
      <c r="R79" s="99"/>
      <c r="S79" s="99"/>
      <c r="T79" s="99"/>
      <c r="U79" s="99"/>
      <c r="W79" s="99"/>
      <c r="X79" s="99"/>
      <c r="Y79" s="99"/>
      <c r="Z79" s="99"/>
      <c r="AA79" s="99"/>
      <c r="AB79" s="99"/>
      <c r="AD79" s="99"/>
      <c r="AE79" s="99"/>
      <c r="AF79" s="99"/>
      <c r="AG79" s="99"/>
      <c r="AH79" s="99"/>
      <c r="AI79" s="99"/>
      <c r="AK79" s="99"/>
      <c r="AL79" s="99"/>
      <c r="AM79" s="99"/>
      <c r="AN79" s="99"/>
      <c r="AO79" s="99"/>
      <c r="AP79" s="99"/>
      <c r="AR79" s="99"/>
      <c r="AS79" s="99"/>
      <c r="AT79" s="99"/>
      <c r="AU79" s="99"/>
      <c r="AV79" s="99"/>
      <c r="AW79" s="99"/>
    </row>
    <row r="80" spans="1:49" ht="12.75" hidden="1" customHeight="1" x14ac:dyDescent="0.25">
      <c r="A80" t="str">
        <f>Nutrients!B79</f>
        <v>Soybean Meal, Dehull, Sol Extr</v>
      </c>
      <c r="B80" s="99"/>
      <c r="C80" s="99"/>
      <c r="D80" s="99"/>
      <c r="E80" s="99"/>
      <c r="F80" s="99"/>
      <c r="G80" s="99"/>
      <c r="H80" s="99"/>
      <c r="I80" s="99"/>
      <c r="J80" s="99"/>
      <c r="K80" s="99"/>
      <c r="L80" s="99"/>
      <c r="M80" s="99"/>
      <c r="N80" s="99"/>
      <c r="O80" s="10"/>
      <c r="P80" s="99"/>
      <c r="Q80" s="99"/>
      <c r="R80" s="99"/>
      <c r="S80" s="99"/>
      <c r="T80" s="99"/>
      <c r="U80" s="99"/>
      <c r="W80" s="99"/>
      <c r="X80" s="99"/>
      <c r="Y80" s="99"/>
      <c r="Z80" s="99"/>
      <c r="AA80" s="99"/>
      <c r="AB80" s="99"/>
      <c r="AD80" s="99"/>
      <c r="AE80" s="99"/>
      <c r="AF80" s="99"/>
      <c r="AG80" s="99"/>
      <c r="AH80" s="99"/>
      <c r="AI80" s="99"/>
      <c r="AK80" s="99"/>
      <c r="AL80" s="99"/>
      <c r="AM80" s="99"/>
      <c r="AN80" s="99"/>
      <c r="AO80" s="99"/>
      <c r="AP80" s="99"/>
      <c r="AR80" s="99"/>
      <c r="AS80" s="99"/>
      <c r="AT80" s="99"/>
      <c r="AU80" s="99"/>
      <c r="AV80" s="99"/>
      <c r="AW80" s="99"/>
    </row>
    <row r="81" spans="1:49" ht="12.75" hidden="1" customHeight="1" x14ac:dyDescent="0.25">
      <c r="A81" t="str">
        <f>Nutrients!B80</f>
        <v>Soybean Meal, High Prot, Dehull, Solv Extr</v>
      </c>
      <c r="B81" s="99"/>
      <c r="C81" s="99"/>
      <c r="D81" s="99"/>
      <c r="E81" s="99"/>
      <c r="F81" s="99"/>
      <c r="G81" s="99"/>
      <c r="H81" s="99"/>
      <c r="I81" s="99"/>
      <c r="J81" s="99"/>
      <c r="K81" s="99"/>
      <c r="L81" s="99"/>
      <c r="M81" s="99"/>
      <c r="N81" s="99"/>
      <c r="O81" s="10"/>
      <c r="P81" s="99"/>
      <c r="Q81" s="99"/>
      <c r="R81" s="99"/>
      <c r="S81" s="99"/>
      <c r="T81" s="99"/>
      <c r="U81" s="99"/>
      <c r="W81" s="99"/>
      <c r="X81" s="99"/>
      <c r="Y81" s="99"/>
      <c r="Z81" s="99"/>
      <c r="AA81" s="99"/>
      <c r="AB81" s="99"/>
      <c r="AD81" s="99"/>
      <c r="AE81" s="99"/>
      <c r="AF81" s="99"/>
      <c r="AG81" s="99"/>
      <c r="AH81" s="99"/>
      <c r="AI81" s="99"/>
      <c r="AK81" s="99"/>
      <c r="AL81" s="99"/>
      <c r="AM81" s="99"/>
      <c r="AN81" s="99"/>
      <c r="AO81" s="99"/>
      <c r="AP81" s="99"/>
      <c r="AR81" s="99"/>
      <c r="AS81" s="99"/>
      <c r="AT81" s="99"/>
      <c r="AU81" s="99"/>
      <c r="AV81" s="99"/>
      <c r="AW81" s="99"/>
    </row>
    <row r="82" spans="1:49" ht="12.75" hidden="1" customHeight="1" x14ac:dyDescent="0.25">
      <c r="A82" t="str">
        <f>Nutrients!B81</f>
        <v>Soybean Meal, Enzyme Treated</v>
      </c>
      <c r="B82" s="99"/>
      <c r="C82" s="99"/>
      <c r="D82" s="99"/>
      <c r="E82" s="99"/>
      <c r="F82" s="99"/>
      <c r="G82" s="99"/>
      <c r="H82" s="99"/>
      <c r="I82" s="99"/>
      <c r="J82" s="99"/>
      <c r="K82" s="99"/>
      <c r="L82" s="99"/>
      <c r="M82" s="99"/>
      <c r="N82" s="99"/>
      <c r="O82" s="10"/>
      <c r="P82" s="99"/>
      <c r="Q82" s="99"/>
      <c r="R82" s="99"/>
      <c r="S82" s="99"/>
      <c r="T82" s="99"/>
      <c r="U82" s="99"/>
      <c r="W82" s="99"/>
      <c r="X82" s="99"/>
      <c r="Y82" s="99"/>
      <c r="Z82" s="99"/>
      <c r="AA82" s="99"/>
      <c r="AB82" s="99"/>
      <c r="AD82" s="99"/>
      <c r="AE82" s="99"/>
      <c r="AF82" s="99"/>
      <c r="AG82" s="99"/>
      <c r="AH82" s="99"/>
      <c r="AI82" s="99"/>
      <c r="AK82" s="99"/>
      <c r="AL82" s="99"/>
      <c r="AM82" s="99"/>
      <c r="AN82" s="99"/>
      <c r="AO82" s="99"/>
      <c r="AP82" s="99"/>
      <c r="AR82" s="99"/>
      <c r="AS82" s="99"/>
      <c r="AT82" s="99"/>
      <c r="AU82" s="99"/>
      <c r="AV82" s="99"/>
      <c r="AW82" s="99"/>
    </row>
    <row r="83" spans="1:49" ht="12.75" hidden="1" customHeight="1" x14ac:dyDescent="0.25">
      <c r="A83" t="str">
        <f>Nutrients!B82</f>
        <v>Soybean Meal, Fermented</v>
      </c>
      <c r="B83" s="99"/>
      <c r="C83" s="99"/>
      <c r="D83" s="99"/>
      <c r="E83" s="99"/>
      <c r="F83" s="99"/>
      <c r="G83" s="99"/>
      <c r="H83" s="99"/>
      <c r="I83" s="99"/>
      <c r="J83" s="99"/>
      <c r="K83" s="99"/>
      <c r="L83" s="99"/>
      <c r="M83" s="99"/>
      <c r="N83" s="99"/>
      <c r="O83" s="10"/>
      <c r="P83" s="99"/>
      <c r="Q83" s="99"/>
      <c r="R83" s="99"/>
      <c r="S83" s="99"/>
      <c r="T83" s="99"/>
      <c r="U83" s="99"/>
      <c r="W83" s="99"/>
      <c r="X83" s="99"/>
      <c r="Y83" s="99"/>
      <c r="Z83" s="99"/>
      <c r="AA83" s="99"/>
      <c r="AB83" s="99"/>
      <c r="AD83" s="99"/>
      <c r="AE83" s="99"/>
      <c r="AF83" s="99"/>
      <c r="AG83" s="99"/>
      <c r="AH83" s="99"/>
      <c r="AI83" s="99"/>
      <c r="AK83" s="99"/>
      <c r="AL83" s="99"/>
      <c r="AM83" s="99"/>
      <c r="AN83" s="99"/>
      <c r="AO83" s="99"/>
      <c r="AP83" s="99"/>
      <c r="AR83" s="99"/>
      <c r="AS83" s="99"/>
      <c r="AT83" s="99"/>
      <c r="AU83" s="99"/>
      <c r="AV83" s="99"/>
      <c r="AW83" s="99"/>
    </row>
    <row r="84" spans="1:49" ht="12.75" hidden="1" customHeight="1" x14ac:dyDescent="0.25">
      <c r="A84" t="str">
        <f>Nutrients!B83</f>
        <v>Soybean Hulls</v>
      </c>
      <c r="B84" s="99"/>
      <c r="C84" s="99"/>
      <c r="D84" s="99"/>
      <c r="E84" s="99"/>
      <c r="F84" s="99"/>
      <c r="G84" s="99"/>
      <c r="H84" s="99"/>
      <c r="I84" s="99"/>
      <c r="J84" s="99"/>
      <c r="K84" s="99"/>
      <c r="L84" s="99"/>
      <c r="M84" s="99"/>
      <c r="N84" s="99"/>
      <c r="O84" s="10"/>
      <c r="P84" s="99"/>
      <c r="Q84" s="99"/>
      <c r="R84" s="99"/>
      <c r="S84" s="99"/>
      <c r="T84" s="99"/>
      <c r="U84" s="99"/>
      <c r="W84" s="99"/>
      <c r="X84" s="99"/>
      <c r="Y84" s="99"/>
      <c r="Z84" s="99"/>
      <c r="AA84" s="99"/>
      <c r="AB84" s="99"/>
      <c r="AD84" s="99"/>
      <c r="AE84" s="99"/>
      <c r="AF84" s="99"/>
      <c r="AG84" s="99"/>
      <c r="AH84" s="99"/>
      <c r="AI84" s="99"/>
      <c r="AK84" s="99"/>
      <c r="AL84" s="99"/>
      <c r="AM84" s="99"/>
      <c r="AN84" s="99"/>
      <c r="AO84" s="99"/>
      <c r="AP84" s="99"/>
      <c r="AR84" s="99"/>
      <c r="AS84" s="99"/>
      <c r="AT84" s="99"/>
      <c r="AU84" s="99"/>
      <c r="AV84" s="99"/>
      <c r="AW84" s="99"/>
    </row>
    <row r="85" spans="1:49" ht="12.75" hidden="1" customHeight="1" x14ac:dyDescent="0.25">
      <c r="A85" t="str">
        <f>Nutrients!B84</f>
        <v>Soy Protein Concentrate</v>
      </c>
      <c r="B85" s="99"/>
      <c r="C85" s="99"/>
      <c r="D85" s="99"/>
      <c r="E85" s="99"/>
      <c r="F85" s="99"/>
      <c r="G85" s="99"/>
      <c r="H85" s="99"/>
      <c r="I85" s="99"/>
      <c r="J85" s="99"/>
      <c r="K85" s="99"/>
      <c r="L85" s="99"/>
      <c r="M85" s="99"/>
      <c r="N85" s="99"/>
      <c r="O85" s="10"/>
      <c r="P85" s="99"/>
      <c r="Q85" s="99"/>
      <c r="R85" s="99"/>
      <c r="S85" s="99"/>
      <c r="T85" s="99"/>
      <c r="U85" s="99"/>
      <c r="W85" s="99"/>
      <c r="X85" s="99"/>
      <c r="Y85" s="99"/>
      <c r="Z85" s="99"/>
      <c r="AA85" s="99"/>
      <c r="AB85" s="99"/>
      <c r="AD85" s="99"/>
      <c r="AE85" s="99"/>
      <c r="AF85" s="99"/>
      <c r="AG85" s="99"/>
      <c r="AH85" s="99"/>
      <c r="AI85" s="99"/>
      <c r="AK85" s="99"/>
      <c r="AL85" s="99"/>
      <c r="AM85" s="99"/>
      <c r="AN85" s="99"/>
      <c r="AO85" s="99"/>
      <c r="AP85" s="99"/>
      <c r="AR85" s="99"/>
      <c r="AS85" s="99"/>
      <c r="AT85" s="99"/>
      <c r="AU85" s="99"/>
      <c r="AV85" s="99"/>
      <c r="AW85" s="99"/>
    </row>
    <row r="86" spans="1:49" ht="12.75" hidden="1" customHeight="1" x14ac:dyDescent="0.25">
      <c r="A86" t="str">
        <f>Nutrients!B85</f>
        <v>Soy Protein Isolate</v>
      </c>
      <c r="B86" s="99"/>
      <c r="C86" s="99"/>
      <c r="D86" s="99"/>
      <c r="E86" s="99"/>
      <c r="F86" s="99"/>
      <c r="G86" s="99"/>
      <c r="H86" s="99"/>
      <c r="I86" s="99"/>
      <c r="J86" s="99"/>
      <c r="K86" s="99"/>
      <c r="L86" s="99"/>
      <c r="M86" s="99"/>
      <c r="N86" s="99"/>
      <c r="O86" s="10"/>
      <c r="P86" s="99"/>
      <c r="Q86" s="99"/>
      <c r="R86" s="99"/>
      <c r="S86" s="99"/>
      <c r="T86" s="99"/>
      <c r="U86" s="99"/>
      <c r="W86" s="99"/>
      <c r="X86" s="99"/>
      <c r="Y86" s="99"/>
      <c r="Z86" s="99"/>
      <c r="AA86" s="99"/>
      <c r="AB86" s="99"/>
      <c r="AD86" s="99"/>
      <c r="AE86" s="99"/>
      <c r="AF86" s="99"/>
      <c r="AG86" s="99"/>
      <c r="AH86" s="99"/>
      <c r="AI86" s="99"/>
      <c r="AK86" s="99"/>
      <c r="AL86" s="99"/>
      <c r="AM86" s="99"/>
      <c r="AN86" s="99"/>
      <c r="AO86" s="99"/>
      <c r="AP86" s="99"/>
      <c r="AR86" s="99"/>
      <c r="AS86" s="99"/>
      <c r="AT86" s="99"/>
      <c r="AU86" s="99"/>
      <c r="AV86" s="99"/>
      <c r="AW86" s="99"/>
    </row>
    <row r="87" spans="1:49" ht="12.75" hidden="1" customHeight="1" x14ac:dyDescent="0.25">
      <c r="A87" t="str">
        <f>Nutrients!B86</f>
        <v>Sugar Beet Pulp</v>
      </c>
      <c r="B87" s="99"/>
      <c r="C87" s="99"/>
      <c r="D87" s="99"/>
      <c r="E87" s="99"/>
      <c r="F87" s="99"/>
      <c r="G87" s="99"/>
      <c r="H87" s="99"/>
      <c r="I87" s="99"/>
      <c r="J87" s="99"/>
      <c r="K87" s="99"/>
      <c r="L87" s="99"/>
      <c r="M87" s="99"/>
      <c r="N87" s="99"/>
      <c r="O87" s="10"/>
      <c r="P87" s="99"/>
      <c r="Q87" s="99"/>
      <c r="R87" s="99"/>
      <c r="S87" s="99"/>
      <c r="T87" s="99"/>
      <c r="U87" s="99"/>
      <c r="W87" s="99"/>
      <c r="X87" s="99"/>
      <c r="Y87" s="99"/>
      <c r="Z87" s="99"/>
      <c r="AA87" s="99"/>
      <c r="AB87" s="99"/>
      <c r="AD87" s="99"/>
      <c r="AE87" s="99"/>
      <c r="AF87" s="99"/>
      <c r="AG87" s="99"/>
      <c r="AH87" s="99"/>
      <c r="AI87" s="99"/>
      <c r="AK87" s="99"/>
      <c r="AL87" s="99"/>
      <c r="AM87" s="99"/>
      <c r="AN87" s="99"/>
      <c r="AO87" s="99"/>
      <c r="AP87" s="99"/>
      <c r="AR87" s="99"/>
      <c r="AS87" s="99"/>
      <c r="AT87" s="99"/>
      <c r="AU87" s="99"/>
      <c r="AV87" s="99"/>
      <c r="AW87" s="99"/>
    </row>
    <row r="88" spans="1:49" ht="12.75" hidden="1" customHeight="1" x14ac:dyDescent="0.25">
      <c r="A88" t="str">
        <f>Nutrients!B87</f>
        <v>Sunflower, Full Fat</v>
      </c>
      <c r="B88" s="99"/>
      <c r="C88" s="99"/>
      <c r="D88" s="99"/>
      <c r="E88" s="99"/>
      <c r="F88" s="99"/>
      <c r="G88" s="99"/>
      <c r="H88" s="99"/>
      <c r="I88" s="99"/>
      <c r="J88" s="99"/>
      <c r="K88" s="99"/>
      <c r="L88" s="99"/>
      <c r="M88" s="99"/>
      <c r="N88" s="99"/>
      <c r="O88" s="10"/>
      <c r="P88" s="99"/>
      <c r="Q88" s="99"/>
      <c r="R88" s="99"/>
      <c r="S88" s="99"/>
      <c r="T88" s="99"/>
      <c r="U88" s="99"/>
      <c r="W88" s="99"/>
      <c r="X88" s="99"/>
      <c r="Y88" s="99"/>
      <c r="Z88" s="99"/>
      <c r="AA88" s="99"/>
      <c r="AB88" s="99"/>
      <c r="AD88" s="99"/>
      <c r="AE88" s="99"/>
      <c r="AF88" s="99"/>
      <c r="AG88" s="99"/>
      <c r="AH88" s="99"/>
      <c r="AI88" s="99"/>
      <c r="AK88" s="99"/>
      <c r="AL88" s="99"/>
      <c r="AM88" s="99"/>
      <c r="AN88" s="99"/>
      <c r="AO88" s="99"/>
      <c r="AP88" s="99"/>
      <c r="AR88" s="99"/>
      <c r="AS88" s="99"/>
      <c r="AT88" s="99"/>
      <c r="AU88" s="99"/>
      <c r="AV88" s="99"/>
      <c r="AW88" s="99"/>
    </row>
    <row r="89" spans="1:49" ht="12.75" hidden="1" customHeight="1" x14ac:dyDescent="0.25">
      <c r="A89" t="str">
        <f>Nutrients!B88</f>
        <v>Sunflower Meal, Solvent Extracted</v>
      </c>
      <c r="B89" s="99"/>
      <c r="C89" s="99"/>
      <c r="D89" s="99"/>
      <c r="E89" s="99"/>
      <c r="F89" s="99"/>
      <c r="G89" s="99"/>
      <c r="H89" s="99"/>
      <c r="I89" s="99"/>
      <c r="J89" s="99"/>
      <c r="K89" s="99"/>
      <c r="L89" s="99"/>
      <c r="M89" s="99"/>
      <c r="N89" s="99"/>
      <c r="O89" s="10"/>
      <c r="P89" s="99"/>
      <c r="Q89" s="99"/>
      <c r="R89" s="99"/>
      <c r="S89" s="99"/>
      <c r="T89" s="99"/>
      <c r="U89" s="99"/>
      <c r="W89" s="99"/>
      <c r="X89" s="99"/>
      <c r="Y89" s="99"/>
      <c r="Z89" s="99"/>
      <c r="AA89" s="99"/>
      <c r="AB89" s="99"/>
      <c r="AD89" s="99"/>
      <c r="AE89" s="99"/>
      <c r="AF89" s="99"/>
      <c r="AG89" s="99"/>
      <c r="AH89" s="99"/>
      <c r="AI89" s="99"/>
      <c r="AK89" s="99"/>
      <c r="AL89" s="99"/>
      <c r="AM89" s="99"/>
      <c r="AN89" s="99"/>
      <c r="AO89" s="99"/>
      <c r="AP89" s="99"/>
      <c r="AR89" s="99"/>
      <c r="AS89" s="99"/>
      <c r="AT89" s="99"/>
      <c r="AU89" s="99"/>
      <c r="AV89" s="99"/>
      <c r="AW89" s="99"/>
    </row>
    <row r="90" spans="1:49" ht="12.75" hidden="1" customHeight="1" x14ac:dyDescent="0.25">
      <c r="A90" t="str">
        <f>Nutrients!B89</f>
        <v>Sunflower Meal, Dehulled, Solvent Extr</v>
      </c>
      <c r="B90" s="99"/>
      <c r="C90" s="99"/>
      <c r="D90" s="99"/>
      <c r="E90" s="99"/>
      <c r="F90" s="99"/>
      <c r="G90" s="99"/>
      <c r="H90" s="99"/>
      <c r="I90" s="99"/>
      <c r="J90" s="99"/>
      <c r="K90" s="99"/>
      <c r="L90" s="99"/>
      <c r="M90" s="99"/>
      <c r="N90" s="99"/>
      <c r="O90" s="10"/>
      <c r="P90" s="99"/>
      <c r="Q90" s="99"/>
      <c r="R90" s="99"/>
      <c r="S90" s="99"/>
      <c r="T90" s="99"/>
      <c r="U90" s="99"/>
      <c r="W90" s="99"/>
      <c r="X90" s="99"/>
      <c r="Y90" s="99"/>
      <c r="Z90" s="99"/>
      <c r="AA90" s="99"/>
      <c r="AB90" s="99"/>
      <c r="AD90" s="99"/>
      <c r="AE90" s="99"/>
      <c r="AF90" s="99"/>
      <c r="AG90" s="99"/>
      <c r="AH90" s="99"/>
      <c r="AI90" s="99"/>
      <c r="AK90" s="99"/>
      <c r="AL90" s="99"/>
      <c r="AM90" s="99"/>
      <c r="AN90" s="99"/>
      <c r="AO90" s="99"/>
      <c r="AP90" s="99"/>
      <c r="AR90" s="99"/>
      <c r="AS90" s="99"/>
      <c r="AT90" s="99"/>
      <c r="AU90" s="99"/>
      <c r="AV90" s="99"/>
      <c r="AW90" s="99"/>
    </row>
    <row r="91" spans="1:49" ht="12.75" hidden="1" customHeight="1" x14ac:dyDescent="0.25">
      <c r="A91" t="str">
        <f>Nutrients!B90</f>
        <v>Triticale</v>
      </c>
      <c r="B91" s="99"/>
      <c r="C91" s="99"/>
      <c r="D91" s="99"/>
      <c r="E91" s="99"/>
      <c r="F91" s="99"/>
      <c r="G91" s="99"/>
      <c r="H91" s="99"/>
      <c r="I91" s="99"/>
      <c r="J91" s="99"/>
      <c r="K91" s="99"/>
      <c r="L91" s="99"/>
      <c r="M91" s="99"/>
      <c r="N91" s="99"/>
      <c r="O91" s="10"/>
      <c r="P91" s="99"/>
      <c r="Q91" s="99"/>
      <c r="R91" s="99"/>
      <c r="S91" s="99"/>
      <c r="T91" s="99"/>
      <c r="U91" s="99"/>
      <c r="W91" s="99"/>
      <c r="X91" s="99"/>
      <c r="Y91" s="99"/>
      <c r="Z91" s="99"/>
      <c r="AA91" s="99"/>
      <c r="AB91" s="99"/>
      <c r="AD91" s="99"/>
      <c r="AE91" s="99"/>
      <c r="AF91" s="99"/>
      <c r="AG91" s="99"/>
      <c r="AH91" s="99"/>
      <c r="AI91" s="99"/>
      <c r="AK91" s="99"/>
      <c r="AL91" s="99"/>
      <c r="AM91" s="99"/>
      <c r="AN91" s="99"/>
      <c r="AO91" s="99"/>
      <c r="AP91" s="99"/>
      <c r="AR91" s="99"/>
      <c r="AS91" s="99"/>
      <c r="AT91" s="99"/>
      <c r="AU91" s="99"/>
      <c r="AV91" s="99"/>
      <c r="AW91" s="99"/>
    </row>
    <row r="92" spans="1:49" ht="12.75" hidden="1" customHeight="1" x14ac:dyDescent="0.25">
      <c r="A92" t="str">
        <f>Nutrients!B91</f>
        <v>Wheat, Hard Red</v>
      </c>
      <c r="B92" s="99"/>
      <c r="C92" s="99"/>
      <c r="D92" s="99"/>
      <c r="E92" s="99"/>
      <c r="F92" s="99"/>
      <c r="G92" s="99"/>
      <c r="H92" s="99"/>
      <c r="I92" s="99"/>
      <c r="J92" s="99"/>
      <c r="K92" s="99"/>
      <c r="L92" s="99"/>
      <c r="M92" s="99"/>
      <c r="N92" s="99"/>
      <c r="O92" s="10"/>
      <c r="P92" s="99"/>
      <c r="Q92" s="99"/>
      <c r="R92" s="99"/>
      <c r="S92" s="99"/>
      <c r="T92" s="99"/>
      <c r="U92" s="99"/>
      <c r="W92" s="99"/>
      <c r="X92" s="99"/>
      <c r="Y92" s="99"/>
      <c r="Z92" s="99"/>
      <c r="AA92" s="99"/>
      <c r="AB92" s="99"/>
      <c r="AD92" s="99"/>
      <c r="AE92" s="99"/>
      <c r="AF92" s="99"/>
      <c r="AG92" s="99"/>
      <c r="AH92" s="99"/>
      <c r="AI92" s="99"/>
      <c r="AK92" s="99"/>
      <c r="AL92" s="99"/>
      <c r="AM92" s="99"/>
      <c r="AN92" s="99"/>
      <c r="AO92" s="99"/>
      <c r="AP92" s="99"/>
      <c r="AR92" s="99"/>
      <c r="AS92" s="99"/>
      <c r="AT92" s="99"/>
      <c r="AU92" s="99"/>
      <c r="AV92" s="99"/>
      <c r="AW92" s="99"/>
    </row>
    <row r="93" spans="1:49" ht="12.75" hidden="1" customHeight="1" x14ac:dyDescent="0.25">
      <c r="A93" t="str">
        <f>Nutrients!B92</f>
        <v>Wheat, Soft Red</v>
      </c>
      <c r="B93" s="99"/>
      <c r="C93" s="99"/>
      <c r="D93" s="99"/>
      <c r="E93" s="99"/>
      <c r="F93" s="99"/>
      <c r="G93" s="99"/>
      <c r="H93" s="99"/>
      <c r="I93" s="99"/>
      <c r="J93" s="99"/>
      <c r="K93" s="99"/>
      <c r="L93" s="99"/>
      <c r="M93" s="99"/>
      <c r="N93" s="99"/>
      <c r="O93" s="10"/>
      <c r="P93" s="99"/>
      <c r="Q93" s="99"/>
      <c r="R93" s="99"/>
      <c r="S93" s="99"/>
      <c r="T93" s="99"/>
      <c r="U93" s="99"/>
      <c r="W93" s="99"/>
      <c r="X93" s="99"/>
      <c r="Y93" s="99"/>
      <c r="Z93" s="99"/>
      <c r="AA93" s="99"/>
      <c r="AB93" s="99"/>
      <c r="AD93" s="99"/>
      <c r="AE93" s="99"/>
      <c r="AF93" s="99"/>
      <c r="AG93" s="99"/>
      <c r="AH93" s="99"/>
      <c r="AI93" s="99"/>
      <c r="AK93" s="99"/>
      <c r="AL93" s="99"/>
      <c r="AM93" s="99"/>
      <c r="AN93" s="99"/>
      <c r="AO93" s="99"/>
      <c r="AP93" s="99"/>
      <c r="AR93" s="99"/>
      <c r="AS93" s="99"/>
      <c r="AT93" s="99"/>
      <c r="AU93" s="99"/>
      <c r="AV93" s="99"/>
      <c r="AW93" s="99"/>
    </row>
    <row r="94" spans="1:49" ht="12.75" hidden="1" customHeight="1" x14ac:dyDescent="0.25">
      <c r="A94" t="str">
        <f>Nutrients!B93</f>
        <v>Wheat Bran</v>
      </c>
      <c r="B94" s="99"/>
      <c r="C94" s="99"/>
      <c r="D94" s="99"/>
      <c r="E94" s="99"/>
      <c r="F94" s="99"/>
      <c r="G94" s="99"/>
      <c r="H94" s="99"/>
      <c r="I94" s="99"/>
      <c r="J94" s="99"/>
      <c r="K94" s="99"/>
      <c r="L94" s="99"/>
      <c r="M94" s="99"/>
      <c r="N94" s="99"/>
      <c r="O94" s="10"/>
      <c r="P94" s="99"/>
      <c r="Q94" s="99"/>
      <c r="R94" s="99"/>
      <c r="S94" s="99"/>
      <c r="T94" s="99"/>
      <c r="U94" s="99"/>
      <c r="W94" s="99"/>
      <c r="X94" s="99"/>
      <c r="Y94" s="99"/>
      <c r="Z94" s="99"/>
      <c r="AA94" s="99"/>
      <c r="AB94" s="99"/>
      <c r="AD94" s="99"/>
      <c r="AE94" s="99"/>
      <c r="AF94" s="99"/>
      <c r="AG94" s="99"/>
      <c r="AH94" s="99"/>
      <c r="AI94" s="99"/>
      <c r="AK94" s="99"/>
      <c r="AL94" s="99"/>
      <c r="AM94" s="99"/>
      <c r="AN94" s="99"/>
      <c r="AO94" s="99"/>
      <c r="AP94" s="99"/>
      <c r="AR94" s="99"/>
      <c r="AS94" s="99"/>
      <c r="AT94" s="99"/>
      <c r="AU94" s="99"/>
      <c r="AV94" s="99"/>
      <c r="AW94" s="99"/>
    </row>
    <row r="95" spans="1:49" ht="12.75" hidden="1" customHeight="1" x14ac:dyDescent="0.25">
      <c r="A95" t="str">
        <f>Nutrients!B94</f>
        <v>Wheat Middlings</v>
      </c>
      <c r="B95" s="99"/>
      <c r="C95" s="99"/>
      <c r="D95" s="99"/>
      <c r="E95" s="99"/>
      <c r="F95" s="99"/>
      <c r="G95" s="99"/>
      <c r="H95" s="99"/>
      <c r="I95" s="99"/>
      <c r="J95" s="99"/>
      <c r="K95" s="99"/>
      <c r="L95" s="99"/>
      <c r="M95" s="99"/>
      <c r="N95" s="99"/>
      <c r="O95" s="10"/>
      <c r="P95" s="99"/>
      <c r="Q95" s="99"/>
      <c r="R95" s="99"/>
      <c r="S95" s="99"/>
      <c r="T95" s="99"/>
      <c r="U95" s="99"/>
      <c r="W95" s="99"/>
      <c r="X95" s="99"/>
      <c r="Y95" s="99"/>
      <c r="Z95" s="99"/>
      <c r="AA95" s="99"/>
      <c r="AB95" s="99"/>
      <c r="AD95" s="99"/>
      <c r="AE95" s="99"/>
      <c r="AF95" s="99"/>
      <c r="AG95" s="99"/>
      <c r="AH95" s="99"/>
      <c r="AI95" s="99"/>
      <c r="AK95" s="99"/>
      <c r="AL95" s="99"/>
      <c r="AM95" s="99"/>
      <c r="AN95" s="99"/>
      <c r="AO95" s="99"/>
      <c r="AP95" s="99"/>
      <c r="AR95" s="99"/>
      <c r="AS95" s="99"/>
      <c r="AT95" s="99"/>
      <c r="AU95" s="99"/>
      <c r="AV95" s="99"/>
      <c r="AW95" s="99"/>
    </row>
    <row r="96" spans="1:49" ht="12.75" hidden="1" customHeight="1" x14ac:dyDescent="0.25">
      <c r="A96" t="str">
        <f>Nutrients!B95</f>
        <v>Wheat Shorts</v>
      </c>
      <c r="B96" s="99"/>
      <c r="C96" s="99"/>
      <c r="D96" s="99"/>
      <c r="E96" s="99"/>
      <c r="F96" s="99"/>
      <c r="G96" s="99"/>
      <c r="H96" s="99"/>
      <c r="I96" s="99"/>
      <c r="J96" s="99"/>
      <c r="K96" s="99"/>
      <c r="L96" s="99"/>
      <c r="M96" s="99"/>
      <c r="N96" s="99"/>
      <c r="O96" s="10"/>
      <c r="P96" s="99"/>
      <c r="Q96" s="99"/>
      <c r="R96" s="99"/>
      <c r="S96" s="99"/>
      <c r="T96" s="99"/>
      <c r="U96" s="99"/>
      <c r="W96" s="99"/>
      <c r="X96" s="99"/>
      <c r="Y96" s="99"/>
      <c r="Z96" s="99"/>
      <c r="AA96" s="99"/>
      <c r="AB96" s="99"/>
      <c r="AD96" s="99"/>
      <c r="AE96" s="99"/>
      <c r="AF96" s="99"/>
      <c r="AG96" s="99"/>
      <c r="AH96" s="99"/>
      <c r="AI96" s="99"/>
      <c r="AK96" s="99"/>
      <c r="AL96" s="99"/>
      <c r="AM96" s="99"/>
      <c r="AN96" s="99"/>
      <c r="AO96" s="99"/>
      <c r="AP96" s="99"/>
      <c r="AR96" s="99"/>
      <c r="AS96" s="99"/>
      <c r="AT96" s="99"/>
      <c r="AU96" s="99"/>
      <c r="AV96" s="99"/>
      <c r="AW96" s="99"/>
    </row>
    <row r="97" spans="1:50" ht="12.75" hidden="1" customHeight="1" x14ac:dyDescent="0.25">
      <c r="A97" t="str">
        <f>Nutrients!B96</f>
        <v>Wheat DDGS</v>
      </c>
      <c r="B97" s="99"/>
      <c r="C97" s="99"/>
      <c r="D97" s="99"/>
      <c r="E97" s="99"/>
      <c r="F97" s="99"/>
      <c r="G97" s="99"/>
      <c r="H97" s="99"/>
      <c r="I97" s="99"/>
      <c r="J97" s="99"/>
      <c r="K97" s="99"/>
      <c r="L97" s="99"/>
      <c r="M97" s="99"/>
      <c r="N97" s="99"/>
      <c r="O97" s="10"/>
      <c r="P97" s="99"/>
      <c r="Q97" s="99"/>
      <c r="R97" s="99"/>
      <c r="S97" s="99"/>
      <c r="T97" s="99"/>
      <c r="U97" s="99"/>
      <c r="W97" s="99"/>
      <c r="X97" s="99"/>
      <c r="Y97" s="99"/>
      <c r="Z97" s="99"/>
      <c r="AA97" s="99"/>
      <c r="AB97" s="99"/>
      <c r="AD97" s="99"/>
      <c r="AE97" s="99"/>
      <c r="AF97" s="99"/>
      <c r="AG97" s="99"/>
      <c r="AH97" s="99"/>
      <c r="AI97" s="99"/>
      <c r="AK97" s="99"/>
      <c r="AL97" s="99"/>
      <c r="AM97" s="99"/>
      <c r="AN97" s="99"/>
      <c r="AO97" s="99"/>
      <c r="AP97" s="99"/>
      <c r="AR97" s="99"/>
      <c r="AS97" s="99"/>
      <c r="AT97" s="99"/>
      <c r="AU97" s="99"/>
      <c r="AV97" s="99"/>
      <c r="AW97" s="99"/>
    </row>
    <row r="98" spans="1:50" ht="12.75" hidden="1" customHeight="1" x14ac:dyDescent="0.25">
      <c r="A98" t="str">
        <f>Nutrients!B97</f>
        <v>Yeast, Brewers' Yeast</v>
      </c>
      <c r="B98" s="99"/>
      <c r="C98" s="99"/>
      <c r="D98" s="99"/>
      <c r="E98" s="99"/>
      <c r="F98" s="99"/>
      <c r="G98" s="99"/>
      <c r="H98" s="99"/>
      <c r="I98" s="99"/>
      <c r="J98" s="99"/>
      <c r="K98" s="99"/>
      <c r="L98" s="99"/>
      <c r="M98" s="99"/>
      <c r="N98" s="99"/>
      <c r="O98" s="10"/>
      <c r="P98" s="99"/>
      <c r="Q98" s="99"/>
      <c r="R98" s="99"/>
      <c r="S98" s="99"/>
      <c r="T98" s="99"/>
      <c r="U98" s="99"/>
      <c r="W98" s="99"/>
      <c r="X98" s="99"/>
      <c r="Y98" s="99"/>
      <c r="Z98" s="99"/>
      <c r="AA98" s="99"/>
      <c r="AB98" s="99"/>
      <c r="AD98" s="99"/>
      <c r="AE98" s="99"/>
      <c r="AF98" s="99"/>
      <c r="AG98" s="99"/>
      <c r="AH98" s="99"/>
      <c r="AI98" s="99"/>
      <c r="AK98" s="99"/>
      <c r="AL98" s="99"/>
      <c r="AM98" s="99"/>
      <c r="AN98" s="99"/>
      <c r="AO98" s="99"/>
      <c r="AP98" s="99"/>
      <c r="AR98" s="99"/>
      <c r="AS98" s="99"/>
      <c r="AT98" s="99"/>
      <c r="AU98" s="99"/>
      <c r="AV98" s="99"/>
      <c r="AW98" s="99"/>
    </row>
    <row r="99" spans="1:50" ht="12.75" hidden="1" customHeight="1" x14ac:dyDescent="0.25">
      <c r="A99" t="str">
        <f>Nutrients!B98</f>
        <v>Yeast, Single Cell Protein</v>
      </c>
      <c r="B99" s="99"/>
      <c r="C99" s="99"/>
      <c r="D99" s="99"/>
      <c r="E99" s="99"/>
      <c r="F99" s="99"/>
      <c r="G99" s="99"/>
      <c r="H99" s="99"/>
      <c r="I99" s="99"/>
      <c r="J99" s="99"/>
      <c r="K99" s="99"/>
      <c r="L99" s="99"/>
      <c r="M99" s="99"/>
      <c r="N99" s="99"/>
      <c r="O99" s="10"/>
      <c r="P99" s="99"/>
      <c r="Q99" s="99"/>
      <c r="R99" s="99"/>
      <c r="S99" s="99"/>
      <c r="T99" s="99"/>
      <c r="U99" s="99"/>
      <c r="W99" s="99"/>
      <c r="X99" s="99"/>
      <c r="Y99" s="99"/>
      <c r="Z99" s="99"/>
      <c r="AA99" s="99"/>
      <c r="AB99" s="99"/>
      <c r="AD99" s="99"/>
      <c r="AE99" s="99"/>
      <c r="AF99" s="99"/>
      <c r="AG99" s="99"/>
      <c r="AH99" s="99"/>
      <c r="AI99" s="99"/>
      <c r="AK99" s="99"/>
      <c r="AL99" s="99"/>
      <c r="AM99" s="99"/>
      <c r="AN99" s="99"/>
      <c r="AO99" s="99"/>
      <c r="AP99" s="99"/>
      <c r="AR99" s="99"/>
      <c r="AS99" s="99"/>
      <c r="AT99" s="99"/>
      <c r="AU99" s="99"/>
      <c r="AV99" s="99"/>
      <c r="AW99" s="99"/>
    </row>
    <row r="100" spans="1:50" ht="12.75" hidden="1" customHeight="1" x14ac:dyDescent="0.25">
      <c r="A100" t="str">
        <f>Nutrients!B99</f>
        <v>Beef Tallow</v>
      </c>
      <c r="B100" s="99"/>
      <c r="C100" s="99"/>
      <c r="D100" s="99"/>
      <c r="E100" s="99"/>
      <c r="F100" s="99"/>
      <c r="G100" s="99"/>
      <c r="H100" s="99"/>
      <c r="I100" s="99"/>
      <c r="J100" s="99"/>
      <c r="K100" s="99"/>
      <c r="L100" s="99"/>
      <c r="M100" s="99"/>
      <c r="N100" s="99"/>
      <c r="O100" s="10"/>
      <c r="P100" s="99"/>
      <c r="Q100" s="99"/>
      <c r="R100" s="99"/>
      <c r="S100" s="99"/>
      <c r="T100" s="99"/>
      <c r="U100" s="99"/>
      <c r="W100" s="99"/>
      <c r="X100" s="99"/>
      <c r="Y100" s="99"/>
      <c r="Z100" s="99"/>
      <c r="AA100" s="99"/>
      <c r="AB100" s="99"/>
      <c r="AD100" s="99"/>
      <c r="AE100" s="99"/>
      <c r="AF100" s="99"/>
      <c r="AG100" s="99"/>
      <c r="AH100" s="99"/>
      <c r="AI100" s="99"/>
      <c r="AK100" s="99"/>
      <c r="AL100" s="99"/>
      <c r="AM100" s="99"/>
      <c r="AN100" s="99"/>
      <c r="AO100" s="99"/>
      <c r="AP100" s="99"/>
      <c r="AR100" s="99"/>
      <c r="AS100" s="99"/>
      <c r="AT100" s="99"/>
      <c r="AU100" s="99"/>
      <c r="AV100" s="99"/>
      <c r="AW100" s="99"/>
    </row>
    <row r="101" spans="1:50" x14ac:dyDescent="0.25">
      <c r="A101" t="str">
        <f>Nutrients!B100</f>
        <v>Choice White Grease</v>
      </c>
      <c r="B101" s="99"/>
      <c r="C101" s="99"/>
      <c r="D101" s="99"/>
      <c r="E101" s="99"/>
      <c r="F101" s="99"/>
      <c r="G101" s="99"/>
      <c r="H101" s="99"/>
      <c r="I101" s="106">
        <f>IF('GF diets L-Val'!B250-'GF diets L-Val'!I250&lt;0,0,'GF diets L-Val'!B250-'GF diets L-Val'!I250+0.1)</f>
        <v>9.7931214372002611</v>
      </c>
      <c r="J101" s="106">
        <f>IF('GF diets L-Val'!C250-'GF diets L-Val'!J250&lt;0,0,'GF diets L-Val'!C250-'GF diets L-Val'!J250+0.1)</f>
        <v>9.9232229986606395</v>
      </c>
      <c r="K101" s="106">
        <f>IF('GF diets L-Val'!D250-'GF diets L-Val'!K250&lt;0,0,'GF diets L-Val'!D250-'GF diets L-Val'!K250+0.1)</f>
        <v>9.8166484110832695</v>
      </c>
      <c r="L101" s="106">
        <f>IF('GF diets L-Val'!E250-'GF diets L-Val'!L250&lt;0,0,'GF diets L-Val'!E250-'GF diets L-Val'!L250+0.1)</f>
        <v>9.930073706054463</v>
      </c>
      <c r="M101" s="106">
        <f>IF('GF diets L-Val'!F250-'GF diets L-Val'!M250&lt;0,0,'GF diets L-Val'!F250-'GF diets L-Val'!M250+0.1)</f>
        <v>9.9613107670880705</v>
      </c>
      <c r="N101" s="99"/>
      <c r="O101" s="29"/>
      <c r="P101" s="106">
        <f>IF('GF diets L-Val'!B250-'GF diets L-Val'!P250&lt;0,0,'GF diets L-Val'!B250-'GF diets L-Val'!P250+0.2)</f>
        <v>19.676063474449574</v>
      </c>
      <c r="Q101" s="106">
        <f>IF('GF diets L-Val'!C250-'GF diets L-Val'!Q250&lt;0,0,'GF diets L-Val'!C250-'GF diets L-Val'!Q250+0.2)</f>
        <v>19.812912493306339</v>
      </c>
      <c r="R101" s="106">
        <f>IF('GF diets L-Val'!D250-'GF diets L-Val'!R250&lt;0,0,'GF diets L-Val'!D250-'GF diets L-Val'!R250+0.2)</f>
        <v>19.743739128708466</v>
      </c>
      <c r="S101" s="106">
        <f>IF('GF diets L-Val'!E250-'GF diets L-Val'!S250&lt;0,0,'GF diets L-Val'!E250-'GF diets L-Val'!S250+0.2)</f>
        <v>19.817220605906368</v>
      </c>
      <c r="T101" s="106">
        <f>IF('GF diets L-Val'!F250-'GF diets L-Val'!T250&lt;0,0,'GF diets L-Val'!F250-'GF diets L-Val'!T250+0.2)</f>
        <v>19.881008753777405</v>
      </c>
      <c r="U101" s="99"/>
      <c r="V101" s="9"/>
      <c r="W101" s="106">
        <f>IF('GF diets L-Val'!B250-'GF diets L-Val'!W250&lt;0,0,'GF diets L-Val'!B250-'GF diets L-Val'!W250+0.35)</f>
        <v>29.588252394116218</v>
      </c>
      <c r="X101" s="106">
        <f>IF('GF diets L-Val'!C250-'GF diets L-Val'!X250&lt;0,0,'GF diets L-Val'!C250-'GF diets L-Val'!X250+0.35)</f>
        <v>29.75197310251415</v>
      </c>
      <c r="Y101" s="106">
        <f>IF('GF diets L-Val'!D250-'GF diets L-Val'!Y250&lt;0,0,'GF diets L-Val'!D250-'GF diets L-Val'!Y250+0.35)</f>
        <v>29.632628229339709</v>
      </c>
      <c r="Z101" s="106">
        <f>IF('GF diets L-Val'!E250-'GF diets L-Val'!Z250&lt;0,0,'GF diets L-Val'!E250-'GF diets L-Val'!Z250+0.35)</f>
        <v>29.733606268286486</v>
      </c>
      <c r="AA101" s="106">
        <f>IF('GF diets L-Val'!F250-'GF diets L-Val'!AA250&lt;0,0,'GF diets L-Val'!F250-'GF diets L-Val'!AA250+0.35)</f>
        <v>29.741047068812897</v>
      </c>
      <c r="AB101" s="99"/>
      <c r="AC101" s="9"/>
      <c r="AD101" s="106">
        <f>IF('GF diets L-Val'!B250-'GF diets L-Val'!AD250&lt;0,0,'GF diets L-Val'!B250-'GF diets L-Val'!AD250+0.55)</f>
        <v>39.517097562367141</v>
      </c>
      <c r="AE101" s="106">
        <f>IF('GF diets L-Val'!C250-'GF diets L-Val'!AE250&lt;0,0,'GF diets L-Val'!C250-'GF diets L-Val'!AE250+0.55)</f>
        <v>39.650164915573939</v>
      </c>
      <c r="AF101" s="106">
        <f>IF('GF diets L-Val'!D250-'GF diets L-Val'!AF250&lt;0,0,'GF diets L-Val'!D250-'GF diets L-Val'!AF250+0.55)</f>
        <v>39.547259036941156</v>
      </c>
      <c r="AG101" s="106">
        <f>IF('GF diets L-Val'!E250-'GF diets L-Val'!AG250&lt;0,0,'GF diets L-Val'!E250-'GF diets L-Val'!AG250+0.55)</f>
        <v>39.626383127292499</v>
      </c>
      <c r="AH101" s="106">
        <f>IF('GF diets L-Val'!F250-'GF diets L-Val'!AH250&lt;0,0,'GF diets L-Val'!F250-'GF diets L-Val'!AH250+0.55)</f>
        <v>40.447832691307255</v>
      </c>
      <c r="AI101" s="99"/>
      <c r="AJ101" s="9"/>
      <c r="AK101" s="106">
        <f>IF('GF diets L-Val'!B250-'GF diets L-Val'!AK250&lt;0,0,'GF diets L-Val'!B250-'GF diets L-Val'!AK250+0.75)</f>
        <v>49.456529162836432</v>
      </c>
      <c r="AL101" s="106">
        <f>IF('GF diets L-Val'!C250-'GF diets L-Val'!AL250&lt;0,0,'GF diets L-Val'!C250-'GF diets L-Val'!AL250+0.75)</f>
        <v>49.592547889423258</v>
      </c>
      <c r="AM101" s="106">
        <f>IF('GF diets L-Val'!D250-'GF diets L-Val'!AM250&lt;0,0,'GF diets L-Val'!D250-'GF diets L-Val'!AM250+0.75)</f>
        <v>49.435978150108895</v>
      </c>
      <c r="AN101" s="106">
        <f>IF('GF diets L-Val'!E250-'GF diets L-Val'!AN250&lt;0,0,'GF diets L-Val'!E250-'GF diets L-Val'!AN250+0.75)</f>
        <v>50.150990452713131</v>
      </c>
      <c r="AO101" s="106">
        <f>IF('GF diets L-Val'!F250-'GF diets L-Val'!AO250&lt;0,0,'GF diets L-Val'!F250-'GF diets L-Val'!AO250+0.75)</f>
        <v>51.439108126026667</v>
      </c>
      <c r="AP101" s="99"/>
      <c r="AQ101" s="9"/>
      <c r="AR101" s="106">
        <f>IF('GF diets L-Val'!B250-'GF diets L-Val'!AR250&lt;0,0,'GF diets L-Val'!B250-'GF diets L-Val'!AR250+0.95)</f>
        <v>59.535635140486377</v>
      </c>
      <c r="AS101" s="106">
        <f>IF('GF diets L-Val'!C250-'GF diets L-Val'!AS250&lt;0,0,'GF diets L-Val'!C250-'GF diets L-Val'!AS250+0.95)</f>
        <v>59.473453069968357</v>
      </c>
      <c r="AT101" s="106">
        <f>IF('GF diets L-Val'!D250-'GF diets L-Val'!AT250&lt;0,0,'GF diets L-Val'!D250-'GF diets L-Val'!AT250+0.95)</f>
        <v>59.311672629704347</v>
      </c>
      <c r="AU101" s="106">
        <f>IF('GF diets L-Val'!E250-'GF diets L-Val'!AU250&lt;0,0,'GF diets L-Val'!E250-'GF diets L-Val'!AU250+0.95)</f>
        <v>61.127150621477725</v>
      </c>
      <c r="AV101" s="106">
        <f>IF('GF diets L-Val'!F250-'GF diets L-Val'!AV250&lt;0,0,'GF diets L-Val'!F250-'GF diets L-Val'!AV250+0.95)</f>
        <v>62.430766121845139</v>
      </c>
      <c r="AW101" s="99"/>
      <c r="AX101" s="9"/>
    </row>
    <row r="102" spans="1:50" ht="13.05" hidden="1" customHeight="1" x14ac:dyDescent="0.25">
      <c r="A102" t="str">
        <f>Nutrients!B101</f>
        <v>Poultry Fat</v>
      </c>
      <c r="B102" s="99"/>
      <c r="C102" s="99"/>
      <c r="D102" s="99"/>
      <c r="E102" s="99"/>
      <c r="F102" s="99"/>
      <c r="G102" s="99"/>
      <c r="H102" s="99"/>
      <c r="I102" s="99"/>
      <c r="J102" s="99"/>
      <c r="K102" s="99"/>
      <c r="L102" s="99"/>
      <c r="M102" s="99"/>
      <c r="N102" s="99"/>
      <c r="O102" s="10"/>
      <c r="P102" s="99"/>
      <c r="Q102" s="99"/>
      <c r="R102" s="99"/>
      <c r="S102" s="99"/>
      <c r="T102" s="99"/>
      <c r="U102" s="99"/>
      <c r="W102" s="99"/>
      <c r="X102" s="99"/>
      <c r="Y102" s="99"/>
      <c r="Z102" s="99"/>
      <c r="AA102" s="99"/>
      <c r="AB102" s="99"/>
      <c r="AD102" s="99"/>
      <c r="AE102" s="99"/>
      <c r="AF102" s="99"/>
      <c r="AG102" s="99"/>
      <c r="AH102" s="99"/>
      <c r="AI102" s="99"/>
      <c r="AK102" s="99"/>
      <c r="AL102" s="99"/>
      <c r="AM102" s="99"/>
      <c r="AN102" s="99"/>
      <c r="AO102" s="99"/>
      <c r="AP102" s="99"/>
      <c r="AR102" s="99"/>
      <c r="AS102" s="99"/>
      <c r="AT102" s="99"/>
      <c r="AU102" s="99"/>
      <c r="AV102" s="99"/>
      <c r="AW102" s="99"/>
    </row>
    <row r="103" spans="1:50" ht="13.05" hidden="1" customHeight="1" x14ac:dyDescent="0.25">
      <c r="A103" t="str">
        <f>Nutrients!B102</f>
        <v>Lard</v>
      </c>
      <c r="B103" s="99"/>
      <c r="C103" s="99"/>
      <c r="D103" s="99"/>
      <c r="E103" s="99"/>
      <c r="F103" s="99"/>
      <c r="G103" s="99"/>
      <c r="H103" s="99"/>
      <c r="I103" s="99"/>
      <c r="J103" s="99"/>
      <c r="K103" s="99"/>
      <c r="L103" s="99"/>
      <c r="M103" s="99"/>
      <c r="N103" s="99"/>
      <c r="O103" s="10"/>
      <c r="P103" s="99"/>
      <c r="Q103" s="99"/>
      <c r="R103" s="99"/>
      <c r="S103" s="99"/>
      <c r="T103" s="99"/>
      <c r="U103" s="99"/>
      <c r="W103" s="99"/>
      <c r="X103" s="99"/>
      <c r="Y103" s="99"/>
      <c r="Z103" s="99"/>
      <c r="AA103" s="99"/>
      <c r="AB103" s="99"/>
      <c r="AD103" s="99"/>
      <c r="AE103" s="99"/>
      <c r="AF103" s="99"/>
      <c r="AG103" s="99"/>
      <c r="AH103" s="99"/>
      <c r="AI103" s="99"/>
      <c r="AK103" s="99"/>
      <c r="AL103" s="99"/>
      <c r="AM103" s="99"/>
      <c r="AN103" s="99"/>
      <c r="AO103" s="99"/>
      <c r="AP103" s="99"/>
      <c r="AR103" s="99"/>
      <c r="AS103" s="99"/>
      <c r="AT103" s="99"/>
      <c r="AU103" s="99"/>
      <c r="AV103" s="99"/>
      <c r="AW103" s="99"/>
    </row>
    <row r="104" spans="1:50" ht="13.05" hidden="1" customHeight="1" x14ac:dyDescent="0.25">
      <c r="A104" t="str">
        <f>Nutrients!B103</f>
        <v>Restaurant Grease</v>
      </c>
      <c r="B104" s="99"/>
      <c r="C104" s="99"/>
      <c r="D104" s="99"/>
      <c r="E104" s="99"/>
      <c r="F104" s="99"/>
      <c r="G104" s="99"/>
      <c r="H104" s="99"/>
      <c r="I104" s="99"/>
      <c r="J104" s="99"/>
      <c r="K104" s="99"/>
      <c r="L104" s="99"/>
      <c r="M104" s="99"/>
      <c r="N104" s="99"/>
      <c r="O104" s="10"/>
      <c r="P104" s="99"/>
      <c r="Q104" s="99"/>
      <c r="R104" s="99"/>
      <c r="S104" s="99"/>
      <c r="T104" s="99"/>
      <c r="U104" s="99"/>
      <c r="W104" s="99"/>
      <c r="X104" s="99"/>
      <c r="Y104" s="99"/>
      <c r="Z104" s="99"/>
      <c r="AA104" s="99"/>
      <c r="AB104" s="99"/>
      <c r="AD104" s="99"/>
      <c r="AE104" s="99"/>
      <c r="AF104" s="99"/>
      <c r="AG104" s="99"/>
      <c r="AH104" s="99"/>
      <c r="AI104" s="99"/>
      <c r="AK104" s="99"/>
      <c r="AL104" s="99"/>
      <c r="AM104" s="99"/>
      <c r="AN104" s="99"/>
      <c r="AO104" s="99"/>
      <c r="AP104" s="99"/>
      <c r="AR104" s="99"/>
      <c r="AS104" s="99"/>
      <c r="AT104" s="99"/>
      <c r="AU104" s="99"/>
      <c r="AV104" s="99"/>
      <c r="AW104" s="99"/>
    </row>
    <row r="105" spans="1:50" ht="13.05" hidden="1" customHeight="1" x14ac:dyDescent="0.25">
      <c r="A105" t="str">
        <f>Nutrients!B104</f>
        <v>Canola oil</v>
      </c>
      <c r="B105" s="99"/>
      <c r="C105" s="99"/>
      <c r="D105" s="99"/>
      <c r="E105" s="99"/>
      <c r="F105" s="99"/>
      <c r="G105" s="99"/>
      <c r="H105" s="99"/>
      <c r="I105" s="99"/>
      <c r="J105" s="99"/>
      <c r="K105" s="99"/>
      <c r="L105" s="99"/>
      <c r="M105" s="99"/>
      <c r="N105" s="99"/>
      <c r="O105" s="10"/>
      <c r="P105" s="99"/>
      <c r="Q105" s="99"/>
      <c r="R105" s="99"/>
      <c r="S105" s="99"/>
      <c r="T105" s="99"/>
      <c r="U105" s="99"/>
      <c r="W105" s="99"/>
      <c r="X105" s="99"/>
      <c r="Y105" s="99"/>
      <c r="Z105" s="99"/>
      <c r="AA105" s="99"/>
      <c r="AB105" s="99"/>
      <c r="AD105" s="99"/>
      <c r="AE105" s="99"/>
      <c r="AF105" s="99"/>
      <c r="AG105" s="99"/>
      <c r="AH105" s="99"/>
      <c r="AI105" s="99"/>
      <c r="AK105" s="99"/>
      <c r="AL105" s="99"/>
      <c r="AM105" s="99"/>
      <c r="AN105" s="99"/>
      <c r="AO105" s="99"/>
      <c r="AP105" s="99"/>
      <c r="AR105" s="99"/>
      <c r="AS105" s="99"/>
      <c r="AT105" s="99"/>
      <c r="AU105" s="99"/>
      <c r="AV105" s="99"/>
      <c r="AW105" s="99"/>
    </row>
    <row r="106" spans="1:50" ht="13.05" hidden="1" customHeight="1" x14ac:dyDescent="0.25">
      <c r="A106" t="str">
        <f>Nutrients!B105</f>
        <v>Coconut oil</v>
      </c>
      <c r="B106" s="99"/>
      <c r="C106" s="99"/>
      <c r="D106" s="99"/>
      <c r="E106" s="99"/>
      <c r="F106" s="99"/>
      <c r="G106" s="99"/>
      <c r="H106" s="99"/>
      <c r="I106" s="99"/>
      <c r="J106" s="99"/>
      <c r="K106" s="99"/>
      <c r="L106" s="99"/>
      <c r="M106" s="99"/>
      <c r="N106" s="99"/>
      <c r="O106" s="10"/>
      <c r="P106" s="99"/>
      <c r="Q106" s="99"/>
      <c r="R106" s="99"/>
      <c r="S106" s="99"/>
      <c r="T106" s="99"/>
      <c r="U106" s="99"/>
      <c r="W106" s="99"/>
      <c r="X106" s="99"/>
      <c r="Y106" s="99"/>
      <c r="Z106" s="99"/>
      <c r="AA106" s="99"/>
      <c r="AB106" s="99"/>
      <c r="AD106" s="99"/>
      <c r="AE106" s="99"/>
      <c r="AF106" s="99"/>
      <c r="AG106" s="99"/>
      <c r="AH106" s="99"/>
      <c r="AI106" s="99"/>
      <c r="AK106" s="99"/>
      <c r="AL106" s="99"/>
      <c r="AM106" s="99"/>
      <c r="AN106" s="99"/>
      <c r="AO106" s="99"/>
      <c r="AP106" s="99"/>
      <c r="AR106" s="99"/>
      <c r="AS106" s="99"/>
      <c r="AT106" s="99"/>
      <c r="AU106" s="99"/>
      <c r="AV106" s="99"/>
      <c r="AW106" s="99"/>
    </row>
    <row r="107" spans="1:50" ht="13.05" hidden="1" customHeight="1" x14ac:dyDescent="0.25">
      <c r="A107" t="str">
        <f>Nutrients!B106</f>
        <v>Corn oil</v>
      </c>
      <c r="B107" s="99"/>
      <c r="C107" s="99"/>
      <c r="D107" s="99"/>
      <c r="E107" s="99"/>
      <c r="F107" s="99"/>
      <c r="G107" s="99"/>
      <c r="H107" s="99"/>
      <c r="I107" s="99"/>
      <c r="J107" s="99"/>
      <c r="K107" s="99"/>
      <c r="L107" s="99"/>
      <c r="M107" s="99"/>
      <c r="N107" s="99"/>
      <c r="O107" s="10"/>
      <c r="P107" s="99"/>
      <c r="Q107" s="99"/>
      <c r="R107" s="99"/>
      <c r="S107" s="99"/>
      <c r="T107" s="99"/>
      <c r="U107" s="99"/>
      <c r="W107" s="99"/>
      <c r="X107" s="99"/>
      <c r="Y107" s="99"/>
      <c r="Z107" s="99"/>
      <c r="AA107" s="99"/>
      <c r="AB107" s="99"/>
      <c r="AD107" s="99"/>
      <c r="AE107" s="99"/>
      <c r="AF107" s="99"/>
      <c r="AG107" s="99"/>
      <c r="AH107" s="99"/>
      <c r="AI107" s="99"/>
      <c r="AK107" s="99"/>
      <c r="AL107" s="99"/>
      <c r="AM107" s="99"/>
      <c r="AN107" s="99"/>
      <c r="AO107" s="99"/>
      <c r="AP107" s="99"/>
      <c r="AR107" s="99"/>
      <c r="AS107" s="99"/>
      <c r="AT107" s="99"/>
      <c r="AU107" s="99"/>
      <c r="AV107" s="99"/>
      <c r="AW107" s="99"/>
    </row>
    <row r="108" spans="1:50" ht="13.05" hidden="1" customHeight="1" x14ac:dyDescent="0.25">
      <c r="A108" t="str">
        <f>Nutrients!B107</f>
        <v>Palm Kernel oil</v>
      </c>
      <c r="B108" s="99"/>
      <c r="C108" s="99"/>
      <c r="D108" s="99"/>
      <c r="E108" s="99"/>
      <c r="F108" s="99"/>
      <c r="G108" s="99"/>
      <c r="H108" s="99"/>
      <c r="I108" s="99"/>
      <c r="J108" s="99"/>
      <c r="K108" s="99"/>
      <c r="L108" s="99"/>
      <c r="M108" s="99"/>
      <c r="N108" s="99"/>
      <c r="O108" s="10"/>
      <c r="P108" s="99"/>
      <c r="Q108" s="99"/>
      <c r="R108" s="99"/>
      <c r="S108" s="99"/>
      <c r="T108" s="99"/>
      <c r="U108" s="99"/>
      <c r="W108" s="99"/>
      <c r="X108" s="99"/>
      <c r="Y108" s="99"/>
      <c r="Z108" s="99"/>
      <c r="AA108" s="99"/>
      <c r="AB108" s="99"/>
      <c r="AD108" s="99"/>
      <c r="AE108" s="99"/>
      <c r="AF108" s="99"/>
      <c r="AG108" s="99"/>
      <c r="AH108" s="99"/>
      <c r="AI108" s="99"/>
      <c r="AK108" s="99"/>
      <c r="AL108" s="99"/>
      <c r="AM108" s="99"/>
      <c r="AN108" s="99"/>
      <c r="AO108" s="99"/>
      <c r="AP108" s="99"/>
      <c r="AR108" s="99"/>
      <c r="AS108" s="99"/>
      <c r="AT108" s="99"/>
      <c r="AU108" s="99"/>
      <c r="AV108" s="99"/>
      <c r="AW108" s="99"/>
    </row>
    <row r="109" spans="1:50" ht="13.05" hidden="1" customHeight="1" x14ac:dyDescent="0.25">
      <c r="A109" t="str">
        <f>Nutrients!B108</f>
        <v>Soybean oil</v>
      </c>
      <c r="B109" s="99"/>
      <c r="C109" s="99"/>
      <c r="D109" s="99"/>
      <c r="E109" s="99"/>
      <c r="F109" s="99"/>
      <c r="G109" s="99"/>
      <c r="H109" s="99"/>
      <c r="I109" s="99"/>
      <c r="J109" s="99"/>
      <c r="K109" s="99"/>
      <c r="L109" s="99"/>
      <c r="M109" s="99"/>
      <c r="N109" s="99"/>
      <c r="O109" s="10"/>
      <c r="P109" s="99"/>
      <c r="Q109" s="99"/>
      <c r="R109" s="99"/>
      <c r="S109" s="99"/>
      <c r="T109" s="99"/>
      <c r="U109" s="99"/>
      <c r="W109" s="99"/>
      <c r="X109" s="99"/>
      <c r="Y109" s="99"/>
      <c r="Z109" s="99"/>
      <c r="AA109" s="99"/>
      <c r="AB109" s="99"/>
      <c r="AD109" s="99"/>
      <c r="AE109" s="99"/>
      <c r="AF109" s="99"/>
      <c r="AG109" s="99"/>
      <c r="AH109" s="99"/>
      <c r="AI109" s="99"/>
      <c r="AK109" s="99"/>
      <c r="AL109" s="99"/>
      <c r="AM109" s="99"/>
      <c r="AN109" s="99"/>
      <c r="AO109" s="99"/>
      <c r="AP109" s="99"/>
      <c r="AR109" s="99"/>
      <c r="AS109" s="99"/>
      <c r="AT109" s="99"/>
      <c r="AU109" s="99"/>
      <c r="AV109" s="99"/>
      <c r="AW109" s="99"/>
    </row>
    <row r="110" spans="1:50" ht="13.05" hidden="1" customHeight="1" x14ac:dyDescent="0.25">
      <c r="A110" t="str">
        <f>Nutrients!B109</f>
        <v>Soybean Lecithin</v>
      </c>
      <c r="B110" s="99"/>
      <c r="C110" s="99"/>
      <c r="D110" s="99"/>
      <c r="E110" s="99"/>
      <c r="F110" s="99"/>
      <c r="G110" s="99"/>
      <c r="H110" s="99"/>
      <c r="I110" s="99"/>
      <c r="J110" s="99"/>
      <c r="K110" s="99"/>
      <c r="L110" s="99"/>
      <c r="M110" s="99"/>
      <c r="N110" s="99"/>
      <c r="O110" s="10"/>
      <c r="P110" s="99"/>
      <c r="Q110" s="99"/>
      <c r="R110" s="99"/>
      <c r="S110" s="99"/>
      <c r="T110" s="99"/>
      <c r="U110" s="99"/>
      <c r="W110" s="99"/>
      <c r="X110" s="99"/>
      <c r="Y110" s="99"/>
      <c r="Z110" s="99"/>
      <c r="AA110" s="99"/>
      <c r="AB110" s="99"/>
      <c r="AD110" s="99"/>
      <c r="AE110" s="99"/>
      <c r="AF110" s="99"/>
      <c r="AG110" s="99"/>
      <c r="AH110" s="99"/>
      <c r="AI110" s="99"/>
      <c r="AK110" s="99"/>
      <c r="AL110" s="99"/>
      <c r="AM110" s="99"/>
      <c r="AN110" s="99"/>
      <c r="AO110" s="99"/>
      <c r="AP110" s="99"/>
      <c r="AR110" s="99"/>
      <c r="AS110" s="99"/>
      <c r="AT110" s="99"/>
      <c r="AU110" s="99"/>
      <c r="AV110" s="99"/>
      <c r="AW110" s="99"/>
    </row>
    <row r="111" spans="1:50" ht="13.05" hidden="1" customHeight="1" x14ac:dyDescent="0.25">
      <c r="A111" t="str">
        <f>Nutrients!B110</f>
        <v>Sunflower oil</v>
      </c>
      <c r="B111" s="99"/>
      <c r="C111" s="99"/>
      <c r="D111" s="99"/>
      <c r="E111" s="99"/>
      <c r="F111" s="99"/>
      <c r="G111" s="99"/>
      <c r="H111" s="99"/>
      <c r="I111" s="99"/>
      <c r="J111" s="99"/>
      <c r="K111" s="99"/>
      <c r="L111" s="99"/>
      <c r="M111" s="99"/>
      <c r="N111" s="99"/>
      <c r="O111" s="10"/>
      <c r="P111" s="99"/>
      <c r="Q111" s="99"/>
      <c r="R111" s="99"/>
      <c r="S111" s="99"/>
      <c r="T111" s="99"/>
      <c r="U111" s="99"/>
      <c r="W111" s="99"/>
      <c r="X111" s="99"/>
      <c r="Y111" s="99"/>
      <c r="Z111" s="99"/>
      <c r="AA111" s="99"/>
      <c r="AB111" s="99"/>
      <c r="AD111" s="99"/>
      <c r="AE111" s="99"/>
      <c r="AF111" s="99"/>
      <c r="AG111" s="99"/>
      <c r="AH111" s="99"/>
      <c r="AI111" s="99"/>
      <c r="AK111" s="99"/>
      <c r="AL111" s="99"/>
      <c r="AM111" s="99"/>
      <c r="AN111" s="99"/>
      <c r="AO111" s="99"/>
      <c r="AP111" s="99"/>
      <c r="AR111" s="99"/>
      <c r="AS111" s="99"/>
      <c r="AT111" s="99"/>
      <c r="AU111" s="99"/>
      <c r="AV111" s="99"/>
      <c r="AW111" s="99"/>
    </row>
    <row r="112" spans="1:50" ht="13.05" hidden="1" customHeight="1" x14ac:dyDescent="0.25">
      <c r="A112" t="str">
        <f>Nutrients!B111</f>
        <v>Fat, A/V blend</v>
      </c>
      <c r="B112" s="99"/>
      <c r="C112" s="99"/>
      <c r="D112" s="99"/>
      <c r="E112" s="99"/>
      <c r="F112" s="99"/>
      <c r="G112" s="99"/>
      <c r="H112" s="99"/>
      <c r="I112" s="99"/>
      <c r="J112" s="99"/>
      <c r="K112" s="99"/>
      <c r="L112" s="99"/>
      <c r="M112" s="99"/>
      <c r="N112" s="99"/>
      <c r="O112" s="10"/>
      <c r="P112" s="99"/>
      <c r="Q112" s="99"/>
      <c r="R112" s="99"/>
      <c r="S112" s="99"/>
      <c r="T112" s="99"/>
      <c r="U112" s="99"/>
      <c r="W112" s="99"/>
      <c r="X112" s="99"/>
      <c r="Y112" s="99"/>
      <c r="Z112" s="99"/>
      <c r="AA112" s="99"/>
      <c r="AB112" s="99"/>
      <c r="AD112" s="99"/>
      <c r="AE112" s="99"/>
      <c r="AF112" s="99"/>
      <c r="AG112" s="99"/>
      <c r="AH112" s="99"/>
      <c r="AI112" s="99"/>
      <c r="AK112" s="99"/>
      <c r="AL112" s="99"/>
      <c r="AM112" s="99"/>
      <c r="AN112" s="99"/>
      <c r="AO112" s="99"/>
      <c r="AP112" s="99"/>
      <c r="AR112" s="99"/>
      <c r="AS112" s="99"/>
      <c r="AT112" s="99"/>
      <c r="AU112" s="99"/>
      <c r="AV112" s="99"/>
      <c r="AW112" s="99"/>
    </row>
    <row r="113" spans="1:64" x14ac:dyDescent="0.25">
      <c r="A113" t="s">
        <v>327</v>
      </c>
      <c r="B113" s="106">
        <v>20.784768068928035</v>
      </c>
      <c r="C113" s="106">
        <v>19.294892849162764</v>
      </c>
      <c r="D113" s="106">
        <v>19.202445555729952</v>
      </c>
      <c r="E113" s="106">
        <v>18.570305542378705</v>
      </c>
      <c r="F113" s="106">
        <v>18</v>
      </c>
      <c r="G113" s="106">
        <v>17.663512601760306</v>
      </c>
      <c r="H113" s="106"/>
      <c r="I113" s="106">
        <v>21.444409694945055</v>
      </c>
      <c r="J113" s="106">
        <v>19.98553862860571</v>
      </c>
      <c r="K113" s="106">
        <v>19.840873680160215</v>
      </c>
      <c r="L113" s="106">
        <v>19.236124633910652</v>
      </c>
      <c r="M113" s="106">
        <v>18.688958388234227</v>
      </c>
      <c r="N113" s="106">
        <v>17.663512601760306</v>
      </c>
      <c r="O113" s="29"/>
      <c r="P113" s="106">
        <v>22.108119813047963</v>
      </c>
      <c r="Q113" s="106">
        <v>20.660220383685797</v>
      </c>
      <c r="R113" s="106">
        <v>20.500873680160215</v>
      </c>
      <c r="S113" s="106">
        <v>19.896124633910652</v>
      </c>
      <c r="T113" s="106">
        <v>19.348958388234227</v>
      </c>
      <c r="U113" s="106">
        <v>17.663512601760306</v>
      </c>
      <c r="V113" s="9"/>
      <c r="W113" s="106">
        <v>22.768119813047964</v>
      </c>
      <c r="X113" s="106">
        <v>21.320220383685797</v>
      </c>
      <c r="Y113" s="106">
        <v>21.160873680160215</v>
      </c>
      <c r="Z113" s="106">
        <v>20.556124633910652</v>
      </c>
      <c r="AA113" s="106">
        <v>20.008958388234227</v>
      </c>
      <c r="AB113" s="106">
        <v>17.663512601760306</v>
      </c>
      <c r="AC113" s="9"/>
      <c r="AD113" s="106">
        <v>23.428119813047964</v>
      </c>
      <c r="AE113" s="106">
        <v>21.980220383685797</v>
      </c>
      <c r="AF113" s="106">
        <v>21.820873680160215</v>
      </c>
      <c r="AG113" s="106">
        <v>21.243448046973779</v>
      </c>
      <c r="AH113" s="106">
        <v>21.073538708709563</v>
      </c>
      <c r="AI113" s="106">
        <v>17.663512601760306</v>
      </c>
      <c r="AJ113" s="9"/>
      <c r="AK113" s="106">
        <v>24.088119813047964</v>
      </c>
      <c r="AL113" s="106">
        <v>22.640220383685797</v>
      </c>
      <c r="AM113" s="106">
        <v>22.480873680160215</v>
      </c>
      <c r="AN113" s="106">
        <v>22.222553735248766</v>
      </c>
      <c r="AO113" s="106">
        <v>22.260768777249535</v>
      </c>
      <c r="AP113" s="106">
        <v>17.663512601760306</v>
      </c>
      <c r="AQ113" s="9"/>
      <c r="AR113" s="106">
        <v>24.748119813047964</v>
      </c>
      <c r="AS113" s="106">
        <v>23.300220383685797</v>
      </c>
      <c r="AT113" s="106">
        <v>23.169584881524777</v>
      </c>
      <c r="AU113" s="106">
        <v>23.421147625303597</v>
      </c>
      <c r="AV113" s="106">
        <v>23.448077661856235</v>
      </c>
      <c r="AW113" s="106">
        <v>17.663512601760306</v>
      </c>
      <c r="AX113" s="9"/>
      <c r="AY113" s="106"/>
      <c r="AZ113" s="117"/>
      <c r="BA113" s="106"/>
      <c r="BB113" s="117"/>
      <c r="BC113" s="117"/>
      <c r="BD113" s="117"/>
      <c r="BE113" s="117"/>
      <c r="BG113" s="447"/>
      <c r="BH113" s="447"/>
      <c r="BI113" s="447"/>
      <c r="BJ113" s="447"/>
      <c r="BK113" s="447"/>
      <c r="BL113" s="447"/>
    </row>
    <row r="114" spans="1:64" ht="13.05" hidden="1" customHeight="1" x14ac:dyDescent="0.25">
      <c r="A114" t="str">
        <f>Nutrients!B113</f>
        <v>Calcium phosphate (tricalcium)</v>
      </c>
      <c r="B114" s="106"/>
      <c r="C114" s="106"/>
      <c r="D114" s="106"/>
      <c r="E114" s="106"/>
      <c r="F114" s="106"/>
      <c r="G114" s="106"/>
      <c r="H114" s="106"/>
      <c r="I114" s="106"/>
      <c r="J114" s="106"/>
      <c r="K114" s="106"/>
      <c r="L114" s="106"/>
      <c r="M114" s="106"/>
      <c r="N114" s="106"/>
      <c r="O114" s="29"/>
      <c r="P114" s="106"/>
      <c r="Q114" s="106"/>
      <c r="R114" s="106"/>
      <c r="S114" s="106"/>
      <c r="T114" s="106"/>
      <c r="U114" s="106"/>
      <c r="V114" s="9"/>
      <c r="W114" s="106"/>
      <c r="X114" s="106"/>
      <c r="Y114" s="106"/>
      <c r="Z114" s="106"/>
      <c r="AA114" s="106"/>
      <c r="AB114" s="106"/>
      <c r="AC114" s="9"/>
      <c r="AD114" s="106"/>
      <c r="AE114" s="106"/>
      <c r="AF114" s="106"/>
      <c r="AG114" s="106"/>
      <c r="AH114" s="106"/>
      <c r="AI114" s="106"/>
      <c r="AJ114" s="9"/>
      <c r="AK114" s="106"/>
      <c r="AL114" s="106"/>
      <c r="AM114" s="106"/>
      <c r="AN114" s="106"/>
      <c r="AO114" s="106"/>
      <c r="AP114" s="106"/>
      <c r="AQ114" s="9"/>
      <c r="AR114" s="106"/>
      <c r="AS114" s="106"/>
      <c r="AT114" s="106"/>
      <c r="AU114" s="106"/>
      <c r="AV114" s="106"/>
      <c r="AW114" s="106"/>
      <c r="AX114" s="9"/>
    </row>
    <row r="115" spans="1:64" hidden="1" x14ac:dyDescent="0.25">
      <c r="A115" t="str">
        <f>Nutrients!B114</f>
        <v>Calcium phosphate (dicalcium)</v>
      </c>
      <c r="B115" s="106"/>
      <c r="C115" s="106"/>
      <c r="D115" s="106"/>
      <c r="E115" s="106"/>
      <c r="F115" s="106"/>
      <c r="G115" s="106"/>
      <c r="H115" s="106"/>
      <c r="I115" s="106"/>
      <c r="J115" s="106"/>
      <c r="K115" s="106"/>
      <c r="L115" s="106"/>
      <c r="M115" s="106"/>
      <c r="N115" s="106"/>
      <c r="O115" s="29"/>
      <c r="P115" s="106"/>
      <c r="Q115" s="106"/>
      <c r="R115" s="106"/>
      <c r="S115" s="106"/>
      <c r="T115" s="106"/>
      <c r="U115" s="106"/>
      <c r="V115" s="9"/>
      <c r="W115" s="106"/>
      <c r="X115" s="106"/>
      <c r="Y115" s="106"/>
      <c r="Z115" s="106"/>
      <c r="AA115" s="106"/>
      <c r="AB115" s="106"/>
      <c r="AC115" s="9"/>
      <c r="AD115" s="106"/>
      <c r="AE115" s="106"/>
      <c r="AF115" s="106"/>
      <c r="AG115" s="106"/>
      <c r="AH115" s="106"/>
      <c r="AI115" s="106"/>
      <c r="AJ115" s="9"/>
      <c r="AK115" s="106"/>
      <c r="AL115" s="106"/>
      <c r="AM115" s="106"/>
      <c r="AN115" s="106"/>
      <c r="AO115" s="106"/>
      <c r="AP115" s="106"/>
      <c r="AQ115" s="9"/>
      <c r="AR115" s="106"/>
      <c r="AS115" s="106"/>
      <c r="AT115" s="106"/>
      <c r="AU115" s="106"/>
      <c r="AV115" s="106"/>
      <c r="AW115" s="106"/>
      <c r="AX115" s="9"/>
    </row>
    <row r="116" spans="1:64" x14ac:dyDescent="0.25">
      <c r="A116" t="s">
        <v>330</v>
      </c>
      <c r="B116" s="106">
        <v>14.460830899366599</v>
      </c>
      <c r="C116" s="106">
        <v>11.269382271474324</v>
      </c>
      <c r="D116" s="106">
        <v>7.9992000000000001</v>
      </c>
      <c r="E116" s="106">
        <v>5.7362235571478868</v>
      </c>
      <c r="F116" s="106">
        <v>4.249911842640179</v>
      </c>
      <c r="G116" s="106">
        <v>3.6237362366975527</v>
      </c>
      <c r="H116" s="106"/>
      <c r="I116" s="106">
        <v>13.135843328864507</v>
      </c>
      <c r="J116" s="106">
        <v>10.032841615499999</v>
      </c>
      <c r="K116" s="106">
        <v>6.6376572816597772</v>
      </c>
      <c r="L116" s="106">
        <v>4.436223557147887</v>
      </c>
      <c r="M116" s="106">
        <v>2.9499118426401791</v>
      </c>
      <c r="N116" s="106">
        <v>3.6237362366975527</v>
      </c>
      <c r="O116" s="29"/>
      <c r="P116" s="106">
        <v>11.835843328864506</v>
      </c>
      <c r="Q116" s="106">
        <v>8.7328416154999982</v>
      </c>
      <c r="R116" s="106">
        <v>5.3376572816597774</v>
      </c>
      <c r="S116" s="106">
        <v>3.1362235571478871</v>
      </c>
      <c r="T116" s="106">
        <v>1.6499118426401791</v>
      </c>
      <c r="U116" s="106">
        <v>3.6237362366975527</v>
      </c>
      <c r="V116" s="9"/>
      <c r="W116" s="106">
        <f>P116-1.4</f>
        <v>10.435843328864506</v>
      </c>
      <c r="X116" s="106">
        <f t="shared" ref="X116:AA116" si="13">Q116-1.4</f>
        <v>7.3328416154999978</v>
      </c>
      <c r="Y116" s="106">
        <f t="shared" si="13"/>
        <v>3.9376572816597775</v>
      </c>
      <c r="Z116" s="106">
        <f t="shared" si="13"/>
        <v>1.7362235571478872</v>
      </c>
      <c r="AA116" s="106">
        <f t="shared" si="13"/>
        <v>0.24991184264017918</v>
      </c>
      <c r="AB116" s="106">
        <v>3.6237362366975527</v>
      </c>
      <c r="AC116" s="9"/>
      <c r="AD116" s="106">
        <f>W116-1.4</f>
        <v>9.0358433288645053</v>
      </c>
      <c r="AE116" s="106">
        <f t="shared" ref="AE116:AG116" si="14">X116-1.4</f>
        <v>5.9328416154999974</v>
      </c>
      <c r="AF116" s="106">
        <f t="shared" si="14"/>
        <v>2.5376572816597776</v>
      </c>
      <c r="AG116" s="106">
        <f t="shared" si="14"/>
        <v>0.33622355714788732</v>
      </c>
      <c r="AH116" s="106"/>
      <c r="AI116" s="106">
        <v>3.6237362366975527</v>
      </c>
      <c r="AJ116" s="9"/>
      <c r="AK116" s="106">
        <f>AD116-1.3</f>
        <v>7.7358433288645054</v>
      </c>
      <c r="AL116" s="106">
        <f t="shared" ref="AL116:AM116" si="15">AE116-1.3</f>
        <v>4.6328416154999976</v>
      </c>
      <c r="AM116" s="106">
        <f t="shared" si="15"/>
        <v>1.2376572816597775</v>
      </c>
      <c r="AN116" s="106"/>
      <c r="AO116" s="106"/>
      <c r="AP116" s="106">
        <v>3.6237362366975527</v>
      </c>
      <c r="AQ116" s="9"/>
      <c r="AR116" s="106">
        <f>AK116-1.3</f>
        <v>6.4358433288645056</v>
      </c>
      <c r="AS116" s="106">
        <f>AL116-1.3</f>
        <v>3.3328416154999978</v>
      </c>
      <c r="AT116" s="106"/>
      <c r="AU116" s="106"/>
      <c r="AV116" s="106"/>
      <c r="AW116" s="106">
        <v>3.6237362366975527</v>
      </c>
      <c r="AX116" s="9"/>
      <c r="AY116" s="106"/>
      <c r="AZ116" s="117"/>
      <c r="BA116" s="117"/>
      <c r="BB116" s="117"/>
      <c r="BC116" s="117"/>
      <c r="BD116" s="117"/>
      <c r="BE116" s="117"/>
      <c r="BG116" s="446"/>
      <c r="BH116" s="446"/>
      <c r="BI116" s="446"/>
      <c r="BJ116" s="446"/>
      <c r="BK116" s="446"/>
      <c r="BL116" s="446"/>
    </row>
    <row r="117" spans="1:64" ht="13.05" hidden="1" customHeight="1" x14ac:dyDescent="0.25">
      <c r="A117" t="str">
        <f>Nutrients!B116</f>
        <v>Calcium sulfate, dihydrate</v>
      </c>
      <c r="B117" s="106"/>
      <c r="C117" s="106"/>
      <c r="D117" s="106"/>
      <c r="E117" s="106"/>
      <c r="F117" s="106"/>
      <c r="G117" s="106"/>
      <c r="H117" s="106"/>
      <c r="I117" s="106"/>
      <c r="J117" s="106"/>
      <c r="K117" s="106"/>
      <c r="L117" s="106"/>
      <c r="M117" s="106"/>
      <c r="N117" s="106"/>
      <c r="O117" s="29"/>
      <c r="P117" s="106"/>
      <c r="Q117" s="106"/>
      <c r="R117" s="106"/>
      <c r="S117" s="106"/>
      <c r="T117" s="106"/>
      <c r="U117" s="106"/>
      <c r="V117" s="9"/>
      <c r="W117" s="106"/>
      <c r="X117" s="106"/>
      <c r="Y117" s="106"/>
      <c r="Z117" s="106"/>
      <c r="AA117" s="106"/>
      <c r="AB117" s="106"/>
      <c r="AC117" s="9"/>
      <c r="AD117" s="106"/>
      <c r="AE117" s="106"/>
      <c r="AF117" s="106"/>
      <c r="AG117" s="106"/>
      <c r="AH117" s="106"/>
      <c r="AI117" s="106"/>
      <c r="AJ117" s="9"/>
      <c r="AK117" s="106"/>
      <c r="AL117" s="106"/>
      <c r="AM117" s="106"/>
      <c r="AN117" s="106"/>
      <c r="AO117" s="106"/>
      <c r="AP117" s="106"/>
      <c r="AQ117" s="9"/>
      <c r="AR117" s="106"/>
      <c r="AS117" s="106"/>
      <c r="AT117" s="106"/>
      <c r="AU117" s="106"/>
      <c r="AV117" s="106"/>
      <c r="AW117" s="106"/>
      <c r="AX117" s="9"/>
    </row>
    <row r="118" spans="1:64" ht="13.05" hidden="1" customHeight="1" x14ac:dyDescent="0.25">
      <c r="A118" t="str">
        <f>Nutrients!B117</f>
        <v>Limestone, ground</v>
      </c>
      <c r="B118" s="106"/>
      <c r="C118" s="106"/>
      <c r="D118" s="106"/>
      <c r="E118" s="106"/>
      <c r="F118" s="106"/>
      <c r="G118" s="106"/>
      <c r="H118" s="106"/>
      <c r="I118" s="106"/>
      <c r="J118" s="106"/>
      <c r="K118" s="106"/>
      <c r="L118" s="106"/>
      <c r="M118" s="106"/>
      <c r="N118" s="106"/>
      <c r="O118" s="29"/>
      <c r="P118" s="106"/>
      <c r="Q118" s="106"/>
      <c r="R118" s="106"/>
      <c r="S118" s="106"/>
      <c r="T118" s="106"/>
      <c r="U118" s="106"/>
      <c r="V118" s="9"/>
      <c r="W118" s="106"/>
      <c r="X118" s="106"/>
      <c r="Y118" s="106"/>
      <c r="Z118" s="106"/>
      <c r="AA118" s="106"/>
      <c r="AB118" s="106"/>
      <c r="AC118" s="9"/>
      <c r="AD118" s="106"/>
      <c r="AE118" s="106"/>
      <c r="AF118" s="106"/>
      <c r="AG118" s="106"/>
      <c r="AH118" s="106"/>
      <c r="AI118" s="106"/>
      <c r="AJ118" s="9"/>
      <c r="AK118" s="106"/>
      <c r="AL118" s="106"/>
      <c r="AM118" s="106"/>
      <c r="AN118" s="106"/>
      <c r="AO118" s="106"/>
      <c r="AP118" s="106"/>
      <c r="AQ118" s="9"/>
      <c r="AR118" s="106"/>
      <c r="AS118" s="106"/>
      <c r="AT118" s="106"/>
      <c r="AU118" s="106"/>
      <c r="AV118" s="106"/>
      <c r="AW118" s="106"/>
      <c r="AX118" s="9"/>
    </row>
    <row r="119" spans="1:64" ht="13.05" hidden="1" customHeight="1" x14ac:dyDescent="0.25">
      <c r="A119" t="str">
        <f>Nutrients!B118</f>
        <v>Magnesium phosphate</v>
      </c>
      <c r="B119" s="106"/>
      <c r="C119" s="106"/>
      <c r="D119" s="106"/>
      <c r="E119" s="106"/>
      <c r="F119" s="106"/>
      <c r="G119" s="106"/>
      <c r="H119" s="106"/>
      <c r="I119" s="106"/>
      <c r="J119" s="106"/>
      <c r="K119" s="106"/>
      <c r="L119" s="106"/>
      <c r="M119" s="106"/>
      <c r="N119" s="106"/>
      <c r="O119" s="29"/>
      <c r="P119" s="106"/>
      <c r="Q119" s="106"/>
      <c r="R119" s="106"/>
      <c r="S119" s="106"/>
      <c r="T119" s="106"/>
      <c r="U119" s="106"/>
      <c r="V119" s="9"/>
      <c r="W119" s="106"/>
      <c r="X119" s="106"/>
      <c r="Y119" s="106"/>
      <c r="Z119" s="106"/>
      <c r="AA119" s="106"/>
      <c r="AB119" s="106"/>
      <c r="AC119" s="9"/>
      <c r="AD119" s="106"/>
      <c r="AE119" s="106"/>
      <c r="AF119" s="106"/>
      <c r="AG119" s="106"/>
      <c r="AH119" s="106"/>
      <c r="AI119" s="106"/>
      <c r="AJ119" s="9"/>
      <c r="AK119" s="106"/>
      <c r="AL119" s="106"/>
      <c r="AM119" s="106"/>
      <c r="AN119" s="106"/>
      <c r="AO119" s="106"/>
      <c r="AP119" s="106"/>
      <c r="AQ119" s="9"/>
      <c r="AR119" s="106"/>
      <c r="AS119" s="106"/>
      <c r="AT119" s="106"/>
      <c r="AU119" s="106"/>
      <c r="AV119" s="106"/>
      <c r="AW119" s="106"/>
      <c r="AX119" s="9"/>
    </row>
    <row r="120" spans="1:64" ht="13.05" hidden="1" customHeight="1" x14ac:dyDescent="0.25">
      <c r="A120" t="str">
        <f>Nutrients!B119</f>
        <v>Sodium carbonate</v>
      </c>
      <c r="B120" s="106"/>
      <c r="C120" s="106"/>
      <c r="D120" s="106"/>
      <c r="E120" s="106"/>
      <c r="F120" s="106"/>
      <c r="G120" s="106"/>
      <c r="H120" s="106"/>
      <c r="I120" s="106"/>
      <c r="J120" s="106"/>
      <c r="K120" s="106"/>
      <c r="L120" s="106"/>
      <c r="M120" s="106"/>
      <c r="N120" s="106"/>
      <c r="O120" s="29"/>
      <c r="P120" s="106"/>
      <c r="Q120" s="106"/>
      <c r="R120" s="106"/>
      <c r="S120" s="106"/>
      <c r="T120" s="106"/>
      <c r="U120" s="106"/>
      <c r="V120" s="9"/>
      <c r="W120" s="106"/>
      <c r="X120" s="106"/>
      <c r="Y120" s="106"/>
      <c r="Z120" s="106"/>
      <c r="AA120" s="106"/>
      <c r="AB120" s="106"/>
      <c r="AC120" s="9"/>
      <c r="AD120" s="106"/>
      <c r="AE120" s="106"/>
      <c r="AF120" s="106"/>
      <c r="AG120" s="106"/>
      <c r="AH120" s="106"/>
      <c r="AI120" s="106"/>
      <c r="AJ120" s="9"/>
      <c r="AK120" s="106"/>
      <c r="AL120" s="106"/>
      <c r="AM120" s="106"/>
      <c r="AN120" s="106"/>
      <c r="AO120" s="106"/>
      <c r="AP120" s="106"/>
      <c r="AQ120" s="9"/>
      <c r="AR120" s="106"/>
      <c r="AS120" s="106"/>
      <c r="AT120" s="106"/>
      <c r="AU120" s="106"/>
      <c r="AV120" s="106"/>
      <c r="AW120" s="106"/>
      <c r="AX120" s="9"/>
    </row>
    <row r="121" spans="1:64" ht="13.05" hidden="1" customHeight="1" x14ac:dyDescent="0.25">
      <c r="A121" t="str">
        <f>Nutrients!B120</f>
        <v>Sodium bicarbonate</v>
      </c>
      <c r="B121" s="106"/>
      <c r="C121" s="106"/>
      <c r="D121" s="106"/>
      <c r="E121" s="106"/>
      <c r="F121" s="106"/>
      <c r="G121" s="106"/>
      <c r="H121" s="106"/>
      <c r="I121" s="106"/>
      <c r="J121" s="106"/>
      <c r="K121" s="106"/>
      <c r="L121" s="106"/>
      <c r="M121" s="106"/>
      <c r="N121" s="106"/>
      <c r="O121" s="29"/>
      <c r="P121" s="106"/>
      <c r="Q121" s="106"/>
      <c r="R121" s="106"/>
      <c r="S121" s="106"/>
      <c r="T121" s="106"/>
      <c r="U121" s="106"/>
      <c r="V121" s="9"/>
      <c r="W121" s="106"/>
      <c r="X121" s="106"/>
      <c r="Y121" s="106"/>
      <c r="Z121" s="106"/>
      <c r="AA121" s="106"/>
      <c r="AB121" s="106"/>
      <c r="AC121" s="9"/>
      <c r="AD121" s="106"/>
      <c r="AE121" s="106"/>
      <c r="AF121" s="106"/>
      <c r="AG121" s="106"/>
      <c r="AH121" s="106"/>
      <c r="AI121" s="106"/>
      <c r="AJ121" s="9"/>
      <c r="AK121" s="106"/>
      <c r="AL121" s="106"/>
      <c r="AM121" s="106"/>
      <c r="AN121" s="106"/>
      <c r="AO121" s="106"/>
      <c r="AP121" s="106"/>
      <c r="AQ121" s="9"/>
      <c r="AR121" s="106"/>
      <c r="AS121" s="106"/>
      <c r="AT121" s="106"/>
      <c r="AU121" s="106"/>
      <c r="AV121" s="106"/>
      <c r="AW121" s="106"/>
      <c r="AX121" s="9"/>
    </row>
    <row r="122" spans="1:64" x14ac:dyDescent="0.25">
      <c r="A122" t="str">
        <f>Nutrients!B121</f>
        <v>Sodium chloride</v>
      </c>
      <c r="B122" s="106">
        <v>7</v>
      </c>
      <c r="C122" s="106">
        <v>7</v>
      </c>
      <c r="D122" s="106">
        <v>7</v>
      </c>
      <c r="E122" s="106">
        <v>7</v>
      </c>
      <c r="F122" s="106">
        <v>7</v>
      </c>
      <c r="G122" s="106">
        <v>7</v>
      </c>
      <c r="H122" s="106"/>
      <c r="I122" s="106">
        <v>7</v>
      </c>
      <c r="J122" s="106">
        <v>7</v>
      </c>
      <c r="K122" s="106">
        <v>7</v>
      </c>
      <c r="L122" s="106">
        <v>7</v>
      </c>
      <c r="M122" s="106">
        <v>7</v>
      </c>
      <c r="N122" s="106">
        <v>7</v>
      </c>
      <c r="O122" s="29"/>
      <c r="P122" s="106">
        <v>7</v>
      </c>
      <c r="Q122" s="106">
        <v>7</v>
      </c>
      <c r="R122" s="106">
        <v>7</v>
      </c>
      <c r="S122" s="106">
        <v>7</v>
      </c>
      <c r="T122" s="106">
        <v>7</v>
      </c>
      <c r="U122" s="106">
        <v>7</v>
      </c>
      <c r="V122" s="9"/>
      <c r="W122" s="106">
        <v>7</v>
      </c>
      <c r="X122" s="106">
        <v>7</v>
      </c>
      <c r="Y122" s="106">
        <v>7</v>
      </c>
      <c r="Z122" s="106">
        <v>7</v>
      </c>
      <c r="AA122" s="106">
        <v>7</v>
      </c>
      <c r="AB122" s="106">
        <v>7</v>
      </c>
      <c r="AC122" s="9"/>
      <c r="AD122" s="106">
        <v>7</v>
      </c>
      <c r="AE122" s="106">
        <v>7</v>
      </c>
      <c r="AF122" s="106">
        <v>7</v>
      </c>
      <c r="AG122" s="106">
        <v>7</v>
      </c>
      <c r="AH122" s="106">
        <v>7</v>
      </c>
      <c r="AI122" s="106">
        <v>7</v>
      </c>
      <c r="AJ122" s="9"/>
      <c r="AK122" s="106">
        <v>7</v>
      </c>
      <c r="AL122" s="106">
        <v>7</v>
      </c>
      <c r="AM122" s="106">
        <v>7</v>
      </c>
      <c r="AN122" s="106">
        <v>7</v>
      </c>
      <c r="AO122" s="106">
        <v>7</v>
      </c>
      <c r="AP122" s="106">
        <v>7</v>
      </c>
      <c r="AQ122" s="9"/>
      <c r="AR122" s="106">
        <v>7</v>
      </c>
      <c r="AS122" s="106">
        <v>7</v>
      </c>
      <c r="AT122" s="106">
        <v>7</v>
      </c>
      <c r="AU122" s="106">
        <v>7</v>
      </c>
      <c r="AV122" s="106">
        <v>7</v>
      </c>
      <c r="AW122" s="106">
        <v>7</v>
      </c>
      <c r="AX122" s="9"/>
    </row>
    <row r="123" spans="1:64" ht="13.05" hidden="1" customHeight="1" x14ac:dyDescent="0.25">
      <c r="A123" t="str">
        <f>Nutrients!B122</f>
        <v>Sodium phosphate, monobasic</v>
      </c>
      <c r="B123" s="106"/>
      <c r="C123" s="106"/>
      <c r="D123" s="106"/>
      <c r="E123" s="106"/>
      <c r="F123" s="106"/>
      <c r="G123" s="106"/>
      <c r="H123" s="106"/>
      <c r="I123" s="106"/>
      <c r="J123" s="106"/>
      <c r="K123" s="106"/>
      <c r="L123" s="106"/>
      <c r="M123" s="106"/>
      <c r="N123" s="106"/>
      <c r="O123" s="29"/>
      <c r="P123" s="106"/>
      <c r="Q123" s="106"/>
      <c r="R123" s="106"/>
      <c r="S123" s="106"/>
      <c r="T123" s="106"/>
      <c r="U123" s="106"/>
      <c r="V123" s="9"/>
      <c r="W123" s="106"/>
      <c r="X123" s="106"/>
      <c r="Y123" s="106"/>
      <c r="Z123" s="106"/>
      <c r="AA123" s="106"/>
      <c r="AB123" s="106"/>
      <c r="AC123" s="9"/>
      <c r="AD123" s="106"/>
      <c r="AE123" s="106"/>
      <c r="AF123" s="106"/>
      <c r="AG123" s="106"/>
      <c r="AH123" s="106"/>
      <c r="AI123" s="106"/>
      <c r="AJ123" s="9"/>
      <c r="AK123" s="106"/>
      <c r="AL123" s="106"/>
      <c r="AM123" s="106"/>
      <c r="AN123" s="106"/>
      <c r="AO123" s="106"/>
      <c r="AP123" s="106"/>
      <c r="AQ123" s="9"/>
      <c r="AR123" s="106"/>
      <c r="AS123" s="106"/>
      <c r="AT123" s="106"/>
      <c r="AU123" s="106"/>
      <c r="AV123" s="106"/>
      <c r="AW123" s="106"/>
      <c r="AX123" s="9"/>
    </row>
    <row r="124" spans="1:64" ht="13.05" hidden="1" customHeight="1" x14ac:dyDescent="0.25">
      <c r="A124" t="str">
        <f>Nutrients!B123</f>
        <v>Sodium sulfate, decahydrate</v>
      </c>
      <c r="B124" s="106"/>
      <c r="C124" s="106"/>
      <c r="D124" s="106"/>
      <c r="E124" s="106"/>
      <c r="F124" s="106"/>
      <c r="G124" s="106"/>
      <c r="H124" s="106"/>
      <c r="I124" s="106"/>
      <c r="J124" s="106"/>
      <c r="K124" s="106"/>
      <c r="L124" s="106"/>
      <c r="M124" s="106"/>
      <c r="N124" s="106"/>
      <c r="O124" s="29"/>
      <c r="P124" s="106"/>
      <c r="Q124" s="106"/>
      <c r="R124" s="106"/>
      <c r="S124" s="106"/>
      <c r="T124" s="106"/>
      <c r="U124" s="106"/>
      <c r="V124" s="9"/>
      <c r="W124" s="106"/>
      <c r="X124" s="106"/>
      <c r="Y124" s="106"/>
      <c r="Z124" s="106"/>
      <c r="AA124" s="106"/>
      <c r="AB124" s="106"/>
      <c r="AC124" s="9"/>
      <c r="AD124" s="106"/>
      <c r="AE124" s="106"/>
      <c r="AF124" s="106"/>
      <c r="AG124" s="106"/>
      <c r="AH124" s="106"/>
      <c r="AI124" s="106"/>
      <c r="AJ124" s="9"/>
      <c r="AK124" s="106"/>
      <c r="AL124" s="106"/>
      <c r="AM124" s="106"/>
      <c r="AN124" s="106"/>
      <c r="AO124" s="106"/>
      <c r="AP124" s="106"/>
      <c r="AQ124" s="9"/>
      <c r="AR124" s="106"/>
      <c r="AS124" s="106"/>
      <c r="AT124" s="106"/>
      <c r="AU124" s="106"/>
      <c r="AV124" s="106"/>
      <c r="AW124" s="106"/>
      <c r="AX124" s="9"/>
    </row>
    <row r="125" spans="1:64" x14ac:dyDescent="0.25">
      <c r="A125" t="s">
        <v>377</v>
      </c>
      <c r="B125" s="106">
        <v>9</v>
      </c>
      <c r="C125" s="106">
        <v>8</v>
      </c>
      <c r="D125" s="106">
        <v>7</v>
      </c>
      <c r="E125" s="106">
        <v>6.5209098242968704</v>
      </c>
      <c r="F125" s="106">
        <v>6.5209098242968704</v>
      </c>
      <c r="G125" s="106">
        <v>6.5209098242968704</v>
      </c>
      <c r="H125" s="106"/>
      <c r="I125" s="106">
        <v>9.43</v>
      </c>
      <c r="J125" s="106">
        <v>8.43</v>
      </c>
      <c r="K125" s="106">
        <v>7.43</v>
      </c>
      <c r="L125" s="106">
        <v>6.9509098242968701</v>
      </c>
      <c r="M125" s="106">
        <v>6.9509098242968701</v>
      </c>
      <c r="N125" s="106">
        <v>6.5209098242968704</v>
      </c>
      <c r="O125" s="106"/>
      <c r="P125" s="106">
        <v>9.86</v>
      </c>
      <c r="Q125" s="106">
        <v>8.86</v>
      </c>
      <c r="R125" s="106">
        <v>7.8599999999999994</v>
      </c>
      <c r="S125" s="106">
        <v>7.3809098242968698</v>
      </c>
      <c r="T125" s="106">
        <v>7.3809098242968698</v>
      </c>
      <c r="U125" s="106">
        <v>6.5209098242968704</v>
      </c>
      <c r="V125" s="106"/>
      <c r="W125" s="106">
        <v>10.29</v>
      </c>
      <c r="X125" s="106">
        <v>9.2899999999999991</v>
      </c>
      <c r="Y125" s="106">
        <v>8.2899999999999991</v>
      </c>
      <c r="Z125" s="106">
        <v>7.8109098242968695</v>
      </c>
      <c r="AA125" s="106">
        <v>7.8109098242968695</v>
      </c>
      <c r="AB125" s="106">
        <v>6.5209098242968704</v>
      </c>
      <c r="AC125" s="106"/>
      <c r="AD125" s="106">
        <v>10.719999999999999</v>
      </c>
      <c r="AE125" s="106">
        <v>9.7199999999999989</v>
      </c>
      <c r="AF125" s="106">
        <v>8.7199999999999989</v>
      </c>
      <c r="AG125" s="106">
        <v>8.2409098242968692</v>
      </c>
      <c r="AH125" s="106">
        <v>8.2409098242968692</v>
      </c>
      <c r="AI125" s="106">
        <v>6.5209098242968704</v>
      </c>
      <c r="AJ125" s="106"/>
      <c r="AK125" s="106">
        <v>11.149999999999999</v>
      </c>
      <c r="AL125" s="106">
        <v>10.149999999999999</v>
      </c>
      <c r="AM125" s="106">
        <v>9.1499999999999986</v>
      </c>
      <c r="AN125" s="106">
        <v>8.670909824296869</v>
      </c>
      <c r="AO125" s="106">
        <v>8.670909824296869</v>
      </c>
      <c r="AP125" s="106">
        <v>6.5209098242968704</v>
      </c>
      <c r="AQ125" s="106"/>
      <c r="AR125" s="106">
        <v>11.579999999999998</v>
      </c>
      <c r="AS125" s="106">
        <v>10.579999999999998</v>
      </c>
      <c r="AT125" s="106">
        <v>9.5799999999999983</v>
      </c>
      <c r="AU125" s="106">
        <v>9.1009098242968687</v>
      </c>
      <c r="AV125" s="106">
        <v>9.1009098242968687</v>
      </c>
      <c r="AW125" s="106">
        <v>6.5209098242968704</v>
      </c>
      <c r="AX125" s="9"/>
      <c r="AY125" s="106"/>
      <c r="AZ125" s="117"/>
      <c r="BA125" s="106"/>
      <c r="BB125" s="117"/>
      <c r="BC125" s="117"/>
      <c r="BD125" s="117"/>
      <c r="BE125" s="117"/>
      <c r="BG125" s="447"/>
      <c r="BH125" s="447"/>
      <c r="BI125" s="447"/>
      <c r="BJ125" s="447"/>
      <c r="BK125" s="447"/>
      <c r="BL125" s="447"/>
    </row>
    <row r="126" spans="1:64" x14ac:dyDescent="0.25">
      <c r="A126" t="s">
        <v>338</v>
      </c>
      <c r="B126" s="106">
        <v>2.7899868108851815</v>
      </c>
      <c r="C126" s="106">
        <v>1.9290679550175049</v>
      </c>
      <c r="D126" s="106">
        <v>1.13207908850893</v>
      </c>
      <c r="E126" s="106">
        <v>0.75200939944039891</v>
      </c>
      <c r="F126" s="106">
        <v>0.4642187503637718</v>
      </c>
      <c r="G126" s="106">
        <v>0.41815988679019511</v>
      </c>
      <c r="H126" s="106"/>
      <c r="I126" s="106">
        <v>2.5882973865483634</v>
      </c>
      <c r="J126" s="106">
        <v>1.7277975810719512</v>
      </c>
      <c r="K126" s="106">
        <f>D126-0.2</f>
        <v>0.93207908850893006</v>
      </c>
      <c r="L126" s="106">
        <f>E126-0.22</f>
        <v>0.53200939944039893</v>
      </c>
      <c r="M126" s="106">
        <f>F126-0.22</f>
        <v>0.2442187503637718</v>
      </c>
      <c r="N126" s="106">
        <v>0.41815988679019511</v>
      </c>
      <c r="O126" s="29"/>
      <c r="P126" s="106">
        <f>I126-0.2</f>
        <v>2.3882973865483632</v>
      </c>
      <c r="Q126" s="106">
        <f t="shared" ref="Q126:S126" si="16">J126-0.2</f>
        <v>1.5277975810719513</v>
      </c>
      <c r="R126" s="106">
        <f t="shared" si="16"/>
        <v>0.73207908850893011</v>
      </c>
      <c r="S126" s="106">
        <f t="shared" si="16"/>
        <v>0.33200939944039892</v>
      </c>
      <c r="T126" s="106"/>
      <c r="U126" s="106">
        <v>0.41815988679019511</v>
      </c>
      <c r="V126" s="9"/>
      <c r="W126" s="106">
        <f>P126-0.2</f>
        <v>2.188297386548363</v>
      </c>
      <c r="X126" s="106">
        <f t="shared" ref="X126:Z126" si="17">Q126-0.2</f>
        <v>1.3277975810719513</v>
      </c>
      <c r="Y126" s="106">
        <f t="shared" si="17"/>
        <v>0.53207908850893015</v>
      </c>
      <c r="Z126" s="106">
        <f t="shared" si="17"/>
        <v>0.13200939944039891</v>
      </c>
      <c r="AA126" s="106"/>
      <c r="AB126" s="106">
        <v>0.41815988679019511</v>
      </c>
      <c r="AC126" s="9"/>
      <c r="AD126" s="106">
        <f>W126-0.2</f>
        <v>1.9882973865483631</v>
      </c>
      <c r="AE126" s="106">
        <f t="shared" ref="AE126:AF126" si="18">X126-0.2</f>
        <v>1.1277975810719514</v>
      </c>
      <c r="AF126" s="106">
        <f t="shared" si="18"/>
        <v>0.33207908850893014</v>
      </c>
      <c r="AG126" s="106"/>
      <c r="AH126" s="106"/>
      <c r="AI126" s="106">
        <v>0.41815988679019511</v>
      </c>
      <c r="AJ126" s="9"/>
      <c r="AK126" s="106">
        <f>AD126-0.2</f>
        <v>1.7882973865483631</v>
      </c>
      <c r="AL126" s="106">
        <f t="shared" ref="AL126" si="19">AE126-0.2</f>
        <v>0.92779758107195143</v>
      </c>
      <c r="AM126" s="106"/>
      <c r="AN126" s="106"/>
      <c r="AO126" s="106"/>
      <c r="AP126" s="106">
        <v>0.41815988679019511</v>
      </c>
      <c r="AQ126" s="9"/>
      <c r="AR126" s="106">
        <f>AK126-0.2</f>
        <v>1.5882973865483632</v>
      </c>
      <c r="AS126" s="106">
        <f t="shared" ref="AS126" si="20">AL126-0.2</f>
        <v>0.72779758107195147</v>
      </c>
      <c r="AT126" s="106"/>
      <c r="AU126" s="106"/>
      <c r="AV126" s="106"/>
      <c r="AW126" s="106">
        <v>0.41815988679019511</v>
      </c>
      <c r="AX126" s="9"/>
      <c r="AY126" s="106"/>
      <c r="AZ126" s="117"/>
      <c r="BA126" s="117"/>
      <c r="BB126" s="117"/>
      <c r="BC126" s="117"/>
      <c r="BD126" s="117"/>
      <c r="BE126" s="117"/>
      <c r="BG126" s="446"/>
      <c r="BH126" s="446"/>
      <c r="BI126" s="446"/>
      <c r="BJ126" s="446"/>
      <c r="BK126" s="446"/>
      <c r="BL126" s="446"/>
    </row>
    <row r="127" spans="1:64" x14ac:dyDescent="0.25">
      <c r="A127" t="s">
        <v>339</v>
      </c>
      <c r="B127" s="106">
        <v>3.311714981497218</v>
      </c>
      <c r="C127" s="106">
        <v>2.6822978939662598</v>
      </c>
      <c r="D127" s="106">
        <v>2.0730406828281205</v>
      </c>
      <c r="E127" s="106">
        <v>1.9101926587313733</v>
      </c>
      <c r="F127" s="106">
        <v>1.8273540665098165</v>
      </c>
      <c r="G127" s="106">
        <v>1.8754623140236151</v>
      </c>
      <c r="H127" s="106"/>
      <c r="I127" s="106">
        <f>B127-0.12</f>
        <v>3.1917149814972179</v>
      </c>
      <c r="J127" s="106">
        <f t="shared" ref="J127:K127" si="21">C127-0.12</f>
        <v>2.5622978939662597</v>
      </c>
      <c r="K127" s="106">
        <f t="shared" si="21"/>
        <v>1.9530406828281204</v>
      </c>
      <c r="L127" s="106">
        <f>E127-0.13</f>
        <v>1.7801926587313734</v>
      </c>
      <c r="M127" s="106">
        <f>F127-0.15</f>
        <v>1.6773540665098166</v>
      </c>
      <c r="N127" s="106">
        <v>1.8754623140236151</v>
      </c>
      <c r="O127" s="29"/>
      <c r="P127" s="106">
        <f>I127-0.12</f>
        <v>3.0717149814972178</v>
      </c>
      <c r="Q127" s="106">
        <f>J127-0.11</f>
        <v>2.4522978939662599</v>
      </c>
      <c r="R127" s="106">
        <f>K127-0.11</f>
        <v>1.8430406828281203</v>
      </c>
      <c r="S127" s="106">
        <f>L127-0.12</f>
        <v>1.6601926587313733</v>
      </c>
      <c r="T127" s="106">
        <f>M127-0.12</f>
        <v>1.5573540665098164</v>
      </c>
      <c r="U127" s="106">
        <v>1.8754623140236151</v>
      </c>
      <c r="V127" s="9"/>
      <c r="W127" s="106">
        <f>P127-0.11</f>
        <v>2.9617149814972179</v>
      </c>
      <c r="X127" s="106">
        <f>Q127-0.11</f>
        <v>2.34229789396626</v>
      </c>
      <c r="Y127" s="106">
        <f>R127-0.11</f>
        <v>1.7330406828281202</v>
      </c>
      <c r="Z127" s="106">
        <f>S127-0.11</f>
        <v>1.5501926587313732</v>
      </c>
      <c r="AA127" s="106">
        <f>T127-0.11</f>
        <v>1.4473540665098164</v>
      </c>
      <c r="AB127" s="106">
        <v>1.8754623140236151</v>
      </c>
      <c r="AC127" s="9"/>
      <c r="AD127" s="106">
        <f>W127-0.11</f>
        <v>2.851714981497218</v>
      </c>
      <c r="AE127" s="106">
        <f>X127-0.11</f>
        <v>2.2322978939662601</v>
      </c>
      <c r="AF127" s="106">
        <f>Y127-0.11</f>
        <v>1.6230406828281201</v>
      </c>
      <c r="AG127" s="106">
        <f>Z127-0.11</f>
        <v>1.4401926587313731</v>
      </c>
      <c r="AH127" s="106">
        <f>AA127-0.11</f>
        <v>1.3373540665098163</v>
      </c>
      <c r="AI127" s="106">
        <v>1.8754623140236151</v>
      </c>
      <c r="AJ127" s="9"/>
      <c r="AK127" s="106">
        <f>AD127-0.11</f>
        <v>2.7417149814972182</v>
      </c>
      <c r="AL127" s="106">
        <f>AE127-0.11</f>
        <v>2.1222978939662602</v>
      </c>
      <c r="AM127" s="106">
        <f>AF127-0.11</f>
        <v>1.51304068282812</v>
      </c>
      <c r="AN127" s="106">
        <f>AG127-0.11</f>
        <v>1.330192658731373</v>
      </c>
      <c r="AO127" s="106">
        <f>AH127-0.11</f>
        <v>1.2273540665098162</v>
      </c>
      <c r="AP127" s="106">
        <v>1.8754623140236151</v>
      </c>
      <c r="AQ127" s="9"/>
      <c r="AR127" s="106">
        <f>AK127-0.11</f>
        <v>2.6317149814972183</v>
      </c>
      <c r="AS127" s="106">
        <f>AL127-0.11</f>
        <v>2.0122978939662604</v>
      </c>
      <c r="AT127" s="106">
        <f>AM127-0.11</f>
        <v>1.4030406828281199</v>
      </c>
      <c r="AU127" s="106">
        <f>AN127-0.11</f>
        <v>1.2201926587313729</v>
      </c>
      <c r="AV127" s="106">
        <f>AO127-0.11</f>
        <v>1.1173540665098161</v>
      </c>
      <c r="AW127" s="106">
        <v>1.8754623140236151</v>
      </c>
      <c r="AX127" s="9"/>
      <c r="AY127" s="106"/>
      <c r="AZ127" s="117"/>
      <c r="BA127" s="106"/>
      <c r="BB127" s="117"/>
      <c r="BC127" s="117"/>
      <c r="BD127" s="117"/>
      <c r="BE127" s="117"/>
      <c r="BG127" s="447"/>
      <c r="BH127" s="447"/>
      <c r="BI127" s="447"/>
      <c r="BJ127" s="447"/>
      <c r="BK127" s="447"/>
      <c r="BL127" s="447"/>
    </row>
    <row r="128" spans="1:64" x14ac:dyDescent="0.25">
      <c r="A128" t="s">
        <v>340</v>
      </c>
      <c r="B128" s="106">
        <v>0.64715411983197724</v>
      </c>
      <c r="C128" s="106">
        <v>0.56508100549263673</v>
      </c>
      <c r="D128" s="106">
        <v>0.47170370784158877</v>
      </c>
      <c r="E128" s="106">
        <v>0.46467722263870981</v>
      </c>
      <c r="F128" s="106">
        <v>0.5242318057378007</v>
      </c>
      <c r="G128" s="106">
        <v>0.53625865021646124</v>
      </c>
      <c r="H128" s="106"/>
      <c r="I128" s="106">
        <v>0.71347901910320866</v>
      </c>
      <c r="J128" s="106">
        <v>0.6303749007613858</v>
      </c>
      <c r="K128" s="106">
        <v>0.53614770830416902</v>
      </c>
      <c r="L128" s="106">
        <v>0.52160740074835188</v>
      </c>
      <c r="M128" s="106">
        <v>0.57180239827998214</v>
      </c>
      <c r="N128" s="106">
        <v>0.53625865021646124</v>
      </c>
      <c r="O128" s="29"/>
      <c r="P128" s="106">
        <v>0.77844506115054912</v>
      </c>
      <c r="Q128" s="106">
        <v>0.69469309080141695</v>
      </c>
      <c r="R128" s="106">
        <v>0.59614770830416908</v>
      </c>
      <c r="S128" s="106">
        <v>0.58160740074835182</v>
      </c>
      <c r="T128" s="106">
        <v>0.63180239827998208</v>
      </c>
      <c r="U128" s="106">
        <v>0.53625865021646124</v>
      </c>
      <c r="V128" s="9"/>
      <c r="W128" s="106">
        <v>0.83844506115054918</v>
      </c>
      <c r="X128" s="106">
        <v>0.75469309080141689</v>
      </c>
      <c r="Y128" s="106">
        <v>0.65614770830416913</v>
      </c>
      <c r="Z128" s="106">
        <v>0.64160740074835187</v>
      </c>
      <c r="AA128" s="106">
        <v>0.69180239827998213</v>
      </c>
      <c r="AB128" s="106">
        <v>0.53625865021646124</v>
      </c>
      <c r="AC128" s="9"/>
      <c r="AD128" s="106">
        <f>W128+0.04</f>
        <v>0.87844506115054921</v>
      </c>
      <c r="AE128" s="106">
        <f t="shared" ref="AE128" si="22">X128+0.04</f>
        <v>0.79469309080141692</v>
      </c>
      <c r="AF128" s="106">
        <f>Y128+0.06</f>
        <v>0.71614770830416918</v>
      </c>
      <c r="AG128" s="106">
        <f t="shared" ref="AG128:AH128" si="23">Z128+0.06</f>
        <v>0.70160740074835193</v>
      </c>
      <c r="AH128" s="106">
        <f t="shared" si="23"/>
        <v>0.75180239827998219</v>
      </c>
      <c r="AI128" s="106">
        <v>0.53625865021646124</v>
      </c>
      <c r="AJ128" s="9"/>
      <c r="AK128" s="106">
        <f>AD128+0.06</f>
        <v>0.93844506115054926</v>
      </c>
      <c r="AL128" s="106">
        <f>AE128+0.06</f>
        <v>0.85469309080141698</v>
      </c>
      <c r="AM128" s="106">
        <f>AF128+0.06</f>
        <v>0.77614770830416924</v>
      </c>
      <c r="AN128" s="106">
        <f t="shared" ref="AN128:AO128" si="24">AG128+0.06</f>
        <v>0.76160740074835198</v>
      </c>
      <c r="AO128" s="106">
        <f t="shared" si="24"/>
        <v>0.81180239827998224</v>
      </c>
      <c r="AP128" s="106">
        <v>0.53625865021646124</v>
      </c>
      <c r="AQ128" s="9"/>
      <c r="AR128" s="106">
        <f>AK128+0.06</f>
        <v>0.99844506115054932</v>
      </c>
      <c r="AS128" s="106">
        <f>AL128+0.06</f>
        <v>0.91469309080141703</v>
      </c>
      <c r="AT128" s="106">
        <f>AM128+0.06</f>
        <v>0.83614770830416929</v>
      </c>
      <c r="AU128" s="106">
        <f t="shared" ref="AU128:AV128" si="25">AN128+0.06</f>
        <v>0.82160740074835203</v>
      </c>
      <c r="AV128" s="106">
        <f t="shared" si="25"/>
        <v>0.87180239827998229</v>
      </c>
      <c r="AW128" s="106">
        <v>0.53625865021646124</v>
      </c>
      <c r="AX128" s="9"/>
      <c r="AY128" s="106"/>
      <c r="AZ128" s="117"/>
      <c r="BA128" s="117"/>
      <c r="BB128" s="117"/>
      <c r="BC128" s="117"/>
      <c r="BD128" s="117"/>
      <c r="BE128" s="117"/>
      <c r="BG128" s="447"/>
      <c r="BH128" s="447"/>
      <c r="BI128" s="447"/>
      <c r="BJ128" s="447"/>
      <c r="BK128" s="447"/>
      <c r="BL128" s="447"/>
    </row>
    <row r="129" spans="1:64" x14ac:dyDescent="0.25">
      <c r="A129" t="s">
        <v>341</v>
      </c>
      <c r="B129" s="106">
        <v>1.4782324055847444</v>
      </c>
      <c r="C129" s="106">
        <v>0.90319623176357955</v>
      </c>
      <c r="D129" s="106">
        <v>0.3833689639367559</v>
      </c>
      <c r="E129" s="106">
        <v>0.26954963031428469</v>
      </c>
      <c r="F129" s="106">
        <v>0.33319678683181891</v>
      </c>
      <c r="G129" s="106">
        <v>0.31598976510963955</v>
      </c>
      <c r="H129" s="106"/>
      <c r="I129" s="106">
        <v>1.1534631270189402</v>
      </c>
      <c r="J129" s="106">
        <v>0.64207904176193298</v>
      </c>
      <c r="K129" s="106">
        <v>0.24476566251149814</v>
      </c>
      <c r="L129" s="106">
        <v>0.10147995851664067</v>
      </c>
      <c r="M129" s="91">
        <v>0.14083246142135958</v>
      </c>
      <c r="N129" s="106">
        <v>0.31598976510963955</v>
      </c>
      <c r="O129" s="29"/>
      <c r="P129" s="106">
        <v>0.91004830116844904</v>
      </c>
      <c r="Q129" s="106">
        <v>0.45044963519489228</v>
      </c>
      <c r="R129" s="106">
        <v>0.11582866630828675</v>
      </c>
      <c r="S129" s="106"/>
      <c r="T129" s="106"/>
      <c r="U129" s="106">
        <v>0.31598976510963955</v>
      </c>
      <c r="V129" s="9"/>
      <c r="W129" s="106">
        <v>0.66589817086726644</v>
      </c>
      <c r="X129" s="106">
        <v>0.30659494288285954</v>
      </c>
      <c r="Y129" s="106"/>
      <c r="Z129" s="106"/>
      <c r="AA129" s="106"/>
      <c r="AB129" s="106">
        <v>0.31598976510963955</v>
      </c>
      <c r="AC129" s="9"/>
      <c r="AD129" s="106">
        <v>0.5460433606692181</v>
      </c>
      <c r="AE129" s="106">
        <v>0.16701127287845019</v>
      </c>
      <c r="AF129" s="106"/>
      <c r="AG129" s="106"/>
      <c r="AH129" s="106"/>
      <c r="AI129" s="106">
        <v>0.31598976510963955</v>
      </c>
      <c r="AJ129" s="9"/>
      <c r="AK129" s="106">
        <v>0.38209282857183691</v>
      </c>
      <c r="AL129" s="106">
        <v>4.0746449517981703E-2</v>
      </c>
      <c r="AM129" s="106"/>
      <c r="AN129" s="106"/>
      <c r="AO129" s="106"/>
      <c r="AP129" s="106">
        <v>0.31598976510963955</v>
      </c>
      <c r="AQ129" s="9"/>
      <c r="AR129" s="106">
        <v>0.23881768344794968</v>
      </c>
      <c r="AS129" s="106"/>
      <c r="AT129" s="106"/>
      <c r="AU129" s="106"/>
      <c r="AV129" s="106"/>
      <c r="AW129" s="106">
        <v>0.31598976510963955</v>
      </c>
      <c r="AX129" s="9"/>
      <c r="AY129" s="106"/>
      <c r="AZ129" s="117"/>
      <c r="BA129" s="117"/>
      <c r="BB129" s="117"/>
      <c r="BC129" s="117"/>
      <c r="BD129" s="117"/>
      <c r="BE129" s="117"/>
      <c r="BG129" s="446"/>
      <c r="BH129" s="446"/>
      <c r="BI129" s="446"/>
      <c r="BJ129" s="446"/>
      <c r="BK129" s="446"/>
      <c r="BL129" s="446"/>
    </row>
    <row r="130" spans="1:64" ht="13.05" hidden="1" customHeight="1" x14ac:dyDescent="0.25">
      <c r="A130" t="str">
        <f>Nutrients!B129</f>
        <v>L-Ile</v>
      </c>
      <c r="B130" s="106"/>
      <c r="C130" s="106"/>
      <c r="D130" s="106"/>
      <c r="E130" s="106"/>
      <c r="F130" s="106"/>
      <c r="G130" s="106"/>
      <c r="H130" s="106"/>
      <c r="I130" s="106"/>
      <c r="J130" s="106"/>
      <c r="K130" s="106"/>
      <c r="L130" s="106"/>
      <c r="M130" s="106"/>
      <c r="N130" s="106"/>
      <c r="O130" s="29"/>
      <c r="P130" s="106"/>
      <c r="Q130" s="106"/>
      <c r="R130" s="106"/>
      <c r="S130" s="106"/>
      <c r="T130" s="106"/>
      <c r="U130" s="106"/>
      <c r="V130" s="9"/>
      <c r="W130" s="106"/>
      <c r="X130" s="106"/>
      <c r="Y130" s="106"/>
      <c r="Z130" s="106"/>
      <c r="AA130" s="106"/>
      <c r="AB130" s="106"/>
      <c r="AC130" s="9"/>
      <c r="AD130" s="106"/>
      <c r="AE130" s="106"/>
      <c r="AF130" s="106"/>
      <c r="AG130" s="106"/>
      <c r="AH130" s="106"/>
      <c r="AI130" s="106"/>
      <c r="AJ130" s="9"/>
      <c r="AK130" s="106"/>
      <c r="AL130" s="106"/>
      <c r="AM130" s="106"/>
      <c r="AN130" s="106"/>
      <c r="AO130" s="106"/>
      <c r="AP130" s="106"/>
      <c r="AQ130" s="9"/>
      <c r="AR130" s="106"/>
      <c r="AS130" s="106"/>
      <c r="AT130" s="106"/>
      <c r="AU130" s="106"/>
      <c r="AV130" s="106"/>
      <c r="AW130" s="106"/>
      <c r="AX130" s="9"/>
    </row>
    <row r="131" spans="1:64" ht="13.05" hidden="1" customHeight="1" x14ac:dyDescent="0.25">
      <c r="A131" t="str">
        <f>Nutrients!B130</f>
        <v>Methionine hydroxy analog</v>
      </c>
      <c r="B131" s="106"/>
      <c r="C131" s="106"/>
      <c r="D131" s="106"/>
      <c r="E131" s="106"/>
      <c r="F131" s="106"/>
      <c r="G131" s="106"/>
      <c r="H131" s="106"/>
      <c r="I131" s="106"/>
      <c r="J131" s="106"/>
      <c r="K131" s="106"/>
      <c r="L131" s="106"/>
      <c r="M131" s="106"/>
      <c r="N131" s="106"/>
      <c r="O131" s="29"/>
      <c r="P131" s="106"/>
      <c r="Q131" s="106"/>
      <c r="R131" s="106"/>
      <c r="S131" s="106"/>
      <c r="T131" s="106"/>
      <c r="U131" s="106"/>
      <c r="V131" s="9"/>
      <c r="W131" s="106"/>
      <c r="X131" s="106"/>
      <c r="Y131" s="106"/>
      <c r="Z131" s="106"/>
      <c r="AA131" s="106"/>
      <c r="AB131" s="106"/>
      <c r="AC131" s="9"/>
      <c r="AD131" s="106"/>
      <c r="AE131" s="106"/>
      <c r="AF131" s="106"/>
      <c r="AG131" s="106"/>
      <c r="AH131" s="106"/>
      <c r="AI131" s="106"/>
      <c r="AJ131" s="9"/>
      <c r="AK131" s="106"/>
      <c r="AL131" s="106"/>
      <c r="AM131" s="106"/>
      <c r="AN131" s="106"/>
      <c r="AO131" s="106"/>
      <c r="AP131" s="106"/>
      <c r="AQ131" s="9"/>
      <c r="AR131" s="106"/>
      <c r="AS131" s="106"/>
      <c r="AT131" s="106"/>
      <c r="AU131" s="106"/>
      <c r="AV131" s="106"/>
      <c r="AW131" s="106"/>
      <c r="AX131" s="9"/>
    </row>
    <row r="132" spans="1:64" ht="13.05" hidden="1" customHeight="1" x14ac:dyDescent="0.25">
      <c r="A132" t="str">
        <f>Nutrients!B131</f>
        <v>Glutamine</v>
      </c>
      <c r="B132" s="106"/>
      <c r="C132" s="106"/>
      <c r="D132" s="106"/>
      <c r="E132" s="106"/>
      <c r="F132" s="106"/>
      <c r="G132" s="106"/>
      <c r="H132" s="106"/>
      <c r="I132" s="106"/>
      <c r="J132" s="106"/>
      <c r="K132" s="106"/>
      <c r="L132" s="106"/>
      <c r="M132" s="106"/>
      <c r="N132" s="106"/>
      <c r="O132" s="29"/>
      <c r="P132" s="106"/>
      <c r="Q132" s="106"/>
      <c r="R132" s="106"/>
      <c r="S132" s="106"/>
      <c r="T132" s="106"/>
      <c r="U132" s="106"/>
      <c r="V132" s="9"/>
      <c r="W132" s="106"/>
      <c r="X132" s="106"/>
      <c r="Y132" s="106"/>
      <c r="Z132" s="106"/>
      <c r="AA132" s="106"/>
      <c r="AB132" s="106"/>
      <c r="AC132" s="9"/>
      <c r="AD132" s="106"/>
      <c r="AE132" s="106"/>
      <c r="AF132" s="106"/>
      <c r="AG132" s="106"/>
      <c r="AH132" s="106"/>
      <c r="AI132" s="106"/>
      <c r="AJ132" s="9"/>
      <c r="AK132" s="106"/>
      <c r="AL132" s="106"/>
      <c r="AM132" s="106"/>
      <c r="AN132" s="106"/>
      <c r="AO132" s="106"/>
      <c r="AP132" s="106"/>
      <c r="AQ132" s="9"/>
      <c r="AR132" s="106"/>
      <c r="AS132" s="106"/>
      <c r="AT132" s="106"/>
      <c r="AU132" s="106"/>
      <c r="AV132" s="106"/>
      <c r="AW132" s="106"/>
      <c r="AX132" s="9"/>
    </row>
    <row r="133" spans="1:64" ht="13.05" hidden="1" customHeight="1" x14ac:dyDescent="0.25">
      <c r="A133" t="str">
        <f>Nutrients!B132</f>
        <v>Glutamic acid</v>
      </c>
      <c r="B133" s="106"/>
      <c r="C133" s="106"/>
      <c r="D133" s="106"/>
      <c r="E133" s="106"/>
      <c r="F133" s="106"/>
      <c r="G133" s="106"/>
      <c r="H133" s="106"/>
      <c r="I133" s="106"/>
      <c r="J133" s="106"/>
      <c r="K133" s="106"/>
      <c r="L133" s="106"/>
      <c r="M133" s="106"/>
      <c r="N133" s="106"/>
      <c r="O133" s="29"/>
      <c r="P133" s="106"/>
      <c r="Q133" s="106"/>
      <c r="R133" s="106"/>
      <c r="S133" s="106"/>
      <c r="T133" s="106"/>
      <c r="U133" s="106"/>
      <c r="V133" s="9"/>
      <c r="W133" s="106"/>
      <c r="X133" s="106"/>
      <c r="Y133" s="106"/>
      <c r="Z133" s="106"/>
      <c r="AA133" s="106"/>
      <c r="AB133" s="106"/>
      <c r="AC133" s="9"/>
      <c r="AD133" s="106"/>
      <c r="AE133" s="106"/>
      <c r="AF133" s="106"/>
      <c r="AG133" s="106"/>
      <c r="AH133" s="106"/>
      <c r="AI133" s="106"/>
      <c r="AJ133" s="9"/>
      <c r="AK133" s="106"/>
      <c r="AL133" s="106"/>
      <c r="AM133" s="106"/>
      <c r="AN133" s="106"/>
      <c r="AO133" s="106"/>
      <c r="AP133" s="106"/>
      <c r="AQ133" s="9"/>
      <c r="AR133" s="106"/>
      <c r="AS133" s="106"/>
      <c r="AT133" s="106"/>
      <c r="AU133" s="106"/>
      <c r="AV133" s="106"/>
      <c r="AW133" s="106"/>
      <c r="AX133" s="9"/>
    </row>
    <row r="134" spans="1:64" ht="13.05" hidden="1" customHeight="1" x14ac:dyDescent="0.25">
      <c r="A134" t="str">
        <f>Nutrients!B133</f>
        <v>Biolys</v>
      </c>
      <c r="B134" s="106"/>
      <c r="C134" s="106"/>
      <c r="D134" s="106"/>
      <c r="E134" s="106"/>
      <c r="F134" s="106"/>
      <c r="G134" s="106"/>
      <c r="H134" s="106"/>
      <c r="I134" s="106"/>
      <c r="J134" s="106"/>
      <c r="K134" s="106"/>
      <c r="L134" s="106"/>
      <c r="M134" s="106"/>
      <c r="N134" s="106"/>
      <c r="O134" s="29"/>
      <c r="P134" s="106"/>
      <c r="Q134" s="106"/>
      <c r="R134" s="106"/>
      <c r="S134" s="106"/>
      <c r="T134" s="106"/>
      <c r="U134" s="106"/>
      <c r="V134" s="9"/>
      <c r="W134" s="106"/>
      <c r="X134" s="106"/>
      <c r="Y134" s="106"/>
      <c r="Z134" s="106"/>
      <c r="AA134" s="106"/>
      <c r="AB134" s="106"/>
      <c r="AC134" s="9"/>
      <c r="AD134" s="106"/>
      <c r="AE134" s="106"/>
      <c r="AF134" s="106"/>
      <c r="AG134" s="106"/>
      <c r="AH134" s="106"/>
      <c r="AI134" s="106"/>
      <c r="AJ134" s="9"/>
      <c r="AK134" s="106"/>
      <c r="AL134" s="106"/>
      <c r="AM134" s="106"/>
      <c r="AN134" s="106"/>
      <c r="AO134" s="106"/>
      <c r="AP134" s="106"/>
      <c r="AQ134" s="9"/>
      <c r="AR134" s="106"/>
      <c r="AS134" s="106"/>
      <c r="AT134" s="106"/>
      <c r="AU134" s="106"/>
      <c r="AV134" s="106"/>
      <c r="AW134" s="106"/>
      <c r="AX134" s="9"/>
    </row>
    <row r="135" spans="1:64" ht="13.05" hidden="1" customHeight="1" x14ac:dyDescent="0.25">
      <c r="A135" t="str">
        <f>Nutrients!B134</f>
        <v>Liquid lysine 60%</v>
      </c>
      <c r="B135" s="106"/>
      <c r="C135" s="106"/>
      <c r="D135" s="106"/>
      <c r="E135" s="106"/>
      <c r="F135" s="106"/>
      <c r="G135" s="106"/>
      <c r="H135" s="106"/>
      <c r="I135" s="106"/>
      <c r="J135" s="106"/>
      <c r="K135" s="106"/>
      <c r="L135" s="106"/>
      <c r="M135" s="106"/>
      <c r="N135" s="106"/>
      <c r="O135" s="29"/>
      <c r="P135" s="106"/>
      <c r="Q135" s="106"/>
      <c r="R135" s="106"/>
      <c r="S135" s="106"/>
      <c r="T135" s="106"/>
      <c r="U135" s="106"/>
      <c r="V135" s="9"/>
      <c r="W135" s="106"/>
      <c r="X135" s="106"/>
      <c r="Y135" s="106"/>
      <c r="Z135" s="106"/>
      <c r="AA135" s="106"/>
      <c r="AB135" s="106"/>
      <c r="AC135" s="9"/>
      <c r="AD135" s="106"/>
      <c r="AE135" s="106"/>
      <c r="AF135" s="106"/>
      <c r="AG135" s="106"/>
      <c r="AH135" s="106"/>
      <c r="AI135" s="106"/>
      <c r="AJ135" s="9"/>
      <c r="AK135" s="106"/>
      <c r="AL135" s="106"/>
      <c r="AM135" s="106"/>
      <c r="AN135" s="106"/>
      <c r="AO135" s="106"/>
      <c r="AP135" s="106"/>
      <c r="AQ135" s="9"/>
      <c r="AR135" s="106"/>
      <c r="AS135" s="106"/>
      <c r="AT135" s="106"/>
      <c r="AU135" s="106"/>
      <c r="AV135" s="106"/>
      <c r="AW135" s="106"/>
      <c r="AX135" s="9"/>
    </row>
    <row r="136" spans="1:64" ht="13.05" hidden="1" customHeight="1" x14ac:dyDescent="0.25">
      <c r="A136" t="str">
        <f>Nutrients!B135</f>
        <v>MHA dry</v>
      </c>
      <c r="B136" s="106"/>
      <c r="C136" s="106"/>
      <c r="D136" s="106"/>
      <c r="E136" s="106"/>
      <c r="F136" s="106"/>
      <c r="G136" s="106"/>
      <c r="H136" s="106"/>
      <c r="I136" s="106"/>
      <c r="J136" s="106"/>
      <c r="K136" s="106"/>
      <c r="L136" s="106"/>
      <c r="M136" s="106"/>
      <c r="N136" s="106"/>
      <c r="O136" s="29"/>
      <c r="P136" s="106"/>
      <c r="Q136" s="106"/>
      <c r="R136" s="106"/>
      <c r="S136" s="106"/>
      <c r="T136" s="106"/>
      <c r="U136" s="106"/>
      <c r="V136" s="9"/>
      <c r="W136" s="106"/>
      <c r="X136" s="106"/>
      <c r="Y136" s="106"/>
      <c r="Z136" s="106"/>
      <c r="AA136" s="106"/>
      <c r="AB136" s="106"/>
      <c r="AC136" s="9"/>
      <c r="AD136" s="106"/>
      <c r="AE136" s="106"/>
      <c r="AF136" s="106"/>
      <c r="AG136" s="106"/>
      <c r="AH136" s="106"/>
      <c r="AI136" s="106"/>
      <c r="AJ136" s="9"/>
      <c r="AK136" s="106"/>
      <c r="AL136" s="106"/>
      <c r="AM136" s="106"/>
      <c r="AN136" s="106"/>
      <c r="AO136" s="106"/>
      <c r="AP136" s="106"/>
      <c r="AQ136" s="9"/>
      <c r="AR136" s="106"/>
      <c r="AS136" s="106"/>
      <c r="AT136" s="106"/>
      <c r="AU136" s="106"/>
      <c r="AV136" s="106"/>
      <c r="AW136" s="106"/>
      <c r="AX136" s="9"/>
    </row>
    <row r="137" spans="1:64" ht="13.05" hidden="1" customHeight="1" x14ac:dyDescent="0.25">
      <c r="A137" t="str">
        <f>Nutrients!B136</f>
        <v>Paylean, 9 g/lb</v>
      </c>
      <c r="B137" s="106"/>
      <c r="C137" s="106"/>
      <c r="D137" s="106"/>
      <c r="E137" s="106"/>
      <c r="F137" s="106"/>
      <c r="G137" s="106"/>
      <c r="H137" s="106"/>
      <c r="I137" s="106"/>
      <c r="J137" s="106"/>
      <c r="K137" s="106"/>
      <c r="L137" s="106"/>
      <c r="M137" s="106"/>
      <c r="N137" s="106"/>
      <c r="O137" s="29"/>
      <c r="P137" s="106"/>
      <c r="Q137" s="106"/>
      <c r="R137" s="106"/>
      <c r="S137" s="106"/>
      <c r="T137" s="106"/>
      <c r="U137" s="106"/>
      <c r="V137" s="9"/>
      <c r="W137" s="106"/>
      <c r="X137" s="106"/>
      <c r="Y137" s="106"/>
      <c r="Z137" s="106"/>
      <c r="AA137" s="106"/>
      <c r="AB137" s="106"/>
      <c r="AC137" s="9"/>
      <c r="AD137" s="106"/>
      <c r="AE137" s="106"/>
      <c r="AF137" s="106"/>
      <c r="AG137" s="106"/>
      <c r="AH137" s="106"/>
      <c r="AI137" s="106"/>
      <c r="AJ137" s="9"/>
      <c r="AK137" s="106"/>
      <c r="AL137" s="106"/>
      <c r="AM137" s="106"/>
      <c r="AN137" s="106"/>
      <c r="AO137" s="106"/>
      <c r="AP137" s="106"/>
      <c r="AQ137" s="9"/>
      <c r="AR137" s="106"/>
      <c r="AS137" s="106"/>
      <c r="AT137" s="106"/>
      <c r="AU137" s="106"/>
      <c r="AV137" s="106"/>
      <c r="AW137" s="106"/>
      <c r="AX137" s="9"/>
    </row>
    <row r="138" spans="1:64" ht="13.05" hidden="1" customHeight="1" x14ac:dyDescent="0.25">
      <c r="A138" t="str">
        <f>Nutrients!B137</f>
        <v>Tribasic copper chloride</v>
      </c>
      <c r="B138" s="106"/>
      <c r="C138" s="106"/>
      <c r="D138" s="106"/>
      <c r="E138" s="106"/>
      <c r="F138" s="106"/>
      <c r="G138" s="106"/>
      <c r="H138" s="106"/>
      <c r="I138" s="106"/>
      <c r="J138" s="106"/>
      <c r="K138" s="106"/>
      <c r="L138" s="106"/>
      <c r="M138" s="106"/>
      <c r="N138" s="106"/>
      <c r="O138" s="29"/>
      <c r="P138" s="106"/>
      <c r="Q138" s="106"/>
      <c r="R138" s="106"/>
      <c r="S138" s="106"/>
      <c r="T138" s="106"/>
      <c r="U138" s="106"/>
      <c r="V138" s="9"/>
      <c r="W138" s="106"/>
      <c r="X138" s="106"/>
      <c r="Y138" s="106"/>
      <c r="Z138" s="106"/>
      <c r="AA138" s="106"/>
      <c r="AB138" s="106"/>
      <c r="AC138" s="9"/>
      <c r="AD138" s="106"/>
      <c r="AE138" s="106"/>
      <c r="AF138" s="106"/>
      <c r="AG138" s="106"/>
      <c r="AH138" s="106"/>
      <c r="AI138" s="106"/>
      <c r="AJ138" s="9"/>
      <c r="AK138" s="106"/>
      <c r="AL138" s="106"/>
      <c r="AM138" s="106"/>
      <c r="AN138" s="106"/>
      <c r="AO138" s="106"/>
      <c r="AP138" s="106"/>
      <c r="AQ138" s="9"/>
      <c r="AR138" s="106"/>
      <c r="AS138" s="106"/>
      <c r="AT138" s="106"/>
      <c r="AU138" s="106"/>
      <c r="AV138" s="106"/>
      <c r="AW138" s="106"/>
      <c r="AX138" s="9"/>
    </row>
    <row r="139" spans="1:64" ht="13.05" hidden="1" customHeight="1" x14ac:dyDescent="0.25">
      <c r="A139" t="str">
        <f>Nutrients!B138</f>
        <v>2018 Starter base mix</v>
      </c>
      <c r="B139" s="106"/>
      <c r="C139" s="106"/>
      <c r="D139" s="106"/>
      <c r="E139" s="106"/>
      <c r="F139" s="106"/>
      <c r="G139" s="106"/>
      <c r="H139" s="106"/>
      <c r="I139" s="106"/>
      <c r="J139" s="106"/>
      <c r="K139" s="106"/>
      <c r="L139" s="106"/>
      <c r="M139" s="106"/>
      <c r="N139" s="106"/>
      <c r="O139" s="29"/>
      <c r="P139" s="106"/>
      <c r="Q139" s="106"/>
      <c r="R139" s="106"/>
      <c r="S139" s="106"/>
      <c r="T139" s="106"/>
      <c r="U139" s="106"/>
      <c r="V139" s="9"/>
      <c r="W139" s="106"/>
      <c r="X139" s="106"/>
      <c r="Y139" s="106"/>
      <c r="Z139" s="106"/>
      <c r="AA139" s="106"/>
      <c r="AB139" s="106"/>
      <c r="AC139" s="9"/>
      <c r="AD139" s="106"/>
      <c r="AE139" s="106"/>
      <c r="AF139" s="106"/>
      <c r="AG139" s="106"/>
      <c r="AH139" s="106"/>
      <c r="AI139" s="106"/>
      <c r="AJ139" s="9"/>
      <c r="AK139" s="106"/>
      <c r="AL139" s="106"/>
      <c r="AM139" s="106"/>
      <c r="AN139" s="106"/>
      <c r="AO139" s="106"/>
      <c r="AP139" s="106"/>
      <c r="AQ139" s="9"/>
      <c r="AR139" s="106"/>
      <c r="AS139" s="106"/>
      <c r="AT139" s="106"/>
      <c r="AU139" s="106"/>
      <c r="AV139" s="106"/>
      <c r="AW139" s="106"/>
      <c r="AX139" s="9"/>
    </row>
    <row r="140" spans="1:64" ht="13.05" hidden="1" customHeight="1" x14ac:dyDescent="0.25">
      <c r="A140" t="str">
        <f>Nutrients!B139</f>
        <v>2018 Grow-finish base mix</v>
      </c>
      <c r="B140" s="106"/>
      <c r="C140" s="106"/>
      <c r="D140" s="106"/>
      <c r="E140" s="106"/>
      <c r="F140" s="106"/>
      <c r="G140" s="106"/>
      <c r="H140" s="106"/>
      <c r="I140" s="106"/>
      <c r="J140" s="106"/>
      <c r="K140" s="106"/>
      <c r="L140" s="106"/>
      <c r="M140" s="106"/>
      <c r="N140" s="106"/>
      <c r="O140" s="29"/>
      <c r="P140" s="106"/>
      <c r="Q140" s="106"/>
      <c r="R140" s="106"/>
      <c r="S140" s="106"/>
      <c r="T140" s="106"/>
      <c r="U140" s="106"/>
      <c r="V140" s="9"/>
      <c r="W140" s="106"/>
      <c r="X140" s="106"/>
      <c r="Y140" s="106"/>
      <c r="Z140" s="106"/>
      <c r="AA140" s="106"/>
      <c r="AB140" s="106"/>
      <c r="AC140" s="9"/>
      <c r="AD140" s="106"/>
      <c r="AE140" s="106"/>
      <c r="AF140" s="106"/>
      <c r="AG140" s="106"/>
      <c r="AH140" s="106"/>
      <c r="AI140" s="106"/>
      <c r="AJ140" s="9"/>
      <c r="AK140" s="106"/>
      <c r="AL140" s="106"/>
      <c r="AM140" s="106"/>
      <c r="AN140" s="106"/>
      <c r="AO140" s="106"/>
      <c r="AP140" s="106"/>
      <c r="AQ140" s="9"/>
      <c r="AR140" s="106"/>
      <c r="AS140" s="106"/>
      <c r="AT140" s="106"/>
      <c r="AU140" s="106"/>
      <c r="AV140" s="106"/>
      <c r="AW140" s="106"/>
      <c r="AX140" s="9"/>
    </row>
    <row r="141" spans="1:64" ht="13.05" hidden="1" customHeight="1" x14ac:dyDescent="0.25">
      <c r="A141" t="str">
        <f>Nutrients!B140</f>
        <v>Developer base mix</v>
      </c>
      <c r="B141" s="106"/>
      <c r="C141" s="106"/>
      <c r="D141" s="106"/>
      <c r="E141" s="106"/>
      <c r="F141" s="106"/>
      <c r="G141" s="106"/>
      <c r="H141" s="106"/>
      <c r="I141" s="106"/>
      <c r="J141" s="106"/>
      <c r="K141" s="106"/>
      <c r="L141" s="106"/>
      <c r="M141" s="106"/>
      <c r="N141" s="106"/>
      <c r="O141" s="29"/>
      <c r="P141" s="106"/>
      <c r="Q141" s="106"/>
      <c r="R141" s="106"/>
      <c r="S141" s="106"/>
      <c r="T141" s="106"/>
      <c r="U141" s="106"/>
      <c r="V141" s="9"/>
      <c r="W141" s="106"/>
      <c r="X141" s="106"/>
      <c r="Y141" s="106"/>
      <c r="Z141" s="106"/>
      <c r="AA141" s="106"/>
      <c r="AB141" s="106"/>
      <c r="AC141" s="9"/>
      <c r="AD141" s="106"/>
      <c r="AE141" s="106"/>
      <c r="AF141" s="106"/>
      <c r="AG141" s="106"/>
      <c r="AH141" s="106"/>
      <c r="AI141" s="106"/>
      <c r="AJ141" s="9"/>
      <c r="AK141" s="106"/>
      <c r="AL141" s="106"/>
      <c r="AM141" s="106"/>
      <c r="AN141" s="106"/>
      <c r="AO141" s="106"/>
      <c r="AP141" s="106"/>
      <c r="AQ141" s="9"/>
      <c r="AR141" s="106"/>
      <c r="AS141" s="106"/>
      <c r="AT141" s="106"/>
      <c r="AU141" s="106"/>
      <c r="AV141" s="106"/>
      <c r="AW141" s="106"/>
      <c r="AX141" s="9"/>
    </row>
    <row r="142" spans="1:64" ht="13.05" hidden="1" customHeight="1" x14ac:dyDescent="0.25">
      <c r="A142" t="str">
        <f>Nutrients!B141</f>
        <v>2018 Sow base mix</v>
      </c>
      <c r="B142" s="106"/>
      <c r="C142" s="106"/>
      <c r="D142" s="106"/>
      <c r="E142" s="106"/>
      <c r="F142" s="106"/>
      <c r="G142" s="106"/>
      <c r="H142" s="106"/>
      <c r="I142" s="106"/>
      <c r="J142" s="106"/>
      <c r="K142" s="106"/>
      <c r="L142" s="106"/>
      <c r="M142" s="106"/>
      <c r="N142" s="106"/>
      <c r="O142" s="29"/>
      <c r="P142" s="106"/>
      <c r="Q142" s="106"/>
      <c r="R142" s="106"/>
      <c r="S142" s="106"/>
      <c r="T142" s="106"/>
      <c r="U142" s="106"/>
      <c r="V142" s="9"/>
      <c r="W142" s="106"/>
      <c r="X142" s="106"/>
      <c r="Y142" s="106"/>
      <c r="Z142" s="106"/>
      <c r="AA142" s="106"/>
      <c r="AB142" s="106"/>
      <c r="AC142" s="9"/>
      <c r="AD142" s="106"/>
      <c r="AE142" s="106"/>
      <c r="AF142" s="106"/>
      <c r="AG142" s="106"/>
      <c r="AH142" s="106"/>
      <c r="AI142" s="106"/>
      <c r="AJ142" s="9"/>
      <c r="AK142" s="106"/>
      <c r="AL142" s="106"/>
      <c r="AM142" s="106"/>
      <c r="AN142" s="106"/>
      <c r="AO142" s="106"/>
      <c r="AP142" s="106"/>
      <c r="AQ142" s="9"/>
      <c r="AR142" s="106"/>
      <c r="AS142" s="106"/>
      <c r="AT142" s="106"/>
      <c r="AU142" s="106"/>
      <c r="AV142" s="106"/>
      <c r="AW142" s="106"/>
      <c r="AX142" s="9"/>
    </row>
    <row r="143" spans="1:64" hidden="1" x14ac:dyDescent="0.25">
      <c r="A143" t="str">
        <f>Nutrients!B142</f>
        <v>Vitamin premix with phytase</v>
      </c>
      <c r="B143" s="106"/>
      <c r="C143" s="106"/>
      <c r="D143" s="106"/>
      <c r="E143" s="106"/>
      <c r="F143" s="106"/>
      <c r="G143" s="106"/>
      <c r="H143" s="106"/>
      <c r="I143" s="106"/>
      <c r="J143" s="106"/>
      <c r="K143" s="106"/>
      <c r="L143" s="106"/>
      <c r="M143" s="106"/>
      <c r="N143" s="106"/>
      <c r="O143" s="29"/>
      <c r="P143" s="106"/>
      <c r="Q143" s="106"/>
      <c r="R143" s="106"/>
      <c r="S143" s="106"/>
      <c r="T143" s="106"/>
      <c r="U143" s="106"/>
      <c r="V143" s="9"/>
      <c r="W143" s="106"/>
      <c r="X143" s="106"/>
      <c r="Y143" s="106"/>
      <c r="Z143" s="106"/>
      <c r="AA143" s="106"/>
      <c r="AB143" s="106"/>
      <c r="AC143" s="9"/>
      <c r="AD143" s="106"/>
      <c r="AE143" s="106"/>
      <c r="AF143" s="106"/>
      <c r="AG143" s="106"/>
      <c r="AH143" s="106"/>
      <c r="AI143" s="106"/>
      <c r="AJ143" s="9"/>
      <c r="AK143" s="106"/>
      <c r="AL143" s="106"/>
      <c r="AM143" s="106"/>
      <c r="AN143" s="106"/>
      <c r="AO143" s="106"/>
      <c r="AP143" s="106"/>
      <c r="AQ143" s="9"/>
      <c r="AR143" s="106"/>
      <c r="AS143" s="106"/>
      <c r="AT143" s="106"/>
      <c r="AU143" s="106"/>
      <c r="AV143" s="106"/>
      <c r="AW143" s="106"/>
      <c r="AX143" s="9"/>
    </row>
    <row r="144" spans="1:64" x14ac:dyDescent="0.25">
      <c r="A144" t="str">
        <f>Nutrients!B143</f>
        <v>Trace mineral premix</v>
      </c>
      <c r="B144" s="106">
        <v>3</v>
      </c>
      <c r="C144" s="106">
        <v>3</v>
      </c>
      <c r="D144" s="106">
        <v>2.5</v>
      </c>
      <c r="E144" s="106">
        <v>2</v>
      </c>
      <c r="F144" s="106">
        <v>1.5</v>
      </c>
      <c r="G144" s="106">
        <v>1.5</v>
      </c>
      <c r="H144" s="106"/>
      <c r="I144" s="106">
        <v>3</v>
      </c>
      <c r="J144" s="106">
        <v>3</v>
      </c>
      <c r="K144" s="106">
        <v>2.5</v>
      </c>
      <c r="L144" s="106">
        <v>2</v>
      </c>
      <c r="M144" s="106">
        <v>1.5</v>
      </c>
      <c r="N144" s="106">
        <v>1.5</v>
      </c>
      <c r="O144" s="29"/>
      <c r="P144" s="106">
        <v>3</v>
      </c>
      <c r="Q144" s="106">
        <v>3</v>
      </c>
      <c r="R144" s="106">
        <v>2.5</v>
      </c>
      <c r="S144" s="106">
        <v>2</v>
      </c>
      <c r="T144" s="106">
        <v>1.5</v>
      </c>
      <c r="U144" s="106">
        <v>1.5</v>
      </c>
      <c r="V144" s="9"/>
      <c r="W144" s="106">
        <v>3</v>
      </c>
      <c r="X144" s="106">
        <v>3</v>
      </c>
      <c r="Y144" s="106">
        <v>2.5</v>
      </c>
      <c r="Z144" s="106">
        <v>2</v>
      </c>
      <c r="AA144" s="106">
        <v>1.5</v>
      </c>
      <c r="AB144" s="106">
        <v>1.5</v>
      </c>
      <c r="AC144" s="9"/>
      <c r="AD144" s="106">
        <v>3</v>
      </c>
      <c r="AE144" s="106">
        <v>3</v>
      </c>
      <c r="AF144" s="106">
        <v>2.5</v>
      </c>
      <c r="AG144" s="106">
        <v>2</v>
      </c>
      <c r="AH144" s="106">
        <v>1.5</v>
      </c>
      <c r="AI144" s="106">
        <v>1.5</v>
      </c>
      <c r="AJ144" s="9"/>
      <c r="AK144" s="106">
        <v>3</v>
      </c>
      <c r="AL144" s="106">
        <v>3</v>
      </c>
      <c r="AM144" s="106">
        <v>2.5</v>
      </c>
      <c r="AN144" s="106">
        <v>2</v>
      </c>
      <c r="AO144" s="106">
        <v>1.5</v>
      </c>
      <c r="AP144" s="106">
        <v>1.5</v>
      </c>
      <c r="AQ144" s="9"/>
      <c r="AR144" s="106">
        <v>3</v>
      </c>
      <c r="AS144" s="106">
        <v>3</v>
      </c>
      <c r="AT144" s="106">
        <v>2.5</v>
      </c>
      <c r="AU144" s="106">
        <v>2</v>
      </c>
      <c r="AV144" s="106">
        <v>1.5</v>
      </c>
      <c r="AW144" s="106">
        <v>1.5</v>
      </c>
      <c r="AX144" s="9"/>
    </row>
    <row r="145" spans="1:50" ht="13.05" hidden="1" customHeight="1" x14ac:dyDescent="0.25">
      <c r="A145" t="str">
        <f>Nutrients!B144</f>
        <v>Sow add pack</v>
      </c>
      <c r="B145" s="106"/>
      <c r="C145" s="106"/>
      <c r="D145" s="106"/>
      <c r="E145" s="106"/>
      <c r="F145" s="106"/>
      <c r="G145" s="106"/>
      <c r="H145" s="106"/>
      <c r="I145" s="106"/>
      <c r="J145" s="106"/>
      <c r="K145" s="106"/>
      <c r="L145" s="106"/>
      <c r="M145" s="106"/>
      <c r="N145" s="106"/>
      <c r="O145" s="29"/>
      <c r="P145" s="106"/>
      <c r="Q145" s="106"/>
      <c r="R145" s="106"/>
      <c r="S145" s="106"/>
      <c r="T145" s="106"/>
      <c r="U145" s="106"/>
      <c r="V145" s="9"/>
      <c r="W145" s="106"/>
      <c r="X145" s="106"/>
      <c r="Y145" s="106"/>
      <c r="Z145" s="106"/>
      <c r="AA145" s="106"/>
      <c r="AB145" s="106"/>
      <c r="AC145" s="9"/>
      <c r="AD145" s="106"/>
      <c r="AE145" s="106"/>
      <c r="AF145" s="106"/>
      <c r="AG145" s="106"/>
      <c r="AH145" s="106"/>
      <c r="AI145" s="106"/>
      <c r="AJ145" s="9"/>
      <c r="AK145" s="106"/>
      <c r="AL145" s="106"/>
      <c r="AM145" s="106"/>
      <c r="AN145" s="106"/>
      <c r="AO145" s="106"/>
      <c r="AP145" s="106"/>
      <c r="AQ145" s="9"/>
      <c r="AR145" s="106"/>
      <c r="AS145" s="106"/>
      <c r="AT145" s="106"/>
      <c r="AU145" s="106"/>
      <c r="AV145" s="106"/>
      <c r="AW145" s="106"/>
      <c r="AX145" s="9"/>
    </row>
    <row r="146" spans="1:50" x14ac:dyDescent="0.25">
      <c r="A146" t="str">
        <f>Nutrients!B145</f>
        <v>Vitamin premix without phytase</v>
      </c>
      <c r="B146" s="106">
        <v>3</v>
      </c>
      <c r="C146" s="106">
        <v>3</v>
      </c>
      <c r="D146" s="106">
        <v>2.5</v>
      </c>
      <c r="E146" s="106">
        <v>2</v>
      </c>
      <c r="F146" s="106">
        <v>1.5</v>
      </c>
      <c r="G146" s="106">
        <v>1.5</v>
      </c>
      <c r="H146" s="106"/>
      <c r="I146" s="106">
        <v>3</v>
      </c>
      <c r="J146" s="106">
        <v>3</v>
      </c>
      <c r="K146" s="106">
        <v>2.5</v>
      </c>
      <c r="L146" s="106">
        <v>2</v>
      </c>
      <c r="M146" s="106">
        <v>1.5</v>
      </c>
      <c r="N146" s="106">
        <v>1.5</v>
      </c>
      <c r="O146" s="29"/>
      <c r="P146" s="106">
        <v>3</v>
      </c>
      <c r="Q146" s="106">
        <v>3</v>
      </c>
      <c r="R146" s="106">
        <v>2.5</v>
      </c>
      <c r="S146" s="106">
        <v>2</v>
      </c>
      <c r="T146" s="106">
        <v>1.5</v>
      </c>
      <c r="U146" s="106">
        <v>1.5</v>
      </c>
      <c r="V146" s="9"/>
      <c r="W146" s="106">
        <v>3</v>
      </c>
      <c r="X146" s="106">
        <v>3</v>
      </c>
      <c r="Y146" s="106">
        <v>2.5</v>
      </c>
      <c r="Z146" s="106">
        <v>2</v>
      </c>
      <c r="AA146" s="106">
        <v>1.5</v>
      </c>
      <c r="AB146" s="106">
        <v>1.5</v>
      </c>
      <c r="AC146" s="9"/>
      <c r="AD146" s="106">
        <v>3</v>
      </c>
      <c r="AE146" s="106">
        <v>3</v>
      </c>
      <c r="AF146" s="106">
        <v>2.5</v>
      </c>
      <c r="AG146" s="106">
        <v>2</v>
      </c>
      <c r="AH146" s="106">
        <v>1.5</v>
      </c>
      <c r="AI146" s="106">
        <v>1.5</v>
      </c>
      <c r="AJ146" s="9"/>
      <c r="AK146" s="106">
        <v>3</v>
      </c>
      <c r="AL146" s="106">
        <v>3</v>
      </c>
      <c r="AM146" s="106">
        <v>2.5</v>
      </c>
      <c r="AN146" s="106">
        <v>2</v>
      </c>
      <c r="AO146" s="106">
        <v>1.5</v>
      </c>
      <c r="AP146" s="106">
        <v>1.5</v>
      </c>
      <c r="AQ146" s="9"/>
      <c r="AR146" s="106">
        <v>3</v>
      </c>
      <c r="AS146" s="106">
        <v>3</v>
      </c>
      <c r="AT146" s="106">
        <v>2.5</v>
      </c>
      <c r="AU146" s="106">
        <v>2</v>
      </c>
      <c r="AV146" s="106">
        <v>1.5</v>
      </c>
      <c r="AW146" s="106">
        <v>1.5</v>
      </c>
      <c r="AX146" s="9"/>
    </row>
    <row r="147" spans="1:50" ht="13.05" hidden="1" customHeight="1" x14ac:dyDescent="0.25">
      <c r="A147" t="str">
        <f>Nutrients!B146</f>
        <v>GF DDGS Base Mix</v>
      </c>
      <c r="B147" s="106"/>
      <c r="C147" s="106"/>
      <c r="D147" s="106"/>
      <c r="E147" s="106"/>
      <c r="F147" s="106"/>
      <c r="G147" s="106"/>
      <c r="H147" s="106"/>
      <c r="I147" s="106"/>
      <c r="J147" s="106"/>
      <c r="K147" s="106"/>
      <c r="L147" s="106"/>
      <c r="M147" s="106"/>
      <c r="N147" s="106"/>
      <c r="O147" s="29"/>
      <c r="P147" s="106"/>
      <c r="Q147" s="106"/>
      <c r="R147" s="106"/>
      <c r="S147" s="106"/>
      <c r="T147" s="106"/>
      <c r="U147" s="106"/>
      <c r="V147" s="9"/>
      <c r="W147" s="106"/>
      <c r="X147" s="106"/>
      <c r="Y147" s="106"/>
      <c r="Z147" s="106"/>
      <c r="AA147" s="106"/>
      <c r="AB147" s="106"/>
      <c r="AC147" s="9"/>
      <c r="AD147" s="106"/>
      <c r="AE147" s="106"/>
      <c r="AF147" s="106"/>
      <c r="AG147" s="106"/>
      <c r="AH147" s="106"/>
      <c r="AI147" s="106"/>
      <c r="AJ147" s="9"/>
      <c r="AK147" s="106"/>
      <c r="AL147" s="106"/>
      <c r="AM147" s="106"/>
      <c r="AN147" s="106"/>
      <c r="AO147" s="106"/>
      <c r="AP147" s="106"/>
      <c r="AQ147" s="9"/>
      <c r="AR147" s="106"/>
      <c r="AS147" s="106"/>
      <c r="AT147" s="106"/>
      <c r="AU147" s="106"/>
      <c r="AV147" s="106"/>
      <c r="AW147" s="106"/>
      <c r="AX147" s="9"/>
    </row>
    <row r="148" spans="1:50" ht="13.05" hidden="1" customHeight="1" x14ac:dyDescent="0.25">
      <c r="A148" t="str">
        <f>Nutrients!B147</f>
        <v>GF synthetics Base Mix</v>
      </c>
      <c r="B148" s="106"/>
      <c r="C148" s="106"/>
      <c r="D148" s="106"/>
      <c r="E148" s="106"/>
      <c r="F148" s="106"/>
      <c r="G148" s="106"/>
      <c r="H148" s="106"/>
      <c r="I148" s="106"/>
      <c r="J148" s="106"/>
      <c r="K148" s="106"/>
      <c r="L148" s="106"/>
      <c r="M148" s="106"/>
      <c r="N148" s="106"/>
      <c r="O148" s="29"/>
      <c r="P148" s="106"/>
      <c r="Q148" s="106"/>
      <c r="R148" s="106"/>
      <c r="S148" s="106"/>
      <c r="T148" s="106"/>
      <c r="U148" s="106"/>
      <c r="V148" s="9"/>
      <c r="W148" s="106"/>
      <c r="X148" s="106"/>
      <c r="Y148" s="106"/>
      <c r="Z148" s="106"/>
      <c r="AA148" s="106"/>
      <c r="AB148" s="106"/>
      <c r="AC148" s="9"/>
      <c r="AD148" s="106"/>
      <c r="AE148" s="106"/>
      <c r="AF148" s="106"/>
      <c r="AG148" s="106"/>
      <c r="AH148" s="106"/>
      <c r="AI148" s="106"/>
      <c r="AJ148" s="9"/>
      <c r="AK148" s="106"/>
      <c r="AL148" s="106"/>
      <c r="AM148" s="106"/>
      <c r="AN148" s="106"/>
      <c r="AO148" s="106"/>
      <c r="AP148" s="106"/>
      <c r="AQ148" s="9"/>
      <c r="AR148" s="106"/>
      <c r="AS148" s="106"/>
      <c r="AT148" s="106"/>
      <c r="AU148" s="106"/>
      <c r="AV148" s="106"/>
      <c r="AW148" s="106"/>
      <c r="AX148" s="9"/>
    </row>
    <row r="149" spans="1:50" ht="13.05" hidden="1" customHeight="1" x14ac:dyDescent="0.25">
      <c r="A149" t="str">
        <f>Nutrients!B148</f>
        <v>Choline chloride 60%</v>
      </c>
      <c r="B149" s="106"/>
      <c r="C149" s="106"/>
      <c r="D149" s="106"/>
      <c r="E149" s="106"/>
      <c r="F149" s="106"/>
      <c r="G149" s="106"/>
      <c r="H149" s="106"/>
      <c r="I149" s="106"/>
      <c r="J149" s="106"/>
      <c r="K149" s="106"/>
      <c r="L149" s="106"/>
      <c r="M149" s="106"/>
      <c r="N149" s="106"/>
      <c r="O149" s="29"/>
      <c r="P149" s="106"/>
      <c r="Q149" s="106"/>
      <c r="R149" s="106"/>
      <c r="S149" s="106"/>
      <c r="T149" s="106"/>
      <c r="U149" s="106"/>
      <c r="V149" s="9"/>
      <c r="W149" s="106"/>
      <c r="X149" s="106"/>
      <c r="Y149" s="106"/>
      <c r="Z149" s="106"/>
      <c r="AA149" s="106"/>
      <c r="AB149" s="106"/>
      <c r="AC149" s="9"/>
      <c r="AD149" s="106"/>
      <c r="AE149" s="106"/>
      <c r="AF149" s="106"/>
      <c r="AG149" s="106"/>
      <c r="AH149" s="106"/>
      <c r="AI149" s="106"/>
      <c r="AJ149" s="9"/>
      <c r="AK149" s="106"/>
      <c r="AL149" s="106"/>
      <c r="AM149" s="106"/>
      <c r="AN149" s="106"/>
      <c r="AO149" s="106"/>
      <c r="AP149" s="106"/>
      <c r="AQ149" s="9"/>
      <c r="AR149" s="106"/>
      <c r="AS149" s="106"/>
      <c r="AT149" s="106"/>
      <c r="AU149" s="106"/>
      <c r="AV149" s="106"/>
      <c r="AW149" s="106"/>
      <c r="AX149" s="9"/>
    </row>
    <row r="150" spans="1:50" ht="13.05" hidden="1" customHeight="1" x14ac:dyDescent="0.25">
      <c r="A150" t="str">
        <f>Nutrients!B149</f>
        <v>Natuphos 600</v>
      </c>
      <c r="B150" s="106"/>
      <c r="C150" s="106"/>
      <c r="D150" s="106"/>
      <c r="E150" s="106"/>
      <c r="F150" s="106"/>
      <c r="G150" s="106"/>
      <c r="H150" s="106"/>
      <c r="I150" s="106"/>
      <c r="J150" s="106"/>
      <c r="K150" s="106"/>
      <c r="L150" s="106"/>
      <c r="M150" s="106"/>
      <c r="N150" s="106"/>
      <c r="O150" s="29"/>
      <c r="P150" s="106"/>
      <c r="Q150" s="106"/>
      <c r="R150" s="106"/>
      <c r="S150" s="106"/>
      <c r="T150" s="106"/>
      <c r="U150" s="106"/>
      <c r="V150" s="9"/>
      <c r="W150" s="106"/>
      <c r="X150" s="106"/>
      <c r="Y150" s="106"/>
      <c r="Z150" s="106"/>
      <c r="AA150" s="106"/>
      <c r="AB150" s="106"/>
      <c r="AC150" s="9"/>
      <c r="AD150" s="106"/>
      <c r="AE150" s="106"/>
      <c r="AF150" s="106"/>
      <c r="AG150" s="106"/>
      <c r="AH150" s="106"/>
      <c r="AI150" s="106"/>
      <c r="AJ150" s="9"/>
      <c r="AK150" s="106"/>
      <c r="AL150" s="106"/>
      <c r="AM150" s="106"/>
      <c r="AN150" s="106"/>
      <c r="AO150" s="106"/>
      <c r="AP150" s="106"/>
      <c r="AQ150" s="9"/>
      <c r="AR150" s="106"/>
      <c r="AS150" s="106"/>
      <c r="AT150" s="106"/>
      <c r="AU150" s="106"/>
      <c r="AV150" s="106"/>
      <c r="AW150" s="106"/>
      <c r="AX150" s="9"/>
    </row>
    <row r="151" spans="1:50" ht="13.05" hidden="1" customHeight="1" x14ac:dyDescent="0.25">
      <c r="A151" t="str">
        <f>Nutrients!B150</f>
        <v>Natuphos 1200</v>
      </c>
      <c r="B151" s="106"/>
      <c r="C151" s="106"/>
      <c r="D151" s="106"/>
      <c r="E151" s="106"/>
      <c r="F151" s="106"/>
      <c r="G151" s="106"/>
      <c r="H151" s="106"/>
      <c r="I151" s="106"/>
      <c r="J151" s="106"/>
      <c r="K151" s="106"/>
      <c r="L151" s="106"/>
      <c r="M151" s="106"/>
      <c r="N151" s="106"/>
      <c r="O151" s="29"/>
      <c r="P151" s="106"/>
      <c r="Q151" s="106"/>
      <c r="R151" s="106"/>
      <c r="S151" s="106"/>
      <c r="T151" s="106"/>
      <c r="U151" s="106"/>
      <c r="V151" s="9"/>
      <c r="W151" s="106"/>
      <c r="X151" s="106"/>
      <c r="Y151" s="106"/>
      <c r="Z151" s="106"/>
      <c r="AA151" s="106"/>
      <c r="AB151" s="106"/>
      <c r="AC151" s="9"/>
      <c r="AD151" s="106"/>
      <c r="AE151" s="106"/>
      <c r="AF151" s="106"/>
      <c r="AG151" s="106"/>
      <c r="AH151" s="106"/>
      <c r="AI151" s="106"/>
      <c r="AJ151" s="9"/>
      <c r="AK151" s="106"/>
      <c r="AL151" s="106"/>
      <c r="AM151" s="106"/>
      <c r="AN151" s="106"/>
      <c r="AO151" s="106"/>
      <c r="AP151" s="106"/>
      <c r="AQ151" s="9"/>
      <c r="AR151" s="106"/>
      <c r="AS151" s="106"/>
      <c r="AT151" s="106"/>
      <c r="AU151" s="106"/>
      <c r="AV151" s="106"/>
      <c r="AW151" s="106"/>
      <c r="AX151" s="9"/>
    </row>
    <row r="152" spans="1:50" ht="13.05" hidden="1" customHeight="1" x14ac:dyDescent="0.25">
      <c r="A152" t="str">
        <f>Nutrients!B151</f>
        <v>Optiphos 2000</v>
      </c>
      <c r="B152" s="106"/>
      <c r="C152" s="106"/>
      <c r="D152" s="106"/>
      <c r="E152" s="106"/>
      <c r="F152" s="106"/>
      <c r="G152" s="106"/>
      <c r="H152" s="106"/>
      <c r="I152" s="106"/>
      <c r="J152" s="106"/>
      <c r="K152" s="106"/>
      <c r="L152" s="106"/>
      <c r="M152" s="106"/>
      <c r="N152" s="106"/>
      <c r="O152" s="29"/>
      <c r="P152" s="106"/>
      <c r="Q152" s="106"/>
      <c r="R152" s="106"/>
      <c r="S152" s="106"/>
      <c r="T152" s="106"/>
      <c r="U152" s="106"/>
      <c r="V152" s="9"/>
      <c r="W152" s="106"/>
      <c r="X152" s="106"/>
      <c r="Y152" s="106"/>
      <c r="Z152" s="106"/>
      <c r="AA152" s="106"/>
      <c r="AB152" s="106"/>
      <c r="AC152" s="9"/>
      <c r="AD152" s="106"/>
      <c r="AE152" s="106"/>
      <c r="AF152" s="106"/>
      <c r="AG152" s="106"/>
      <c r="AH152" s="106"/>
      <c r="AI152" s="106"/>
      <c r="AJ152" s="9"/>
      <c r="AK152" s="106"/>
      <c r="AL152" s="106"/>
      <c r="AM152" s="106"/>
      <c r="AN152" s="106"/>
      <c r="AO152" s="106"/>
      <c r="AP152" s="106"/>
      <c r="AQ152" s="9"/>
      <c r="AR152" s="106"/>
      <c r="AS152" s="106"/>
      <c r="AT152" s="106"/>
      <c r="AU152" s="106"/>
      <c r="AV152" s="106"/>
      <c r="AW152" s="106"/>
      <c r="AX152" s="9"/>
    </row>
    <row r="153" spans="1:50" ht="13.05" hidden="1" customHeight="1" x14ac:dyDescent="0.25">
      <c r="A153" t="str">
        <f>Nutrients!B152</f>
        <v>Phyzyme 1200</v>
      </c>
      <c r="B153" s="106"/>
      <c r="C153" s="106"/>
      <c r="D153" s="106"/>
      <c r="E153" s="106"/>
      <c r="F153" s="106"/>
      <c r="G153" s="106"/>
      <c r="H153" s="106"/>
      <c r="I153" s="106"/>
      <c r="J153" s="106"/>
      <c r="K153" s="106"/>
      <c r="L153" s="106"/>
      <c r="M153" s="106"/>
      <c r="N153" s="106"/>
      <c r="O153" s="29"/>
      <c r="P153" s="106"/>
      <c r="Q153" s="106"/>
      <c r="R153" s="106"/>
      <c r="S153" s="106"/>
      <c r="T153" s="106"/>
      <c r="U153" s="106"/>
      <c r="V153" s="9"/>
      <c r="W153" s="106"/>
      <c r="X153" s="106"/>
      <c r="Y153" s="106"/>
      <c r="Z153" s="106"/>
      <c r="AA153" s="106"/>
      <c r="AB153" s="106"/>
      <c r="AC153" s="9"/>
      <c r="AD153" s="106"/>
      <c r="AE153" s="106"/>
      <c r="AF153" s="106"/>
      <c r="AG153" s="106"/>
      <c r="AH153" s="106"/>
      <c r="AI153" s="106"/>
      <c r="AJ153" s="9"/>
      <c r="AK153" s="106"/>
      <c r="AL153" s="106"/>
      <c r="AM153" s="106"/>
      <c r="AN153" s="106"/>
      <c r="AO153" s="106"/>
      <c r="AP153" s="106"/>
      <c r="AQ153" s="9"/>
      <c r="AR153" s="106"/>
      <c r="AS153" s="106"/>
      <c r="AT153" s="106"/>
      <c r="AU153" s="106"/>
      <c r="AV153" s="106"/>
      <c r="AW153" s="106"/>
      <c r="AX153" s="9"/>
    </row>
    <row r="154" spans="1:50" ht="13.05" hidden="1" customHeight="1" x14ac:dyDescent="0.25">
      <c r="A154" t="str">
        <f>Nutrients!B153</f>
        <v>Phyzyme 5000</v>
      </c>
      <c r="B154" s="106"/>
      <c r="C154" s="106"/>
      <c r="D154" s="106"/>
      <c r="E154" s="106"/>
      <c r="F154" s="106"/>
      <c r="G154" s="106"/>
      <c r="H154" s="106"/>
      <c r="I154" s="106"/>
      <c r="J154" s="106"/>
      <c r="K154" s="106"/>
      <c r="L154" s="106"/>
      <c r="M154" s="106"/>
      <c r="N154" s="106"/>
      <c r="O154" s="29"/>
      <c r="P154" s="106"/>
      <c r="Q154" s="106"/>
      <c r="R154" s="106"/>
      <c r="S154" s="106"/>
      <c r="T154" s="106"/>
      <c r="U154" s="106"/>
      <c r="V154" s="9"/>
      <c r="W154" s="106"/>
      <c r="X154" s="106"/>
      <c r="Y154" s="106"/>
      <c r="Z154" s="106"/>
      <c r="AA154" s="106"/>
      <c r="AB154" s="106"/>
      <c r="AC154" s="9"/>
      <c r="AD154" s="106"/>
      <c r="AE154" s="106"/>
      <c r="AF154" s="106"/>
      <c r="AG154" s="106"/>
      <c r="AH154" s="106"/>
      <c r="AI154" s="106"/>
      <c r="AJ154" s="9"/>
      <c r="AK154" s="106"/>
      <c r="AL154" s="106"/>
      <c r="AM154" s="106"/>
      <c r="AN154" s="106"/>
      <c r="AO154" s="106"/>
      <c r="AP154" s="106"/>
      <c r="AQ154" s="9"/>
      <c r="AR154" s="106"/>
      <c r="AS154" s="106"/>
      <c r="AT154" s="106"/>
      <c r="AU154" s="106"/>
      <c r="AV154" s="106"/>
      <c r="AW154" s="106"/>
      <c r="AX154" s="9"/>
    </row>
    <row r="155" spans="1:50" ht="13.05" hidden="1" customHeight="1" x14ac:dyDescent="0.25">
      <c r="A155" t="str">
        <f>Nutrients!B154</f>
        <v>Ronozyme Hiphos GT (10,000)</v>
      </c>
      <c r="B155" s="106"/>
      <c r="C155" s="106"/>
      <c r="D155" s="106"/>
      <c r="E155" s="106"/>
      <c r="F155" s="106"/>
      <c r="G155" s="106"/>
      <c r="H155" s="106"/>
      <c r="I155" s="106"/>
      <c r="J155" s="106"/>
      <c r="K155" s="106"/>
      <c r="L155" s="106"/>
      <c r="M155" s="106"/>
      <c r="N155" s="106"/>
      <c r="O155" s="29"/>
      <c r="P155" s="106"/>
      <c r="Q155" s="106"/>
      <c r="R155" s="106"/>
      <c r="S155" s="106"/>
      <c r="T155" s="106"/>
      <c r="U155" s="106"/>
      <c r="V155" s="9"/>
      <c r="W155" s="106"/>
      <c r="X155" s="106"/>
      <c r="Y155" s="106"/>
      <c r="Z155" s="106"/>
      <c r="AA155" s="106"/>
      <c r="AB155" s="106"/>
      <c r="AC155" s="9"/>
      <c r="AD155" s="106"/>
      <c r="AE155" s="106"/>
      <c r="AF155" s="106"/>
      <c r="AG155" s="106"/>
      <c r="AH155" s="106"/>
      <c r="AI155" s="106"/>
      <c r="AJ155" s="9"/>
      <c r="AK155" s="106"/>
      <c r="AL155" s="106"/>
      <c r="AM155" s="106"/>
      <c r="AN155" s="106"/>
      <c r="AO155" s="106"/>
      <c r="AP155" s="106"/>
      <c r="AQ155" s="9"/>
      <c r="AR155" s="106"/>
      <c r="AS155" s="106"/>
      <c r="AT155" s="106"/>
      <c r="AU155" s="106"/>
      <c r="AV155" s="106"/>
      <c r="AW155" s="106"/>
      <c r="AX155" s="9"/>
    </row>
    <row r="156" spans="1:50" ht="13.05" hidden="1" customHeight="1" x14ac:dyDescent="0.25">
      <c r="A156" t="str">
        <f>Nutrients!B155</f>
        <v>Ronozyme Hiphos M (50,000)</v>
      </c>
      <c r="B156" s="106"/>
      <c r="C156" s="106"/>
      <c r="D156" s="106"/>
      <c r="E156" s="106"/>
      <c r="F156" s="106"/>
      <c r="G156" s="106"/>
      <c r="H156" s="106"/>
      <c r="I156" s="106"/>
      <c r="J156" s="106"/>
      <c r="K156" s="106"/>
      <c r="L156" s="106"/>
      <c r="M156" s="106"/>
      <c r="N156" s="106"/>
      <c r="O156" s="29"/>
      <c r="P156" s="106"/>
      <c r="Q156" s="106"/>
      <c r="R156" s="106"/>
      <c r="S156" s="106"/>
      <c r="T156" s="106"/>
      <c r="U156" s="106"/>
      <c r="V156" s="9"/>
      <c r="W156" s="106"/>
      <c r="X156" s="106"/>
      <c r="Y156" s="106"/>
      <c r="Z156" s="106"/>
      <c r="AA156" s="106"/>
      <c r="AB156" s="106"/>
      <c r="AC156" s="9"/>
      <c r="AD156" s="106"/>
      <c r="AE156" s="106"/>
      <c r="AF156" s="106"/>
      <c r="AG156" s="106"/>
      <c r="AH156" s="106"/>
      <c r="AI156" s="106"/>
      <c r="AJ156" s="9"/>
      <c r="AK156" s="106"/>
      <c r="AL156" s="106"/>
      <c r="AM156" s="106"/>
      <c r="AN156" s="106"/>
      <c r="AO156" s="106"/>
      <c r="AP156" s="106"/>
      <c r="AQ156" s="9"/>
      <c r="AR156" s="106"/>
      <c r="AS156" s="106"/>
      <c r="AT156" s="106"/>
      <c r="AU156" s="106"/>
      <c r="AV156" s="106"/>
      <c r="AW156" s="106"/>
      <c r="AX156" s="9"/>
    </row>
    <row r="157" spans="1:50" ht="13.05" customHeight="1" x14ac:dyDescent="0.25">
      <c r="A157" t="str">
        <f>Nutrients!B156</f>
        <v>Ronozyme HiPhos 2700</v>
      </c>
      <c r="B157" s="106">
        <v>0.45</v>
      </c>
      <c r="C157" s="106">
        <v>0.45</v>
      </c>
      <c r="D157" s="106">
        <v>0.45</v>
      </c>
      <c r="E157" s="106">
        <v>0.45</v>
      </c>
      <c r="F157" s="106">
        <v>0.45</v>
      </c>
      <c r="G157" s="106">
        <v>0.45</v>
      </c>
      <c r="H157" s="106"/>
      <c r="I157" s="106">
        <v>0.45</v>
      </c>
      <c r="J157" s="106">
        <v>0.45</v>
      </c>
      <c r="K157" s="106">
        <v>0.45</v>
      </c>
      <c r="L157" s="106">
        <v>0.45</v>
      </c>
      <c r="M157" s="106">
        <v>0.45</v>
      </c>
      <c r="N157" s="106">
        <v>0.45</v>
      </c>
      <c r="O157" s="29"/>
      <c r="P157" s="106">
        <v>0.45</v>
      </c>
      <c r="Q157" s="106">
        <v>0.45</v>
      </c>
      <c r="R157" s="106">
        <v>0.45</v>
      </c>
      <c r="S157" s="106">
        <v>0.45</v>
      </c>
      <c r="T157" s="106">
        <v>0.45</v>
      </c>
      <c r="U157" s="106">
        <v>0.45</v>
      </c>
      <c r="V157" s="9"/>
      <c r="W157" s="106">
        <v>0.45</v>
      </c>
      <c r="X157" s="106">
        <v>0.45</v>
      </c>
      <c r="Y157" s="106">
        <v>0.45</v>
      </c>
      <c r="Z157" s="106">
        <v>0.45</v>
      </c>
      <c r="AA157" s="106">
        <v>0.45</v>
      </c>
      <c r="AB157" s="106">
        <v>0.45</v>
      </c>
      <c r="AC157" s="9"/>
      <c r="AD157" s="106">
        <v>0.45</v>
      </c>
      <c r="AE157" s="106">
        <v>0.45</v>
      </c>
      <c r="AF157" s="106">
        <v>0.45</v>
      </c>
      <c r="AG157" s="106">
        <v>0.45</v>
      </c>
      <c r="AH157" s="106">
        <v>0.45</v>
      </c>
      <c r="AI157" s="106">
        <v>0.45</v>
      </c>
      <c r="AJ157" s="9"/>
      <c r="AK157" s="106">
        <v>0.45</v>
      </c>
      <c r="AL157" s="106">
        <v>0.45</v>
      </c>
      <c r="AM157" s="106">
        <v>0.45</v>
      </c>
      <c r="AN157" s="106">
        <v>0.45</v>
      </c>
      <c r="AO157" s="106">
        <v>0.45</v>
      </c>
      <c r="AP157" s="106">
        <v>0.45</v>
      </c>
      <c r="AQ157" s="9"/>
      <c r="AR157" s="106">
        <v>0.45</v>
      </c>
      <c r="AS157" s="106">
        <v>0.45</v>
      </c>
      <c r="AT157" s="106">
        <v>0.45</v>
      </c>
      <c r="AU157" s="106">
        <v>0.45</v>
      </c>
      <c r="AV157" s="106">
        <v>0.45</v>
      </c>
      <c r="AW157" s="106">
        <v>0.45</v>
      </c>
      <c r="AX157" s="9"/>
    </row>
    <row r="158" spans="1:50" ht="13.05" hidden="1" customHeight="1" thickBot="1" x14ac:dyDescent="0.3">
      <c r="A158" t="str">
        <f>Nutrients!B157</f>
        <v>Zinc oxide</v>
      </c>
      <c r="B158" s="106"/>
      <c r="C158" s="106"/>
      <c r="D158" s="106"/>
      <c r="E158" s="106"/>
      <c r="F158" s="106"/>
      <c r="G158" s="106"/>
      <c r="H158" s="106"/>
      <c r="I158" s="106"/>
      <c r="J158" s="106"/>
      <c r="K158" s="106"/>
      <c r="L158" s="106"/>
      <c r="M158" s="106"/>
      <c r="N158" s="106"/>
      <c r="O158" s="29"/>
      <c r="P158" s="106"/>
      <c r="Q158" s="106"/>
      <c r="R158" s="106"/>
      <c r="S158" s="106"/>
      <c r="T158" s="106"/>
      <c r="U158" s="106"/>
      <c r="V158" s="9"/>
      <c r="W158" s="106"/>
      <c r="X158" s="106"/>
      <c r="Y158" s="106"/>
      <c r="Z158" s="106"/>
      <c r="AA158" s="106"/>
      <c r="AB158" s="106"/>
      <c r="AC158" s="9"/>
      <c r="AD158" s="106"/>
      <c r="AE158" s="106"/>
      <c r="AF158" s="106"/>
      <c r="AG158" s="106"/>
      <c r="AH158" s="106"/>
      <c r="AI158" s="106"/>
      <c r="AJ158" s="9"/>
      <c r="AK158" s="106"/>
      <c r="AL158" s="106"/>
      <c r="AM158" s="106"/>
      <c r="AN158" s="106"/>
      <c r="AO158" s="106"/>
      <c r="AP158" s="106"/>
      <c r="AQ158" s="9"/>
      <c r="AR158" s="106"/>
      <c r="AS158" s="106"/>
      <c r="AT158" s="106"/>
      <c r="AU158" s="106"/>
      <c r="AV158" s="106"/>
      <c r="AW158" s="106"/>
      <c r="AX158" s="9"/>
    </row>
    <row r="159" spans="1:50" ht="13.05" hidden="1" customHeight="1" thickBot="1" x14ac:dyDescent="0.3">
      <c r="A159" t="str">
        <f>Nutrients!B158</f>
        <v>Copper sulfate</v>
      </c>
      <c r="B159" s="106"/>
      <c r="C159" s="106"/>
      <c r="D159" s="106"/>
      <c r="E159" s="106"/>
      <c r="F159" s="106"/>
      <c r="G159" s="106"/>
      <c r="H159" s="106"/>
      <c r="I159" s="106"/>
      <c r="J159" s="106"/>
      <c r="K159" s="106"/>
      <c r="L159" s="106"/>
      <c r="M159" s="106"/>
      <c r="N159" s="106"/>
      <c r="O159" s="29"/>
      <c r="P159" s="106"/>
      <c r="Q159" s="106"/>
      <c r="R159" s="106"/>
      <c r="S159" s="106"/>
      <c r="T159" s="106"/>
      <c r="U159" s="106"/>
      <c r="V159" s="9"/>
      <c r="W159" s="106"/>
      <c r="X159" s="106"/>
      <c r="Y159" s="106"/>
      <c r="Z159" s="106"/>
      <c r="AA159" s="106"/>
      <c r="AB159" s="106"/>
      <c r="AC159" s="9"/>
      <c r="AD159" s="106"/>
      <c r="AE159" s="106"/>
      <c r="AF159" s="106"/>
      <c r="AG159" s="106"/>
      <c r="AH159" s="106"/>
      <c r="AI159" s="106"/>
      <c r="AJ159" s="9"/>
      <c r="AK159" s="106"/>
      <c r="AL159" s="106"/>
      <c r="AM159" s="106"/>
      <c r="AN159" s="106"/>
      <c r="AO159" s="106"/>
      <c r="AP159" s="106"/>
      <c r="AQ159" s="9"/>
      <c r="AR159" s="106"/>
      <c r="AS159" s="106"/>
      <c r="AT159" s="106"/>
      <c r="AU159" s="106"/>
      <c r="AV159" s="106"/>
      <c r="AW159" s="106"/>
      <c r="AX159" s="9"/>
    </row>
    <row r="160" spans="1:50" ht="13.05" hidden="1" customHeight="1" thickBot="1" x14ac:dyDescent="0.3">
      <c r="A160" t="str">
        <f>Nutrients!B159</f>
        <v>Potassium chloride</v>
      </c>
      <c r="B160" s="106"/>
      <c r="C160" s="106"/>
      <c r="D160" s="106"/>
      <c r="E160" s="106"/>
      <c r="F160" s="106"/>
      <c r="G160" s="106"/>
      <c r="H160" s="106"/>
      <c r="I160" s="106"/>
      <c r="J160" s="106"/>
      <c r="K160" s="106"/>
      <c r="L160" s="106"/>
      <c r="M160" s="106"/>
      <c r="N160" s="106"/>
      <c r="O160" s="29"/>
      <c r="P160" s="106"/>
      <c r="Q160" s="106"/>
      <c r="R160" s="106"/>
      <c r="S160" s="106"/>
      <c r="T160" s="106"/>
      <c r="U160" s="106"/>
      <c r="V160" s="9"/>
      <c r="W160" s="106"/>
      <c r="X160" s="106"/>
      <c r="Y160" s="106"/>
      <c r="Z160" s="106"/>
      <c r="AA160" s="106"/>
      <c r="AB160" s="106"/>
      <c r="AC160" s="9"/>
      <c r="AD160" s="106"/>
      <c r="AE160" s="106"/>
      <c r="AF160" s="106"/>
      <c r="AG160" s="106"/>
      <c r="AH160" s="106"/>
      <c r="AI160" s="106"/>
      <c r="AJ160" s="9"/>
      <c r="AK160" s="106"/>
      <c r="AL160" s="106"/>
      <c r="AM160" s="106"/>
      <c r="AN160" s="106"/>
      <c r="AO160" s="106"/>
      <c r="AP160" s="106"/>
      <c r="AQ160" s="9"/>
      <c r="AR160" s="106"/>
      <c r="AS160" s="106"/>
      <c r="AT160" s="106"/>
      <c r="AU160" s="106"/>
      <c r="AV160" s="106"/>
      <c r="AW160" s="106"/>
      <c r="AX160" s="9"/>
    </row>
    <row r="161" spans="1:50" ht="13.05" hidden="1" customHeight="1" thickBot="1" x14ac:dyDescent="0.3">
      <c r="A161" t="str">
        <f>Nutrients!B160</f>
        <v>Calcium chloride</v>
      </c>
      <c r="B161" s="106"/>
      <c r="C161" s="106"/>
      <c r="D161" s="106"/>
      <c r="E161" s="106"/>
      <c r="F161" s="106"/>
      <c r="G161" s="106"/>
      <c r="H161" s="106"/>
      <c r="I161" s="106"/>
      <c r="J161" s="106"/>
      <c r="K161" s="106"/>
      <c r="L161" s="106"/>
      <c r="M161" s="106"/>
      <c r="N161" s="106"/>
      <c r="O161" s="29"/>
      <c r="P161" s="106"/>
      <c r="Q161" s="106"/>
      <c r="R161" s="106"/>
      <c r="S161" s="106"/>
      <c r="T161" s="106"/>
      <c r="U161" s="106"/>
      <c r="V161" s="9"/>
      <c r="W161" s="106"/>
      <c r="X161" s="106"/>
      <c r="Y161" s="106"/>
      <c r="Z161" s="106"/>
      <c r="AA161" s="106"/>
      <c r="AB161" s="106"/>
      <c r="AC161" s="9"/>
      <c r="AD161" s="106"/>
      <c r="AE161" s="106"/>
      <c r="AF161" s="106"/>
      <c r="AG161" s="106"/>
      <c r="AH161" s="106"/>
      <c r="AI161" s="106"/>
      <c r="AJ161" s="9"/>
      <c r="AK161" s="106"/>
      <c r="AL161" s="106"/>
      <c r="AM161" s="106"/>
      <c r="AN161" s="106"/>
      <c r="AO161" s="106"/>
      <c r="AP161" s="106"/>
      <c r="AQ161" s="9"/>
      <c r="AR161" s="106"/>
      <c r="AS161" s="106"/>
      <c r="AT161" s="106"/>
      <c r="AU161" s="106"/>
      <c r="AV161" s="106"/>
      <c r="AW161" s="106"/>
      <c r="AX161" s="9"/>
    </row>
    <row r="162" spans="1:50" ht="13.05" hidden="1" customHeight="1" thickBot="1" x14ac:dyDescent="0.3">
      <c r="A162" t="str">
        <f>Nutrients!B161</f>
        <v>Acidifier</v>
      </c>
      <c r="B162" s="106"/>
      <c r="C162" s="106"/>
      <c r="D162" s="106"/>
      <c r="E162" s="106"/>
      <c r="F162" s="106"/>
      <c r="G162" s="106"/>
      <c r="H162" s="106"/>
      <c r="I162" s="106"/>
      <c r="J162" s="106"/>
      <c r="K162" s="106"/>
      <c r="L162" s="106"/>
      <c r="M162" s="106"/>
      <c r="N162" s="106"/>
      <c r="O162" s="29"/>
      <c r="P162" s="106"/>
      <c r="Q162" s="106"/>
      <c r="R162" s="106"/>
      <c r="S162" s="106"/>
      <c r="T162" s="106"/>
      <c r="U162" s="106"/>
      <c r="V162" s="9"/>
      <c r="W162" s="106"/>
      <c r="X162" s="106"/>
      <c r="Y162" s="106"/>
      <c r="Z162" s="106"/>
      <c r="AA162" s="106"/>
      <c r="AB162" s="106"/>
      <c r="AC162" s="9"/>
      <c r="AD162" s="106"/>
      <c r="AE162" s="106"/>
      <c r="AF162" s="106"/>
      <c r="AG162" s="106"/>
      <c r="AH162" s="106"/>
      <c r="AI162" s="106"/>
      <c r="AJ162" s="9"/>
      <c r="AK162" s="106"/>
      <c r="AL162" s="106"/>
      <c r="AM162" s="106"/>
      <c r="AN162" s="106"/>
      <c r="AO162" s="106"/>
      <c r="AP162" s="106"/>
      <c r="AQ162" s="9"/>
      <c r="AR162" s="106"/>
      <c r="AS162" s="106"/>
      <c r="AT162" s="106"/>
      <c r="AU162" s="106"/>
      <c r="AV162" s="106"/>
      <c r="AW162" s="106"/>
      <c r="AX162" s="9"/>
    </row>
    <row r="163" spans="1:50" ht="13.05" hidden="1" customHeight="1" thickBot="1" x14ac:dyDescent="0.3">
      <c r="A163" t="str">
        <f>Nutrients!B162</f>
        <v>Vitamin E, 20,000 IU</v>
      </c>
      <c r="B163" s="106"/>
      <c r="C163" s="106"/>
      <c r="D163" s="106"/>
      <c r="E163" s="106"/>
      <c r="F163" s="106"/>
      <c r="G163" s="106"/>
      <c r="H163" s="106"/>
      <c r="I163" s="106"/>
      <c r="J163" s="106"/>
      <c r="K163" s="106"/>
      <c r="L163" s="106"/>
      <c r="M163" s="106"/>
      <c r="N163" s="106"/>
      <c r="O163" s="29"/>
      <c r="P163" s="106"/>
      <c r="Q163" s="106"/>
      <c r="R163" s="106"/>
      <c r="S163" s="106"/>
      <c r="T163" s="106"/>
      <c r="U163" s="106"/>
      <c r="V163" s="9"/>
      <c r="W163" s="106"/>
      <c r="X163" s="106"/>
      <c r="Y163" s="106"/>
      <c r="Z163" s="106"/>
      <c r="AA163" s="106"/>
      <c r="AB163" s="106"/>
      <c r="AC163" s="9"/>
      <c r="AD163" s="106"/>
      <c r="AE163" s="106"/>
      <c r="AF163" s="106"/>
      <c r="AG163" s="106"/>
      <c r="AH163" s="106"/>
      <c r="AI163" s="106"/>
      <c r="AJ163" s="9"/>
      <c r="AK163" s="106"/>
      <c r="AL163" s="106"/>
      <c r="AM163" s="106"/>
      <c r="AN163" s="106"/>
      <c r="AO163" s="106"/>
      <c r="AP163" s="106"/>
      <c r="AQ163" s="9"/>
      <c r="AR163" s="106"/>
      <c r="AS163" s="106"/>
      <c r="AT163" s="106"/>
      <c r="AU163" s="106"/>
      <c r="AV163" s="106"/>
      <c r="AW163" s="106"/>
      <c r="AX163" s="9"/>
    </row>
    <row r="164" spans="1:50" ht="13.05" hidden="1" customHeight="1" thickBot="1" x14ac:dyDescent="0.3">
      <c r="A164" t="str">
        <f>Nutrients!B163</f>
        <v>Other ingredient</v>
      </c>
      <c r="B164" s="106"/>
      <c r="C164" s="106"/>
      <c r="D164" s="106"/>
      <c r="E164" s="106"/>
      <c r="F164" s="106"/>
      <c r="G164" s="106"/>
      <c r="H164" s="106"/>
      <c r="I164" s="106"/>
      <c r="J164" s="106"/>
      <c r="K164" s="106"/>
      <c r="L164" s="106"/>
      <c r="M164" s="106"/>
      <c r="N164" s="106"/>
      <c r="O164" s="29"/>
      <c r="P164" s="106"/>
      <c r="Q164" s="106"/>
      <c r="R164" s="106"/>
      <c r="S164" s="106"/>
      <c r="T164" s="106"/>
      <c r="U164" s="106"/>
      <c r="V164" s="9"/>
      <c r="W164" s="106"/>
      <c r="X164" s="106"/>
      <c r="Y164" s="106"/>
      <c r="Z164" s="106"/>
      <c r="AA164" s="106"/>
      <c r="AB164" s="106"/>
      <c r="AC164" s="9"/>
      <c r="AD164" s="106"/>
      <c r="AE164" s="106"/>
      <c r="AF164" s="106"/>
      <c r="AG164" s="106"/>
      <c r="AH164" s="106"/>
      <c r="AI164" s="106"/>
      <c r="AJ164" s="9"/>
      <c r="AK164" s="106"/>
      <c r="AL164" s="106"/>
      <c r="AM164" s="106"/>
      <c r="AN164" s="106"/>
      <c r="AO164" s="106"/>
      <c r="AP164" s="106"/>
      <c r="AQ164" s="9"/>
      <c r="AR164" s="106"/>
      <c r="AS164" s="106"/>
      <c r="AT164" s="106"/>
      <c r="AU164" s="106"/>
      <c r="AV164" s="106"/>
      <c r="AW164" s="106"/>
      <c r="AX164" s="9"/>
    </row>
    <row r="165" spans="1:50" ht="13.05" hidden="1" customHeight="1" thickBot="1" x14ac:dyDescent="0.3">
      <c r="A165" t="str">
        <f>Nutrients!B164</f>
        <v>DPS 50</v>
      </c>
      <c r="B165" s="106"/>
      <c r="C165" s="106"/>
      <c r="D165" s="106"/>
      <c r="E165" s="106"/>
      <c r="F165" s="106"/>
      <c r="G165" s="106"/>
      <c r="H165" s="106"/>
      <c r="I165" s="106"/>
      <c r="J165" s="106"/>
      <c r="K165" s="106"/>
      <c r="L165" s="106"/>
      <c r="M165" s="106"/>
      <c r="N165" s="106"/>
      <c r="O165" s="29"/>
      <c r="P165" s="106"/>
      <c r="Q165" s="106"/>
      <c r="R165" s="106"/>
      <c r="S165" s="106"/>
      <c r="T165" s="106"/>
      <c r="U165" s="106"/>
      <c r="V165" s="9"/>
      <c r="W165" s="106"/>
      <c r="X165" s="106"/>
      <c r="Y165" s="106"/>
      <c r="Z165" s="106"/>
      <c r="AA165" s="106"/>
      <c r="AB165" s="106"/>
      <c r="AC165" s="9"/>
      <c r="AD165" s="106"/>
      <c r="AE165" s="106"/>
      <c r="AF165" s="106"/>
      <c r="AG165" s="106"/>
      <c r="AH165" s="106"/>
      <c r="AI165" s="106"/>
      <c r="AJ165" s="9"/>
      <c r="AK165" s="106"/>
      <c r="AL165" s="106"/>
      <c r="AM165" s="106"/>
      <c r="AN165" s="106"/>
      <c r="AO165" s="106"/>
      <c r="AP165" s="106"/>
      <c r="AQ165" s="9"/>
      <c r="AR165" s="106"/>
      <c r="AS165" s="106"/>
      <c r="AT165" s="106"/>
      <c r="AU165" s="106"/>
      <c r="AV165" s="106"/>
      <c r="AW165" s="106"/>
      <c r="AX165" s="9"/>
    </row>
    <row r="166" spans="1:50" ht="13.05" hidden="1" customHeight="1" thickBot="1" x14ac:dyDescent="0.3">
      <c r="A166" t="str">
        <f>Nutrients!B165</f>
        <v>PEP2+</v>
      </c>
      <c r="B166" s="106"/>
      <c r="C166" s="106"/>
      <c r="D166" s="106"/>
      <c r="E166" s="106"/>
      <c r="F166" s="106"/>
      <c r="G166" s="106"/>
      <c r="H166" s="106"/>
      <c r="I166" s="106"/>
      <c r="J166" s="106"/>
      <c r="K166" s="106"/>
      <c r="L166" s="106"/>
      <c r="M166" s="106"/>
      <c r="N166" s="106"/>
      <c r="O166" s="29"/>
      <c r="P166" s="106"/>
      <c r="Q166" s="106"/>
      <c r="R166" s="106"/>
      <c r="S166" s="106"/>
      <c r="T166" s="106"/>
      <c r="U166" s="106"/>
      <c r="V166" s="9"/>
      <c r="W166" s="106"/>
      <c r="X166" s="106"/>
      <c r="Y166" s="106"/>
      <c r="Z166" s="106"/>
      <c r="AA166" s="106"/>
      <c r="AB166" s="106"/>
      <c r="AC166" s="9"/>
      <c r="AD166" s="106"/>
      <c r="AE166" s="106"/>
      <c r="AF166" s="106"/>
      <c r="AG166" s="106"/>
      <c r="AH166" s="106"/>
      <c r="AI166" s="106"/>
      <c r="AJ166" s="9"/>
      <c r="AK166" s="106"/>
      <c r="AL166" s="106"/>
      <c r="AM166" s="106"/>
      <c r="AN166" s="106"/>
      <c r="AO166" s="106"/>
      <c r="AP166" s="106"/>
      <c r="AQ166" s="9"/>
      <c r="AR166" s="106"/>
      <c r="AS166" s="106"/>
      <c r="AT166" s="106"/>
      <c r="AU166" s="106"/>
      <c r="AV166" s="106"/>
      <c r="AW166" s="106"/>
      <c r="AX166" s="9"/>
    </row>
    <row r="167" spans="1:50" ht="13.05" hidden="1" customHeight="1" thickBot="1" x14ac:dyDescent="0.3">
      <c r="A167" t="str">
        <f>Nutrients!B166</f>
        <v>PEP NS</v>
      </c>
      <c r="B167" s="106"/>
      <c r="C167" s="106"/>
      <c r="D167" s="106"/>
      <c r="E167" s="106"/>
      <c r="F167" s="106"/>
      <c r="G167" s="106"/>
      <c r="H167" s="106"/>
      <c r="I167" s="106"/>
      <c r="J167" s="106"/>
      <c r="K167" s="106"/>
      <c r="L167" s="106"/>
      <c r="M167" s="106"/>
      <c r="N167" s="106"/>
      <c r="O167" s="29"/>
      <c r="P167" s="106"/>
      <c r="Q167" s="106"/>
      <c r="R167" s="106"/>
      <c r="S167" s="106"/>
      <c r="T167" s="106"/>
      <c r="U167" s="106"/>
      <c r="V167" s="9"/>
      <c r="W167" s="106"/>
      <c r="X167" s="106"/>
      <c r="Y167" s="106"/>
      <c r="Z167" s="106"/>
      <c r="AA167" s="106"/>
      <c r="AB167" s="106"/>
      <c r="AC167" s="9"/>
      <c r="AD167" s="106"/>
      <c r="AE167" s="106"/>
      <c r="AF167" s="106"/>
      <c r="AG167" s="106"/>
      <c r="AH167" s="106"/>
      <c r="AI167" s="106"/>
      <c r="AJ167" s="9"/>
      <c r="AK167" s="106"/>
      <c r="AL167" s="106"/>
      <c r="AM167" s="106"/>
      <c r="AN167" s="106"/>
      <c r="AO167" s="106"/>
      <c r="AP167" s="106"/>
      <c r="AQ167" s="9"/>
      <c r="AR167" s="106"/>
      <c r="AS167" s="106"/>
      <c r="AT167" s="106"/>
      <c r="AU167" s="106"/>
      <c r="AV167" s="106"/>
      <c r="AW167" s="106"/>
      <c r="AX167" s="9"/>
    </row>
    <row r="168" spans="1:50" ht="13.05" hidden="1" customHeight="1" thickBot="1" x14ac:dyDescent="0.3">
      <c r="A168" t="str">
        <f>Nutrients!B167</f>
        <v>Vitamin premix (2x) with phytase</v>
      </c>
      <c r="B168" s="106"/>
      <c r="C168" s="106"/>
      <c r="D168" s="106"/>
      <c r="E168" s="106"/>
      <c r="F168" s="106"/>
      <c r="G168" s="106"/>
      <c r="H168" s="106"/>
      <c r="I168" s="106"/>
      <c r="J168" s="106"/>
      <c r="K168" s="106"/>
      <c r="L168" s="106"/>
      <c r="M168" s="106"/>
      <c r="N168" s="106"/>
      <c r="O168" s="29"/>
      <c r="P168" s="106"/>
      <c r="Q168" s="106"/>
      <c r="R168" s="106"/>
      <c r="S168" s="106"/>
      <c r="T168" s="106"/>
      <c r="U168" s="106"/>
      <c r="V168" s="9"/>
      <c r="W168" s="106"/>
      <c r="X168" s="106"/>
      <c r="Y168" s="106"/>
      <c r="Z168" s="106"/>
      <c r="AA168" s="106"/>
      <c r="AB168" s="106"/>
      <c r="AC168" s="9"/>
      <c r="AD168" s="106"/>
      <c r="AE168" s="106"/>
      <c r="AF168" s="106"/>
      <c r="AG168" s="106"/>
      <c r="AH168" s="106"/>
      <c r="AI168" s="106"/>
      <c r="AJ168" s="9"/>
      <c r="AK168" s="106"/>
      <c r="AL168" s="106"/>
      <c r="AM168" s="106"/>
      <c r="AN168" s="106"/>
      <c r="AO168" s="106"/>
      <c r="AP168" s="106"/>
      <c r="AQ168" s="9"/>
      <c r="AR168" s="106"/>
      <c r="AS168" s="106"/>
      <c r="AT168" s="106"/>
      <c r="AU168" s="106"/>
      <c r="AV168" s="106"/>
      <c r="AW168" s="106"/>
      <c r="AX168" s="9"/>
    </row>
    <row r="169" spans="1:50" ht="13.05" hidden="1" customHeight="1" x14ac:dyDescent="0.25">
      <c r="A169" t="str">
        <f>Nutrients!B168</f>
        <v>Vitamin premix (2x) without phytase</v>
      </c>
      <c r="B169" s="106"/>
      <c r="C169" s="106"/>
      <c r="D169" s="106"/>
      <c r="E169" s="106"/>
      <c r="F169" s="106"/>
      <c r="G169" s="106"/>
      <c r="H169" s="106"/>
      <c r="I169" s="106"/>
      <c r="J169" s="106"/>
      <c r="K169" s="106"/>
      <c r="L169" s="106"/>
      <c r="M169" s="106"/>
      <c r="N169" s="106"/>
      <c r="O169" s="29"/>
      <c r="P169" s="106"/>
      <c r="Q169" s="106"/>
      <c r="R169" s="106"/>
      <c r="S169" s="106"/>
      <c r="T169" s="106"/>
      <c r="U169" s="106"/>
      <c r="V169" s="9"/>
      <c r="W169" s="106"/>
      <c r="X169" s="106"/>
      <c r="Y169" s="106"/>
      <c r="Z169" s="106"/>
      <c r="AA169" s="106"/>
      <c r="AB169" s="106"/>
      <c r="AC169" s="9"/>
      <c r="AD169" s="106"/>
      <c r="AE169" s="106"/>
      <c r="AF169" s="106"/>
      <c r="AG169" s="106"/>
      <c r="AH169" s="106"/>
      <c r="AI169" s="106"/>
      <c r="AJ169" s="9"/>
      <c r="AK169" s="106"/>
      <c r="AL169" s="106"/>
      <c r="AM169" s="106"/>
      <c r="AN169" s="106"/>
      <c r="AO169" s="106"/>
      <c r="AP169" s="106"/>
      <c r="AQ169" s="9"/>
      <c r="AR169" s="106"/>
      <c r="AS169" s="106"/>
      <c r="AT169" s="106"/>
      <c r="AU169" s="106"/>
      <c r="AV169" s="106"/>
      <c r="AW169" s="106"/>
      <c r="AX169" s="9"/>
    </row>
    <row r="170" spans="1:50" hidden="1" x14ac:dyDescent="0.25">
      <c r="A170" t="str">
        <f>Nutrients!B169</f>
        <v>Corn DDGS, 10.5% Oil</v>
      </c>
      <c r="B170" s="106"/>
      <c r="C170" s="106"/>
      <c r="D170" s="106"/>
      <c r="E170" s="106"/>
      <c r="F170" s="106"/>
      <c r="G170" s="106"/>
      <c r="H170" s="106"/>
      <c r="I170" s="106"/>
      <c r="J170" s="106"/>
      <c r="K170" s="106"/>
      <c r="L170" s="106"/>
      <c r="M170" s="106"/>
      <c r="N170" s="106"/>
      <c r="O170" s="29"/>
      <c r="P170" s="106"/>
      <c r="Q170" s="106"/>
      <c r="R170" s="106"/>
      <c r="S170" s="106"/>
      <c r="T170" s="106"/>
      <c r="U170" s="106"/>
      <c r="V170" s="9"/>
      <c r="W170" s="106"/>
      <c r="X170" s="106"/>
      <c r="Y170" s="106"/>
      <c r="Z170" s="106"/>
      <c r="AA170" s="106"/>
      <c r="AB170" s="106"/>
      <c r="AC170" s="9"/>
      <c r="AD170" s="106"/>
      <c r="AE170" s="106"/>
      <c r="AF170" s="106"/>
      <c r="AG170" s="106"/>
      <c r="AH170" s="106"/>
      <c r="AI170" s="106"/>
      <c r="AJ170" s="9"/>
      <c r="AK170" s="106"/>
      <c r="AL170" s="106"/>
      <c r="AM170" s="106"/>
      <c r="AN170" s="106"/>
      <c r="AO170" s="106"/>
      <c r="AP170" s="106"/>
      <c r="AQ170" s="9"/>
      <c r="AR170" s="106"/>
      <c r="AS170" s="106"/>
      <c r="AT170" s="106"/>
      <c r="AU170" s="106"/>
      <c r="AV170" s="106"/>
      <c r="AW170" s="106"/>
      <c r="AX170" s="9"/>
    </row>
    <row r="171" spans="1:50" hidden="1" x14ac:dyDescent="0.25">
      <c r="A171" t="str">
        <f>Nutrients!B170</f>
        <v>Corn DDGS, 7.5% Oil</v>
      </c>
      <c r="B171" s="106"/>
      <c r="C171" s="106"/>
      <c r="D171" s="106"/>
      <c r="E171" s="106"/>
      <c r="F171" s="106"/>
      <c r="G171" s="106"/>
      <c r="H171" s="106"/>
      <c r="I171" s="106"/>
      <c r="J171" s="106"/>
      <c r="K171" s="106"/>
      <c r="L171" s="106"/>
      <c r="M171" s="106"/>
      <c r="N171" s="106"/>
      <c r="O171" s="29"/>
      <c r="P171" s="106"/>
      <c r="Q171" s="106"/>
      <c r="R171" s="106"/>
      <c r="S171" s="106"/>
      <c r="T171" s="106"/>
      <c r="U171" s="106"/>
      <c r="V171" s="9"/>
      <c r="W171" s="106"/>
      <c r="X171" s="106"/>
      <c r="Y171" s="106"/>
      <c r="Z171" s="106"/>
      <c r="AA171" s="106"/>
      <c r="AB171" s="106"/>
      <c r="AC171" s="9"/>
      <c r="AD171" s="106"/>
      <c r="AE171" s="106"/>
      <c r="AF171" s="106"/>
      <c r="AG171" s="106"/>
      <c r="AH171" s="106"/>
      <c r="AI171" s="106"/>
      <c r="AJ171" s="9"/>
      <c r="AK171" s="106"/>
      <c r="AL171" s="106"/>
      <c r="AM171" s="106"/>
      <c r="AN171" s="106"/>
      <c r="AO171" s="106"/>
      <c r="AP171" s="106"/>
      <c r="AQ171" s="9"/>
      <c r="AR171" s="106"/>
      <c r="AS171" s="106"/>
      <c r="AT171" s="106"/>
      <c r="AU171" s="106"/>
      <c r="AV171" s="106"/>
      <c r="AW171" s="106"/>
      <c r="AX171" s="9"/>
    </row>
    <row r="172" spans="1:50" ht="12.75" hidden="1" customHeight="1" thickBot="1" x14ac:dyDescent="0.3">
      <c r="A172" t="str">
        <f>Nutrients!B171</f>
        <v>Corn DDGS, 4.5% Oil</v>
      </c>
      <c r="B172" s="106"/>
      <c r="C172" s="106"/>
      <c r="D172" s="106"/>
      <c r="E172" s="106"/>
      <c r="F172" s="106"/>
      <c r="G172" s="106"/>
      <c r="H172" s="106"/>
      <c r="I172" s="106"/>
      <c r="J172" s="106"/>
      <c r="K172" s="106"/>
      <c r="L172" s="106"/>
      <c r="M172" s="106"/>
      <c r="N172" s="106"/>
      <c r="O172" s="29"/>
      <c r="P172" s="106"/>
      <c r="Q172" s="106"/>
      <c r="R172" s="106"/>
      <c r="S172" s="106"/>
      <c r="T172" s="106"/>
      <c r="U172" s="106"/>
      <c r="V172" s="9"/>
      <c r="W172" s="106"/>
      <c r="X172" s="106"/>
      <c r="Y172" s="106"/>
      <c r="Z172" s="106"/>
      <c r="AA172" s="106"/>
      <c r="AB172" s="106"/>
      <c r="AC172" s="9"/>
      <c r="AD172" s="106"/>
      <c r="AE172" s="106"/>
      <c r="AF172" s="106"/>
      <c r="AG172" s="106"/>
      <c r="AH172" s="106"/>
      <c r="AI172" s="106"/>
      <c r="AJ172" s="9"/>
      <c r="AK172" s="106"/>
      <c r="AL172" s="106"/>
      <c r="AM172" s="106"/>
      <c r="AN172" s="106"/>
      <c r="AO172" s="106"/>
      <c r="AP172" s="106"/>
      <c r="AQ172" s="9"/>
      <c r="AR172" s="106"/>
      <c r="AS172" s="106"/>
      <c r="AT172" s="106"/>
      <c r="AU172" s="106"/>
      <c r="AV172" s="106"/>
      <c r="AW172" s="106"/>
      <c r="AX172" s="9"/>
    </row>
    <row r="173" spans="1:50" ht="13.05" hidden="1" customHeight="1" thickBot="1" x14ac:dyDescent="0.3">
      <c r="A173" t="str">
        <f>Nutrients!B172</f>
        <v>MEPRO Hubbard</v>
      </c>
      <c r="B173" s="106"/>
      <c r="C173" s="106"/>
      <c r="D173" s="106"/>
      <c r="E173" s="106"/>
      <c r="F173" s="106"/>
      <c r="G173" s="106"/>
      <c r="H173" s="106"/>
      <c r="I173" s="106"/>
      <c r="J173" s="106"/>
      <c r="K173" s="106"/>
      <c r="L173" s="106"/>
      <c r="M173" s="106"/>
      <c r="N173" s="106"/>
      <c r="O173" s="29"/>
      <c r="P173" s="106"/>
      <c r="Q173" s="106"/>
      <c r="R173" s="106"/>
      <c r="S173" s="106"/>
      <c r="T173" s="106"/>
      <c r="U173" s="106"/>
      <c r="V173" s="9"/>
      <c r="W173" s="106"/>
      <c r="X173" s="106"/>
      <c r="Y173" s="106"/>
      <c r="Z173" s="106"/>
      <c r="AA173" s="106"/>
      <c r="AB173" s="106"/>
      <c r="AC173" s="9"/>
      <c r="AD173" s="106"/>
      <c r="AE173" s="106"/>
      <c r="AF173" s="106"/>
      <c r="AG173" s="106"/>
      <c r="AH173" s="106"/>
      <c r="AI173" s="106"/>
      <c r="AJ173" s="9"/>
      <c r="AK173" s="106"/>
      <c r="AL173" s="106"/>
      <c r="AM173" s="106"/>
      <c r="AN173" s="106"/>
      <c r="AO173" s="106"/>
      <c r="AP173" s="106"/>
      <c r="AQ173" s="9"/>
      <c r="AR173" s="106"/>
      <c r="AS173" s="106"/>
      <c r="AT173" s="106"/>
      <c r="AU173" s="106"/>
      <c r="AV173" s="106"/>
      <c r="AW173" s="106"/>
      <c r="AX173" s="9"/>
    </row>
    <row r="174" spans="1:50" ht="13.05" hidden="1" customHeight="1" thickBot="1" x14ac:dyDescent="0.3">
      <c r="A174" t="str">
        <f>Nutrients!B173</f>
        <v>HP 300 Apr 2022 loadings</v>
      </c>
      <c r="B174" s="106"/>
      <c r="C174" s="106"/>
      <c r="D174" s="106"/>
      <c r="E174" s="106"/>
      <c r="F174" s="106"/>
      <c r="G174" s="106"/>
      <c r="H174" s="106"/>
      <c r="I174" s="106"/>
      <c r="J174" s="106"/>
      <c r="K174" s="106"/>
      <c r="L174" s="106"/>
      <c r="M174" s="106"/>
      <c r="N174" s="106"/>
      <c r="O174" s="29"/>
      <c r="P174" s="106"/>
      <c r="Q174" s="106"/>
      <c r="R174" s="106"/>
      <c r="S174" s="106"/>
      <c r="T174" s="106"/>
      <c r="U174" s="106"/>
      <c r="V174" s="9"/>
      <c r="W174" s="106"/>
      <c r="X174" s="106"/>
      <c r="Y174" s="106"/>
      <c r="Z174" s="106"/>
      <c r="AA174" s="106"/>
      <c r="AB174" s="106"/>
      <c r="AC174" s="9"/>
      <c r="AD174" s="106"/>
      <c r="AE174" s="106"/>
      <c r="AF174" s="106"/>
      <c r="AG174" s="106"/>
      <c r="AH174" s="106"/>
      <c r="AI174" s="106"/>
      <c r="AJ174" s="9"/>
      <c r="AK174" s="106"/>
      <c r="AL174" s="106"/>
      <c r="AM174" s="106"/>
      <c r="AN174" s="106"/>
      <c r="AO174" s="106"/>
      <c r="AP174" s="106"/>
      <c r="AQ174" s="9"/>
      <c r="AR174" s="106"/>
      <c r="AS174" s="106"/>
      <c r="AT174" s="106"/>
      <c r="AU174" s="106"/>
      <c r="AV174" s="106"/>
      <c r="AW174" s="106"/>
      <c r="AX174" s="9"/>
    </row>
    <row r="175" spans="1:50" ht="13.05" hidden="1" customHeight="1" thickBot="1" x14ac:dyDescent="0.3">
      <c r="A175" t="str">
        <f>Nutrients!B174</f>
        <v>Glycine</v>
      </c>
      <c r="B175" s="106"/>
      <c r="C175" s="106"/>
      <c r="D175" s="106"/>
      <c r="E175" s="106"/>
      <c r="F175" s="106"/>
      <c r="G175" s="106"/>
      <c r="H175" s="106"/>
      <c r="I175" s="106"/>
      <c r="J175" s="106"/>
      <c r="K175" s="106"/>
      <c r="L175" s="106"/>
      <c r="M175" s="106"/>
      <c r="N175" s="106"/>
      <c r="O175" s="29"/>
      <c r="P175" s="106"/>
      <c r="Q175" s="106"/>
      <c r="R175" s="106"/>
      <c r="S175" s="106"/>
      <c r="T175" s="106"/>
      <c r="U175" s="106"/>
      <c r="V175" s="9"/>
      <c r="W175" s="106"/>
      <c r="X175" s="106"/>
      <c r="Y175" s="106"/>
      <c r="Z175" s="106"/>
      <c r="AA175" s="106"/>
      <c r="AB175" s="106"/>
      <c r="AC175" s="9"/>
      <c r="AD175" s="106"/>
      <c r="AE175" s="106"/>
      <c r="AF175" s="106"/>
      <c r="AG175" s="106"/>
      <c r="AH175" s="106"/>
      <c r="AI175" s="106"/>
      <c r="AJ175" s="9"/>
      <c r="AK175" s="106"/>
      <c r="AL175" s="106"/>
      <c r="AM175" s="106"/>
      <c r="AN175" s="106"/>
      <c r="AO175" s="106"/>
      <c r="AP175" s="106"/>
      <c r="AQ175" s="9"/>
      <c r="AR175" s="106"/>
      <c r="AS175" s="106"/>
      <c r="AT175" s="106"/>
      <c r="AU175" s="106"/>
      <c r="AV175" s="106"/>
      <c r="AW175" s="106"/>
      <c r="AX175" s="9"/>
    </row>
    <row r="176" spans="1:50" ht="13.05" hidden="1" customHeight="1" thickBot="1" x14ac:dyDescent="0.3">
      <c r="A176" t="str">
        <f>Nutrients!B175</f>
        <v>Phase 2 supplement 2018</v>
      </c>
      <c r="B176" s="106"/>
      <c r="C176" s="106"/>
      <c r="D176" s="106"/>
      <c r="E176" s="106"/>
      <c r="F176" s="106"/>
      <c r="G176" s="106"/>
      <c r="H176" s="106"/>
      <c r="I176" s="106"/>
      <c r="J176" s="106"/>
      <c r="K176" s="106"/>
      <c r="L176" s="106"/>
      <c r="M176" s="106"/>
      <c r="N176" s="106"/>
      <c r="O176" s="29"/>
      <c r="P176" s="106"/>
      <c r="Q176" s="106"/>
      <c r="R176" s="106"/>
      <c r="S176" s="106"/>
      <c r="T176" s="106"/>
      <c r="U176" s="106"/>
      <c r="V176" s="9"/>
      <c r="W176" s="106"/>
      <c r="X176" s="106"/>
      <c r="Y176" s="106"/>
      <c r="Z176" s="106"/>
      <c r="AA176" s="106"/>
      <c r="AB176" s="106"/>
      <c r="AC176" s="9"/>
      <c r="AD176" s="106"/>
      <c r="AE176" s="106"/>
      <c r="AF176" s="106"/>
      <c r="AG176" s="106"/>
      <c r="AH176" s="106"/>
      <c r="AI176" s="106"/>
      <c r="AJ176" s="9"/>
      <c r="AK176" s="106"/>
      <c r="AL176" s="106"/>
      <c r="AM176" s="106"/>
      <c r="AN176" s="106"/>
      <c r="AO176" s="106"/>
      <c r="AP176" s="106"/>
      <c r="AQ176" s="9"/>
      <c r="AR176" s="106"/>
      <c r="AS176" s="106"/>
      <c r="AT176" s="106"/>
      <c r="AU176" s="106"/>
      <c r="AV176" s="106"/>
      <c r="AW176" s="106"/>
      <c r="AX176" s="9"/>
    </row>
    <row r="177" spans="1:50" ht="13.05" hidden="1" customHeight="1" thickBot="1" x14ac:dyDescent="0.3">
      <c r="A177" t="str">
        <f>Nutrients!B176</f>
        <v>Fermex 200</v>
      </c>
      <c r="B177" s="106"/>
      <c r="C177" s="106"/>
      <c r="D177" s="106"/>
      <c r="E177" s="106"/>
      <c r="F177" s="106"/>
      <c r="G177" s="106"/>
      <c r="H177" s="106"/>
      <c r="I177" s="106"/>
      <c r="J177" s="106"/>
      <c r="K177" s="106"/>
      <c r="L177" s="106"/>
      <c r="M177" s="106"/>
      <c r="N177" s="106"/>
      <c r="O177" s="29"/>
      <c r="P177" s="106"/>
      <c r="Q177" s="106"/>
      <c r="R177" s="106"/>
      <c r="S177" s="106"/>
      <c r="T177" s="106"/>
      <c r="U177" s="106"/>
      <c r="V177" s="9"/>
      <c r="W177" s="106"/>
      <c r="X177" s="106"/>
      <c r="Y177" s="106"/>
      <c r="Z177" s="106"/>
      <c r="AA177" s="106"/>
      <c r="AB177" s="106"/>
      <c r="AC177" s="9"/>
      <c r="AD177" s="106"/>
      <c r="AE177" s="106"/>
      <c r="AF177" s="106"/>
      <c r="AG177" s="106"/>
      <c r="AH177" s="106"/>
      <c r="AI177" s="106"/>
      <c r="AJ177" s="9"/>
      <c r="AK177" s="106"/>
      <c r="AL177" s="106"/>
      <c r="AM177" s="106"/>
      <c r="AN177" s="106"/>
      <c r="AO177" s="106"/>
      <c r="AP177" s="106"/>
      <c r="AQ177" s="9"/>
      <c r="AR177" s="106"/>
      <c r="AS177" s="106"/>
      <c r="AT177" s="106"/>
      <c r="AU177" s="106"/>
      <c r="AV177" s="106"/>
      <c r="AW177" s="106"/>
      <c r="AX177" s="9"/>
    </row>
    <row r="178" spans="1:50" ht="13.05" hidden="1" customHeight="1" thickBot="1" x14ac:dyDescent="0.3">
      <c r="A178" t="str">
        <f>Nutrients!B177</f>
        <v>Soybean meal with 88% NE of corn</v>
      </c>
      <c r="B178" s="106"/>
      <c r="C178" s="106"/>
      <c r="D178" s="106"/>
      <c r="E178" s="106"/>
      <c r="F178" s="106"/>
      <c r="G178" s="106"/>
      <c r="H178" s="106"/>
      <c r="I178" s="106"/>
      <c r="J178" s="106"/>
      <c r="K178" s="106"/>
      <c r="L178" s="106"/>
      <c r="M178" s="106"/>
      <c r="N178" s="106"/>
      <c r="O178" s="29"/>
      <c r="P178" s="106"/>
      <c r="Q178" s="106"/>
      <c r="R178" s="106"/>
      <c r="S178" s="106"/>
      <c r="T178" s="106"/>
      <c r="U178" s="106"/>
      <c r="V178" s="9"/>
      <c r="W178" s="106"/>
      <c r="X178" s="106"/>
      <c r="Y178" s="106"/>
      <c r="Z178" s="106"/>
      <c r="AA178" s="106"/>
      <c r="AB178" s="106"/>
      <c r="AC178" s="9"/>
      <c r="AD178" s="106"/>
      <c r="AE178" s="106"/>
      <c r="AF178" s="106"/>
      <c r="AG178" s="106"/>
      <c r="AH178" s="106"/>
      <c r="AI178" s="106"/>
      <c r="AJ178" s="9"/>
      <c r="AK178" s="106"/>
      <c r="AL178" s="106"/>
      <c r="AM178" s="106"/>
      <c r="AN178" s="106"/>
      <c r="AO178" s="106"/>
      <c r="AP178" s="106"/>
      <c r="AQ178" s="9"/>
      <c r="AR178" s="106"/>
      <c r="AS178" s="106"/>
      <c r="AT178" s="106"/>
      <c r="AU178" s="106"/>
      <c r="AV178" s="106"/>
      <c r="AW178" s="106"/>
      <c r="AX178" s="9"/>
    </row>
    <row r="179" spans="1:50" ht="13.05" hidden="1" customHeight="1" thickBot="1" x14ac:dyDescent="0.3">
      <c r="A179" t="str">
        <f>Nutrients!B178</f>
        <v>Blue Dye NFP</v>
      </c>
      <c r="B179" s="106"/>
      <c r="C179" s="106"/>
      <c r="D179" s="106"/>
      <c r="E179" s="106"/>
      <c r="F179" s="106"/>
      <c r="G179" s="106"/>
      <c r="H179" s="106"/>
      <c r="I179" s="106"/>
      <c r="J179" s="106"/>
      <c r="K179" s="106"/>
      <c r="L179" s="106"/>
      <c r="M179" s="106"/>
      <c r="N179" s="106"/>
      <c r="O179" s="29"/>
      <c r="P179" s="106"/>
      <c r="Q179" s="106"/>
      <c r="R179" s="106"/>
      <c r="S179" s="106"/>
      <c r="T179" s="106"/>
      <c r="U179" s="106"/>
      <c r="V179" s="9"/>
      <c r="W179" s="106"/>
      <c r="X179" s="106"/>
      <c r="Y179" s="106"/>
      <c r="Z179" s="106"/>
      <c r="AA179" s="106"/>
      <c r="AB179" s="106"/>
      <c r="AC179" s="9"/>
      <c r="AD179" s="106"/>
      <c r="AE179" s="106"/>
      <c r="AF179" s="106"/>
      <c r="AG179" s="106"/>
      <c r="AH179" s="106"/>
      <c r="AI179" s="106"/>
      <c r="AJ179" s="9"/>
      <c r="AK179" s="106"/>
      <c r="AL179" s="106"/>
      <c r="AM179" s="106"/>
      <c r="AN179" s="106"/>
      <c r="AO179" s="106"/>
      <c r="AP179" s="106"/>
      <c r="AQ179" s="9"/>
      <c r="AR179" s="106"/>
      <c r="AS179" s="106"/>
      <c r="AT179" s="106"/>
      <c r="AU179" s="106"/>
      <c r="AV179" s="106"/>
      <c r="AW179" s="106"/>
      <c r="AX179" s="9"/>
    </row>
    <row r="180" spans="1:50" ht="13.05" hidden="1" customHeight="1" thickBot="1" x14ac:dyDescent="0.3">
      <c r="A180" t="str">
        <f>Nutrients!B179</f>
        <v>HP 300 2022 NFP</v>
      </c>
      <c r="B180" s="106"/>
      <c r="C180" s="106"/>
      <c r="D180" s="106"/>
      <c r="E180" s="106"/>
      <c r="F180" s="106"/>
      <c r="G180" s="106"/>
      <c r="H180" s="106"/>
      <c r="I180" s="106"/>
      <c r="J180" s="106"/>
      <c r="K180" s="106"/>
      <c r="L180" s="106"/>
      <c r="M180" s="106"/>
      <c r="N180" s="106"/>
      <c r="O180" s="29"/>
      <c r="P180" s="106"/>
      <c r="Q180" s="106"/>
      <c r="R180" s="106"/>
      <c r="S180" s="106"/>
      <c r="T180" s="106"/>
      <c r="U180" s="106"/>
      <c r="V180" s="9"/>
      <c r="W180" s="106"/>
      <c r="X180" s="106"/>
      <c r="Y180" s="106"/>
      <c r="Z180" s="106"/>
      <c r="AA180" s="106"/>
      <c r="AB180" s="106"/>
      <c r="AC180" s="9"/>
      <c r="AD180" s="106"/>
      <c r="AE180" s="106"/>
      <c r="AF180" s="106"/>
      <c r="AG180" s="106"/>
      <c r="AH180" s="106"/>
      <c r="AI180" s="106"/>
      <c r="AJ180" s="9"/>
      <c r="AK180" s="106"/>
      <c r="AL180" s="106"/>
      <c r="AM180" s="106"/>
      <c r="AN180" s="106"/>
      <c r="AO180" s="106"/>
      <c r="AP180" s="106"/>
      <c r="AQ180" s="9"/>
      <c r="AR180" s="106"/>
      <c r="AS180" s="106"/>
      <c r="AT180" s="106"/>
      <c r="AU180" s="106"/>
      <c r="AV180" s="106"/>
      <c r="AW180" s="106"/>
      <c r="AX180" s="9"/>
    </row>
    <row r="181" spans="1:50" ht="13.05" hidden="1" customHeight="1" thickBot="1" x14ac:dyDescent="0.3">
      <c r="A181" t="str">
        <f>Nutrients!B180</f>
        <v>AX3 Digest NFP</v>
      </c>
      <c r="B181" s="106"/>
      <c r="C181" s="106"/>
      <c r="D181" s="106"/>
      <c r="E181" s="106"/>
      <c r="F181" s="106"/>
      <c r="G181" s="106"/>
      <c r="H181" s="106"/>
      <c r="I181" s="106"/>
      <c r="J181" s="106"/>
      <c r="K181" s="106"/>
      <c r="L181" s="106"/>
      <c r="M181" s="106"/>
      <c r="N181" s="106"/>
      <c r="O181" s="29"/>
      <c r="P181" s="106"/>
      <c r="Q181" s="106"/>
      <c r="R181" s="106"/>
      <c r="S181" s="106"/>
      <c r="T181" s="106"/>
      <c r="U181" s="106"/>
      <c r="V181" s="9"/>
      <c r="W181" s="106"/>
      <c r="X181" s="106"/>
      <c r="Y181" s="106"/>
      <c r="Z181" s="106"/>
      <c r="AA181" s="106"/>
      <c r="AB181" s="106"/>
      <c r="AC181" s="9"/>
      <c r="AD181" s="106"/>
      <c r="AE181" s="106"/>
      <c r="AF181" s="106"/>
      <c r="AG181" s="106"/>
      <c r="AH181" s="106"/>
      <c r="AI181" s="106"/>
      <c r="AJ181" s="9"/>
      <c r="AK181" s="106"/>
      <c r="AL181" s="106"/>
      <c r="AM181" s="106"/>
      <c r="AN181" s="106"/>
      <c r="AO181" s="106"/>
      <c r="AP181" s="106"/>
      <c r="AQ181" s="9"/>
      <c r="AR181" s="106"/>
      <c r="AS181" s="106"/>
      <c r="AT181" s="106"/>
      <c r="AU181" s="106"/>
      <c r="AV181" s="106"/>
      <c r="AW181" s="106"/>
      <c r="AX181" s="9"/>
    </row>
    <row r="182" spans="1:50" ht="13.05" hidden="1" customHeight="1" thickBot="1" x14ac:dyDescent="0.3">
      <c r="A182" t="str">
        <f>Nutrients!B181</f>
        <v>Phase 2 supplement 2018 NFP</v>
      </c>
      <c r="B182" s="106"/>
      <c r="C182" s="106"/>
      <c r="D182" s="106"/>
      <c r="E182" s="106"/>
      <c r="F182" s="106"/>
      <c r="G182" s="106"/>
      <c r="H182" s="106"/>
      <c r="I182" s="106"/>
      <c r="J182" s="106"/>
      <c r="K182" s="106"/>
      <c r="L182" s="106"/>
      <c r="M182" s="106"/>
      <c r="N182" s="106"/>
      <c r="O182" s="29"/>
      <c r="P182" s="106"/>
      <c r="Q182" s="106"/>
      <c r="R182" s="106"/>
      <c r="S182" s="106"/>
      <c r="T182" s="106"/>
      <c r="U182" s="106"/>
      <c r="V182" s="9"/>
      <c r="W182" s="106"/>
      <c r="X182" s="106"/>
      <c r="Y182" s="106"/>
      <c r="Z182" s="106"/>
      <c r="AA182" s="106"/>
      <c r="AB182" s="106"/>
      <c r="AC182" s="9"/>
      <c r="AD182" s="106"/>
      <c r="AE182" s="106"/>
      <c r="AF182" s="106"/>
      <c r="AG182" s="106"/>
      <c r="AH182" s="106"/>
      <c r="AI182" s="106"/>
      <c r="AJ182" s="9"/>
      <c r="AK182" s="106"/>
      <c r="AL182" s="106"/>
      <c r="AM182" s="106"/>
      <c r="AN182" s="106"/>
      <c r="AO182" s="106"/>
      <c r="AP182" s="106"/>
      <c r="AQ182" s="9"/>
      <c r="AR182" s="106"/>
      <c r="AS182" s="106"/>
      <c r="AT182" s="106"/>
      <c r="AU182" s="106"/>
      <c r="AV182" s="106"/>
      <c r="AW182" s="106"/>
      <c r="AX182" s="9"/>
    </row>
    <row r="183" spans="1:50" ht="13.05" hidden="1" customHeight="1" thickBot="1" x14ac:dyDescent="0.3">
      <c r="A183" t="str">
        <f>Nutrients!B182</f>
        <v>Femex 200 NFP</v>
      </c>
      <c r="B183" s="106"/>
      <c r="C183" s="106"/>
      <c r="D183" s="106"/>
      <c r="E183" s="106"/>
      <c r="F183" s="106"/>
      <c r="G183" s="106"/>
      <c r="H183" s="106"/>
      <c r="I183" s="106"/>
      <c r="J183" s="106"/>
      <c r="K183" s="106"/>
      <c r="L183" s="106"/>
      <c r="M183" s="106"/>
      <c r="N183" s="106"/>
      <c r="O183" s="29"/>
      <c r="P183" s="106"/>
      <c r="Q183" s="106"/>
      <c r="R183" s="106"/>
      <c r="S183" s="106"/>
      <c r="T183" s="106"/>
      <c r="U183" s="106"/>
      <c r="V183" s="9"/>
      <c r="W183" s="106"/>
      <c r="X183" s="106"/>
      <c r="Y183" s="106"/>
      <c r="Z183" s="106"/>
      <c r="AA183" s="106"/>
      <c r="AB183" s="106"/>
      <c r="AC183" s="9"/>
      <c r="AD183" s="106"/>
      <c r="AE183" s="106"/>
      <c r="AF183" s="106"/>
      <c r="AG183" s="106"/>
      <c r="AH183" s="106"/>
      <c r="AI183" s="106"/>
      <c r="AJ183" s="9"/>
      <c r="AK183" s="106"/>
      <c r="AL183" s="106"/>
      <c r="AM183" s="106"/>
      <c r="AN183" s="106"/>
      <c r="AO183" s="106"/>
      <c r="AP183" s="106"/>
      <c r="AQ183" s="9"/>
      <c r="AR183" s="106"/>
      <c r="AS183" s="106"/>
      <c r="AT183" s="106"/>
      <c r="AU183" s="106"/>
      <c r="AV183" s="106"/>
      <c r="AW183" s="106"/>
      <c r="AX183" s="9"/>
    </row>
    <row r="184" spans="1:50" ht="13.05" hidden="1" customHeight="1" thickBot="1" x14ac:dyDescent="0.3">
      <c r="A184" t="str">
        <f>Nutrients!B183</f>
        <v xml:space="preserve">NFP Soybean meal w/88% NE of corn </v>
      </c>
      <c r="B184" s="106"/>
      <c r="C184" s="106"/>
      <c r="D184" s="106"/>
      <c r="E184" s="106"/>
      <c r="F184" s="106"/>
      <c r="G184" s="106"/>
      <c r="H184" s="106"/>
      <c r="I184" s="106"/>
      <c r="J184" s="106"/>
      <c r="K184" s="106"/>
      <c r="L184" s="106"/>
      <c r="M184" s="106"/>
      <c r="N184" s="106"/>
      <c r="O184" s="29"/>
      <c r="P184" s="106"/>
      <c r="Q184" s="106"/>
      <c r="R184" s="106"/>
      <c r="S184" s="106"/>
      <c r="T184" s="106"/>
      <c r="U184" s="106"/>
      <c r="V184" s="9"/>
      <c r="W184" s="106"/>
      <c r="X184" s="106"/>
      <c r="Y184" s="106"/>
      <c r="Z184" s="106"/>
      <c r="AA184" s="106"/>
      <c r="AB184" s="106"/>
      <c r="AC184" s="9"/>
      <c r="AD184" s="106"/>
      <c r="AE184" s="106"/>
      <c r="AF184" s="106"/>
      <c r="AG184" s="106"/>
      <c r="AH184" s="106"/>
      <c r="AI184" s="106"/>
      <c r="AJ184" s="9"/>
      <c r="AK184" s="106"/>
      <c r="AL184" s="106"/>
      <c r="AM184" s="106"/>
      <c r="AN184" s="106"/>
      <c r="AO184" s="106"/>
      <c r="AP184" s="106"/>
      <c r="AQ184" s="9"/>
      <c r="AR184" s="106"/>
      <c r="AS184" s="106"/>
      <c r="AT184" s="106"/>
      <c r="AU184" s="106"/>
      <c r="AV184" s="106"/>
      <c r="AW184" s="106"/>
      <c r="AX184" s="9"/>
    </row>
    <row r="185" spans="1:50" ht="13.05" hidden="1" customHeight="1" thickBot="1" x14ac:dyDescent="0.3">
      <c r="A185" t="str">
        <f>Nutrients!B184</f>
        <v>AV-E Digest NFP</v>
      </c>
      <c r="B185" s="106"/>
      <c r="C185" s="106"/>
      <c r="D185" s="106"/>
      <c r="E185" s="106"/>
      <c r="F185" s="106"/>
      <c r="G185" s="106"/>
      <c r="H185" s="106"/>
      <c r="I185" s="106"/>
      <c r="J185" s="106"/>
      <c r="K185" s="106"/>
      <c r="L185" s="106"/>
      <c r="M185" s="106"/>
      <c r="N185" s="106"/>
      <c r="O185" s="29"/>
      <c r="P185" s="106"/>
      <c r="Q185" s="106"/>
      <c r="R185" s="106"/>
      <c r="S185" s="106"/>
      <c r="T185" s="106"/>
      <c r="U185" s="106"/>
      <c r="V185" s="9"/>
      <c r="W185" s="106"/>
      <c r="X185" s="106"/>
      <c r="Y185" s="106"/>
      <c r="Z185" s="106"/>
      <c r="AA185" s="106"/>
      <c r="AB185" s="106"/>
      <c r="AC185" s="9"/>
      <c r="AD185" s="106"/>
      <c r="AE185" s="106"/>
      <c r="AF185" s="106"/>
      <c r="AG185" s="106"/>
      <c r="AH185" s="106"/>
      <c r="AI185" s="106"/>
      <c r="AJ185" s="9"/>
      <c r="AK185" s="106"/>
      <c r="AL185" s="106"/>
      <c r="AM185" s="106"/>
      <c r="AN185" s="106"/>
      <c r="AO185" s="106"/>
      <c r="AP185" s="106"/>
      <c r="AQ185" s="9"/>
      <c r="AR185" s="106"/>
      <c r="AS185" s="106"/>
      <c r="AT185" s="106"/>
      <c r="AU185" s="106"/>
      <c r="AV185" s="106"/>
      <c r="AW185" s="106"/>
      <c r="AX185" s="9"/>
    </row>
    <row r="186" spans="1:50" ht="13.05" hidden="1" customHeight="1" thickBot="1" x14ac:dyDescent="0.3">
      <c r="A186" t="str">
        <f>Nutrients!B185</f>
        <v>QFP Cereal Blend NFP</v>
      </c>
      <c r="B186" s="106"/>
      <c r="C186" s="106"/>
      <c r="D186" s="106"/>
      <c r="E186" s="106"/>
      <c r="F186" s="106"/>
      <c r="G186" s="106"/>
      <c r="H186" s="106"/>
      <c r="I186" s="106"/>
      <c r="J186" s="106"/>
      <c r="K186" s="106"/>
      <c r="L186" s="106"/>
      <c r="M186" s="106"/>
      <c r="N186" s="106"/>
      <c r="O186" s="29"/>
      <c r="P186" s="106"/>
      <c r="Q186" s="106"/>
      <c r="R186" s="106"/>
      <c r="S186" s="106"/>
      <c r="T186" s="106"/>
      <c r="U186" s="106"/>
      <c r="V186" s="9"/>
      <c r="W186" s="106"/>
      <c r="X186" s="106"/>
      <c r="Y186" s="106"/>
      <c r="Z186" s="106"/>
      <c r="AA186" s="106"/>
      <c r="AB186" s="106"/>
      <c r="AC186" s="9"/>
      <c r="AD186" s="106"/>
      <c r="AE186" s="106"/>
      <c r="AF186" s="106"/>
      <c r="AG186" s="106"/>
      <c r="AH186" s="106"/>
      <c r="AI186" s="106"/>
      <c r="AJ186" s="9"/>
      <c r="AK186" s="106"/>
      <c r="AL186" s="106"/>
      <c r="AM186" s="106"/>
      <c r="AN186" s="106"/>
      <c r="AO186" s="106"/>
      <c r="AP186" s="106"/>
      <c r="AQ186" s="9"/>
      <c r="AR186" s="106"/>
      <c r="AS186" s="106"/>
      <c r="AT186" s="106"/>
      <c r="AU186" s="106"/>
      <c r="AV186" s="106"/>
      <c r="AW186" s="106"/>
      <c r="AX186" s="9"/>
    </row>
    <row r="187" spans="1:50" ht="13.05" hidden="1" customHeight="1" thickBot="1" x14ac:dyDescent="0.3">
      <c r="A187" t="str">
        <f>Nutrients!B186</f>
        <v>FXP Ani-Tek NFP</v>
      </c>
      <c r="B187" s="106"/>
      <c r="C187" s="106"/>
      <c r="D187" s="106"/>
      <c r="E187" s="106"/>
      <c r="F187" s="106"/>
      <c r="G187" s="106"/>
      <c r="H187" s="106"/>
      <c r="I187" s="106"/>
      <c r="J187" s="106"/>
      <c r="K187" s="106"/>
      <c r="L187" s="106"/>
      <c r="M187" s="106"/>
      <c r="N187" s="106"/>
      <c r="O187" s="29"/>
      <c r="P187" s="106"/>
      <c r="Q187" s="106"/>
      <c r="R187" s="106"/>
      <c r="S187" s="106"/>
      <c r="T187" s="106"/>
      <c r="U187" s="106"/>
      <c r="V187" s="9"/>
      <c r="W187" s="106"/>
      <c r="X187" s="106"/>
      <c r="Y187" s="106"/>
      <c r="Z187" s="106"/>
      <c r="AA187" s="106"/>
      <c r="AB187" s="106"/>
      <c r="AC187" s="9"/>
      <c r="AD187" s="106"/>
      <c r="AE187" s="106"/>
      <c r="AF187" s="106"/>
      <c r="AG187" s="106"/>
      <c r="AH187" s="106"/>
      <c r="AI187" s="106"/>
      <c r="AJ187" s="9"/>
      <c r="AK187" s="106"/>
      <c r="AL187" s="106"/>
      <c r="AM187" s="106"/>
      <c r="AN187" s="106"/>
      <c r="AO187" s="106"/>
      <c r="AP187" s="106"/>
      <c r="AQ187" s="9"/>
      <c r="AR187" s="106"/>
      <c r="AS187" s="106"/>
      <c r="AT187" s="106"/>
      <c r="AU187" s="106"/>
      <c r="AV187" s="106"/>
      <c r="AW187" s="106"/>
      <c r="AX187" s="9"/>
    </row>
    <row r="188" spans="1:50" ht="13.05" hidden="1" customHeight="1" thickBot="1" x14ac:dyDescent="0.3">
      <c r="A188" t="str">
        <f>Nutrients!B187</f>
        <v>NFP VTM Grower (2021)</v>
      </c>
      <c r="B188" s="106"/>
      <c r="C188" s="106"/>
      <c r="D188" s="106"/>
      <c r="E188" s="106"/>
      <c r="F188" s="106"/>
      <c r="G188" s="106"/>
      <c r="H188" s="106"/>
      <c r="I188" s="106"/>
      <c r="J188" s="106"/>
      <c r="K188" s="106"/>
      <c r="L188" s="106"/>
      <c r="M188" s="106"/>
      <c r="N188" s="106"/>
      <c r="O188" s="29"/>
      <c r="P188" s="106"/>
      <c r="Q188" s="106"/>
      <c r="R188" s="106"/>
      <c r="S188" s="106"/>
      <c r="T188" s="106"/>
      <c r="U188" s="106"/>
      <c r="V188" s="9"/>
      <c r="W188" s="106"/>
      <c r="X188" s="106"/>
      <c r="Y188" s="106"/>
      <c r="Z188" s="106"/>
      <c r="AA188" s="106"/>
      <c r="AB188" s="106"/>
      <c r="AC188" s="9"/>
      <c r="AD188" s="106"/>
      <c r="AE188" s="106"/>
      <c r="AF188" s="106"/>
      <c r="AG188" s="106"/>
      <c r="AH188" s="106"/>
      <c r="AI188" s="106"/>
      <c r="AJ188" s="9"/>
      <c r="AK188" s="106"/>
      <c r="AL188" s="106"/>
      <c r="AM188" s="106"/>
      <c r="AN188" s="106"/>
      <c r="AO188" s="106"/>
      <c r="AP188" s="106"/>
      <c r="AQ188" s="9"/>
      <c r="AR188" s="106"/>
      <c r="AS188" s="106"/>
      <c r="AT188" s="106"/>
      <c r="AU188" s="106"/>
      <c r="AV188" s="106"/>
      <c r="AW188" s="106"/>
      <c r="AX188" s="9"/>
    </row>
    <row r="189" spans="1:50" ht="13.05" hidden="1" customHeight="1" thickBot="1" x14ac:dyDescent="0.3">
      <c r="A189" t="str">
        <f>Nutrients!B188</f>
        <v>NFP VTM Sow (2021)</v>
      </c>
      <c r="B189" s="106"/>
      <c r="C189" s="106"/>
      <c r="D189" s="106"/>
      <c r="E189" s="106"/>
      <c r="F189" s="106"/>
      <c r="G189" s="106"/>
      <c r="H189" s="106"/>
      <c r="I189" s="106"/>
      <c r="J189" s="106"/>
      <c r="K189" s="106"/>
      <c r="L189" s="106"/>
      <c r="M189" s="106"/>
      <c r="N189" s="106"/>
      <c r="O189" s="29"/>
      <c r="P189" s="106"/>
      <c r="Q189" s="106"/>
      <c r="R189" s="106"/>
      <c r="S189" s="106"/>
      <c r="T189" s="106"/>
      <c r="U189" s="106"/>
      <c r="V189" s="9"/>
      <c r="W189" s="106"/>
      <c r="X189" s="106"/>
      <c r="Y189" s="106"/>
      <c r="Z189" s="106"/>
      <c r="AA189" s="106"/>
      <c r="AB189" s="106"/>
      <c r="AC189" s="9"/>
      <c r="AD189" s="106"/>
      <c r="AE189" s="106"/>
      <c r="AF189" s="106"/>
      <c r="AG189" s="106"/>
      <c r="AH189" s="106"/>
      <c r="AI189" s="106"/>
      <c r="AJ189" s="9"/>
      <c r="AK189" s="106"/>
      <c r="AL189" s="106"/>
      <c r="AM189" s="106"/>
      <c r="AN189" s="106"/>
      <c r="AO189" s="106"/>
      <c r="AP189" s="106"/>
      <c r="AQ189" s="9"/>
      <c r="AR189" s="106"/>
      <c r="AS189" s="106"/>
      <c r="AT189" s="106"/>
      <c r="AU189" s="106"/>
      <c r="AV189" s="106"/>
      <c r="AW189" s="106"/>
      <c r="AX189" s="9"/>
    </row>
    <row r="190" spans="1:50" ht="13.05" hidden="1" customHeight="1" thickBot="1" x14ac:dyDescent="0.3">
      <c r="A190" t="str">
        <f>Nutrients!B189</f>
        <v>VevoVitall NFP</v>
      </c>
      <c r="B190" s="106"/>
      <c r="C190" s="106"/>
      <c r="D190" s="106"/>
      <c r="E190" s="106"/>
      <c r="F190" s="106"/>
      <c r="G190" s="106"/>
      <c r="H190" s="106"/>
      <c r="I190" s="106"/>
      <c r="J190" s="106"/>
      <c r="K190" s="106"/>
      <c r="L190" s="106"/>
      <c r="M190" s="106"/>
      <c r="N190" s="106"/>
      <c r="O190" s="29"/>
      <c r="P190" s="106"/>
      <c r="Q190" s="106"/>
      <c r="R190" s="106"/>
      <c r="S190" s="106"/>
      <c r="T190" s="106"/>
      <c r="U190" s="106"/>
      <c r="V190" s="9"/>
      <c r="W190" s="106"/>
      <c r="X190" s="106"/>
      <c r="Y190" s="106"/>
      <c r="Z190" s="106"/>
      <c r="AA190" s="106"/>
      <c r="AB190" s="106"/>
      <c r="AC190" s="9"/>
      <c r="AD190" s="106"/>
      <c r="AE190" s="106"/>
      <c r="AF190" s="106"/>
      <c r="AG190" s="106"/>
      <c r="AH190" s="106"/>
      <c r="AI190" s="106"/>
      <c r="AJ190" s="9"/>
      <c r="AK190" s="106"/>
      <c r="AL190" s="106"/>
      <c r="AM190" s="106"/>
      <c r="AN190" s="106"/>
      <c r="AO190" s="106"/>
      <c r="AP190" s="106"/>
      <c r="AQ190" s="9"/>
      <c r="AR190" s="106"/>
      <c r="AS190" s="106"/>
      <c r="AT190" s="106"/>
      <c r="AU190" s="106"/>
      <c r="AV190" s="106"/>
      <c r="AW190" s="106"/>
      <c r="AX190" s="9"/>
    </row>
    <row r="191" spans="1:50" ht="13.05" hidden="1" customHeight="1" thickBot="1" x14ac:dyDescent="0.3">
      <c r="A191" t="str">
        <f>Nutrients!B190</f>
        <v>MEPRO NFP</v>
      </c>
      <c r="B191" s="106"/>
      <c r="C191" s="106"/>
      <c r="D191" s="106"/>
      <c r="E191" s="106"/>
      <c r="F191" s="106"/>
      <c r="G191" s="106"/>
      <c r="H191" s="106"/>
      <c r="I191" s="106"/>
      <c r="J191" s="106"/>
      <c r="K191" s="106"/>
      <c r="L191" s="106"/>
      <c r="M191" s="106"/>
      <c r="N191" s="106"/>
      <c r="O191" s="29"/>
      <c r="P191" s="106"/>
      <c r="Q191" s="106"/>
      <c r="R191" s="106"/>
      <c r="S191" s="106"/>
      <c r="T191" s="106"/>
      <c r="U191" s="106"/>
      <c r="V191" s="9"/>
      <c r="W191" s="106"/>
      <c r="X191" s="106"/>
      <c r="Y191" s="106"/>
      <c r="Z191" s="106"/>
      <c r="AA191" s="106"/>
      <c r="AB191" s="106"/>
      <c r="AC191" s="9"/>
      <c r="AD191" s="106"/>
      <c r="AE191" s="106"/>
      <c r="AF191" s="106"/>
      <c r="AG191" s="106"/>
      <c r="AH191" s="106"/>
      <c r="AI191" s="106"/>
      <c r="AJ191" s="9"/>
      <c r="AK191" s="106"/>
      <c r="AL191" s="106"/>
      <c r="AM191" s="106"/>
      <c r="AN191" s="106"/>
      <c r="AO191" s="106"/>
      <c r="AP191" s="106"/>
      <c r="AQ191" s="9"/>
      <c r="AR191" s="106"/>
      <c r="AS191" s="106"/>
      <c r="AT191" s="106"/>
      <c r="AU191" s="106"/>
      <c r="AV191" s="106"/>
      <c r="AW191" s="106"/>
      <c r="AX191" s="9"/>
    </row>
    <row r="192" spans="1:50" ht="13.05" hidden="1" customHeight="1" thickBot="1" x14ac:dyDescent="0.3">
      <c r="A192" t="str">
        <f>Nutrients!B191</f>
        <v>AlphaGal 280 P NFP</v>
      </c>
      <c r="B192" s="106"/>
      <c r="C192" s="106"/>
      <c r="D192" s="106"/>
      <c r="E192" s="106"/>
      <c r="F192" s="106"/>
      <c r="G192" s="106"/>
      <c r="H192" s="106"/>
      <c r="I192" s="106"/>
      <c r="J192" s="106"/>
      <c r="K192" s="106"/>
      <c r="L192" s="106"/>
      <c r="M192" s="106"/>
      <c r="N192" s="106"/>
      <c r="O192" s="29"/>
      <c r="P192" s="106"/>
      <c r="Q192" s="106"/>
      <c r="R192" s="106"/>
      <c r="S192" s="106"/>
      <c r="T192" s="106"/>
      <c r="U192" s="106"/>
      <c r="V192" s="9"/>
      <c r="W192" s="106"/>
      <c r="X192" s="106"/>
      <c r="Y192" s="106"/>
      <c r="Z192" s="106"/>
      <c r="AA192" s="106"/>
      <c r="AB192" s="106"/>
      <c r="AC192" s="9"/>
      <c r="AD192" s="106"/>
      <c r="AE192" s="106"/>
      <c r="AF192" s="106"/>
      <c r="AG192" s="106"/>
      <c r="AH192" s="106"/>
      <c r="AI192" s="106"/>
      <c r="AJ192" s="9"/>
      <c r="AK192" s="106"/>
      <c r="AL192" s="106"/>
      <c r="AM192" s="106"/>
      <c r="AN192" s="106"/>
      <c r="AO192" s="106"/>
      <c r="AP192" s="106"/>
      <c r="AQ192" s="9"/>
      <c r="AR192" s="106"/>
      <c r="AS192" s="106"/>
      <c r="AT192" s="106"/>
      <c r="AU192" s="106"/>
      <c r="AV192" s="106"/>
      <c r="AW192" s="106"/>
      <c r="AX192" s="9"/>
    </row>
    <row r="193" spans="1:50" ht="13.05" hidden="1" customHeight="1" thickBot="1" x14ac:dyDescent="0.3">
      <c r="A193" t="str">
        <f>Nutrients!B192</f>
        <v xml:space="preserve">NFP Custom Manganese </v>
      </c>
      <c r="B193" s="106"/>
      <c r="C193" s="106"/>
      <c r="D193" s="106"/>
      <c r="E193" s="106"/>
      <c r="F193" s="106"/>
      <c r="G193" s="106"/>
      <c r="H193" s="106"/>
      <c r="I193" s="106"/>
      <c r="J193" s="106"/>
      <c r="K193" s="106"/>
      <c r="L193" s="106"/>
      <c r="M193" s="106"/>
      <c r="N193" s="106"/>
      <c r="O193" s="29"/>
      <c r="P193" s="106"/>
      <c r="Q193" s="106"/>
      <c r="R193" s="106"/>
      <c r="S193" s="106"/>
      <c r="T193" s="106"/>
      <c r="U193" s="106"/>
      <c r="V193" s="9"/>
      <c r="W193" s="106"/>
      <c r="X193" s="106"/>
      <c r="Y193" s="106"/>
      <c r="Z193" s="106"/>
      <c r="AA193" s="106"/>
      <c r="AB193" s="106"/>
      <c r="AC193" s="9"/>
      <c r="AD193" s="106"/>
      <c r="AE193" s="106"/>
      <c r="AF193" s="106"/>
      <c r="AG193" s="106"/>
      <c r="AH193" s="106"/>
      <c r="AI193" s="106"/>
      <c r="AJ193" s="9"/>
      <c r="AK193" s="106"/>
      <c r="AL193" s="106"/>
      <c r="AM193" s="106"/>
      <c r="AN193" s="106"/>
      <c r="AO193" s="106"/>
      <c r="AP193" s="106"/>
      <c r="AQ193" s="9"/>
      <c r="AR193" s="106"/>
      <c r="AS193" s="106"/>
      <c r="AT193" s="106"/>
      <c r="AU193" s="106"/>
      <c r="AV193" s="106"/>
      <c r="AW193" s="106"/>
      <c r="AX193" s="9"/>
    </row>
    <row r="194" spans="1:50" ht="13.05" hidden="1" customHeight="1" thickBot="1" x14ac:dyDescent="0.3">
      <c r="A194" t="str">
        <f>Nutrients!B193</f>
        <v>Fat Build R2 All Veg 4000 NFP</v>
      </c>
      <c r="B194" s="106"/>
      <c r="C194" s="106"/>
      <c r="D194" s="106"/>
      <c r="E194" s="106"/>
      <c r="F194" s="106"/>
      <c r="G194" s="106"/>
      <c r="H194" s="106"/>
      <c r="I194" s="106"/>
      <c r="J194" s="106"/>
      <c r="K194" s="106"/>
      <c r="L194" s="106"/>
      <c r="M194" s="106"/>
      <c r="N194" s="106"/>
      <c r="O194" s="29"/>
      <c r="P194" s="106"/>
      <c r="Q194" s="106"/>
      <c r="R194" s="106"/>
      <c r="S194" s="106"/>
      <c r="T194" s="106"/>
      <c r="U194" s="106"/>
      <c r="V194" s="9"/>
      <c r="W194" s="106"/>
      <c r="X194" s="106"/>
      <c r="Y194" s="106"/>
      <c r="Z194" s="106"/>
      <c r="AA194" s="106"/>
      <c r="AB194" s="106"/>
      <c r="AC194" s="9"/>
      <c r="AD194" s="106"/>
      <c r="AE194" s="106"/>
      <c r="AF194" s="106"/>
      <c r="AG194" s="106"/>
      <c r="AH194" s="106"/>
      <c r="AI194" s="106"/>
      <c r="AJ194" s="9"/>
      <c r="AK194" s="106"/>
      <c r="AL194" s="106"/>
      <c r="AM194" s="106"/>
      <c r="AN194" s="106"/>
      <c r="AO194" s="106"/>
      <c r="AP194" s="106"/>
      <c r="AQ194" s="9"/>
      <c r="AR194" s="106"/>
      <c r="AS194" s="106"/>
      <c r="AT194" s="106"/>
      <c r="AU194" s="106"/>
      <c r="AV194" s="106"/>
      <c r="AW194" s="106"/>
      <c r="AX194" s="9"/>
    </row>
    <row r="195" spans="1:50" ht="13.05" hidden="1" customHeight="1" thickBot="1" x14ac:dyDescent="0.3">
      <c r="A195" t="str">
        <f>Nutrients!B194</f>
        <v>LipoVital GL 90 NFP</v>
      </c>
      <c r="B195" s="106"/>
      <c r="C195" s="106"/>
      <c r="D195" s="106"/>
      <c r="E195" s="106"/>
      <c r="F195" s="106"/>
      <c r="G195" s="106"/>
      <c r="H195" s="106"/>
      <c r="I195" s="106"/>
      <c r="J195" s="106"/>
      <c r="K195" s="106"/>
      <c r="L195" s="106"/>
      <c r="M195" s="106"/>
      <c r="N195" s="106"/>
      <c r="O195" s="29"/>
      <c r="P195" s="106"/>
      <c r="Q195" s="106"/>
      <c r="R195" s="106"/>
      <c r="S195" s="106"/>
      <c r="T195" s="106"/>
      <c r="U195" s="106"/>
      <c r="V195" s="9"/>
      <c r="W195" s="106"/>
      <c r="X195" s="106"/>
      <c r="Y195" s="106"/>
      <c r="Z195" s="106"/>
      <c r="AA195" s="106"/>
      <c r="AB195" s="106"/>
      <c r="AC195" s="9"/>
      <c r="AD195" s="106"/>
      <c r="AE195" s="106"/>
      <c r="AF195" s="106"/>
      <c r="AG195" s="106"/>
      <c r="AH195" s="106"/>
      <c r="AI195" s="106"/>
      <c r="AJ195" s="9"/>
      <c r="AK195" s="106"/>
      <c r="AL195" s="106"/>
      <c r="AM195" s="106"/>
      <c r="AN195" s="106"/>
      <c r="AO195" s="106"/>
      <c r="AP195" s="106"/>
      <c r="AQ195" s="9"/>
      <c r="AR195" s="106"/>
      <c r="AS195" s="106"/>
      <c r="AT195" s="106"/>
      <c r="AU195" s="106"/>
      <c r="AV195" s="106"/>
      <c r="AW195" s="106"/>
      <c r="AX195" s="9"/>
    </row>
    <row r="196" spans="1:50" ht="13.05" hidden="1" customHeight="1" thickBot="1" x14ac:dyDescent="0.3">
      <c r="A196" t="str">
        <f>Nutrients!B195</f>
        <v>NFP Custom Zinc</v>
      </c>
      <c r="B196" s="106"/>
      <c r="C196" s="106"/>
      <c r="D196" s="106"/>
      <c r="E196" s="106"/>
      <c r="F196" s="106"/>
      <c r="G196" s="106"/>
      <c r="H196" s="106"/>
      <c r="I196" s="106"/>
      <c r="J196" s="106"/>
      <c r="K196" s="106"/>
      <c r="L196" s="106"/>
      <c r="M196" s="106"/>
      <c r="N196" s="106"/>
      <c r="O196" s="29"/>
      <c r="P196" s="106"/>
      <c r="Q196" s="106"/>
      <c r="R196" s="106"/>
      <c r="S196" s="106"/>
      <c r="T196" s="106"/>
      <c r="U196" s="106"/>
      <c r="V196" s="9"/>
      <c r="W196" s="106"/>
      <c r="X196" s="106"/>
      <c r="Y196" s="106"/>
      <c r="Z196" s="106"/>
      <c r="AA196" s="106"/>
      <c r="AB196" s="106"/>
      <c r="AC196" s="9"/>
      <c r="AD196" s="106"/>
      <c r="AE196" s="106"/>
      <c r="AF196" s="106"/>
      <c r="AG196" s="106"/>
      <c r="AH196" s="106"/>
      <c r="AI196" s="106"/>
      <c r="AJ196" s="9"/>
      <c r="AK196" s="106"/>
      <c r="AL196" s="106"/>
      <c r="AM196" s="106"/>
      <c r="AN196" s="106"/>
      <c r="AO196" s="106"/>
      <c r="AP196" s="106"/>
      <c r="AQ196" s="9"/>
      <c r="AR196" s="106"/>
      <c r="AS196" s="106"/>
      <c r="AT196" s="106"/>
      <c r="AU196" s="106"/>
      <c r="AV196" s="106"/>
      <c r="AW196" s="106"/>
      <c r="AX196" s="9"/>
    </row>
    <row r="197" spans="1:50" ht="13.05" hidden="1" customHeight="1" thickBot="1" x14ac:dyDescent="0.3">
      <c r="A197" t="str">
        <f>Nutrients!B196</f>
        <v>THRPRO-L Threonine 80% NFP</v>
      </c>
      <c r="B197" s="106"/>
      <c r="C197" s="106"/>
      <c r="D197" s="106"/>
      <c r="E197" s="106"/>
      <c r="F197" s="106"/>
      <c r="G197" s="106"/>
      <c r="H197" s="106"/>
      <c r="I197" s="106"/>
      <c r="J197" s="106"/>
      <c r="K197" s="106"/>
      <c r="L197" s="106"/>
      <c r="M197" s="106"/>
      <c r="N197" s="106"/>
      <c r="O197" s="29"/>
      <c r="P197" s="106"/>
      <c r="Q197" s="106"/>
      <c r="R197" s="106"/>
      <c r="S197" s="106"/>
      <c r="T197" s="106"/>
      <c r="U197" s="106"/>
      <c r="V197" s="9"/>
      <c r="W197" s="106"/>
      <c r="X197" s="106"/>
      <c r="Y197" s="106"/>
      <c r="Z197" s="106"/>
      <c r="AA197" s="106"/>
      <c r="AB197" s="106"/>
      <c r="AC197" s="9"/>
      <c r="AD197" s="106"/>
      <c r="AE197" s="106"/>
      <c r="AF197" s="106"/>
      <c r="AG197" s="106"/>
      <c r="AH197" s="106"/>
      <c r="AI197" s="106"/>
      <c r="AJ197" s="9"/>
      <c r="AK197" s="106"/>
      <c r="AL197" s="106"/>
      <c r="AM197" s="106"/>
      <c r="AN197" s="106"/>
      <c r="AO197" s="106"/>
      <c r="AP197" s="106"/>
      <c r="AQ197" s="9"/>
      <c r="AR197" s="106"/>
      <c r="AS197" s="106"/>
      <c r="AT197" s="106"/>
      <c r="AU197" s="106"/>
      <c r="AV197" s="106"/>
      <c r="AW197" s="106"/>
      <c r="AX197" s="9"/>
    </row>
    <row r="198" spans="1:50" ht="13.05" hidden="1" customHeight="1" thickBot="1" x14ac:dyDescent="0.3">
      <c r="A198" t="str">
        <f>Nutrients!B197</f>
        <v>Copper Chloride Intellibond TBCC NFP</v>
      </c>
      <c r="B198" s="106"/>
      <c r="C198" s="106"/>
      <c r="D198" s="106"/>
      <c r="E198" s="106"/>
      <c r="F198" s="106"/>
      <c r="G198" s="106"/>
      <c r="H198" s="106"/>
      <c r="I198" s="106"/>
      <c r="J198" s="106"/>
      <c r="K198" s="106"/>
      <c r="L198" s="106"/>
      <c r="M198" s="106"/>
      <c r="N198" s="106"/>
      <c r="O198" s="29"/>
      <c r="P198" s="106"/>
      <c r="Q198" s="106"/>
      <c r="R198" s="106"/>
      <c r="S198" s="106"/>
      <c r="T198" s="106"/>
      <c r="U198" s="106"/>
      <c r="V198" s="9"/>
      <c r="W198" s="106"/>
      <c r="X198" s="106"/>
      <c r="Y198" s="106"/>
      <c r="Z198" s="106"/>
      <c r="AA198" s="106"/>
      <c r="AB198" s="106"/>
      <c r="AC198" s="9"/>
      <c r="AD198" s="106"/>
      <c r="AE198" s="106"/>
      <c r="AF198" s="106"/>
      <c r="AG198" s="106"/>
      <c r="AH198" s="106"/>
      <c r="AI198" s="106"/>
      <c r="AJ198" s="9"/>
      <c r="AK198" s="106"/>
      <c r="AL198" s="106"/>
      <c r="AM198" s="106"/>
      <c r="AN198" s="106"/>
      <c r="AO198" s="106"/>
      <c r="AP198" s="106"/>
      <c r="AQ198" s="9"/>
      <c r="AR198" s="106"/>
      <c r="AS198" s="106"/>
      <c r="AT198" s="106"/>
      <c r="AU198" s="106"/>
      <c r="AV198" s="106"/>
      <c r="AW198" s="106"/>
      <c r="AX198" s="9"/>
    </row>
    <row r="199" spans="1:50" ht="13.05" hidden="1" customHeight="1" thickBot="1" x14ac:dyDescent="0.3">
      <c r="A199" t="str">
        <f>Nutrients!B198</f>
        <v>DDGS 7.5% Oil Green Plains NFP</v>
      </c>
      <c r="B199" s="106"/>
      <c r="C199" s="106"/>
      <c r="D199" s="106"/>
      <c r="E199" s="106"/>
      <c r="F199" s="106"/>
      <c r="G199" s="106"/>
      <c r="H199" s="106"/>
      <c r="I199" s="106"/>
      <c r="J199" s="106"/>
      <c r="K199" s="106"/>
      <c r="L199" s="106"/>
      <c r="M199" s="106"/>
      <c r="N199" s="106"/>
      <c r="O199" s="29"/>
      <c r="P199" s="106"/>
      <c r="Q199" s="106"/>
      <c r="R199" s="106"/>
      <c r="S199" s="106"/>
      <c r="T199" s="106"/>
      <c r="U199" s="106"/>
      <c r="V199" s="9"/>
      <c r="W199" s="106"/>
      <c r="X199" s="106"/>
      <c r="Y199" s="106"/>
      <c r="Z199" s="106"/>
      <c r="AA199" s="106"/>
      <c r="AB199" s="106"/>
      <c r="AC199" s="9"/>
      <c r="AD199" s="106"/>
      <c r="AE199" s="106"/>
      <c r="AF199" s="106"/>
      <c r="AG199" s="106"/>
      <c r="AH199" s="106"/>
      <c r="AI199" s="106"/>
      <c r="AJ199" s="9"/>
      <c r="AK199" s="106"/>
      <c r="AL199" s="106"/>
      <c r="AM199" s="106"/>
      <c r="AN199" s="106"/>
      <c r="AO199" s="106"/>
      <c r="AP199" s="106"/>
      <c r="AQ199" s="9"/>
      <c r="AR199" s="106"/>
      <c r="AS199" s="106"/>
      <c r="AT199" s="106"/>
      <c r="AU199" s="106"/>
      <c r="AV199" s="106"/>
      <c r="AW199" s="106"/>
      <c r="AX199" s="9"/>
    </row>
    <row r="200" spans="1:50" ht="13.05" hidden="1" customHeight="1" thickBot="1" x14ac:dyDescent="0.3">
      <c r="A200" t="str">
        <f>Nutrients!B199</f>
        <v>NHF GF VTM 2#</v>
      </c>
      <c r="B200" s="106"/>
      <c r="C200" s="106"/>
      <c r="D200" s="106"/>
      <c r="E200" s="106"/>
      <c r="F200" s="106"/>
      <c r="G200" s="106"/>
      <c r="H200" s="106"/>
      <c r="I200" s="106"/>
      <c r="J200" s="106"/>
      <c r="K200" s="106"/>
      <c r="L200" s="106"/>
      <c r="M200" s="106"/>
      <c r="N200" s="106"/>
      <c r="O200" s="29"/>
      <c r="P200" s="106"/>
      <c r="Q200" s="106"/>
      <c r="R200" s="106"/>
      <c r="S200" s="106"/>
      <c r="T200" s="106"/>
      <c r="U200" s="106"/>
      <c r="V200" s="9"/>
      <c r="W200" s="106"/>
      <c r="X200" s="106"/>
      <c r="Y200" s="106"/>
      <c r="Z200" s="106"/>
      <c r="AA200" s="106"/>
      <c r="AB200" s="106"/>
      <c r="AC200" s="9"/>
      <c r="AD200" s="106"/>
      <c r="AE200" s="106"/>
      <c r="AF200" s="106"/>
      <c r="AG200" s="106"/>
      <c r="AH200" s="106"/>
      <c r="AI200" s="106"/>
      <c r="AJ200" s="9"/>
      <c r="AK200" s="106"/>
      <c r="AL200" s="106"/>
      <c r="AM200" s="106"/>
      <c r="AN200" s="106"/>
      <c r="AO200" s="106"/>
      <c r="AP200" s="106"/>
      <c r="AQ200" s="9"/>
      <c r="AR200" s="106"/>
      <c r="AS200" s="106"/>
      <c r="AT200" s="106"/>
      <c r="AU200" s="106"/>
      <c r="AV200" s="106"/>
      <c r="AW200" s="106"/>
      <c r="AX200" s="9"/>
    </row>
    <row r="201" spans="1:50" ht="13.05" hidden="1" customHeight="1" thickBot="1" x14ac:dyDescent="0.3">
      <c r="A201" t="str">
        <f>Nutrients!B200</f>
        <v xml:space="preserve">Hubbard Vit Premix </v>
      </c>
      <c r="B201" s="106"/>
      <c r="C201" s="106"/>
      <c r="D201" s="106"/>
      <c r="E201" s="106"/>
      <c r="F201" s="106"/>
      <c r="G201" s="106"/>
      <c r="H201" s="106"/>
      <c r="I201" s="106"/>
      <c r="J201" s="106"/>
      <c r="K201" s="106"/>
      <c r="L201" s="106"/>
      <c r="M201" s="106"/>
      <c r="N201" s="106"/>
      <c r="O201" s="29"/>
      <c r="P201" s="106"/>
      <c r="Q201" s="106"/>
      <c r="R201" s="106"/>
      <c r="S201" s="106"/>
      <c r="T201" s="106"/>
      <c r="U201" s="106"/>
      <c r="V201" s="9"/>
      <c r="W201" s="106"/>
      <c r="X201" s="106"/>
      <c r="Y201" s="106"/>
      <c r="Z201" s="106"/>
      <c r="AA201" s="106"/>
      <c r="AB201" s="106"/>
      <c r="AC201" s="9"/>
      <c r="AD201" s="106"/>
      <c r="AE201" s="106"/>
      <c r="AF201" s="106"/>
      <c r="AG201" s="106"/>
      <c r="AH201" s="106"/>
      <c r="AI201" s="106"/>
      <c r="AJ201" s="9"/>
      <c r="AK201" s="106"/>
      <c r="AL201" s="106"/>
      <c r="AM201" s="106"/>
      <c r="AN201" s="106"/>
      <c r="AO201" s="106"/>
      <c r="AP201" s="106"/>
      <c r="AQ201" s="9"/>
      <c r="AR201" s="106"/>
      <c r="AS201" s="106"/>
      <c r="AT201" s="106"/>
      <c r="AU201" s="106"/>
      <c r="AV201" s="106"/>
      <c r="AW201" s="106"/>
      <c r="AX201" s="9"/>
    </row>
    <row r="202" spans="1:50" ht="13.05" hidden="1" customHeight="1" thickBot="1" x14ac:dyDescent="0.3">
      <c r="A202" t="str">
        <f>Nutrients!B201</f>
        <v>Hubbard TMP</v>
      </c>
      <c r="B202" s="106"/>
      <c r="C202" s="106"/>
      <c r="D202" s="106"/>
      <c r="E202" s="106"/>
      <c r="F202" s="106"/>
      <c r="G202" s="106"/>
      <c r="H202" s="106"/>
      <c r="I202" s="106"/>
      <c r="J202" s="106"/>
      <c r="K202" s="106"/>
      <c r="L202" s="106"/>
      <c r="M202" s="106"/>
      <c r="N202" s="106"/>
      <c r="O202" s="29"/>
      <c r="P202" s="106"/>
      <c r="Q202" s="106"/>
      <c r="R202" s="106"/>
      <c r="S202" s="106"/>
      <c r="T202" s="106"/>
      <c r="U202" s="106"/>
      <c r="V202" s="9"/>
      <c r="W202" s="106"/>
      <c r="X202" s="106"/>
      <c r="Y202" s="106"/>
      <c r="Z202" s="106"/>
      <c r="AA202" s="106"/>
      <c r="AB202" s="106"/>
      <c r="AC202" s="9"/>
      <c r="AD202" s="106"/>
      <c r="AE202" s="106"/>
      <c r="AF202" s="106"/>
      <c r="AG202" s="106"/>
      <c r="AH202" s="106"/>
      <c r="AI202" s="106"/>
      <c r="AJ202" s="9"/>
      <c r="AK202" s="106"/>
      <c r="AL202" s="106"/>
      <c r="AM202" s="106"/>
      <c r="AN202" s="106"/>
      <c r="AO202" s="106"/>
      <c r="AP202" s="106"/>
      <c r="AQ202" s="9"/>
      <c r="AR202" s="106"/>
      <c r="AS202" s="106"/>
      <c r="AT202" s="106"/>
      <c r="AU202" s="106"/>
      <c r="AV202" s="106"/>
      <c r="AW202" s="106"/>
      <c r="AX202" s="9"/>
    </row>
    <row r="203" spans="1:50" ht="13.05" hidden="1" customHeight="1" thickBot="1" x14ac:dyDescent="0.3">
      <c r="A203" t="str">
        <f>Nutrients!B202</f>
        <v>Inorganic Se 600 ppm Hubbard</v>
      </c>
      <c r="B203" s="106"/>
      <c r="C203" s="106"/>
      <c r="D203" s="106"/>
      <c r="E203" s="106"/>
      <c r="F203" s="106"/>
      <c r="G203" s="106"/>
      <c r="H203" s="106"/>
      <c r="I203" s="106"/>
      <c r="J203" s="106"/>
      <c r="K203" s="106"/>
      <c r="L203" s="106"/>
      <c r="M203" s="106"/>
      <c r="N203" s="106"/>
      <c r="O203" s="29"/>
      <c r="P203" s="106"/>
      <c r="Q203" s="106"/>
      <c r="R203" s="106"/>
      <c r="S203" s="106"/>
      <c r="T203" s="106"/>
      <c r="U203" s="106"/>
      <c r="V203" s="9"/>
      <c r="W203" s="106"/>
      <c r="X203" s="106"/>
      <c r="Y203" s="106"/>
      <c r="Z203" s="106"/>
      <c r="AA203" s="106"/>
      <c r="AB203" s="106"/>
      <c r="AC203" s="9"/>
      <c r="AD203" s="106"/>
      <c r="AE203" s="106"/>
      <c r="AF203" s="106"/>
      <c r="AG203" s="106"/>
      <c r="AH203" s="106"/>
      <c r="AI203" s="106"/>
      <c r="AJ203" s="9"/>
      <c r="AK203" s="106"/>
      <c r="AL203" s="106"/>
      <c r="AM203" s="106"/>
      <c r="AN203" s="106"/>
      <c r="AO203" s="106"/>
      <c r="AP203" s="106"/>
      <c r="AQ203" s="9"/>
      <c r="AR203" s="106"/>
      <c r="AS203" s="106"/>
      <c r="AT203" s="106"/>
      <c r="AU203" s="106"/>
      <c r="AV203" s="106"/>
      <c r="AW203" s="106"/>
      <c r="AX203" s="9"/>
    </row>
    <row r="204" spans="1:50" ht="13.05" hidden="1" customHeight="1" thickBot="1" x14ac:dyDescent="0.3">
      <c r="A204" t="str">
        <f>Nutrients!B203</f>
        <v>Quantum Blue  5G Hubbard</v>
      </c>
      <c r="B204" s="106"/>
      <c r="C204" s="106"/>
      <c r="D204" s="106"/>
      <c r="E204" s="106"/>
      <c r="F204" s="106"/>
      <c r="G204" s="106"/>
      <c r="H204" s="106"/>
      <c r="I204" s="106"/>
      <c r="J204" s="106"/>
      <c r="K204" s="106"/>
      <c r="L204" s="106"/>
      <c r="M204" s="106"/>
      <c r="N204" s="106"/>
      <c r="O204" s="29"/>
      <c r="P204" s="106"/>
      <c r="Q204" s="106"/>
      <c r="R204" s="106"/>
      <c r="S204" s="106"/>
      <c r="T204" s="106"/>
      <c r="U204" s="106"/>
      <c r="V204" s="9"/>
      <c r="W204" s="106"/>
      <c r="X204" s="106"/>
      <c r="Y204" s="106"/>
      <c r="Z204" s="106"/>
      <c r="AA204" s="106"/>
      <c r="AB204" s="106"/>
      <c r="AC204" s="9"/>
      <c r="AD204" s="106"/>
      <c r="AE204" s="106"/>
      <c r="AF204" s="106"/>
      <c r="AG204" s="106"/>
      <c r="AH204" s="106"/>
      <c r="AI204" s="106"/>
      <c r="AJ204" s="9"/>
      <c r="AK204" s="106"/>
      <c r="AL204" s="106"/>
      <c r="AM204" s="106"/>
      <c r="AN204" s="106"/>
      <c r="AO204" s="106"/>
      <c r="AP204" s="106"/>
      <c r="AQ204" s="9"/>
      <c r="AR204" s="106"/>
      <c r="AS204" s="106"/>
      <c r="AT204" s="106"/>
      <c r="AU204" s="106"/>
      <c r="AV204" s="106"/>
      <c r="AW204" s="106"/>
      <c r="AX204" s="9"/>
    </row>
    <row r="205" spans="1:50" ht="13.05" hidden="1" customHeight="1" thickBot="1" x14ac:dyDescent="0.3">
      <c r="A205" t="str">
        <f>Nutrients!B204</f>
        <v>TASA Prime meal Hubbard</v>
      </c>
      <c r="B205" s="106"/>
      <c r="C205" s="106"/>
      <c r="D205" s="106"/>
      <c r="E205" s="106"/>
      <c r="F205" s="106"/>
      <c r="G205" s="106"/>
      <c r="H205" s="106"/>
      <c r="I205" s="106"/>
      <c r="J205" s="106"/>
      <c r="K205" s="106"/>
      <c r="L205" s="106"/>
      <c r="M205" s="106"/>
      <c r="N205" s="106"/>
      <c r="O205" s="29"/>
      <c r="P205" s="106"/>
      <c r="Q205" s="106"/>
      <c r="R205" s="106"/>
      <c r="S205" s="106"/>
      <c r="T205" s="106"/>
      <c r="U205" s="106"/>
      <c r="V205" s="9"/>
      <c r="W205" s="106"/>
      <c r="X205" s="106"/>
      <c r="Y205" s="106"/>
      <c r="Z205" s="106"/>
      <c r="AA205" s="106"/>
      <c r="AB205" s="106"/>
      <c r="AC205" s="9"/>
      <c r="AD205" s="106"/>
      <c r="AE205" s="106"/>
      <c r="AF205" s="106"/>
      <c r="AG205" s="106"/>
      <c r="AH205" s="106"/>
      <c r="AI205" s="106"/>
      <c r="AJ205" s="9"/>
      <c r="AK205" s="106"/>
      <c r="AL205" s="106"/>
      <c r="AM205" s="106"/>
      <c r="AN205" s="106"/>
      <c r="AO205" s="106"/>
      <c r="AP205" s="106"/>
      <c r="AQ205" s="9"/>
      <c r="AR205" s="106"/>
      <c r="AS205" s="106"/>
      <c r="AT205" s="106"/>
      <c r="AU205" s="106"/>
      <c r="AV205" s="106"/>
      <c r="AW205" s="106"/>
      <c r="AX205" s="9"/>
    </row>
    <row r="206" spans="1:50" ht="13.05" hidden="1" customHeight="1" thickBot="1" x14ac:dyDescent="0.3">
      <c r="A206" t="str">
        <f>Nutrients!B205</f>
        <v>TASA Swine Hubbard</v>
      </c>
      <c r="B206" s="106"/>
      <c r="C206" s="106"/>
      <c r="D206" s="106"/>
      <c r="E206" s="106"/>
      <c r="F206" s="106"/>
      <c r="G206" s="106"/>
      <c r="H206" s="106"/>
      <c r="I206" s="106"/>
      <c r="J206" s="106"/>
      <c r="K206" s="106"/>
      <c r="L206" s="106"/>
      <c r="M206" s="106"/>
      <c r="N206" s="106"/>
      <c r="O206" s="29"/>
      <c r="P206" s="106"/>
      <c r="Q206" s="106"/>
      <c r="R206" s="106"/>
      <c r="S206" s="106"/>
      <c r="T206" s="106"/>
      <c r="U206" s="106"/>
      <c r="V206" s="9"/>
      <c r="W206" s="106"/>
      <c r="X206" s="106"/>
      <c r="Y206" s="106"/>
      <c r="Z206" s="106"/>
      <c r="AA206" s="106"/>
      <c r="AB206" s="106"/>
      <c r="AC206" s="9"/>
      <c r="AD206" s="106"/>
      <c r="AE206" s="106"/>
      <c r="AF206" s="106"/>
      <c r="AG206" s="106"/>
      <c r="AH206" s="106"/>
      <c r="AI206" s="106"/>
      <c r="AJ206" s="9"/>
      <c r="AK206" s="106"/>
      <c r="AL206" s="106"/>
      <c r="AM206" s="106"/>
      <c r="AN206" s="106"/>
      <c r="AO206" s="106"/>
      <c r="AP206" s="106"/>
      <c r="AQ206" s="9"/>
      <c r="AR206" s="106"/>
      <c r="AS206" s="106"/>
      <c r="AT206" s="106"/>
      <c r="AU206" s="106"/>
      <c r="AV206" s="106"/>
      <c r="AW206" s="106"/>
      <c r="AX206" s="9"/>
    </row>
    <row r="207" spans="1:50" ht="13.05" hidden="1" customHeight="1" thickBot="1" x14ac:dyDescent="0.3">
      <c r="A207" t="str">
        <f>Nutrients!B206</f>
        <v>TASA fish solubles Hubbard</v>
      </c>
      <c r="B207" s="106"/>
      <c r="C207" s="106"/>
      <c r="D207" s="106"/>
      <c r="E207" s="106"/>
      <c r="F207" s="106"/>
      <c r="G207" s="106"/>
      <c r="H207" s="106"/>
      <c r="I207" s="106"/>
      <c r="J207" s="106"/>
      <c r="K207" s="106"/>
      <c r="L207" s="106"/>
      <c r="M207" s="106"/>
      <c r="N207" s="106"/>
      <c r="O207" s="29"/>
      <c r="P207" s="106"/>
      <c r="Q207" s="106"/>
      <c r="R207" s="106"/>
      <c r="S207" s="106"/>
      <c r="T207" s="106"/>
      <c r="U207" s="106"/>
      <c r="V207" s="9"/>
      <c r="W207" s="106"/>
      <c r="X207" s="106"/>
      <c r="Y207" s="106"/>
      <c r="Z207" s="106"/>
      <c r="AA207" s="106"/>
      <c r="AB207" s="106"/>
      <c r="AC207" s="9"/>
      <c r="AD207" s="106"/>
      <c r="AE207" s="106"/>
      <c r="AF207" s="106"/>
      <c r="AG207" s="106"/>
      <c r="AH207" s="106"/>
      <c r="AI207" s="106"/>
      <c r="AJ207" s="9"/>
      <c r="AK207" s="106"/>
      <c r="AL207" s="106"/>
      <c r="AM207" s="106"/>
      <c r="AN207" s="106"/>
      <c r="AO207" s="106"/>
      <c r="AP207" s="106"/>
      <c r="AQ207" s="9"/>
      <c r="AR207" s="106"/>
      <c r="AS207" s="106"/>
      <c r="AT207" s="106"/>
      <c r="AU207" s="106"/>
      <c r="AV207" s="106"/>
      <c r="AW207" s="106"/>
      <c r="AX207" s="9"/>
    </row>
    <row r="208" spans="1:50" ht="13.05" hidden="1" customHeight="1" thickBot="1" x14ac:dyDescent="0.3">
      <c r="A208" t="str">
        <f>Nutrients!B207</f>
        <v>Mepro + TASA additive Hubbard</v>
      </c>
      <c r="B208" s="106"/>
      <c r="C208" s="106"/>
      <c r="D208" s="106"/>
      <c r="E208" s="106"/>
      <c r="F208" s="106"/>
      <c r="G208" s="106"/>
      <c r="H208" s="106"/>
      <c r="I208" s="106"/>
      <c r="J208" s="106"/>
      <c r="K208" s="106"/>
      <c r="L208" s="106"/>
      <c r="M208" s="106"/>
      <c r="N208" s="106"/>
      <c r="O208" s="29"/>
      <c r="P208" s="106"/>
      <c r="Q208" s="106"/>
      <c r="R208" s="106"/>
      <c r="S208" s="106"/>
      <c r="T208" s="106"/>
      <c r="U208" s="106"/>
      <c r="V208" s="9"/>
      <c r="W208" s="106"/>
      <c r="X208" s="106"/>
      <c r="Y208" s="106"/>
      <c r="Z208" s="106"/>
      <c r="AA208" s="106"/>
      <c r="AB208" s="106"/>
      <c r="AC208" s="9"/>
      <c r="AD208" s="106"/>
      <c r="AE208" s="106"/>
      <c r="AF208" s="106"/>
      <c r="AG208" s="106"/>
      <c r="AH208" s="106"/>
      <c r="AI208" s="106"/>
      <c r="AJ208" s="9"/>
      <c r="AK208" s="106"/>
      <c r="AL208" s="106"/>
      <c r="AM208" s="106"/>
      <c r="AN208" s="106"/>
      <c r="AO208" s="106"/>
      <c r="AP208" s="106"/>
      <c r="AQ208" s="9"/>
      <c r="AR208" s="106"/>
      <c r="AS208" s="106"/>
      <c r="AT208" s="106"/>
      <c r="AU208" s="106"/>
      <c r="AV208" s="106"/>
      <c r="AW208" s="106"/>
      <c r="AX208" s="9"/>
    </row>
    <row r="209" spans="1:50" ht="13.05" hidden="1" customHeight="1" thickBot="1" x14ac:dyDescent="0.3">
      <c r="A209" t="str">
        <f>Nutrients!B208</f>
        <v>TASA Prime + TASA additive Hubbard</v>
      </c>
      <c r="B209" s="106"/>
      <c r="C209" s="106"/>
      <c r="D209" s="106"/>
      <c r="E209" s="106"/>
      <c r="F209" s="106"/>
      <c r="G209" s="106"/>
      <c r="H209" s="106"/>
      <c r="I209" s="106"/>
      <c r="J209" s="106"/>
      <c r="K209" s="106"/>
      <c r="L209" s="106"/>
      <c r="M209" s="106"/>
      <c r="N209" s="106"/>
      <c r="O209" s="29"/>
      <c r="P209" s="106"/>
      <c r="Q209" s="106"/>
      <c r="R209" s="106"/>
      <c r="S209" s="106"/>
      <c r="T209" s="106"/>
      <c r="U209" s="106"/>
      <c r="V209" s="9"/>
      <c r="W209" s="106"/>
      <c r="X209" s="106"/>
      <c r="Y209" s="106"/>
      <c r="Z209" s="106"/>
      <c r="AA209" s="106"/>
      <c r="AB209" s="106"/>
      <c r="AC209" s="9"/>
      <c r="AD209" s="106"/>
      <c r="AE209" s="106"/>
      <c r="AF209" s="106"/>
      <c r="AG209" s="106"/>
      <c r="AH209" s="106"/>
      <c r="AI209" s="106"/>
      <c r="AJ209" s="9"/>
      <c r="AK209" s="106"/>
      <c r="AL209" s="106"/>
      <c r="AM209" s="106"/>
      <c r="AN209" s="106"/>
      <c r="AO209" s="106"/>
      <c r="AP209" s="106"/>
      <c r="AQ209" s="9"/>
      <c r="AR209" s="106"/>
      <c r="AS209" s="106"/>
      <c r="AT209" s="106"/>
      <c r="AU209" s="106"/>
      <c r="AV209" s="106"/>
      <c r="AW209" s="106"/>
      <c r="AX209" s="9"/>
    </row>
    <row r="210" spans="1:50" ht="13.05" hidden="1" customHeight="1" thickBot="1" x14ac:dyDescent="0.3">
      <c r="A210" t="str">
        <f>Nutrients!B209</f>
        <v>NHF SOW VTM 4# 2022</v>
      </c>
      <c r="B210" s="106"/>
      <c r="C210" s="106"/>
      <c r="D210" s="106"/>
      <c r="E210" s="106"/>
      <c r="F210" s="106"/>
      <c r="G210" s="106"/>
      <c r="H210" s="106"/>
      <c r="I210" s="106"/>
      <c r="J210" s="106"/>
      <c r="K210" s="106"/>
      <c r="L210" s="106"/>
      <c r="M210" s="106"/>
      <c r="N210" s="106"/>
      <c r="O210" s="29"/>
      <c r="P210" s="106"/>
      <c r="Q210" s="106"/>
      <c r="R210" s="106"/>
      <c r="S210" s="106"/>
      <c r="T210" s="106"/>
      <c r="U210" s="106"/>
      <c r="V210" s="9"/>
      <c r="W210" s="106"/>
      <c r="X210" s="106"/>
      <c r="Y210" s="106"/>
      <c r="Z210" s="106"/>
      <c r="AA210" s="106"/>
      <c r="AB210" s="106"/>
      <c r="AC210" s="9"/>
      <c r="AD210" s="106"/>
      <c r="AE210" s="106"/>
      <c r="AF210" s="106"/>
      <c r="AG210" s="106"/>
      <c r="AH210" s="106"/>
      <c r="AI210" s="106"/>
      <c r="AJ210" s="9"/>
      <c r="AK210" s="106"/>
      <c r="AL210" s="106"/>
      <c r="AM210" s="106"/>
      <c r="AN210" s="106"/>
      <c r="AO210" s="106"/>
      <c r="AP210" s="106"/>
      <c r="AQ210" s="9"/>
      <c r="AR210" s="106"/>
      <c r="AS210" s="106"/>
      <c r="AT210" s="106"/>
      <c r="AU210" s="106"/>
      <c r="AV210" s="106"/>
      <c r="AW210" s="106"/>
      <c r="AX210" s="9"/>
    </row>
    <row r="211" spans="1:50" ht="13.05" hidden="1" customHeight="1" thickBot="1" x14ac:dyDescent="0.3">
      <c r="A211" t="str">
        <f>Nutrients!B210</f>
        <v xml:space="preserve">ThrPro </v>
      </c>
      <c r="B211" s="106"/>
      <c r="C211" s="106"/>
      <c r="D211" s="106"/>
      <c r="E211" s="106"/>
      <c r="F211" s="106"/>
      <c r="G211" s="106"/>
      <c r="H211" s="106"/>
      <c r="I211" s="106"/>
      <c r="J211" s="106"/>
      <c r="K211" s="106"/>
      <c r="L211" s="106"/>
      <c r="M211" s="106"/>
      <c r="N211" s="106"/>
      <c r="O211" s="29"/>
      <c r="P211" s="106"/>
      <c r="Q211" s="106"/>
      <c r="R211" s="106"/>
      <c r="S211" s="106"/>
      <c r="T211" s="106"/>
      <c r="U211" s="106"/>
      <c r="V211" s="9"/>
      <c r="W211" s="106"/>
      <c r="X211" s="106"/>
      <c r="Y211" s="106"/>
      <c r="Z211" s="106"/>
      <c r="AA211" s="106"/>
      <c r="AB211" s="106"/>
      <c r="AC211" s="9"/>
      <c r="AD211" s="106"/>
      <c r="AE211" s="106"/>
      <c r="AF211" s="106"/>
      <c r="AG211" s="106"/>
      <c r="AH211" s="106"/>
      <c r="AI211" s="106"/>
      <c r="AJ211" s="9"/>
      <c r="AK211" s="106"/>
      <c r="AL211" s="106"/>
      <c r="AM211" s="106"/>
      <c r="AN211" s="106"/>
      <c r="AO211" s="106"/>
      <c r="AP211" s="106"/>
      <c r="AQ211" s="9"/>
      <c r="AR211" s="106"/>
      <c r="AS211" s="106"/>
      <c r="AT211" s="106"/>
      <c r="AU211" s="106"/>
      <c r="AV211" s="106"/>
      <c r="AW211" s="106"/>
      <c r="AX211" s="9"/>
    </row>
    <row r="212" spans="1:50" ht="13.05" hidden="1" customHeight="1" thickBot="1" x14ac:dyDescent="0.3">
      <c r="A212" t="str">
        <f>Nutrients!B211</f>
        <v>NHF Optiphos Plus 2500 G</v>
      </c>
      <c r="B212" s="106"/>
      <c r="C212" s="106"/>
      <c r="D212" s="106"/>
      <c r="E212" s="106"/>
      <c r="F212" s="106"/>
      <c r="G212" s="106"/>
      <c r="H212" s="106"/>
      <c r="I212" s="106"/>
      <c r="J212" s="106"/>
      <c r="K212" s="106"/>
      <c r="L212" s="106"/>
      <c r="M212" s="106"/>
      <c r="N212" s="106"/>
      <c r="O212" s="29"/>
      <c r="P212" s="106"/>
      <c r="Q212" s="106"/>
      <c r="R212" s="106"/>
      <c r="S212" s="106"/>
      <c r="T212" s="106"/>
      <c r="U212" s="106"/>
      <c r="V212" s="9"/>
      <c r="W212" s="106"/>
      <c r="X212" s="106"/>
      <c r="Y212" s="106"/>
      <c r="Z212" s="106"/>
      <c r="AA212" s="106"/>
      <c r="AB212" s="106"/>
      <c r="AC212" s="9"/>
      <c r="AD212" s="106"/>
      <c r="AE212" s="106"/>
      <c r="AF212" s="106"/>
      <c r="AG212" s="106"/>
      <c r="AH212" s="106"/>
      <c r="AI212" s="106"/>
      <c r="AJ212" s="9"/>
      <c r="AK212" s="106"/>
      <c r="AL212" s="106"/>
      <c r="AM212" s="106"/>
      <c r="AN212" s="106"/>
      <c r="AO212" s="106"/>
      <c r="AP212" s="106"/>
      <c r="AQ212" s="9"/>
      <c r="AR212" s="106"/>
      <c r="AS212" s="106"/>
      <c r="AT212" s="106"/>
      <c r="AU212" s="106"/>
      <c r="AV212" s="106"/>
      <c r="AW212" s="106"/>
      <c r="AX212" s="9"/>
    </row>
    <row r="213" spans="1:50" ht="13.05" hidden="1" customHeight="1" thickBot="1" x14ac:dyDescent="0.3">
      <c r="A213" t="str">
        <f>Nutrients!B212</f>
        <v>NHF Corn DDGS, Valero, Aurora</v>
      </c>
      <c r="B213" s="106"/>
      <c r="C213" s="106"/>
      <c r="D213" s="106"/>
      <c r="E213" s="106"/>
      <c r="F213" s="106"/>
      <c r="G213" s="106"/>
      <c r="H213" s="106"/>
      <c r="I213" s="106"/>
      <c r="J213" s="106"/>
      <c r="K213" s="106"/>
      <c r="L213" s="106"/>
      <c r="M213" s="106"/>
      <c r="N213" s="106"/>
      <c r="O213" s="29"/>
      <c r="P213" s="106"/>
      <c r="Q213" s="106"/>
      <c r="R213" s="106"/>
      <c r="S213" s="106"/>
      <c r="T213" s="106"/>
      <c r="U213" s="106"/>
      <c r="V213" s="9"/>
      <c r="W213" s="106"/>
      <c r="X213" s="106"/>
      <c r="Y213" s="106"/>
      <c r="Z213" s="106"/>
      <c r="AA213" s="106"/>
      <c r="AB213" s="106"/>
      <c r="AC213" s="9"/>
      <c r="AD213" s="106"/>
      <c r="AE213" s="106"/>
      <c r="AF213" s="106"/>
      <c r="AG213" s="106"/>
      <c r="AH213" s="106"/>
      <c r="AI213" s="106"/>
      <c r="AJ213" s="9"/>
      <c r="AK213" s="106"/>
      <c r="AL213" s="106"/>
      <c r="AM213" s="106"/>
      <c r="AN213" s="106"/>
      <c r="AO213" s="106"/>
      <c r="AP213" s="106"/>
      <c r="AQ213" s="9"/>
      <c r="AR213" s="106"/>
      <c r="AS213" s="106"/>
      <c r="AT213" s="106"/>
      <c r="AU213" s="106"/>
      <c r="AV213" s="106"/>
      <c r="AW213" s="106"/>
      <c r="AX213" s="9"/>
    </row>
    <row r="214" spans="1:50" ht="13.05" hidden="1" customHeight="1" thickBot="1" x14ac:dyDescent="0.3">
      <c r="A214" t="str">
        <f>Nutrients!B213</f>
        <v>HP 300 Hubbard</v>
      </c>
      <c r="B214" s="106"/>
      <c r="C214" s="106"/>
      <c r="D214" s="106"/>
      <c r="E214" s="106"/>
      <c r="F214" s="106"/>
      <c r="G214" s="106"/>
      <c r="H214" s="106"/>
      <c r="I214" s="106"/>
      <c r="J214" s="106"/>
      <c r="K214" s="106"/>
      <c r="L214" s="106"/>
      <c r="M214" s="106"/>
      <c r="N214" s="106"/>
      <c r="O214" s="29"/>
      <c r="P214" s="106"/>
      <c r="Q214" s="106"/>
      <c r="R214" s="106"/>
      <c r="S214" s="106"/>
      <c r="T214" s="106"/>
      <c r="U214" s="106"/>
      <c r="V214" s="9"/>
      <c r="W214" s="106"/>
      <c r="X214" s="106"/>
      <c r="Y214" s="106"/>
      <c r="Z214" s="106"/>
      <c r="AA214" s="106"/>
      <c r="AB214" s="106"/>
      <c r="AC214" s="9"/>
      <c r="AD214" s="106"/>
      <c r="AE214" s="106"/>
      <c r="AF214" s="106"/>
      <c r="AG214" s="106"/>
      <c r="AH214" s="106"/>
      <c r="AI214" s="106"/>
      <c r="AJ214" s="9"/>
      <c r="AK214" s="106"/>
      <c r="AL214" s="106"/>
      <c r="AM214" s="106"/>
      <c r="AN214" s="106"/>
      <c r="AO214" s="106"/>
      <c r="AP214" s="106"/>
      <c r="AQ214" s="9"/>
      <c r="AR214" s="106"/>
      <c r="AS214" s="106"/>
      <c r="AT214" s="106"/>
      <c r="AU214" s="106"/>
      <c r="AV214" s="106"/>
      <c r="AW214" s="106"/>
      <c r="AX214" s="9"/>
    </row>
    <row r="215" spans="1:50" ht="13.05" hidden="1" customHeight="1" thickBot="1" x14ac:dyDescent="0.3">
      <c r="A215" t="str">
        <f>Nutrients!B214</f>
        <v>NHF Corn DDGS, Illuminate for Aurora</v>
      </c>
      <c r="B215" s="106"/>
      <c r="C215" s="106"/>
      <c r="D215" s="106"/>
      <c r="E215" s="106"/>
      <c r="F215" s="106"/>
      <c r="G215" s="106"/>
      <c r="H215" s="106"/>
      <c r="I215" s="106"/>
      <c r="J215" s="106"/>
      <c r="K215" s="106"/>
      <c r="L215" s="106"/>
      <c r="M215" s="106"/>
      <c r="N215" s="106"/>
      <c r="O215" s="29"/>
      <c r="P215" s="106"/>
      <c r="Q215" s="106"/>
      <c r="R215" s="106"/>
      <c r="S215" s="106"/>
      <c r="T215" s="106"/>
      <c r="U215" s="106"/>
      <c r="V215" s="9"/>
      <c r="W215" s="106"/>
      <c r="X215" s="106"/>
      <c r="Y215" s="106"/>
      <c r="Z215" s="106"/>
      <c r="AA215" s="106"/>
      <c r="AB215" s="106"/>
      <c r="AC215" s="9"/>
      <c r="AD215" s="106"/>
      <c r="AE215" s="106"/>
      <c r="AF215" s="106"/>
      <c r="AG215" s="106"/>
      <c r="AH215" s="106"/>
      <c r="AI215" s="106"/>
      <c r="AJ215" s="9"/>
      <c r="AK215" s="106"/>
      <c r="AL215" s="106"/>
      <c r="AM215" s="106"/>
      <c r="AN215" s="106"/>
      <c r="AO215" s="106"/>
      <c r="AP215" s="106"/>
      <c r="AQ215" s="9"/>
      <c r="AR215" s="106"/>
      <c r="AS215" s="106"/>
      <c r="AT215" s="106"/>
      <c r="AU215" s="106"/>
      <c r="AV215" s="106"/>
      <c r="AW215" s="106"/>
      <c r="AX215" s="9"/>
    </row>
    <row r="216" spans="1:50" ht="13.05" hidden="1" customHeight="1" thickBot="1" x14ac:dyDescent="0.3">
      <c r="A216" t="str">
        <f>Nutrients!B215</f>
        <v>NFP Corn DDGS, MO analysis</v>
      </c>
      <c r="B216" s="106"/>
      <c r="C216" s="106"/>
      <c r="D216" s="106"/>
      <c r="E216" s="106"/>
      <c r="F216" s="106"/>
      <c r="G216" s="106"/>
      <c r="H216" s="106"/>
      <c r="I216" s="106"/>
      <c r="J216" s="106"/>
      <c r="K216" s="106"/>
      <c r="L216" s="106"/>
      <c r="M216" s="106"/>
      <c r="N216" s="106"/>
      <c r="O216" s="29"/>
      <c r="P216" s="106"/>
      <c r="Q216" s="106"/>
      <c r="R216" s="106"/>
      <c r="S216" s="106"/>
      <c r="T216" s="106"/>
      <c r="U216" s="106"/>
      <c r="V216" s="9"/>
      <c r="W216" s="106"/>
      <c r="X216" s="106"/>
      <c r="Y216" s="106"/>
      <c r="Z216" s="106"/>
      <c r="AA216" s="106"/>
      <c r="AB216" s="106"/>
      <c r="AC216" s="9"/>
      <c r="AD216" s="106"/>
      <c r="AE216" s="106"/>
      <c r="AF216" s="106"/>
      <c r="AG216" s="106"/>
      <c r="AH216" s="106"/>
      <c r="AI216" s="106"/>
      <c r="AJ216" s="9"/>
      <c r="AK216" s="106"/>
      <c r="AL216" s="106"/>
      <c r="AM216" s="106"/>
      <c r="AN216" s="106"/>
      <c r="AO216" s="106"/>
      <c r="AP216" s="106"/>
      <c r="AQ216" s="9"/>
      <c r="AR216" s="106"/>
      <c r="AS216" s="106"/>
      <c r="AT216" s="106"/>
      <c r="AU216" s="106"/>
      <c r="AV216" s="106"/>
      <c r="AW216" s="106"/>
      <c r="AX216" s="9"/>
    </row>
    <row r="217" spans="1:50" ht="13.05" hidden="1" customHeight="1" thickBot="1" x14ac:dyDescent="0.3">
      <c r="A217" t="str">
        <f>Nutrients!B216</f>
        <v>NFP Smizyme 2500</v>
      </c>
      <c r="B217" s="106"/>
      <c r="C217" s="106"/>
      <c r="D217" s="106"/>
      <c r="E217" s="106"/>
      <c r="F217" s="106"/>
      <c r="G217" s="106"/>
      <c r="H217" s="106"/>
      <c r="I217" s="106"/>
      <c r="J217" s="106"/>
      <c r="K217" s="106"/>
      <c r="L217" s="106"/>
      <c r="M217" s="106"/>
      <c r="N217" s="106"/>
      <c r="O217" s="29"/>
      <c r="P217" s="106"/>
      <c r="Q217" s="106"/>
      <c r="R217" s="106"/>
      <c r="S217" s="106"/>
      <c r="T217" s="106"/>
      <c r="U217" s="106"/>
      <c r="V217" s="9"/>
      <c r="W217" s="106"/>
      <c r="X217" s="106"/>
      <c r="Y217" s="106"/>
      <c r="Z217" s="106"/>
      <c r="AA217" s="106"/>
      <c r="AB217" s="106"/>
      <c r="AC217" s="9"/>
      <c r="AD217" s="106"/>
      <c r="AE217" s="106"/>
      <c r="AF217" s="106"/>
      <c r="AG217" s="106"/>
      <c r="AH217" s="106"/>
      <c r="AI217" s="106"/>
      <c r="AJ217" s="9"/>
      <c r="AK217" s="106"/>
      <c r="AL217" s="106"/>
      <c r="AM217" s="106"/>
      <c r="AN217" s="106"/>
      <c r="AO217" s="106"/>
      <c r="AP217" s="106"/>
      <c r="AQ217" s="9"/>
      <c r="AR217" s="106"/>
      <c r="AS217" s="106"/>
      <c r="AT217" s="106"/>
      <c r="AU217" s="106"/>
      <c r="AV217" s="106"/>
      <c r="AW217" s="106"/>
      <c r="AX217" s="9"/>
    </row>
    <row r="218" spans="1:50" ht="13.05" hidden="1" customHeight="1" thickBot="1" x14ac:dyDescent="0.3">
      <c r="A218" t="str">
        <f>Nutrients!B217</f>
        <v>NHF HP300 2022 loadings</v>
      </c>
      <c r="B218" s="106"/>
      <c r="C218" s="106"/>
      <c r="D218" s="106"/>
      <c r="E218" s="106"/>
      <c r="F218" s="106"/>
      <c r="G218" s="106"/>
      <c r="H218" s="106"/>
      <c r="I218" s="106"/>
      <c r="J218" s="106"/>
      <c r="K218" s="106"/>
      <c r="L218" s="106"/>
      <c r="M218" s="106"/>
      <c r="N218" s="106"/>
      <c r="O218" s="29"/>
      <c r="P218" s="106"/>
      <c r="Q218" s="106"/>
      <c r="R218" s="106"/>
      <c r="S218" s="106"/>
      <c r="T218" s="106"/>
      <c r="U218" s="106"/>
      <c r="V218" s="9"/>
      <c r="W218" s="106"/>
      <c r="X218" s="106"/>
      <c r="Y218" s="106"/>
      <c r="Z218" s="106"/>
      <c r="AA218" s="106"/>
      <c r="AB218" s="106"/>
      <c r="AC218" s="9"/>
      <c r="AD218" s="106"/>
      <c r="AE218" s="106"/>
      <c r="AF218" s="106"/>
      <c r="AG218" s="106"/>
      <c r="AH218" s="106"/>
      <c r="AI218" s="106"/>
      <c r="AJ218" s="9"/>
      <c r="AK218" s="106"/>
      <c r="AL218" s="106"/>
      <c r="AM218" s="106"/>
      <c r="AN218" s="106"/>
      <c r="AO218" s="106"/>
      <c r="AP218" s="106"/>
      <c r="AQ218" s="9"/>
      <c r="AR218" s="106"/>
      <c r="AS218" s="106"/>
      <c r="AT218" s="106"/>
      <c r="AU218" s="106"/>
      <c r="AV218" s="106"/>
      <c r="AW218" s="106"/>
      <c r="AX218" s="9"/>
    </row>
    <row r="219" spans="1:50" ht="13.05" hidden="1" customHeight="1" thickBot="1" x14ac:dyDescent="0.3">
      <c r="A219" t="str">
        <f>Nutrients!B218</f>
        <v>NHF Liquid Lys 55%</v>
      </c>
      <c r="B219" s="106"/>
      <c r="C219" s="106"/>
      <c r="D219" s="106"/>
      <c r="E219" s="106"/>
      <c r="F219" s="106"/>
      <c r="G219" s="106"/>
      <c r="H219" s="106"/>
      <c r="I219" s="106"/>
      <c r="J219" s="106"/>
      <c r="K219" s="106"/>
      <c r="L219" s="106"/>
      <c r="M219" s="106"/>
      <c r="N219" s="106"/>
      <c r="O219" s="29"/>
      <c r="P219" s="106"/>
      <c r="Q219" s="106"/>
      <c r="R219" s="106"/>
      <c r="S219" s="106"/>
      <c r="T219" s="106"/>
      <c r="U219" s="106"/>
      <c r="V219" s="9"/>
      <c r="W219" s="106"/>
      <c r="X219" s="106"/>
      <c r="Y219" s="106"/>
      <c r="Z219" s="106"/>
      <c r="AA219" s="106"/>
      <c r="AB219" s="106"/>
      <c r="AC219" s="9"/>
      <c r="AD219" s="106"/>
      <c r="AE219" s="106"/>
      <c r="AF219" s="106"/>
      <c r="AG219" s="106"/>
      <c r="AH219" s="106"/>
      <c r="AI219" s="106"/>
      <c r="AJ219" s="9"/>
      <c r="AK219" s="106"/>
      <c r="AL219" s="106"/>
      <c r="AM219" s="106"/>
      <c r="AN219" s="106"/>
      <c r="AO219" s="106"/>
      <c r="AP219" s="106"/>
      <c r="AQ219" s="9"/>
      <c r="AR219" s="106"/>
      <c r="AS219" s="106"/>
      <c r="AT219" s="106"/>
      <c r="AU219" s="106"/>
      <c r="AV219" s="106"/>
      <c r="AW219" s="106"/>
      <c r="AX219" s="9"/>
    </row>
    <row r="220" spans="1:50" ht="13.8" thickBot="1" x14ac:dyDescent="0.3">
      <c r="A220" t="str">
        <f>Nutrients!B219</f>
        <v>Corn DDGS with varying energy</v>
      </c>
      <c r="B220" s="106"/>
      <c r="C220" s="106"/>
      <c r="D220" s="106"/>
      <c r="E220" s="106"/>
      <c r="F220" s="106"/>
      <c r="G220" s="106"/>
      <c r="H220" s="106"/>
      <c r="I220" s="106">
        <v>100</v>
      </c>
      <c r="J220" s="106">
        <v>100</v>
      </c>
      <c r="K220" s="106">
        <v>100</v>
      </c>
      <c r="L220" s="106">
        <v>100</v>
      </c>
      <c r="M220" s="106">
        <v>100</v>
      </c>
      <c r="N220" s="106"/>
      <c r="O220" s="29"/>
      <c r="P220" s="106">
        <v>200</v>
      </c>
      <c r="Q220" s="106">
        <v>200</v>
      </c>
      <c r="R220" s="106">
        <v>200</v>
      </c>
      <c r="S220" s="106">
        <v>200</v>
      </c>
      <c r="T220" s="106">
        <v>200</v>
      </c>
      <c r="U220" s="106"/>
      <c r="V220" s="9"/>
      <c r="W220" s="106">
        <v>300</v>
      </c>
      <c r="X220" s="106">
        <v>300</v>
      </c>
      <c r="Y220" s="106">
        <v>300</v>
      </c>
      <c r="Z220" s="106">
        <v>300</v>
      </c>
      <c r="AA220" s="106">
        <v>300</v>
      </c>
      <c r="AB220" s="106"/>
      <c r="AC220" s="9"/>
      <c r="AD220" s="106">
        <v>400</v>
      </c>
      <c r="AE220" s="106">
        <v>400</v>
      </c>
      <c r="AF220" s="106">
        <v>400</v>
      </c>
      <c r="AG220" s="106">
        <v>400</v>
      </c>
      <c r="AH220" s="106">
        <v>400</v>
      </c>
      <c r="AI220" s="106"/>
      <c r="AJ220" s="9"/>
      <c r="AK220" s="106">
        <v>500</v>
      </c>
      <c r="AL220" s="106">
        <v>500</v>
      </c>
      <c r="AM220" s="106">
        <v>500</v>
      </c>
      <c r="AN220" s="106">
        <v>500</v>
      </c>
      <c r="AO220" s="106">
        <v>500</v>
      </c>
      <c r="AP220" s="106"/>
      <c r="AQ220" s="9"/>
      <c r="AR220" s="106">
        <v>600</v>
      </c>
      <c r="AS220" s="106">
        <v>600</v>
      </c>
      <c r="AT220" s="106">
        <v>600</v>
      </c>
      <c r="AU220" s="106">
        <v>600</v>
      </c>
      <c r="AV220" s="106">
        <v>600</v>
      </c>
      <c r="AW220" s="106"/>
      <c r="AX220" s="9"/>
    </row>
    <row r="221" spans="1:50" ht="13.05" hidden="1" customHeight="1" x14ac:dyDescent="0.25">
      <c r="A221" t="str">
        <f>Nutrients!B220</f>
        <v>Other ingredient</v>
      </c>
      <c r="B221" s="99"/>
      <c r="C221" s="99"/>
      <c r="D221" s="99"/>
      <c r="E221" s="99"/>
      <c r="F221" s="99"/>
      <c r="G221" s="99"/>
      <c r="H221" s="99"/>
      <c r="I221" s="99"/>
      <c r="J221" s="99"/>
      <c r="K221" s="99"/>
      <c r="L221" s="99"/>
      <c r="M221" s="99"/>
      <c r="N221" s="99"/>
      <c r="O221" s="10"/>
      <c r="P221" s="99"/>
      <c r="Q221" s="99"/>
      <c r="R221" s="99"/>
      <c r="S221" s="99"/>
      <c r="T221" s="99"/>
      <c r="U221" s="99"/>
      <c r="W221" s="99"/>
      <c r="X221" s="99"/>
      <c r="Y221" s="99"/>
      <c r="Z221" s="99"/>
      <c r="AA221" s="99"/>
      <c r="AB221" s="99"/>
      <c r="AD221" s="99"/>
      <c r="AE221" s="99"/>
      <c r="AF221" s="99"/>
      <c r="AG221" s="99"/>
      <c r="AH221" s="99"/>
      <c r="AI221" s="99"/>
      <c r="AK221" s="99"/>
      <c r="AL221" s="99"/>
      <c r="AM221" s="99"/>
      <c r="AN221" s="99"/>
      <c r="AO221" s="99"/>
      <c r="AP221" s="99"/>
      <c r="AR221" s="99"/>
      <c r="AS221" s="99"/>
      <c r="AT221" s="99"/>
      <c r="AU221" s="99"/>
      <c r="AV221" s="99"/>
      <c r="AW221" s="99"/>
    </row>
    <row r="222" spans="1:50" ht="13.05" hidden="1" customHeight="1" x14ac:dyDescent="0.25">
      <c r="A222" t="str">
        <f>Nutrients!B221</f>
        <v>Other ingredient</v>
      </c>
      <c r="B222" s="99"/>
      <c r="C222" s="99"/>
      <c r="D222" s="99"/>
      <c r="E222" s="99"/>
      <c r="F222" s="99"/>
      <c r="G222" s="99"/>
      <c r="H222" s="99"/>
      <c r="I222" s="99"/>
      <c r="J222" s="99"/>
      <c r="K222" s="99"/>
      <c r="L222" s="99"/>
      <c r="M222" s="99"/>
      <c r="N222" s="99"/>
      <c r="O222" s="10"/>
      <c r="P222" s="99"/>
      <c r="Q222" s="99"/>
      <c r="R222" s="99"/>
      <c r="S222" s="99"/>
      <c r="T222" s="99"/>
      <c r="U222" s="99"/>
      <c r="W222" s="99"/>
      <c r="X222" s="99"/>
      <c r="Y222" s="99"/>
      <c r="Z222" s="99"/>
      <c r="AA222" s="99"/>
      <c r="AB222" s="99"/>
      <c r="AD222" s="99"/>
      <c r="AE222" s="99"/>
      <c r="AF222" s="99"/>
      <c r="AG222" s="99"/>
      <c r="AH222" s="99"/>
      <c r="AI222" s="99"/>
      <c r="AK222" s="99"/>
      <c r="AL222" s="99"/>
      <c r="AM222" s="99"/>
      <c r="AN222" s="99"/>
      <c r="AO222" s="99"/>
      <c r="AP222" s="99"/>
      <c r="AR222" s="99"/>
      <c r="AS222" s="99"/>
      <c r="AT222" s="99"/>
      <c r="AU222" s="99"/>
      <c r="AV222" s="99"/>
      <c r="AW222" s="99"/>
    </row>
    <row r="223" spans="1:50" ht="13.05" hidden="1" customHeight="1" x14ac:dyDescent="0.25">
      <c r="A223" t="str">
        <f>Nutrients!B222</f>
        <v>Other ingredient</v>
      </c>
      <c r="B223" s="99"/>
      <c r="C223" s="99"/>
      <c r="D223" s="99"/>
      <c r="E223" s="99"/>
      <c r="F223" s="99"/>
      <c r="G223" s="99"/>
      <c r="H223" s="99"/>
      <c r="I223" s="99"/>
      <c r="J223" s="99"/>
      <c r="K223" s="99"/>
      <c r="L223" s="99"/>
      <c r="M223" s="99"/>
      <c r="N223" s="99"/>
      <c r="O223" s="10"/>
      <c r="P223" s="99"/>
      <c r="Q223" s="99"/>
      <c r="R223" s="99"/>
      <c r="S223" s="99"/>
      <c r="T223" s="99"/>
      <c r="U223" s="99"/>
      <c r="W223" s="99"/>
      <c r="X223" s="99"/>
      <c r="Y223" s="99"/>
      <c r="Z223" s="99"/>
      <c r="AA223" s="99"/>
      <c r="AB223" s="99"/>
      <c r="AD223" s="99"/>
      <c r="AE223" s="99"/>
      <c r="AF223" s="99"/>
      <c r="AG223" s="99"/>
      <c r="AH223" s="99"/>
      <c r="AI223" s="99"/>
      <c r="AK223" s="99"/>
      <c r="AL223" s="99"/>
      <c r="AM223" s="99"/>
      <c r="AN223" s="99"/>
      <c r="AO223" s="99"/>
      <c r="AP223" s="99"/>
      <c r="AR223" s="99"/>
      <c r="AS223" s="99"/>
      <c r="AT223" s="99"/>
      <c r="AU223" s="99"/>
      <c r="AV223" s="99"/>
      <c r="AW223" s="99"/>
    </row>
    <row r="224" spans="1:50" ht="13.05" hidden="1" customHeight="1" x14ac:dyDescent="0.25">
      <c r="A224" t="str">
        <f>Nutrients!B223</f>
        <v>Other ingredient</v>
      </c>
      <c r="B224" s="99"/>
      <c r="C224" s="99"/>
      <c r="D224" s="99"/>
      <c r="E224" s="99"/>
      <c r="F224" s="99"/>
      <c r="G224" s="99"/>
      <c r="H224" s="99"/>
      <c r="I224" s="99"/>
      <c r="J224" s="99"/>
      <c r="K224" s="99"/>
      <c r="L224" s="99"/>
      <c r="M224" s="99"/>
      <c r="N224" s="99"/>
      <c r="O224" s="10"/>
      <c r="P224" s="99"/>
      <c r="Q224" s="99"/>
      <c r="R224" s="99"/>
      <c r="S224" s="99"/>
      <c r="T224" s="99"/>
      <c r="U224" s="99"/>
      <c r="W224" s="99"/>
      <c r="X224" s="99"/>
      <c r="Y224" s="99"/>
      <c r="Z224" s="99"/>
      <c r="AA224" s="99"/>
      <c r="AB224" s="99"/>
      <c r="AD224" s="99"/>
      <c r="AE224" s="99"/>
      <c r="AF224" s="99"/>
      <c r="AG224" s="99"/>
      <c r="AH224" s="99"/>
      <c r="AI224" s="99"/>
      <c r="AK224" s="99"/>
      <c r="AL224" s="99"/>
      <c r="AM224" s="99"/>
      <c r="AN224" s="99"/>
      <c r="AO224" s="99"/>
      <c r="AP224" s="99"/>
      <c r="AR224" s="99"/>
      <c r="AS224" s="99"/>
      <c r="AT224" s="99"/>
      <c r="AU224" s="99"/>
      <c r="AV224" s="99"/>
      <c r="AW224" s="99"/>
    </row>
    <row r="225" spans="1:50" ht="13.05" hidden="1" customHeight="1" x14ac:dyDescent="0.25">
      <c r="A225" t="str">
        <f>Nutrients!B224</f>
        <v>Other ingredient</v>
      </c>
      <c r="B225" s="99"/>
      <c r="C225" s="99"/>
      <c r="D225" s="99"/>
      <c r="E225" s="99"/>
      <c r="F225" s="99"/>
      <c r="G225" s="99"/>
      <c r="H225" s="99"/>
      <c r="I225" s="99"/>
      <c r="J225" s="99"/>
      <c r="K225" s="99"/>
      <c r="L225" s="99"/>
      <c r="M225" s="99"/>
      <c r="N225" s="99"/>
      <c r="O225" s="10"/>
      <c r="P225" s="99"/>
      <c r="Q225" s="99"/>
      <c r="R225" s="99"/>
      <c r="S225" s="99"/>
      <c r="T225" s="99"/>
      <c r="U225" s="99"/>
      <c r="W225" s="99"/>
      <c r="X225" s="99"/>
      <c r="Y225" s="99"/>
      <c r="Z225" s="99"/>
      <c r="AA225" s="99"/>
      <c r="AB225" s="99"/>
      <c r="AD225" s="99"/>
      <c r="AE225" s="99"/>
      <c r="AF225" s="99"/>
      <c r="AG225" s="99"/>
      <c r="AH225" s="99"/>
      <c r="AI225" s="99"/>
      <c r="AK225" s="99"/>
      <c r="AL225" s="99"/>
      <c r="AM225" s="99"/>
      <c r="AN225" s="99"/>
      <c r="AO225" s="99"/>
      <c r="AP225" s="99"/>
      <c r="AR225" s="99"/>
      <c r="AS225" s="99"/>
      <c r="AT225" s="99"/>
      <c r="AU225" s="99"/>
      <c r="AV225" s="99"/>
      <c r="AW225" s="99"/>
    </row>
    <row r="226" spans="1:50" ht="13.05" hidden="1" customHeight="1" x14ac:dyDescent="0.25">
      <c r="A226" t="str">
        <f>Nutrients!B225</f>
        <v>Other ingredient</v>
      </c>
      <c r="B226" s="99"/>
      <c r="C226" s="99"/>
      <c r="D226" s="99"/>
      <c r="E226" s="99"/>
      <c r="F226" s="99"/>
      <c r="G226" s="99"/>
      <c r="H226" s="99"/>
      <c r="I226" s="99"/>
      <c r="J226" s="99"/>
      <c r="K226" s="99"/>
      <c r="L226" s="99"/>
      <c r="M226" s="99"/>
      <c r="N226" s="99"/>
      <c r="O226" s="10"/>
      <c r="P226" s="99"/>
      <c r="Q226" s="99"/>
      <c r="R226" s="99"/>
      <c r="S226" s="99"/>
      <c r="T226" s="99"/>
      <c r="U226" s="99"/>
      <c r="W226" s="99"/>
      <c r="X226" s="99"/>
      <c r="Y226" s="99"/>
      <c r="Z226" s="99"/>
      <c r="AA226" s="99"/>
      <c r="AB226" s="99"/>
      <c r="AD226" s="99"/>
      <c r="AE226" s="99"/>
      <c r="AF226" s="99"/>
      <c r="AG226" s="99"/>
      <c r="AH226" s="99"/>
      <c r="AI226" s="99"/>
      <c r="AK226" s="99"/>
      <c r="AL226" s="99"/>
      <c r="AM226" s="99"/>
      <c r="AN226" s="99"/>
      <c r="AO226" s="99"/>
      <c r="AP226" s="99"/>
      <c r="AR226" s="99"/>
      <c r="AS226" s="99"/>
      <c r="AT226" s="99"/>
      <c r="AU226" s="99"/>
      <c r="AV226" s="99"/>
      <c r="AW226" s="99"/>
    </row>
    <row r="227" spans="1:50" ht="13.05" hidden="1" customHeight="1" x14ac:dyDescent="0.25">
      <c r="A227" t="str">
        <f>Nutrients!B226</f>
        <v>Other ingredient</v>
      </c>
      <c r="B227" s="99"/>
      <c r="C227" s="99"/>
      <c r="D227" s="99"/>
      <c r="E227" s="99"/>
      <c r="F227" s="99"/>
      <c r="G227" s="99"/>
      <c r="H227" s="99"/>
      <c r="I227" s="99"/>
      <c r="J227" s="99"/>
      <c r="K227" s="99"/>
      <c r="L227" s="99"/>
      <c r="M227" s="99"/>
      <c r="N227" s="99"/>
      <c r="O227" s="10"/>
      <c r="P227" s="99"/>
      <c r="Q227" s="99"/>
      <c r="R227" s="99"/>
      <c r="S227" s="99"/>
      <c r="T227" s="99"/>
      <c r="U227" s="99"/>
      <c r="W227" s="99"/>
      <c r="X227" s="99"/>
      <c r="Y227" s="99"/>
      <c r="Z227" s="99"/>
      <c r="AA227" s="99"/>
      <c r="AB227" s="99"/>
      <c r="AD227" s="99"/>
      <c r="AE227" s="99"/>
      <c r="AF227" s="99"/>
      <c r="AG227" s="99"/>
      <c r="AH227" s="99"/>
      <c r="AI227" s="99"/>
      <c r="AK227" s="99"/>
      <c r="AL227" s="99"/>
      <c r="AM227" s="99"/>
      <c r="AN227" s="99"/>
      <c r="AO227" s="99"/>
      <c r="AP227" s="99"/>
      <c r="AR227" s="99"/>
      <c r="AS227" s="99"/>
      <c r="AT227" s="99"/>
      <c r="AU227" s="99"/>
      <c r="AV227" s="99"/>
      <c r="AW227" s="99"/>
    </row>
    <row r="228" spans="1:50" ht="13.05" hidden="1" customHeight="1" x14ac:dyDescent="0.25">
      <c r="A228" t="str">
        <f>Nutrients!B227</f>
        <v>Other ingredient</v>
      </c>
      <c r="B228" s="99"/>
      <c r="C228" s="99"/>
      <c r="D228" s="99"/>
      <c r="E228" s="99"/>
      <c r="F228" s="99"/>
      <c r="G228" s="99"/>
      <c r="H228" s="99"/>
      <c r="I228" s="99"/>
      <c r="J228" s="99"/>
      <c r="K228" s="99"/>
      <c r="L228" s="99"/>
      <c r="M228" s="99"/>
      <c r="N228" s="99"/>
      <c r="O228" s="10"/>
      <c r="P228" s="99"/>
      <c r="Q228" s="99"/>
      <c r="R228" s="99"/>
      <c r="S228" s="99"/>
      <c r="T228" s="99"/>
      <c r="U228" s="99"/>
      <c r="W228" s="99"/>
      <c r="X228" s="99"/>
      <c r="Y228" s="99"/>
      <c r="Z228" s="99"/>
      <c r="AA228" s="99"/>
      <c r="AB228" s="99"/>
      <c r="AD228" s="99"/>
      <c r="AE228" s="99"/>
      <c r="AF228" s="99"/>
      <c r="AG228" s="99"/>
      <c r="AH228" s="99"/>
      <c r="AI228" s="99"/>
      <c r="AK228" s="99"/>
      <c r="AL228" s="99"/>
      <c r="AM228" s="99"/>
      <c r="AN228" s="99"/>
      <c r="AO228" s="99"/>
      <c r="AP228" s="99"/>
      <c r="AR228" s="99"/>
      <c r="AS228" s="99"/>
      <c r="AT228" s="99"/>
      <c r="AU228" s="99"/>
      <c r="AV228" s="99"/>
      <c r="AW228" s="99"/>
    </row>
    <row r="229" spans="1:50" ht="13.95" hidden="1" customHeight="1" x14ac:dyDescent="0.25">
      <c r="A229" t="str">
        <f>Nutrients!B228</f>
        <v>Other ingredient</v>
      </c>
      <c r="B229" s="99"/>
      <c r="C229" s="99"/>
      <c r="D229" s="99"/>
      <c r="E229" s="99"/>
      <c r="F229" s="99"/>
      <c r="G229" s="99"/>
      <c r="H229" s="99"/>
      <c r="I229" s="99"/>
      <c r="J229" s="99"/>
      <c r="K229" s="99"/>
      <c r="L229" s="99"/>
      <c r="M229" s="99"/>
      <c r="N229" s="99"/>
      <c r="O229" s="10"/>
      <c r="P229" s="99"/>
      <c r="Q229" s="99"/>
      <c r="R229" s="99"/>
      <c r="S229" s="99"/>
      <c r="T229" s="99"/>
      <c r="U229" s="99"/>
      <c r="W229" s="99"/>
      <c r="X229" s="99"/>
      <c r="Y229" s="99"/>
      <c r="Z229" s="99"/>
      <c r="AA229" s="99"/>
      <c r="AB229" s="99"/>
      <c r="AD229" s="99"/>
      <c r="AE229" s="99"/>
      <c r="AF229" s="99"/>
      <c r="AG229" s="99"/>
      <c r="AH229" s="99"/>
      <c r="AI229" s="99"/>
      <c r="AK229" s="99"/>
      <c r="AL229" s="99"/>
      <c r="AM229" s="99"/>
      <c r="AN229" s="99"/>
      <c r="AO229" s="99"/>
      <c r="AP229" s="99"/>
      <c r="AR229" s="99"/>
      <c r="AS229" s="99"/>
      <c r="AT229" s="99"/>
      <c r="AU229" s="99"/>
      <c r="AV229" s="99"/>
      <c r="AW229" s="99"/>
    </row>
    <row r="230" spans="1:50" x14ac:dyDescent="0.25">
      <c r="A230" s="1" t="s">
        <v>17</v>
      </c>
      <c r="B230" s="292">
        <f t="shared" ref="B230:G230" si="26">SUM(B7:B229)</f>
        <v>2000.0000000000002</v>
      </c>
      <c r="C230" s="292">
        <f t="shared" si="26"/>
        <v>2000</v>
      </c>
      <c r="D230" s="292">
        <f t="shared" si="26"/>
        <v>2000.0000000000002</v>
      </c>
      <c r="E230" s="292">
        <f t="shared" si="26"/>
        <v>2000.0000000000002</v>
      </c>
      <c r="F230" s="292">
        <f t="shared" si="26"/>
        <v>2000</v>
      </c>
      <c r="G230" s="292">
        <f t="shared" si="26"/>
        <v>2000.0000000000002</v>
      </c>
      <c r="H230" s="292"/>
      <c r="I230" s="292">
        <f t="shared" ref="I230:N230" si="27">SUM(I7:I229)</f>
        <v>2000</v>
      </c>
      <c r="J230" s="292">
        <f t="shared" si="27"/>
        <v>2000</v>
      </c>
      <c r="K230" s="292">
        <f t="shared" si="27"/>
        <v>2000.0000000000002</v>
      </c>
      <c r="L230" s="292">
        <f t="shared" si="27"/>
        <v>1999.9999999999995</v>
      </c>
      <c r="M230" s="292">
        <f t="shared" si="27"/>
        <v>1999.9999999999998</v>
      </c>
      <c r="N230" s="292">
        <f t="shared" si="27"/>
        <v>2000.0000000000002</v>
      </c>
      <c r="O230" s="9"/>
      <c r="P230" s="292">
        <f t="shared" ref="P230:U230" si="28">SUM(P7:P229)</f>
        <v>2000</v>
      </c>
      <c r="Q230" s="292">
        <f t="shared" si="28"/>
        <v>2000.0000000000002</v>
      </c>
      <c r="R230" s="292">
        <f t="shared" si="28"/>
        <v>2000</v>
      </c>
      <c r="S230" s="292">
        <f t="shared" si="28"/>
        <v>2000</v>
      </c>
      <c r="T230" s="292">
        <f t="shared" si="28"/>
        <v>2000</v>
      </c>
      <c r="U230" s="292">
        <f t="shared" si="28"/>
        <v>2000.0000000000002</v>
      </c>
      <c r="W230" s="292">
        <f t="shared" ref="W230:AB230" si="29">SUM(W7:W229)</f>
        <v>1999.9999999999998</v>
      </c>
      <c r="X230" s="292">
        <f t="shared" si="29"/>
        <v>2000</v>
      </c>
      <c r="Y230" s="292">
        <f t="shared" si="29"/>
        <v>2000</v>
      </c>
      <c r="Z230" s="292">
        <f t="shared" si="29"/>
        <v>2000.0000000000002</v>
      </c>
      <c r="AA230" s="292">
        <f t="shared" si="29"/>
        <v>2000.0000000000002</v>
      </c>
      <c r="AB230" s="292">
        <f t="shared" si="29"/>
        <v>2000.0000000000002</v>
      </c>
      <c r="AD230" s="292">
        <f t="shared" ref="AD230:AI230" si="30">SUM(AD7:AD229)</f>
        <v>2000</v>
      </c>
      <c r="AE230" s="292">
        <f t="shared" si="30"/>
        <v>2000</v>
      </c>
      <c r="AF230" s="292">
        <f t="shared" si="30"/>
        <v>1999.9999999999998</v>
      </c>
      <c r="AG230" s="292">
        <f t="shared" si="30"/>
        <v>2000</v>
      </c>
      <c r="AH230" s="292">
        <f t="shared" si="30"/>
        <v>2000</v>
      </c>
      <c r="AI230" s="292">
        <f t="shared" si="30"/>
        <v>2000.0000000000002</v>
      </c>
      <c r="AK230" s="292">
        <f t="shared" ref="AK230:AP230" si="31">SUM(AK7:AK229)</f>
        <v>2000</v>
      </c>
      <c r="AL230" s="292">
        <f t="shared" si="31"/>
        <v>2000</v>
      </c>
      <c r="AM230" s="292">
        <f t="shared" si="31"/>
        <v>2000.0000000000002</v>
      </c>
      <c r="AN230" s="292">
        <f t="shared" si="31"/>
        <v>2000</v>
      </c>
      <c r="AO230" s="292">
        <f t="shared" si="31"/>
        <v>2000</v>
      </c>
      <c r="AP230" s="292">
        <f t="shared" si="31"/>
        <v>2000.0000000000002</v>
      </c>
      <c r="AR230" s="292">
        <f t="shared" ref="AR230:AW230" si="32">SUM(AR7:AR229)</f>
        <v>1999.9999999999998</v>
      </c>
      <c r="AS230" s="292">
        <f t="shared" si="32"/>
        <v>2000</v>
      </c>
      <c r="AT230" s="292">
        <f t="shared" si="32"/>
        <v>2000</v>
      </c>
      <c r="AU230" s="292">
        <f t="shared" si="32"/>
        <v>2000</v>
      </c>
      <c r="AV230" s="292">
        <f t="shared" si="32"/>
        <v>1999.9999999999998</v>
      </c>
      <c r="AW230" s="292">
        <f t="shared" si="32"/>
        <v>2000.0000000000002</v>
      </c>
    </row>
    <row r="231" spans="1:50" x14ac:dyDescent="0.25">
      <c r="A231" s="9"/>
      <c r="B231" s="7"/>
      <c r="C231" s="7"/>
      <c r="D231" s="7"/>
      <c r="E231" s="7"/>
      <c r="F231" s="7"/>
      <c r="G231" s="7"/>
      <c r="H231" s="7"/>
      <c r="I231" s="7"/>
      <c r="J231" s="7"/>
      <c r="K231" s="7"/>
      <c r="L231" s="7"/>
      <c r="M231" s="7"/>
      <c r="N231" s="7"/>
      <c r="O231" s="7"/>
      <c r="P231" s="7"/>
      <c r="Q231" s="7"/>
      <c r="R231" s="7"/>
      <c r="S231" s="7"/>
      <c r="T231" s="7"/>
      <c r="U231" s="7"/>
      <c r="W231" s="7"/>
      <c r="X231" s="7"/>
      <c r="Y231" s="7"/>
      <c r="Z231" s="7"/>
      <c r="AA231" s="7"/>
      <c r="AB231" s="7"/>
      <c r="AD231" s="7"/>
      <c r="AE231" s="7"/>
      <c r="AF231" s="7"/>
      <c r="AG231" s="7"/>
      <c r="AH231" s="7"/>
      <c r="AI231" s="7"/>
      <c r="AK231" s="7"/>
      <c r="AL231" s="7"/>
      <c r="AM231" s="7"/>
      <c r="AN231" s="7"/>
      <c r="AO231" s="7"/>
      <c r="AP231" s="7"/>
      <c r="AR231" s="7"/>
      <c r="AS231" s="7"/>
      <c r="AT231" s="7"/>
      <c r="AU231" s="7"/>
      <c r="AV231" s="7"/>
      <c r="AW231" s="7"/>
    </row>
    <row r="232" spans="1:50" x14ac:dyDescent="0.25">
      <c r="A232" s="41" t="s">
        <v>348</v>
      </c>
      <c r="B232" s="33">
        <f t="shared" ref="B232:G232" si="33" xml:space="preserve">  0.0000415*((B5+B6)/2)^2 - 0.0236*((B5+B6)/2) + 6.096</f>
        <v>4.6920843750000003</v>
      </c>
      <c r="C232" s="33">
        <f t="shared" si="33"/>
        <v>4.1130093749999999</v>
      </c>
      <c r="D232" s="33">
        <f t="shared" si="33"/>
        <v>3.6054000000000004</v>
      </c>
      <c r="E232" s="33">
        <f t="shared" si="33"/>
        <v>3.1925999999999997</v>
      </c>
      <c r="F232" s="33">
        <f t="shared" si="33"/>
        <v>2.9125999999999999</v>
      </c>
      <c r="G232" s="33">
        <f t="shared" si="33"/>
        <v>2.7606093749999996</v>
      </c>
      <c r="H232" s="33"/>
      <c r="I232" s="33">
        <f t="shared" ref="I232:N232" si="34" xml:space="preserve">  0.0000415*((I5+I6)/2)^2 - 0.0236*((I5+I6)/2) + 6.096</f>
        <v>4.6920843750000003</v>
      </c>
      <c r="J232" s="33">
        <f t="shared" si="34"/>
        <v>4.1130093749999999</v>
      </c>
      <c r="K232" s="33">
        <f t="shared" si="34"/>
        <v>3.6054000000000004</v>
      </c>
      <c r="L232" s="33">
        <f t="shared" si="34"/>
        <v>3.1925999999999997</v>
      </c>
      <c r="M232" s="33">
        <f t="shared" si="34"/>
        <v>2.9125999999999999</v>
      </c>
      <c r="N232" s="33">
        <f t="shared" si="34"/>
        <v>2.7606093749999996</v>
      </c>
      <c r="O232" s="33"/>
      <c r="P232" s="33">
        <f t="shared" ref="P232:U232" si="35" xml:space="preserve">  0.0000415*((P5+P6)/2)^2 - 0.0236*((P5+P6)/2) + 6.096</f>
        <v>4.6920843750000003</v>
      </c>
      <c r="Q232" s="33">
        <f t="shared" si="35"/>
        <v>4.1130093749999999</v>
      </c>
      <c r="R232" s="33">
        <f t="shared" si="35"/>
        <v>3.6054000000000004</v>
      </c>
      <c r="S232" s="33">
        <f t="shared" si="35"/>
        <v>3.1925999999999997</v>
      </c>
      <c r="T232" s="33">
        <f t="shared" si="35"/>
        <v>2.9125999999999999</v>
      </c>
      <c r="U232" s="33">
        <f t="shared" si="35"/>
        <v>2.7606093749999996</v>
      </c>
      <c r="W232" s="33">
        <f t="shared" ref="W232:AB232" si="36" xml:space="preserve">  0.0000415*((W5+W6)/2)^2 - 0.0236*((W5+W6)/2) + 6.096</f>
        <v>4.6920843750000003</v>
      </c>
      <c r="X232" s="33">
        <f t="shared" si="36"/>
        <v>4.1130093749999999</v>
      </c>
      <c r="Y232" s="33">
        <f t="shared" si="36"/>
        <v>3.6054000000000004</v>
      </c>
      <c r="Z232" s="33">
        <f t="shared" si="36"/>
        <v>3.1925999999999997</v>
      </c>
      <c r="AA232" s="33">
        <f t="shared" si="36"/>
        <v>2.9125999999999999</v>
      </c>
      <c r="AB232" s="33">
        <f t="shared" si="36"/>
        <v>2.7606093749999996</v>
      </c>
      <c r="AD232" s="33">
        <f t="shared" ref="AD232:AI232" si="37" xml:space="preserve">  0.0000415*((AD5+AD6)/2)^2 - 0.0236*((AD5+AD6)/2) + 6.096</f>
        <v>4.6920843750000003</v>
      </c>
      <c r="AE232" s="33">
        <f t="shared" si="37"/>
        <v>4.1130093749999999</v>
      </c>
      <c r="AF232" s="33">
        <f t="shared" si="37"/>
        <v>3.6054000000000004</v>
      </c>
      <c r="AG232" s="33">
        <f t="shared" si="37"/>
        <v>3.1925999999999997</v>
      </c>
      <c r="AH232" s="33">
        <f t="shared" si="37"/>
        <v>2.9125999999999999</v>
      </c>
      <c r="AI232" s="33">
        <f t="shared" si="37"/>
        <v>2.7606093749999996</v>
      </c>
      <c r="AK232" s="33">
        <f t="shared" ref="AK232:AP232" si="38" xml:space="preserve">  0.0000415*((AK5+AK6)/2)^2 - 0.0236*((AK5+AK6)/2) + 6.096</f>
        <v>4.6920843750000003</v>
      </c>
      <c r="AL232" s="33">
        <f t="shared" si="38"/>
        <v>4.1130093749999999</v>
      </c>
      <c r="AM232" s="33">
        <f t="shared" si="38"/>
        <v>3.6054000000000004</v>
      </c>
      <c r="AN232" s="33">
        <f t="shared" si="38"/>
        <v>3.1925999999999997</v>
      </c>
      <c r="AO232" s="33">
        <f t="shared" si="38"/>
        <v>2.9125999999999999</v>
      </c>
      <c r="AP232" s="33">
        <f t="shared" si="38"/>
        <v>2.7606093749999996</v>
      </c>
      <c r="AR232" s="33">
        <f t="shared" ref="AR232:AW232" si="39" xml:space="preserve">  0.0000415*((AR5+AR6)/2)^2 - 0.0236*((AR5+AR6)/2) + 6.096</f>
        <v>4.6920843750000003</v>
      </c>
      <c r="AS232" s="33">
        <f t="shared" si="39"/>
        <v>4.1130093749999999</v>
      </c>
      <c r="AT232" s="33">
        <f t="shared" si="39"/>
        <v>3.6054000000000004</v>
      </c>
      <c r="AU232" s="33">
        <f t="shared" si="39"/>
        <v>3.1925999999999997</v>
      </c>
      <c r="AV232" s="33">
        <f t="shared" si="39"/>
        <v>2.9125999999999999</v>
      </c>
      <c r="AW232" s="33">
        <f t="shared" si="39"/>
        <v>2.7606093749999996</v>
      </c>
    </row>
    <row r="233" spans="1:50" x14ac:dyDescent="0.25">
      <c r="A233" s="40" t="s">
        <v>108</v>
      </c>
      <c r="B233" s="26">
        <f t="shared" ref="B233:G233" si="40">IF(B232="","",B250*2.2046*B232/10000)</f>
        <v>1.1933289345334586</v>
      </c>
      <c r="C233" s="26">
        <f t="shared" si="40"/>
        <v>1.0523868858191809</v>
      </c>
      <c r="D233" s="26">
        <f t="shared" si="40"/>
        <v>0.92731901794478477</v>
      </c>
      <c r="E233" s="26">
        <f t="shared" si="40"/>
        <v>0.82549698291879381</v>
      </c>
      <c r="F233" s="26">
        <f t="shared" si="40"/>
        <v>0.75646982136751284</v>
      </c>
      <c r="G233" s="26">
        <f t="shared" si="40"/>
        <v>0.71849863102392231</v>
      </c>
      <c r="H233" s="26"/>
      <c r="I233" s="26">
        <f t="shared" ref="I233:N233" si="41">IF(I232="","",I250*2.2046*I232/10000)</f>
        <v>1.1930633287666585</v>
      </c>
      <c r="J233" s="26">
        <f t="shared" si="41"/>
        <v>1.0522282386472619</v>
      </c>
      <c r="K233" s="26">
        <f t="shared" si="41"/>
        <v>0.92721642757073841</v>
      </c>
      <c r="L233" s="26">
        <f t="shared" si="41"/>
        <v>0.82543342347670134</v>
      </c>
      <c r="M233" s="26">
        <f t="shared" si="41"/>
        <v>0.75641369045533269</v>
      </c>
      <c r="N233" s="26">
        <f t="shared" si="41"/>
        <v>0.71849863102392231</v>
      </c>
      <c r="O233" s="26"/>
      <c r="P233" s="26">
        <f t="shared" ref="P233:U233" si="42">IF(P232="","",P250*2.2046*P232/10000)</f>
        <v>1.1929043761561808</v>
      </c>
      <c r="Q233" s="26">
        <f t="shared" si="42"/>
        <v>1.0521066443036233</v>
      </c>
      <c r="R233" s="26">
        <f t="shared" si="42"/>
        <v>0.92716385395510914</v>
      </c>
      <c r="S233" s="26">
        <f t="shared" si="42"/>
        <v>0.82536521694506593</v>
      </c>
      <c r="T233" s="26">
        <f t="shared" si="42"/>
        <v>0.75635393859604416</v>
      </c>
      <c r="U233" s="26">
        <f t="shared" si="42"/>
        <v>0.71849863102392231</v>
      </c>
      <c r="W233" s="26">
        <f t="shared" ref="W233:AB233" si="43">IF(W232="","",W250*2.2046*W232/10000)</f>
        <v>1.1928393738850456</v>
      </c>
      <c r="X233" s="26">
        <f t="shared" si="43"/>
        <v>1.0521079922946255</v>
      </c>
      <c r="Y233" s="26">
        <f t="shared" si="43"/>
        <v>0.927132980715624</v>
      </c>
      <c r="Z233" s="26">
        <f t="shared" si="43"/>
        <v>0.82538764961017985</v>
      </c>
      <c r="AA233" s="26">
        <f t="shared" si="43"/>
        <v>0.75637985534244878</v>
      </c>
      <c r="AB233" s="26">
        <f t="shared" si="43"/>
        <v>0.71849863102392231</v>
      </c>
      <c r="AD233" s="26">
        <f t="shared" ref="AD233:AI233" si="44">IF(AD232="","",AD250*2.2046*AD232/10000)</f>
        <v>1.1928296334653752</v>
      </c>
      <c r="AE233" s="26">
        <f t="shared" si="44"/>
        <v>1.0520647299454347</v>
      </c>
      <c r="AF233" s="26">
        <f t="shared" si="44"/>
        <v>0.92715690399776762</v>
      </c>
      <c r="AG233" s="26">
        <f t="shared" si="44"/>
        <v>0.82539720306734854</v>
      </c>
      <c r="AH233" s="26">
        <f t="shared" si="44"/>
        <v>0.75634582348552681</v>
      </c>
      <c r="AI233" s="26">
        <f t="shared" si="44"/>
        <v>0.71849863102392231</v>
      </c>
      <c r="AK233" s="26">
        <f t="shared" ref="AK233:AP233" si="45">IF(AK232="","",AK250*2.2046*AK232/10000)</f>
        <v>1.192760696686529</v>
      </c>
      <c r="AL233" s="26">
        <f t="shared" si="45"/>
        <v>1.05201966832369</v>
      </c>
      <c r="AM233" s="26">
        <f t="shared" si="45"/>
        <v>0.92707712371126294</v>
      </c>
      <c r="AN233" s="26">
        <f t="shared" si="45"/>
        <v>0.82530411598327313</v>
      </c>
      <c r="AO233" s="26">
        <f t="shared" si="45"/>
        <v>0.75635037137305416</v>
      </c>
      <c r="AP233" s="26">
        <f t="shared" si="45"/>
        <v>0.71849863102392231</v>
      </c>
      <c r="AR233" s="26">
        <f t="shared" ref="AR233:AW233" si="46">IF(AR232="","",AR250*2.2046*AR232/10000)</f>
        <v>1.1928457267186132</v>
      </c>
      <c r="AS233" s="26">
        <f t="shared" si="46"/>
        <v>1.0519469932197556</v>
      </c>
      <c r="AT233" s="26">
        <f t="shared" si="46"/>
        <v>0.92702906154208287</v>
      </c>
      <c r="AU233" s="26">
        <f t="shared" si="46"/>
        <v>0.82529346380773971</v>
      </c>
      <c r="AV233" s="26">
        <f t="shared" si="46"/>
        <v>0.75635513665971499</v>
      </c>
      <c r="AW233" s="26">
        <f t="shared" si="46"/>
        <v>0.71849863102392231</v>
      </c>
    </row>
    <row r="234" spans="1:50" x14ac:dyDescent="0.25">
      <c r="A234" s="40"/>
      <c r="B234" s="26"/>
      <c r="C234" s="26"/>
      <c r="D234" s="26"/>
      <c r="E234" s="26"/>
      <c r="F234" s="26"/>
      <c r="G234" s="26"/>
      <c r="H234" s="26"/>
      <c r="I234" s="26">
        <f>B127-I127</f>
        <v>0.12000000000000011</v>
      </c>
      <c r="J234" s="26">
        <f>C126-J126</f>
        <v>0.20127037394555369</v>
      </c>
      <c r="K234" s="26"/>
      <c r="L234" s="26"/>
      <c r="M234" s="26"/>
      <c r="N234" s="26"/>
      <c r="O234" s="26"/>
      <c r="P234" s="26"/>
      <c r="Q234" s="26"/>
      <c r="R234" s="26"/>
      <c r="S234" s="26"/>
      <c r="T234" s="26"/>
      <c r="U234" s="26"/>
      <c r="W234" s="26"/>
      <c r="X234" s="26"/>
      <c r="Y234" s="26"/>
      <c r="Z234" s="26"/>
      <c r="AA234" s="26"/>
      <c r="AB234" s="26"/>
      <c r="AD234" s="26"/>
      <c r="AE234" s="26"/>
      <c r="AF234" s="26"/>
      <c r="AG234" s="26"/>
      <c r="AH234" s="26"/>
      <c r="AI234" s="26"/>
      <c r="AK234" s="26"/>
      <c r="AL234" s="26"/>
      <c r="AM234" s="26"/>
      <c r="AN234" s="26"/>
      <c r="AO234" s="26"/>
      <c r="AP234" s="26"/>
      <c r="AR234" s="26"/>
      <c r="AS234" s="26"/>
      <c r="AT234" s="26"/>
      <c r="AU234" s="26"/>
      <c r="AV234" s="26"/>
      <c r="AW234" s="26"/>
    </row>
    <row r="235" spans="1:50" x14ac:dyDescent="0.25">
      <c r="A235" s="44" t="s">
        <v>143</v>
      </c>
      <c r="B235" s="26"/>
      <c r="C235" s="26"/>
      <c r="D235" s="26"/>
      <c r="E235" s="26"/>
      <c r="F235" s="26"/>
      <c r="G235" s="26"/>
      <c r="H235" s="26"/>
      <c r="I235" s="26"/>
      <c r="J235" s="26"/>
      <c r="K235" s="26"/>
      <c r="L235" s="26"/>
      <c r="M235" s="26"/>
      <c r="N235" s="26"/>
      <c r="O235" s="26"/>
      <c r="P235" s="26"/>
      <c r="Q235" s="26"/>
      <c r="R235" s="26"/>
      <c r="S235" s="26"/>
      <c r="T235" s="26"/>
      <c r="U235" s="26"/>
      <c r="W235" s="26"/>
      <c r="X235" s="26"/>
      <c r="Y235" s="26"/>
      <c r="Z235" s="26"/>
      <c r="AA235" s="26"/>
      <c r="AB235" s="26"/>
      <c r="AD235" s="26"/>
      <c r="AE235" s="26"/>
      <c r="AF235" s="26"/>
      <c r="AG235" s="26"/>
      <c r="AH235" s="26"/>
      <c r="AI235" s="26"/>
      <c r="AK235" s="26"/>
      <c r="AL235" s="26"/>
      <c r="AM235" s="26"/>
      <c r="AN235" s="26"/>
      <c r="AO235" s="26"/>
      <c r="AP235" s="26"/>
      <c r="AR235" s="26"/>
      <c r="AS235" s="26"/>
      <c r="AT235" s="26"/>
      <c r="AU235" s="26"/>
      <c r="AV235" s="26"/>
      <c r="AW235" s="26"/>
    </row>
    <row r="236" spans="1:50" x14ac:dyDescent="0.25">
      <c r="A236" s="34" t="s">
        <v>381</v>
      </c>
      <c r="B236" s="27">
        <v>1.1861119527718891</v>
      </c>
      <c r="C236" s="27">
        <v>1.0487231011263827</v>
      </c>
      <c r="D236" s="27">
        <v>0.92692570857780632</v>
      </c>
      <c r="E236" s="27">
        <v>0.82606841929078001</v>
      </c>
      <c r="F236" s="27">
        <v>0.75673053182615369</v>
      </c>
      <c r="G236" s="27">
        <v>0.71839352504319809</v>
      </c>
      <c r="H236" s="223"/>
      <c r="I236" s="27">
        <v>1.1861119527718891</v>
      </c>
      <c r="J236" s="27">
        <v>1.0487231011263827</v>
      </c>
      <c r="K236" s="27">
        <v>0.92692570857780632</v>
      </c>
      <c r="L236" s="27">
        <v>0.82606841929078001</v>
      </c>
      <c r="M236" s="27">
        <v>0.75673053182615369</v>
      </c>
      <c r="N236" s="27">
        <v>0.71839352504319809</v>
      </c>
      <c r="O236" s="7"/>
      <c r="P236" s="27">
        <v>1.1861119527718891</v>
      </c>
      <c r="Q236" s="27">
        <v>1.0487231011263827</v>
      </c>
      <c r="R236" s="27">
        <v>0.92692570857780632</v>
      </c>
      <c r="S236" s="27">
        <v>0.82606841929078001</v>
      </c>
      <c r="T236" s="27">
        <v>0.75673053182615369</v>
      </c>
      <c r="U236" s="27">
        <v>0.71839352504319809</v>
      </c>
      <c r="V236" s="2"/>
      <c r="W236" s="27">
        <v>1.1861119527718891</v>
      </c>
      <c r="X236" s="27">
        <v>1.0487231011263827</v>
      </c>
      <c r="Y236" s="27">
        <v>0.92692570857780632</v>
      </c>
      <c r="Z236" s="27">
        <v>0.82606841929078001</v>
      </c>
      <c r="AA236" s="27">
        <v>0.75673053182615369</v>
      </c>
      <c r="AB236" s="27">
        <v>0.71839352504319809</v>
      </c>
      <c r="AC236" s="223"/>
      <c r="AD236" s="27">
        <v>1.1861119527718891</v>
      </c>
      <c r="AE236" s="27">
        <v>1.0487231011263827</v>
      </c>
      <c r="AF236" s="27">
        <v>0.92692570857780632</v>
      </c>
      <c r="AG236" s="27">
        <v>0.82606841929078001</v>
      </c>
      <c r="AH236" s="27">
        <v>0.75673053182615369</v>
      </c>
      <c r="AI236" s="27">
        <v>0.71839352504319809</v>
      </c>
      <c r="AJ236" s="7"/>
      <c r="AK236" s="27">
        <v>1.1861119527718891</v>
      </c>
      <c r="AL236" s="27">
        <v>1.0487231011263827</v>
      </c>
      <c r="AM236" s="27">
        <v>0.92692570857780632</v>
      </c>
      <c r="AN236" s="27">
        <v>0.82606841929078001</v>
      </c>
      <c r="AO236" s="27">
        <v>0.75673053182615369</v>
      </c>
      <c r="AP236" s="27">
        <v>0.71839352504319809</v>
      </c>
      <c r="AQ236" s="2"/>
      <c r="AR236" s="27">
        <v>1.1861119527718891</v>
      </c>
      <c r="AS236" s="27">
        <v>1.0487231011263827</v>
      </c>
      <c r="AT236" s="27">
        <v>0.92692570857780632</v>
      </c>
      <c r="AU236" s="27">
        <v>0.82606841929078001</v>
      </c>
      <c r="AV236" s="27">
        <v>0.75673053182615369</v>
      </c>
      <c r="AW236" s="27">
        <v>0.71839352504319809</v>
      </c>
      <c r="AX236" s="223"/>
    </row>
    <row r="237" spans="1:50" x14ac:dyDescent="0.25">
      <c r="A237" s="39" t="s">
        <v>382</v>
      </c>
      <c r="B237" s="49">
        <f>(SUMPRODUCT(B$9:B$229,Nutrients!$CY$8:$CY$228)+(IF($A$7=Nutrients!$B$8,Nutrients!$CY$8,Nutrients!$CY$9)*B$7)+(((IF($A$8=Nutrients!$B$79,Nutrients!$CY$79,(IF($A$8=Nutrients!$B$77,Nutrients!$CY$77,Nutrients!$CY$78)))))*B$8))/2000/B$236*100</f>
        <v>56.344881641231822</v>
      </c>
      <c r="C237" s="49">
        <f>(SUMPRODUCT(C$9:C$229,Nutrients!$CY$8:$CY$228)+(IF($A$7=Nutrients!$B$8,Nutrients!$CY$8,Nutrients!$CY$9)*C$7)+(((IF($A$8=Nutrients!$B$79,Nutrients!$CY$79,(IF($A$8=Nutrients!$B$77,Nutrients!$CY$77,Nutrients!$CY$78)))))*C$8))/2000/C$236*100</f>
        <v>57.375308930399996</v>
      </c>
      <c r="D237" s="49">
        <f>(SUMPRODUCT(D$9:D$229,Nutrients!$CY$8:$CY$228)+(IF($A$7=Nutrients!$B$8,Nutrients!$CY$8,Nutrients!$CY$9)*D$7)+(((IF($A$8=Nutrients!$B$79,Nutrients!$CY$79,(IF($A$8=Nutrients!$B$77,Nutrients!$CY$77,Nutrients!$CY$78)))))*D$8))/2000/D$236*100</f>
        <v>58.876554056537131</v>
      </c>
      <c r="E237" s="49">
        <f>(SUMPRODUCT(E$9:E$229,Nutrients!$CY$8:$CY$228)+(IF($A$7=Nutrients!$B$8,Nutrients!$CY$8,Nutrients!$CY$9)*E$7)+(((IF($A$8=Nutrients!$B$79,Nutrients!$CY$79,(IF($A$8=Nutrients!$B$77,Nutrients!$CY$77,Nutrients!$CY$78)))))*E$8))/2000/E$236*100</f>
        <v>59.309801434553123</v>
      </c>
      <c r="F237" s="49">
        <f>(SUMPRODUCT(F$9:F$229,Nutrients!$CY$8:$CY$228)+(IF($A$7=Nutrients!$B$8,Nutrients!$CY$8,Nutrients!$CY$9)*F$7)+(((IF($A$8=Nutrients!$B$79,Nutrients!$CY$79,(IF($A$8=Nutrients!$B$77,Nutrients!$CY$77,Nutrients!$CY$78)))))*F$8))/2000/F$236*100</f>
        <v>58.50084547001024</v>
      </c>
      <c r="G237" s="49">
        <f>(SUMPRODUCT(G$9:G$229,Nutrients!$CY$8:$CY$228)+(IF($A$7=Nutrients!$B$8,Nutrients!$CY$8,Nutrients!$CY$9)*G$7)+(((IF($A$8=Nutrients!$B$79,Nutrients!$CY$79,(IF($A$8=Nutrients!$B$77,Nutrients!$CY$77,Nutrients!$CY$78)))))*G$8))/2000/G$236*100</f>
        <v>57.980356352367814</v>
      </c>
      <c r="H237" s="197"/>
      <c r="I237" s="451">
        <f>(SUMPRODUCT(I$9:I$229,Nutrients!$CY$8:$CY$228)+(IF($A$7=Nutrients!$B$8,Nutrients!$CY$8,Nutrients!$CY$9)*I$7)+(((IF($A$8=Nutrients!$B$79,Nutrients!$CY$79,(IF($A$8=Nutrients!$B$77,Nutrients!$CY$77,Nutrients!$CY$78)))))*I$8))/2000/I$236*100</f>
        <v>56.537268043918964</v>
      </c>
      <c r="J237" s="451">
        <f>(SUMPRODUCT(J$9:J$229,Nutrients!$CY$8:$CY$228)+(IF($A$7=Nutrients!$B$8,Nutrients!$CY$8,Nutrients!$CY$9)*J$7)+(((IF($A$8=Nutrients!$B$79,Nutrients!$CY$79,(IF($A$8=Nutrients!$B$77,Nutrients!$CY$77,Nutrients!$CY$78)))))*J$8))/2000/J$236*100</f>
        <v>57.591362682913314</v>
      </c>
      <c r="K237" s="451">
        <f>(SUMPRODUCT(K$9:K$229,Nutrients!$CY$8:$CY$228)+(IF($A$7=Nutrients!$B$8,Nutrients!$CY$8,Nutrients!$CY$9)*K$7)+(((IF($A$8=Nutrients!$B$79,Nutrients!$CY$79,(IF($A$8=Nutrients!$B$77,Nutrients!$CY$77,Nutrients!$CY$78)))))*K$8))/2000/K$236*100</f>
        <v>59.121891635558853</v>
      </c>
      <c r="L237" s="451">
        <f>(SUMPRODUCT(L$9:L$229,Nutrients!$CY$8:$CY$228)+(IF($A$7=Nutrients!$B$8,Nutrients!$CY$8,Nutrients!$CY$9)*L$7)+(((IF($A$8=Nutrients!$B$79,Nutrients!$CY$79,(IF($A$8=Nutrients!$B$77,Nutrients!$CY$77,Nutrients!$CY$78)))))*L$8))/2000/L$236*100</f>
        <v>59.584248318013991</v>
      </c>
      <c r="M237" s="451">
        <f>(SUMPRODUCT(M$9:M$229,Nutrients!$CY$8:$CY$228)+(IF($A$7=Nutrients!$B$8,Nutrients!$CY$8,Nutrients!$CY$9)*M$7)+(((IF($A$8=Nutrients!$B$79,Nutrients!$CY$79,(IF($A$8=Nutrients!$B$77,Nutrients!$CY$77,Nutrients!$CY$78)))))*M$8))/2000/M$236*100</f>
        <v>58.800434519910652</v>
      </c>
      <c r="N237" s="451">
        <f>(SUMPRODUCT(N$9:N$229,Nutrients!$CY$8:$CY$228)+(IF($A$7=Nutrients!$B$8,Nutrients!$CY$8,Nutrients!$CY$9)*N$7)+(((IF($A$8=Nutrients!$B$79,Nutrients!$CY$79,(IF($A$8=Nutrients!$B$77,Nutrients!$CY$77,Nutrients!$CY$78)))))*N$8))/2000/N$236*100</f>
        <v>57.980356352367814</v>
      </c>
      <c r="O237" s="472"/>
      <c r="P237" s="451">
        <f>(SUMPRODUCT(P$9:P$229,Nutrients!$CY$8:$CY$228)+(IF($A$7=Nutrients!$B$8,Nutrients!$CY$8,Nutrients!$CY$9)*P$7)+(((IF($A$8=Nutrients!$B$79,Nutrients!$CY$79,(IF($A$8=Nutrients!$B$77,Nutrients!$CY$77,Nutrients!$CY$78)))))*P$8))/2000/P$236*100</f>
        <v>56.728782868309025</v>
      </c>
      <c r="Q237" s="451">
        <f>(SUMPRODUCT(Q$9:Q$229,Nutrients!$CY$8:$CY$228)+(IF($A$7=Nutrients!$B$8,Nutrients!$CY$8,Nutrients!$CY$9)*Q$7)+(((IF($A$8=Nutrients!$B$79,Nutrients!$CY$79,(IF($A$8=Nutrients!$B$77,Nutrients!$CY$77,Nutrients!$CY$78)))))*Q$8))/2000/Q$236*100</f>
        <v>57.807579487615392</v>
      </c>
      <c r="R237" s="451">
        <f>(SUMPRODUCT(R$9:R$229,Nutrients!$CY$8:$CY$228)+(IF($A$7=Nutrients!$B$8,Nutrients!$CY$8,Nutrients!$CY$9)*R$7)+(((IF($A$8=Nutrients!$B$79,Nutrients!$CY$79,(IF($A$8=Nutrients!$B$77,Nutrients!$CY$77,Nutrients!$CY$78)))))*R$8))/2000/R$236*100</f>
        <v>59.366068230036483</v>
      </c>
      <c r="S237" s="451">
        <f>(SUMPRODUCT(S$9:S$229,Nutrients!$CY$8:$CY$228)+(IF($A$7=Nutrients!$B$8,Nutrients!$CY$8,Nutrients!$CY$9)*S$7)+(((IF($A$8=Nutrients!$B$79,Nutrients!$CY$79,(IF($A$8=Nutrients!$B$77,Nutrients!$CY$77,Nutrients!$CY$78)))))*S$8))/2000/S$236*100</f>
        <v>59.858377512435098</v>
      </c>
      <c r="T237" s="451">
        <f>(SUMPRODUCT(T$9:T$229,Nutrients!$CY$8:$CY$228)+(IF($A$7=Nutrients!$B$8,Nutrients!$CY$8,Nutrients!$CY$9)*T$7)+(((IF($A$8=Nutrients!$B$79,Nutrients!$CY$79,(IF($A$8=Nutrients!$B$77,Nutrients!$CY$77,Nutrients!$CY$78)))))*T$8))/2000/T$236*100</f>
        <v>59.100029214145252</v>
      </c>
      <c r="U237" s="451">
        <f>(SUMPRODUCT(U$9:U$229,Nutrients!$CY$8:$CY$228)+(IF($A$7=Nutrients!$B$8,Nutrients!$CY$8,Nutrients!$CY$9)*U$7)+(((IF($A$8=Nutrients!$B$79,Nutrients!$CY$79,(IF($A$8=Nutrients!$B$77,Nutrients!$CY$77,Nutrients!$CY$78)))))*U$8))/2000/U$236*100</f>
        <v>57.980356352367814</v>
      </c>
      <c r="V237" s="9"/>
      <c r="W237" s="451">
        <f>(SUMPRODUCT(W$9:W$229,Nutrients!$CY$8:$CY$228)+(IF($A$7=Nutrients!$B$8,Nutrients!$CY$8,Nutrients!$CY$9)*W$7)+(((IF($A$8=Nutrients!$B$79,Nutrients!$CY$79,(IF($A$8=Nutrients!$B$77,Nutrients!$CY$77,Nutrients!$CY$78)))))*W$8))/2000/W$236*100</f>
        <v>56.920602606012039</v>
      </c>
      <c r="X237" s="451">
        <f>(SUMPRODUCT(X$9:X$229,Nutrients!$CY$8:$CY$228)+(IF($A$7=Nutrients!$B$8,Nutrients!$CY$8,Nutrients!$CY$9)*X$7)+(((IF($A$8=Nutrients!$B$79,Nutrients!$CY$79,(IF($A$8=Nutrients!$B$77,Nutrients!$CY$77,Nutrients!$CY$78)))))*X$8))/2000/X$236*100</f>
        <v>58.023903705241949</v>
      </c>
      <c r="Y237" s="451">
        <f>(SUMPRODUCT(Y$9:Y$229,Nutrients!$CY$8:$CY$228)+(IF($A$7=Nutrients!$B$8,Nutrients!$CY$8,Nutrients!$CY$9)*Y$7)+(((IF($A$8=Nutrients!$B$79,Nutrients!$CY$79,(IF($A$8=Nutrients!$B$77,Nutrients!$CY$77,Nutrients!$CY$78)))))*Y$8))/2000/Y$236*100</f>
        <v>59.610940446344607</v>
      </c>
      <c r="Z237" s="451">
        <f>(SUMPRODUCT(Z$9:Z$229,Nutrients!$CY$8:$CY$228)+(IF($A$7=Nutrients!$B$8,Nutrients!$CY$8,Nutrients!$CY$9)*Z$7)+(((IF($A$8=Nutrients!$B$79,Nutrients!$CY$79,(IF($A$8=Nutrients!$B$77,Nutrients!$CY$77,Nutrients!$CY$78)))))*Z$8))/2000/Z$236*100</f>
        <v>60.132252631680281</v>
      </c>
      <c r="AA237" s="451">
        <f>(SUMPRODUCT(AA$9:AA$229,Nutrients!$CY$8:$CY$228)+(IF($A$7=Nutrients!$B$8,Nutrients!$CY$8,Nutrients!$CY$9)*AA$7)+(((IF($A$8=Nutrients!$B$79,Nutrients!$CY$79,(IF($A$8=Nutrients!$B$77,Nutrients!$CY$77,Nutrients!$CY$78)))))*AA$8))/2000/AA$236*100</f>
        <v>59.398020538505577</v>
      </c>
      <c r="AB237" s="451">
        <f>(SUMPRODUCT(AB$9:AB$229,Nutrients!$CY$8:$CY$228)+(IF($A$7=Nutrients!$B$8,Nutrients!$CY$8,Nutrients!$CY$9)*AB$7)+(((IF($A$8=Nutrients!$B$79,Nutrients!$CY$79,(IF($A$8=Nutrients!$B$77,Nutrients!$CY$77,Nutrients!$CY$78)))))*AB$8))/2000/AB$236*100</f>
        <v>57.980356352367814</v>
      </c>
      <c r="AC237" s="9"/>
      <c r="AD237" s="451">
        <f>(SUMPRODUCT(AD$9:AD$229,Nutrients!$CY$8:$CY$228)+(IF($A$7=Nutrients!$B$8,Nutrients!$CY$8,Nutrients!$CY$9)*AD$7)+(((IF($A$8=Nutrients!$B$79,Nutrients!$CY$79,(IF($A$8=Nutrients!$B$77,Nutrients!$CY$77,Nutrients!$CY$78)))))*AD$8))/2000/AD$236*100</f>
        <v>57.111896726054802</v>
      </c>
      <c r="AE237" s="451">
        <f>(SUMPRODUCT(AE$9:AE$229,Nutrients!$CY$8:$CY$228)+(IF($A$7=Nutrients!$B$8,Nutrients!$CY$8,Nutrients!$CY$9)*AE$7)+(((IF($A$8=Nutrients!$B$79,Nutrients!$CY$79,(IF($A$8=Nutrients!$B$77,Nutrients!$CY$77,Nutrients!$CY$78)))))*AE$8))/2000/AE$236*100</f>
        <v>58.240506100778923</v>
      </c>
      <c r="AF237" s="451">
        <f>(SUMPRODUCT(AF$9:AF$229,Nutrients!$CY$8:$CY$228)+(IF($A$7=Nutrients!$B$8,Nutrients!$CY$8,Nutrients!$CY$9)*AF$7)+(((IF($A$8=Nutrients!$B$79,Nutrients!$CY$79,(IF($A$8=Nutrients!$B$77,Nutrients!$CY$77,Nutrients!$CY$78)))))*AF$8))/2000/AF$236*100</f>
        <v>59.855025414635818</v>
      </c>
      <c r="AG237" s="451">
        <f>(SUMPRODUCT(AG$9:AG$229,Nutrients!$CY$8:$CY$228)+(IF($A$7=Nutrients!$B$8,Nutrients!$CY$8,Nutrients!$CY$9)*AG$7)+(((IF($A$8=Nutrients!$B$79,Nutrients!$CY$79,(IF($A$8=Nutrients!$B$77,Nutrients!$CY$77,Nutrients!$CY$78)))))*AG$8))/2000/AG$236*100</f>
        <v>60.405680327395395</v>
      </c>
      <c r="AH237" s="451">
        <f>(SUMPRODUCT(AH$9:AH$229,Nutrients!$CY$8:$CY$228)+(IF($A$7=Nutrients!$B$8,Nutrients!$CY$8,Nutrients!$CY$9)*AH$7)+(((IF($A$8=Nutrients!$B$79,Nutrients!$CY$79,(IF($A$8=Nutrients!$B$77,Nutrients!$CY$77,Nutrients!$CY$78)))))*AH$8))/2000/AH$236*100</f>
        <v>59.679654615177483</v>
      </c>
      <c r="AI237" s="451">
        <f>(SUMPRODUCT(AI$9:AI$229,Nutrients!$CY$8:$CY$228)+(IF($A$7=Nutrients!$B$8,Nutrients!$CY$8,Nutrients!$CY$9)*AI$7)+(((IF($A$8=Nutrients!$B$79,Nutrients!$CY$79,(IF($A$8=Nutrients!$B$77,Nutrients!$CY$77,Nutrients!$CY$78)))))*AI$8))/2000/AI$236*100</f>
        <v>57.980356352367814</v>
      </c>
      <c r="AJ237" s="9"/>
      <c r="AK237" s="451">
        <f>(SUMPRODUCT(AK$9:AK$229,Nutrients!$CY$8:$CY$228)+(IF($A$7=Nutrients!$B$8,Nutrients!$CY$8,Nutrients!$CY$9)*AK$7)+(((IF($A$8=Nutrients!$B$79,Nutrients!$CY$79,(IF($A$8=Nutrients!$B$77,Nutrients!$CY$77,Nutrients!$CY$78)))))*AK$8))/2000/AK$236*100</f>
        <v>57.30281498454174</v>
      </c>
      <c r="AL237" s="451">
        <f>(SUMPRODUCT(AL$9:AL$229,Nutrients!$CY$8:$CY$228)+(IF($A$7=Nutrients!$B$8,Nutrients!$CY$8,Nutrients!$CY$9)*AL$7)+(((IF($A$8=Nutrients!$B$79,Nutrients!$CY$79,(IF($A$8=Nutrients!$B$77,Nutrients!$CY$77,Nutrients!$CY$78)))))*AL$8))/2000/AL$236*100</f>
        <v>58.456236035093625</v>
      </c>
      <c r="AM237" s="451">
        <f>(SUMPRODUCT(AM$9:AM$229,Nutrients!$CY$8:$CY$228)+(IF($A$7=Nutrients!$B$8,Nutrients!$CY$8,Nutrients!$CY$9)*AM$7)+(((IF($A$8=Nutrients!$B$79,Nutrients!$CY$79,(IF($A$8=Nutrients!$B$77,Nutrients!$CY$77,Nutrients!$CY$78)))))*AM$8))/2000/AM$236*100</f>
        <v>60.099432859500403</v>
      </c>
      <c r="AN237" s="451">
        <f>(SUMPRODUCT(AN$9:AN$229,Nutrients!$CY$8:$CY$228)+(IF($A$7=Nutrients!$B$8,Nutrients!$CY$8,Nutrients!$CY$9)*AN$7)+(((IF($A$8=Nutrients!$B$79,Nutrients!$CY$79,(IF($A$8=Nutrients!$B$77,Nutrients!$CY$77,Nutrients!$CY$78)))))*AN$8))/2000/AN$236*100</f>
        <v>60.665883477882751</v>
      </c>
      <c r="AO237" s="451">
        <f>(SUMPRODUCT(AO$9:AO$229,Nutrients!$CY$8:$CY$228)+(IF($A$7=Nutrients!$B$8,Nutrients!$CY$8,Nutrients!$CY$9)*AO$7)+(((IF($A$8=Nutrients!$B$79,Nutrients!$CY$79,(IF($A$8=Nutrients!$B$77,Nutrients!$CY$77,Nutrients!$CY$78)))))*AO$8))/2000/AO$236*100</f>
        <v>59.956813185105595</v>
      </c>
      <c r="AP237" s="451">
        <f>(SUMPRODUCT(AP$9:AP$229,Nutrients!$CY$8:$CY$228)+(IF($A$7=Nutrients!$B$8,Nutrients!$CY$8,Nutrients!$CY$9)*AP$7)+(((IF($A$8=Nutrients!$B$79,Nutrients!$CY$79,(IF($A$8=Nutrients!$B$77,Nutrients!$CY$77,Nutrients!$CY$78)))))*AP$8))/2000/AP$236*100</f>
        <v>57.980356352367814</v>
      </c>
      <c r="AQ237" s="9"/>
      <c r="AR237" s="451">
        <f>(SUMPRODUCT(AR$9:AR$229,Nutrients!$CY$8:$CY$228)+(IF($A$7=Nutrients!$B$8,Nutrients!$CY$8,Nutrients!$CY$9)*AR$7)+(((IF($A$8=Nutrients!$B$79,Nutrients!$CY$79,(IF($A$8=Nutrients!$B$77,Nutrients!$CY$77,Nutrients!$CY$78)))))*AR$8))/2000/AR$236*100</f>
        <v>57.49303641314242</v>
      </c>
      <c r="AS237" s="451">
        <f>(SUMPRODUCT(AS$9:AS$229,Nutrients!$CY$8:$CY$228)+(IF($A$7=Nutrients!$B$8,Nutrients!$CY$8,Nutrients!$CY$9)*AS$7)+(((IF($A$8=Nutrients!$B$79,Nutrients!$CY$79,(IF($A$8=Nutrients!$B$77,Nutrients!$CY$77,Nutrients!$CY$78)))))*AS$8))/2000/AS$236*100</f>
        <v>58.671847810017866</v>
      </c>
      <c r="AT237" s="451">
        <f>(SUMPRODUCT(AT$9:AT$229,Nutrients!$CY$8:$CY$228)+(IF($A$7=Nutrients!$B$8,Nutrients!$CY$8,Nutrients!$CY$9)*AT$7)+(((IF($A$8=Nutrients!$B$79,Nutrients!$CY$79,(IF($A$8=Nutrients!$B$77,Nutrients!$CY$77,Nutrients!$CY$78)))))*AT$8))/2000/AT$236*100</f>
        <v>60.341559763619379</v>
      </c>
      <c r="AU237" s="451">
        <f>(SUMPRODUCT(AU$9:AU$229,Nutrients!$CY$8:$CY$228)+(IF($A$7=Nutrients!$B$8,Nutrients!$CY$8,Nutrients!$CY$9)*AU$7)+(((IF($A$8=Nutrients!$B$79,Nutrients!$CY$79,(IF($A$8=Nutrients!$B$77,Nutrients!$CY$77,Nutrients!$CY$78)))))*AU$8))/2000/AU$236*100</f>
        <v>60.919801535801795</v>
      </c>
      <c r="AV237" s="451">
        <f>(SUMPRODUCT(AV$9:AV$229,Nutrients!$CY$8:$CY$228)+(IF($A$7=Nutrients!$B$8,Nutrients!$CY$8,Nutrients!$CY$9)*AV$7)+(((IF($A$8=Nutrients!$B$79,Nutrients!$CY$79,(IF($A$8=Nutrients!$B$77,Nutrients!$CY$77,Nutrients!$CY$78)))))*AV$8))/2000/AV$236*100</f>
        <v>60.233968612362347</v>
      </c>
      <c r="AW237" s="451">
        <f>(SUMPRODUCT(AW$9:AW$229,Nutrients!$CY$8:$CY$228)+(IF($A$7=Nutrients!$B$8,Nutrients!$CY$8,Nutrients!$CY$9)*AW$7)+(((IF($A$8=Nutrients!$B$79,Nutrients!$CY$79,(IF($A$8=Nutrients!$B$77,Nutrients!$CY$77,Nutrients!$CY$78)))))*AW$8))/2000/AW$236*100</f>
        <v>57.980356352367814</v>
      </c>
      <c r="AX237" s="13"/>
    </row>
    <row r="238" spans="1:50" x14ac:dyDescent="0.25">
      <c r="A238" s="39" t="s">
        <v>383</v>
      </c>
      <c r="B238" s="49">
        <f>(SUMPRODUCT(B$9:B$229,Nutrients!$CZ$8:$CZ$228)+(IF($A$7=Nutrients!$B$8,Nutrients!$CZ$8,Nutrients!$CZ$9)*B$7)+(((IF($A$8=Nutrients!$B$79,Nutrients!$CZ$79,(IF($A$8=Nutrients!$B$77,Nutrients!$CZ$77,Nutrients!$CZ$78)))))*B$8))/2000/B$236*100</f>
        <v>120.89105591211504</v>
      </c>
      <c r="C238" s="49">
        <f>(SUMPRODUCT(C$9:C$229,Nutrients!$CZ$8:$CZ$228)+(IF($A$7=Nutrients!$B$8,Nutrients!$CZ$8,Nutrients!$CZ$9)*C$7)+(((IF($A$8=Nutrients!$B$79,Nutrients!$CZ$79,(IF($A$8=Nutrients!$B$77,Nutrients!$CZ$77,Nutrients!$CZ$78)))))*C$8))/2000/C$236*100</f>
        <v>128.00798727272854</v>
      </c>
      <c r="D238" s="49">
        <f>(SUMPRODUCT(D$9:D$229,Nutrients!$CZ$8:$CZ$228)+(IF($A$7=Nutrients!$B$8,Nutrients!$CZ$8,Nutrients!$CZ$9)*D$7)+(((IF($A$8=Nutrients!$B$79,Nutrients!$CZ$79,(IF($A$8=Nutrients!$B$77,Nutrients!$CZ$77,Nutrients!$CZ$78)))))*D$8))/2000/D$236*100</f>
        <v>136.56000538997691</v>
      </c>
      <c r="E238" s="49">
        <f>(SUMPRODUCT(E$9:E$229,Nutrients!$CZ$8:$CZ$228)+(IF($A$7=Nutrients!$B$8,Nutrients!$CZ$8,Nutrients!$CZ$9)*E$7)+(((IF($A$8=Nutrients!$B$79,Nutrients!$CZ$79,(IF($A$8=Nutrients!$B$77,Nutrients!$CZ$77,Nutrients!$CZ$78)))))*E$8))/2000/E$236*100</f>
        <v>143.9104596541508</v>
      </c>
      <c r="F238" s="49">
        <f>(SUMPRODUCT(F$9:F$229,Nutrients!$CZ$8:$CZ$228)+(IF($A$7=Nutrients!$B$8,Nutrients!$CZ$8,Nutrients!$CZ$9)*F$7)+(((IF($A$8=Nutrients!$B$79,Nutrients!$CZ$79,(IF($A$8=Nutrients!$B$77,Nutrients!$CZ$77,Nutrients!$CZ$78)))))*F$8))/2000/F$236*100</f>
        <v>148.44781930158939</v>
      </c>
      <c r="G238" s="49">
        <f>(SUMPRODUCT(G$9:G$229,Nutrients!$CZ$8:$CZ$228)+(IF($A$7=Nutrients!$B$8,Nutrients!$CZ$8,Nutrients!$CZ$9)*G$7)+(((IF($A$8=Nutrients!$B$79,Nutrients!$CZ$79,(IF($A$8=Nutrients!$B$77,Nutrients!$CZ$77,Nutrients!$CZ$78)))))*G$8))/2000/G$236*100</f>
        <v>151.29313192040226</v>
      </c>
      <c r="H238" s="224"/>
      <c r="I238" s="451">
        <f>(SUMPRODUCT(I$9:I$229,Nutrients!$CZ$8:$CZ$228)+(IF($A$7=Nutrients!$B$8,Nutrients!$CZ$8,Nutrients!$CZ$9)*I$7)+(((IF($A$8=Nutrients!$B$79,Nutrients!$CZ$79,(IF($A$8=Nutrients!$B$77,Nutrients!$CZ$77,Nutrients!$CZ$78)))))*I$8))/2000/I$236*100</f>
        <v>126.15334641924505</v>
      </c>
      <c r="J238" s="451">
        <f>(SUMPRODUCT(J$9:J$229,Nutrients!$CZ$8:$CZ$228)+(IF($A$7=Nutrients!$B$8,Nutrients!$CZ$8,Nutrients!$CZ$9)*J$7)+(((IF($A$8=Nutrients!$B$79,Nutrients!$CZ$79,(IF($A$8=Nutrients!$B$77,Nutrients!$CZ$77,Nutrients!$CZ$78)))))*J$8))/2000/J$236*100</f>
        <v>133.94986688219049</v>
      </c>
      <c r="K238" s="451">
        <f>(SUMPRODUCT(K$9:K$229,Nutrients!$CZ$8:$CZ$228)+(IF($A$7=Nutrients!$B$8,Nutrients!$CZ$8,Nutrients!$CZ$9)*K$7)+(((IF($A$8=Nutrients!$B$79,Nutrients!$CZ$79,(IF($A$8=Nutrients!$B$77,Nutrients!$CZ$77,Nutrients!$CZ$78)))))*K$8))/2000/K$236*100</f>
        <v>143.28835055252139</v>
      </c>
      <c r="L238" s="451">
        <f>(SUMPRODUCT(L$9:L$229,Nutrients!$CZ$8:$CZ$228)+(IF($A$7=Nutrients!$B$8,Nutrients!$CZ$8,Nutrients!$CZ$9)*L$7)+(((IF($A$8=Nutrients!$B$79,Nutrients!$CZ$79,(IF($A$8=Nutrients!$B$77,Nutrients!$CZ$77,Nutrients!$CZ$78)))))*L$8))/2000/L$236*100</f>
        <v>151.45490050644713</v>
      </c>
      <c r="M238" s="451">
        <f>(SUMPRODUCT(M$9:M$229,Nutrients!$CZ$8:$CZ$228)+(IF($A$7=Nutrients!$B$8,Nutrients!$CZ$8,Nutrients!$CZ$9)*M$7)+(((IF($A$8=Nutrients!$B$79,Nutrients!$CZ$79,(IF($A$8=Nutrients!$B$77,Nutrients!$CZ$77,Nutrients!$CZ$78)))))*M$8))/2000/M$236*100</f>
        <v>156.68351261793944</v>
      </c>
      <c r="N238" s="451">
        <f>(SUMPRODUCT(N$9:N$229,Nutrients!$CZ$8:$CZ$228)+(IF($A$7=Nutrients!$B$8,Nutrients!$CZ$8,Nutrients!$CZ$9)*N$7)+(((IF($A$8=Nutrients!$B$79,Nutrients!$CZ$79,(IF($A$8=Nutrients!$B$77,Nutrients!$CZ$77,Nutrients!$CZ$78)))))*N$8))/2000/N$236*100</f>
        <v>151.29313192040226</v>
      </c>
      <c r="O238" s="472"/>
      <c r="P238" s="451">
        <f>(SUMPRODUCT(P$9:P$229,Nutrients!$CZ$8:$CZ$228)+(IF($A$7=Nutrients!$B$8,Nutrients!$CZ$8,Nutrients!$CZ$9)*P$7)+(((IF($A$8=Nutrients!$B$79,Nutrients!$CZ$79,(IF($A$8=Nutrients!$B$77,Nutrients!$CZ$77,Nutrients!$CZ$78)))))*P$8))/2000/P$236*100</f>
        <v>131.41007653750111</v>
      </c>
      <c r="Q238" s="451">
        <f>(SUMPRODUCT(Q$9:Q$229,Nutrients!$CZ$8:$CZ$228)+(IF($A$7=Nutrients!$B$8,Nutrients!$CZ$8,Nutrients!$CZ$9)*Q$7)+(((IF($A$8=Nutrients!$B$79,Nutrients!$CZ$79,(IF($A$8=Nutrients!$B$77,Nutrients!$CZ$77,Nutrients!$CZ$78)))))*Q$8))/2000/Q$236*100</f>
        <v>139.89278671211153</v>
      </c>
      <c r="R238" s="451">
        <f>(SUMPRODUCT(R$9:R$229,Nutrients!$CZ$8:$CZ$228)+(IF($A$7=Nutrients!$B$8,Nutrients!$CZ$8,Nutrients!$CZ$9)*R$7)+(((IF($A$8=Nutrients!$B$79,Nutrients!$CZ$79,(IF($A$8=Nutrients!$B$77,Nutrients!$CZ$77,Nutrients!$CZ$78)))))*R$8))/2000/R$236*100</f>
        <v>150.00928900752982</v>
      </c>
      <c r="S238" s="451">
        <f>(SUMPRODUCT(S$9:S$229,Nutrients!$CZ$8:$CZ$228)+(IF($A$7=Nutrients!$B$8,Nutrients!$CZ$8,Nutrients!$CZ$9)*S$7)+(((IF($A$8=Nutrients!$B$79,Nutrients!$CZ$79,(IF($A$8=Nutrients!$B$77,Nutrients!$CZ$77,Nutrients!$CZ$78)))))*S$8))/2000/S$236*100</f>
        <v>158.99731460497054</v>
      </c>
      <c r="T238" s="451">
        <f>(SUMPRODUCT(T$9:T$229,Nutrients!$CZ$8:$CZ$228)+(IF($A$7=Nutrients!$B$8,Nutrients!$CZ$8,Nutrients!$CZ$9)*T$7)+(((IF($A$8=Nutrients!$B$79,Nutrients!$CZ$79,(IF($A$8=Nutrients!$B$77,Nutrients!$CZ$77,Nutrients!$CZ$78)))))*T$8))/2000/T$236*100</f>
        <v>164.91924194332404</v>
      </c>
      <c r="U238" s="451">
        <f>(SUMPRODUCT(U$9:U$229,Nutrients!$CZ$8:$CZ$228)+(IF($A$7=Nutrients!$B$8,Nutrients!$CZ$8,Nutrients!$CZ$9)*U$7)+(((IF($A$8=Nutrients!$B$79,Nutrients!$CZ$79,(IF($A$8=Nutrients!$B$77,Nutrients!$CZ$77,Nutrients!$CZ$78)))))*U$8))/2000/U$236*100</f>
        <v>151.29313192040226</v>
      </c>
      <c r="V238" s="9"/>
      <c r="W238" s="451">
        <f>(SUMPRODUCT(W$9:W$229,Nutrients!$CZ$8:$CZ$228)+(IF($A$7=Nutrients!$B$8,Nutrients!$CZ$8,Nutrients!$CZ$9)*W$7)+(((IF($A$8=Nutrients!$B$79,Nutrients!$CZ$79,(IF($A$8=Nutrients!$B$77,Nutrients!$CZ$77,Nutrients!$CZ$78)))))*W$8))/2000/W$236*100</f>
        <v>136.66875190450719</v>
      </c>
      <c r="X238" s="451">
        <f>(SUMPRODUCT(X$9:X$229,Nutrients!$CZ$8:$CZ$228)+(IF($A$7=Nutrients!$B$8,Nutrients!$CZ$8,Nutrients!$CZ$9)*X$7)+(((IF($A$8=Nutrients!$B$79,Nutrients!$CZ$79,(IF($A$8=Nutrients!$B$77,Nutrients!$CZ$77,Nutrients!$CZ$78)))))*X$8))/2000/X$236*100</f>
        <v>145.83639180190204</v>
      </c>
      <c r="Y238" s="451">
        <f>(SUMPRODUCT(Y$9:Y$229,Nutrients!$CZ$8:$CZ$228)+(IF($A$7=Nutrients!$B$8,Nutrients!$CZ$8,Nutrients!$CZ$9)*Y$7)+(((IF($A$8=Nutrients!$B$79,Nutrients!$CZ$79,(IF($A$8=Nutrients!$B$77,Nutrients!$CZ$77,Nutrients!$CZ$78)))))*Y$8))/2000/Y$236*100</f>
        <v>156.73466530581547</v>
      </c>
      <c r="Z238" s="451">
        <f>(SUMPRODUCT(Z$9:Z$229,Nutrients!$CZ$8:$CZ$228)+(IF($A$7=Nutrients!$B$8,Nutrients!$CZ$8,Nutrients!$CZ$9)*Z$7)+(((IF($A$8=Nutrients!$B$79,Nutrients!$CZ$79,(IF($A$8=Nutrients!$B$77,Nutrients!$CZ$77,Nutrients!$CZ$78)))))*Z$8))/2000/Z$236*100</f>
        <v>166.53810778568766</v>
      </c>
      <c r="AA238" s="451">
        <f>(SUMPRODUCT(AA$9:AA$229,Nutrients!$CZ$8:$CZ$228)+(IF($A$7=Nutrients!$B$8,Nutrients!$CZ$8,Nutrients!$CZ$9)*AA$7)+(((IF($A$8=Nutrients!$B$79,Nutrients!$CZ$79,(IF($A$8=Nutrients!$B$77,Nutrients!$CZ$77,Nutrients!$CZ$78)))))*AA$8))/2000/AA$236*100</f>
        <v>173.14474228522045</v>
      </c>
      <c r="AB238" s="451">
        <f>(SUMPRODUCT(AB$9:AB$229,Nutrients!$CZ$8:$CZ$228)+(IF($A$7=Nutrients!$B$8,Nutrients!$CZ$8,Nutrients!$CZ$9)*AB$7)+(((IF($A$8=Nutrients!$B$79,Nutrients!$CZ$79,(IF($A$8=Nutrients!$B$77,Nutrients!$CZ$77,Nutrients!$CZ$78)))))*AB$8))/2000/AB$236*100</f>
        <v>151.29313192040226</v>
      </c>
      <c r="AC238" s="9"/>
      <c r="AD238" s="451">
        <f>(SUMPRODUCT(AD$9:AD$229,Nutrients!$CZ$8:$CZ$228)+(IF($A$7=Nutrients!$B$8,Nutrients!$CZ$8,Nutrients!$CZ$9)*AD$7)+(((IF($A$8=Nutrients!$B$79,Nutrients!$CZ$79,(IF($A$8=Nutrients!$B$77,Nutrients!$CZ$77,Nutrients!$CZ$78)))))*AD$8))/2000/AD$236*100</f>
        <v>141.92407400009793</v>
      </c>
      <c r="AE238" s="451">
        <f>(SUMPRODUCT(AE$9:AE$229,Nutrients!$CZ$8:$CZ$228)+(IF($A$7=Nutrients!$B$8,Nutrients!$CZ$8,Nutrients!$CZ$9)*AE$7)+(((IF($A$8=Nutrients!$B$79,Nutrients!$CZ$79,(IF($A$8=Nutrients!$B$77,Nutrients!$CZ$77,Nutrients!$CZ$78)))))*AE$8))/2000/AE$236*100</f>
        <v>151.78177157718335</v>
      </c>
      <c r="AF238" s="451">
        <f>(SUMPRODUCT(AF$9:AF$229,Nutrients!$CZ$8:$CZ$228)+(IF($A$7=Nutrients!$B$8,Nutrients!$CZ$8,Nutrients!$CZ$9)*AF$7)+(((IF($A$8=Nutrients!$B$79,Nutrients!$CZ$79,(IF($A$8=Nutrients!$B$77,Nutrients!$CZ$77,Nutrients!$CZ$78)))))*AF$8))/2000/AF$236*100</f>
        <v>163.4550192152594</v>
      </c>
      <c r="AG238" s="451">
        <f>(SUMPRODUCT(AG$9:AG$229,Nutrients!$CZ$8:$CZ$228)+(IF($A$7=Nutrients!$B$8,Nutrients!$CZ$8,Nutrients!$CZ$9)*AG$7)+(((IF($A$8=Nutrients!$B$79,Nutrients!$CZ$79,(IF($A$8=Nutrients!$B$77,Nutrients!$CZ$77,Nutrients!$CZ$78)))))*AG$8))/2000/AG$236*100</f>
        <v>174.07604654836027</v>
      </c>
      <c r="AH238" s="451">
        <f>(SUMPRODUCT(AH$9:AH$229,Nutrients!$CZ$8:$CZ$228)+(IF($A$7=Nutrients!$B$8,Nutrients!$CZ$8,Nutrients!$CZ$9)*AH$7)+(((IF($A$8=Nutrients!$B$79,Nutrients!$CZ$79,(IF($A$8=Nutrients!$B$77,Nutrients!$CZ$77,Nutrients!$CZ$78)))))*AH$8))/2000/AH$236*100</f>
        <v>181.26588865414911</v>
      </c>
      <c r="AI238" s="451">
        <f>(SUMPRODUCT(AI$9:AI$229,Nutrients!$CZ$8:$CZ$228)+(IF($A$7=Nutrients!$B$8,Nutrients!$CZ$8,Nutrients!$CZ$9)*AI$7)+(((IF($A$8=Nutrients!$B$79,Nutrients!$CZ$79,(IF($A$8=Nutrients!$B$77,Nutrients!$CZ$77,Nutrients!$CZ$78)))))*AI$8))/2000/AI$236*100</f>
        <v>151.29313192040226</v>
      </c>
      <c r="AJ238" s="9"/>
      <c r="AK238" s="451">
        <f>(SUMPRODUCT(AK$9:AK$229,Nutrients!$CZ$8:$CZ$228)+(IF($A$7=Nutrients!$B$8,Nutrients!$CZ$8,Nutrients!$CZ$9)*AK$7)+(((IF($A$8=Nutrients!$B$79,Nutrients!$CZ$79,(IF($A$8=Nutrients!$B$77,Nutrients!$CZ$77,Nutrients!$CZ$78)))))*AK$8))/2000/AK$236*100</f>
        <v>147.1769982199956</v>
      </c>
      <c r="AL238" s="451">
        <f>(SUMPRODUCT(AL$9:AL$229,Nutrients!$CZ$8:$CZ$228)+(IF($A$7=Nutrients!$B$8,Nutrients!$CZ$8,Nutrients!$CZ$9)*AL$7)+(((IF($A$8=Nutrients!$B$79,Nutrients!$CZ$79,(IF($A$8=Nutrients!$B$77,Nutrients!$CZ$77,Nutrients!$CZ$78)))))*AL$8))/2000/AL$236*100</f>
        <v>157.72158533081253</v>
      </c>
      <c r="AM238" s="451">
        <f>(SUMPRODUCT(AM$9:AM$229,Nutrients!$CZ$8:$CZ$228)+(IF($A$7=Nutrients!$B$8,Nutrients!$CZ$8,Nutrients!$CZ$9)*AM$7)+(((IF($A$8=Nutrients!$B$79,Nutrients!$CZ$79,(IF($A$8=Nutrients!$B$77,Nutrients!$CZ$77,Nutrients!$CZ$78)))))*AM$8))/2000/AM$236*100</f>
        <v>170.17743042139909</v>
      </c>
      <c r="AN238" s="451">
        <f>(SUMPRODUCT(AN$9:AN$229,Nutrients!$CZ$8:$CZ$228)+(IF($A$7=Nutrients!$B$8,Nutrients!$CZ$8,Nutrients!$CZ$9)*AN$7)+(((IF($A$8=Nutrients!$B$79,Nutrients!$CZ$79,(IF($A$8=Nutrients!$B$77,Nutrients!$CZ$77,Nutrients!$CZ$78)))))*AN$8))/2000/AN$236*100</f>
        <v>181.52961697098581</v>
      </c>
      <c r="AO238" s="451">
        <f>(SUMPRODUCT(AO$9:AO$229,Nutrients!$CZ$8:$CZ$228)+(IF($A$7=Nutrients!$B$8,Nutrients!$CZ$8,Nutrients!$CZ$9)*AO$7)+(((IF($A$8=Nutrients!$B$79,Nutrients!$CZ$79,(IF($A$8=Nutrients!$B$77,Nutrients!$CZ$77,Nutrients!$CZ$78)))))*AO$8))/2000/AO$236*100</f>
        <v>189.35848273123401</v>
      </c>
      <c r="AP238" s="451">
        <f>(SUMPRODUCT(AP$9:AP$229,Nutrients!$CZ$8:$CZ$228)+(IF($A$7=Nutrients!$B$8,Nutrients!$CZ$8,Nutrients!$CZ$9)*AP$7)+(((IF($A$8=Nutrients!$B$79,Nutrients!$CZ$79,(IF($A$8=Nutrients!$B$77,Nutrients!$CZ$77,Nutrients!$CZ$78)))))*AP$8))/2000/AP$236*100</f>
        <v>151.29313192040226</v>
      </c>
      <c r="AQ238" s="9"/>
      <c r="AR238" s="451">
        <f>(SUMPRODUCT(AR$9:AR$229,Nutrients!$CZ$8:$CZ$228)+(IF($A$7=Nutrients!$B$8,Nutrients!$CZ$8,Nutrients!$CZ$9)*AR$7)+(((IF($A$8=Nutrients!$B$79,Nutrients!$CZ$79,(IF($A$8=Nutrients!$B$77,Nutrients!$CZ$77,Nutrients!$CZ$78)))))*AR$8))/2000/AR$236*100</f>
        <v>152.42547688960877</v>
      </c>
      <c r="AS238" s="451">
        <f>(SUMPRODUCT(AS$9:AS$229,Nutrients!$CZ$8:$CZ$228)+(IF($A$7=Nutrients!$B$8,Nutrients!$CZ$8,Nutrients!$CZ$9)*AS$7)+(((IF($A$8=Nutrients!$B$79,Nutrients!$CZ$79,(IF($A$8=Nutrients!$B$77,Nutrients!$CZ$77,Nutrients!$CZ$78)))))*AS$8))/2000/AS$236*100</f>
        <v>163.66064526557969</v>
      </c>
      <c r="AT238" s="451">
        <f>(SUMPRODUCT(AT$9:AT$229,Nutrients!$CZ$8:$CZ$228)+(IF($A$7=Nutrients!$B$8,Nutrients!$CZ$8,Nutrients!$CZ$9)*AT$7)+(((IF($A$8=Nutrients!$B$79,Nutrients!$CZ$79,(IF($A$8=Nutrients!$B$77,Nutrients!$CZ$77,Nutrients!$CZ$78)))))*AT$8))/2000/AT$236*100</f>
        <v>176.88529251195064</v>
      </c>
      <c r="AU238" s="451">
        <f>(SUMPRODUCT(AU$9:AU$229,Nutrients!$CZ$8:$CZ$228)+(IF($A$7=Nutrients!$B$8,Nutrients!$CZ$8,Nutrients!$CZ$9)*AU$7)+(((IF($A$8=Nutrients!$B$79,Nutrients!$CZ$79,(IF($A$8=Nutrients!$B$77,Nutrients!$CZ$77,Nutrients!$CZ$78)))))*AU$8))/2000/AU$236*100</f>
        <v>188.94309052692159</v>
      </c>
      <c r="AV238" s="451">
        <f>(SUMPRODUCT(AV$9:AV$229,Nutrients!$CZ$8:$CZ$228)+(IF($A$7=Nutrients!$B$8,Nutrients!$CZ$8,Nutrients!$CZ$9)*AV$7)+(((IF($A$8=Nutrients!$B$79,Nutrients!$CZ$79,(IF($A$8=Nutrients!$B$77,Nutrients!$CZ$77,Nutrients!$CZ$78)))))*AV$8))/2000/AV$236*100</f>
        <v>197.45105675908766</v>
      </c>
      <c r="AW238" s="451">
        <f>(SUMPRODUCT(AW$9:AW$229,Nutrients!$CZ$8:$CZ$228)+(IF($A$7=Nutrients!$B$8,Nutrients!$CZ$8,Nutrients!$CZ$9)*AW$7)+(((IF($A$8=Nutrients!$B$79,Nutrients!$CZ$79,(IF($A$8=Nutrients!$B$77,Nutrients!$CZ$77,Nutrients!$CZ$78)))))*AW$8))/2000/AW$236*100</f>
        <v>151.29313192040226</v>
      </c>
      <c r="AX238" s="13"/>
    </row>
    <row r="239" spans="1:50" x14ac:dyDescent="0.25">
      <c r="A239" s="38" t="s">
        <v>384</v>
      </c>
      <c r="B239" s="49">
        <f>(SUMPRODUCT(B$9:B$229,Nutrients!$DB$8:$DB$228)+(IF($A$7=Nutrients!$B$8,Nutrients!$DB$8,Nutrients!$DB$9)*B$7)+(((IF($A$8=Nutrients!$B$79,Nutrients!$DB$79,(IF($A$8=Nutrients!$B$77,Nutrients!$DB$77,Nutrients!$DB$78)))))*B$8))/2000/B$236*100</f>
        <v>33.81111138845354</v>
      </c>
      <c r="C239" s="49">
        <f>(SUMPRODUCT(C$9:C$229,Nutrients!$DB$8:$DB$228)+(IF($A$7=Nutrients!$B$8,Nutrients!$DB$8,Nutrients!$DB$9)*C$7)+(((IF($A$8=Nutrients!$B$79,Nutrients!$DB$79,(IF($A$8=Nutrients!$B$77,Nutrients!$DB$77,Nutrients!$DB$78)))))*C$8))/2000/C$236*100</f>
        <v>32.524236458699015</v>
      </c>
      <c r="D239" s="49">
        <f>(SUMPRODUCT(D$9:D$229,Nutrients!$DB$8:$DB$228)+(IF($A$7=Nutrients!$B$8,Nutrients!$DB$8,Nutrients!$DB$9)*D$7)+(((IF($A$8=Nutrients!$B$79,Nutrients!$DB$79,(IF($A$8=Nutrients!$B$77,Nutrients!$DB$77,Nutrients!$DB$78)))))*D$8))/2000/D$236*100</f>
        <v>30.974376755587524</v>
      </c>
      <c r="E239" s="49">
        <f>(SUMPRODUCT(E$9:E$229,Nutrients!$DB$8:$DB$228)+(IF($A$7=Nutrients!$B$8,Nutrients!$DB$8,Nutrients!$DB$9)*E$7)+(((IF($A$8=Nutrients!$B$79,Nutrients!$DB$79,(IF($A$8=Nutrients!$B$77,Nutrients!$DB$77,Nutrients!$DB$78)))))*E$8))/2000/E$236*100</f>
        <v>30.712595168445802</v>
      </c>
      <c r="F239" s="49">
        <f>(SUMPRODUCT(F$9:F$229,Nutrients!$DB$8:$DB$228)+(IF($A$7=Nutrients!$B$8,Nutrients!$DB$8,Nutrients!$DB$9)*F$7)+(((IF($A$8=Nutrients!$B$79,Nutrients!$DB$79,(IF($A$8=Nutrients!$B$77,Nutrients!$DB$77,Nutrients!$DB$78)))))*F$8))/2000/F$236*100</f>
        <v>30.00631713197205</v>
      </c>
      <c r="G239" s="49">
        <f>(SUMPRODUCT(G$9:G$229,Nutrients!$DB$8:$DB$228)+(IF($A$7=Nutrients!$B$8,Nutrients!$DB$8,Nutrients!$DB$9)*G$7)+(((IF($A$8=Nutrients!$B$79,Nutrients!$DB$79,(IF($A$8=Nutrients!$B$77,Nutrients!$DB$77,Nutrients!$DB$78)))))*G$8))/2000/G$236*100</f>
        <v>30.329377095070086</v>
      </c>
      <c r="H239" s="224"/>
      <c r="I239" s="451">
        <f>(SUMPRODUCT(I$9:I$229,Nutrients!$DB$8:$DB$228)+(IF($A$7=Nutrients!$B$8,Nutrients!$DB$8,Nutrients!$DB$9)*I$7)+(((IF($A$8=Nutrients!$B$79,Nutrients!$DB$79,(IF($A$8=Nutrients!$B$77,Nutrients!$DB$77,Nutrients!$DB$78)))))*I$8))/2000/I$236*100</f>
        <v>33.639114383995413</v>
      </c>
      <c r="J239" s="451">
        <f>(SUMPRODUCT(J$9:J$229,Nutrients!$DB$8:$DB$228)+(IF($A$7=Nutrients!$B$8,Nutrients!$DB$8,Nutrients!$DB$9)*J$7)+(((IF($A$8=Nutrients!$B$79,Nutrients!$DB$79,(IF($A$8=Nutrients!$B$77,Nutrients!$DB$77,Nutrients!$DB$78)))))*J$8))/2000/J$236*100</f>
        <v>32.329958648925178</v>
      </c>
      <c r="K239" s="451">
        <f>(SUMPRODUCT(K$9:K$229,Nutrients!$DB$8:$DB$228)+(IF($A$7=Nutrients!$B$8,Nutrients!$DB$8,Nutrients!$DB$9)*K$7)+(((IF($A$8=Nutrients!$B$79,Nutrients!$DB$79,(IF($A$8=Nutrients!$B$77,Nutrients!$DB$77,Nutrients!$DB$78)))))*K$8))/2000/K$236*100</f>
        <v>30.762360048222149</v>
      </c>
      <c r="L239" s="451">
        <f>(SUMPRODUCT(L$9:L$229,Nutrients!$DB$8:$DB$228)+(IF($A$7=Nutrients!$B$8,Nutrients!$DB$8,Nutrients!$DB$9)*L$7)+(((IF($A$8=Nutrients!$B$79,Nutrients!$DB$79,(IF($A$8=Nutrients!$B$77,Nutrients!$DB$77,Nutrients!$DB$78)))))*L$8))/2000/L$236*100</f>
        <v>30.353898832965641</v>
      </c>
      <c r="M239" s="451">
        <f>(SUMPRODUCT(M$9:M$229,Nutrients!$DB$8:$DB$228)+(IF($A$7=Nutrients!$B$8,Nutrients!$DB$8,Nutrients!$DB$9)*M$7)+(((IF($A$8=Nutrients!$B$79,Nutrients!$DB$79,(IF($A$8=Nutrients!$B$77,Nutrients!$DB$77,Nutrients!$DB$78)))))*M$8))/2000/M$236*100</f>
        <v>29.614748556131985</v>
      </c>
      <c r="N239" s="451">
        <f>(SUMPRODUCT(N$9:N$229,Nutrients!$DB$8:$DB$228)+(IF($A$7=Nutrients!$B$8,Nutrients!$DB$8,Nutrients!$DB$9)*N$7)+(((IF($A$8=Nutrients!$B$79,Nutrients!$DB$79,(IF($A$8=Nutrients!$B$77,Nutrients!$DB$77,Nutrients!$DB$78)))))*N$8))/2000/N$236*100</f>
        <v>30.329377095070086</v>
      </c>
      <c r="O239" s="472"/>
      <c r="P239" s="451">
        <f>(SUMPRODUCT(P$9:P$229,Nutrients!$DB$8:$DB$228)+(IF($A$7=Nutrients!$B$8,Nutrients!$DB$8,Nutrients!$DB$9)*P$7)+(((IF($A$8=Nutrients!$B$79,Nutrients!$DB$79,(IF($A$8=Nutrients!$B$77,Nutrients!$DB$77,Nutrients!$DB$78)))))*P$8))/2000/P$236*100</f>
        <v>33.473188643175746</v>
      </c>
      <c r="Q239" s="451">
        <f>(SUMPRODUCT(Q$9:Q$229,Nutrients!$DB$8:$DB$228)+(IF($A$7=Nutrients!$B$8,Nutrients!$DB$8,Nutrients!$DB$9)*Q$7)+(((IF($A$8=Nutrients!$B$79,Nutrients!$DB$79,(IF($A$8=Nutrients!$B$77,Nutrients!$DB$77,Nutrients!$DB$78)))))*Q$8))/2000/Q$236*100</f>
        <v>32.141860224339851</v>
      </c>
      <c r="R239" s="451">
        <f>(SUMPRODUCT(R$9:R$229,Nutrients!$DB$8:$DB$228)+(IF($A$7=Nutrients!$B$8,Nutrients!$DB$8,Nutrients!$DB$9)*R$7)+(((IF($A$8=Nutrients!$B$79,Nutrients!$DB$79,(IF($A$8=Nutrients!$B$77,Nutrients!$DB$77,Nutrients!$DB$78)))))*R$8))/2000/R$236*100</f>
        <v>30.549038986327115</v>
      </c>
      <c r="S239" s="451">
        <f>(SUMPRODUCT(S$9:S$229,Nutrients!$DB$8:$DB$228)+(IF($A$7=Nutrients!$B$8,Nutrients!$DB$8,Nutrients!$DB$9)*S$7)+(((IF($A$8=Nutrients!$B$79,Nutrients!$DB$79,(IF($A$8=Nutrients!$B$77,Nutrients!$DB$77,Nutrients!$DB$78)))))*S$8))/2000/S$236*100</f>
        <v>30.114690371582114</v>
      </c>
      <c r="T239" s="451">
        <f>(SUMPRODUCT(T$9:T$229,Nutrients!$DB$8:$DB$228)+(IF($A$7=Nutrients!$B$8,Nutrients!$DB$8,Nutrients!$DB$9)*T$7)+(((IF($A$8=Nutrients!$B$79,Nutrients!$DB$79,(IF($A$8=Nutrients!$B$77,Nutrients!$DB$77,Nutrients!$DB$78)))))*T$8))/2000/T$236*100</f>
        <v>29.064764255587484</v>
      </c>
      <c r="U239" s="451">
        <f>(SUMPRODUCT(U$9:U$229,Nutrients!$DB$8:$DB$228)+(IF($A$7=Nutrients!$B$8,Nutrients!$DB$8,Nutrients!$DB$9)*U$7)+(((IF($A$8=Nutrients!$B$79,Nutrients!$DB$79,(IF($A$8=Nutrients!$B$77,Nutrients!$DB$77,Nutrients!$DB$78)))))*U$8))/2000/U$236*100</f>
        <v>30.329377095070086</v>
      </c>
      <c r="V239" s="9"/>
      <c r="W239" s="451">
        <f>(SUMPRODUCT(W$9:W$229,Nutrients!$DB$8:$DB$228)+(IF($A$7=Nutrients!$B$8,Nutrients!$DB$8,Nutrients!$DB$9)*W$7)+(((IF($A$8=Nutrients!$B$79,Nutrients!$DB$79,(IF($A$8=Nutrients!$B$77,Nutrients!$DB$77,Nutrients!$DB$78)))))*W$8))/2000/W$236*100</f>
        <v>33.307605469415201</v>
      </c>
      <c r="X239" s="451">
        <f>(SUMPRODUCT(X$9:X$229,Nutrients!$DB$8:$DB$228)+(IF($A$7=Nutrients!$B$8,Nutrients!$DB$8,Nutrients!$DB$9)*X$7)+(((IF($A$8=Nutrients!$B$79,Nutrients!$DB$79,(IF($A$8=Nutrients!$B$77,Nutrients!$DB$77,Nutrients!$DB$78)))))*X$8))/2000/X$236*100</f>
        <v>31.95388247710143</v>
      </c>
      <c r="Y239" s="451">
        <f>(SUMPRODUCT(Y$9:Y$229,Nutrients!$DB$8:$DB$228)+(IF($A$7=Nutrients!$B$8,Nutrients!$DB$8,Nutrients!$DB$9)*Y$7)+(((IF($A$8=Nutrients!$B$79,Nutrients!$DB$79,(IF($A$8=Nutrients!$B$77,Nutrients!$DB$77,Nutrients!$DB$78)))))*Y$8))/2000/Y$236*100</f>
        <v>30.336499448604915</v>
      </c>
      <c r="Z239" s="451">
        <f>(SUMPRODUCT(Z$9:Z$229,Nutrients!$DB$8:$DB$228)+(IF($A$7=Nutrients!$B$8,Nutrients!$DB$8,Nutrients!$DB$9)*Z$7)+(((IF($A$8=Nutrients!$B$79,Nutrients!$DB$79,(IF($A$8=Nutrients!$B$77,Nutrients!$DB$77,Nutrients!$DB$78)))))*Z$8))/2000/Z$236*100</f>
        <v>29.875196459278243</v>
      </c>
      <c r="AA239" s="451">
        <f>(SUMPRODUCT(AA$9:AA$229,Nutrients!$DB$8:$DB$228)+(IF($A$7=Nutrients!$B$8,Nutrients!$DB$8,Nutrients!$DB$9)*AA$7)+(((IF($A$8=Nutrients!$B$79,Nutrients!$DB$79,(IF($A$8=Nutrients!$B$77,Nutrients!$DB$77,Nutrients!$DB$78)))))*AA$8))/2000/AA$236*100</f>
        <v>30.110486235968249</v>
      </c>
      <c r="AB239" s="451">
        <f>(SUMPRODUCT(AB$9:AB$229,Nutrients!$DB$8:$DB$228)+(IF($A$7=Nutrients!$B$8,Nutrients!$DB$8,Nutrients!$DB$9)*AB$7)+(((IF($A$8=Nutrients!$B$79,Nutrients!$DB$79,(IF($A$8=Nutrients!$B$77,Nutrients!$DB$77,Nutrients!$DB$78)))))*AB$8))/2000/AB$236*100</f>
        <v>30.329377095070086</v>
      </c>
      <c r="AC239" s="9"/>
      <c r="AD239" s="451">
        <f>(SUMPRODUCT(AD$9:AD$229,Nutrients!$DB$8:$DB$228)+(IF($A$7=Nutrients!$B$8,Nutrients!$DB$8,Nutrients!$DB$9)*AD$7)+(((IF($A$8=Nutrients!$B$79,Nutrients!$DB$79,(IF($A$8=Nutrients!$B$77,Nutrients!$DB$77,Nutrients!$DB$78)))))*AD$8))/2000/AD$236*100</f>
        <v>33.141431769467623</v>
      </c>
      <c r="AE239" s="451">
        <f>(SUMPRODUCT(AE$9:AE$229,Nutrients!$DB$8:$DB$228)+(IF($A$7=Nutrients!$B$8,Nutrients!$DB$8,Nutrients!$DB$9)*AE$7)+(((IF($A$8=Nutrients!$B$79,Nutrients!$DB$79,(IF($A$8=Nutrients!$B$77,Nutrients!$DB$77,Nutrients!$DB$78)))))*AE$8))/2000/AE$236*100</f>
        <v>31.766217259964591</v>
      </c>
      <c r="AF239" s="451">
        <f>(SUMPRODUCT(AF$9:AF$229,Nutrients!$DB$8:$DB$228)+(IF($A$7=Nutrients!$B$8,Nutrients!$DB$8,Nutrients!$DB$9)*AF$7)+(((IF($A$8=Nutrients!$B$79,Nutrients!$DB$79,(IF($A$8=Nutrients!$B$77,Nutrients!$DB$77,Nutrients!$DB$78)))))*AF$8))/2000/AF$236*100</f>
        <v>30.123075445605334</v>
      </c>
      <c r="AG239" s="451">
        <f>(SUMPRODUCT(AG$9:AG$229,Nutrients!$DB$8:$DB$228)+(IF($A$7=Nutrients!$B$8,Nutrients!$DB$8,Nutrients!$DB$9)*AG$7)+(((IF($A$8=Nutrients!$B$79,Nutrients!$DB$79,(IF($A$8=Nutrients!$B$77,Nutrients!$DB$77,Nutrients!$DB$78)))))*AG$8))/2000/AG$236*100</f>
        <v>30.042615848904852</v>
      </c>
      <c r="AH239" s="451">
        <f>(SUMPRODUCT(AH$9:AH$229,Nutrients!$DB$8:$DB$228)+(IF($A$7=Nutrients!$B$8,Nutrients!$DB$8,Nutrients!$DB$9)*AH$7)+(((IF($A$8=Nutrients!$B$79,Nutrients!$DB$79,(IF($A$8=Nutrients!$B$77,Nutrients!$DB$77,Nutrients!$DB$78)))))*AH$8))/2000/AH$236*100</f>
        <v>31.137831012083133</v>
      </c>
      <c r="AI239" s="451">
        <f>(SUMPRODUCT(AI$9:AI$229,Nutrients!$DB$8:$DB$228)+(IF($A$7=Nutrients!$B$8,Nutrients!$DB$8,Nutrients!$DB$9)*AI$7)+(((IF($A$8=Nutrients!$B$79,Nutrients!$DB$79,(IF($A$8=Nutrients!$B$77,Nutrients!$DB$77,Nutrients!$DB$78)))))*AI$8))/2000/AI$236*100</f>
        <v>30.329377095070086</v>
      </c>
      <c r="AJ239" s="9"/>
      <c r="AK239" s="451">
        <f>(SUMPRODUCT(AK$9:AK$229,Nutrients!$DB$8:$DB$228)+(IF($A$7=Nutrients!$B$8,Nutrients!$DB$8,Nutrients!$DB$9)*AK$7)+(((IF($A$8=Nutrients!$B$79,Nutrients!$DB$79,(IF($A$8=Nutrients!$B$77,Nutrients!$DB$77,Nutrients!$DB$78)))))*AK$8))/2000/AK$236*100</f>
        <v>32.974835792819277</v>
      </c>
      <c r="AL239" s="451">
        <f>(SUMPRODUCT(AL$9:AL$229,Nutrients!$DB$8:$DB$228)+(IF($A$7=Nutrients!$B$8,Nutrients!$DB$8,Nutrients!$DB$9)*AL$7)+(((IF($A$8=Nutrients!$B$79,Nutrients!$DB$79,(IF($A$8=Nutrients!$B$77,Nutrients!$DB$77,Nutrients!$DB$78)))))*AL$8))/2000/AL$236*100</f>
        <v>31.577571841365927</v>
      </c>
      <c r="AM239" s="451">
        <f>(SUMPRODUCT(AM$9:AM$229,Nutrients!$DB$8:$DB$228)+(IF($A$7=Nutrients!$B$8,Nutrients!$DB$8,Nutrients!$DB$9)*AM$7)+(((IF($A$8=Nutrients!$B$79,Nutrients!$DB$79,(IF($A$8=Nutrients!$B$77,Nutrients!$DB$77,Nutrients!$DB$78)))))*AM$8))/2000/AM$236*100</f>
        <v>29.204680528946447</v>
      </c>
      <c r="AN239" s="451">
        <f>(SUMPRODUCT(AN$9:AN$229,Nutrients!$DB$8:$DB$228)+(IF($A$7=Nutrients!$B$8,Nutrients!$DB$8,Nutrients!$DB$9)*AN$7)+(((IF($A$8=Nutrients!$B$79,Nutrients!$DB$79,(IF($A$8=Nutrients!$B$77,Nutrients!$DB$77,Nutrients!$DB$78)))))*AN$8))/2000/AN$236*100</f>
        <v>30.986209561941617</v>
      </c>
      <c r="AO239" s="451">
        <f>(SUMPRODUCT(AO$9:AO$229,Nutrients!$DB$8:$DB$228)+(IF($A$7=Nutrients!$B$8,Nutrients!$DB$8,Nutrients!$DB$9)*AO$7)+(((IF($A$8=Nutrients!$B$79,Nutrients!$DB$79,(IF($A$8=Nutrients!$B$77,Nutrients!$DB$77,Nutrients!$DB$78)))))*AO$8))/2000/AO$236*100</f>
        <v>32.160147601109905</v>
      </c>
      <c r="AP239" s="451">
        <f>(SUMPRODUCT(AP$9:AP$229,Nutrients!$DB$8:$DB$228)+(IF($A$7=Nutrients!$B$8,Nutrients!$DB$8,Nutrients!$DB$9)*AP$7)+(((IF($A$8=Nutrients!$B$79,Nutrients!$DB$79,(IF($A$8=Nutrients!$B$77,Nutrients!$DB$77,Nutrients!$DB$78)))))*AP$8))/2000/AP$236*100</f>
        <v>30.329377095070086</v>
      </c>
      <c r="AQ239" s="9"/>
      <c r="AR239" s="451">
        <f>(SUMPRODUCT(AR$9:AR$229,Nutrients!$DB$8:$DB$228)+(IF($A$7=Nutrients!$B$8,Nutrients!$DB$8,Nutrients!$DB$9)*AR$7)+(((IF($A$8=Nutrients!$B$79,Nutrients!$DB$79,(IF($A$8=Nutrients!$B$77,Nutrients!$DB$77,Nutrients!$DB$78)))))*AR$8))/2000/AR$236*100</f>
        <v>32.80745693475945</v>
      </c>
      <c r="AS239" s="451">
        <f>(SUMPRODUCT(AS$9:AS$229,Nutrients!$DB$8:$DB$228)+(IF($A$7=Nutrients!$B$8,Nutrients!$DB$8,Nutrients!$DB$9)*AS$7)+(((IF($A$8=Nutrients!$B$79,Nutrients!$DB$79,(IF($A$8=Nutrients!$B$77,Nutrients!$DB$77,Nutrients!$DB$78)))))*AS$8))/2000/AS$236*100</f>
        <v>31.388793671873238</v>
      </c>
      <c r="AT239" s="451">
        <f>(SUMPRODUCT(AT$9:AT$229,Nutrients!$DB$8:$DB$228)+(IF($A$7=Nutrients!$B$8,Nutrients!$DB$8,Nutrients!$DB$9)*AT$7)+(((IF($A$8=Nutrients!$B$79,Nutrients!$DB$79,(IF($A$8=Nutrients!$B$77,Nutrients!$DB$77,Nutrients!$DB$78)))))*AT$8))/2000/AT$236*100</f>
        <v>30.057103420630703</v>
      </c>
      <c r="AU239" s="451">
        <f>(SUMPRODUCT(AU$9:AU$229,Nutrients!$DB$8:$DB$228)+(IF($A$7=Nutrients!$B$8,Nutrients!$DB$8,Nutrients!$DB$9)*AU$7)+(((IF($A$8=Nutrients!$B$79,Nutrients!$DB$79,(IF($A$8=Nutrients!$B$77,Nutrients!$DB$77,Nutrients!$DB$78)))))*AU$8))/2000/AU$236*100</f>
        <v>31.922742036305614</v>
      </c>
      <c r="AV239" s="451">
        <f>(SUMPRODUCT(AV$9:AV$229,Nutrients!$DB$8:$DB$228)+(IF($A$7=Nutrients!$B$8,Nutrients!$DB$8,Nutrients!$DB$9)*AV$7)+(((IF($A$8=Nutrients!$B$79,Nutrients!$DB$79,(IF($A$8=Nutrients!$B$77,Nutrients!$DB$77,Nutrients!$DB$78)))))*AV$8))/2000/AV$236*100</f>
        <v>33.182460659376822</v>
      </c>
      <c r="AW239" s="451">
        <f>(SUMPRODUCT(AW$9:AW$229,Nutrients!$DB$8:$DB$228)+(IF($A$7=Nutrients!$B$8,Nutrients!$DB$8,Nutrients!$DB$9)*AW$7)+(((IF($A$8=Nutrients!$B$79,Nutrients!$DB$79,(IF($A$8=Nutrients!$B$77,Nutrients!$DB$77,Nutrients!$DB$78)))))*AW$8))/2000/AW$236*100</f>
        <v>30.329377095070086</v>
      </c>
      <c r="AX239" s="13"/>
    </row>
    <row r="240" spans="1:50" x14ac:dyDescent="0.25">
      <c r="A240" s="38" t="s">
        <v>385</v>
      </c>
      <c r="B240" s="224">
        <f>(SUMPRODUCT(B$9:B$229,Nutrients!$DC$8:$DC$228)+(IF($A$7=Nutrients!$B$8,Nutrients!$DC$8,Nutrients!$DC$9)*B$7)+(((IF($A$8=Nutrients!$B$79,Nutrients!$DC$79,(IF($A$8=Nutrients!$B$77,Nutrients!$DC$77,Nutrients!$DC$78)))))*B$8))/2000/B$236*100</f>
        <v>55.997569552010205</v>
      </c>
      <c r="C240" s="224">
        <f>(SUMPRODUCT(C$9:C$229,Nutrients!$DC$8:$DC$228)+(IF($A$7=Nutrients!$B$8,Nutrients!$DC$8,Nutrients!$DC$9)*C$7)+(((IF($A$8=Nutrients!$B$79,Nutrients!$DC$79,(IF($A$8=Nutrients!$B$77,Nutrients!$DC$77,Nutrients!$DC$78)))))*C$8))/2000/C$236*100</f>
        <v>55.998500355280811</v>
      </c>
      <c r="D240" s="224">
        <f>(SUMPRODUCT(D$9:D$229,Nutrients!$DC$8:$DC$228)+(IF($A$7=Nutrients!$B$8,Nutrients!$DC$8,Nutrients!$DC$9)*D$7)+(((IF($A$8=Nutrients!$B$79,Nutrients!$DC$79,(IF($A$8=Nutrients!$B$77,Nutrients!$DC$77,Nutrients!$DC$78)))))*D$8))/2000/D$236*100</f>
        <v>55.998232689384523</v>
      </c>
      <c r="E240" s="224">
        <f>(SUMPRODUCT(E$9:E$229,Nutrients!$DC$8:$DC$228)+(IF($A$7=Nutrients!$B$8,Nutrients!$DC$8,Nutrients!$DC$9)*E$7)+(((IF($A$8=Nutrients!$B$79,Nutrients!$DC$79,(IF($A$8=Nutrients!$B$77,Nutrients!$DC$77,Nutrients!$DC$78)))))*E$8))/2000/E$236*100</f>
        <v>57.061456017842524</v>
      </c>
      <c r="F240" s="224">
        <f>(SUMPRODUCT(F$9:F$229,Nutrients!$DC$8:$DC$228)+(IF($A$7=Nutrients!$B$8,Nutrients!$DC$8,Nutrients!$DC$9)*F$7)+(((IF($A$8=Nutrients!$B$79,Nutrients!$DC$79,(IF($A$8=Nutrients!$B$77,Nutrients!$DC$77,Nutrients!$DC$78)))))*F$8))/2000/F$236*100</f>
        <v>57.164463746746605</v>
      </c>
      <c r="G240" s="224">
        <f>(SUMPRODUCT(G$9:G$229,Nutrients!$DC$8:$DC$228)+(IF($A$7=Nutrients!$B$8,Nutrients!$DC$8,Nutrients!$DC$9)*G$7)+(((IF($A$8=Nutrients!$B$79,Nutrients!$DC$79,(IF($A$8=Nutrients!$B$77,Nutrients!$DC$77,Nutrients!$DC$78)))))*G$8))/2000/G$236*100</f>
        <v>57.994909290351856</v>
      </c>
      <c r="H240" s="224"/>
      <c r="I240" s="225">
        <f>(SUMPRODUCT(I$9:I$229,Nutrients!$DC$8:$DC$228)+(IF($A$7=Nutrients!$B$8,Nutrients!$DC$8,Nutrients!$DC$9)*I$7)+(((IF($A$8=Nutrients!$B$79,Nutrients!$DC$79,(IF($A$8=Nutrients!$B$77,Nutrients!$DC$77,Nutrients!$DC$78)))))*I$8))/2000/I$236*100</f>
        <v>55.992193381026787</v>
      </c>
      <c r="J240" s="225">
        <f>(SUMPRODUCT(J$9:J$229,Nutrients!$DC$8:$DC$228)+(IF($A$7=Nutrients!$B$8,Nutrients!$DC$8,Nutrients!$DC$9)*J$7)+(((IF($A$8=Nutrients!$B$79,Nutrients!$DC$79,(IF($A$8=Nutrients!$B$77,Nutrients!$DC$77,Nutrients!$DC$78)))))*J$8))/2000/J$236*100</f>
        <v>55.99089713001797</v>
      </c>
      <c r="K240" s="225">
        <f>(SUMPRODUCT(K$9:K$229,Nutrients!$DC$8:$DC$228)+(IF($A$7=Nutrients!$B$8,Nutrients!$DC$8,Nutrients!$DC$9)*K$7)+(((IF($A$8=Nutrients!$B$79,Nutrients!$DC$79,(IF($A$8=Nutrients!$B$77,Nutrients!$DC$77,Nutrients!$DC$78)))))*K$8))/2000/K$236*100</f>
        <v>55.998452650885746</v>
      </c>
      <c r="L240" s="225">
        <f>(SUMPRODUCT(L$9:L$229,Nutrients!$DC$8:$DC$228)+(IF($A$7=Nutrients!$B$8,Nutrients!$DC$8,Nutrients!$DC$9)*L$7)+(((IF($A$8=Nutrients!$B$79,Nutrients!$DC$79,(IF($A$8=Nutrients!$B$77,Nutrients!$DC$77,Nutrients!$DC$78)))))*L$8))/2000/L$236*100</f>
        <v>56.939933318303517</v>
      </c>
      <c r="M240" s="225">
        <f>(SUMPRODUCT(M$9:M$229,Nutrients!$DC$8:$DC$228)+(IF($A$7=Nutrients!$B$8,Nutrients!$DC$8,Nutrients!$DC$9)*M$7)+(((IF($A$8=Nutrients!$B$79,Nutrients!$DC$79,(IF($A$8=Nutrients!$B$77,Nutrients!$DC$77,Nutrients!$DC$78)))))*M$8))/2000/M$236*100</f>
        <v>57.031794928726917</v>
      </c>
      <c r="N240" s="225">
        <f>(SUMPRODUCT(N$9:N$229,Nutrients!$DC$8:$DC$228)+(IF($A$7=Nutrients!$B$8,Nutrients!$DC$8,Nutrients!$DC$9)*N$7)+(((IF($A$8=Nutrients!$B$79,Nutrients!$DC$79,(IF($A$8=Nutrients!$B$77,Nutrients!$DC$77,Nutrients!$DC$78)))))*N$8))/2000/N$236*100</f>
        <v>57.994909290351856</v>
      </c>
      <c r="O240" s="472"/>
      <c r="P240" s="225">
        <f>(SUMPRODUCT(P$9:P$229,Nutrients!$DC$8:$DC$228)+(IF($A$7=Nutrients!$B$8,Nutrients!$DC$8,Nutrients!$DC$9)*P$7)+(((IF($A$8=Nutrients!$B$79,Nutrients!$DC$79,(IF($A$8=Nutrients!$B$77,Nutrients!$DC$77,Nutrients!$DC$78)))))*P$8))/2000/P$236*100</f>
        <v>55.991881790608325</v>
      </c>
      <c r="Q240" s="225">
        <f>(SUMPRODUCT(Q$9:Q$229,Nutrients!$DC$8:$DC$228)+(IF($A$7=Nutrients!$B$8,Nutrients!$DC$8,Nutrients!$DC$9)*Q$7)+(((IF($A$8=Nutrients!$B$79,Nutrients!$DC$79,(IF($A$8=Nutrients!$B$77,Nutrients!$DC$77,Nutrients!$DC$78)))))*Q$8))/2000/Q$236*100</f>
        <v>55.989661617118692</v>
      </c>
      <c r="R240" s="225">
        <f>(SUMPRODUCT(R$9:R$229,Nutrients!$DC$8:$DC$228)+(IF($A$7=Nutrients!$B$8,Nutrients!$DC$8,Nutrients!$DC$9)*R$7)+(((IF($A$8=Nutrients!$B$79,Nutrients!$DC$79,(IF($A$8=Nutrients!$B$77,Nutrients!$DC$77,Nutrients!$DC$78)))))*R$8))/2000/R$236*100</f>
        <v>55.996027307201459</v>
      </c>
      <c r="S240" s="225">
        <f>(SUMPRODUCT(S$9:S$229,Nutrients!$DC$8:$DC$228)+(IF($A$7=Nutrients!$B$8,Nutrients!$DC$8,Nutrients!$DC$9)*S$7)+(((IF($A$8=Nutrients!$B$79,Nutrients!$DC$79,(IF($A$8=Nutrients!$B$77,Nutrients!$DC$77,Nutrients!$DC$78)))))*S$8))/2000/S$236*100</f>
        <v>56.937531558324061</v>
      </c>
      <c r="T240" s="225">
        <f>(SUMPRODUCT(T$9:T$229,Nutrients!$DC$8:$DC$228)+(IF($A$7=Nutrients!$B$8,Nutrients!$DC$8,Nutrients!$DC$9)*T$7)+(((IF($A$8=Nutrients!$B$79,Nutrients!$DC$79,(IF($A$8=Nutrients!$B$77,Nutrients!$DC$77,Nutrients!$DC$78)))))*T$8))/2000/T$236*100</f>
        <v>56.740716905274446</v>
      </c>
      <c r="U240" s="225">
        <f>(SUMPRODUCT(U$9:U$229,Nutrients!$DC$8:$DC$228)+(IF($A$7=Nutrients!$B$8,Nutrients!$DC$8,Nutrients!$DC$9)*U$7)+(((IF($A$8=Nutrients!$B$79,Nutrients!$DC$79,(IF($A$8=Nutrients!$B$77,Nutrients!$DC$77,Nutrients!$DC$78)))))*U$8))/2000/U$236*100</f>
        <v>57.994909290351856</v>
      </c>
      <c r="V240" s="9"/>
      <c r="W240" s="225">
        <f>(SUMPRODUCT(W$9:W$229,Nutrients!$DC$8:$DC$228)+(IF($A$7=Nutrients!$B$8,Nutrients!$DC$8,Nutrients!$DC$9)*W$7)+(((IF($A$8=Nutrients!$B$79,Nutrients!$DC$79,(IF($A$8=Nutrients!$B$77,Nutrients!$DC$77,Nutrients!$DC$78)))))*W$8))/2000/W$236*100</f>
        <v>55.992264945673</v>
      </c>
      <c r="X240" s="225">
        <f>(SUMPRODUCT(X$9:X$229,Nutrients!$DC$8:$DC$228)+(IF($A$7=Nutrients!$B$8,Nutrients!$DC$8,Nutrients!$DC$9)*X$7)+(((IF($A$8=Nutrients!$B$79,Nutrients!$DC$79,(IF($A$8=Nutrients!$B$77,Nutrients!$DC$77,Nutrients!$DC$78)))))*X$8))/2000/X$236*100</f>
        <v>55.988670844743801</v>
      </c>
      <c r="Y240" s="225">
        <f>(SUMPRODUCT(Y$9:Y$229,Nutrients!$DC$8:$DC$228)+(IF($A$7=Nutrients!$B$8,Nutrients!$DC$8,Nutrients!$DC$9)*Y$7)+(((IF($A$8=Nutrients!$B$79,Nutrients!$DC$79,(IF($A$8=Nutrients!$B$77,Nutrients!$DC$77,Nutrients!$DC$78)))))*Y$8))/2000/Y$236*100</f>
        <v>55.995186938997385</v>
      </c>
      <c r="Z240" s="225">
        <f>(SUMPRODUCT(Z$9:Z$229,Nutrients!$DC$8:$DC$228)+(IF($A$7=Nutrients!$B$8,Nutrients!$DC$8,Nutrients!$DC$9)*Z$7)+(((IF($A$8=Nutrients!$B$79,Nutrients!$DC$79,(IF($A$8=Nutrients!$B$77,Nutrients!$DC$77,Nutrients!$DC$78)))))*Z$8))/2000/Z$236*100</f>
        <v>56.934550887640022</v>
      </c>
      <c r="AA240" s="225">
        <f>(SUMPRODUCT(AA$9:AA$229,Nutrients!$DC$8:$DC$228)+(IF($A$7=Nutrients!$B$8,Nutrients!$DC$8,Nutrients!$DC$9)*AA$7)+(((IF($A$8=Nutrients!$B$79,Nutrients!$DC$79,(IF($A$8=Nutrients!$B$77,Nutrients!$DC$77,Nutrients!$DC$78)))))*AA$8))/2000/AA$236*100</f>
        <v>58.043493251888066</v>
      </c>
      <c r="AB240" s="225">
        <f>(SUMPRODUCT(AB$9:AB$229,Nutrients!$DC$8:$DC$228)+(IF($A$7=Nutrients!$B$8,Nutrients!$DC$8,Nutrients!$DC$9)*AB$7)+(((IF($A$8=Nutrients!$B$79,Nutrients!$DC$79,(IF($A$8=Nutrients!$B$77,Nutrients!$DC$77,Nutrients!$DC$78)))))*AB$8))/2000/AB$236*100</f>
        <v>57.994909290351856</v>
      </c>
      <c r="AC240" s="9"/>
      <c r="AD240" s="225">
        <f>(SUMPRODUCT(AD$9:AD$229,Nutrients!$DC$8:$DC$228)+(IF($A$7=Nutrients!$B$8,Nutrients!$DC$8,Nutrients!$DC$9)*AD$7)+(((IF($A$8=Nutrients!$B$79,Nutrients!$DC$79,(IF($A$8=Nutrients!$B$77,Nutrients!$DC$77,Nutrients!$DC$78)))))*AD$8))/2000/AD$236*100</f>
        <v>55.991450480037741</v>
      </c>
      <c r="AE240" s="225">
        <f>(SUMPRODUCT(AE$9:AE$229,Nutrients!$DC$8:$DC$228)+(IF($A$7=Nutrients!$B$8,Nutrients!$DC$8,Nutrients!$DC$9)*AE$7)+(((IF($A$8=Nutrients!$B$79,Nutrients!$DC$79,(IF($A$8=Nutrients!$B$77,Nutrients!$DC$77,Nutrients!$DC$78)))))*AE$8))/2000/AE$236*100</f>
        <v>55.988313901193443</v>
      </c>
      <c r="AF240" s="225">
        <f>(SUMPRODUCT(AF$9:AF$229,Nutrients!$DC$8:$DC$228)+(IF($A$7=Nutrients!$B$8,Nutrients!$DC$8,Nutrients!$DC$9)*AF$7)+(((IF($A$8=Nutrients!$B$79,Nutrients!$DC$79,(IF($A$8=Nutrients!$B$77,Nutrients!$DC$77,Nutrients!$DC$78)))))*AF$8))/2000/AF$236*100</f>
        <v>55.992552824897182</v>
      </c>
      <c r="AG240" s="225">
        <f>(SUMPRODUCT(AG$9:AG$229,Nutrients!$DC$8:$DC$228)+(IF($A$7=Nutrients!$B$8,Nutrients!$DC$8,Nutrients!$DC$9)*AG$7)+(((IF($A$8=Nutrients!$B$79,Nutrients!$DC$79,(IF($A$8=Nutrients!$B$77,Nutrients!$DC$77,Nutrients!$DC$78)))))*AG$8))/2000/AG$236*100</f>
        <v>57.337966739503713</v>
      </c>
      <c r="AH240" s="225">
        <f>(SUMPRODUCT(AH$9:AH$229,Nutrients!$DC$8:$DC$228)+(IF($A$7=Nutrients!$B$8,Nutrients!$DC$8,Nutrients!$DC$9)*AH$7)+(((IF($A$8=Nutrients!$B$79,Nutrients!$DC$79,(IF($A$8=Nutrients!$B$77,Nutrients!$DC$77,Nutrients!$DC$78)))))*AH$8))/2000/AH$236*100</f>
        <v>59.308999582846958</v>
      </c>
      <c r="AI240" s="225">
        <f>(SUMPRODUCT(AI$9:AI$229,Nutrients!$DC$8:$DC$228)+(IF($A$7=Nutrients!$B$8,Nutrients!$DC$8,Nutrients!$DC$9)*AI$7)+(((IF($A$8=Nutrients!$B$79,Nutrients!$DC$79,(IF($A$8=Nutrients!$B$77,Nutrients!$DC$77,Nutrients!$DC$78)))))*AI$8))/2000/AI$236*100</f>
        <v>57.994909290351856</v>
      </c>
      <c r="AJ240" s="9"/>
      <c r="AK240" s="225">
        <f>(SUMPRODUCT(AK$9:AK$229,Nutrients!$DC$8:$DC$228)+(IF($A$7=Nutrients!$B$8,Nutrients!$DC$8,Nutrients!$DC$9)*AK$7)+(((IF($A$8=Nutrients!$B$79,Nutrients!$DC$79,(IF($A$8=Nutrients!$B$77,Nutrients!$DC$77,Nutrients!$DC$78)))))*AK$8))/2000/AK$236*100</f>
        <v>55.989779613231761</v>
      </c>
      <c r="AL240" s="225">
        <f>(SUMPRODUCT(AL$9:AL$229,Nutrients!$DC$8:$DC$228)+(IF($A$7=Nutrients!$B$8,Nutrients!$DC$8,Nutrients!$DC$9)*AL$7)+(((IF($A$8=Nutrients!$B$79,Nutrients!$DC$79,(IF($A$8=Nutrients!$B$77,Nutrients!$DC$77,Nutrients!$DC$78)))))*AL$8))/2000/AL$236*100</f>
        <v>55.985969053318897</v>
      </c>
      <c r="AM240" s="225">
        <f>(SUMPRODUCT(AM$9:AM$229,Nutrients!$DC$8:$DC$228)+(IF($A$7=Nutrients!$B$8,Nutrients!$DC$8,Nutrients!$DC$9)*AM$7)+(((IF($A$8=Nutrients!$B$79,Nutrients!$DC$79,(IF($A$8=Nutrients!$B$77,Nutrients!$DC$77,Nutrients!$DC$78)))))*AM$8))/2000/AM$236*100</f>
        <v>55.285320261331805</v>
      </c>
      <c r="AN240" s="225">
        <f>(SUMPRODUCT(AN$9:AN$229,Nutrients!$DC$8:$DC$228)+(IF($A$7=Nutrients!$B$8,Nutrients!$DC$8,Nutrients!$DC$9)*AN$7)+(((IF($A$8=Nutrients!$B$79,Nutrients!$DC$79,(IF($A$8=Nutrients!$B$77,Nutrients!$DC$77,Nutrients!$DC$78)))))*AN$8))/2000/AN$236*100</f>
        <v>58.502282411178264</v>
      </c>
      <c r="AO240" s="225">
        <f>(SUMPRODUCT(AO$9:AO$229,Nutrients!$DC$8:$DC$228)+(IF($A$7=Nutrients!$B$8,Nutrients!$DC$8,Nutrients!$DC$9)*AO$7)+(((IF($A$8=Nutrients!$B$79,Nutrients!$DC$79,(IF($A$8=Nutrients!$B$77,Nutrients!$DC$77,Nutrients!$DC$78)))))*AO$8))/2000/AO$236*100</f>
        <v>60.564308464358277</v>
      </c>
      <c r="AP240" s="225">
        <f>(SUMPRODUCT(AP$9:AP$229,Nutrients!$DC$8:$DC$228)+(IF($A$7=Nutrients!$B$8,Nutrients!$DC$8,Nutrients!$DC$9)*AP$7)+(((IF($A$8=Nutrients!$B$79,Nutrients!$DC$79,(IF($A$8=Nutrients!$B$77,Nutrients!$DC$77,Nutrients!$DC$78)))))*AP$8))/2000/AP$236*100</f>
        <v>57.994909290351856</v>
      </c>
      <c r="AQ240" s="9"/>
      <c r="AR240" s="225">
        <f>(SUMPRODUCT(AR$9:AR$229,Nutrients!$DC$8:$DC$228)+(IF($A$7=Nutrients!$B$8,Nutrients!$DC$8,Nutrients!$DC$9)*AR$7)+(((IF($A$8=Nutrients!$B$79,Nutrients!$DC$79,(IF($A$8=Nutrients!$B$77,Nutrients!$DC$77,Nutrients!$DC$78)))))*AR$8))/2000/AR$236*100</f>
        <v>55.986521018388366</v>
      </c>
      <c r="AS240" s="225">
        <f>(SUMPRODUCT(AS$9:AS$229,Nutrients!$DC$8:$DC$228)+(IF($A$7=Nutrients!$B$8,Nutrients!$DC$8,Nutrients!$DC$9)*AS$7)+(((IF($A$8=Nutrients!$B$79,Nutrients!$DC$79,(IF($A$8=Nutrients!$B$77,Nutrients!$DC$77,Nutrients!$DC$78)))))*AS$8))/2000/AS$236*100</f>
        <v>55.9833549790796</v>
      </c>
      <c r="AT240" s="225">
        <f>(SUMPRODUCT(AT$9:AT$229,Nutrients!$DC$8:$DC$228)+(IF($A$7=Nutrients!$B$8,Nutrients!$DC$8,Nutrients!$DC$9)*AT$7)+(((IF($A$8=Nutrients!$B$79,Nutrients!$DC$79,(IF($A$8=Nutrients!$B$77,Nutrients!$DC$77,Nutrients!$DC$78)))))*AT$8))/2000/AT$236*100</f>
        <v>56.346271455015348</v>
      </c>
      <c r="AU240" s="225">
        <f>(SUMPRODUCT(AU$9:AU$229,Nutrients!$DC$8:$DC$228)+(IF($A$7=Nutrients!$B$8,Nutrients!$DC$8,Nutrients!$DC$9)*AU$7)+(((IF($A$8=Nutrients!$B$79,Nutrients!$DC$79,(IF($A$8=Nutrients!$B$77,Nutrients!$DC$77,Nutrients!$DC$78)))))*AU$8))/2000/AU$236*100</f>
        <v>59.652277489139585</v>
      </c>
      <c r="AV240" s="225">
        <f>(SUMPRODUCT(AV$9:AV$229,Nutrients!$DC$8:$DC$228)+(IF($A$7=Nutrients!$B$8,Nutrients!$DC$8,Nutrients!$DC$9)*AV$7)+(((IF($A$8=Nutrients!$B$79,Nutrients!$DC$79,(IF($A$8=Nutrients!$B$77,Nutrients!$DC$77,Nutrients!$DC$78)))))*AV$8))/2000/AV$236*100</f>
        <v>61.819610185287765</v>
      </c>
      <c r="AW240" s="225">
        <f>(SUMPRODUCT(AW$9:AW$229,Nutrients!$DC$8:$DC$228)+(IF($A$7=Nutrients!$B$8,Nutrients!$DC$8,Nutrients!$DC$9)*AW$7)+(((IF($A$8=Nutrients!$B$79,Nutrients!$DC$79,(IF($A$8=Nutrients!$B$77,Nutrients!$DC$77,Nutrients!$DC$78)))))*AW$8))/2000/AW$236*100</f>
        <v>57.994909290351856</v>
      </c>
      <c r="AX240" s="13"/>
    </row>
    <row r="241" spans="1:57" x14ac:dyDescent="0.25">
      <c r="A241" s="38" t="s">
        <v>386</v>
      </c>
      <c r="B241" s="224">
        <f>(SUMPRODUCT(B$9:B$229,Nutrients!$DF$8:$DF$228)+(IF($A$7=Nutrients!$B$8,Nutrients!$DF$8,Nutrients!$DF$9)*B$7)+(((IF($A$8=Nutrients!$B$79,Nutrients!$DF$79,(IF($A$8=Nutrients!$B$77,Nutrients!$DF$77,Nutrients!$DF$78)))))*B$8))/2000/B$236*100</f>
        <v>61.999883344833172</v>
      </c>
      <c r="C241" s="224">
        <f>(SUMPRODUCT(C$9:C$229,Nutrients!$DF$8:$DF$228)+(IF($A$7=Nutrients!$B$8,Nutrients!$DF$8,Nutrients!$DF$9)*C$7)+(((IF($A$8=Nutrients!$B$79,Nutrients!$DF$79,(IF($A$8=Nutrients!$B$77,Nutrients!$DF$77,Nutrients!$DF$78)))))*C$8))/2000/C$236*100</f>
        <v>61.999810412599423</v>
      </c>
      <c r="D241" s="224">
        <f>(SUMPRODUCT(D$9:D$229,Nutrients!$DF$8:$DF$228)+(IF($A$7=Nutrients!$B$8,Nutrients!$DF$8,Nutrients!$DF$9)*D$7)+(((IF($A$8=Nutrients!$B$79,Nutrients!$DF$79,(IF($A$8=Nutrients!$B$77,Nutrients!$DF$77,Nutrients!$DF$78)))))*D$8))/2000/D$236*100</f>
        <v>61.998899620636607</v>
      </c>
      <c r="E241" s="224">
        <f>(SUMPRODUCT(E$9:E$229,Nutrients!$DF$8:$DF$228)+(IF($A$7=Nutrients!$B$8,Nutrients!$DF$8,Nutrients!$DF$9)*E$7)+(((IF($A$8=Nutrients!$B$79,Nutrients!$DF$79,(IF($A$8=Nutrients!$B$77,Nutrients!$DF$77,Nutrients!$DF$78)))))*E$8))/2000/E$236*100</f>
        <v>63.099738392882202</v>
      </c>
      <c r="F241" s="224">
        <f>(SUMPRODUCT(F$9:F$229,Nutrients!$DF$8:$DF$228)+(IF($A$7=Nutrients!$B$8,Nutrients!$DF$8,Nutrients!$DF$9)*F$7)+(((IF($A$8=Nutrients!$B$79,Nutrients!$DF$79,(IF($A$8=Nutrients!$B$77,Nutrients!$DF$77,Nutrients!$DF$78)))))*F$8))/2000/F$236*100</f>
        <v>63.259126445235324</v>
      </c>
      <c r="G241" s="224">
        <f>(SUMPRODUCT(G$9:G$229,Nutrients!$DF$8:$DF$228)+(IF($A$7=Nutrients!$B$8,Nutrients!$DF$8,Nutrients!$DF$9)*G$7)+(((IF($A$8=Nutrients!$B$79,Nutrients!$DF$79,(IF($A$8=Nutrients!$B$77,Nutrients!$DF$77,Nutrients!$DF$78)))))*G$8))/2000/G$236*100</f>
        <v>63.997526400855939</v>
      </c>
      <c r="H241" s="224"/>
      <c r="I241" s="225">
        <f>(SUMPRODUCT(I$9:I$229,Nutrients!$DF$8:$DF$228)+(IF($A$7=Nutrients!$B$8,Nutrients!$DF$8,Nutrients!$DF$9)*I$7)+(((IF($A$8=Nutrients!$B$79,Nutrients!$DF$79,(IF($A$8=Nutrients!$B$77,Nutrients!$DF$77,Nutrients!$DF$78)))))*I$8))/2000/I$236*100</f>
        <v>61.972422233007066</v>
      </c>
      <c r="J241" s="225">
        <f>(SUMPRODUCT(J$9:J$229,Nutrients!$DF$8:$DF$228)+(IF($A$7=Nutrients!$B$8,Nutrients!$DF$8,Nutrients!$DF$9)*J$7)+(((IF($A$8=Nutrients!$B$79,Nutrients!$DF$79,(IF($A$8=Nutrients!$B$77,Nutrients!$DF$77,Nutrients!$DF$78)))))*J$8))/2000/J$236*100</f>
        <v>61.967075492406551</v>
      </c>
      <c r="K241" s="225">
        <f>(SUMPRODUCT(K$9:K$229,Nutrients!$DF$8:$DF$228)+(IF($A$7=Nutrients!$B$8,Nutrients!$DF$8,Nutrients!$DF$9)*K$7)+(((IF($A$8=Nutrients!$B$79,Nutrients!$DF$79,(IF($A$8=Nutrients!$B$77,Nutrients!$DF$77,Nutrients!$DF$78)))))*K$8))/2000/K$236*100</f>
        <v>61.962839291501993</v>
      </c>
      <c r="L241" s="225">
        <f>(SUMPRODUCT(L$9:L$229,Nutrients!$DF$8:$DF$228)+(IF($A$7=Nutrients!$B$8,Nutrients!$DF$8,Nutrients!$DF$9)*L$7)+(((IF($A$8=Nutrients!$B$79,Nutrients!$DF$79,(IF($A$8=Nutrients!$B$77,Nutrients!$DF$77,Nutrients!$DF$78)))))*L$8))/2000/L$236*100</f>
        <v>62.998733962907352</v>
      </c>
      <c r="M241" s="225">
        <f>(SUMPRODUCT(M$9:M$229,Nutrients!$DF$8:$DF$228)+(IF($A$7=Nutrients!$B$8,Nutrients!$DF$8,Nutrients!$DF$9)*M$7)+(((IF($A$8=Nutrients!$B$79,Nutrients!$DF$79,(IF($A$8=Nutrients!$B$77,Nutrients!$DF$77,Nutrients!$DF$78)))))*M$8))/2000/M$236*100</f>
        <v>63.018696565502999</v>
      </c>
      <c r="N241" s="225">
        <f>(SUMPRODUCT(N$9:N$229,Nutrients!$DF$8:$DF$228)+(IF($A$7=Nutrients!$B$8,Nutrients!$DF$8,Nutrients!$DF$9)*N$7)+(((IF($A$8=Nutrients!$B$79,Nutrients!$DF$79,(IF($A$8=Nutrients!$B$77,Nutrients!$DF$77,Nutrients!$DF$78)))))*N$8))/2000/N$236*100</f>
        <v>63.997526400855939</v>
      </c>
      <c r="O241" s="472"/>
      <c r="P241" s="225">
        <f>(SUMPRODUCT(P$9:P$229,Nutrients!$DF$8:$DF$228)+(IF($A$7=Nutrients!$B$8,Nutrients!$DF$8,Nutrients!$DF$9)*P$7)+(((IF($A$8=Nutrients!$B$79,Nutrients!$DF$79,(IF($A$8=Nutrients!$B$77,Nutrients!$DF$77,Nutrients!$DF$78)))))*P$8))/2000/P$236*100</f>
        <v>61.944010207716261</v>
      </c>
      <c r="Q241" s="225">
        <f>(SUMPRODUCT(Q$9:Q$229,Nutrients!$DF$8:$DF$228)+(IF($A$7=Nutrients!$B$8,Nutrients!$DF$8,Nutrients!$DF$9)*Q$7)+(((IF($A$8=Nutrients!$B$79,Nutrients!$DF$79,(IF($A$8=Nutrients!$B$77,Nutrients!$DF$77,Nutrients!$DF$78)))))*Q$8))/2000/Q$236*100</f>
        <v>61.981480338144976</v>
      </c>
      <c r="R241" s="225">
        <f>(SUMPRODUCT(R$9:R$229,Nutrients!$DF$8:$DF$228)+(IF($A$7=Nutrients!$B$8,Nutrients!$DF$8,Nutrients!$DF$9)*R$7)+(((IF($A$8=Nutrients!$B$79,Nutrients!$DF$79,(IF($A$8=Nutrients!$B$77,Nutrients!$DF$77,Nutrients!$DF$78)))))*R$8))/2000/R$236*100</f>
        <v>61.978644928766613</v>
      </c>
      <c r="S241" s="225">
        <f>(SUMPRODUCT(S$9:S$229,Nutrients!$DF$8:$DF$228)+(IF($A$7=Nutrients!$B$8,Nutrients!$DF$8,Nutrients!$DF$9)*S$7)+(((IF($A$8=Nutrients!$B$79,Nutrients!$DF$79,(IF($A$8=Nutrients!$B$77,Nutrients!$DF$77,Nutrients!$DF$78)))))*S$8))/2000/S$236*100</f>
        <v>62.957002685246323</v>
      </c>
      <c r="T241" s="225">
        <f>(SUMPRODUCT(T$9:T$229,Nutrients!$DF$8:$DF$228)+(IF($A$7=Nutrients!$B$8,Nutrients!$DF$8,Nutrients!$DF$9)*T$7)+(((IF($A$8=Nutrients!$B$79,Nutrients!$DF$79,(IF($A$8=Nutrients!$B$77,Nutrients!$DF$77,Nutrients!$DF$78)))))*T$8))/2000/T$236*100</f>
        <v>62.973520681498648</v>
      </c>
      <c r="U241" s="225">
        <f>(SUMPRODUCT(U$9:U$229,Nutrients!$DF$8:$DF$228)+(IF($A$7=Nutrients!$B$8,Nutrients!$DF$8,Nutrients!$DF$9)*U$7)+(((IF($A$8=Nutrients!$B$79,Nutrients!$DF$79,(IF($A$8=Nutrients!$B$77,Nutrients!$DF$77,Nutrients!$DF$78)))))*U$8))/2000/U$236*100</f>
        <v>63.997526400855939</v>
      </c>
      <c r="V241" s="9"/>
      <c r="W241" s="225">
        <f>(SUMPRODUCT(W$9:W$229,Nutrients!$DF$8:$DF$228)+(IF($A$7=Nutrients!$B$8,Nutrients!$DF$8,Nutrients!$DF$9)*W$7)+(((IF($A$8=Nutrients!$B$79,Nutrients!$DF$79,(IF($A$8=Nutrients!$B$77,Nutrients!$DF$77,Nutrients!$DF$78)))))*W$8))/2000/W$236*100</f>
        <v>61.957453069165894</v>
      </c>
      <c r="X241" s="225">
        <f>(SUMPRODUCT(X$9:X$229,Nutrients!$DF$8:$DF$228)+(IF($A$7=Nutrients!$B$8,Nutrients!$DF$8,Nutrients!$DF$9)*X$7)+(((IF($A$8=Nutrients!$B$79,Nutrients!$DF$79,(IF($A$8=Nutrients!$B$77,Nutrients!$DF$77,Nutrients!$DF$78)))))*X$8))/2000/X$236*100</f>
        <v>61.996002374038916</v>
      </c>
      <c r="Y241" s="225">
        <f>(SUMPRODUCT(Y$9:Y$229,Nutrients!$DF$8:$DF$228)+(IF($A$7=Nutrients!$B$8,Nutrients!$DF$8,Nutrients!$DF$9)*Y$7)+(((IF($A$8=Nutrients!$B$79,Nutrients!$DF$79,(IF($A$8=Nutrients!$B$77,Nutrients!$DF$77,Nutrients!$DF$78)))))*Y$8))/2000/Y$236*100</f>
        <v>61.995209506641778</v>
      </c>
      <c r="Z241" s="225">
        <f>(SUMPRODUCT(Z$9:Z$229,Nutrients!$DF$8:$DF$228)+(IF($A$7=Nutrients!$B$8,Nutrients!$DF$8,Nutrients!$DF$9)*Z$7)+(((IF($A$8=Nutrients!$B$79,Nutrients!$DF$79,(IF($A$8=Nutrients!$B$77,Nutrients!$DF$77,Nutrients!$DF$78)))))*Z$8))/2000/Z$236*100</f>
        <v>62.974613964196891</v>
      </c>
      <c r="AA241" s="225">
        <f>(SUMPRODUCT(AA$9:AA$229,Nutrients!$DF$8:$DF$228)+(IF($A$7=Nutrients!$B$8,Nutrients!$DF$8,Nutrients!$DF$9)*AA$7)+(((IF($A$8=Nutrients!$B$79,Nutrients!$DF$79,(IF($A$8=Nutrients!$B$77,Nutrients!$DF$77,Nutrients!$DF$78)))))*AA$8))/2000/AA$236*100</f>
        <v>62.99167809387135</v>
      </c>
      <c r="AB241" s="225">
        <f>(SUMPRODUCT(AB$9:AB$229,Nutrients!$DF$8:$DF$228)+(IF($A$7=Nutrients!$B$8,Nutrients!$DF$8,Nutrients!$DF$9)*AB$7)+(((IF($A$8=Nutrients!$B$79,Nutrients!$DF$79,(IF($A$8=Nutrients!$B$77,Nutrients!$DF$77,Nutrients!$DF$78)))))*AB$8))/2000/AB$236*100</f>
        <v>63.997526400855939</v>
      </c>
      <c r="AC241" s="9"/>
      <c r="AD241" s="225">
        <f>(SUMPRODUCT(AD$9:AD$229,Nutrients!$DF$8:$DF$228)+(IF($A$7=Nutrients!$B$8,Nutrients!$DF$8,Nutrients!$DF$9)*AD$7)+(((IF($A$8=Nutrients!$B$79,Nutrients!$DF$79,(IF($A$8=Nutrients!$B$77,Nutrients!$DF$77,Nutrients!$DF$78)))))*AD$8))/2000/AD$236*100</f>
        <v>61.970322468756635</v>
      </c>
      <c r="AE241" s="225">
        <f>(SUMPRODUCT(AE$9:AE$229,Nutrients!$DF$8:$DF$228)+(IF($A$7=Nutrients!$B$8,Nutrients!$DF$8,Nutrients!$DF$9)*AE$7)+(((IF($A$8=Nutrients!$B$79,Nutrients!$DF$79,(IF($A$8=Nutrients!$B$77,Nutrients!$DF$77,Nutrients!$DF$78)))))*AE$8))/2000/AE$236*100</f>
        <v>62.010827908908773</v>
      </c>
      <c r="AF241" s="225">
        <f>(SUMPRODUCT(AF$9:AF$229,Nutrients!$DF$8:$DF$228)+(IF($A$7=Nutrients!$B$8,Nutrients!$DF$8,Nutrients!$DF$9)*AF$7)+(((IF($A$8=Nutrients!$B$79,Nutrients!$DF$79,(IF($A$8=Nutrients!$B$77,Nutrients!$DF$77,Nutrients!$DF$78)))))*AF$8))/2000/AF$236*100</f>
        <v>62.010915177472292</v>
      </c>
      <c r="AG241" s="225">
        <f>(SUMPRODUCT(AG$9:AG$229,Nutrients!$DF$8:$DF$228)+(IF($A$7=Nutrients!$B$8,Nutrients!$DF$8,Nutrients!$DF$9)*AG$7)+(((IF($A$8=Nutrients!$B$79,Nutrients!$DF$79,(IF($A$8=Nutrients!$B$77,Nutrients!$DF$77,Nutrients!$DF$78)))))*AG$8))/2000/AG$236*100</f>
        <v>62.991737093017306</v>
      </c>
      <c r="AH241" s="225">
        <f>(SUMPRODUCT(AH$9:AH$229,Nutrients!$DF$8:$DF$228)+(IF($A$7=Nutrients!$B$8,Nutrients!$DF$8,Nutrients!$DF$9)*AH$7)+(((IF($A$8=Nutrients!$B$79,Nutrients!$DF$79,(IF($A$8=Nutrients!$B$77,Nutrients!$DF$77,Nutrients!$DF$78)))))*AH$8))/2000/AH$236*100</f>
        <v>62.991989344717858</v>
      </c>
      <c r="AI241" s="225">
        <f>(SUMPRODUCT(AI$9:AI$229,Nutrients!$DF$8:$DF$228)+(IF($A$7=Nutrients!$B$8,Nutrients!$DF$8,Nutrients!$DF$9)*AI$7)+(((IF($A$8=Nutrients!$B$79,Nutrients!$DF$79,(IF($A$8=Nutrients!$B$77,Nutrients!$DF$77,Nutrients!$DF$78)))))*AI$8))/2000/AI$236*100</f>
        <v>63.997526400855939</v>
      </c>
      <c r="AJ241" s="9"/>
      <c r="AK241" s="225">
        <f>(SUMPRODUCT(AK$9:AK$229,Nutrients!$DF$8:$DF$228)+(IF($A$7=Nutrients!$B$8,Nutrients!$DF$8,Nutrients!$DF$9)*AK$7)+(((IF($A$8=Nutrients!$B$79,Nutrients!$DF$79,(IF($A$8=Nutrients!$B$77,Nutrients!$DF$77,Nutrients!$DF$78)))))*AK$8))/2000/AK$236*100</f>
        <v>61.982781794099886</v>
      </c>
      <c r="AL241" s="225">
        <f>(SUMPRODUCT(AL$9:AL$229,Nutrients!$DF$8:$DF$228)+(IF($A$7=Nutrients!$B$8,Nutrients!$DF$8,Nutrients!$DF$9)*AL$7)+(((IF($A$8=Nutrients!$B$79,Nutrients!$DF$79,(IF($A$8=Nutrients!$B$77,Nutrients!$DF$77,Nutrients!$DF$78)))))*AL$8))/2000/AL$236*100</f>
        <v>62.02470156702072</v>
      </c>
      <c r="AM241" s="225">
        <f>(SUMPRODUCT(AM$9:AM$229,Nutrients!$DF$8:$DF$228)+(IF($A$7=Nutrients!$B$8,Nutrients!$DF$8,Nutrients!$DF$9)*AM$7)+(((IF($A$8=Nutrients!$B$79,Nutrients!$DF$79,(IF($A$8=Nutrients!$B$77,Nutrients!$DF$77,Nutrients!$DF$78)))))*AM$8))/2000/AM$236*100</f>
        <v>62.026972678214932</v>
      </c>
      <c r="AN241" s="225">
        <f>(SUMPRODUCT(AN$9:AN$229,Nutrients!$DF$8:$DF$228)+(IF($A$7=Nutrients!$B$8,Nutrients!$DF$8,Nutrients!$DF$9)*AN$7)+(((IF($A$8=Nutrients!$B$79,Nutrients!$DF$79,(IF($A$8=Nutrients!$B$77,Nutrients!$DF$77,Nutrients!$DF$78)))))*AN$8))/2000/AN$236*100</f>
        <v>62.994431916126359</v>
      </c>
      <c r="AO241" s="225">
        <f>(SUMPRODUCT(AO$9:AO$229,Nutrients!$DF$8:$DF$228)+(IF($A$7=Nutrients!$B$8,Nutrients!$DF$8,Nutrients!$DF$9)*AO$7)+(((IF($A$8=Nutrients!$B$79,Nutrients!$DF$79,(IF($A$8=Nutrients!$B$77,Nutrients!$DF$77,Nutrients!$DF$78)))))*AO$8))/2000/AO$236*100</f>
        <v>62.98741770708687</v>
      </c>
      <c r="AP241" s="225">
        <f>(SUMPRODUCT(AP$9:AP$229,Nutrients!$DF$8:$DF$228)+(IF($A$7=Nutrients!$B$8,Nutrients!$DF$8,Nutrients!$DF$9)*AP$7)+(((IF($A$8=Nutrients!$B$79,Nutrients!$DF$79,(IF($A$8=Nutrients!$B$77,Nutrients!$DF$77,Nutrients!$DF$78)))))*AP$8))/2000/AP$236*100</f>
        <v>63.997526400855939</v>
      </c>
      <c r="AQ241" s="9"/>
      <c r="AR241" s="225">
        <f>(SUMPRODUCT(AR$9:AR$229,Nutrients!$DF$8:$DF$228)+(IF($A$7=Nutrients!$B$8,Nutrients!$DF$8,Nutrients!$DF$9)*AR$7)+(((IF($A$8=Nutrients!$B$79,Nutrients!$DF$79,(IF($A$8=Nutrients!$B$77,Nutrients!$DF$77,Nutrients!$DF$78)))))*AR$8))/2000/AR$236*100</f>
        <v>61.994480860813837</v>
      </c>
      <c r="AS241" s="225">
        <f>(SUMPRODUCT(AS$9:AS$229,Nutrients!$DF$8:$DF$228)+(IF($A$7=Nutrients!$B$8,Nutrients!$DF$8,Nutrients!$DF$9)*AS$7)+(((IF($A$8=Nutrients!$B$79,Nutrients!$DF$79,(IF($A$8=Nutrients!$B$77,Nutrients!$DF$77,Nutrients!$DF$78)))))*AS$8))/2000/AS$236*100</f>
        <v>62.038446310317156</v>
      </c>
      <c r="AT241" s="225">
        <f>(SUMPRODUCT(AT$9:AT$229,Nutrients!$DF$8:$DF$228)+(IF($A$7=Nutrients!$B$8,Nutrients!$DF$8,Nutrients!$DF$9)*AT$7)+(((IF($A$8=Nutrients!$B$79,Nutrients!$DF$79,(IF($A$8=Nutrients!$B$77,Nutrients!$DF$77,Nutrients!$DF$78)))))*AT$8))/2000/AT$236*100</f>
        <v>62.040542052636525</v>
      </c>
      <c r="AU241" s="225">
        <f>(SUMPRODUCT(AU$9:AU$229,Nutrients!$DF$8:$DF$228)+(IF($A$7=Nutrients!$B$8,Nutrients!$DF$8,Nutrients!$DF$9)*AU$7)+(((IF($A$8=Nutrients!$B$79,Nutrients!$DF$79,(IF($A$8=Nutrients!$B$77,Nutrients!$DF$77,Nutrients!$DF$78)))))*AU$8))/2000/AU$236*100</f>
        <v>62.990269547896268</v>
      </c>
      <c r="AV241" s="225">
        <f>(SUMPRODUCT(AV$9:AV$229,Nutrients!$DF$8:$DF$228)+(IF($A$7=Nutrients!$B$8,Nutrients!$DF$8,Nutrients!$DF$9)*AV$7)+(((IF($A$8=Nutrients!$B$79,Nutrients!$DF$79,(IF($A$8=Nutrients!$B$77,Nutrients!$DF$77,Nutrients!$DF$78)))))*AV$8))/2000/AV$236*100</f>
        <v>62.982842640723746</v>
      </c>
      <c r="AW241" s="225">
        <f>(SUMPRODUCT(AW$9:AW$229,Nutrients!$DF$8:$DF$228)+(IF($A$7=Nutrients!$B$8,Nutrients!$DF$8,Nutrients!$DF$9)*AW$7)+(((IF($A$8=Nutrients!$B$79,Nutrients!$DF$79,(IF($A$8=Nutrients!$B$77,Nutrients!$DF$77,Nutrients!$DF$78)))))*AW$8))/2000/AW$236*100</f>
        <v>63.997526400855939</v>
      </c>
      <c r="AX241" s="13"/>
    </row>
    <row r="242" spans="1:57" x14ac:dyDescent="0.25">
      <c r="A242" s="38" t="s">
        <v>387</v>
      </c>
      <c r="B242" s="224">
        <f>(SUMPRODUCT(B$9:B$229,Nutrients!$DG$8:$DG$228)+(IF($A$7=Nutrients!$B$8,Nutrients!$DG$8,Nutrients!$DG$9)*B$7)+(((IF($A$8=Nutrients!$B$79,Nutrients!$DG$79,(IF($A$8=Nutrients!$B$77,Nutrients!$DG$77,Nutrients!$DG$78)))))*B$8))/2000/B$236*100</f>
        <v>19.000000000000007</v>
      </c>
      <c r="C242" s="224">
        <f>(SUMPRODUCT(C$9:C$229,Nutrients!$DG$8:$DG$228)+(IF($A$7=Nutrients!$B$8,Nutrients!$DG$8,Nutrients!$DG$9)*C$7)+(((IF($A$8=Nutrients!$B$79,Nutrients!$DG$79,(IF($A$8=Nutrients!$B$77,Nutrients!$DG$77,Nutrients!$DG$78)))))*C$8))/2000/C$236*100</f>
        <v>18.999991891262606</v>
      </c>
      <c r="D242" s="224">
        <f>(SUMPRODUCT(D$9:D$229,Nutrients!$DG$8:$DG$228)+(IF($A$7=Nutrients!$B$8,Nutrients!$DG$8,Nutrients!$DG$9)*D$7)+(((IF($A$8=Nutrients!$B$79,Nutrients!$DG$79,(IF($A$8=Nutrients!$B$77,Nutrients!$DG$77,Nutrients!$DG$78)))))*D$8))/2000/D$236*100</f>
        <v>18.999965465148328</v>
      </c>
      <c r="E242" s="224">
        <f>(SUMPRODUCT(E$9:E$229,Nutrients!$DG$8:$DG$228)+(IF($A$7=Nutrients!$B$8,Nutrients!$DG$8,Nutrients!$DG$9)*E$7)+(((IF($A$8=Nutrients!$B$79,Nutrients!$DG$79,(IF($A$8=Nutrients!$B$77,Nutrients!$DG$77,Nutrients!$DG$78)))))*E$8))/2000/E$236*100</f>
        <v>19.040987478551372</v>
      </c>
      <c r="F242" s="224">
        <f>(SUMPRODUCT(F$9:F$229,Nutrients!$DG$8:$DG$228)+(IF($A$7=Nutrients!$B$8,Nutrients!$DG$8,Nutrients!$DG$9)*F$7)+(((IF($A$8=Nutrients!$B$79,Nutrients!$DG$79,(IF($A$8=Nutrients!$B$77,Nutrients!$DG$77,Nutrients!$DG$78)))))*F$8))/2000/F$236*100</f>
        <v>19.105485625301228</v>
      </c>
      <c r="G242" s="224">
        <f>(SUMPRODUCT(G$9:G$229,Nutrients!$DG$8:$DG$228)+(IF($A$7=Nutrients!$B$8,Nutrients!$DG$8,Nutrients!$DG$9)*G$7)+(((IF($A$8=Nutrients!$B$79,Nutrients!$DG$79,(IF($A$8=Nutrients!$B$77,Nutrients!$DG$77,Nutrients!$DG$78)))))*G$8))/2000/G$236*100</f>
        <v>19.003555679157927</v>
      </c>
      <c r="H242" s="224"/>
      <c r="I242" s="225">
        <f>(SUMPRODUCT(I$9:I$229,Nutrients!$DG$8:$DG$228)+(IF($A$7=Nutrients!$B$8,Nutrients!$DG$8,Nutrients!$DG$9)*I$7)+(((IF($A$8=Nutrients!$B$79,Nutrients!$DG$79,(IF($A$8=Nutrients!$B$77,Nutrients!$DG$77,Nutrients!$DG$78)))))*I$8))/2000/I$236*100</f>
        <v>19.02669178997396</v>
      </c>
      <c r="J242" s="225">
        <f>(SUMPRODUCT(J$9:J$229,Nutrients!$DG$8:$DG$228)+(IF($A$7=Nutrients!$B$8,Nutrients!$DG$8,Nutrients!$DG$9)*J$7)+(((IF($A$8=Nutrients!$B$79,Nutrients!$DG$79,(IF($A$8=Nutrients!$B$77,Nutrients!$DG$77,Nutrients!$DG$78)))))*J$8))/2000/J$236*100</f>
        <v>19.025269913236961</v>
      </c>
      <c r="K242" s="225">
        <f>(SUMPRODUCT(K$9:K$229,Nutrients!$DG$8:$DG$228)+(IF($A$7=Nutrients!$B$8,Nutrients!$DG$8,Nutrients!$DG$9)*K$7)+(((IF($A$8=Nutrients!$B$79,Nutrients!$DG$79,(IF($A$8=Nutrients!$B$77,Nutrients!$DG$77,Nutrients!$DG$78)))))*K$8))/2000/K$236*100</f>
        <v>19.024126552535716</v>
      </c>
      <c r="L242" s="225">
        <f>(SUMPRODUCT(L$9:L$229,Nutrients!$DG$8:$DG$228)+(IF($A$7=Nutrients!$B$8,Nutrients!$DG$8,Nutrients!$DG$9)*L$7)+(((IF($A$8=Nutrients!$B$79,Nutrients!$DG$79,(IF($A$8=Nutrients!$B$77,Nutrients!$DG$77,Nutrients!$DG$78)))))*L$8))/2000/L$236*100</f>
        <v>19.023477319672793</v>
      </c>
      <c r="M242" s="225">
        <f>(SUMPRODUCT(M$9:M$229,Nutrients!$DG$8:$DG$228)+(IF($A$7=Nutrients!$B$8,Nutrients!$DG$8,Nutrients!$DG$9)*M$7)+(((IF($A$8=Nutrients!$B$79,Nutrients!$DG$79,(IF($A$8=Nutrients!$B$77,Nutrients!$DG$77,Nutrients!$DG$78)))))*M$8))/2000/M$236*100</f>
        <v>19.025765325755533</v>
      </c>
      <c r="N242" s="225">
        <f>(SUMPRODUCT(N$9:N$229,Nutrients!$DG$8:$DG$228)+(IF($A$7=Nutrients!$B$8,Nutrients!$DG$8,Nutrients!$DG$9)*N$7)+(((IF($A$8=Nutrients!$B$79,Nutrients!$DG$79,(IF($A$8=Nutrients!$B$77,Nutrients!$DG$77,Nutrients!$DG$78)))))*N$8))/2000/N$236*100</f>
        <v>19.003555679157927</v>
      </c>
      <c r="O242" s="472"/>
      <c r="P242" s="225">
        <f>(SUMPRODUCT(P$9:P$229,Nutrients!$DG$8:$DG$228)+(IF($A$7=Nutrients!$B$8,Nutrients!$DG$8,Nutrients!$DG$9)*P$7)+(((IF($A$8=Nutrients!$B$79,Nutrients!$DG$79,(IF($A$8=Nutrients!$B$77,Nutrients!$DG$77,Nutrients!$DG$78)))))*P$8))/2000/P$236*100</f>
        <v>19.047716994541275</v>
      </c>
      <c r="Q242" s="225">
        <f>(SUMPRODUCT(Q$9:Q$229,Nutrients!$DG$8:$DG$228)+(IF($A$7=Nutrients!$B$8,Nutrients!$DG$8,Nutrients!$DG$9)*Q$7)+(((IF($A$8=Nutrients!$B$79,Nutrients!$DG$79,(IF($A$8=Nutrients!$B$77,Nutrients!$DG$77,Nutrients!$DG$78)))))*Q$8))/2000/Q$236*100</f>
        <v>19.045999005840457</v>
      </c>
      <c r="R242" s="225">
        <f>(SUMPRODUCT(R$9:R$229,Nutrients!$DG$8:$DG$228)+(IF($A$7=Nutrients!$B$8,Nutrients!$DG$8,Nutrients!$DG$9)*R$7)+(((IF($A$8=Nutrients!$B$79,Nutrients!$DG$79,(IF($A$8=Nutrients!$B$77,Nutrients!$DG$77,Nutrients!$DG$78)))))*R$8))/2000/R$236*100</f>
        <v>19.024724824045673</v>
      </c>
      <c r="S242" s="225">
        <f>(SUMPRODUCT(S$9:S$229,Nutrients!$DG$8:$DG$228)+(IF($A$7=Nutrients!$B$8,Nutrients!$DG$8,Nutrients!$DG$9)*S$7)+(((IF($A$8=Nutrients!$B$79,Nutrients!$DG$79,(IF($A$8=Nutrients!$B$77,Nutrients!$DG$77,Nutrients!$DG$78)))))*S$8))/2000/S$236*100</f>
        <v>19.024157160210624</v>
      </c>
      <c r="T242" s="225">
        <f>(SUMPRODUCT(T$9:T$229,Nutrients!$DG$8:$DG$228)+(IF($A$7=Nutrients!$B$8,Nutrients!$DG$8,Nutrients!$DG$9)*T$7)+(((IF($A$8=Nutrients!$B$79,Nutrients!$DG$79,(IF($A$8=Nutrients!$B$77,Nutrients!$DG$77,Nutrients!$DG$78)))))*T$8))/2000/T$236*100</f>
        <v>19.026528571495998</v>
      </c>
      <c r="U242" s="225">
        <f>(SUMPRODUCT(U$9:U$229,Nutrients!$DG$8:$DG$228)+(IF($A$7=Nutrients!$B$8,Nutrients!$DG$8,Nutrients!$DG$9)*U$7)+(((IF($A$8=Nutrients!$B$79,Nutrients!$DG$79,(IF($A$8=Nutrients!$B$77,Nutrients!$DG$77,Nutrients!$DG$78)))))*U$8))/2000/U$236*100</f>
        <v>19.003555679157927</v>
      </c>
      <c r="V242" s="9"/>
      <c r="W242" s="225">
        <f>(SUMPRODUCT(W$9:W$229,Nutrients!$DG$8:$DG$228)+(IF($A$7=Nutrients!$B$8,Nutrients!$DG$8,Nutrients!$DG$9)*W$7)+(((IF($A$8=Nutrients!$B$79,Nutrients!$DG$79,(IF($A$8=Nutrients!$B$77,Nutrients!$DG$77,Nutrients!$DG$78)))))*W$8))/2000/W$236*100</f>
        <v>19.048245285222858</v>
      </c>
      <c r="X242" s="225">
        <f>(SUMPRODUCT(X$9:X$229,Nutrients!$DG$8:$DG$228)+(IF($A$7=Nutrients!$B$8,Nutrients!$DG$8,Nutrients!$DG$9)*X$7)+(((IF($A$8=Nutrients!$B$79,Nutrients!$DG$79,(IF($A$8=Nutrients!$B$77,Nutrients!$DG$77,Nutrients!$DG$78)))))*X$8))/2000/X$236*100</f>
        <v>19.046558534398041</v>
      </c>
      <c r="Y242" s="225">
        <f>(SUMPRODUCT(Y$9:Y$229,Nutrients!$DG$8:$DG$228)+(IF($A$7=Nutrients!$B$8,Nutrients!$DG$8,Nutrients!$DG$9)*Y$7)+(((IF($A$8=Nutrients!$B$79,Nutrients!$DG$79,(IF($A$8=Nutrients!$B$77,Nutrients!$DG$77,Nutrients!$DG$78)))))*Y$8))/2000/Y$236*100</f>
        <v>19.025365355642933</v>
      </c>
      <c r="Z242" s="225">
        <f>(SUMPRODUCT(Z$9:Z$229,Nutrients!$DG$8:$DG$228)+(IF($A$7=Nutrients!$B$8,Nutrients!$DG$8,Nutrients!$DG$9)*Z$7)+(((IF($A$8=Nutrients!$B$79,Nutrients!$DG$79,(IF($A$8=Nutrients!$B$77,Nutrients!$DG$77,Nutrients!$DG$78)))))*Z$8))/2000/Z$236*100</f>
        <v>19.024821565293955</v>
      </c>
      <c r="AA242" s="225">
        <f>(SUMPRODUCT(AA$9:AA$229,Nutrients!$DG$8:$DG$228)+(IF($A$7=Nutrients!$B$8,Nutrients!$DG$8,Nutrients!$DG$9)*AA$7)+(((IF($A$8=Nutrients!$B$79,Nutrients!$DG$79,(IF($A$8=Nutrients!$B$77,Nutrients!$DG$77,Nutrients!$DG$78)))))*AA$8))/2000/AA$236*100</f>
        <v>19.027194410070848</v>
      </c>
      <c r="AB242" s="225">
        <f>(SUMPRODUCT(AB$9:AB$229,Nutrients!$DG$8:$DG$228)+(IF($A$7=Nutrients!$B$8,Nutrients!$DG$8,Nutrients!$DG$9)*AB$7)+(((IF($A$8=Nutrients!$B$79,Nutrients!$DG$79,(IF($A$8=Nutrients!$B$77,Nutrients!$DG$77,Nutrients!$DG$78)))))*AB$8))/2000/AB$236*100</f>
        <v>19.003555679157927</v>
      </c>
      <c r="AC242" s="9"/>
      <c r="AD242" s="225">
        <f>(SUMPRODUCT(AD$9:AD$229,Nutrients!$DG$8:$DG$228)+(IF($A$7=Nutrients!$B$8,Nutrients!$DG$8,Nutrients!$DG$9)*AD$7)+(((IF($A$8=Nutrients!$B$79,Nutrients!$DG$79,(IF($A$8=Nutrients!$B$77,Nutrients!$DG$77,Nutrients!$DG$78)))))*AD$8))/2000/AD$236*100</f>
        <v>18.966118751639087</v>
      </c>
      <c r="AE242" s="225">
        <f>(SUMPRODUCT(AE$9:AE$229,Nutrients!$DG$8:$DG$228)+(IF($A$7=Nutrients!$B$8,Nutrients!$DG$8,Nutrients!$DG$9)*AE$7)+(((IF($A$8=Nutrients!$B$79,Nutrients!$DG$79,(IF($A$8=Nutrients!$B$77,Nutrients!$DG$77,Nutrients!$DG$78)))))*AE$8))/2000/AE$236*100</f>
        <v>18.953687989035252</v>
      </c>
      <c r="AF242" s="225">
        <f>(SUMPRODUCT(AF$9:AF$229,Nutrients!$DG$8:$DG$228)+(IF($A$7=Nutrients!$B$8,Nutrients!$DG$8,Nutrients!$DG$9)*AF$7)+(((IF($A$8=Nutrients!$B$79,Nutrients!$DG$79,(IF($A$8=Nutrients!$B$77,Nutrients!$DG$77,Nutrients!$DG$78)))))*AF$8))/2000/AF$236*100</f>
        <v>19.02595806072231</v>
      </c>
      <c r="AG242" s="225">
        <f>(SUMPRODUCT(AG$9:AG$229,Nutrients!$DG$8:$DG$228)+(IF($A$7=Nutrients!$B$8,Nutrients!$DG$8,Nutrients!$DG$9)*AG$7)+(((IF($A$8=Nutrients!$B$79,Nutrients!$DG$79,(IF($A$8=Nutrients!$B$77,Nutrients!$DG$77,Nutrients!$DG$78)))))*AG$8))/2000/AG$236*100</f>
        <v>19.025458788715333</v>
      </c>
      <c r="AH242" s="225">
        <f>(SUMPRODUCT(AH$9:AH$229,Nutrients!$DG$8:$DG$228)+(IF($A$7=Nutrients!$B$8,Nutrients!$DG$8,Nutrients!$DG$9)*AH$7)+(((IF($A$8=Nutrients!$B$79,Nutrients!$DG$79,(IF($A$8=Nutrients!$B$77,Nutrients!$DG$77,Nutrients!$DG$78)))))*AH$8))/2000/AH$236*100</f>
        <v>19.026866520897581</v>
      </c>
      <c r="AI242" s="225">
        <f>(SUMPRODUCT(AI$9:AI$229,Nutrients!$DG$8:$DG$228)+(IF($A$7=Nutrients!$B$8,Nutrients!$DG$8,Nutrients!$DG$9)*AI$7)+(((IF($A$8=Nutrients!$B$79,Nutrients!$DG$79,(IF($A$8=Nutrients!$B$77,Nutrients!$DG$77,Nutrients!$DG$78)))))*AI$8))/2000/AI$236*100</f>
        <v>19.003555679157927</v>
      </c>
      <c r="AJ242" s="9"/>
      <c r="AK242" s="225">
        <f>(SUMPRODUCT(AK$9:AK$229,Nutrients!$DG$8:$DG$228)+(IF($A$7=Nutrients!$B$8,Nutrients!$DG$8,Nutrients!$DG$9)*AK$7)+(((IF($A$8=Nutrients!$B$79,Nutrients!$DG$79,(IF($A$8=Nutrients!$B$77,Nutrients!$DG$77,Nutrients!$DG$78)))))*AK$8))/2000/AK$236*100</f>
        <v>18.966592276083187</v>
      </c>
      <c r="AL242" s="225">
        <f>(SUMPRODUCT(AL$9:AL$229,Nutrients!$DG$8:$DG$228)+(IF($A$7=Nutrients!$B$8,Nutrients!$DG$8,Nutrients!$DG$9)*AL$7)+(((IF($A$8=Nutrients!$B$79,Nutrients!$DG$79,(IF($A$8=Nutrients!$B$77,Nutrients!$DG$77,Nutrients!$DG$78)))))*AL$8))/2000/AL$236*100</f>
        <v>18.954211413975138</v>
      </c>
      <c r="AM242" s="225">
        <f>(SUMPRODUCT(AM$9:AM$229,Nutrients!$DG$8:$DG$228)+(IF($A$7=Nutrients!$B$8,Nutrients!$DG$8,Nutrients!$DG$9)*AM$7)+(((IF($A$8=Nutrients!$B$79,Nutrients!$DG$79,(IF($A$8=Nutrients!$B$77,Nutrients!$DG$77,Nutrients!$DG$78)))))*AM$8))/2000/AM$236*100</f>
        <v>19.026570356745406</v>
      </c>
      <c r="AN242" s="225">
        <f>(SUMPRODUCT(AN$9:AN$229,Nutrients!$DG$8:$DG$228)+(IF($A$7=Nutrients!$B$8,Nutrients!$DG$8,Nutrients!$DG$9)*AN$7)+(((IF($A$8=Nutrients!$B$79,Nutrients!$DG$79,(IF($A$8=Nutrients!$B$77,Nutrients!$DG$77,Nutrients!$DG$78)))))*AN$8))/2000/AN$236*100</f>
        <v>19.025292600841649</v>
      </c>
      <c r="AO242" s="225">
        <f>(SUMPRODUCT(AO$9:AO$229,Nutrients!$DG$8:$DG$228)+(IF($A$7=Nutrients!$B$8,Nutrients!$DG$8,Nutrients!$DG$9)*AO$7)+(((IF($A$8=Nutrients!$B$79,Nutrients!$DG$79,(IF($A$8=Nutrients!$B$77,Nutrients!$DG$77,Nutrients!$DG$78)))))*AO$8))/2000/AO$236*100</f>
        <v>19.02626673786278</v>
      </c>
      <c r="AP242" s="225">
        <f>(SUMPRODUCT(AP$9:AP$229,Nutrients!$DG$8:$DG$228)+(IF($A$7=Nutrients!$B$8,Nutrients!$DG$8,Nutrients!$DG$9)*AP$7)+(((IF($A$8=Nutrients!$B$79,Nutrients!$DG$79,(IF($A$8=Nutrients!$B$77,Nutrients!$DG$77,Nutrients!$DG$78)))))*AP$8))/2000/AP$236*100</f>
        <v>19.003555679157927</v>
      </c>
      <c r="AQ242" s="9"/>
      <c r="AR242" s="225">
        <f>(SUMPRODUCT(AR$9:AR$229,Nutrients!$DG$8:$DG$228)+(IF($A$7=Nutrients!$B$8,Nutrients!$DG$8,Nutrients!$DG$9)*AR$7)+(((IF($A$8=Nutrients!$B$79,Nutrients!$DG$79,(IF($A$8=Nutrients!$B$77,Nutrients!$DG$77,Nutrients!$DG$78)))))*AR$8))/2000/AR$236*100</f>
        <v>18.967023467048776</v>
      </c>
      <c r="AS242" s="225">
        <f>(SUMPRODUCT(AS$9:AS$229,Nutrients!$DG$8:$DG$228)+(IF($A$7=Nutrients!$B$8,Nutrients!$DG$8,Nutrients!$DG$9)*AS$7)+(((IF($A$8=Nutrients!$B$79,Nutrients!$DG$79,(IF($A$8=Nutrients!$B$77,Nutrients!$DG$77,Nutrients!$DG$78)))))*AS$8))/2000/AS$236*100</f>
        <v>18.954727660551811</v>
      </c>
      <c r="AT242" s="225">
        <f>(SUMPRODUCT(AT$9:AT$229,Nutrients!$DG$8:$DG$228)+(IF($A$7=Nutrients!$B$8,Nutrients!$DG$8,Nutrients!$DG$9)*AT$7)+(((IF($A$8=Nutrients!$B$79,Nutrients!$DG$79,(IF($A$8=Nutrients!$B$77,Nutrients!$DG$77,Nutrients!$DG$78)))))*AT$8))/2000/AT$236*100</f>
        <v>19.027044106439529</v>
      </c>
      <c r="AU242" s="225">
        <f>(SUMPRODUCT(AU$9:AU$229,Nutrients!$DG$8:$DG$228)+(IF($A$7=Nutrients!$B$8,Nutrients!$DG$8,Nutrients!$DG$9)*AU$7)+(((IF($A$8=Nutrients!$B$79,Nutrients!$DG$79,(IF($A$8=Nutrients!$B$77,Nutrients!$DG$77,Nutrients!$DG$78)))))*AU$8))/2000/AU$236*100</f>
        <v>19.024744584007276</v>
      </c>
      <c r="AV242" s="225">
        <f>(SUMPRODUCT(AV$9:AV$229,Nutrients!$DG$8:$DG$228)+(IF($A$7=Nutrients!$B$8,Nutrients!$DG$8,Nutrients!$DG$9)*AV$7)+(((IF($A$8=Nutrients!$B$79,Nutrients!$DG$79,(IF($A$8=Nutrients!$B$77,Nutrients!$DG$77,Nutrients!$DG$78)))))*AV$8))/2000/AV$236*100</f>
        <v>19.025666763905889</v>
      </c>
      <c r="AW242" s="225">
        <f>(SUMPRODUCT(AW$9:AW$229,Nutrients!$DG$8:$DG$228)+(IF($A$7=Nutrients!$B$8,Nutrients!$DG$8,Nutrients!$DG$9)*AW$7)+(((IF($A$8=Nutrients!$B$79,Nutrients!$DG$79,(IF($A$8=Nutrients!$B$77,Nutrients!$DG$77,Nutrients!$DG$78)))))*AW$8))/2000/AW$236*100</f>
        <v>19.003555679157927</v>
      </c>
      <c r="AX242" s="13"/>
    </row>
    <row r="243" spans="1:57" x14ac:dyDescent="0.25">
      <c r="A243" s="38" t="s">
        <v>388</v>
      </c>
      <c r="B243" s="224">
        <f>(SUMPRODUCT(B$9:B$229,Nutrients!$DH$8:$DH$228)+(IF($A$7=Nutrients!$B$8,Nutrients!$DH$8,Nutrients!$DH$9)*B$7)+(((IF($A$8=Nutrients!$B$79,Nutrients!$DH$79,(IF($A$8=Nutrients!$B$77,Nutrients!$DH$77,Nutrients!$DH$78)))))*B$8))/2000/B$236*100</f>
        <v>67.999142547613729</v>
      </c>
      <c r="C243" s="224">
        <f>(SUMPRODUCT(C$9:C$229,Nutrients!$DH$8:$DH$228)+(IF($A$7=Nutrients!$B$8,Nutrients!$DH$8,Nutrients!$DH$9)*C$7)+(((IF($A$8=Nutrients!$B$79,Nutrients!$DH$79,(IF($A$8=Nutrients!$B$77,Nutrients!$DH$77,Nutrients!$DH$78)))))*C$8))/2000/C$236*100</f>
        <v>68.120000000000076</v>
      </c>
      <c r="D243" s="224">
        <f>(SUMPRODUCT(D$9:D$229,Nutrients!$DH$8:$DH$228)+(IF($A$7=Nutrients!$B$8,Nutrients!$DH$8,Nutrients!$DH$9)*D$7)+(((IF($A$8=Nutrients!$B$79,Nutrients!$DH$79,(IF($A$8=Nutrients!$B$77,Nutrients!$DH$77,Nutrients!$DH$78)))))*D$8))/2000/D$236*100</f>
        <v>68.530000000000015</v>
      </c>
      <c r="E243" s="224">
        <f>(SUMPRODUCT(E$9:E$229,Nutrients!$DH$8:$DH$228)+(IF($A$7=Nutrients!$B$8,Nutrients!$DH$8,Nutrients!$DH$9)*E$7)+(((IF($A$8=Nutrients!$B$79,Nutrients!$DH$79,(IF($A$8=Nutrients!$B$77,Nutrients!$DH$77,Nutrients!$DH$78)))))*E$8))/2000/E$236*100</f>
        <v>69.691537460576043</v>
      </c>
      <c r="F243" s="224">
        <f>(SUMPRODUCT(F$9:F$229,Nutrients!$DH$8:$DH$228)+(IF($A$7=Nutrients!$B$8,Nutrients!$DH$8,Nutrients!$DH$9)*F$7)+(((IF($A$8=Nutrients!$B$79,Nutrients!$DH$79,(IF($A$8=Nutrients!$B$77,Nutrients!$DH$77,Nutrients!$DH$78)))))*F$8))/2000/F$236*100</f>
        <v>70.432280668663623</v>
      </c>
      <c r="G243" s="224">
        <f>(SUMPRODUCT(G$9:G$229,Nutrients!$DH$8:$DH$228)+(IF($A$7=Nutrients!$B$8,Nutrients!$DH$8,Nutrients!$DH$9)*G$7)+(((IF($A$8=Nutrients!$B$79,Nutrients!$DH$79,(IF($A$8=Nutrients!$B$77,Nutrients!$DH$77,Nutrients!$DH$78)))))*G$8))/2000/G$236*100</f>
        <v>70.540000000000006</v>
      </c>
      <c r="H243" s="224"/>
      <c r="I243" s="225">
        <f>(SUMPRODUCT(I$9:I$229,Nutrients!$DH$8:$DH$228)+(IF($A$7=Nutrients!$B$8,Nutrients!$DH$8,Nutrients!$DH$9)*I$7)+(((IF($A$8=Nutrients!$B$79,Nutrients!$DH$79,(IF($A$8=Nutrients!$B$77,Nutrients!$DH$77,Nutrients!$DH$78)))))*I$8))/2000/I$236*100</f>
        <v>67.948763096044402</v>
      </c>
      <c r="J243" s="225">
        <f>(SUMPRODUCT(J$9:J$229,Nutrients!$DH$8:$DH$228)+(IF($A$7=Nutrients!$B$8,Nutrients!$DH$8,Nutrients!$DH$9)*J$7)+(((IF($A$8=Nutrients!$B$79,Nutrients!$DH$79,(IF($A$8=Nutrients!$B$77,Nutrients!$DH$77,Nutrients!$DH$78)))))*J$8))/2000/J$236*100</f>
        <v>68.35306236317426</v>
      </c>
      <c r="K243" s="225">
        <f>(SUMPRODUCT(K$9:K$229,Nutrients!$DH$8:$DH$228)+(IF($A$7=Nutrients!$B$8,Nutrients!$DH$8,Nutrients!$DH$9)*K$7)+(((IF($A$8=Nutrients!$B$79,Nutrients!$DH$79,(IF($A$8=Nutrients!$B$77,Nutrients!$DH$77,Nutrients!$DH$78)))))*K$8))/2000/K$236*100</f>
        <v>69.433054376695438</v>
      </c>
      <c r="L243" s="225">
        <f>(SUMPRODUCT(L$9:L$229,Nutrients!$DH$8:$DH$228)+(IF($A$7=Nutrients!$B$8,Nutrients!$DH$8,Nutrients!$DH$9)*L$7)+(((IF($A$8=Nutrients!$B$79,Nutrients!$DH$79,(IF($A$8=Nutrients!$B$77,Nutrients!$DH$77,Nutrients!$DH$78)))))*L$8))/2000/L$236*100</f>
        <v>70.531192424457274</v>
      </c>
      <c r="M243" s="225">
        <f>(SUMPRODUCT(M$9:M$229,Nutrients!$DH$8:$DH$228)+(IF($A$7=Nutrients!$B$8,Nutrients!$DH$8,Nutrients!$DH$9)*M$7)+(((IF($A$8=Nutrients!$B$79,Nutrients!$DH$79,(IF($A$8=Nutrients!$B$77,Nutrients!$DH$77,Nutrients!$DH$78)))))*M$8))/2000/M$236*100</f>
        <v>71.193957264502501</v>
      </c>
      <c r="N243" s="225">
        <f>(SUMPRODUCT(N$9:N$229,Nutrients!$DH$8:$DH$228)+(IF($A$7=Nutrients!$B$8,Nutrients!$DH$8,Nutrients!$DH$9)*N$7)+(((IF($A$8=Nutrients!$B$79,Nutrients!$DH$79,(IF($A$8=Nutrients!$B$77,Nutrients!$DH$77,Nutrients!$DH$78)))))*N$8))/2000/N$236*100</f>
        <v>70.540000000000006</v>
      </c>
      <c r="O243" s="472"/>
      <c r="P243" s="225">
        <f>(SUMPRODUCT(P$9:P$229,Nutrients!$DH$8:$DH$228)+(IF($A$7=Nutrients!$B$8,Nutrients!$DH$8,Nutrients!$DH$9)*P$7)+(((IF($A$8=Nutrients!$B$79,Nutrients!$DH$79,(IF($A$8=Nutrients!$B$77,Nutrients!$DH$77,Nutrients!$DH$78)))))*P$8))/2000/P$236*100</f>
        <v>68.227731916891258</v>
      </c>
      <c r="Q243" s="225">
        <f>(SUMPRODUCT(Q$9:Q$229,Nutrients!$DH$8:$DH$228)+(IF($A$7=Nutrients!$B$8,Nutrients!$DH$8,Nutrients!$DH$9)*Q$7)+(((IF($A$8=Nutrients!$B$79,Nutrients!$DH$79,(IF($A$8=Nutrients!$B$77,Nutrients!$DH$77,Nutrients!$DH$78)))))*Q$8))/2000/Q$236*100</f>
        <v>68.906124726348565</v>
      </c>
      <c r="R243" s="225">
        <f>(SUMPRODUCT(R$9:R$229,Nutrients!$DH$8:$DH$228)+(IF($A$7=Nutrients!$B$8,Nutrients!$DH$8,Nutrients!$DH$9)*R$7)+(((IF($A$8=Nutrients!$B$79,Nutrients!$DH$79,(IF($A$8=Nutrients!$B$77,Nutrients!$DH$77,Nutrients!$DH$78)))))*R$8))/2000/R$236*100</f>
        <v>70.384301525054198</v>
      </c>
      <c r="S243" s="225">
        <f>(SUMPRODUCT(S$9:S$229,Nutrients!$DH$8:$DH$228)+(IF($A$7=Nutrients!$B$8,Nutrients!$DH$8,Nutrients!$DH$9)*S$7)+(((IF($A$8=Nutrients!$B$79,Nutrients!$DH$79,(IF($A$8=Nutrients!$B$77,Nutrients!$DH$77,Nutrients!$DH$78)))))*S$8))/2000/S$236*100</f>
        <v>71.759211402314264</v>
      </c>
      <c r="T243" s="225">
        <f>(SUMPRODUCT(T$9:T$229,Nutrients!$DH$8:$DH$228)+(IF($A$7=Nutrients!$B$8,Nutrients!$DH$8,Nutrients!$DH$9)*T$7)+(((IF($A$8=Nutrients!$B$79,Nutrients!$DH$79,(IF($A$8=Nutrients!$B$77,Nutrients!$DH$77,Nutrients!$DH$78)))))*T$8))/2000/T$236*100</f>
        <v>72.284217216633792</v>
      </c>
      <c r="U243" s="225">
        <f>(SUMPRODUCT(U$9:U$229,Nutrients!$DH$8:$DH$228)+(IF($A$7=Nutrients!$B$8,Nutrients!$DH$8,Nutrients!$DH$9)*U$7)+(((IF($A$8=Nutrients!$B$79,Nutrients!$DH$79,(IF($A$8=Nutrients!$B$77,Nutrients!$DH$77,Nutrients!$DH$78)))))*U$8))/2000/U$236*100</f>
        <v>70.540000000000006</v>
      </c>
      <c r="V243" s="9"/>
      <c r="W243" s="225">
        <f>(SUMPRODUCT(W$9:W$229,Nutrients!$DH$8:$DH$228)+(IF($A$7=Nutrients!$B$8,Nutrients!$DH$8,Nutrients!$DH$9)*W$7)+(((IF($A$8=Nutrients!$B$79,Nutrients!$DH$79,(IF($A$8=Nutrients!$B$77,Nutrients!$DH$77,Nutrients!$DH$78)))))*W$8))/2000/W$236*100</f>
        <v>68.50426742049649</v>
      </c>
      <c r="X243" s="225">
        <f>(SUMPRODUCT(X$9:X$229,Nutrients!$DH$8:$DH$228)+(IF($A$7=Nutrients!$B$8,Nutrients!$DH$8,Nutrients!$DH$9)*X$7)+(((IF($A$8=Nutrients!$B$79,Nutrients!$DH$79,(IF($A$8=Nutrients!$B$77,Nutrients!$DH$77,Nutrients!$DH$78)))))*X$8))/2000/X$236*100</f>
        <v>69.679187089522841</v>
      </c>
      <c r="Y243" s="225">
        <f>(SUMPRODUCT(Y$9:Y$229,Nutrients!$DH$8:$DH$228)+(IF($A$7=Nutrients!$B$8,Nutrients!$DH$8,Nutrients!$DH$9)*Y$7)+(((IF($A$8=Nutrients!$B$79,Nutrients!$DH$79,(IF($A$8=Nutrients!$B$77,Nutrients!$DH$77,Nutrients!$DH$78)))))*Y$8))/2000/Y$236*100</f>
        <v>71.405055140104196</v>
      </c>
      <c r="Z243" s="225">
        <f>(SUMPRODUCT(Z$9:Z$229,Nutrients!$DH$8:$DH$228)+(IF($A$7=Nutrients!$B$8,Nutrients!$DH$8,Nutrients!$DH$9)*Z$7)+(((IF($A$8=Nutrients!$B$79,Nutrients!$DH$79,(IF($A$8=Nutrients!$B$77,Nutrients!$DH$77,Nutrients!$DH$78)))))*Z$8))/2000/Z$236*100</f>
        <v>73.579501925484621</v>
      </c>
      <c r="AA243" s="225">
        <f>(SUMPRODUCT(AA$9:AA$229,Nutrients!$DH$8:$DH$228)+(IF($A$7=Nutrients!$B$8,Nutrients!$DH$8,Nutrients!$DH$9)*AA$7)+(((IF($A$8=Nutrients!$B$79,Nutrients!$DH$79,(IF($A$8=Nutrients!$B$77,Nutrients!$DH$77,Nutrients!$DH$78)))))*AA$8))/2000/AA$236*100</f>
        <v>74.269507616025237</v>
      </c>
      <c r="AB243" s="225">
        <f>(SUMPRODUCT(AB$9:AB$229,Nutrients!$DH$8:$DH$228)+(IF($A$7=Nutrients!$B$8,Nutrients!$DH$8,Nutrients!$DH$9)*AB$7)+(((IF($A$8=Nutrients!$B$79,Nutrients!$DH$79,(IF($A$8=Nutrients!$B$77,Nutrients!$DH$77,Nutrients!$DH$78)))))*AB$8))/2000/AB$236*100</f>
        <v>70.540000000000006</v>
      </c>
      <c r="AC243" s="9"/>
      <c r="AD243" s="225">
        <f>(SUMPRODUCT(AD$9:AD$229,Nutrients!$DH$8:$DH$228)+(IF($A$7=Nutrients!$B$8,Nutrients!$DH$8,Nutrients!$DH$9)*AD$7)+(((IF($A$8=Nutrients!$B$79,Nutrients!$DH$79,(IF($A$8=Nutrients!$B$77,Nutrients!$DH$77,Nutrients!$DH$78)))))*AD$8))/2000/AD$236*100</f>
        <v>69.28546383378287</v>
      </c>
      <c r="AE243" s="225">
        <f>(SUMPRODUCT(AE$9:AE$229,Nutrients!$DH$8:$DH$228)+(IF($A$7=Nutrients!$B$8,Nutrients!$DH$8,Nutrients!$DH$9)*AE$7)+(((IF($A$8=Nutrients!$B$79,Nutrients!$DH$79,(IF($A$8=Nutrients!$B$77,Nutrients!$DH$77,Nutrients!$DH$78)))))*AE$8))/2000/AE$236*100</f>
        <v>70.472408638561959</v>
      </c>
      <c r="AF243" s="225">
        <f>(SUMPRODUCT(AF$9:AF$229,Nutrients!$DH$8:$DH$228)+(IF($A$7=Nutrients!$B$8,Nutrients!$DH$8,Nutrients!$DH$9)*AF$7)+(((IF($A$8=Nutrients!$B$79,Nutrients!$DH$79,(IF($A$8=Nutrients!$B$77,Nutrients!$DH$77,Nutrients!$DH$78)))))*AF$8))/2000/AF$236*100</f>
        <v>73.02730064438046</v>
      </c>
      <c r="AG243" s="225">
        <f>(SUMPRODUCT(AG$9:AG$229,Nutrients!$DH$8:$DH$228)+(IF($A$7=Nutrients!$B$8,Nutrients!$DH$8,Nutrients!$DH$9)*AG$7)+(((IF($A$8=Nutrients!$B$79,Nutrients!$DH$79,(IF($A$8=Nutrients!$B$77,Nutrients!$DH$77,Nutrients!$DH$78)))))*AG$8))/2000/AG$236*100</f>
        <v>75.398973889885895</v>
      </c>
      <c r="AH243" s="225">
        <f>(SUMPRODUCT(AH$9:AH$229,Nutrients!$DH$8:$DH$228)+(IF($A$7=Nutrients!$B$8,Nutrients!$DH$8,Nutrients!$DH$9)*AH$7)+(((IF($A$8=Nutrients!$B$79,Nutrients!$DH$79,(IF($A$8=Nutrients!$B$77,Nutrients!$DH$77,Nutrients!$DH$78)))))*AH$8))/2000/AH$236*100</f>
        <v>76.224872525062196</v>
      </c>
      <c r="AI243" s="225">
        <f>(SUMPRODUCT(AI$9:AI$229,Nutrients!$DH$8:$DH$228)+(IF($A$7=Nutrients!$B$8,Nutrients!$DH$8,Nutrients!$DH$9)*AI$7)+(((IF($A$8=Nutrients!$B$79,Nutrients!$DH$79,(IF($A$8=Nutrients!$B$77,Nutrients!$DH$77,Nutrients!$DH$78)))))*AI$8))/2000/AI$236*100</f>
        <v>70.540000000000006</v>
      </c>
      <c r="AJ243" s="9"/>
      <c r="AK243" s="225">
        <f>(SUMPRODUCT(AK$9:AK$229,Nutrients!$DH$8:$DH$228)+(IF($A$7=Nutrients!$B$8,Nutrients!$DH$8,Nutrients!$DH$9)*AK$7)+(((IF($A$8=Nutrients!$B$79,Nutrients!$DH$79,(IF($A$8=Nutrients!$B$77,Nutrients!$DH$77,Nutrients!$DH$78)))))*AK$8))/2000/AK$236*100</f>
        <v>69.886595058790888</v>
      </c>
      <c r="AL243" s="225">
        <f>(SUMPRODUCT(AL$9:AL$229,Nutrients!$DH$8:$DH$228)+(IF($A$7=Nutrients!$B$8,Nutrients!$DH$8,Nutrients!$DH$9)*AL$7)+(((IF($A$8=Nutrients!$B$79,Nutrients!$DH$79,(IF($A$8=Nutrients!$B$77,Nutrients!$DH$77,Nutrients!$DH$78)))))*AL$8))/2000/AL$236*100</f>
        <v>71.325311815871288</v>
      </c>
      <c r="AM243" s="225">
        <f>(SUMPRODUCT(AM$9:AM$229,Nutrients!$DH$8:$DH$228)+(IF($A$7=Nutrients!$B$8,Nutrients!$DH$8,Nutrients!$DH$9)*AM$7)+(((IF($A$8=Nutrients!$B$79,Nutrients!$DH$79,(IF($A$8=Nutrients!$B$77,Nutrients!$DH$77,Nutrients!$DH$78)))))*AM$8))/2000/AM$236*100</f>
        <v>74.650136117688788</v>
      </c>
      <c r="AN243" s="225">
        <f>(SUMPRODUCT(AN$9:AN$229,Nutrients!$DH$8:$DH$228)+(IF($A$7=Nutrients!$B$8,Nutrients!$DH$8,Nutrients!$DH$9)*AN$7)+(((IF($A$8=Nutrients!$B$79,Nutrients!$DH$79,(IF($A$8=Nutrients!$B$77,Nutrients!$DH$77,Nutrients!$DH$78)))))*AN$8))/2000/AN$236*100</f>
        <v>77.19425162502597</v>
      </c>
      <c r="AO243" s="225">
        <f>(SUMPRODUCT(AO$9:AO$229,Nutrients!$DH$8:$DH$228)+(IF($A$7=Nutrients!$B$8,Nutrients!$DH$8,Nutrients!$DH$9)*AO$7)+(((IF($A$8=Nutrients!$B$79,Nutrients!$DH$79,(IF($A$8=Nutrients!$B$77,Nutrients!$DH$77,Nutrients!$DH$78)))))*AO$8))/2000/AO$236*100</f>
        <v>78.172049520310495</v>
      </c>
      <c r="AP243" s="225">
        <f>(SUMPRODUCT(AP$9:AP$229,Nutrients!$DH$8:$DH$228)+(IF($A$7=Nutrients!$B$8,Nutrients!$DH$8,Nutrients!$DH$9)*AP$7)+(((IF($A$8=Nutrients!$B$79,Nutrients!$DH$79,(IF($A$8=Nutrients!$B$77,Nutrients!$DH$77,Nutrients!$DH$78)))))*AP$8))/2000/AP$236*100</f>
        <v>70.540000000000006</v>
      </c>
      <c r="AQ243" s="9"/>
      <c r="AR243" s="225">
        <f>(SUMPRODUCT(AR$9:AR$229,Nutrients!$DH$8:$DH$228)+(IF($A$7=Nutrients!$B$8,Nutrients!$DH$8,Nutrients!$DH$9)*AR$7)+(((IF($A$8=Nutrients!$B$79,Nutrients!$DH$79,(IF($A$8=Nutrients!$B$77,Nutrients!$DH$77,Nutrients!$DH$78)))))*AR$8))/2000/AR$236*100</f>
        <v>70.570557108941941</v>
      </c>
      <c r="AS243" s="225">
        <f>(SUMPRODUCT(AS$9:AS$229,Nutrients!$DH$8:$DH$228)+(IF($A$7=Nutrients!$B$8,Nutrients!$DH$8,Nutrients!$DH$9)*AS$7)+(((IF($A$8=Nutrients!$B$79,Nutrients!$DH$79,(IF($A$8=Nutrients!$B$77,Nutrients!$DH$77,Nutrients!$DH$78)))))*AS$8))/2000/AS$236*100</f>
        <v>72.571454589845203</v>
      </c>
      <c r="AT243" s="225">
        <f>(SUMPRODUCT(AT$9:AT$229,Nutrients!$DH$8:$DH$228)+(IF($A$7=Nutrients!$B$8,Nutrients!$DH$8,Nutrients!$DH$9)*AT$7)+(((IF($A$8=Nutrients!$B$79,Nutrients!$DH$79,(IF($A$8=Nutrients!$B$77,Nutrients!$DH$77,Nutrients!$DH$78)))))*AT$8))/2000/AT$236*100</f>
        <v>76.268799354849151</v>
      </c>
      <c r="AU243" s="225">
        <f>(SUMPRODUCT(AU$9:AU$229,Nutrients!$DH$8:$DH$228)+(IF($A$7=Nutrients!$B$8,Nutrients!$DH$8,Nutrients!$DH$9)*AU$7)+(((IF($A$8=Nutrients!$B$79,Nutrients!$DH$79,(IF($A$8=Nutrients!$B$77,Nutrients!$DH$77,Nutrients!$DH$78)))))*AU$8))/2000/AU$236*100</f>
        <v>78.978030819542795</v>
      </c>
      <c r="AV243" s="225">
        <f>(SUMPRODUCT(AV$9:AV$229,Nutrients!$DH$8:$DH$228)+(IF($A$7=Nutrients!$B$8,Nutrients!$DH$8,Nutrients!$DH$9)*AV$7)+(((IF($A$8=Nutrients!$B$79,Nutrients!$DH$79,(IF($A$8=Nutrients!$B$77,Nutrients!$DH$77,Nutrients!$DH$78)))))*AV$8))/2000/AV$236*100</f>
        <v>80.119220766059613</v>
      </c>
      <c r="AW243" s="225">
        <f>(SUMPRODUCT(AW$9:AW$229,Nutrients!$DH$8:$DH$228)+(IF($A$7=Nutrients!$B$8,Nutrients!$DH$8,Nutrients!$DH$9)*AW$7)+(((IF($A$8=Nutrients!$B$79,Nutrients!$DH$79,(IF($A$8=Nutrients!$B$77,Nutrients!$DH$77,Nutrients!$DH$78)))))*AW$8))/2000/AW$236*100</f>
        <v>70.540000000000006</v>
      </c>
      <c r="AX243" s="13"/>
    </row>
    <row r="244" spans="1:57" x14ac:dyDescent="0.25">
      <c r="A244" s="38" t="s">
        <v>394</v>
      </c>
      <c r="B244" s="49">
        <f>(SUMPRODUCT(B$9:B$229,Nutrients!$CX$8:$CX$228)+(IF($A$7=Nutrients!$B$8,Nutrients!$CX$8,Nutrients!$CX$9)*B$7)+(((IF($A$8=Nutrients!$B$79,Nutrients!$CX$79,(IF($A$8=Nutrients!$B$77,Nutrients!$CX$77,Nutrients!$CX$78)))))*B$8))/2000/B$236*100</f>
        <v>37.643570590355239</v>
      </c>
      <c r="C244" s="49">
        <f>(SUMPRODUCT(C$9:C$229,Nutrients!$CX$8:$CX$228)+(IF($A$7=Nutrients!$B$8,Nutrients!$CX$8,Nutrients!$CX$9)*C$7)+(((IF($A$8=Nutrients!$B$79,Nutrients!$CX$79,(IF($A$8=Nutrients!$B$77,Nutrients!$CX$77,Nutrients!$CX$78)))))*C$8))/2000/C$236*100</f>
        <v>38.987979019898518</v>
      </c>
      <c r="D244" s="49">
        <f>(SUMPRODUCT(D$9:D$229,Nutrients!$CX$8:$CX$228)+(IF($A$7=Nutrients!$B$8,Nutrients!$CX$8,Nutrients!$CX$9)*D$7)+(((IF($A$8=Nutrients!$B$79,Nutrients!$CX$79,(IF($A$8=Nutrients!$B$77,Nutrients!$CX$77,Nutrients!$CX$78)))))*D$8))/2000/D$236*100</f>
        <v>40.703752845303732</v>
      </c>
      <c r="E244" s="49">
        <f>(SUMPRODUCT(E$9:E$229,Nutrients!$CX$8:$CX$228)+(IF($A$7=Nutrients!$B$8,Nutrients!$CX$8,Nutrients!$CX$9)*E$7)+(((IF($A$8=Nutrients!$B$79,Nutrients!$CX$79,(IF($A$8=Nutrients!$B$77,Nutrients!$CX$77,Nutrients!$CX$78)))))*E$8))/2000/E$236*100</f>
        <v>41.851733002385814</v>
      </c>
      <c r="F244" s="49">
        <f>(SUMPRODUCT(F$9:F$229,Nutrients!$CX$8:$CX$228)+(IF($A$7=Nutrients!$B$8,Nutrients!$CX$8,Nutrients!$CX$9)*F$7)+(((IF($A$8=Nutrients!$B$79,Nutrients!$CX$79,(IF($A$8=Nutrients!$B$77,Nutrients!$CX$77,Nutrients!$CX$78)))))*F$8))/2000/F$236*100</f>
        <v>42.150034216074545</v>
      </c>
      <c r="G244" s="49">
        <f>(SUMPRODUCT(G$9:G$229,Nutrients!$CX$8:$CX$228)+(IF($A$7=Nutrients!$B$8,Nutrients!$CX$8,Nutrients!$CX$9)*G$7)+(((IF($A$8=Nutrients!$B$79,Nutrients!$CX$79,(IF($A$8=Nutrients!$B$77,Nutrients!$CX$77,Nutrients!$CX$78)))))*G$8))/2000/G$236*100</f>
        <v>42.332060863176054</v>
      </c>
      <c r="H244" s="224"/>
      <c r="I244" s="451">
        <f>(SUMPRODUCT(I$9:I$229,Nutrients!$CX$8:$CX$228)+(IF($A$7=Nutrients!$B$8,Nutrients!$CX$8,Nutrients!$CX$9)*I$7)+(((IF($A$8=Nutrients!$B$79,Nutrients!$CX$79,(IF($A$8=Nutrients!$B$77,Nutrients!$CX$77,Nutrients!$CX$78)))))*I$8))/2000/I$236*100</f>
        <v>38.1214283292638</v>
      </c>
      <c r="J244" s="451">
        <f>(SUMPRODUCT(J$9:J$229,Nutrients!$CX$8:$CX$228)+(IF($A$7=Nutrients!$B$8,Nutrients!$CX$8,Nutrients!$CX$9)*J$7)+(((IF($A$8=Nutrients!$B$79,Nutrients!$CX$79,(IF($A$8=Nutrients!$B$77,Nutrients!$CX$77,Nutrients!$CX$78)))))*J$8))/2000/J$236*100</f>
        <v>39.526542648965695</v>
      </c>
      <c r="K244" s="451">
        <f>(SUMPRODUCT(K$9:K$229,Nutrients!$CX$8:$CX$228)+(IF($A$7=Nutrients!$B$8,Nutrients!$CX$8,Nutrients!$CX$9)*K$7)+(((IF($A$8=Nutrients!$B$79,Nutrients!$CX$79,(IF($A$8=Nutrients!$B$77,Nutrients!$CX$77,Nutrients!$CX$78)))))*K$8))/2000/K$236*100</f>
        <v>41.314187397698696</v>
      </c>
      <c r="L244" s="451">
        <f>(SUMPRODUCT(L$9:L$229,Nutrients!$CX$8:$CX$228)+(IF($A$7=Nutrients!$B$8,Nutrients!$CX$8,Nutrients!$CX$9)*L$7)+(((IF($A$8=Nutrients!$B$79,Nutrients!$CX$79,(IF($A$8=Nutrients!$B$77,Nutrients!$CX$77,Nutrients!$CX$78)))))*L$8))/2000/L$236*100</f>
        <v>42.535654832994965</v>
      </c>
      <c r="M244" s="451">
        <f>(SUMPRODUCT(M$9:M$229,Nutrients!$CX$8:$CX$228)+(IF($A$7=Nutrients!$B$8,Nutrients!$CX$8,Nutrients!$CX$9)*M$7)+(((IF($A$8=Nutrients!$B$79,Nutrients!$CX$79,(IF($A$8=Nutrients!$B$77,Nutrients!$CX$77,Nutrients!$CX$78)))))*M$8))/2000/M$236*100</f>
        <v>42.896616530103024</v>
      </c>
      <c r="N244" s="451">
        <f>(SUMPRODUCT(N$9:N$229,Nutrients!$CX$8:$CX$228)+(IF($A$7=Nutrients!$B$8,Nutrients!$CX$8,Nutrients!$CX$9)*N$7)+(((IF($A$8=Nutrients!$B$79,Nutrients!$CX$79,(IF($A$8=Nutrients!$B$77,Nutrients!$CX$77,Nutrients!$CX$78)))))*N$8))/2000/N$236*100</f>
        <v>42.332060863176054</v>
      </c>
      <c r="O244" s="472"/>
      <c r="P244" s="451">
        <f>(SUMPRODUCT(P$9:P$229,Nutrients!$CX$8:$CX$228)+(IF($A$7=Nutrients!$B$8,Nutrients!$CX$8,Nutrients!$CX$9)*P$7)+(((IF($A$8=Nutrients!$B$79,Nutrients!$CX$79,(IF($A$8=Nutrients!$B$77,Nutrients!$CX$77,Nutrients!$CX$78)))))*P$8))/2000/P$236*100</f>
        <v>38.598210338471304</v>
      </c>
      <c r="Q244" s="451">
        <f>(SUMPRODUCT(Q$9:Q$229,Nutrients!$CX$8:$CX$228)+(IF($A$7=Nutrients!$B$8,Nutrients!$CX$8,Nutrients!$CX$9)*Q$7)+(((IF($A$8=Nutrients!$B$79,Nutrients!$CX$79,(IF($A$8=Nutrients!$B$77,Nutrients!$CX$77,Nutrients!$CX$78)))))*Q$8))/2000/Q$236*100</f>
        <v>40.065307522238768</v>
      </c>
      <c r="R244" s="451">
        <f>(SUMPRODUCT(R$9:R$229,Nutrients!$CX$8:$CX$228)+(IF($A$7=Nutrients!$B$8,Nutrients!$CX$8,Nutrients!$CX$9)*R$7)+(((IF($A$8=Nutrients!$B$79,Nutrients!$CX$79,(IF($A$8=Nutrients!$B$77,Nutrients!$CX$77,Nutrients!$CX$78)))))*R$8))/2000/R$236*100</f>
        <v>41.923189025982687</v>
      </c>
      <c r="S244" s="451">
        <f>(SUMPRODUCT(S$9:S$229,Nutrients!$CX$8:$CX$228)+(IF($A$7=Nutrients!$B$8,Nutrients!$CX$8,Nutrients!$CX$9)*S$7)+(((IF($A$8=Nutrients!$B$79,Nutrients!$CX$79,(IF($A$8=Nutrients!$B$77,Nutrients!$CX$77,Nutrients!$CX$78)))))*S$8))/2000/S$236*100</f>
        <v>43.219184561670296</v>
      </c>
      <c r="T244" s="451">
        <f>(SUMPRODUCT(T$9:T$229,Nutrients!$CX$8:$CX$228)+(IF($A$7=Nutrients!$B$8,Nutrients!$CX$8,Nutrients!$CX$9)*T$7)+(((IF($A$8=Nutrients!$B$79,Nutrients!$CX$79,(IF($A$8=Nutrients!$B$77,Nutrients!$CX$77,Nutrients!$CX$78)))))*T$8))/2000/T$236*100</f>
        <v>43.643205810548579</v>
      </c>
      <c r="U244" s="451">
        <f>(SUMPRODUCT(U$9:U$229,Nutrients!$CX$8:$CX$228)+(IF($A$7=Nutrients!$B$8,Nutrients!$CX$8,Nutrients!$CX$9)*U$7)+(((IF($A$8=Nutrients!$B$79,Nutrients!$CX$79,(IF($A$8=Nutrients!$B$77,Nutrients!$CX$77,Nutrients!$CX$78)))))*U$8))/2000/U$236*100</f>
        <v>42.332060863176054</v>
      </c>
      <c r="V244" s="9"/>
      <c r="W244" s="451">
        <f>(SUMPRODUCT(W$9:W$229,Nutrients!$CX$8:$CX$228)+(IF($A$7=Nutrients!$B$8,Nutrients!$CX$8,Nutrients!$CX$9)*W$7)+(((IF($A$8=Nutrients!$B$79,Nutrients!$CX$79,(IF($A$8=Nutrients!$B$77,Nutrients!$CX$77,Nutrients!$CX$78)))))*W$8))/2000/W$236*100</f>
        <v>39.075368681403617</v>
      </c>
      <c r="X244" s="451">
        <f>(SUMPRODUCT(X$9:X$229,Nutrients!$CX$8:$CX$228)+(IF($A$7=Nutrients!$B$8,Nutrients!$CX$8,Nutrients!$CX$9)*X$7)+(((IF($A$8=Nutrients!$B$79,Nutrients!$CX$79,(IF($A$8=Nutrients!$B$77,Nutrients!$CX$77,Nutrients!$CX$78)))))*X$8))/2000/X$236*100</f>
        <v>40.60420496796521</v>
      </c>
      <c r="Y244" s="451">
        <f>(SUMPRODUCT(Y$9:Y$229,Nutrients!$CX$8:$CX$228)+(IF($A$7=Nutrients!$B$8,Nutrients!$CX$8,Nutrients!$CX$9)*Y$7)+(((IF($A$8=Nutrients!$B$79,Nutrients!$CX$79,(IF($A$8=Nutrients!$B$77,Nutrients!$CX$77,Nutrients!$CX$78)))))*Y$8))/2000/Y$236*100</f>
        <v>42.53304921289098</v>
      </c>
      <c r="Z244" s="451">
        <f>(SUMPRODUCT(Z$9:Z$229,Nutrients!$CX$8:$CX$228)+(IF($A$7=Nutrients!$B$8,Nutrients!$CX$8,Nutrients!$CX$9)*Z$7)+(((IF($A$8=Nutrients!$B$79,Nutrients!$CX$79,(IF($A$8=Nutrients!$B$77,Nutrients!$CX$77,Nutrients!$CX$78)))))*Z$8))/2000/Z$236*100</f>
        <v>43.902400702669141</v>
      </c>
      <c r="AA244" s="451">
        <f>(SUMPRODUCT(AA$9:AA$229,Nutrients!$CX$8:$CX$228)+(IF($A$7=Nutrients!$B$8,Nutrients!$CX$8,Nutrients!$CX$9)*AA$7)+(((IF($A$8=Nutrients!$B$79,Nutrients!$CX$79,(IF($A$8=Nutrients!$B$77,Nutrients!$CX$77,Nutrients!$CX$78)))))*AA$8))/2000/AA$236*100</f>
        <v>44.387816160815049</v>
      </c>
      <c r="AB244" s="451">
        <f>(SUMPRODUCT(AB$9:AB$229,Nutrients!$CX$8:$CX$228)+(IF($A$7=Nutrients!$B$8,Nutrients!$CX$8,Nutrients!$CX$9)*AB$7)+(((IF($A$8=Nutrients!$B$79,Nutrients!$CX$79,(IF($A$8=Nutrients!$B$77,Nutrients!$CX$77,Nutrients!$CX$78)))))*AB$8))/2000/AB$236*100</f>
        <v>42.332060863176054</v>
      </c>
      <c r="AC244" s="9"/>
      <c r="AD244" s="451">
        <f>(SUMPRODUCT(AD$9:AD$229,Nutrients!$CX$8:$CX$228)+(IF($A$7=Nutrients!$B$8,Nutrients!$CX$8,Nutrients!$CX$9)*AD$7)+(((IF($A$8=Nutrients!$B$79,Nutrients!$CX$79,(IF($A$8=Nutrients!$B$77,Nutrients!$CX$77,Nutrients!$CX$78)))))*AD$8))/2000/AD$236*100</f>
        <v>39.551878290274509</v>
      </c>
      <c r="AE244" s="451">
        <f>(SUMPRODUCT(AE$9:AE$229,Nutrients!$CX$8:$CX$228)+(IF($A$7=Nutrients!$B$8,Nutrients!$CX$8,Nutrients!$CX$9)*AE$7)+(((IF($A$8=Nutrients!$B$79,Nutrients!$CX$79,(IF($A$8=Nutrients!$B$77,Nutrients!$CX$77,Nutrients!$CX$78)))))*AE$8))/2000/AE$236*100</f>
        <v>41.143445749730873</v>
      </c>
      <c r="AF244" s="451">
        <f>(SUMPRODUCT(AF$9:AF$229,Nutrients!$CX$8:$CX$228)+(IF($A$7=Nutrients!$B$8,Nutrients!$CX$8,Nutrients!$CX$9)*AF$7)+(((IF($A$8=Nutrients!$B$79,Nutrients!$CX$79,(IF($A$8=Nutrients!$B$77,Nutrients!$CX$77,Nutrients!$CX$78)))))*AF$8))/2000/AF$236*100</f>
        <v>43.141937753216638</v>
      </c>
      <c r="AG244" s="451">
        <f>(SUMPRODUCT(AG$9:AG$229,Nutrients!$CX$8:$CX$228)+(IF($A$7=Nutrients!$B$8,Nutrients!$CX$8,Nutrients!$CX$9)*AG$7)+(((IF($A$8=Nutrients!$B$79,Nutrients!$CX$79,(IF($A$8=Nutrients!$B$77,Nutrients!$CX$77,Nutrients!$CX$78)))))*AG$8))/2000/AG$236*100</f>
        <v>44.585064619293149</v>
      </c>
      <c r="AH244" s="451">
        <f>(SUMPRODUCT(AH$9:AH$229,Nutrients!$CX$8:$CX$228)+(IF($A$7=Nutrients!$B$8,Nutrients!$CX$8,Nutrients!$CX$9)*AH$7)+(((IF($A$8=Nutrients!$B$79,Nutrients!$CX$79,(IF($A$8=Nutrients!$B$77,Nutrients!$CX$77,Nutrients!$CX$78)))))*AH$8))/2000/AH$236*100</f>
        <v>45.112237874874204</v>
      </c>
      <c r="AI244" s="451">
        <f>(SUMPRODUCT(AI$9:AI$229,Nutrients!$CX$8:$CX$228)+(IF($A$7=Nutrients!$B$8,Nutrients!$CX$8,Nutrients!$CX$9)*AI$7)+(((IF($A$8=Nutrients!$B$79,Nutrients!$CX$79,(IF($A$8=Nutrients!$B$77,Nutrients!$CX$77,Nutrients!$CX$78)))))*AI$8))/2000/AI$236*100</f>
        <v>42.332060863176054</v>
      </c>
      <c r="AJ244" s="9"/>
      <c r="AK244" s="451">
        <f>(SUMPRODUCT(AK$9:AK$229,Nutrients!$CX$8:$CX$228)+(IF($A$7=Nutrients!$B$8,Nutrients!$CX$8,Nutrients!$CX$9)*AK$7)+(((IF($A$8=Nutrients!$B$79,Nutrients!$CX$79,(IF($A$8=Nutrients!$B$77,Nutrients!$CX$77,Nutrients!$CX$78)))))*AK$8))/2000/AK$236*100</f>
        <v>40.027923998838958</v>
      </c>
      <c r="AL244" s="451">
        <f>(SUMPRODUCT(AL$9:AL$229,Nutrients!$CX$8:$CX$228)+(IF($A$7=Nutrients!$B$8,Nutrients!$CX$8,Nutrients!$CX$9)*AL$7)+(((IF($A$8=Nutrients!$B$79,Nutrients!$CX$79,(IF($A$8=Nutrients!$B$77,Nutrients!$CX$77,Nutrients!$CX$78)))))*AL$8))/2000/AL$236*100</f>
        <v>41.681609712061089</v>
      </c>
      <c r="AM244" s="451">
        <f>(SUMPRODUCT(AM$9:AM$229,Nutrients!$CX$8:$CX$228)+(IF($A$7=Nutrients!$B$8,Nutrients!$CX$8,Nutrients!$CX$9)*AM$7)+(((IF($A$8=Nutrients!$B$79,Nutrients!$CX$79,(IF($A$8=Nutrients!$B$77,Nutrients!$CX$77,Nutrients!$CX$78)))))*AM$8))/2000/AM$236*100</f>
        <v>43.751224304402633</v>
      </c>
      <c r="AN244" s="451">
        <f>(SUMPRODUCT(AN$9:AN$229,Nutrients!$CX$8:$CX$228)+(IF($A$7=Nutrients!$B$8,Nutrients!$CX$8,Nutrients!$CX$9)*AN$7)+(((IF($A$8=Nutrients!$B$79,Nutrients!$CX$79,(IF($A$8=Nutrients!$B$77,Nutrients!$CX$77,Nutrients!$CX$78)))))*AN$8))/2000/AN$236*100</f>
        <v>45.251406380888618</v>
      </c>
      <c r="AO244" s="451">
        <f>(SUMPRODUCT(AO$9:AO$229,Nutrients!$CX$8:$CX$228)+(IF($A$7=Nutrients!$B$8,Nutrients!$CX$8,Nutrients!$CX$9)*AO$7)+(((IF($A$8=Nutrients!$B$79,Nutrients!$CX$79,(IF($A$8=Nutrients!$B$77,Nutrients!$CX$77,Nutrients!$CX$78)))))*AO$8))/2000/AO$236*100</f>
        <v>45.831135775929191</v>
      </c>
      <c r="AP244" s="451">
        <f>(SUMPRODUCT(AP$9:AP$229,Nutrients!$CX$8:$CX$228)+(IF($A$7=Nutrients!$B$8,Nutrients!$CX$8,Nutrients!$CX$9)*AP$7)+(((IF($A$8=Nutrients!$B$79,Nutrients!$CX$79,(IF($A$8=Nutrients!$B$77,Nutrients!$CX$77,Nutrients!$CX$78)))))*AP$8))/2000/AP$236*100</f>
        <v>42.332060863176054</v>
      </c>
      <c r="AQ244" s="9"/>
      <c r="AR244" s="451">
        <f>(SUMPRODUCT(AR$9:AR$229,Nutrients!$CX$8:$CX$228)+(IF($A$7=Nutrients!$B$8,Nutrients!$CX$8,Nutrients!$CX$9)*AR$7)+(((IF($A$8=Nutrients!$B$79,Nutrients!$CX$79,(IF($A$8=Nutrients!$B$77,Nutrients!$CX$77,Nutrients!$CX$78)))))*AR$8))/2000/AR$236*100</f>
        <v>40.503109657758124</v>
      </c>
      <c r="AS244" s="451">
        <f>(SUMPRODUCT(AS$9:AS$229,Nutrients!$CX$8:$CX$228)+(IF($A$7=Nutrients!$B$8,Nutrients!$CX$8,Nutrients!$CX$9)*AS$7)+(((IF($A$8=Nutrients!$B$79,Nutrients!$CX$79,(IF($A$8=Nutrients!$B$77,Nutrients!$CX$77,Nutrients!$CX$78)))))*AS$8))/2000/AS$236*100</f>
        <v>42.219627838307268</v>
      </c>
      <c r="AT244" s="451">
        <f>(SUMPRODUCT(AT$9:AT$229,Nutrients!$CX$8:$CX$228)+(IF($A$7=Nutrients!$B$8,Nutrients!$CX$8,Nutrients!$CX$9)*AT$7)+(((IF($A$8=Nutrients!$B$79,Nutrients!$CX$79,(IF($A$8=Nutrients!$B$77,Nutrients!$CX$77,Nutrients!$CX$78)))))*AT$8))/2000/AT$236*100</f>
        <v>44.357696139546746</v>
      </c>
      <c r="AU244" s="451">
        <f>(SUMPRODUCT(AU$9:AU$229,Nutrients!$CX$8:$CX$228)+(IF($A$7=Nutrients!$B$8,Nutrients!$CX$8,Nutrients!$CX$9)*AU$7)+(((IF($A$8=Nutrients!$B$79,Nutrients!$CX$79,(IF($A$8=Nutrients!$B$77,Nutrients!$CX$77,Nutrients!$CX$78)))))*AU$8))/2000/AU$236*100</f>
        <v>45.909990881005392</v>
      </c>
      <c r="AV244" s="451">
        <f>(SUMPRODUCT(AV$9:AV$229,Nutrients!$CX$8:$CX$228)+(IF($A$7=Nutrients!$B$8,Nutrients!$CX$8,Nutrients!$CX$9)*AV$7)+(((IF($A$8=Nutrients!$B$79,Nutrients!$CX$79,(IF($A$8=Nutrients!$B$77,Nutrients!$CX$77,Nutrients!$CX$78)))))*AV$8))/2000/AV$236*100</f>
        <v>46.550029798199063</v>
      </c>
      <c r="AW244" s="451">
        <f>(SUMPRODUCT(AW$9:AW$229,Nutrients!$CX$8:$CX$228)+(IF($A$7=Nutrients!$B$8,Nutrients!$CX$8,Nutrients!$CX$9)*AW$7)+(((IF($A$8=Nutrients!$B$79,Nutrients!$CX$79,(IF($A$8=Nutrients!$B$77,Nutrients!$CX$77,Nutrients!$CX$78)))))*AW$8))/2000/AW$236*100</f>
        <v>42.332060863176054</v>
      </c>
      <c r="AX244" s="13"/>
    </row>
    <row r="245" spans="1:57" x14ac:dyDescent="0.25">
      <c r="A245" s="5" t="s">
        <v>389</v>
      </c>
      <c r="B245" s="26">
        <f>(SUMPRODUCT(B$9:B$229,Nutrients!$AJ$8:$AJ$228)+(IF($A7=Nutrients!$B$8,Nutrients!$AJ$8,Nutrients!$AJ$9)*B$7)+(((IF($A8=Nutrients!$B$79,Nutrients!$AJ$79,(IF($A8=Nutrients!$B$77,Nutrients!$AJ$77,Nutrients!$AJ$78)))))*B$8))/2000</f>
        <v>1.3184028426828778</v>
      </c>
      <c r="C245" s="26">
        <f>(SUMPRODUCT(C$9:C$229,Nutrients!$AJ$8:$AJ$228)+(IF($A7=Nutrients!$B$8,Nutrients!$AJ$8,Nutrients!$AJ$9)*C$7)+(((IF($A8=Nutrients!$B$79,Nutrients!$AJ$79,(IF($A8=Nutrients!$B$77,Nutrients!$AJ$77,Nutrients!$AJ$78)))))*C$8))/2000</f>
        <v>1.1707660127345534</v>
      </c>
      <c r="D245" s="26">
        <f>(SUMPRODUCT(D$9:D$229,Nutrients!$AJ$8:$AJ$228)+(IF($A7=Nutrients!$B$8,Nutrients!$AJ$8,Nutrients!$AJ$9)*D$7)+(((IF($A8=Nutrients!$B$79,Nutrients!$AJ$79,(IF($A8=Nutrients!$B$77,Nutrients!$AJ$77,Nutrients!$AJ$78)))))*D$8))/2000</f>
        <v>1.0403693489168444</v>
      </c>
      <c r="E245" s="26">
        <f>(SUMPRODUCT(E$9:E$229,Nutrients!$AJ$8:$AJ$228)+(IF($A7=Nutrients!$B$8,Nutrients!$AJ$8,Nutrients!$AJ$9)*E$7)+(((IF($A8=Nutrients!$B$79,Nutrients!$AJ$79,(IF($A8=Nutrients!$B$77,Nutrients!$AJ$77,Nutrients!$AJ$78)))))*E$8))/2000</f>
        <v>0.93090396099650141</v>
      </c>
      <c r="F245" s="26">
        <f>(SUMPRODUCT(F$9:F$229,Nutrients!$AJ$8:$AJ$228)+(IF($A7=Nutrients!$B$8,Nutrients!$AJ$8,Nutrients!$AJ$9)*F$7)+(((IF($A8=Nutrients!$B$79,Nutrients!$AJ$79,(IF($A8=Nutrients!$B$77,Nutrients!$AJ$77,Nutrients!$AJ$78)))))*F$8))/2000</f>
        <v>0.85426384482722051</v>
      </c>
      <c r="G245" s="26">
        <f>(SUMPRODUCT(G$9:G$229,Nutrients!$AJ$8:$AJ$228)+(IF($A7=Nutrients!$B$8,Nutrients!$AJ$8,Nutrients!$AJ$9)*G$7)+(((IF($A8=Nutrients!$B$79,Nutrients!$AJ$79,(IF($A8=Nutrients!$B$77,Nutrients!$AJ$77,Nutrients!$AJ$78)))))*G$8))/2000</f>
        <v>0.81186991699752797</v>
      </c>
      <c r="H245" s="26"/>
      <c r="I245" s="26">
        <f>(SUMPRODUCT(I$9:I$229,Nutrients!$AJ$8:$AJ$228)+(IF($A7=Nutrients!$B$8,Nutrients!$AJ$8,Nutrients!$AJ$9)*I$7)+(((IF($A8=Nutrients!$B$79,Nutrients!$AJ$79,(IF($A8=Nutrients!$B$77,Nutrients!$AJ$77,Nutrients!$AJ$78)))))*I$8))/2000</f>
        <v>1.3271635415014684</v>
      </c>
      <c r="J245" s="26">
        <f>(SUMPRODUCT(J$9:J$229,Nutrients!$AJ$8:$AJ$228)+(IF($A7=Nutrients!$B$8,Nutrients!$AJ$8,Nutrients!$AJ$9)*J$7)+(((IF($A8=Nutrients!$B$79,Nutrients!$AJ$79,(IF($A8=Nutrients!$B$77,Nutrients!$AJ$77,Nutrients!$AJ$78)))))*J$8))/2000</f>
        <v>1.1795196286355227</v>
      </c>
      <c r="K245" s="26">
        <f>(SUMPRODUCT(K$9:K$229,Nutrients!$AJ$8:$AJ$228)+(IF($A7=Nutrients!$B$8,Nutrients!$AJ$8,Nutrients!$AJ$9)*K$7)+(((IF($A8=Nutrients!$B$79,Nutrients!$AJ$79,(IF($A8=Nutrients!$B$77,Nutrients!$AJ$77,Nutrients!$AJ$78)))))*K$8))/2000</f>
        <v>1.0491266096804401</v>
      </c>
      <c r="L245" s="26">
        <f>(SUMPRODUCT(L$9:L$229,Nutrients!$AJ$8:$AJ$228)+(IF($A7=Nutrients!$B$8,Nutrients!$AJ$8,Nutrients!$AJ$9)*L$7)+(((IF($A8=Nutrients!$B$79,Nutrients!$AJ$79,(IF($A8=Nutrients!$B$77,Nutrients!$AJ$77,Nutrients!$AJ$78)))))*L$8))/2000</f>
        <v>0.9396581542649074</v>
      </c>
      <c r="M245" s="26">
        <f>(SUMPRODUCT(M$9:M$229,Nutrients!$AJ$8:$AJ$228)+(IF($A7=Nutrients!$B$8,Nutrients!$AJ$8,Nutrients!$AJ$9)*M$7)+(((IF($A8=Nutrients!$B$79,Nutrients!$AJ$79,(IF($A8=Nutrients!$B$77,Nutrients!$AJ$77,Nutrients!$AJ$78)))))*M$8))/2000</f>
        <v>0.86301802173342368</v>
      </c>
      <c r="N245" s="26">
        <f>(SUMPRODUCT(N$9:N$229,Nutrients!$AJ$8:$AJ$228)+(IF($A7=Nutrients!$B$8,Nutrients!$AJ$8,Nutrients!$AJ$9)*N$7)+(((IF($A8=Nutrients!$B$79,Nutrients!$AJ$79,(IF($A8=Nutrients!$B$77,Nutrients!$AJ$77,Nutrients!$AJ$78)))))*N$8))/2000</f>
        <v>0.81186991699752797</v>
      </c>
      <c r="O245" s="26"/>
      <c r="P245" s="26">
        <f>(SUMPRODUCT(P$9:P$229,Nutrients!$AJ$8:$AJ$228)+(IF($A7=Nutrients!$B$8,Nutrients!$AJ$8,Nutrients!$AJ$9)*P$7)+(((IF($A8=Nutrients!$B$79,Nutrients!$AJ$79,(IF($A8=Nutrients!$B$77,Nutrients!$AJ$77,Nutrients!$AJ$78)))))*P$8))/2000</f>
        <v>1.3359196958710609</v>
      </c>
      <c r="Q245" s="26">
        <f>(SUMPRODUCT(Q$9:Q$229,Nutrients!$AJ$8:$AJ$228)+(IF($A7=Nutrients!$B$8,Nutrients!$AJ$8,Nutrients!$AJ$9)*Q$7)+(((IF($A8=Nutrients!$B$79,Nutrients!$AJ$79,(IF($A8=Nutrients!$B$77,Nutrients!$AJ$77,Nutrients!$AJ$78)))))*Q$8))/2000</f>
        <v>1.1882739962227507</v>
      </c>
      <c r="R245" s="26">
        <f>(SUMPRODUCT(R$9:R$229,Nutrients!$AJ$8:$AJ$228)+(IF($A7=Nutrients!$B$8,Nutrients!$AJ$8,Nutrients!$AJ$9)*R$7)+(((IF($A8=Nutrients!$B$79,Nutrients!$AJ$79,(IF($A8=Nutrients!$B$77,Nutrients!$AJ$77,Nutrients!$AJ$78)))))*R$8))/2000</f>
        <v>1.057879139797391</v>
      </c>
      <c r="S245" s="26">
        <f>(SUMPRODUCT(S$9:S$229,Nutrients!$AJ$8:$AJ$228)+(IF($A7=Nutrients!$B$8,Nutrients!$AJ$8,Nutrients!$AJ$9)*S$7)+(((IF($A8=Nutrients!$B$79,Nutrients!$AJ$79,(IF($A8=Nutrients!$B$77,Nutrients!$AJ$77,Nutrients!$AJ$78)))))*S$8))/2000</f>
        <v>0.94841119390104534</v>
      </c>
      <c r="T245" s="26">
        <f>(SUMPRODUCT(T$9:T$229,Nutrients!$AJ$8:$AJ$228)+(IF($A7=Nutrients!$B$8,Nutrients!$AJ$8,Nutrients!$AJ$9)*T$7)+(((IF($A8=Nutrients!$B$79,Nutrients!$AJ$79,(IF($A8=Nutrients!$B$77,Nutrients!$AJ$77,Nutrients!$AJ$78)))))*T$8))/2000</f>
        <v>0.87177221741562871</v>
      </c>
      <c r="U245" s="26">
        <f>(SUMPRODUCT(U$9:U$229,Nutrients!$AJ$8:$AJ$228)+(IF($A7=Nutrients!$B$8,Nutrients!$AJ$8,Nutrients!$AJ$9)*U$7)+(((IF($A8=Nutrients!$B$79,Nutrients!$AJ$79,(IF($A8=Nutrients!$B$77,Nutrients!$AJ$77,Nutrients!$AJ$78)))))*U$8))/2000</f>
        <v>0.81186991699752797</v>
      </c>
      <c r="W245" s="26">
        <f>(SUMPRODUCT(W$9:W$229,Nutrients!$AJ$8:$AJ$228)+(IF($A7=Nutrients!$B$8,Nutrients!$AJ$8,Nutrients!$AJ$9)*W$7)+(((IF($A8=Nutrients!$B$79,Nutrients!$AJ$79,(IF($A8=Nutrients!$B$77,Nutrients!$AJ$77,Nutrients!$AJ$78)))))*W$8))/2000</f>
        <v>1.3446774400725758</v>
      </c>
      <c r="X245" s="26">
        <f>(SUMPRODUCT(X$9:X$229,Nutrients!$AJ$8:$AJ$228)+(IF($A7=Nutrients!$B$8,Nutrients!$AJ$8,Nutrients!$AJ$9)*X$7)+(((IF($A8=Nutrients!$B$79,Nutrients!$AJ$79,(IF($A8=Nutrients!$B$77,Nutrients!$AJ$77,Nutrients!$AJ$78)))))*X$8))/2000</f>
        <v>1.1970288589938833</v>
      </c>
      <c r="Y245" s="26">
        <f>(SUMPRODUCT(Y$9:Y$229,Nutrients!$AJ$8:$AJ$228)+(IF($A7=Nutrients!$B$8,Nutrients!$AJ$8,Nutrients!$AJ$9)*Y$7)+(((IF($A8=Nutrients!$B$79,Nutrients!$AJ$79,(IF($A8=Nutrients!$B$77,Nutrients!$AJ$77,Nutrients!$AJ$78)))))*Y$8))/2000</f>
        <v>1.066634504354383</v>
      </c>
      <c r="Z245" s="26">
        <f>(SUMPRODUCT(Z$9:Z$229,Nutrients!$AJ$8:$AJ$228)+(IF($A7=Nutrients!$B$8,Nutrients!$AJ$8,Nutrients!$AJ$9)*Z$7)+(((IF($A8=Nutrients!$B$79,Nutrients!$AJ$79,(IF($A8=Nutrients!$B$77,Nutrients!$AJ$77,Nutrients!$AJ$78)))))*Z$8))/2000</f>
        <v>0.95716331090755213</v>
      </c>
      <c r="AA245" s="26">
        <f>(SUMPRODUCT(AA$9:AA$229,Nutrients!$AJ$8:$AJ$228)+(IF($A7=Nutrients!$B$8,Nutrients!$AJ$8,Nutrients!$AJ$9)*AA$7)+(((IF($A8=Nutrients!$B$79,Nutrients!$AJ$79,(IF($A8=Nutrients!$B$77,Nutrients!$AJ$77,Nutrients!$AJ$78)))))*AA$8))/2000</f>
        <v>0.880521079452664</v>
      </c>
      <c r="AB245" s="26">
        <f>(SUMPRODUCT(AB$9:AB$229,Nutrients!$AJ$8:$AJ$228)+(IF($A7=Nutrients!$B$8,Nutrients!$AJ$8,Nutrients!$AJ$9)*AB$7)+(((IF($A8=Nutrients!$B$79,Nutrients!$AJ$79,(IF($A8=Nutrients!$B$77,Nutrients!$AJ$77,Nutrients!$AJ$78)))))*AB$8))/2000</f>
        <v>0.81186991699752797</v>
      </c>
      <c r="AD245" s="26">
        <f>(SUMPRODUCT(AD$9:AD$229,Nutrients!$AJ$8:$AJ$228)+(IF($A7=Nutrients!$B$8,Nutrients!$AJ$8,Nutrients!$AJ$9)*AD$7)+(((IF($A8=Nutrients!$B$79,Nutrients!$AJ$79,(IF($A8=Nutrients!$B$77,Nutrients!$AJ$77,Nutrients!$AJ$78)))))*AD$8))/2000</f>
        <v>1.3534324436796334</v>
      </c>
      <c r="AE245" s="26">
        <f>(SUMPRODUCT(AE$9:AE$229,Nutrients!$AJ$8:$AJ$228)+(IF($A7=Nutrients!$B$8,Nutrients!$AJ$8,Nutrients!$AJ$9)*AE$7)+(((IF($A8=Nutrients!$B$79,Nutrients!$AJ$79,(IF($A8=Nutrients!$B$77,Nutrients!$AJ$77,Nutrients!$AJ$78)))))*AE$8))/2000</f>
        <v>1.205785004191916</v>
      </c>
      <c r="AF245" s="26">
        <f>(SUMPRODUCT(AF$9:AF$229,Nutrients!$AJ$8:$AJ$228)+(IF($A7=Nutrients!$B$8,Nutrients!$AJ$8,Nutrients!$AJ$9)*AF$7)+(((IF($A8=Nutrients!$B$79,Nutrients!$AJ$79,(IF($A8=Nutrients!$B$77,Nutrients!$AJ$77,Nutrients!$AJ$78)))))*AF$8))/2000</f>
        <v>1.0753866611234606</v>
      </c>
      <c r="AG245" s="26">
        <f>(SUMPRODUCT(AG$9:AG$229,Nutrients!$AJ$8:$AJ$228)+(IF($A7=Nutrients!$B$8,Nutrients!$AJ$8,Nutrients!$AJ$9)*AG$7)+(((IF($A8=Nutrients!$B$79,Nutrients!$AJ$79,(IF($A8=Nutrients!$B$77,Nutrients!$AJ$77,Nutrients!$AJ$78)))))*AG$8))/2000</f>
        <v>0.96591380317364539</v>
      </c>
      <c r="AH245" s="26">
        <f>(SUMPRODUCT(AH$9:AH$229,Nutrients!$AJ$8:$AJ$228)+(IF($A7=Nutrients!$B$8,Nutrients!$AJ$8,Nutrients!$AJ$9)*AH$7)+(((IF($A8=Nutrients!$B$79,Nutrients!$AJ$79,(IF($A8=Nutrients!$B$77,Nutrients!$AJ$77,Nutrients!$AJ$78)))))*AH$8))/2000</f>
        <v>0.88921552874532017</v>
      </c>
      <c r="AI245" s="26">
        <f>(SUMPRODUCT(AI$9:AI$229,Nutrients!$AJ$8:$AJ$228)+(IF($A7=Nutrients!$B$8,Nutrients!$AJ$8,Nutrients!$AJ$9)*AI$7)+(((IF($A8=Nutrients!$B$79,Nutrients!$AJ$79,(IF($A8=Nutrients!$B$77,Nutrients!$AJ$77,Nutrients!$AJ$78)))))*AI$8))/2000</f>
        <v>0.81186991699752797</v>
      </c>
      <c r="AK245" s="26">
        <f>(SUMPRODUCT(AK$9:AK$229,Nutrients!$AJ$8:$AJ$228)+(IF($A7=Nutrients!$B$8,Nutrients!$AJ$8,Nutrients!$AJ$9)*AK$7)+(((IF($A8=Nutrients!$B$79,Nutrients!$AJ$79,(IF($A8=Nutrients!$B$77,Nutrients!$AJ$77,Nutrients!$AJ$78)))))*AK$8))/2000</f>
        <v>1.3621854875273944</v>
      </c>
      <c r="AL245" s="26">
        <f>(SUMPRODUCT(AL$9:AL$229,Nutrients!$AJ$8:$AJ$228)+(IF($A7=Nutrients!$B$8,Nutrients!$AJ$8,Nutrients!$AJ$9)*AL$7)+(((IF($A8=Nutrients!$B$79,Nutrients!$AJ$79,(IF($A8=Nutrients!$B$77,Nutrients!$AJ$77,Nutrients!$AJ$78)))))*AL$8))/2000</f>
        <v>1.2145371272598704</v>
      </c>
      <c r="AM245" s="26">
        <f>(SUMPRODUCT(AM$9:AM$229,Nutrients!$AJ$8:$AJ$228)+(IF($A7=Nutrients!$B$8,Nutrients!$AJ$8,Nutrients!$AJ$9)*AM$7)+(((IF($A8=Nutrients!$B$79,Nutrients!$AJ$79,(IF($A8=Nutrients!$B$77,Nutrients!$AJ$77,Nutrients!$AJ$78)))))*AM$8))/2000</f>
        <v>1.0841401318830877</v>
      </c>
      <c r="AN245" s="26">
        <f>(SUMPRODUCT(AN$9:AN$229,Nutrients!$AJ$8:$AJ$228)+(IF($A7=Nutrients!$B$8,Nutrients!$AJ$8,Nutrients!$AJ$9)*AN$7)+(((IF($A8=Nutrients!$B$79,Nutrients!$AJ$79,(IF($A8=Nutrients!$B$77,Nutrients!$AJ$77,Nutrients!$AJ$78)))))*AN$8))/2000</f>
        <v>0.97461627281321506</v>
      </c>
      <c r="AO245" s="26">
        <f>(SUMPRODUCT(AO$9:AO$229,Nutrients!$AJ$8:$AJ$228)+(IF($A7=Nutrients!$B$8,Nutrients!$AJ$8,Nutrients!$AJ$9)*AO$7)+(((IF($A8=Nutrients!$B$79,Nutrients!$AJ$79,(IF($A8=Nutrients!$B$77,Nutrients!$AJ$77,Nutrients!$AJ$78)))))*AO$8))/2000</f>
        <v>0.89789509016630897</v>
      </c>
      <c r="AP245" s="26">
        <f>(SUMPRODUCT(AP$9:AP$229,Nutrients!$AJ$8:$AJ$228)+(IF($A7=Nutrients!$B$8,Nutrients!$AJ$8,Nutrients!$AJ$9)*AP$7)+(((IF($A8=Nutrients!$B$79,Nutrients!$AJ$79,(IF($A8=Nutrients!$B$77,Nutrients!$AJ$77,Nutrients!$AJ$78)))))*AP$8))/2000</f>
        <v>0.81186991699752797</v>
      </c>
      <c r="AR245" s="26">
        <f>(SUMPRODUCT(AR$9:AR$229,Nutrients!$AJ$8:$AJ$228)+(IF($A7=Nutrients!$B$8,Nutrients!$AJ$8,Nutrients!$AJ$9)*AR$7)+(((IF($A8=Nutrients!$B$79,Nutrients!$AJ$79,(IF($A8=Nutrients!$B$77,Nutrients!$AJ$77,Nutrients!$AJ$78)))))*AR$8))/2000</f>
        <v>1.3709348980723421</v>
      </c>
      <c r="AS245" s="26">
        <f>(SUMPRODUCT(AS$9:AS$229,Nutrients!$AJ$8:$AJ$228)+(IF($A7=Nutrients!$B$8,Nutrients!$AJ$8,Nutrients!$AJ$9)*AS$7)+(((IF($A8=Nutrients!$B$79,Nutrients!$AJ$79,(IF($A8=Nutrients!$B$77,Nutrients!$AJ$77,Nutrients!$AJ$78)))))*AS$8))/2000</f>
        <v>1.2232887056016799</v>
      </c>
      <c r="AT245" s="26">
        <f>(SUMPRODUCT(AT$9:AT$229,Nutrients!$AJ$8:$AJ$228)+(IF($A7=Nutrients!$B$8,Nutrients!$AJ$8,Nutrients!$AJ$9)*AT$7)+(((IF($A8=Nutrients!$B$79,Nutrients!$AJ$79,(IF($A8=Nutrients!$B$77,Nutrients!$AJ$77,Nutrients!$AJ$78)))))*AT$8))/2000</f>
        <v>1.092884310156885</v>
      </c>
      <c r="AU245" s="26">
        <f>(SUMPRODUCT(AU$9:AU$229,Nutrients!$AJ$8:$AJ$228)+(IF($A7=Nutrients!$B$8,Nutrients!$AJ$8,Nutrients!$AJ$9)*AU$7)+(((IF($A8=Nutrients!$B$79,Nutrients!$AJ$79,(IF($A8=Nutrients!$B$77,Nutrients!$AJ$77,Nutrients!$AJ$78)))))*AU$8))/2000</f>
        <v>0.98329591923672111</v>
      </c>
      <c r="AV245" s="26">
        <f>(SUMPRODUCT(AV$9:AV$229,Nutrients!$AJ$8:$AJ$228)+(IF($A7=Nutrients!$B$8,Nutrients!$AJ$8,Nutrients!$AJ$9)*AV$7)+(((IF($A8=Nutrients!$B$79,Nutrients!$AJ$79,(IF($A8=Nutrients!$B$77,Nutrients!$AJ$77,Nutrients!$AJ$78)))))*AV$8))/2000</f>
        <v>0.90657464113313202</v>
      </c>
      <c r="AW245" s="26">
        <f>(SUMPRODUCT(AW$9:AW$229,Nutrients!$AJ$8:$AJ$228)+(IF($A7=Nutrients!$B$8,Nutrients!$AJ$8,Nutrients!$AJ$9)*AW$7)+(((IF($A8=Nutrients!$B$79,Nutrients!$AJ$79,(IF($A8=Nutrients!$B$77,Nutrients!$AJ$77,Nutrients!$AJ$78)))))*AW$8))/2000</f>
        <v>0.81186991699752797</v>
      </c>
    </row>
    <row r="246" spans="1:57" x14ac:dyDescent="0.25">
      <c r="A246" s="3" t="s">
        <v>18</v>
      </c>
      <c r="B246" s="21">
        <f>(SUMPRODUCT(B$9:B$229,Nutrients!$E$8:$E$228)+(IF($A$7=Nutrients!$B$8,Nutrients!$E$8,Nutrients!$E$9)*B$7)+(((IF($A$8=Nutrients!$B$79,Nutrients!$E$79,(IF($A$8=Nutrients!$B$77,Nutrients!$E$77,Nutrients!$E$78)))))*B$8))/2000/2.2046</f>
        <v>1494.8752150724465</v>
      </c>
      <c r="C246" s="21">
        <f>(SUMPRODUCT(C$9:C$229,Nutrients!$E$8:$E$228)+(IF($A$7=Nutrients!$B$8,Nutrients!$E$8,Nutrients!$E$9)*C$7)+(((IF($A$8=Nutrients!$B$79,Nutrients!$E$79,(IF($A$8=Nutrients!$B$77,Nutrients!$E$77,Nutrients!$E$78)))))*C$8))/2000/2.2046</f>
        <v>1499.3360353372043</v>
      </c>
      <c r="D246" s="21">
        <f>(SUMPRODUCT(D$9:D$229,Nutrients!$E$8:$E$228)+(IF($A$7=Nutrients!$B$8,Nutrients!$E$8,Nutrients!$E$9)*D$7)+(((IF($A$8=Nutrients!$B$79,Nutrients!$E$79,(IF($A$8=Nutrients!$B$77,Nutrients!$E$77,Nutrients!$E$78)))))*D$8))/2000/2.2046</f>
        <v>1503.3094742023004</v>
      </c>
      <c r="E246" s="21">
        <f>(SUMPRODUCT(E$9:E$229,Nutrients!$E$8:$E$228)+(IF($A$7=Nutrients!$B$8,Nutrients!$E$8,Nutrients!$E$9)*E$7)+(((IF($A$8=Nutrients!$B$79,Nutrients!$E$79,(IF($A$8=Nutrients!$B$77,Nutrients!$E$77,Nutrients!$E$78)))))*E$8))/2000/2.2046</f>
        <v>1507.503198782209</v>
      </c>
      <c r="F246" s="21">
        <f>(SUMPRODUCT(F$9:F$229,Nutrients!$E$8:$E$228)+(IF($A$7=Nutrients!$B$8,Nutrients!$E$8,Nutrients!$E$9)*F$7)+(((IF($A$8=Nutrients!$B$79,Nutrients!$E$79,(IF($A$8=Nutrients!$B$77,Nutrients!$E$77,Nutrients!$E$78)))))*F$8))/2000/2.2046</f>
        <v>1511.0932854222328</v>
      </c>
      <c r="G246" s="21">
        <f>(SUMPRODUCT(G$9:G$229,Nutrients!$E$8:$E$228)+(IF($A$7=Nutrients!$B$8,Nutrients!$E$8,Nutrients!$E$9)*G$7)+(((IF($A$8=Nutrients!$B$79,Nutrients!$E$79,(IF($A$8=Nutrients!$B$77,Nutrients!$E$77,Nutrients!$E$78)))))*G$8))/2000/2.2046</f>
        <v>1512.5359640705287</v>
      </c>
      <c r="H246" s="226"/>
      <c r="I246" s="21">
        <f>(SUMPRODUCT(I$9:I$229,Nutrients!$E$8:$E$228)+(IF($A$7=Nutrients!$B$8,Nutrients!$E$8,Nutrients!$E$9)*I$7)+(((IF($A$8=Nutrients!$B$79,Nutrients!$E$79,(IF($A$8=Nutrients!$B$77,Nutrients!$E$77,Nutrients!$E$78)))))*I$8))/2000/2.2046</f>
        <v>1508.4181494758338</v>
      </c>
      <c r="J246" s="21">
        <f>(SUMPRODUCT(J$9:J$229,Nutrients!$E$8:$E$228)+(IF($A$7=Nutrients!$B$8,Nutrients!$E$8,Nutrients!$E$9)*J$7)+(((IF($A$8=Nutrients!$B$79,Nutrients!$E$79,(IF($A$8=Nutrients!$B$77,Nutrients!$E$77,Nutrients!$E$78)))))*J$8))/2000/2.2046</f>
        <v>1512.9570730580454</v>
      </c>
      <c r="K246" s="21">
        <f>(SUMPRODUCT(K$9:K$229,Nutrients!$E$8:$E$228)+(IF($A$7=Nutrients!$B$8,Nutrients!$E$8,Nutrients!$E$9)*K$7)+(((IF($A$8=Nutrients!$B$79,Nutrients!$E$79,(IF($A$8=Nutrients!$B$77,Nutrients!$E$77,Nutrients!$E$78)))))*K$8))/2000/2.2046</f>
        <v>1517.0136842152094</v>
      </c>
      <c r="L246" s="21">
        <f>(SUMPRODUCT(L$9:L$229,Nutrients!$E$8:$E$228)+(IF($A$7=Nutrients!$B$8,Nutrients!$E$8,Nutrients!$E$9)*L$7)+(((IF($A$8=Nutrients!$B$79,Nutrients!$E$79,(IF($A$8=Nutrients!$B$77,Nutrients!$E$77,Nutrients!$E$78)))))*L$8))/2000/2.2046</f>
        <v>1521.2312749870487</v>
      </c>
      <c r="M246" s="21">
        <f>(SUMPRODUCT(M$9:M$229,Nutrients!$E$8:$E$228)+(IF($A$7=Nutrients!$B$8,Nutrients!$E$8,Nutrients!$E$9)*M$7)+(((IF($A$8=Nutrients!$B$79,Nutrients!$E$79,(IF($A$8=Nutrients!$B$77,Nutrients!$E$77,Nutrients!$E$78)))))*M$8))/2000/2.2046</f>
        <v>1524.8173966018894</v>
      </c>
      <c r="N246" s="21">
        <f>(SUMPRODUCT(N$9:N$229,Nutrients!$E$8:$E$228)+(IF($A$7=Nutrients!$B$8,Nutrients!$E$8,Nutrients!$E$9)*N$7)+(((IF($A$8=Nutrients!$B$79,Nutrients!$E$79,(IF($A$8=Nutrients!$B$77,Nutrients!$E$77,Nutrients!$E$78)))))*N$8))/2000/2.2046</f>
        <v>1512.5359640705287</v>
      </c>
      <c r="O246" s="234"/>
      <c r="P246" s="21">
        <f>(SUMPRODUCT(P$9:P$229,Nutrients!$E$8:$E$228)+(IF($A$7=Nutrients!$B$8,Nutrients!$E$8,Nutrients!$E$9)*P$7)+(((IF($A$8=Nutrients!$B$79,Nutrients!$E$79,(IF($A$8=Nutrients!$B$77,Nutrients!$E$77,Nutrients!$E$78)))))*P$8))/2000/2.2046</f>
        <v>1522.0749117819566</v>
      </c>
      <c r="Q246" s="21">
        <f>(SUMPRODUCT(Q$9:Q$229,Nutrients!$E$8:$E$228)+(IF($A$7=Nutrients!$B$8,Nutrients!$E$8,Nutrients!$E$9)*Q$7)+(((IF($A$8=Nutrients!$B$79,Nutrients!$E$79,(IF($A$8=Nutrients!$B$77,Nutrients!$E$77,Nutrients!$E$78)))))*Q$8))/2000/2.2046</f>
        <v>1526.6386072982261</v>
      </c>
      <c r="R246" s="21">
        <f>(SUMPRODUCT(R$9:R$229,Nutrients!$E$8:$E$228)+(IF($A$7=Nutrients!$B$8,Nutrients!$E$8,Nutrients!$E$9)*R$7)+(((IF($A$8=Nutrients!$B$79,Nutrients!$E$79,(IF($A$8=Nutrients!$B$77,Nutrients!$E$77,Nutrients!$E$78)))))*R$8))/2000/2.2046</f>
        <v>1530.7748504836536</v>
      </c>
      <c r="S246" s="21">
        <f>(SUMPRODUCT(S$9:S$229,Nutrients!$E$8:$E$228)+(IF($A$7=Nutrients!$B$8,Nutrients!$E$8,Nutrients!$E$9)*S$7)+(((IF($A$8=Nutrients!$B$79,Nutrients!$E$79,(IF($A$8=Nutrients!$B$77,Nutrients!$E$77,Nutrients!$E$78)))))*S$8))/2000/2.2046</f>
        <v>1534.9623815737409</v>
      </c>
      <c r="T246" s="21">
        <f>(SUMPRODUCT(T$9:T$229,Nutrients!$E$8:$E$228)+(IF($A$7=Nutrients!$B$8,Nutrients!$E$8,Nutrients!$E$9)*T$7)+(((IF($A$8=Nutrients!$B$79,Nutrients!$E$79,(IF($A$8=Nutrients!$B$77,Nutrients!$E$77,Nutrients!$E$78)))))*T$8))/2000/2.2046</f>
        <v>1538.5443558468921</v>
      </c>
      <c r="U246" s="21">
        <f>(SUMPRODUCT(U$9:U$229,Nutrients!$E$8:$E$228)+(IF($A$7=Nutrients!$B$8,Nutrients!$E$8,Nutrients!$E$9)*U$7)+(((IF($A$8=Nutrients!$B$79,Nutrients!$E$79,(IF($A$8=Nutrients!$B$77,Nutrients!$E$77,Nutrients!$E$78)))))*U$8))/2000/2.2046</f>
        <v>1512.5359640705287</v>
      </c>
      <c r="W246" s="21">
        <f>(SUMPRODUCT(W$9:W$229,Nutrients!$E$8:$E$228)+(IF($A$7=Nutrients!$B$8,Nutrients!$E$8,Nutrients!$E$9)*W$7)+(((IF($A$8=Nutrients!$B$79,Nutrients!$E$79,(IF($A$8=Nutrients!$B$77,Nutrients!$E$77,Nutrients!$E$78)))))*W$8))/2000/2.2046</f>
        <v>1535.8403972257431</v>
      </c>
      <c r="X246" s="21">
        <f>(SUMPRODUCT(X$9:X$229,Nutrients!$E$8:$E$228)+(IF($A$7=Nutrients!$B$8,Nutrients!$E$8,Nutrients!$E$9)*X$7)+(((IF($A$8=Nutrients!$B$79,Nutrients!$E$79,(IF($A$8=Nutrients!$B$77,Nutrients!$E$77,Nutrients!$E$78)))))*X$8))/2000/2.2046</f>
        <v>1540.4823953071684</v>
      </c>
      <c r="Y246" s="21">
        <f>(SUMPRODUCT(Y$9:Y$229,Nutrients!$E$8:$E$228)+(IF($A$7=Nutrients!$B$8,Nutrients!$E$8,Nutrients!$E$9)*Y$7)+(((IF($A$8=Nutrients!$B$79,Nutrients!$E$79,(IF($A$8=Nutrients!$B$77,Nutrients!$E$77,Nutrients!$E$78)))))*Y$8))/2000/2.2046</f>
        <v>1544.5787547806597</v>
      </c>
      <c r="Z246" s="21">
        <f>(SUMPRODUCT(Z$9:Z$229,Nutrients!$E$8:$E$228)+(IF($A$7=Nutrients!$B$8,Nutrients!$E$8,Nutrients!$E$9)*Z$7)+(((IF($A$8=Nutrients!$B$79,Nutrients!$E$79,(IF($A$8=Nutrients!$B$77,Nutrients!$E$77,Nutrients!$E$78)))))*Z$8))/2000/2.2046</f>
        <v>1548.8529282399747</v>
      </c>
      <c r="AA246" s="21">
        <f>(SUMPRODUCT(AA$9:AA$229,Nutrients!$E$8:$E$228)+(IF($A$7=Nutrients!$B$8,Nutrients!$E$8,Nutrients!$E$9)*AA$7)+(((IF($A$8=Nutrients!$B$79,Nutrients!$E$79,(IF($A$8=Nutrients!$B$77,Nutrients!$E$77,Nutrients!$E$78)))))*AA$8))/2000/2.2046</f>
        <v>1552.4630794056879</v>
      </c>
      <c r="AB246" s="21">
        <f>(SUMPRODUCT(AB$9:AB$229,Nutrients!$E$8:$E$228)+(IF($A$7=Nutrients!$B$8,Nutrients!$E$8,Nutrients!$E$9)*AB$7)+(((IF($A$8=Nutrients!$B$79,Nutrients!$E$79,(IF($A$8=Nutrients!$B$77,Nutrients!$E$77,Nutrients!$E$78)))))*AB$8))/2000/2.2046</f>
        <v>1512.5359640705287</v>
      </c>
      <c r="AD246" s="21">
        <f>(SUMPRODUCT(AD$9:AD$229,Nutrients!$E$8:$E$228)+(IF($A$7=Nutrients!$B$8,Nutrients!$E$8,Nutrients!$E$9)*AD$7)+(((IF($A$8=Nutrients!$B$79,Nutrients!$E$79,(IF($A$8=Nutrients!$B$77,Nutrients!$E$77,Nutrients!$E$78)))))*AD$8))/2000/2.2046</f>
        <v>1549.67256370173</v>
      </c>
      <c r="AE246" s="21">
        <f>(SUMPRODUCT(AE$9:AE$229,Nutrients!$E$8:$E$228)+(IF($A$7=Nutrients!$B$8,Nutrients!$E$8,Nutrients!$E$9)*AE$7)+(((IF($A$8=Nutrients!$B$79,Nutrients!$E$79,(IF($A$8=Nutrients!$B$77,Nutrients!$E$77,Nutrients!$E$78)))))*AE$8))/2000/2.2046</f>
        <v>1554.271995571655</v>
      </c>
      <c r="AF246" s="21">
        <f>(SUMPRODUCT(AF$9:AF$229,Nutrients!$E$8:$E$228)+(IF($A$7=Nutrients!$B$8,Nutrients!$E$8,Nutrients!$E$9)*AF$7)+(((IF($A$8=Nutrients!$B$79,Nutrients!$E$79,(IF($A$8=Nutrients!$B$77,Nutrients!$E$77,Nutrients!$E$78)))))*AF$8))/2000/2.2046</f>
        <v>1558.4674223483003</v>
      </c>
      <c r="AG246" s="21">
        <f>(SUMPRODUCT(AG$9:AG$229,Nutrients!$E$8:$E$228)+(IF($A$7=Nutrients!$B$8,Nutrients!$E$8,Nutrients!$E$9)*AG$7)+(((IF($A$8=Nutrients!$B$79,Nutrients!$E$79,(IF($A$8=Nutrients!$B$77,Nutrients!$E$77,Nutrients!$E$78)))))*AG$8))/2000/2.2046</f>
        <v>1562.7271992943179</v>
      </c>
      <c r="AH246" s="21">
        <f>(SUMPRODUCT(AH$9:AH$229,Nutrients!$E$8:$E$228)+(IF($A$7=Nutrients!$B$8,Nutrients!$E$8,Nutrients!$E$9)*AH$7)+(((IF($A$8=Nutrients!$B$79,Nutrients!$E$79,(IF($A$8=Nutrients!$B$77,Nutrients!$E$77,Nutrients!$E$78)))))*AH$8))/2000/2.2046</f>
        <v>1566.088745171108</v>
      </c>
      <c r="AI246" s="21">
        <f>(SUMPRODUCT(AI$9:AI$229,Nutrients!$E$8:$E$228)+(IF($A$7=Nutrients!$B$8,Nutrients!$E$8,Nutrients!$E$9)*AI$7)+(((IF($A$8=Nutrients!$B$79,Nutrients!$E$79,(IF($A$8=Nutrients!$B$77,Nutrients!$E$77,Nutrients!$E$78)))))*AI$8))/2000/2.2046</f>
        <v>1512.5359640705287</v>
      </c>
      <c r="AK246" s="21">
        <f>(SUMPRODUCT(AK$9:AK$229,Nutrients!$E$8:$E$228)+(IF($A$7=Nutrients!$B$8,Nutrients!$E$8,Nutrients!$E$9)*AK$7)+(((IF($A$8=Nutrients!$B$79,Nutrients!$E$79,(IF($A$8=Nutrients!$B$77,Nutrients!$E$77,Nutrients!$E$78)))))*AK$8))/2000/2.2046</f>
        <v>1563.4296540414527</v>
      </c>
      <c r="AL246" s="21">
        <f>(SUMPRODUCT(AL$9:AL$229,Nutrients!$E$8:$E$228)+(IF($A$7=Nutrients!$B$8,Nutrients!$E$8,Nutrients!$E$9)*AL$7)+(((IF($A$8=Nutrients!$B$79,Nutrients!$E$79,(IF($A$8=Nutrients!$B$77,Nutrients!$E$77,Nutrients!$E$78)))))*AL$8))/2000/2.2046</f>
        <v>1568.0508563736917</v>
      </c>
      <c r="AM246" s="21">
        <f>(SUMPRODUCT(AM$9:AM$229,Nutrients!$E$8:$E$228)+(IF($A$7=Nutrients!$B$8,Nutrients!$E$8,Nutrients!$E$9)*AM$7)+(((IF($A$8=Nutrients!$B$79,Nutrients!$E$79,(IF($A$8=Nutrients!$B$77,Nutrients!$E$77,Nutrients!$E$78)))))*AM$8))/2000/2.2046</f>
        <v>1572.1927185650052</v>
      </c>
      <c r="AN246" s="21">
        <f>(SUMPRODUCT(AN$9:AN$229,Nutrients!$E$8:$E$228)+(IF($A$7=Nutrients!$B$8,Nutrients!$E$8,Nutrients!$E$9)*AN$7)+(((IF($A$8=Nutrients!$B$79,Nutrients!$E$79,(IF($A$8=Nutrients!$B$77,Nutrients!$E$77,Nutrients!$E$78)))))*AN$8))/2000/2.2046</f>
        <v>1576.2903579527058</v>
      </c>
      <c r="AO246" s="21">
        <f>(SUMPRODUCT(AO$9:AO$229,Nutrients!$E$8:$E$228)+(IF($A$7=Nutrients!$B$8,Nutrients!$E$8,Nutrients!$E$9)*AO$7)+(((IF($A$8=Nutrients!$B$79,Nutrients!$E$79,(IF($A$8=Nutrients!$B$77,Nutrients!$E$77,Nutrients!$E$78)))))*AO$8))/2000/2.2046</f>
        <v>1579.7315327435326</v>
      </c>
      <c r="AP246" s="21">
        <f>(SUMPRODUCT(AP$9:AP$229,Nutrients!$E$8:$E$228)+(IF($A$7=Nutrients!$B$8,Nutrients!$E$8,Nutrients!$E$9)*AP$7)+(((IF($A$8=Nutrients!$B$79,Nutrients!$E$79,(IF($A$8=Nutrients!$B$77,Nutrients!$E$77,Nutrients!$E$78)))))*AP$8))/2000/2.2046</f>
        <v>1512.5359640705287</v>
      </c>
      <c r="AR246" s="21">
        <f>(SUMPRODUCT(AR$9:AR$229,Nutrients!$E$8:$E$228)+(IF($A$7=Nutrients!$B$8,Nutrients!$E$8,Nutrients!$E$9)*AR$7)+(((IF($A$8=Nutrients!$B$79,Nutrients!$E$79,(IF($A$8=Nutrients!$B$77,Nutrients!$E$77,Nutrients!$E$78)))))*AR$8))/2000/2.2046</f>
        <v>1577.3465177274234</v>
      </c>
      <c r="AS246" s="21">
        <f>(SUMPRODUCT(AS$9:AS$229,Nutrients!$E$8:$E$228)+(IF($A$7=Nutrients!$B$8,Nutrients!$E$8,Nutrients!$E$9)*AS$7)+(((IF($A$8=Nutrients!$B$79,Nutrients!$E$79,(IF($A$8=Nutrients!$B$77,Nutrients!$E$77,Nutrients!$E$78)))))*AS$8))/2000/2.2046</f>
        <v>1581.8061178314424</v>
      </c>
      <c r="AT246" s="21">
        <f>(SUMPRODUCT(AT$9:AT$229,Nutrients!$E$8:$E$228)+(IF($A$7=Nutrients!$B$8,Nutrients!$E$8,Nutrients!$E$9)*AT$7)+(((IF($A$8=Nutrients!$B$79,Nutrients!$E$79,(IF($A$8=Nutrients!$B$77,Nutrients!$E$77,Nutrients!$E$78)))))*AT$8))/2000/2.2046</f>
        <v>1585.9807683230772</v>
      </c>
      <c r="AU246" s="21">
        <f>(SUMPRODUCT(AU$9:AU$229,Nutrients!$E$8:$E$228)+(IF($A$7=Nutrients!$B$8,Nutrients!$E$8,Nutrients!$E$9)*AU$7)+(((IF($A$8=Nutrients!$B$79,Nutrients!$E$79,(IF($A$8=Nutrients!$B$77,Nutrients!$E$77,Nutrients!$E$78)))))*AU$8))/2000/2.2046</f>
        <v>1589.9081905107892</v>
      </c>
      <c r="AV246" s="21">
        <f>(SUMPRODUCT(AV$9:AV$229,Nutrients!$E$8:$E$228)+(IF($A$7=Nutrients!$B$8,Nutrients!$E$8,Nutrients!$E$9)*AV$7)+(((IF($A$8=Nutrients!$B$79,Nutrients!$E$79,(IF($A$8=Nutrients!$B$77,Nutrients!$E$77,Nutrients!$E$78)))))*AV$8))/2000/2.2046</f>
        <v>1593.3746691391718</v>
      </c>
      <c r="AW246" s="21">
        <f>(SUMPRODUCT(AW$9:AW$229,Nutrients!$E$8:$E$228)+(IF($A$7=Nutrients!$B$8,Nutrients!$E$8,Nutrients!$E$9)*AW$7)+(((IF($A$8=Nutrients!$B$79,Nutrients!$E$79,(IF($A$8=Nutrients!$B$77,Nutrients!$E$77,Nutrients!$E$78)))))*AW$8))/2000/2.2046</f>
        <v>1512.5359640705287</v>
      </c>
    </row>
    <row r="247" spans="1:57" x14ac:dyDescent="0.25">
      <c r="A247" s="5" t="s">
        <v>32</v>
      </c>
      <c r="B247" s="21">
        <f>(SUMPRODUCT(B$9:B$229,Nutrients!$DY$8:$DY$228)+(IF($A$7=Nutrients!$B$8,Nutrients!$DY$8,Nutrients!$DY$9)*B$7)+(((IF($A$8=Nutrients!$B$79,Nutrients!$DY$79,(IF($A$8=Nutrients!$B$77,Nutrients!$DY$77,Nutrients!$DY$78)))))*B$8))/2000/2.2046</f>
        <v>1097.7096913668909</v>
      </c>
      <c r="C247" s="21">
        <f>(SUMPRODUCT(C$9:C$229,Nutrients!$DY$8:$DY$228)+(IF($A$7=Nutrients!$B$8,Nutrients!$DY$8,Nutrients!$DY$9)*C$7)+(((IF($A$8=Nutrients!$B$79,Nutrients!$DY$79,(IF($A$8=Nutrients!$B$77,Nutrients!$DY$77,Nutrients!$DY$78)))))*C$8))/2000/2.2046</f>
        <v>1111.6567624325369</v>
      </c>
      <c r="D247" s="21">
        <f>(SUMPRODUCT(D$9:D$229,Nutrients!$DY$8:$DY$228)+(IF($A$7=Nutrients!$B$8,Nutrients!$DY$8,Nutrients!$DY$9)*D$7)+(((IF($A$8=Nutrients!$B$79,Nutrients!$DY$79,(IF($A$8=Nutrients!$B$77,Nutrients!$DY$77,Nutrients!$DY$78)))))*D$8))/2000/2.2046</f>
        <v>1123.5684729276254</v>
      </c>
      <c r="E247" s="21">
        <f>(SUMPRODUCT(E$9:E$229,Nutrients!$DY$8:$DY$228)+(IF($A$7=Nutrients!$B$8,Nutrients!$DY$8,Nutrients!$DY$9)*E$7)+(((IF($A$8=Nutrients!$B$79,Nutrients!$DY$79,(IF($A$8=Nutrients!$B$77,Nutrients!$DY$77,Nutrients!$DY$78)))))*E$8))/2000/2.2046</f>
        <v>1135.5706715184997</v>
      </c>
      <c r="F247" s="21">
        <f>(SUMPRODUCT(F$9:F$229,Nutrients!$DY$8:$DY$228)+(IF($A$7=Nutrients!$B$8,Nutrients!$DY$8,Nutrients!$DY$9)*F$7)+(((IF($A$8=Nutrients!$B$79,Nutrients!$DY$79,(IF($A$8=Nutrients!$B$77,Nutrients!$DY$77,Nutrients!$DY$78)))))*F$8))/2000/2.2046</f>
        <v>1145.7413873005344</v>
      </c>
      <c r="G247" s="21">
        <f>(SUMPRODUCT(G$9:G$229,Nutrients!$DY$8:$DY$228)+(IF($A$7=Nutrients!$B$8,Nutrients!$DY$8,Nutrients!$DY$9)*G$7)+(((IF($A$8=Nutrients!$B$79,Nutrients!$DY$79,(IF($A$8=Nutrients!$B$77,Nutrients!$DY$77,Nutrients!$DY$78)))))*G$8))/2000/2.2046</f>
        <v>1150.9323531256127</v>
      </c>
      <c r="H247" s="226"/>
      <c r="I247" s="21">
        <f>(SUMPRODUCT(I$9:I$229,Nutrients!$DY$8:$DY$228)+(IF($A$7=Nutrients!$B$8,Nutrients!$DY$8,Nutrients!$DY$9)*I$7)+(((IF($A$8=Nutrients!$B$79,Nutrients!$DY$79,(IF($A$8=Nutrients!$B$77,Nutrients!$DY$77,Nutrients!$DY$78)))))*I$8))/2000/2.2046</f>
        <v>1051.7434963703611</v>
      </c>
      <c r="J247" s="21">
        <f>(SUMPRODUCT(J$9:J$229,Nutrients!$DY$8:$DY$228)+(IF($A$7=Nutrients!$B$8,Nutrients!$DY$8,Nutrients!$DY$9)*J$7)+(((IF($A$8=Nutrients!$B$79,Nutrients!$DY$79,(IF($A$8=Nutrients!$B$77,Nutrients!$DY$77,Nutrients!$DY$78)))))*J$8))/2000/2.2046</f>
        <v>1065.770310996664</v>
      </c>
      <c r="K247" s="21">
        <f>(SUMPRODUCT(K$9:K$229,Nutrients!$DY$8:$DY$228)+(IF($A$7=Nutrients!$B$8,Nutrients!$DY$8,Nutrients!$DY$9)*K$7)+(((IF($A$8=Nutrients!$B$79,Nutrients!$DY$79,(IF($A$8=Nutrients!$B$77,Nutrients!$DY$77,Nutrients!$DY$78)))))*K$8))/2000/2.2046</f>
        <v>1077.7282921390797</v>
      </c>
      <c r="L247" s="21">
        <f>(SUMPRODUCT(L$9:L$229,Nutrients!$DY$8:$DY$228)+(IF($A$7=Nutrients!$B$8,Nutrients!$DY$8,Nutrients!$DY$9)*L$7)+(((IF($A$8=Nutrients!$B$79,Nutrients!$DY$79,(IF($A$8=Nutrients!$B$77,Nutrients!$DY$77,Nutrients!$DY$78)))))*L$8))/2000/2.2046</f>
        <v>1089.7682997839161</v>
      </c>
      <c r="M247" s="21">
        <f>(SUMPRODUCT(M$9:M$229,Nutrients!$DY$8:$DY$228)+(IF($A$7=Nutrients!$B$8,Nutrients!$DY$8,Nutrients!$DY$9)*M$7)+(((IF($A$8=Nutrients!$B$79,Nutrients!$DY$79,(IF($A$8=Nutrients!$B$77,Nutrients!$DY$77,Nutrients!$DY$78)))))*M$8))/2000/2.2046</f>
        <v>1099.941854359035</v>
      </c>
      <c r="N247" s="21">
        <f>(SUMPRODUCT(N$9:N$229,Nutrients!$DY$8:$DY$228)+(IF($A$7=Nutrients!$B$8,Nutrients!$DY$8,Nutrients!$DY$9)*N$7)+(((IF($A$8=Nutrients!$B$79,Nutrients!$DY$79,(IF($A$8=Nutrients!$B$77,Nutrients!$DY$77,Nutrients!$DY$78)))))*N$8))/2000/2.2046</f>
        <v>1150.9323531256127</v>
      </c>
      <c r="O247" s="234"/>
      <c r="P247" s="21">
        <f>(SUMPRODUCT(P$9:P$229,Nutrients!$DY$8:$DY$228)+(IF($A$7=Nutrients!$B$8,Nutrients!$DY$8,Nutrients!$DY$9)*P$7)+(((IF($A$8=Nutrients!$B$79,Nutrients!$DY$79,(IF($A$8=Nutrients!$B$77,Nutrients!$DY$77,Nutrients!$DY$78)))))*P$8))/2000/2.2046</f>
        <v>1005.8787557911279</v>
      </c>
      <c r="Q247" s="21">
        <f>(SUMPRODUCT(Q$9:Q$229,Nutrients!$DY$8:$DY$228)+(IF($A$7=Nutrients!$B$8,Nutrients!$DY$8,Nutrients!$DY$9)*Q$7)+(((IF($A$8=Nutrients!$B$79,Nutrients!$DY$79,(IF($A$8=Nutrients!$B$77,Nutrients!$DY$77,Nutrients!$DY$78)))))*Q$8))/2000/2.2046</f>
        <v>1019.9245860858845</v>
      </c>
      <c r="R247" s="21">
        <f>(SUMPRODUCT(R$9:R$229,Nutrients!$DY$8:$DY$228)+(IF($A$7=Nutrients!$B$8,Nutrients!$DY$8,Nutrients!$DY$9)*R$7)+(((IF($A$8=Nutrients!$B$79,Nutrients!$DY$79,(IF($A$8=Nutrients!$B$77,Nutrients!$DY$77,Nutrients!$DY$78)))))*R$8))/2000/2.2046</f>
        <v>1031.9496564235899</v>
      </c>
      <c r="S247" s="21">
        <f>(SUMPRODUCT(S$9:S$229,Nutrients!$DY$8:$DY$228)+(IF($A$7=Nutrients!$B$8,Nutrients!$DY$8,Nutrients!$DY$9)*S$7)+(((IF($A$8=Nutrients!$B$79,Nutrients!$DY$79,(IF($A$8=Nutrients!$B$77,Nutrients!$DY$77,Nutrients!$DY$78)))))*S$8))/2000/2.2046</f>
        <v>1043.9591291163313</v>
      </c>
      <c r="T247" s="21">
        <f>(SUMPRODUCT(T$9:T$229,Nutrients!$DY$8:$DY$228)+(IF($A$7=Nutrients!$B$8,Nutrients!$DY$8,Nutrients!$DY$9)*T$7)+(((IF($A$8=Nutrients!$B$79,Nutrients!$DY$79,(IF($A$8=Nutrients!$B$77,Nutrients!$DY$77,Nutrients!$DY$78)))))*T$8))/2000/2.2046</f>
        <v>1054.1366392915484</v>
      </c>
      <c r="U247" s="21">
        <f>(SUMPRODUCT(U$9:U$229,Nutrients!$DY$8:$DY$228)+(IF($A$7=Nutrients!$B$8,Nutrients!$DY$8,Nutrients!$DY$9)*U$7)+(((IF($A$8=Nutrients!$B$79,Nutrients!$DY$79,(IF($A$8=Nutrients!$B$77,Nutrients!$DY$77,Nutrients!$DY$78)))))*U$8))/2000/2.2046</f>
        <v>1150.9323531256127</v>
      </c>
      <c r="W247" s="21">
        <f>(SUMPRODUCT(W$9:W$229,Nutrients!$DY$8:$DY$228)+(IF($A$7=Nutrients!$B$8,Nutrients!$DY$8,Nutrients!$DY$9)*W$7)+(((IF($A$8=Nutrients!$B$79,Nutrients!$DY$79,(IF($A$8=Nutrients!$B$77,Nutrients!$DY$77,Nutrients!$DY$78)))))*W$8))/2000/2.2046</f>
        <v>960.10468444507478</v>
      </c>
      <c r="X247" s="21">
        <f>(SUMPRODUCT(X$9:X$229,Nutrients!$DY$8:$DY$228)+(IF($A$7=Nutrients!$B$8,Nutrients!$DY$8,Nutrients!$DY$9)*X$7)+(((IF($A$8=Nutrients!$B$79,Nutrients!$DY$79,(IF($A$8=Nutrients!$B$77,Nutrients!$DY$77,Nutrients!$DY$78)))))*X$8))/2000/2.2046</f>
        <v>974.21373507558064</v>
      </c>
      <c r="Y247" s="21">
        <f>(SUMPRODUCT(Y$9:Y$229,Nutrients!$DY$8:$DY$228)+(IF($A$7=Nutrients!$B$8,Nutrients!$DY$8,Nutrients!$DY$9)*Y$7)+(((IF($A$8=Nutrients!$B$79,Nutrients!$DY$79,(IF($A$8=Nutrients!$B$77,Nutrients!$DY$77,Nutrients!$DY$78)))))*Y$8))/2000/2.2046</f>
        <v>986.19876865579226</v>
      </c>
      <c r="Z247" s="21">
        <f>(SUMPRODUCT(Z$9:Z$229,Nutrients!$DY$8:$DY$228)+(IF($A$7=Nutrients!$B$8,Nutrients!$DY$8,Nutrients!$DY$9)*Z$7)+(((IF($A$8=Nutrients!$B$79,Nutrients!$DY$79,(IF($A$8=Nutrients!$B$77,Nutrients!$DY$77,Nutrients!$DY$78)))))*Z$8))/2000/2.2046</f>
        <v>998.27771467429841</v>
      </c>
      <c r="AA247" s="21">
        <f>(SUMPRODUCT(AA$9:AA$229,Nutrients!$DY$8:$DY$228)+(IF($A$7=Nutrients!$B$8,Nutrients!$DY$8,Nutrients!$DY$9)*AA$7)+(((IF($A$8=Nutrients!$B$79,Nutrients!$DY$79,(IF($A$8=Nutrients!$B$77,Nutrients!$DY$77,Nutrients!$DY$78)))))*AA$8))/2000/2.2046</f>
        <v>1008.4637611819539</v>
      </c>
      <c r="AB247" s="21">
        <f>(SUMPRODUCT(AB$9:AB$229,Nutrients!$DY$8:$DY$228)+(IF($A$7=Nutrients!$B$8,Nutrients!$DY$8,Nutrients!$DY$9)*AB$7)+(((IF($A$8=Nutrients!$B$79,Nutrients!$DY$79,(IF($A$8=Nutrients!$B$77,Nutrients!$DY$77,Nutrients!$DY$78)))))*AB$8))/2000/2.2046</f>
        <v>1150.9323531256127</v>
      </c>
      <c r="AD247" s="21">
        <f>(SUMPRODUCT(AD$9:AD$229,Nutrients!$DY$8:$DY$228)+(IF($A$7=Nutrients!$B$8,Nutrients!$DY$8,Nutrients!$DY$9)*AD$7)+(((IF($A$8=Nutrients!$B$79,Nutrients!$DY$79,(IF($A$8=Nutrients!$B$77,Nutrients!$DY$77,Nutrients!$DY$78)))))*AD$8))/2000/2.2046</f>
        <v>914.3829159176986</v>
      </c>
      <c r="AE247" s="21">
        <f>(SUMPRODUCT(AE$9:AE$229,Nutrients!$DY$8:$DY$228)+(IF($A$7=Nutrients!$B$8,Nutrients!$DY$8,Nutrients!$DY$9)*AE$7)+(((IF($A$8=Nutrients!$B$79,Nutrients!$DY$79,(IF($A$8=Nutrients!$B$77,Nutrients!$DY$77,Nutrients!$DY$78)))))*AE$8))/2000/2.2046</f>
        <v>928.45415332639584</v>
      </c>
      <c r="AF247" s="21">
        <f>(SUMPRODUCT(AF$9:AF$229,Nutrients!$DY$8:$DY$228)+(IF($A$7=Nutrients!$B$8,Nutrients!$DY$8,Nutrients!$DY$9)*AF$7)+(((IF($A$8=Nutrients!$B$79,Nutrients!$DY$79,(IF($A$8=Nutrients!$B$77,Nutrients!$DY$77,Nutrients!$DY$78)))))*AF$8))/2000/2.2046</f>
        <v>940.51559867985804</v>
      </c>
      <c r="AG247" s="21">
        <f>(SUMPRODUCT(AG$9:AG$229,Nutrients!$DY$8:$DY$228)+(IF($A$7=Nutrients!$B$8,Nutrients!$DY$8,Nutrients!$DY$9)*AG$7)+(((IF($A$8=Nutrients!$B$79,Nutrients!$DY$79,(IF($A$8=Nutrients!$B$77,Nutrients!$DY$77,Nutrients!$DY$78)))))*AG$8))/2000/2.2046</f>
        <v>952.57802106830491</v>
      </c>
      <c r="AH247" s="21">
        <f>(SUMPRODUCT(AH$9:AH$229,Nutrients!$DY$8:$DY$228)+(IF($A$7=Nutrients!$B$8,Nutrients!$DY$8,Nutrients!$DY$9)*AH$7)+(((IF($A$8=Nutrients!$B$79,Nutrients!$DY$79,(IF($A$8=Nutrients!$B$77,Nutrients!$DY$77,Nutrients!$DY$78)))))*AH$8))/2000/2.2046</f>
        <v>962.68626709792295</v>
      </c>
      <c r="AI247" s="21">
        <f>(SUMPRODUCT(AI$9:AI$229,Nutrients!$DY$8:$DY$228)+(IF($A$7=Nutrients!$B$8,Nutrients!$DY$8,Nutrients!$DY$9)*AI$7)+(((IF($A$8=Nutrients!$B$79,Nutrients!$DY$79,(IF($A$8=Nutrients!$B$77,Nutrients!$DY$77,Nutrients!$DY$78)))))*AI$8))/2000/2.2046</f>
        <v>1150.9323531256127</v>
      </c>
      <c r="AK247" s="21">
        <f>(SUMPRODUCT(AK$9:AK$229,Nutrients!$DY$8:$DY$228)+(IF($A$7=Nutrients!$B$8,Nutrients!$DY$8,Nutrients!$DY$9)*AK$7)+(((IF($A$8=Nutrients!$B$79,Nutrients!$DY$79,(IF($A$8=Nutrients!$B$77,Nutrients!$DY$77,Nutrients!$DY$78)))))*AK$8))/2000/2.2046</f>
        <v>868.603940034537</v>
      </c>
      <c r="AL247" s="21">
        <f>(SUMPRODUCT(AL$9:AL$229,Nutrients!$DY$8:$DY$228)+(IF($A$7=Nutrients!$B$8,Nutrients!$DY$8,Nutrients!$DY$9)*AL$7)+(((IF($A$8=Nutrients!$B$79,Nutrients!$DY$79,(IF($A$8=Nutrients!$B$77,Nutrients!$DY$77,Nutrients!$DY$78)))))*AL$8))/2000/2.2046</f>
        <v>882.69178394563085</v>
      </c>
      <c r="AM247" s="21">
        <f>(SUMPRODUCT(AM$9:AM$229,Nutrients!$DY$8:$DY$228)+(IF($A$7=Nutrients!$B$8,Nutrients!$DY$8,Nutrients!$DY$9)*AM$7)+(((IF($A$8=Nutrients!$B$79,Nutrients!$DY$79,(IF($A$8=Nutrients!$B$77,Nutrients!$DY$77,Nutrients!$DY$78)))))*AM$8))/2000/2.2046</f>
        <v>894.70242865206819</v>
      </c>
      <c r="AN247" s="21">
        <f>(SUMPRODUCT(AN$9:AN$229,Nutrients!$DY$8:$DY$228)+(IF($A$7=Nutrients!$B$8,Nutrients!$DY$8,Nutrients!$DY$9)*AN$7)+(((IF($A$8=Nutrients!$B$79,Nutrients!$DY$79,(IF($A$8=Nutrients!$B$77,Nutrients!$DY$77,Nutrients!$DY$78)))))*AN$8))/2000/2.2046</f>
        <v>906.72343727007171</v>
      </c>
      <c r="AO247" s="21">
        <f>(SUMPRODUCT(AO$9:AO$229,Nutrients!$DY$8:$DY$228)+(IF($A$7=Nutrients!$B$8,Nutrients!$DY$8,Nutrients!$DY$9)*AO$7)+(((IF($A$8=Nutrients!$B$79,Nutrients!$DY$79,(IF($A$8=Nutrients!$B$77,Nutrients!$DY$77,Nutrients!$DY$78)))))*AO$8))/2000/2.2046</f>
        <v>916.96530918641213</v>
      </c>
      <c r="AP247" s="21">
        <f>(SUMPRODUCT(AP$9:AP$229,Nutrients!$DY$8:$DY$228)+(IF($A$7=Nutrients!$B$8,Nutrients!$DY$8,Nutrients!$DY$9)*AP$7)+(((IF($A$8=Nutrients!$B$79,Nutrients!$DY$79,(IF($A$8=Nutrients!$B$77,Nutrients!$DY$77,Nutrients!$DY$78)))))*AP$8))/2000/2.2046</f>
        <v>1150.9323531256127</v>
      </c>
      <c r="AR247" s="21">
        <f>(SUMPRODUCT(AR$9:AR$229,Nutrients!$DY$8:$DY$228)+(IF($A$7=Nutrients!$B$8,Nutrients!$DY$8,Nutrients!$DY$9)*AR$7)+(((IF($A$8=Nutrients!$B$79,Nutrients!$DY$79,(IF($A$8=Nutrients!$B$77,Nutrients!$DY$77,Nutrients!$DY$78)))))*AR$8))/2000/2.2046</f>
        <v>822.97218352412347</v>
      </c>
      <c r="AS247" s="21">
        <f>(SUMPRODUCT(AS$9:AS$229,Nutrients!$DY$8:$DY$228)+(IF($A$7=Nutrients!$B$8,Nutrients!$DY$8,Nutrients!$DY$9)*AS$7)+(((IF($A$8=Nutrients!$B$79,Nutrients!$DY$79,(IF($A$8=Nutrients!$B$77,Nutrients!$DY$77,Nutrients!$DY$78)))))*AS$8))/2000/2.2046</f>
        <v>836.8988973182569</v>
      </c>
      <c r="AT247" s="21">
        <f>(SUMPRODUCT(AT$9:AT$229,Nutrients!$DY$8:$DY$228)+(IF($A$7=Nutrients!$B$8,Nutrients!$DY$8,Nutrients!$DY$9)*AT$7)+(((IF($A$8=Nutrients!$B$79,Nutrients!$DY$79,(IF($A$8=Nutrients!$B$77,Nutrients!$DY$77,Nutrients!$DY$78)))))*AT$8))/2000/2.2046</f>
        <v>848.92825902769459</v>
      </c>
      <c r="AU247" s="21">
        <f>(SUMPRODUCT(AU$9:AU$229,Nutrients!$DY$8:$DY$228)+(IF($A$7=Nutrients!$B$8,Nutrients!$DY$8,Nutrients!$DY$9)*AU$7)+(((IF($A$8=Nutrients!$B$79,Nutrients!$DY$79,(IF($A$8=Nutrients!$B$77,Nutrients!$DY$77,Nutrients!$DY$78)))))*AU$8))/2000/2.2046</f>
        <v>860.98040187487868</v>
      </c>
      <c r="AV247" s="21">
        <f>(SUMPRODUCT(AV$9:AV$229,Nutrients!$DY$8:$DY$228)+(IF($A$7=Nutrients!$B$8,Nutrients!$DY$8,Nutrients!$DY$9)*AV$7)+(((IF($A$8=Nutrients!$B$79,Nutrients!$DY$79,(IF($A$8=Nutrients!$B$77,Nutrients!$DY$77,Nutrients!$DY$78)))))*AV$8))/2000/2.2046</f>
        <v>871.2446857367612</v>
      </c>
      <c r="AW247" s="21">
        <f>(SUMPRODUCT(AW$9:AW$229,Nutrients!$DY$8:$DY$228)+(IF($A$7=Nutrients!$B$8,Nutrients!$DY$8,Nutrients!$DY$9)*AW$7)+(((IF($A$8=Nutrients!$B$79,Nutrients!$DY$79,(IF($A$8=Nutrients!$B$77,Nutrients!$DY$77,Nutrients!$DY$78)))))*AW$8))/2000/2.2046</f>
        <v>1150.9323531256127</v>
      </c>
    </row>
    <row r="248" spans="1:57" x14ac:dyDescent="0.25">
      <c r="A248" s="5" t="s">
        <v>31</v>
      </c>
      <c r="B248" s="21">
        <f>(SUMPRODUCT(B$9:B$229,Nutrients!$DZ$8:$DZ$228)+(IF($A$7=Nutrients!$B$8,Nutrients!$DZ$8,Nutrients!$DZ$9)*B$7)+(((IF($A$8=Nutrients!$B$79,Nutrients!$DZ$79,(IF($A$8=Nutrients!$B$77,Nutrients!$DZ$77,Nutrients!$DZ$78)))))*B$8))/2000/2.2046</f>
        <v>1137.6355538359269</v>
      </c>
      <c r="C248" s="21">
        <f>(SUMPRODUCT(C$9:C$229,Nutrients!$DZ$8:$DZ$228)+(IF($A$7=Nutrients!$B$8,Nutrients!$DZ$8,Nutrients!$DZ$9)*C$7)+(((IF($A$8=Nutrients!$B$79,Nutrients!$DZ$79,(IF($A$8=Nutrients!$B$77,Nutrients!$DZ$77,Nutrients!$DZ$78)))))*C$8))/2000/2.2046</f>
        <v>1150.9934545095848</v>
      </c>
      <c r="D248" s="21">
        <f>(SUMPRODUCT(D$9:D$229,Nutrients!$DZ$8:$DZ$228)+(IF($A$7=Nutrients!$B$8,Nutrients!$DZ$8,Nutrients!$DZ$9)*D$7)+(((IF($A$8=Nutrients!$B$79,Nutrients!$DZ$79,(IF($A$8=Nutrients!$B$77,Nutrients!$DZ$77,Nutrients!$DZ$78)))))*D$8))/2000/2.2046</f>
        <v>1162.42368942858</v>
      </c>
      <c r="E248" s="21">
        <f>(SUMPRODUCT(E$9:E$229,Nutrients!$DZ$8:$DZ$228)+(IF($A$7=Nutrients!$B$8,Nutrients!$DZ$8,Nutrients!$DZ$9)*E$7)+(((IF($A$8=Nutrients!$B$79,Nutrients!$DZ$79,(IF($A$8=Nutrients!$B$77,Nutrients!$DZ$77,Nutrients!$DZ$78)))))*E$8))/2000/2.2046</f>
        <v>1173.9065707641619</v>
      </c>
      <c r="F248" s="21">
        <f>(SUMPRODUCT(F$9:F$229,Nutrients!$DZ$8:$DZ$228)+(IF($A$7=Nutrients!$B$8,Nutrients!$DZ$8,Nutrients!$DZ$9)*F$7)+(((IF($A$8=Nutrients!$B$79,Nutrients!$DZ$79,(IF($A$8=Nutrients!$B$77,Nutrients!$DZ$77,Nutrients!$DZ$78)))))*F$8))/2000/2.2046</f>
        <v>1183.6213518369293</v>
      </c>
      <c r="G248" s="21">
        <f>(SUMPRODUCT(G$9:G$229,Nutrients!$DZ$8:$DZ$228)+(IF($A$7=Nutrients!$B$8,Nutrients!$DZ$8,Nutrients!$DZ$9)*G$7)+(((IF($A$8=Nutrients!$B$79,Nutrients!$DZ$79,(IF($A$8=Nutrients!$B$77,Nutrients!$DZ$77,Nutrients!$DZ$78)))))*G$8))/2000/2.2046</f>
        <v>1188.5451985530322</v>
      </c>
      <c r="H248" s="226"/>
      <c r="I248" s="21">
        <f>(SUMPRODUCT(I$9:I$229,Nutrients!$DZ$8:$DZ$228)+(IF($A$7=Nutrients!$B$8,Nutrients!$DZ$8,Nutrients!$DZ$9)*I$7)+(((IF($A$8=Nutrients!$B$79,Nutrients!$DZ$79,(IF($A$8=Nutrients!$B$77,Nutrients!$DZ$77,Nutrients!$DZ$78)))))*I$8))/2000/2.2046</f>
        <v>1089.4506600974669</v>
      </c>
      <c r="J248" s="21">
        <f>(SUMPRODUCT(J$9:J$229,Nutrients!$DZ$8:$DZ$228)+(IF($A$7=Nutrients!$B$8,Nutrients!$DZ$8,Nutrients!$DZ$9)*J$7)+(((IF($A$8=Nutrients!$B$79,Nutrients!$DZ$79,(IF($A$8=Nutrients!$B$77,Nutrients!$DZ$77,Nutrients!$DZ$78)))))*J$8))/2000/2.2046</f>
        <v>1102.8828468718941</v>
      </c>
      <c r="K248" s="21">
        <f>(SUMPRODUCT(K$9:K$229,Nutrients!$DZ$8:$DZ$228)+(IF($A$7=Nutrients!$B$8,Nutrients!$DZ$8,Nutrients!$DZ$9)*K$7)+(((IF($A$8=Nutrients!$B$79,Nutrients!$DZ$79,(IF($A$8=Nutrients!$B$77,Nutrients!$DZ$77,Nutrients!$DZ$78)))))*K$8))/2000/2.2046</f>
        <v>1114.3621608418489</v>
      </c>
      <c r="L248" s="21">
        <f>(SUMPRODUCT(L$9:L$229,Nutrients!$DZ$8:$DZ$228)+(IF($A$7=Nutrients!$B$8,Nutrients!$DZ$8,Nutrients!$DZ$9)*L$7)+(((IF($A$8=Nutrients!$B$79,Nutrients!$DZ$79,(IF($A$8=Nutrients!$B$77,Nutrients!$DZ$77,Nutrients!$DZ$78)))))*L$8))/2000/2.2046</f>
        <v>1125.8804876952288</v>
      </c>
      <c r="M248" s="21">
        <f>(SUMPRODUCT(M$9:M$229,Nutrients!$DZ$8:$DZ$228)+(IF($A$7=Nutrients!$B$8,Nutrients!$DZ$8,Nutrients!$DZ$9)*M$7)+(((IF($A$8=Nutrients!$B$79,Nutrients!$DZ$79,(IF($A$8=Nutrients!$B$77,Nutrients!$DZ$77,Nutrients!$DZ$78)))))*M$8))/2000/2.2046</f>
        <v>1135.5980949538371</v>
      </c>
      <c r="N248" s="21">
        <f>(SUMPRODUCT(N$9:N$229,Nutrients!$DZ$8:$DZ$228)+(IF($A$7=Nutrients!$B$8,Nutrients!$DZ$8,Nutrients!$DZ$9)*N$7)+(((IF($A$8=Nutrients!$B$79,Nutrients!$DZ$79,(IF($A$8=Nutrients!$B$77,Nutrients!$DZ$77,Nutrients!$DZ$78)))))*N$8))/2000/2.2046</f>
        <v>1188.5451985530322</v>
      </c>
      <c r="O248" s="234"/>
      <c r="P248" s="21">
        <f>(SUMPRODUCT(P$9:P$229,Nutrients!$DZ$8:$DZ$228)+(IF($A$7=Nutrients!$B$8,Nutrients!$DZ$8,Nutrients!$DZ$9)*P$7)+(((IF($A$8=Nutrients!$B$79,Nutrients!$DZ$79,(IF($A$8=Nutrients!$B$77,Nutrients!$DZ$77,Nutrients!$DZ$78)))))*P$8))/2000/2.2046</f>
        <v>1041.3637192322442</v>
      </c>
      <c r="Q248" s="21">
        <f>(SUMPRODUCT(Q$9:Q$229,Nutrients!$DZ$8:$DZ$228)+(IF($A$7=Nutrients!$B$8,Nutrients!$DZ$8,Nutrients!$DZ$9)*Q$7)+(((IF($A$8=Nutrients!$B$79,Nutrients!$DZ$79,(IF($A$8=Nutrients!$B$77,Nutrients!$DZ$77,Nutrients!$DZ$78)))))*Q$8))/2000/2.2046</f>
        <v>1054.8135449411864</v>
      </c>
      <c r="R248" s="21">
        <f>(SUMPRODUCT(R$9:R$229,Nutrients!$DZ$8:$DZ$228)+(IF($A$7=Nutrients!$B$8,Nutrients!$DZ$8,Nutrients!$DZ$9)*R$7)+(((IF($A$8=Nutrients!$B$79,Nutrients!$DZ$79,(IF($A$8=Nutrients!$B$77,Nutrients!$DZ$77,Nutrients!$DZ$78)))))*R$8))/2000/2.2046</f>
        <v>1066.3585323169407</v>
      </c>
      <c r="S248" s="21">
        <f>(SUMPRODUCT(S$9:S$229,Nutrients!$DZ$8:$DZ$228)+(IF($A$7=Nutrients!$B$8,Nutrients!$DZ$8,Nutrients!$DZ$9)*S$7)+(((IF($A$8=Nutrients!$B$79,Nutrients!$DZ$79,(IF($A$8=Nutrients!$B$77,Nutrients!$DZ$77,Nutrients!$DZ$78)))))*S$8))/2000/2.2046</f>
        <v>1077.8467168079274</v>
      </c>
      <c r="T248" s="21">
        <f>(SUMPRODUCT(T$9:T$229,Nutrients!$DZ$8:$DZ$228)+(IF($A$7=Nutrients!$B$8,Nutrients!$DZ$8,Nutrients!$DZ$9)*T$7)+(((IF($A$8=Nutrients!$B$79,Nutrients!$DZ$79,(IF($A$8=Nutrients!$B$77,Nutrients!$DZ$77,Nutrients!$DZ$78)))))*T$8))/2000/2.2046</f>
        <v>1087.5691704118574</v>
      </c>
      <c r="U248" s="21">
        <f>(SUMPRODUCT(U$9:U$229,Nutrients!$DZ$8:$DZ$228)+(IF($A$7=Nutrients!$B$8,Nutrients!$DZ$8,Nutrients!$DZ$9)*U$7)+(((IF($A$8=Nutrients!$B$79,Nutrients!$DZ$79,(IF($A$8=Nutrients!$B$77,Nutrients!$DZ$77,Nutrients!$DZ$78)))))*U$8))/2000/2.2046</f>
        <v>1188.5451985530322</v>
      </c>
      <c r="W248" s="21">
        <f>(SUMPRODUCT(W$9:W$229,Nutrients!$DZ$8:$DZ$228)+(IF($A$7=Nutrients!$B$8,Nutrients!$DZ$8,Nutrients!$DZ$9)*W$7)+(((IF($A$8=Nutrients!$B$79,Nutrients!$DZ$79,(IF($A$8=Nutrients!$B$77,Nutrients!$DZ$77,Nutrients!$DZ$78)))))*W$8))/2000/2.2046</f>
        <v>993.36867258182713</v>
      </c>
      <c r="X248" s="21">
        <f>(SUMPRODUCT(X$9:X$229,Nutrients!$DZ$8:$DZ$228)+(IF($A$7=Nutrients!$B$8,Nutrients!$DZ$8,Nutrients!$DZ$9)*X$7)+(((IF($A$8=Nutrients!$B$79,Nutrients!$DZ$79,(IF($A$8=Nutrients!$B$77,Nutrients!$DZ$77,Nutrients!$DZ$78)))))*X$8))/2000/2.2046</f>
        <v>1006.879498455176</v>
      </c>
      <c r="Y248" s="21">
        <f>(SUMPRODUCT(Y$9:Y$229,Nutrients!$DZ$8:$DZ$228)+(IF($A$7=Nutrients!$B$8,Nutrients!$DZ$8,Nutrients!$DZ$9)*Y$7)+(((IF($A$8=Nutrients!$B$79,Nutrients!$DZ$79,(IF($A$8=Nutrients!$B$77,Nutrients!$DZ$77,Nutrients!$DZ$78)))))*Y$8))/2000/2.2046</f>
        <v>1018.3848357045318</v>
      </c>
      <c r="Z248" s="21">
        <f>(SUMPRODUCT(Z$9:Z$229,Nutrients!$DZ$8:$DZ$228)+(IF($A$7=Nutrients!$B$8,Nutrients!$DZ$8,Nutrients!$DZ$9)*Z$7)+(((IF($A$8=Nutrients!$B$79,Nutrients!$DZ$79,(IF($A$8=Nutrients!$B$77,Nutrients!$DZ$77,Nutrients!$DZ$78)))))*Z$8))/2000/2.2046</f>
        <v>1029.9399912506867</v>
      </c>
      <c r="AA248" s="21">
        <f>(SUMPRODUCT(AA$9:AA$229,Nutrients!$DZ$8:$DZ$228)+(IF($A$7=Nutrients!$B$8,Nutrients!$DZ$8,Nutrients!$DZ$9)*AA$7)+(((IF($A$8=Nutrients!$B$79,Nutrients!$DZ$79,(IF($A$8=Nutrients!$B$77,Nutrients!$DZ$77,Nutrients!$DZ$78)))))*AA$8))/2000/2.2046</f>
        <v>1039.6684732000551</v>
      </c>
      <c r="AB248" s="21">
        <f>(SUMPRODUCT(AB$9:AB$229,Nutrients!$DZ$8:$DZ$228)+(IF($A$7=Nutrients!$B$8,Nutrients!$DZ$8,Nutrients!$DZ$9)*AB$7)+(((IF($A$8=Nutrients!$B$79,Nutrients!$DZ$79,(IF($A$8=Nutrients!$B$77,Nutrients!$DZ$77,Nutrients!$DZ$78)))))*AB$8))/2000/2.2046</f>
        <v>1188.5451985530322</v>
      </c>
      <c r="AD248" s="21">
        <f>(SUMPRODUCT(AD$9:AD$229,Nutrients!$DZ$8:$DZ$228)+(IF($A$7=Nutrients!$B$8,Nutrients!$DZ$8,Nutrients!$DZ$9)*AD$7)+(((IF($A$8=Nutrients!$B$79,Nutrients!$DZ$79,(IF($A$8=Nutrients!$B$77,Nutrients!$DZ$77,Nutrients!$DZ$78)))))*AD$8))/2000/2.2046</f>
        <v>945.42381709425399</v>
      </c>
      <c r="AE248" s="21">
        <f>(SUMPRODUCT(AE$9:AE$229,Nutrients!$DZ$8:$DZ$228)+(IF($A$7=Nutrients!$B$8,Nutrients!$DZ$8,Nutrients!$DZ$9)*AE$7)+(((IF($A$8=Nutrients!$B$79,Nutrients!$DZ$79,(IF($A$8=Nutrients!$B$77,Nutrients!$DZ$77,Nutrients!$DZ$78)))))*AE$8))/2000/2.2046</f>
        <v>958.8977093532219</v>
      </c>
      <c r="AF248" s="21">
        <f>(SUMPRODUCT(AF$9:AF$229,Nutrients!$DZ$8:$DZ$228)+(IF($A$7=Nutrients!$B$8,Nutrients!$DZ$8,Nutrients!$DZ$9)*AF$7)+(((IF($A$8=Nutrients!$B$79,Nutrients!$DZ$79,(IF($A$8=Nutrients!$B$77,Nutrients!$DZ$77,Nutrients!$DZ$78)))))*AF$8))/2000/2.2046</f>
        <v>970.47638525085381</v>
      </c>
      <c r="AG248" s="21">
        <f>(SUMPRODUCT(AG$9:AG$229,Nutrients!$DZ$8:$DZ$228)+(IF($A$7=Nutrients!$B$8,Nutrients!$DZ$8,Nutrients!$DZ$9)*AG$7)+(((IF($A$8=Nutrients!$B$79,Nutrients!$DZ$79,(IF($A$8=Nutrients!$B$77,Nutrients!$DZ$77,Nutrients!$DZ$78)))))*AG$8))/2000/2.2046</f>
        <v>982.01373465051347</v>
      </c>
      <c r="AH248" s="21">
        <f>(SUMPRODUCT(AH$9:AH$229,Nutrients!$DZ$8:$DZ$228)+(IF($A$7=Nutrients!$B$8,Nutrients!$DZ$8,Nutrients!$DZ$9)*AH$7)+(((IF($A$8=Nutrients!$B$79,Nutrients!$DZ$79,(IF($A$8=Nutrients!$B$77,Nutrients!$DZ$77,Nutrients!$DZ$78)))))*AH$8))/2000/2.2046</f>
        <v>991.62123444222925</v>
      </c>
      <c r="AI248" s="21">
        <f>(SUMPRODUCT(AI$9:AI$229,Nutrients!$DZ$8:$DZ$228)+(IF($A$7=Nutrients!$B$8,Nutrients!$DZ$8,Nutrients!$DZ$9)*AI$7)+(((IF($A$8=Nutrients!$B$79,Nutrients!$DZ$79,(IF($A$8=Nutrients!$B$77,Nutrients!$DZ$77,Nutrients!$DZ$78)))))*AI$8))/2000/2.2046</f>
        <v>1188.5451985530322</v>
      </c>
      <c r="AK248" s="21">
        <f>(SUMPRODUCT(AK$9:AK$229,Nutrients!$DZ$8:$DZ$228)+(IF($A$7=Nutrients!$B$8,Nutrients!$DZ$8,Nutrients!$DZ$9)*AK$7)+(((IF($A$8=Nutrients!$B$79,Nutrients!$DZ$79,(IF($A$8=Nutrients!$B$77,Nutrients!$DZ$77,Nutrients!$DZ$78)))))*AK$8))/2000/2.2046</f>
        <v>897.42024423647422</v>
      </c>
      <c r="AL248" s="21">
        <f>(SUMPRODUCT(AL$9:AL$229,Nutrients!$DZ$8:$DZ$228)+(IF($A$7=Nutrients!$B$8,Nutrients!$DZ$8,Nutrients!$DZ$9)*AL$7)+(((IF($A$8=Nutrients!$B$79,Nutrients!$DZ$79,(IF($A$8=Nutrients!$B$77,Nutrients!$DZ$77,Nutrients!$DZ$78)))))*AL$8))/2000/2.2046</f>
        <v>910.91003352765608</v>
      </c>
      <c r="AM248" s="21">
        <f>(SUMPRODUCT(AM$9:AM$229,Nutrients!$DZ$8:$DZ$228)+(IF($A$7=Nutrients!$B$8,Nutrients!$DZ$8,Nutrients!$DZ$9)*AM$7)+(((IF($A$8=Nutrients!$B$79,Nutrients!$DZ$79,(IF($A$8=Nutrients!$B$77,Nutrients!$DZ$77,Nutrients!$DZ$78)))))*AM$8))/2000/2.2046</f>
        <v>922.43894718837032</v>
      </c>
      <c r="AN248" s="21">
        <f>(SUMPRODUCT(AN$9:AN$229,Nutrients!$DZ$8:$DZ$228)+(IF($A$7=Nutrients!$B$8,Nutrients!$DZ$8,Nutrients!$DZ$9)*AN$7)+(((IF($A$8=Nutrients!$B$79,Nutrients!$DZ$79,(IF($A$8=Nutrients!$B$77,Nutrients!$DZ$77,Nutrients!$DZ$78)))))*AN$8))/2000/2.2046</f>
        <v>933.89558593715253</v>
      </c>
      <c r="AO248" s="21">
        <f>(SUMPRODUCT(AO$9:AO$229,Nutrients!$DZ$8:$DZ$228)+(IF($A$7=Nutrients!$B$8,Nutrients!$DZ$8,Nutrients!$DZ$9)*AO$7)+(((IF($A$8=Nutrients!$B$79,Nutrients!$DZ$79,(IF($A$8=Nutrients!$B$77,Nutrients!$DZ$77,Nutrients!$DZ$78)))))*AO$8))/2000/2.2046</f>
        <v>943.61906060075933</v>
      </c>
      <c r="AP248" s="21">
        <f>(SUMPRODUCT(AP$9:AP$229,Nutrients!$DZ$8:$DZ$228)+(IF($A$7=Nutrients!$B$8,Nutrients!$DZ$8,Nutrients!$DZ$9)*AP$7)+(((IF($A$8=Nutrients!$B$79,Nutrients!$DZ$79,(IF($A$8=Nutrients!$B$77,Nutrients!$DZ$77,Nutrients!$DZ$78)))))*AP$8))/2000/2.2046</f>
        <v>1188.5451985530322</v>
      </c>
      <c r="AR248" s="21">
        <f>(SUMPRODUCT(AR$9:AR$229,Nutrients!$DZ$8:$DZ$228)+(IF($A$7=Nutrients!$B$8,Nutrients!$DZ$8,Nutrients!$DZ$9)*AR$7)+(((IF($A$8=Nutrients!$B$79,Nutrients!$DZ$79,(IF($A$8=Nutrients!$B$77,Nutrients!$DZ$77,Nutrients!$DZ$78)))))*AR$8))/2000/2.2046</f>
        <v>849.56109125476348</v>
      </c>
      <c r="AS248" s="21">
        <f>(SUMPRODUCT(AS$9:AS$229,Nutrients!$DZ$8:$DZ$228)+(IF($A$7=Nutrients!$B$8,Nutrients!$DZ$8,Nutrients!$DZ$9)*AS$7)+(((IF($A$8=Nutrients!$B$79,Nutrients!$DZ$79,(IF($A$8=Nutrients!$B$77,Nutrients!$DZ$77,Nutrients!$DZ$78)))))*AS$8))/2000/2.2046</f>
        <v>862.89142073846028</v>
      </c>
      <c r="AT248" s="21">
        <f>(SUMPRODUCT(AT$9:AT$229,Nutrients!$DZ$8:$DZ$228)+(IF($A$7=Nutrients!$B$8,Nutrients!$DZ$8,Nutrients!$DZ$9)*AT$7)+(((IF($A$8=Nutrients!$B$79,Nutrients!$DZ$79,(IF($A$8=Nutrients!$B$77,Nutrients!$DZ$77,Nutrients!$DZ$78)))))*AT$8))/2000/2.2046</f>
        <v>874.43334957469426</v>
      </c>
      <c r="AU248" s="21">
        <f>(SUMPRODUCT(AU$9:AU$229,Nutrients!$DZ$8:$DZ$228)+(IF($A$7=Nutrients!$B$8,Nutrients!$DZ$8,Nutrients!$DZ$9)*AU$7)+(((IF($A$8=Nutrients!$B$79,Nutrients!$DZ$79,(IF($A$8=Nutrients!$B$77,Nutrients!$DZ$77,Nutrients!$DZ$78)))))*AU$8))/2000/2.2046</f>
        <v>885.87140010730263</v>
      </c>
      <c r="AV248" s="21">
        <f>(SUMPRODUCT(AV$9:AV$229,Nutrients!$DZ$8:$DZ$228)+(IF($A$7=Nutrients!$B$8,Nutrients!$DZ$8,Nutrients!$DZ$9)*AV$7)+(((IF($A$8=Nutrients!$B$79,Nutrients!$DZ$79,(IF($A$8=Nutrients!$B$77,Nutrients!$DZ$77,Nutrients!$DZ$78)))))*AV$8))/2000/2.2046</f>
        <v>895.6172131661092</v>
      </c>
      <c r="AW248" s="21">
        <f>(SUMPRODUCT(AW$9:AW$229,Nutrients!$DZ$8:$DZ$228)+(IF($A$7=Nutrients!$B$8,Nutrients!$DZ$8,Nutrients!$DZ$9)*AW$7)+(((IF($A$8=Nutrients!$B$79,Nutrients!$DZ$79,(IF($A$8=Nutrients!$B$77,Nutrients!$DZ$77,Nutrients!$DZ$78)))))*AW$8))/2000/2.2046</f>
        <v>1188.5451985530322</v>
      </c>
    </row>
    <row r="249" spans="1:57" x14ac:dyDescent="0.25">
      <c r="A249" s="5" t="s">
        <v>61</v>
      </c>
      <c r="B249" s="21">
        <f>(SUMPRODUCT(B$9:B$229,Nutrients!$D$8:$D$228)+(IF($A$7=Nutrients!$B$8,Nutrients!$D$8,Nutrients!$D$9)*B$7)+(((IF($A$8=Nutrients!$B$79,Nutrients!$D$79,(IF($A$8=Nutrients!$B$77,Nutrients!$D$77,Nutrients!$D$78)))))*B$8))/2000/2.2046</f>
        <v>1553.447657374518</v>
      </c>
      <c r="C249" s="21">
        <f>(SUMPRODUCT(C$9:C$229,Nutrients!$D$8:$D$228)+(IF($A$7=Nutrients!$B$8,Nutrients!$D$8,Nutrients!$D$9)*C$7)+(((IF($A$8=Nutrients!$B$79,Nutrients!$D$79,(IF($A$8=Nutrients!$B$77,Nutrients!$D$77,Nutrients!$D$78)))))*C$8))/2000/2.2046</f>
        <v>1552.8317239882158</v>
      </c>
      <c r="D249" s="21">
        <f>(SUMPRODUCT(D$9:D$229,Nutrients!$D$8:$D$228)+(IF($A$7=Nutrients!$B$8,Nutrients!$D$8,Nutrients!$D$9)*D$7)+(((IF($A$8=Nutrients!$B$79,Nutrients!$D$79,(IF($A$8=Nutrients!$B$77,Nutrients!$D$77,Nutrients!$D$78)))))*D$8))/2000/2.2046</f>
        <v>1552.5109280788211</v>
      </c>
      <c r="E249" s="21">
        <f>(SUMPRODUCT(E$9:E$229,Nutrients!$D$8:$D$228)+(IF($A$7=Nutrients!$B$8,Nutrients!$D$8,Nutrients!$D$9)*E$7)+(((IF($A$8=Nutrients!$B$79,Nutrients!$D$79,(IF($A$8=Nutrients!$B$77,Nutrients!$D$77,Nutrients!$D$78)))))*E$8))/2000/2.2046</f>
        <v>1552.5671760275247</v>
      </c>
      <c r="F249" s="21">
        <f>(SUMPRODUCT(F$9:F$229,Nutrients!$D$8:$D$228)+(IF($A$7=Nutrients!$B$8,Nutrients!$D$8,Nutrients!$D$9)*F$7)+(((IF($A$8=Nutrients!$B$79,Nutrients!$D$79,(IF($A$8=Nutrients!$B$77,Nutrients!$D$77,Nutrients!$D$78)))))*F$8))/2000/2.2046</f>
        <v>1552.7159321016593</v>
      </c>
      <c r="G249" s="21">
        <f>(SUMPRODUCT(G$9:G$229,Nutrients!$D$8:$D$228)+(IF($A$7=Nutrients!$B$8,Nutrients!$D$8,Nutrients!$D$9)*G$7)+(((IF($A$8=Nutrients!$B$79,Nutrients!$D$79,(IF($A$8=Nutrients!$B$77,Nutrients!$D$77,Nutrients!$D$78)))))*G$8))/2000/2.2046</f>
        <v>1552.2569188768136</v>
      </c>
      <c r="H249" s="226"/>
      <c r="I249" s="21">
        <f>(SUMPRODUCT(I$9:I$229,Nutrients!$D$8:$D$228)+(IF($A$7=Nutrients!$B$8,Nutrients!$D$8,Nutrients!$D$9)*I$7)+(((IF($A$8=Nutrients!$B$79,Nutrients!$D$79,(IF($A$8=Nutrients!$B$77,Nutrients!$D$77,Nutrients!$D$78)))))*I$8))/2000/2.2046</f>
        <v>1570.5794191214936</v>
      </c>
      <c r="J249" s="21">
        <f>(SUMPRODUCT(J$9:J$229,Nutrients!$D$8:$D$228)+(IF($A$7=Nutrients!$B$8,Nutrients!$D$8,Nutrients!$D$9)*J$7)+(((IF($A$8=Nutrients!$B$79,Nutrients!$D$79,(IF($A$8=Nutrients!$B$77,Nutrients!$D$77,Nutrients!$D$78)))))*J$8))/2000/2.2046</f>
        <v>1570.0494186088647</v>
      </c>
      <c r="K249" s="21">
        <f>(SUMPRODUCT(K$9:K$229,Nutrients!$D$8:$D$228)+(IF($A$7=Nutrients!$B$8,Nutrients!$D$8,Nutrients!$D$9)*K$7)+(((IF($A$8=Nutrients!$B$79,Nutrients!$D$79,(IF($A$8=Nutrients!$B$77,Nutrients!$D$77,Nutrients!$D$78)))))*K$8))/2000/2.2046</f>
        <v>1569.8197306845409</v>
      </c>
      <c r="L249" s="21">
        <f>(SUMPRODUCT(L$9:L$229,Nutrients!$D$8:$D$228)+(IF($A$7=Nutrients!$B$8,Nutrients!$D$8,Nutrients!$D$9)*L$7)+(((IF($A$8=Nutrients!$B$79,Nutrients!$D$79,(IF($A$8=Nutrients!$B$77,Nutrients!$D$77,Nutrients!$D$78)))))*L$8))/2000/2.2046</f>
        <v>1569.8977070591386</v>
      </c>
      <c r="M249" s="21">
        <f>(SUMPRODUCT(M$9:M$229,Nutrients!$D$8:$D$228)+(IF($A$7=Nutrients!$B$8,Nutrients!$D$8,Nutrients!$D$9)*M$7)+(((IF($A$8=Nutrients!$B$79,Nutrients!$D$79,(IF($A$8=Nutrients!$B$77,Nutrients!$D$77,Nutrients!$D$78)))))*M$8))/2000/2.2046</f>
        <v>1570.0391789983364</v>
      </c>
      <c r="N249" s="21">
        <f>(SUMPRODUCT(N$9:N$229,Nutrients!$D$8:$D$228)+(IF($A$7=Nutrients!$B$8,Nutrients!$D$8,Nutrients!$D$9)*N$7)+(((IF($A$8=Nutrients!$B$79,Nutrients!$D$79,(IF($A$8=Nutrients!$B$77,Nutrients!$D$77,Nutrients!$D$78)))))*N$8))/2000/2.2046</f>
        <v>1552.2569188768136</v>
      </c>
      <c r="O249" s="234"/>
      <c r="P249" s="21">
        <f>(SUMPRODUCT(P$9:P$229,Nutrients!$D$8:$D$228)+(IF($A$7=Nutrients!$B$8,Nutrients!$D$8,Nutrients!$D$9)*P$7)+(((IF($A$8=Nutrients!$B$79,Nutrients!$D$79,(IF($A$8=Nutrients!$B$77,Nutrients!$D$77,Nutrients!$D$78)))))*P$8))/2000/2.2046</f>
        <v>1587.8338185749355</v>
      </c>
      <c r="Q249" s="21">
        <f>(SUMPRODUCT(Q$9:Q$229,Nutrients!$D$8:$D$228)+(IF($A$7=Nutrients!$B$8,Nutrients!$D$8,Nutrients!$D$9)*Q$7)+(((IF($A$8=Nutrients!$B$79,Nutrients!$D$79,(IF($A$8=Nutrients!$B$77,Nutrients!$D$77,Nutrients!$D$78)))))*Q$8))/2000/2.2046</f>
        <v>1587.3334018427045</v>
      </c>
      <c r="R249" s="21">
        <f>(SUMPRODUCT(R$9:R$229,Nutrients!$D$8:$D$228)+(IF($A$7=Nutrients!$B$8,Nutrients!$D$8,Nutrients!$D$9)*R$7)+(((IF($A$8=Nutrients!$B$79,Nutrients!$D$79,(IF($A$8=Nutrients!$B$77,Nutrients!$D$77,Nutrients!$D$78)))))*R$8))/2000/2.2046</f>
        <v>1587.1891448772083</v>
      </c>
      <c r="S249" s="21">
        <f>(SUMPRODUCT(S$9:S$229,Nutrients!$D$8:$D$228)+(IF($A$7=Nutrients!$B$8,Nutrients!$D$8,Nutrients!$D$9)*S$7)+(((IF($A$8=Nutrients!$B$79,Nutrients!$D$79,(IF($A$8=Nutrients!$B$77,Nutrients!$D$77,Nutrients!$D$78)))))*S$8))/2000/2.2046</f>
        <v>1587.2373672405836</v>
      </c>
      <c r="T249" s="21">
        <f>(SUMPRODUCT(T$9:T$229,Nutrients!$D$8:$D$228)+(IF($A$7=Nutrients!$B$8,Nutrients!$D$8,Nutrients!$D$9)*T$7)+(((IF($A$8=Nutrients!$B$79,Nutrients!$D$79,(IF($A$8=Nutrients!$B$77,Nutrients!$D$77,Nutrients!$D$78)))))*T$8))/2000/2.2046</f>
        <v>1587.3700336760207</v>
      </c>
      <c r="U249" s="21">
        <f>(SUMPRODUCT(U$9:U$229,Nutrients!$D$8:$D$228)+(IF($A$7=Nutrients!$B$8,Nutrients!$D$8,Nutrients!$D$9)*U$7)+(((IF($A$8=Nutrients!$B$79,Nutrients!$D$79,(IF($A$8=Nutrients!$B$77,Nutrients!$D$77,Nutrients!$D$78)))))*U$8))/2000/2.2046</f>
        <v>1552.2569188768136</v>
      </c>
      <c r="W249" s="21">
        <f>(SUMPRODUCT(W$9:W$229,Nutrients!$D$8:$D$228)+(IF($A$7=Nutrients!$B$8,Nutrients!$D$8,Nutrients!$D$9)*W$7)+(((IF($A$8=Nutrients!$B$79,Nutrients!$D$79,(IF($A$8=Nutrients!$B$77,Nutrients!$D$77,Nutrients!$D$78)))))*W$8))/2000/2.2046</f>
        <v>1605.1988453321201</v>
      </c>
      <c r="X249" s="21">
        <f>(SUMPRODUCT(X$9:X$229,Nutrients!$D$8:$D$228)+(IF($A$7=Nutrients!$B$8,Nutrients!$D$8,Nutrients!$D$9)*X$7)+(((IF($A$8=Nutrients!$B$79,Nutrients!$D$79,(IF($A$8=Nutrients!$B$77,Nutrients!$D$77,Nutrients!$D$78)))))*X$8))/2000/2.2046</f>
        <v>1604.7854257528716</v>
      </c>
      <c r="Y249" s="21">
        <f>(SUMPRODUCT(Y$9:Y$229,Nutrients!$D$8:$D$228)+(IF($A$7=Nutrients!$B$8,Nutrients!$D$8,Nutrients!$D$9)*Y$7)+(((IF($A$8=Nutrients!$B$79,Nutrients!$D$79,(IF($A$8=Nutrients!$B$77,Nutrients!$D$77,Nutrients!$D$78)))))*Y$8))/2000/2.2046</f>
        <v>1604.6020098576921</v>
      </c>
      <c r="Z249" s="21">
        <f>(SUMPRODUCT(Z$9:Z$229,Nutrients!$D$8:$D$228)+(IF($A$7=Nutrients!$B$8,Nutrients!$D$8,Nutrients!$D$9)*Z$7)+(((IF($A$8=Nutrients!$B$79,Nutrients!$D$79,(IF($A$8=Nutrients!$B$77,Nutrients!$D$77,Nutrients!$D$78)))))*Z$8))/2000/2.2046</f>
        <v>1604.7468112150666</v>
      </c>
      <c r="AA249" s="21">
        <f>(SUMPRODUCT(AA$9:AA$229,Nutrients!$D$8:$D$228)+(IF($A$7=Nutrients!$B$8,Nutrients!$D$8,Nutrients!$D$9)*AA$7)+(((IF($A$8=Nutrients!$B$79,Nutrients!$D$79,(IF($A$8=Nutrients!$B$77,Nutrients!$D$77,Nutrients!$D$78)))))*AA$8))/2000/2.2046</f>
        <v>1604.9173888291984</v>
      </c>
      <c r="AB249" s="21">
        <f>(SUMPRODUCT(AB$9:AB$229,Nutrients!$D$8:$D$228)+(IF($A$7=Nutrients!$B$8,Nutrients!$D$8,Nutrients!$D$9)*AB$7)+(((IF($A$8=Nutrients!$B$79,Nutrients!$D$79,(IF($A$8=Nutrients!$B$77,Nutrients!$D$77,Nutrients!$D$78)))))*AB$8))/2000/2.2046</f>
        <v>1552.2569188768136</v>
      </c>
      <c r="AD249" s="21">
        <f>(SUMPRODUCT(AD$9:AD$229,Nutrients!$D$8:$D$228)+(IF($A$7=Nutrients!$B$8,Nutrients!$D$8,Nutrients!$D$9)*AD$7)+(((IF($A$8=Nutrients!$B$79,Nutrients!$D$79,(IF($A$8=Nutrients!$B$77,Nutrients!$D$77,Nutrients!$D$78)))))*AD$8))/2000/2.2046</f>
        <v>1622.6391519958393</v>
      </c>
      <c r="AE249" s="21">
        <f>(SUMPRODUCT(AE$9:AE$229,Nutrients!$D$8:$D$228)+(IF($A$7=Nutrients!$B$8,Nutrients!$D$8,Nutrients!$D$9)*AE$7)+(((IF($A$8=Nutrients!$B$79,Nutrients!$D$79,(IF($A$8=Nutrients!$B$77,Nutrients!$D$77,Nutrients!$D$78)))))*AE$8))/2000/2.2046</f>
        <v>1622.1807061595498</v>
      </c>
      <c r="AF249" s="21">
        <f>(SUMPRODUCT(AF$9:AF$229,Nutrients!$D$8:$D$228)+(IF($A$7=Nutrients!$B$8,Nutrients!$D$8,Nutrients!$D$9)*AF$7)+(((IF($A$8=Nutrients!$B$79,Nutrients!$D$79,(IF($A$8=Nutrients!$B$77,Nutrients!$D$77,Nutrients!$D$78)))))*AF$8))/2000/2.2046</f>
        <v>1622.1095228675297</v>
      </c>
      <c r="AG249" s="21">
        <f>(SUMPRODUCT(AG$9:AG$229,Nutrients!$D$8:$D$228)+(IF($A$7=Nutrients!$B$8,Nutrients!$D$8,Nutrients!$D$9)*AG$7)+(((IF($A$8=Nutrients!$B$79,Nutrients!$D$79,(IF($A$8=Nutrients!$B$77,Nutrients!$D$77,Nutrients!$D$78)))))*AG$8))/2000/2.2046</f>
        <v>1622.2429360322983</v>
      </c>
      <c r="AH249" s="21">
        <f>(SUMPRODUCT(AH$9:AH$229,Nutrients!$D$8:$D$228)+(IF($A$7=Nutrients!$B$8,Nutrients!$D$8,Nutrients!$D$9)*AH$7)+(((IF($A$8=Nutrients!$B$79,Nutrients!$D$79,(IF($A$8=Nutrients!$B$77,Nutrients!$D$77,Nutrients!$D$78)))))*AH$8))/2000/2.2046</f>
        <v>1622.1841308191349</v>
      </c>
      <c r="AI249" s="21">
        <f>(SUMPRODUCT(AI$9:AI$229,Nutrients!$D$8:$D$228)+(IF($A$7=Nutrients!$B$8,Nutrients!$D$8,Nutrients!$D$9)*AI$7)+(((IF($A$8=Nutrients!$B$79,Nutrients!$D$79,(IF($A$8=Nutrients!$B$77,Nutrients!$D$77,Nutrients!$D$78)))))*AI$8))/2000/2.2046</f>
        <v>1552.2569188768136</v>
      </c>
      <c r="AK249" s="21">
        <f>(SUMPRODUCT(AK$9:AK$229,Nutrients!$D$8:$D$228)+(IF($A$7=Nutrients!$B$8,Nutrients!$D$8,Nutrients!$D$9)*AK$7)+(((IF($A$8=Nutrients!$B$79,Nutrients!$D$79,(IF($A$8=Nutrients!$B$77,Nutrients!$D$77,Nutrients!$D$78)))))*AK$8))/2000/2.2046</f>
        <v>1640.0020969516074</v>
      </c>
      <c r="AL249" s="21">
        <f>(SUMPRODUCT(AL$9:AL$229,Nutrients!$D$8:$D$228)+(IF($A$7=Nutrients!$B$8,Nutrients!$D$8,Nutrients!$D$9)*AL$7)+(((IF($A$8=Nutrients!$B$79,Nutrients!$D$79,(IF($A$8=Nutrients!$B$77,Nutrients!$D$77,Nutrients!$D$78)))))*AL$8))/2000/2.2046</f>
        <v>1639.5684773497417</v>
      </c>
      <c r="AM249" s="21">
        <f>(SUMPRODUCT(AM$9:AM$229,Nutrients!$D$8:$D$228)+(IF($A$7=Nutrients!$B$8,Nutrients!$D$8,Nutrients!$D$9)*AM$7)+(((IF($A$8=Nutrients!$B$79,Nutrients!$D$79,(IF($A$8=Nutrients!$B$77,Nutrients!$D$77,Nutrients!$D$78)))))*AM$8))/2000/2.2046</f>
        <v>1639.4445611137123</v>
      </c>
      <c r="AN249" s="21">
        <f>(SUMPRODUCT(AN$9:AN$229,Nutrients!$D$8:$D$228)+(IF($A$7=Nutrients!$B$8,Nutrients!$D$8,Nutrients!$D$9)*AN$7)+(((IF($A$8=Nutrients!$B$79,Nutrients!$D$79,(IF($A$8=Nutrients!$B$77,Nutrients!$D$77,Nutrients!$D$78)))))*AN$8))/2000/2.2046</f>
        <v>1639.4431767314516</v>
      </c>
      <c r="AO249" s="21">
        <f>(SUMPRODUCT(AO$9:AO$229,Nutrients!$D$8:$D$228)+(IF($A$7=Nutrients!$B$8,Nutrients!$D$8,Nutrients!$D$9)*AO$7)+(((IF($A$8=Nutrients!$B$79,Nutrients!$D$79,(IF($A$8=Nutrients!$B$77,Nutrients!$D$77,Nutrients!$D$78)))))*AO$8))/2000/2.2046</f>
        <v>1639.4733878594141</v>
      </c>
      <c r="AP249" s="21">
        <f>(SUMPRODUCT(AP$9:AP$229,Nutrients!$D$8:$D$228)+(IF($A$7=Nutrients!$B$8,Nutrients!$D$8,Nutrients!$D$9)*AP$7)+(((IF($A$8=Nutrients!$B$79,Nutrients!$D$79,(IF($A$8=Nutrients!$B$77,Nutrients!$D$77,Nutrients!$D$78)))))*AP$8))/2000/2.2046</f>
        <v>1552.2569188768136</v>
      </c>
      <c r="AR249" s="21">
        <f>(SUMPRODUCT(AR$9:AR$229,Nutrients!$D$8:$D$228)+(IF($A$7=Nutrients!$B$8,Nutrients!$D$8,Nutrients!$D$9)*AR$7)+(((IF($A$8=Nutrients!$B$79,Nutrients!$D$79,(IF($A$8=Nutrients!$B$77,Nutrients!$D$77,Nutrients!$D$78)))))*AR$8))/2000/2.2046</f>
        <v>1657.5305720563433</v>
      </c>
      <c r="AS249" s="21">
        <f>(SUMPRODUCT(AS$9:AS$229,Nutrients!$D$8:$D$228)+(IF($A$7=Nutrients!$B$8,Nutrients!$D$8,Nutrients!$D$9)*AS$7)+(((IF($A$8=Nutrients!$B$79,Nutrients!$D$79,(IF($A$8=Nutrients!$B$77,Nutrients!$D$77,Nutrients!$D$78)))))*AS$8))/2000/2.2046</f>
        <v>1656.9375685435482</v>
      </c>
      <c r="AT249" s="21">
        <f>(SUMPRODUCT(AT$9:AT$229,Nutrients!$D$8:$D$228)+(IF($A$7=Nutrients!$B$8,Nutrients!$D$8,Nutrients!$D$9)*AT$7)+(((IF($A$8=Nutrients!$B$79,Nutrients!$D$79,(IF($A$8=Nutrients!$B$77,Nutrients!$D$77,Nutrients!$D$78)))))*AT$8))/2000/2.2046</f>
        <v>1656.8601590344711</v>
      </c>
      <c r="AU249" s="21">
        <f>(SUMPRODUCT(AU$9:AU$229,Nutrients!$D$8:$D$228)+(IF($A$7=Nutrients!$B$8,Nutrients!$D$8,Nutrients!$D$9)*AU$7)+(((IF($A$8=Nutrients!$B$79,Nutrients!$D$79,(IF($A$8=Nutrients!$B$77,Nutrients!$D$77,Nutrients!$D$78)))))*AU$8))/2000/2.2046</f>
        <v>1656.706940049193</v>
      </c>
      <c r="AV249" s="21">
        <f>(SUMPRODUCT(AV$9:AV$229,Nutrients!$D$8:$D$228)+(IF($A$7=Nutrients!$B$8,Nutrients!$D$8,Nutrients!$D$9)*AV$7)+(((IF($A$8=Nutrients!$B$79,Nutrients!$D$79,(IF($A$8=Nutrients!$B$77,Nutrients!$D$77,Nutrients!$D$78)))))*AV$8))/2000/2.2046</f>
        <v>1656.7630043919464</v>
      </c>
      <c r="AW249" s="21">
        <f>(SUMPRODUCT(AW$9:AW$229,Nutrients!$D$8:$D$228)+(IF($A$7=Nutrients!$B$8,Nutrients!$D$8,Nutrients!$D$9)*AW$7)+(((IF($A$8=Nutrients!$B$79,Nutrients!$D$79,(IF($A$8=Nutrients!$B$77,Nutrients!$D$77,Nutrients!$D$78)))))*AW$8))/2000/2.2046</f>
        <v>1552.2569188768136</v>
      </c>
    </row>
    <row r="250" spans="1:57" x14ac:dyDescent="0.25">
      <c r="A250" s="5" t="s">
        <v>30</v>
      </c>
      <c r="B250" s="21">
        <f>(SUMPRODUCT(B$9:B$229,Nutrients!$F$8:$F$228)+(IF($A$7=Nutrients!$B$8,Nutrients!$F$8,Nutrients!$F$9)*B$7)+(((IF($A$8=Nutrients!$B$79,Nutrients!$F$79,(IF($A$8=Nutrients!$B$77,Nutrients!$F$77,Nutrients!$F$78)))))*B$8))/2000/2.2046</f>
        <v>1153.6247232105659</v>
      </c>
      <c r="C250" s="21">
        <f>(SUMPRODUCT(C$9:C$229,Nutrients!$F$8:$F$228)+(IF($A$7=Nutrients!$B$8,Nutrients!$F$8,Nutrients!$F$9)*C$7)+(((IF($A$8=Nutrients!$B$79,Nutrients!$F$79,(IF($A$8=Nutrients!$B$77,Nutrients!$F$77,Nutrients!$F$78)))))*C$8))/2000/2.2046</f>
        <v>1160.6089760708783</v>
      </c>
      <c r="D250" s="21">
        <f>(SUMPRODUCT(D$9:D$229,Nutrients!$F$8:$F$228)+(IF($A$7=Nutrients!$B$8,Nutrients!$F$8,Nutrients!$F$9)*D$7)+(((IF($A$8=Nutrients!$B$79,Nutrients!$F$79,(IF($A$8=Nutrients!$B$77,Nutrients!$F$77,Nutrients!$F$78)))))*D$8))/2000/2.2046</f>
        <v>1166.664301360594</v>
      </c>
      <c r="E250" s="21">
        <f>(SUMPRODUCT(E$9:E$229,Nutrients!$F$8:$F$228)+(IF($A$7=Nutrients!$B$8,Nutrients!$F$8,Nutrients!$F$9)*E$7)+(((IF($A$8=Nutrients!$B$79,Nutrients!$F$79,(IF($A$8=Nutrients!$B$77,Nutrients!$F$77,Nutrients!$F$78)))))*E$8))/2000/2.2046</f>
        <v>1172.8465047486318</v>
      </c>
      <c r="F250" s="21">
        <f>(SUMPRODUCT(F$9:F$229,Nutrients!$F$8:$F$228)+(IF($A$7=Nutrients!$B$8,Nutrients!$F$8,Nutrients!$F$9)*F$7)+(((IF($A$8=Nutrients!$B$79,Nutrients!$F$79,(IF($A$8=Nutrients!$B$77,Nutrients!$F$77,Nutrients!$F$78)))))*F$8))/2000/2.2046</f>
        <v>1178.0967521230723</v>
      </c>
      <c r="G250" s="21">
        <f>(SUMPRODUCT(G$9:G$229,Nutrients!$F$8:$F$228)+(IF($A$7=Nutrients!$B$8,Nutrients!$F$8,Nutrients!$F$9)*G$7)+(((IF($A$8=Nutrients!$B$79,Nutrients!$F$79,(IF($A$8=Nutrients!$B$77,Nutrients!$F$77,Nutrients!$F$78)))))*G$8))/2000/2.2046</f>
        <v>1180.5684789085878</v>
      </c>
      <c r="H250" s="226"/>
      <c r="I250" s="21">
        <f>(SUMPRODUCT(I$9:I$229,Nutrients!$F$8:$F$228)+(IF($A$7=Nutrients!$B$8,Nutrients!$F$8,Nutrients!$F$9)*I$7)+(((IF($A$8=Nutrients!$B$79,Nutrients!$F$79,(IF($A$8=Nutrients!$B$77,Nutrients!$F$77,Nutrients!$F$78)))))*I$8))/2000/2.2046</f>
        <v>1153.3679546278718</v>
      </c>
      <c r="J250" s="21">
        <f>(SUMPRODUCT(J$9:J$229,Nutrients!$F$8:$F$228)+(IF($A$7=Nutrients!$B$8,Nutrients!$F$8,Nutrients!$F$9)*J$7)+(((IF($A$8=Nutrients!$B$79,Nutrients!$F$79,(IF($A$8=Nutrients!$B$77,Nutrients!$F$77,Nutrients!$F$78)))))*J$8))/2000/2.2046</f>
        <v>1160.4340144343939</v>
      </c>
      <c r="K250" s="21">
        <f>(SUMPRODUCT(K$9:K$229,Nutrients!$F$8:$F$228)+(IF($A$7=Nutrients!$B$8,Nutrients!$F$8,Nutrients!$F$9)*K$7)+(((IF($A$8=Nutrients!$B$79,Nutrients!$F$79,(IF($A$8=Nutrients!$B$77,Nutrients!$F$77,Nutrients!$F$78)))))*K$8))/2000/2.2046</f>
        <v>1166.5352319413898</v>
      </c>
      <c r="L250" s="21">
        <f>(SUMPRODUCT(L$9:L$229,Nutrients!$F$8:$F$228)+(IF($A$7=Nutrients!$B$8,Nutrients!$F$8,Nutrients!$F$9)*L$7)+(((IF($A$8=Nutrients!$B$79,Nutrients!$F$79,(IF($A$8=Nutrients!$B$77,Nutrients!$F$77,Nutrients!$F$78)))))*L$8))/2000/2.2046</f>
        <v>1172.7562010030767</v>
      </c>
      <c r="M250" s="21">
        <f>(SUMPRODUCT(M$9:M$229,Nutrients!$F$8:$F$228)+(IF($A$7=Nutrients!$B$8,Nutrients!$F$8,Nutrients!$F$9)*M$7)+(((IF($A$8=Nutrients!$B$79,Nutrients!$F$79,(IF($A$8=Nutrients!$B$77,Nutrients!$F$77,Nutrients!$F$78)))))*M$8))/2000/2.2046</f>
        <v>1178.0093360180736</v>
      </c>
      <c r="N250" s="21">
        <f>(SUMPRODUCT(N$9:N$229,Nutrients!$F$8:$F$228)+(IF($A$7=Nutrients!$B$8,Nutrients!$F$8,Nutrients!$F$9)*N$7)+(((IF($A$8=Nutrients!$B$79,Nutrients!$F$79,(IF($A$8=Nutrients!$B$77,Nutrients!$F$77,Nutrients!$F$78)))))*N$8))/2000/2.2046</f>
        <v>1180.5684789085878</v>
      </c>
      <c r="O250" s="234"/>
      <c r="P250" s="21">
        <f>(SUMPRODUCT(P$9:P$229,Nutrients!$F$8:$F$228)+(IF($A$7=Nutrients!$B$8,Nutrients!$F$8,Nutrients!$F$9)*P$7)+(((IF($A$8=Nutrients!$B$79,Nutrients!$F$79,(IF($A$8=Nutrients!$B$77,Nutrients!$F$77,Nutrients!$F$78)))))*P$8))/2000/2.2046</f>
        <v>1153.2142906581487</v>
      </c>
      <c r="Q250" s="21">
        <f>(SUMPRODUCT(Q$9:Q$229,Nutrients!$F$8:$F$228)+(IF($A$7=Nutrients!$B$8,Nutrients!$F$8,Nutrients!$F$9)*Q$7)+(((IF($A$8=Nutrients!$B$79,Nutrients!$F$79,(IF($A$8=Nutrients!$B$77,Nutrients!$F$77,Nutrients!$F$78)))))*Q$8))/2000/2.2046</f>
        <v>1160.2999159497322</v>
      </c>
      <c r="R250" s="21">
        <f>(SUMPRODUCT(R$9:R$229,Nutrients!$F$8:$F$228)+(IF($A$7=Nutrients!$B$8,Nutrients!$F$8,Nutrients!$F$9)*R$7)+(((IF($A$8=Nutrients!$B$79,Nutrients!$F$79,(IF($A$8=Nutrients!$B$77,Nutrients!$F$77,Nutrients!$F$78)))))*R$8))/2000/2.2046</f>
        <v>1166.4690888349064</v>
      </c>
      <c r="S250" s="21">
        <f>(SUMPRODUCT(S$9:S$229,Nutrients!$F$8:$F$228)+(IF($A$7=Nutrients!$B$8,Nutrients!$F$8,Nutrients!$F$9)*S$7)+(((IF($A$8=Nutrients!$B$79,Nutrients!$F$79,(IF($A$8=Nutrients!$B$77,Nutrients!$F$77,Nutrients!$F$78)))))*S$8))/2000/2.2046</f>
        <v>1172.6592947830845</v>
      </c>
      <c r="T250" s="21">
        <f>(SUMPRODUCT(T$9:T$229,Nutrients!$F$8:$F$228)+(IF($A$7=Nutrients!$B$8,Nutrients!$F$8,Nutrients!$F$9)*T$7)+(((IF($A$8=Nutrients!$B$79,Nutrients!$F$79,(IF($A$8=Nutrients!$B$77,Nutrients!$F$77,Nutrients!$F$78)))))*T$8))/2000/2.2046</f>
        <v>1177.9162807905248</v>
      </c>
      <c r="U250" s="21">
        <f>(SUMPRODUCT(U$9:U$229,Nutrients!$F$8:$F$228)+(IF($A$7=Nutrients!$B$8,Nutrients!$F$8,Nutrients!$F$9)*U$7)+(((IF($A$8=Nutrients!$B$79,Nutrients!$F$79,(IF($A$8=Nutrients!$B$77,Nutrients!$F$77,Nutrients!$F$78)))))*U$8))/2000/2.2046</f>
        <v>1180.5684789085878</v>
      </c>
      <c r="W250" s="21">
        <f>(SUMPRODUCT(W$9:W$229,Nutrients!$F$8:$F$228)+(IF($A$7=Nutrients!$B$8,Nutrients!$F$8,Nutrients!$F$9)*W$7)+(((IF($A$8=Nutrients!$B$79,Nutrients!$F$79,(IF($A$8=Nutrients!$B$77,Nutrients!$F$77,Nutrients!$F$78)))))*W$8))/2000/2.2046</f>
        <v>1153.1514511301054</v>
      </c>
      <c r="X250" s="21">
        <f>(SUMPRODUCT(X$9:X$229,Nutrients!$F$8:$F$228)+(IF($A$7=Nutrients!$B$8,Nutrients!$F$8,Nutrients!$F$9)*X$7)+(((IF($A$8=Nutrients!$B$79,Nutrients!$F$79,(IF($A$8=Nutrients!$B$77,Nutrients!$F$77,Nutrients!$F$78)))))*X$8))/2000/2.2046</f>
        <v>1160.3014025612417</v>
      </c>
      <c r="Y250" s="21">
        <f>(SUMPRODUCT(Y$9:Y$229,Nutrients!$F$8:$F$228)+(IF($A$7=Nutrients!$B$8,Nutrients!$F$8,Nutrients!$F$9)*Y$7)+(((IF($A$8=Nutrients!$B$79,Nutrients!$F$79,(IF($A$8=Nutrients!$B$77,Nutrients!$F$77,Nutrients!$F$78)))))*Y$8))/2000/2.2046</f>
        <v>1166.4302470709852</v>
      </c>
      <c r="Z250" s="21">
        <f>(SUMPRODUCT(Z$9:Z$229,Nutrients!$F$8:$F$228)+(IF($A$7=Nutrients!$B$8,Nutrients!$F$8,Nutrients!$F$9)*Z$7)+(((IF($A$8=Nutrients!$B$79,Nutrients!$F$79,(IF($A$8=Nutrients!$B$77,Nutrients!$F$77,Nutrients!$F$78)))))*Z$8))/2000/2.2046</f>
        <v>1172.6911665808204</v>
      </c>
      <c r="AA250" s="21">
        <f>(SUMPRODUCT(AA$9:AA$229,Nutrients!$F$8:$F$228)+(IF($A$7=Nutrients!$B$8,Nutrients!$F$8,Nutrients!$F$9)*AA$7)+(((IF($A$8=Nutrients!$B$79,Nutrients!$F$79,(IF($A$8=Nutrients!$B$77,Nutrients!$F$77,Nutrients!$F$78)))))*AA$8))/2000/2.2046</f>
        <v>1177.9566425259204</v>
      </c>
      <c r="AB250" s="21">
        <f>(SUMPRODUCT(AB$9:AB$229,Nutrients!$F$8:$F$228)+(IF($A$7=Nutrients!$B$8,Nutrients!$F$8,Nutrients!$F$9)*AB$7)+(((IF($A$8=Nutrients!$B$79,Nutrients!$F$79,(IF($A$8=Nutrients!$B$77,Nutrients!$F$77,Nutrients!$F$78)))))*AB$8))/2000/2.2046</f>
        <v>1180.5684789085878</v>
      </c>
      <c r="AD250" s="21">
        <f>(SUMPRODUCT(AD$9:AD$229,Nutrients!$F$8:$F$228)+(IF($A$7=Nutrients!$B$8,Nutrients!$F$8,Nutrients!$F$9)*AD$7)+(((IF($A$8=Nutrients!$B$79,Nutrients!$F$79,(IF($A$8=Nutrients!$B$77,Nutrients!$F$77,Nutrients!$F$78)))))*AD$8))/2000/2.2046</f>
        <v>1153.142034791809</v>
      </c>
      <c r="AE250" s="21">
        <f>(SUMPRODUCT(AE$9:AE$229,Nutrients!$F$8:$F$228)+(IF($A$7=Nutrients!$B$8,Nutrients!$F$8,Nutrients!$F$9)*AE$7)+(((IF($A$8=Nutrients!$B$79,Nutrients!$F$79,(IF($A$8=Nutrients!$B$77,Nutrients!$F$77,Nutrients!$F$78)))))*AE$8))/2000/2.2046</f>
        <v>1160.2536913331055</v>
      </c>
      <c r="AF250" s="21">
        <f>(SUMPRODUCT(AF$9:AF$229,Nutrients!$F$8:$F$228)+(IF($A$7=Nutrients!$B$8,Nutrients!$F$8,Nutrients!$F$9)*AF$7)+(((IF($A$8=Nutrients!$B$79,Nutrients!$F$79,(IF($A$8=Nutrients!$B$77,Nutrients!$F$77,Nutrients!$F$78)))))*AF$8))/2000/2.2046</f>
        <v>1166.460345061761</v>
      </c>
      <c r="AG250" s="21">
        <f>(SUMPRODUCT(AG$9:AG$229,Nutrients!$F$8:$F$228)+(IF($A$7=Nutrients!$B$8,Nutrients!$F$8,Nutrients!$F$9)*AG$7)+(((IF($A$8=Nutrients!$B$79,Nutrients!$F$79,(IF($A$8=Nutrients!$B$77,Nutrients!$F$77,Nutrients!$F$78)))))*AG$8))/2000/2.2046</f>
        <v>1172.704739905836</v>
      </c>
      <c r="AH250" s="21">
        <f>(SUMPRODUCT(AH$9:AH$229,Nutrients!$F$8:$F$228)+(IF($A$7=Nutrients!$B$8,Nutrients!$F$8,Nutrients!$F$9)*AH$7)+(((IF($A$8=Nutrients!$B$79,Nutrients!$F$79,(IF($A$8=Nutrients!$B$77,Nutrients!$F$77,Nutrients!$F$78)))))*AH$8))/2000/2.2046</f>
        <v>1177.9036426322355</v>
      </c>
      <c r="AI250" s="21">
        <f>(SUMPRODUCT(AI$9:AI$229,Nutrients!$F$8:$F$228)+(IF($A$7=Nutrients!$B$8,Nutrients!$F$8,Nutrients!$F$9)*AI$7)+(((IF($A$8=Nutrients!$B$79,Nutrients!$F$79,(IF($A$8=Nutrients!$B$77,Nutrients!$F$77,Nutrients!$F$78)))))*AI$8))/2000/2.2046</f>
        <v>1180.5684789085878</v>
      </c>
      <c r="AK250" s="21">
        <f>(SUMPRODUCT(AK$9:AK$229,Nutrients!$F$8:$F$228)+(IF($A$7=Nutrients!$B$8,Nutrients!$F$8,Nutrients!$F$9)*AK$7)+(((IF($A$8=Nutrients!$B$79,Nutrients!$F$79,(IF($A$8=Nutrients!$B$77,Nutrients!$F$77,Nutrients!$F$78)))))*AK$8))/2000/2.2046</f>
        <v>1153.0753916642404</v>
      </c>
      <c r="AL250" s="21">
        <f>(SUMPRODUCT(AL$9:AL$229,Nutrients!$F$8:$F$228)+(IF($A$7=Nutrients!$B$8,Nutrients!$F$8,Nutrients!$F$9)*AL$7)+(((IF($A$8=Nutrients!$B$79,Nutrients!$F$79,(IF($A$8=Nutrients!$B$77,Nutrients!$F$77,Nutrients!$F$78)))))*AL$8))/2000/2.2046</f>
        <v>1160.2039958044193</v>
      </c>
      <c r="AM250" s="21">
        <f>(SUMPRODUCT(AM$9:AM$229,Nutrients!$F$8:$F$228)+(IF($A$7=Nutrients!$B$8,Nutrients!$F$8,Nutrients!$F$9)*AM$7)+(((IF($A$8=Nutrients!$B$79,Nutrients!$F$79,(IF($A$8=Nutrients!$B$77,Nutrients!$F$77,Nutrients!$F$78)))))*AM$8))/2000/2.2046</f>
        <v>1166.3599731181082</v>
      </c>
      <c r="AN250" s="21">
        <f>(SUMPRODUCT(AN$9:AN$229,Nutrients!$F$8:$F$228)+(IF($A$7=Nutrients!$B$8,Nutrients!$F$8,Nutrients!$F$9)*AN$7)+(((IF($A$8=Nutrients!$B$79,Nutrients!$F$79,(IF($A$8=Nutrients!$B$77,Nutrients!$F$77,Nutrients!$F$78)))))*AN$8))/2000/2.2046</f>
        <v>1172.5724839879415</v>
      </c>
      <c r="AO250" s="21">
        <f>(SUMPRODUCT(AO$9:AO$229,Nutrients!$F$8:$F$228)+(IF($A$7=Nutrients!$B$8,Nutrients!$F$8,Nutrients!$F$9)*AO$7)+(((IF($A$8=Nutrients!$B$79,Nutrients!$F$79,(IF($A$8=Nutrients!$B$77,Nutrients!$F$77,Nutrients!$F$78)))))*AO$8))/2000/2.2046</f>
        <v>1177.9107253358327</v>
      </c>
      <c r="AP250" s="21">
        <f>(SUMPRODUCT(AP$9:AP$229,Nutrients!$F$8:$F$228)+(IF($A$7=Nutrients!$B$8,Nutrients!$F$8,Nutrients!$F$9)*AP$7)+(((IF($A$8=Nutrients!$B$79,Nutrients!$F$79,(IF($A$8=Nutrients!$B$77,Nutrients!$F$77,Nutrients!$F$78)))))*AP$8))/2000/2.2046</f>
        <v>1180.5684789085878</v>
      </c>
      <c r="AR250" s="21">
        <f>(SUMPRODUCT(AR$9:AR$229,Nutrients!$F$8:$F$228)+(IF($A$7=Nutrients!$B$8,Nutrients!$F$8,Nutrients!$F$9)*AR$7)+(((IF($A$8=Nutrients!$B$79,Nutrients!$F$79,(IF($A$8=Nutrients!$B$77,Nutrients!$F$77,Nutrients!$F$78)))))*AR$8))/2000/2.2046</f>
        <v>1153.1575925934135</v>
      </c>
      <c r="AS250" s="21">
        <f>(SUMPRODUCT(AS$9:AS$229,Nutrients!$F$8:$F$228)+(IF($A$7=Nutrients!$B$8,Nutrients!$F$8,Nutrients!$F$9)*AS$7)+(((IF($A$8=Nutrients!$B$79,Nutrients!$F$79,(IF($A$8=Nutrients!$B$77,Nutrients!$F$77,Nutrients!$F$78)))))*AS$8))/2000/2.2046</f>
        <v>1160.1238471641236</v>
      </c>
      <c r="AT250" s="21">
        <f>(SUMPRODUCT(AT$9:AT$229,Nutrients!$F$8:$F$228)+(IF($A$7=Nutrients!$B$8,Nutrients!$F$8,Nutrients!$F$9)*AT$7)+(((IF($A$8=Nutrients!$B$79,Nutrients!$F$79,(IF($A$8=Nutrients!$B$77,Nutrients!$F$77,Nutrients!$F$78)))))*AT$8))/2000/2.2046</f>
        <v>1166.2995058830538</v>
      </c>
      <c r="AU250" s="21">
        <f>(SUMPRODUCT(AU$9:AU$229,Nutrients!$F$8:$F$228)+(IF($A$7=Nutrients!$B$8,Nutrients!$F$8,Nutrients!$F$9)*AU$7)+(((IF($A$8=Nutrients!$B$79,Nutrients!$F$79,(IF($A$8=Nutrients!$B$77,Nutrients!$F$77,Nutrients!$F$78)))))*AU$8))/2000/2.2046</f>
        <v>1172.5573496299719</v>
      </c>
      <c r="AV250" s="21">
        <f>(SUMPRODUCT(AV$9:AV$229,Nutrients!$F$8:$F$228)+(IF($A$7=Nutrients!$B$8,Nutrients!$F$8,Nutrients!$F$9)*AV$7)+(((IF($A$8=Nutrients!$B$79,Nutrients!$F$79,(IF($A$8=Nutrients!$B$77,Nutrients!$F$77,Nutrients!$F$78)))))*AV$8))/2000/2.2046</f>
        <v>1177.9181466084062</v>
      </c>
      <c r="AW250" s="21">
        <f>(SUMPRODUCT(AW$9:AW$229,Nutrients!$F$8:$F$228)+(IF($A$7=Nutrients!$B$8,Nutrients!$F$8,Nutrients!$F$9)*AW$7)+(((IF($A$8=Nutrients!$B$79,Nutrients!$F$79,(IF($A$8=Nutrients!$B$77,Nutrients!$F$77,Nutrients!$F$78)))))*AW$8))/2000/2.2046</f>
        <v>1180.5684789085878</v>
      </c>
      <c r="AY250" s="21"/>
      <c r="AZ250" s="21"/>
      <c r="BA250" s="21"/>
      <c r="BB250" s="21"/>
      <c r="BC250" s="21"/>
      <c r="BD250" s="21"/>
    </row>
    <row r="251" spans="1:57" x14ac:dyDescent="0.25">
      <c r="A251" s="38" t="s">
        <v>29</v>
      </c>
      <c r="B251" s="21">
        <f t="shared" ref="B251:G251" si="47">B250*2.20462</f>
        <v>2543.3041372844777</v>
      </c>
      <c r="C251" s="21">
        <f t="shared" si="47"/>
        <v>2558.7017608253796</v>
      </c>
      <c r="D251" s="21">
        <f t="shared" si="47"/>
        <v>2572.0514520655925</v>
      </c>
      <c r="E251" s="21">
        <f t="shared" si="47"/>
        <v>2585.6808612989284</v>
      </c>
      <c r="F251" s="21">
        <f t="shared" si="47"/>
        <v>2597.2556616655675</v>
      </c>
      <c r="G251" s="21">
        <f t="shared" si="47"/>
        <v>2602.7048799714507</v>
      </c>
      <c r="H251" s="226"/>
      <c r="I251" s="21">
        <f t="shared" ref="I251:N251" si="48">I250*2.20462</f>
        <v>2542.7380601316986</v>
      </c>
      <c r="J251" s="21">
        <f t="shared" si="48"/>
        <v>2558.3160369023535</v>
      </c>
      <c r="K251" s="21">
        <f t="shared" si="48"/>
        <v>2571.7669030426268</v>
      </c>
      <c r="L251" s="21">
        <f t="shared" si="48"/>
        <v>2585.4817758554027</v>
      </c>
      <c r="M251" s="21">
        <f t="shared" si="48"/>
        <v>2597.0629423721653</v>
      </c>
      <c r="N251" s="21">
        <f t="shared" si="48"/>
        <v>2602.7048799714507</v>
      </c>
      <c r="O251" s="234"/>
      <c r="P251" s="21">
        <f t="shared" ref="P251:U251" si="49">P250*2.20462</f>
        <v>2542.3992894707676</v>
      </c>
      <c r="Q251" s="21">
        <f t="shared" si="49"/>
        <v>2558.0204007010984</v>
      </c>
      <c r="R251" s="21">
        <f t="shared" si="49"/>
        <v>2571.6210826272113</v>
      </c>
      <c r="S251" s="21">
        <f t="shared" si="49"/>
        <v>2585.2681344646835</v>
      </c>
      <c r="T251" s="21">
        <f t="shared" si="49"/>
        <v>2596.8577909564065</v>
      </c>
      <c r="U251" s="21">
        <f t="shared" si="49"/>
        <v>2602.7048799714507</v>
      </c>
      <c r="W251" s="21">
        <f t="shared" ref="W251:AB251" si="50">W250*2.20462</f>
        <v>2542.2607521904529</v>
      </c>
      <c r="X251" s="21">
        <f t="shared" si="50"/>
        <v>2558.0236781145645</v>
      </c>
      <c r="Y251" s="21">
        <f t="shared" si="50"/>
        <v>2571.5354512976351</v>
      </c>
      <c r="Z251" s="21">
        <f t="shared" si="50"/>
        <v>2585.3383996674083</v>
      </c>
      <c r="AA251" s="21">
        <f t="shared" si="50"/>
        <v>2596.9467732454946</v>
      </c>
      <c r="AB251" s="21">
        <f t="shared" si="50"/>
        <v>2602.7048799714507</v>
      </c>
      <c r="AD251" s="21">
        <f t="shared" ref="AD251:AI251" si="51">AD250*2.20462</f>
        <v>2542.2399927427177</v>
      </c>
      <c r="AE251" s="21">
        <f t="shared" si="51"/>
        <v>2557.9184929867906</v>
      </c>
      <c r="AF251" s="21">
        <f t="shared" si="51"/>
        <v>2571.6018059300595</v>
      </c>
      <c r="AG251" s="21">
        <f t="shared" si="51"/>
        <v>2585.3683236912038</v>
      </c>
      <c r="AH251" s="21">
        <f t="shared" si="51"/>
        <v>2596.8299286198785</v>
      </c>
      <c r="AI251" s="21">
        <f t="shared" si="51"/>
        <v>2602.7048799714507</v>
      </c>
      <c r="AK251" s="21">
        <f t="shared" ref="AK251:AP251" si="52">AK250*2.20462</f>
        <v>2542.0930699708174</v>
      </c>
      <c r="AL251" s="21">
        <f t="shared" si="52"/>
        <v>2557.8089332303384</v>
      </c>
      <c r="AM251" s="21">
        <f t="shared" si="52"/>
        <v>2571.3805239356434</v>
      </c>
      <c r="AN251" s="21">
        <f t="shared" si="52"/>
        <v>2585.0767496494955</v>
      </c>
      <c r="AO251" s="21">
        <f t="shared" si="52"/>
        <v>2596.8455432898832</v>
      </c>
      <c r="AP251" s="21">
        <f t="shared" si="52"/>
        <v>2602.7048799714507</v>
      </c>
      <c r="AR251" s="21">
        <f t="shared" ref="AR251:AW251" si="53">AR250*2.20462</f>
        <v>2542.2742917832911</v>
      </c>
      <c r="AS251" s="21">
        <f t="shared" si="53"/>
        <v>2557.6322359349701</v>
      </c>
      <c r="AT251" s="21">
        <f t="shared" si="53"/>
        <v>2571.2472166598977</v>
      </c>
      <c r="AU251" s="21">
        <f t="shared" si="53"/>
        <v>2585.0433841412282</v>
      </c>
      <c r="AV251" s="21">
        <f t="shared" si="53"/>
        <v>2596.8619043758245</v>
      </c>
      <c r="AW251" s="21">
        <f t="shared" si="53"/>
        <v>2602.7048799714507</v>
      </c>
    </row>
    <row r="252" spans="1:57" x14ac:dyDescent="0.25">
      <c r="A252" s="38" t="s">
        <v>390</v>
      </c>
      <c r="B252" s="23">
        <f t="shared" ref="B252:G252" si="54">IF(B$5="","",B236/(B250*2.2046)*10000)</f>
        <v>4.6637077167474628</v>
      </c>
      <c r="C252" s="23">
        <f t="shared" si="54"/>
        <v>4.098690324665454</v>
      </c>
      <c r="D252" s="23">
        <f t="shared" si="54"/>
        <v>3.6038708201123204</v>
      </c>
      <c r="E252" s="23">
        <f t="shared" si="54"/>
        <v>3.1948100235360672</v>
      </c>
      <c r="F252" s="23">
        <f t="shared" si="54"/>
        <v>2.913603801156885</v>
      </c>
      <c r="G252" s="23">
        <f t="shared" si="54"/>
        <v>2.7602055376881007</v>
      </c>
      <c r="H252" s="227"/>
      <c r="I252" s="23">
        <f t="shared" ref="I252:N252" si="55">IF(I$5="","",I236/(I250*2.2046)*10000)</f>
        <v>4.6647459748469045</v>
      </c>
      <c r="J252" s="23">
        <f t="shared" si="55"/>
        <v>4.0993082948022534</v>
      </c>
      <c r="K252" s="23">
        <f t="shared" si="55"/>
        <v>3.6042695646173324</v>
      </c>
      <c r="L252" s="23">
        <f t="shared" si="55"/>
        <v>3.1950560280434108</v>
      </c>
      <c r="M252" s="23">
        <f t="shared" si="55"/>
        <v>2.9138200098812304</v>
      </c>
      <c r="N252" s="23">
        <f t="shared" si="55"/>
        <v>2.7602055376881007</v>
      </c>
      <c r="O252" s="198"/>
      <c r="P252" s="23">
        <f t="shared" ref="P252:U252" si="56">IF(P$5="","",P236/(P250*2.2046)*10000)</f>
        <v>4.6653675448274807</v>
      </c>
      <c r="Q252" s="23">
        <f t="shared" si="56"/>
        <v>4.0997820611301981</v>
      </c>
      <c r="R252" s="23">
        <f t="shared" si="56"/>
        <v>3.6044739400164651</v>
      </c>
      <c r="S252" s="23">
        <f t="shared" si="56"/>
        <v>3.1953200610866981</v>
      </c>
      <c r="T252" s="23">
        <f t="shared" si="56"/>
        <v>2.9140502012695975</v>
      </c>
      <c r="U252" s="23">
        <f t="shared" si="56"/>
        <v>2.7602055376881007</v>
      </c>
      <c r="W252" s="23">
        <f t="shared" ref="W252:AB252" si="57">IF(W$5="","",W236/(W250*2.2046)*10000)</f>
        <v>4.6656217781238771</v>
      </c>
      <c r="X252" s="23">
        <f t="shared" si="57"/>
        <v>4.0997768083715744</v>
      </c>
      <c r="Y252" s="23">
        <f t="shared" si="57"/>
        <v>3.6045939678759886</v>
      </c>
      <c r="Z252" s="23">
        <f t="shared" si="57"/>
        <v>3.1952332175957689</v>
      </c>
      <c r="AA252" s="23">
        <f t="shared" si="57"/>
        <v>2.9139503536870062</v>
      </c>
      <c r="AB252" s="23">
        <f t="shared" si="57"/>
        <v>2.7602055376881007</v>
      </c>
      <c r="AD252" s="23">
        <f t="shared" ref="AD252:AI252" si="58">IF(AD$5="","",AD236/(AD250*2.2046)*10000)</f>
        <v>4.6656598767029767</v>
      </c>
      <c r="AE252" s="23">
        <f t="shared" si="58"/>
        <v>4.0999453968346602</v>
      </c>
      <c r="AF252" s="23">
        <f t="shared" si="58"/>
        <v>3.6045009591110908</v>
      </c>
      <c r="AG252" s="23">
        <f t="shared" si="58"/>
        <v>3.195196234766684</v>
      </c>
      <c r="AH252" s="23">
        <f t="shared" si="58"/>
        <v>2.9140814671782627</v>
      </c>
      <c r="AI252" s="23">
        <f t="shared" si="58"/>
        <v>2.7602055376881007</v>
      </c>
      <c r="AK252" s="23">
        <f t="shared" ref="AK252:AP252" si="59">IF(AK$5="","",AK236/(AK250*2.2046)*10000)</f>
        <v>4.6659295331093169</v>
      </c>
      <c r="AL252" s="23">
        <f t="shared" si="59"/>
        <v>4.100121011601388</v>
      </c>
      <c r="AM252" s="23">
        <f t="shared" si="59"/>
        <v>3.6048111470252029</v>
      </c>
      <c r="AN252" s="23">
        <f t="shared" si="59"/>
        <v>3.195556624948658</v>
      </c>
      <c r="AO252" s="23">
        <f t="shared" si="59"/>
        <v>2.914063944988468</v>
      </c>
      <c r="AP252" s="23">
        <f t="shared" si="59"/>
        <v>2.7602055376881007</v>
      </c>
      <c r="AR252" s="23">
        <f t="shared" ref="AR252:AW252" si="60">IF(AR$5="","",AR236/(AR250*2.2046)*10000)</f>
        <v>4.6655969300500812</v>
      </c>
      <c r="AS252" s="23">
        <f t="shared" si="60"/>
        <v>4.1004042737073529</v>
      </c>
      <c r="AT252" s="23">
        <f t="shared" si="60"/>
        <v>3.6049980398103352</v>
      </c>
      <c r="AU252" s="23">
        <f t="shared" si="60"/>
        <v>3.1955978704347654</v>
      </c>
      <c r="AV252" s="23">
        <f t="shared" si="60"/>
        <v>2.9140455854251188</v>
      </c>
      <c r="AW252" s="23">
        <f t="shared" si="60"/>
        <v>2.7602055376881007</v>
      </c>
    </row>
    <row r="253" spans="1:57" x14ac:dyDescent="0.25">
      <c r="A253" s="51" t="s">
        <v>155</v>
      </c>
      <c r="B253" s="22">
        <f>(SUMPRODUCT(B$9:B$229,Nutrients!$I$8:$I$228)+(IF($A$7=Nutrients!$B$8,Nutrients!$I$8,Nutrients!$I$9)*B$7)+(((IF($A$8=Nutrients!$B$79,Nutrients!$I$79,(IF($A$8=Nutrients!$B$77,Nutrients!$I$77,Nutrients!$I$78)))))*B$8))/2000</f>
        <v>19.197144454100709</v>
      </c>
      <c r="C253" s="22">
        <f>(SUMPRODUCT(C$9:C$229,Nutrients!$I$8:$I$228)+(IF($A$7=Nutrients!$B$8,Nutrients!$I$8,Nutrients!$I$9)*C$7)+(((IF($A$8=Nutrients!$B$79,Nutrients!$I$79,(IF($A$8=Nutrients!$B$77,Nutrients!$I$77,Nutrients!$I$78)))))*C$8))/2000</f>
        <v>17.518322949293985</v>
      </c>
      <c r="D253" s="22">
        <f>(SUMPRODUCT(D$9:D$229,Nutrients!$I$8:$I$228)+(IF($A$7=Nutrients!$B$8,Nutrients!$I$8,Nutrients!$I$9)*D$7)+(((IF($A$8=Nutrients!$B$79,Nutrients!$I$79,(IF($A$8=Nutrients!$B$77,Nutrients!$I$77,Nutrients!$I$78)))))*D$8))/2000</f>
        <v>16.093820180294312</v>
      </c>
      <c r="E253" s="22">
        <f>(SUMPRODUCT(E$9:E$229,Nutrients!$I$8:$I$228)+(IF($A$7=Nutrients!$B$8,Nutrients!$I$8,Nutrients!$I$9)*E$7)+(((IF($A$8=Nutrients!$B$79,Nutrients!$I$79,(IF($A$8=Nutrients!$B$77,Nutrients!$I$77,Nutrients!$I$78)))))*E$8))/2000</f>
        <v>14.741302120356609</v>
      </c>
      <c r="F253" s="22">
        <f>(SUMPRODUCT(F$9:F$229,Nutrients!$I$8:$I$228)+(IF($A$7=Nutrients!$B$8,Nutrients!$I$8,Nutrients!$I$9)*F$7)+(((IF($A$8=Nutrients!$B$79,Nutrients!$I$79,(IF($A$8=Nutrients!$B$77,Nutrients!$I$77,Nutrients!$I$78)))))*F$8))/2000</f>
        <v>13.625458454243304</v>
      </c>
      <c r="G253" s="22">
        <f>(SUMPRODUCT(G$9:G$229,Nutrients!$I$8:$I$228)+(IF($A$7=Nutrients!$B$8,Nutrients!$I$8,Nutrients!$I$9)*G$7)+(((IF($A$8=Nutrients!$B$79,Nutrients!$I$79,(IF($A$8=Nutrients!$B$77,Nutrients!$I$77,Nutrients!$I$78)))))*G$8))/2000</f>
        <v>13.010227616088669</v>
      </c>
      <c r="H253" s="228"/>
      <c r="I253" s="22">
        <f>(SUMPRODUCT(I$9:I$229,Nutrients!$I$8:$I$228)+(IF($A$7=Nutrients!$B$8,Nutrients!$I$8,Nutrients!$I$9)*I$7)+(((IF($A$8=Nutrients!$B$79,Nutrients!$I$79,(IF($A$8=Nutrients!$B$77,Nutrients!$I$77,Nutrients!$I$78)))))*I$8))/2000</f>
        <v>19.597200691982383</v>
      </c>
      <c r="J253" s="22">
        <f>(SUMPRODUCT(J$9:J$229,Nutrients!$I$8:$I$228)+(IF($A$7=Nutrients!$B$8,Nutrients!$I$8,Nutrients!$I$9)*J$7)+(((IF($A$8=Nutrients!$B$79,Nutrients!$I$79,(IF($A$8=Nutrients!$B$77,Nutrients!$I$77,Nutrients!$I$78)))))*J$8))/2000</f>
        <v>17.91982022954446</v>
      </c>
      <c r="K253" s="22">
        <f>(SUMPRODUCT(K$9:K$229,Nutrients!$I$8:$I$228)+(IF($A$7=Nutrients!$B$8,Nutrients!$I$8,Nutrients!$I$9)*K$7)+(((IF($A$8=Nutrients!$B$79,Nutrients!$I$79,(IF($A$8=Nutrients!$B$77,Nutrients!$I$77,Nutrients!$I$78)))))*K$8))/2000</f>
        <v>16.500157776344498</v>
      </c>
      <c r="L253" s="22">
        <f>(SUMPRODUCT(L$9:L$229,Nutrients!$I$8:$I$228)+(IF($A$7=Nutrients!$B$8,Nutrients!$I$8,Nutrients!$I$9)*L$7)+(((IF($A$8=Nutrients!$B$79,Nutrients!$I$79,(IF($A$8=Nutrients!$B$77,Nutrients!$I$77,Nutrients!$I$78)))))*L$8))/2000</f>
        <v>15.144945030324584</v>
      </c>
      <c r="M253" s="22">
        <f>(SUMPRODUCT(M$9:M$229,Nutrients!$I$8:$I$228)+(IF($A$7=Nutrients!$B$8,Nutrients!$I$8,Nutrients!$I$9)*M$7)+(((IF($A$8=Nutrients!$B$79,Nutrients!$I$79,(IF($A$8=Nutrients!$B$77,Nutrients!$I$77,Nutrients!$I$78)))))*M$8))/2000</f>
        <v>14.027087351494538</v>
      </c>
      <c r="N253" s="22">
        <f>(SUMPRODUCT(N$9:N$229,Nutrients!$I$8:$I$228)+(IF($A$7=Nutrients!$B$8,Nutrients!$I$8,Nutrients!$I$9)*N$7)+(((IF($A$8=Nutrients!$B$79,Nutrients!$I$79,(IF($A$8=Nutrients!$B$77,Nutrients!$I$77,Nutrients!$I$78)))))*N$8))/2000</f>
        <v>13.010227616088669</v>
      </c>
      <c r="O253" s="235"/>
      <c r="P253" s="22">
        <f>(SUMPRODUCT(P$9:P$229,Nutrients!$I$8:$I$228)+(IF($A$7=Nutrients!$B$8,Nutrients!$I$8,Nutrients!$I$9)*P$7)+(((IF($A$8=Nutrients!$B$79,Nutrients!$I$79,(IF($A$8=Nutrients!$B$77,Nutrients!$I$77,Nutrients!$I$78)))))*P$8))/2000</f>
        <v>19.999653859391298</v>
      </c>
      <c r="Q253" s="22">
        <f>(SUMPRODUCT(Q$9:Q$229,Nutrients!$I$8:$I$228)+(IF($A$7=Nutrients!$B$8,Nutrients!$I$8,Nutrients!$I$9)*Q$7)+(((IF($A$8=Nutrients!$B$79,Nutrients!$I$79,(IF($A$8=Nutrients!$B$77,Nutrients!$I$77,Nutrients!$I$78)))))*Q$8))/2000</f>
        <v>18.324272695276957</v>
      </c>
      <c r="R253" s="22">
        <f>(SUMPRODUCT(R$9:R$229,Nutrients!$I$8:$I$228)+(IF($A$7=Nutrients!$B$8,Nutrients!$I$8,Nutrients!$I$9)*R$7)+(((IF($A$8=Nutrients!$B$79,Nutrients!$I$79,(IF($A$8=Nutrients!$B$77,Nutrients!$I$77,Nutrients!$I$78)))))*R$8))/2000</f>
        <v>16.906471991245891</v>
      </c>
      <c r="S253" s="22">
        <f>(SUMPRODUCT(S$9:S$229,Nutrients!$I$8:$I$228)+(IF($A$7=Nutrients!$B$8,Nutrients!$I$8,Nutrients!$I$9)*S$7)+(((IF($A$8=Nutrients!$B$79,Nutrients!$I$79,(IF($A$8=Nutrients!$B$77,Nutrients!$I$77,Nutrients!$I$78)))))*S$8))/2000</f>
        <v>15.551940682114102</v>
      </c>
      <c r="T253" s="22">
        <f>(SUMPRODUCT(T$9:T$229,Nutrients!$I$8:$I$228)+(IF($A$7=Nutrients!$B$8,Nutrients!$I$8,Nutrients!$I$9)*T$7)+(((IF($A$8=Nutrients!$B$79,Nutrients!$I$79,(IF($A$8=Nutrients!$B$77,Nutrients!$I$77,Nutrients!$I$78)))))*T$8))/2000</f>
        <v>14.431500862311957</v>
      </c>
      <c r="U253" s="22">
        <f>(SUMPRODUCT(U$9:U$229,Nutrients!$I$8:$I$228)+(IF($A$7=Nutrients!$B$8,Nutrients!$I$8,Nutrients!$I$9)*U$7)+(((IF($A$8=Nutrients!$B$79,Nutrients!$I$79,(IF($A$8=Nutrients!$B$77,Nutrients!$I$77,Nutrients!$I$78)))))*U$8))/2000</f>
        <v>13.010227616088669</v>
      </c>
      <c r="W253" s="22">
        <f>(SUMPRODUCT(W$9:W$229,Nutrients!$I$8:$I$228)+(IF($A$7=Nutrients!$B$8,Nutrients!$I$8,Nutrients!$I$9)*W$7)+(((IF($A$8=Nutrients!$B$79,Nutrients!$I$79,(IF($A$8=Nutrients!$B$77,Nutrients!$I$77,Nutrients!$I$78)))))*W$8))/2000</f>
        <v>20.402419540662873</v>
      </c>
      <c r="X253" s="22">
        <f>(SUMPRODUCT(X$9:X$229,Nutrients!$I$8:$I$228)+(IF($A$7=Nutrients!$B$8,Nutrients!$I$8,Nutrients!$I$9)*X$7)+(((IF($A$8=Nutrients!$B$79,Nutrients!$I$79,(IF($A$8=Nutrients!$B$77,Nutrients!$I$77,Nutrients!$I$78)))))*X$8))/2000</f>
        <v>18.730319744665589</v>
      </c>
      <c r="Y253" s="22">
        <f>(SUMPRODUCT(Y$9:Y$229,Nutrients!$I$8:$I$228)+(IF($A$7=Nutrients!$B$8,Nutrients!$I$8,Nutrients!$I$9)*Y$7)+(((IF($A$8=Nutrients!$B$79,Nutrients!$I$79,(IF($A$8=Nutrients!$B$77,Nutrients!$I$77,Nutrients!$I$78)))))*Y$8))/2000</f>
        <v>17.313587592387552</v>
      </c>
      <c r="Z253" s="22">
        <f>(SUMPRODUCT(Z$9:Z$229,Nutrients!$I$8:$I$228)+(IF($A$7=Nutrients!$B$8,Nutrients!$I$8,Nutrients!$I$9)*Z$7)+(((IF($A$8=Nutrients!$B$79,Nutrients!$I$79,(IF($A$8=Nutrients!$B$77,Nutrients!$I$77,Nutrients!$I$78)))))*Z$8))/2000</f>
        <v>15.962855149684314</v>
      </c>
      <c r="AA253" s="22">
        <f>(SUMPRODUCT(AA$9:AA$229,Nutrients!$I$8:$I$228)+(IF($A$7=Nutrients!$B$8,Nutrients!$I$8,Nutrients!$I$9)*AA$7)+(((IF($A$8=Nutrients!$B$79,Nutrients!$I$79,(IF($A$8=Nutrients!$B$77,Nutrients!$I$77,Nutrients!$I$78)))))*AA$8))/2000</f>
        <v>14.847906712193907</v>
      </c>
      <c r="AB253" s="22">
        <f>(SUMPRODUCT(AB$9:AB$229,Nutrients!$I$8:$I$228)+(IF($A$7=Nutrients!$B$8,Nutrients!$I$8,Nutrients!$I$9)*AB$7)+(((IF($A$8=Nutrients!$B$79,Nutrients!$I$79,(IF($A$8=Nutrients!$B$77,Nutrients!$I$77,Nutrients!$I$78)))))*AB$8))/2000</f>
        <v>13.010227616088669</v>
      </c>
      <c r="AD253" s="22">
        <f>(SUMPRODUCT(AD$9:AD$229,Nutrients!$I$8:$I$228)+(IF($A$7=Nutrients!$B$8,Nutrients!$I$8,Nutrients!$I$9)*AD$7)+(((IF($A$8=Nutrients!$B$79,Nutrients!$I$79,(IF($A$8=Nutrients!$B$77,Nutrients!$I$77,Nutrients!$I$78)))))*AD$8))/2000</f>
        <v>20.808490624552984</v>
      </c>
      <c r="AE253" s="22">
        <f>(SUMPRODUCT(AE$9:AE$229,Nutrients!$I$8:$I$228)+(IF($A$7=Nutrients!$B$8,Nutrients!$I$8,Nutrients!$I$9)*AE$7)+(((IF($A$8=Nutrients!$B$79,Nutrients!$I$79,(IF($A$8=Nutrients!$B$77,Nutrients!$I$77,Nutrients!$I$78)))))*AE$8))/2000</f>
        <v>19.135812042172866</v>
      </c>
      <c r="AF253" s="22">
        <f>(SUMPRODUCT(AF$9:AF$229,Nutrients!$I$8:$I$228)+(IF($A$7=Nutrients!$B$8,Nutrients!$I$8,Nutrients!$I$9)*AF$7)+(((IF($A$8=Nutrients!$B$79,Nutrients!$I$79,(IF($A$8=Nutrients!$B$77,Nutrients!$I$77,Nutrients!$I$78)))))*AF$8))/2000</f>
        <v>17.724506672919606</v>
      </c>
      <c r="AG253" s="22">
        <f>(SUMPRODUCT(AG$9:AG$229,Nutrients!$I$8:$I$228)+(IF($A$7=Nutrients!$B$8,Nutrients!$I$8,Nutrients!$I$9)*AG$7)+(((IF($A$8=Nutrients!$B$79,Nutrients!$I$79,(IF($A$8=Nutrients!$B$77,Nutrients!$I$77,Nutrients!$I$78)))))*AG$8))/2000</f>
        <v>16.375576310959936</v>
      </c>
      <c r="AH253" s="22">
        <f>(SUMPRODUCT(AH$9:AH$229,Nutrients!$I$8:$I$228)+(IF($A$7=Nutrients!$B$8,Nutrients!$I$8,Nutrients!$I$9)*AH$7)+(((IF($A$8=Nutrients!$B$79,Nutrients!$I$79,(IF($A$8=Nutrients!$B$77,Nutrients!$I$77,Nutrients!$I$78)))))*AH$8))/2000</f>
        <v>15.257999994499716</v>
      </c>
      <c r="AI253" s="22">
        <f>(SUMPRODUCT(AI$9:AI$229,Nutrients!$I$8:$I$228)+(IF($A$7=Nutrients!$B$8,Nutrients!$I$8,Nutrients!$I$9)*AI$7)+(((IF($A$8=Nutrients!$B$79,Nutrients!$I$79,(IF($A$8=Nutrients!$B$77,Nutrients!$I$77,Nutrients!$I$78)))))*AI$8))/2000</f>
        <v>13.010227616088669</v>
      </c>
      <c r="AK253" s="22">
        <f>(SUMPRODUCT(AK$9:AK$229,Nutrients!$I$8:$I$228)+(IF($A$7=Nutrients!$B$8,Nutrients!$I$8,Nutrients!$I$9)*AK$7)+(((IF($A$8=Nutrients!$B$79,Nutrients!$I$79,(IF($A$8=Nutrients!$B$77,Nutrients!$I$77,Nutrients!$I$78)))))*AK$8))/2000</f>
        <v>21.213602200766534</v>
      </c>
      <c r="AL253" s="22">
        <f>(SUMPRODUCT(AL$9:AL$229,Nutrients!$I$8:$I$228)+(IF($A$7=Nutrients!$B$8,Nutrients!$I$8,Nutrients!$I$9)*AL$7)+(((IF($A$8=Nutrients!$B$79,Nutrients!$I$79,(IF($A$8=Nutrients!$B$77,Nutrients!$I$77,Nutrients!$I$78)))))*AL$8))/2000</f>
        <v>19.542175366065642</v>
      </c>
      <c r="AM253" s="22">
        <f>(SUMPRODUCT(AM$9:AM$229,Nutrients!$I$8:$I$228)+(IF($A$7=Nutrients!$B$8,Nutrients!$I$8,Nutrients!$I$9)*AM$7)+(((IF($A$8=Nutrients!$B$79,Nutrients!$I$79,(IF($A$8=Nutrients!$B$77,Nutrients!$I$77,Nutrients!$I$78)))))*AM$8))/2000</f>
        <v>18.131702332147047</v>
      </c>
      <c r="AN253" s="22">
        <f>(SUMPRODUCT(AN$9:AN$229,Nutrients!$I$8:$I$228)+(IF($A$7=Nutrients!$B$8,Nutrients!$I$8,Nutrients!$I$9)*AN$7)+(((IF($A$8=Nutrients!$B$79,Nutrients!$I$79,(IF($A$8=Nutrients!$B$77,Nutrients!$I$77,Nutrients!$I$78)))))*AN$8))/2000</f>
        <v>16.78660005509877</v>
      </c>
      <c r="AO253" s="22">
        <f>(SUMPRODUCT(AO$9:AO$229,Nutrients!$I$8:$I$228)+(IF($A$7=Nutrients!$B$8,Nutrients!$I$8,Nutrients!$I$9)*AO$7)+(((IF($A$8=Nutrients!$B$79,Nutrients!$I$79,(IF($A$8=Nutrients!$B$77,Nutrients!$I$77,Nutrients!$I$78)))))*AO$8))/2000</f>
        <v>15.666366095112382</v>
      </c>
      <c r="AP253" s="22">
        <f>(SUMPRODUCT(AP$9:AP$229,Nutrients!$I$8:$I$228)+(IF($A$7=Nutrients!$B$8,Nutrients!$I$8,Nutrients!$I$9)*AP$7)+(((IF($A$8=Nutrients!$B$79,Nutrients!$I$79,(IF($A$8=Nutrients!$B$77,Nutrients!$I$77,Nutrients!$I$78)))))*AP$8))/2000</f>
        <v>13.010227616088669</v>
      </c>
      <c r="AR253" s="22">
        <f>(SUMPRODUCT(AR$9:AR$229,Nutrients!$I$8:$I$228)+(IF($A$7=Nutrients!$B$8,Nutrients!$I$8,Nutrients!$I$9)*AR$7)+(((IF($A$8=Nutrients!$B$79,Nutrients!$I$79,(IF($A$8=Nutrients!$B$77,Nutrients!$I$77,Nutrients!$I$78)))))*AR$8))/2000</f>
        <v>21.619037615532317</v>
      </c>
      <c r="AS253" s="22">
        <f>(SUMPRODUCT(AS$9:AS$229,Nutrients!$I$8:$I$228)+(IF($A$7=Nutrients!$B$8,Nutrients!$I$8,Nutrients!$I$9)*AS$7)+(((IF($A$8=Nutrients!$B$79,Nutrients!$I$79,(IF($A$8=Nutrients!$B$77,Nutrients!$I$77,Nutrients!$I$78)))))*AS$8))/2000</f>
        <v>19.951558432202741</v>
      </c>
      <c r="AT253" s="22">
        <f>(SUMPRODUCT(AT$9:AT$229,Nutrients!$I$8:$I$228)+(IF($A$7=Nutrients!$B$8,Nutrients!$I$8,Nutrients!$I$9)*AT$7)+(((IF($A$8=Nutrients!$B$79,Nutrients!$I$79,(IF($A$8=Nutrients!$B$77,Nutrients!$I$77,Nutrients!$I$78)))))*AT$8))/2000</f>
        <v>18.54756480616566</v>
      </c>
      <c r="AU253" s="22">
        <f>(SUMPRODUCT(AU$9:AU$229,Nutrients!$I$8:$I$228)+(IF($A$7=Nutrients!$B$8,Nutrients!$I$8,Nutrients!$I$9)*AU$7)+(((IF($A$8=Nutrients!$B$79,Nutrients!$I$79,(IF($A$8=Nutrients!$B$77,Nutrients!$I$77,Nutrients!$I$78)))))*AU$8))/2000</f>
        <v>17.194976017080162</v>
      </c>
      <c r="AV253" s="22">
        <f>(SUMPRODUCT(AV$9:AV$229,Nutrients!$I$8:$I$228)+(IF($A$7=Nutrients!$B$8,Nutrients!$I$8,Nutrients!$I$9)*AV$7)+(((IF($A$8=Nutrients!$B$79,Nutrients!$I$79,(IF($A$8=Nutrients!$B$77,Nutrients!$I$77,Nutrients!$I$78)))))*AV$8))/2000</f>
        <v>16.074730982909433</v>
      </c>
      <c r="AW253" s="22">
        <f>(SUMPRODUCT(AW$9:AW$229,Nutrients!$I$8:$I$228)+(IF($A$7=Nutrients!$B$8,Nutrients!$I$8,Nutrients!$I$9)*AW$7)+(((IF($A$8=Nutrients!$B$79,Nutrients!$I$79,(IF($A$8=Nutrients!$B$77,Nutrients!$I$77,Nutrients!$I$78)))))*AW$8))/2000</f>
        <v>13.010227616088669</v>
      </c>
    </row>
    <row r="254" spans="1:57" x14ac:dyDescent="0.25">
      <c r="A254" s="41" t="s">
        <v>144</v>
      </c>
      <c r="B254" s="23">
        <f>(SUMPRODUCT(B$9:B$229,Nutrients!$BS$8:$BS$228)+(IF($A$7=Nutrients!$B$8,Nutrients!$BS$8,Nutrients!$BS$9)*B$7)+(((IF($A$8=Nutrients!$B$79,Nutrients!$BS$79,(IF($A$8=Nutrients!$B$77,Nutrients!$BS$77,Nutrients!$BS$78)))))*B$8))/2000</f>
        <v>0.69579038170108098</v>
      </c>
      <c r="C254" s="23">
        <f>(SUMPRODUCT(C$9:C$229,Nutrients!$BS$8:$BS$228)+(IF($A$7=Nutrients!$B$8,Nutrients!$BS$8,Nutrients!$BS$9)*C$7)+(((IF($A$8=Nutrients!$B$79,Nutrients!$BS$79,(IF($A$8=Nutrients!$B$77,Nutrients!$BS$77,Nutrients!$BS$78)))))*C$8))/2000</f>
        <v>0.62597225623792574</v>
      </c>
      <c r="D254" s="23">
        <f>(SUMPRODUCT(D$9:D$229,Nutrients!$BS$8:$BS$228)+(IF($A$7=Nutrients!$B$8,Nutrients!$BS$8,Nutrients!$BS$9)*D$7)+(((IF($A$8=Nutrients!$B$79,Nutrients!$BS$79,(IF($A$8=Nutrients!$B$77,Nutrients!$BS$77,Nutrients!$BS$78)))))*D$8))/2000</f>
        <v>0.57389505815699282</v>
      </c>
      <c r="E254" s="23">
        <f>(SUMPRODUCT(E$9:E$229,Nutrients!$BS$8:$BS$228)+(IF($A$7=Nutrients!$B$8,Nutrients!$BS$8,Nutrients!$BS$9)*E$7)+(((IF($A$8=Nutrients!$B$79,Nutrients!$BS$79,(IF($A$8=Nutrients!$B$77,Nutrients!$BS$77,Nutrients!$BS$78)))))*E$8))/2000</f>
        <v>0.52055031100225413</v>
      </c>
      <c r="F254" s="23">
        <f>(SUMPRODUCT(F$9:F$229,Nutrients!$BS$8:$BS$228)+(IF($A$7=Nutrients!$B$8,Nutrients!$BS$8,Nutrients!$BS$9)*F$7)+(((IF($A$8=Nutrients!$B$79,Nutrients!$BS$79,(IF($A$8=Nutrients!$B$77,Nutrients!$BS$77,Nutrients!$BS$78)))))*F$8))/2000</f>
        <v>0.47698896958793735</v>
      </c>
      <c r="G254" s="23">
        <f>(SUMPRODUCT(G$9:G$229,Nutrients!$BS$8:$BS$228)+(IF($A$7=Nutrients!$B$8,Nutrients!$BS$8,Nutrients!$BS$9)*G$7)+(((IF($A$8=Nutrients!$B$79,Nutrients!$BS$79,(IF($A$8=Nutrients!$B$77,Nutrients!$BS$77,Nutrients!$BS$78)))))*G$8))/2000</f>
        <v>0.4600223649748173</v>
      </c>
      <c r="H254" s="227"/>
      <c r="I254" s="23">
        <f>(SUMPRODUCT(I$9:I$229,Nutrients!$BS$8:$BS$228)+(IF($A$7=Nutrients!$B$8,Nutrients!$BS$8,Nutrients!$BS$9)*I$7)+(((IF($A$8=Nutrients!$B$79,Nutrients!$BS$79,(IF($A$8=Nutrients!$B$77,Nutrients!$BS$77,Nutrients!$BS$78)))))*I$8))/2000</f>
        <v>0.69634897721404698</v>
      </c>
      <c r="J254" s="23">
        <f>(SUMPRODUCT(J$9:J$229,Nutrients!$BS$8:$BS$228)+(IF($A$7=Nutrients!$B$8,Nutrients!$BS$8,Nutrients!$BS$9)*J$7)+(((IF($A$8=Nutrients!$B$79,Nutrients!$BS$79,(IF($A$8=Nutrients!$B$77,Nutrients!$BS$77,Nutrients!$BS$78)))))*J$8))/2000</f>
        <v>0.62792423751488491</v>
      </c>
      <c r="K254" s="23">
        <f>(SUMPRODUCT(K$9:K$229,Nutrients!$BS$8:$BS$228)+(IF($A$7=Nutrients!$B$8,Nutrients!$BS$8,Nutrients!$BS$9)*K$7)+(((IF($A$8=Nutrients!$B$79,Nutrients!$BS$79,(IF($A$8=Nutrients!$B$77,Nutrients!$BS$77,Nutrients!$BS$78)))))*K$8))/2000</f>
        <v>0.57371655643401354</v>
      </c>
      <c r="L254" s="23">
        <f>(SUMPRODUCT(L$9:L$229,Nutrients!$BS$8:$BS$228)+(IF($A$7=Nutrients!$B$8,Nutrients!$BS$8,Nutrients!$BS$9)*L$7)+(((IF($A$8=Nutrients!$B$79,Nutrients!$BS$79,(IF($A$8=Nutrients!$B$77,Nutrients!$BS$77,Nutrients!$BS$78)))))*L$8))/2000</f>
        <v>0.52145320094568182</v>
      </c>
      <c r="M254" s="23">
        <f>(SUMPRODUCT(M$9:M$229,Nutrients!$BS$8:$BS$228)+(IF($A$7=Nutrients!$B$8,Nutrients!$BS$8,Nutrients!$BS$9)*M$7)+(((IF($A$8=Nutrients!$B$79,Nutrients!$BS$79,(IF($A$8=Nutrients!$B$77,Nutrients!$BS$77,Nutrients!$BS$78)))))*M$8))/2000</f>
        <v>0.47833729222550325</v>
      </c>
      <c r="N254" s="23">
        <f>(SUMPRODUCT(N$9:N$229,Nutrients!$BS$8:$BS$228)+(IF($A$7=Nutrients!$B$8,Nutrients!$BS$8,Nutrients!$BS$9)*N$7)+(((IF($A$8=Nutrients!$B$79,Nutrients!$BS$79,(IF($A$8=Nutrients!$B$77,Nutrients!$BS$77,Nutrients!$BS$78)))))*N$8))/2000</f>
        <v>0.4600223649748173</v>
      </c>
      <c r="O254" s="198"/>
      <c r="P254" s="23">
        <f>(SUMPRODUCT(P$9:P$229,Nutrients!$BS$8:$BS$228)+(IF($A$7=Nutrients!$B$8,Nutrients!$BS$8,Nutrients!$BS$9)*P$7)+(((IF($A$8=Nutrients!$B$79,Nutrients!$BS$79,(IF($A$8=Nutrients!$B$77,Nutrients!$BS$77,Nutrients!$BS$78)))))*P$8))/2000</f>
        <v>0.6972111216826764</v>
      </c>
      <c r="Q254" s="23">
        <f>(SUMPRODUCT(Q$9:Q$229,Nutrients!$BS$8:$BS$228)+(IF($A$7=Nutrients!$B$8,Nutrients!$BS$8,Nutrients!$BS$9)*Q$7)+(((IF($A$8=Nutrients!$B$79,Nutrients!$BS$79,(IF($A$8=Nutrients!$B$77,Nutrients!$BS$77,Nutrients!$BS$78)))))*Q$8))/2000</f>
        <v>0.62899772059959624</v>
      </c>
      <c r="R254" s="23">
        <f>(SUMPRODUCT(R$9:R$229,Nutrients!$BS$8:$BS$228)+(IF($A$7=Nutrients!$B$8,Nutrients!$BS$8,Nutrients!$BS$9)*R$7)+(((IF($A$8=Nutrients!$B$79,Nutrients!$BS$79,(IF($A$8=Nutrients!$B$77,Nutrients!$BS$77,Nutrients!$BS$78)))))*R$8))/2000</f>
        <v>0.57450755415619414</v>
      </c>
      <c r="S254" s="23">
        <f>(SUMPRODUCT(S$9:S$229,Nutrients!$BS$8:$BS$228)+(IF($A$7=Nutrients!$B$8,Nutrients!$BS$8,Nutrients!$BS$9)*S$7)+(((IF($A$8=Nutrients!$B$79,Nutrients!$BS$79,(IF($A$8=Nutrients!$B$77,Nutrients!$BS$77,Nutrients!$BS$78)))))*S$8))/2000</f>
        <v>0.52224416028408382</v>
      </c>
      <c r="T254" s="23">
        <f>(SUMPRODUCT(T$9:T$229,Nutrients!$BS$8:$BS$228)+(IF($A$7=Nutrients!$B$8,Nutrients!$BS$8,Nutrients!$BS$9)*T$7)+(((IF($A$8=Nutrients!$B$79,Nutrients!$BS$79,(IF($A$8=Nutrients!$B$77,Nutrients!$BS$77,Nutrients!$BS$78)))))*T$8))/2000</f>
        <v>0.47912816447510143</v>
      </c>
      <c r="U254" s="23">
        <f>(SUMPRODUCT(U$9:U$229,Nutrients!$BS$8:$BS$228)+(IF($A$7=Nutrients!$B$8,Nutrients!$BS$8,Nutrients!$BS$9)*U$7)+(((IF($A$8=Nutrients!$B$79,Nutrients!$BS$79,(IF($A$8=Nutrients!$B$77,Nutrients!$BS$77,Nutrients!$BS$78)))))*U$8))/2000</f>
        <v>0.4600223649748173</v>
      </c>
      <c r="W254" s="23">
        <f>(SUMPRODUCT(W$9:W$229,Nutrients!$BS$8:$BS$228)+(IF($A$7=Nutrients!$B$8,Nutrients!$BS$8,Nutrients!$BS$9)*W$7)+(((IF($A$8=Nutrients!$B$79,Nutrients!$BS$79,(IF($A$8=Nutrients!$B$77,Nutrients!$BS$77,Nutrients!$BS$78)))))*W$8))/2000</f>
        <v>0.69710172661048675</v>
      </c>
      <c r="X254" s="23">
        <f>(SUMPRODUCT(X$9:X$229,Nutrients!$BS$8:$BS$228)+(IF($A$7=Nutrients!$B$8,Nutrients!$BS$8,Nutrients!$BS$9)*X$7)+(((IF($A$8=Nutrients!$B$79,Nutrients!$BS$79,(IF($A$8=Nutrients!$B$77,Nutrients!$BS$77,Nutrients!$BS$78)))))*X$8))/2000</f>
        <v>0.62888854259516203</v>
      </c>
      <c r="Y254" s="23">
        <f>(SUMPRODUCT(Y$9:Y$229,Nutrients!$BS$8:$BS$228)+(IF($A$7=Nutrients!$B$8,Nutrients!$BS$8,Nutrients!$BS$9)*Y$7)+(((IF($A$8=Nutrients!$B$79,Nutrients!$BS$79,(IF($A$8=Nutrients!$B$77,Nutrients!$BS$77,Nutrients!$BS$78)))))*Y$8))/2000</f>
        <v>0.57439833835055853</v>
      </c>
      <c r="Z254" s="23">
        <f>(SUMPRODUCT(Z$9:Z$229,Nutrients!$BS$8:$BS$228)+(IF($A$7=Nutrients!$B$8,Nutrients!$BS$8,Nutrients!$BS$9)*Z$7)+(((IF($A$8=Nutrients!$B$79,Nutrients!$BS$79,(IF($A$8=Nutrients!$B$77,Nutrients!$BS$77,Nutrients!$BS$78)))))*Z$8))/2000</f>
        <v>0.52213518912725132</v>
      </c>
      <c r="AA254" s="23">
        <f>(SUMPRODUCT(AA$9:AA$229,Nutrients!$BS$8:$BS$228)+(IF($A$7=Nutrients!$B$8,Nutrients!$BS$8,Nutrients!$BS$9)*AA$7)+(((IF($A$8=Nutrients!$B$79,Nutrients!$BS$79,(IF($A$8=Nutrients!$B$77,Nutrients!$BS$77,Nutrients!$BS$78)))))*AA$8))/2000</f>
        <v>0.47901943852596907</v>
      </c>
      <c r="AB254" s="23">
        <f>(SUMPRODUCT(AB$9:AB$229,Nutrients!$BS$8:$BS$228)+(IF($A$7=Nutrients!$B$8,Nutrients!$BS$8,Nutrients!$BS$9)*AB$7)+(((IF($A$8=Nutrients!$B$79,Nutrients!$BS$79,(IF($A$8=Nutrients!$B$77,Nutrients!$BS$77,Nutrients!$BS$78)))))*AB$8))/2000</f>
        <v>0.4600223649748173</v>
      </c>
      <c r="AD254" s="23">
        <f>(SUMPRODUCT(AD$9:AD$229,Nutrients!$BS$8:$BS$228)+(IF($A$7=Nutrients!$B$8,Nutrients!$BS$8,Nutrients!$BS$9)*AD$7)+(((IF($A$8=Nutrients!$B$79,Nutrients!$BS$79,(IF($A$8=Nutrients!$B$77,Nutrients!$BS$77,Nutrients!$BS$78)))))*AD$8))/2000</f>
        <v>0.69699253799641248</v>
      </c>
      <c r="AE254" s="23">
        <f>(SUMPRODUCT(AE$9:AE$229,Nutrients!$BS$8:$BS$228)+(IF($A$7=Nutrients!$B$8,Nutrients!$BS$8,Nutrients!$BS$9)*AE$7)+(((IF($A$8=Nutrients!$B$79,Nutrients!$BS$79,(IF($A$8=Nutrients!$B$77,Nutrients!$BS$77,Nutrients!$BS$78)))))*AE$8))/2000</f>
        <v>0.62877926798123462</v>
      </c>
      <c r="AF254" s="23">
        <f>(SUMPRODUCT(AF$9:AF$229,Nutrients!$BS$8:$BS$228)+(IF($A$7=Nutrients!$B$8,Nutrients!$BS$8,Nutrients!$BS$9)*AF$7)+(((IF($A$8=Nutrients!$B$79,Nutrients!$BS$79,(IF($A$8=Nutrients!$B$77,Nutrients!$BS$77,Nutrients!$BS$78)))))*AF$8))/2000</f>
        <v>0.57428936419827914</v>
      </c>
      <c r="AG254" s="23">
        <f>(SUMPRODUCT(AG$9:AG$229,Nutrients!$BS$8:$BS$228)+(IF($A$7=Nutrients!$B$8,Nutrients!$BS$8,Nutrients!$BS$9)*AG$7)+(((IF($A$8=Nutrients!$B$79,Nutrients!$BS$79,(IF($A$8=Nutrients!$B$77,Nutrients!$BS$77,Nutrients!$BS$78)))))*AG$8))/2000</f>
        <v>0.5225523160689951</v>
      </c>
      <c r="AH254" s="23">
        <f>(SUMPRODUCT(AH$9:AH$229,Nutrients!$BS$8:$BS$228)+(IF($A$7=Nutrients!$B$8,Nutrients!$BS$8,Nutrients!$BS$9)*AH$7)+(((IF($A$8=Nutrients!$B$79,Nutrients!$BS$79,(IF($A$8=Nutrients!$B$77,Nutrients!$BS$77,Nutrients!$BS$78)))))*AH$8))/2000</f>
        <v>0.49705377625563518</v>
      </c>
      <c r="AI254" s="23">
        <f>(SUMPRODUCT(AI$9:AI$229,Nutrients!$BS$8:$BS$228)+(IF($A$7=Nutrients!$B$8,Nutrients!$BS$8,Nutrients!$BS$9)*AI$7)+(((IF($A$8=Nutrients!$B$79,Nutrients!$BS$79,(IF($A$8=Nutrients!$B$77,Nutrients!$BS$77,Nutrients!$BS$78)))))*AI$8))/2000</f>
        <v>0.4600223649748173</v>
      </c>
      <c r="AK254" s="23">
        <f>(SUMPRODUCT(AK$9:AK$229,Nutrients!$BS$8:$BS$228)+(IF($A$7=Nutrients!$B$8,Nutrients!$BS$8,Nutrients!$BS$9)*AK$7)+(((IF($A$8=Nutrients!$B$79,Nutrients!$BS$79,(IF($A$8=Nutrients!$B$77,Nutrients!$BS$77,Nutrients!$BS$78)))))*AK$8))/2000</f>
        <v>0.69778349701753895</v>
      </c>
      <c r="AL254" s="23">
        <f>(SUMPRODUCT(AL$9:AL$229,Nutrients!$BS$8:$BS$228)+(IF($A$7=Nutrients!$B$8,Nutrients!$BS$8,Nutrients!$BS$9)*AL$7)+(((IF($A$8=Nutrients!$B$79,Nutrients!$BS$79,(IF($A$8=Nutrients!$B$77,Nutrients!$BS$77,Nutrients!$BS$78)))))*AL$8))/2000</f>
        <v>0.62957029636777295</v>
      </c>
      <c r="AM254" s="23">
        <f>(SUMPRODUCT(AM$9:AM$229,Nutrients!$BS$8:$BS$228)+(IF($A$7=Nutrients!$B$8,Nutrients!$BS$8,Nutrients!$BS$9)*AM$7)+(((IF($A$8=Nutrients!$B$79,Nutrients!$BS$79,(IF($A$8=Nutrients!$B$77,Nutrients!$BS$77,Nutrients!$BS$78)))))*AM$8))/2000</f>
        <v>0.57508029105871128</v>
      </c>
      <c r="AN254" s="23">
        <f>(SUMPRODUCT(AN$9:AN$229,Nutrients!$BS$8:$BS$228)+(IF($A$7=Nutrients!$B$8,Nutrients!$BS$8,Nutrients!$BS$9)*AN$7)+(((IF($A$8=Nutrients!$B$79,Nutrients!$BS$79,(IF($A$8=Nutrients!$B$77,Nutrients!$BS$77,Nutrients!$BS$78)))))*AN$8))/2000</f>
        <v>0.53816385749876772</v>
      </c>
      <c r="AO254" s="23">
        <f>(SUMPRODUCT(AO$9:AO$229,Nutrients!$BS$8:$BS$228)+(IF($A$7=Nutrients!$B$8,Nutrients!$BS$8,Nutrients!$BS$9)*AO$7)+(((IF($A$8=Nutrients!$B$79,Nutrients!$BS$79,(IF($A$8=Nutrients!$B$77,Nutrients!$BS$77,Nutrients!$BS$78)))))*AO$8))/2000</f>
        <v>0.5196994497723062</v>
      </c>
      <c r="AP254" s="23">
        <f>(SUMPRODUCT(AP$9:AP$229,Nutrients!$BS$8:$BS$228)+(IF($A$7=Nutrients!$B$8,Nutrients!$BS$8,Nutrients!$BS$9)*AP$7)+(((IF($A$8=Nutrients!$B$79,Nutrients!$BS$79,(IF($A$8=Nutrients!$B$77,Nutrients!$BS$77,Nutrients!$BS$78)))))*AP$8))/2000</f>
        <v>0.4600223649748173</v>
      </c>
      <c r="AR254" s="23">
        <f>(SUMPRODUCT(AR$9:AR$229,Nutrients!$BS$8:$BS$228)+(IF($A$7=Nutrients!$B$8,Nutrients!$BS$8,Nutrients!$BS$9)*AR$7)+(((IF($A$8=Nutrients!$B$79,Nutrients!$BS$79,(IF($A$8=Nutrients!$B$77,Nutrients!$BS$77,Nutrients!$BS$78)))))*AR$8))/2000</f>
        <v>0.69857472974747714</v>
      </c>
      <c r="AS254" s="23">
        <f>(SUMPRODUCT(AS$9:AS$229,Nutrients!$BS$8:$BS$228)+(IF($A$7=Nutrients!$B$8,Nutrients!$BS$8,Nutrients!$BS$9)*AS$7)+(((IF($A$8=Nutrients!$B$79,Nutrients!$BS$79,(IF($A$8=Nutrients!$B$77,Nutrients!$BS$77,Nutrients!$BS$78)))))*AS$8))/2000</f>
        <v>0.63036136579034774</v>
      </c>
      <c r="AT254" s="23">
        <f>(SUMPRODUCT(AT$9:AT$229,Nutrients!$BS$8:$BS$228)+(IF($A$7=Nutrients!$B$8,Nutrients!$BS$8,Nutrients!$BS$9)*AT$7)+(((IF($A$8=Nutrients!$B$79,Nutrients!$BS$79,(IF($A$8=Nutrients!$B$77,Nutrients!$BS$77,Nutrients!$BS$78)))))*AT$8))/2000</f>
        <v>0.57698569304440606</v>
      </c>
      <c r="AU254" s="23">
        <f>(SUMPRODUCT(AU$9:AU$229,Nutrients!$BS$8:$BS$228)+(IF($A$7=Nutrients!$B$8,Nutrients!$BS$8,Nutrients!$BS$9)*AU$7)+(((IF($A$8=Nutrients!$B$79,Nutrients!$BS$79,(IF($A$8=Nutrients!$B$77,Nutrients!$BS$77,Nutrients!$BS$78)))))*AU$8))/2000</f>
        <v>0.56102827817607681</v>
      </c>
      <c r="AV254" s="23">
        <f>(SUMPRODUCT(AV$9:AV$229,Nutrients!$BS$8:$BS$228)+(IF($A$7=Nutrients!$B$8,Nutrients!$BS$8,Nutrients!$BS$9)*AV$7)+(((IF($A$8=Nutrients!$B$79,Nutrients!$BS$79,(IF($A$8=Nutrients!$B$77,Nutrients!$BS$77,Nutrients!$BS$78)))))*AV$8))/2000</f>
        <v>0.54234664128580878</v>
      </c>
      <c r="AW254" s="23">
        <f>(SUMPRODUCT(AW$9:AW$229,Nutrients!$BS$8:$BS$228)+(IF($A$7=Nutrients!$B$8,Nutrients!$BS$8,Nutrients!$BS$9)*AW$7)+(((IF($A$8=Nutrients!$B$79,Nutrients!$BS$79,(IF($A$8=Nutrients!$B$77,Nutrients!$BS$77,Nutrients!$BS$78)))))*AW$8))/2000</f>
        <v>0.4600223649748173</v>
      </c>
    </row>
    <row r="255" spans="1:57" x14ac:dyDescent="0.25">
      <c r="A255" s="41" t="s">
        <v>145</v>
      </c>
      <c r="B255" s="23">
        <f>(SUMPRODUCT(B$9:B$229,Nutrients!$BX$8:$BX$228)+(IF($A$7=Nutrients!$B$8,Nutrients!$BX$8,Nutrients!$BX$9)*B$7)+(((IF($A$8=Nutrients!$B$79,Nutrients!$BX$79,(IF($A$8=Nutrients!$B$77,Nutrients!$BX$77,Nutrients!$BX$78)))))*B$8))/2000</f>
        <v>0.52698829927184954</v>
      </c>
      <c r="C255" s="23">
        <f>(SUMPRODUCT(C$9:C$229,Nutrients!$BX$8:$BX$228)+(IF($A$7=Nutrients!$B$8,Nutrients!$BX$8,Nutrients!$BX$9)*C$7)+(((IF($A$8=Nutrients!$B$79,Nutrients!$BX$79,(IF($A$8=Nutrients!$B$77,Nutrients!$BX$77,Nutrients!$BX$78)))))*C$8))/2000</f>
        <v>0.47554766489495992</v>
      </c>
      <c r="D255" s="23">
        <f>(SUMPRODUCT(D$9:D$229,Nutrients!$BX$8:$BX$228)+(IF($A$7=Nutrients!$B$8,Nutrients!$BX$8,Nutrients!$BX$9)*D$7)+(((IF($A$8=Nutrients!$B$79,Nutrients!$BX$79,(IF($A$8=Nutrients!$B$77,Nutrients!$BX$77,Nutrients!$BX$78)))))*D$8))/2000</f>
        <v>0.42608857846774251</v>
      </c>
      <c r="E255" s="23">
        <f>(SUMPRODUCT(E$9:E$229,Nutrients!$BX$8:$BX$228)+(IF($A$7=Nutrients!$B$8,Nutrients!$BX$8,Nutrients!$BX$9)*E$7)+(((IF($A$8=Nutrients!$B$79,Nutrients!$BX$79,(IF($A$8=Nutrients!$B$77,Nutrients!$BX$77,Nutrients!$BX$78)))))*E$8))/2000</f>
        <v>0.38726313311804977</v>
      </c>
      <c r="F255" s="23">
        <f>(SUMPRODUCT(F$9:F$229,Nutrients!$BX$8:$BX$228)+(IF($A$7=Nutrients!$B$8,Nutrients!$BX$8,Nutrients!$BX$9)*F$7)+(((IF($A$8=Nutrients!$B$79,Nutrients!$BX$79,(IF($A$8=Nutrients!$B$77,Nutrients!$BX$77,Nutrients!$BX$78)))))*F$8))/2000</f>
        <v>0.35891430613336472</v>
      </c>
      <c r="G255" s="23">
        <f>(SUMPRODUCT(G$9:G$229,Nutrients!$BX$8:$BX$228)+(IF($A$7=Nutrients!$B$8,Nutrients!$BX$8,Nutrients!$BX$9)*G$7)+(((IF($A$8=Nutrients!$B$79,Nutrients!$BX$79,(IF($A$8=Nutrients!$B$77,Nutrients!$BX$77,Nutrients!$BX$78)))))*G$8))/2000</f>
        <v>0.34524547811925704</v>
      </c>
      <c r="H255" s="227"/>
      <c r="I255" s="23">
        <f>(SUMPRODUCT(I$9:I$229,Nutrients!$BX$8:$BX$228)+(IF($A$7=Nutrients!$B$8,Nutrients!$BX$8,Nutrients!$BX$9)*I$7)+(((IF($A$8=Nutrients!$B$79,Nutrients!$BX$79,(IF($A$8=Nutrients!$B$77,Nutrients!$BX$77,Nutrients!$BX$78)))))*I$8))/2000</f>
        <v>0.52659651312303979</v>
      </c>
      <c r="J255" s="23">
        <f>(SUMPRODUCT(J$9:J$229,Nutrients!$BX$8:$BX$228)+(IF($A$7=Nutrients!$B$8,Nutrients!$BX$8,Nutrients!$BX$9)*J$7)+(((IF($A$8=Nutrients!$B$79,Nutrients!$BX$79,(IF($A$8=Nutrients!$B$77,Nutrients!$BX$77,Nutrients!$BX$78)))))*J$8))/2000</f>
        <v>0.4760716682477063</v>
      </c>
      <c r="K255" s="23">
        <f>(SUMPRODUCT(K$9:K$229,Nutrients!$BX$8:$BX$228)+(IF($A$7=Nutrients!$B$8,Nutrients!$BX$8,Nutrients!$BX$9)*K$7)+(((IF($A$8=Nutrients!$B$79,Nutrients!$BX$79,(IF($A$8=Nutrients!$B$77,Nutrients!$BX$77,Nutrients!$BX$78)))))*K$8))/2000</f>
        <v>0.42528646561837696</v>
      </c>
      <c r="L255" s="23">
        <f>(SUMPRODUCT(L$9:L$229,Nutrients!$BX$8:$BX$228)+(IF($A$7=Nutrients!$B$8,Nutrients!$BX$8,Nutrients!$BX$9)*L$7)+(((IF($A$8=Nutrients!$B$79,Nutrients!$BX$79,(IF($A$8=Nutrients!$B$77,Nutrients!$BX$77,Nutrients!$BX$78)))))*L$8))/2000</f>
        <v>0.38710757977950516</v>
      </c>
      <c r="M255" s="23">
        <f>(SUMPRODUCT(M$9:M$229,Nutrients!$BX$8:$BX$228)+(IF($A$7=Nutrients!$B$8,Nutrients!$BX$8,Nutrients!$BX$9)*M$7)+(((IF($A$8=Nutrients!$B$79,Nutrients!$BX$79,(IF($A$8=Nutrients!$B$77,Nutrients!$BX$77,Nutrients!$BX$78)))))*M$8))/2000</f>
        <v>0.35875890258402704</v>
      </c>
      <c r="N255" s="23">
        <f>(SUMPRODUCT(N$9:N$229,Nutrients!$BX$8:$BX$228)+(IF($A$7=Nutrients!$B$8,Nutrients!$BX$8,Nutrients!$BX$9)*N$7)+(((IF($A$8=Nutrients!$B$79,Nutrients!$BX$79,(IF($A$8=Nutrients!$B$77,Nutrients!$BX$77,Nutrients!$BX$78)))))*N$8))/2000</f>
        <v>0.34524547811925704</v>
      </c>
      <c r="O255" s="198"/>
      <c r="P255" s="23">
        <f>(SUMPRODUCT(P$9:P$229,Nutrients!$BX$8:$BX$228)+(IF($A$7=Nutrients!$B$8,Nutrients!$BX$8,Nutrients!$BX$9)*P$7)+(((IF($A$8=Nutrients!$B$79,Nutrients!$BX$79,(IF($A$8=Nutrients!$B$77,Nutrients!$BX$77,Nutrients!$BX$78)))))*P$8))/2000</f>
        <v>0.5264507193600767</v>
      </c>
      <c r="Q255" s="23">
        <f>(SUMPRODUCT(Q$9:Q$229,Nutrients!$BX$8:$BX$228)+(IF($A$7=Nutrients!$B$8,Nutrients!$BX$8,Nutrients!$BX$9)*Q$7)+(((IF($A$8=Nutrients!$B$79,Nutrients!$BX$79,(IF($A$8=Nutrients!$B$77,Nutrients!$BX$77,Nutrients!$BX$78)))))*Q$8))/2000</f>
        <v>0.47591707292187119</v>
      </c>
      <c r="R255" s="23">
        <f>(SUMPRODUCT(R$9:R$229,Nutrients!$BX$8:$BX$228)+(IF($A$7=Nutrients!$B$8,Nutrients!$BX$8,Nutrients!$BX$9)*R$7)+(((IF($A$8=Nutrients!$B$79,Nutrients!$BX$79,(IF($A$8=Nutrients!$B$77,Nutrients!$BX$77,Nutrients!$BX$78)))))*R$8))/2000</f>
        <v>0.42512255939822968</v>
      </c>
      <c r="S255" s="23">
        <f>(SUMPRODUCT(S$9:S$229,Nutrients!$BX$8:$BX$228)+(IF($A$7=Nutrients!$B$8,Nutrients!$BX$8,Nutrients!$BX$9)*S$7)+(((IF($A$8=Nutrients!$B$79,Nutrients!$BX$79,(IF($A$8=Nutrients!$B$77,Nutrients!$BX$77,Nutrients!$BX$78)))))*S$8))/2000</f>
        <v>0.38694621470137963</v>
      </c>
      <c r="T255" s="23">
        <f>(SUMPRODUCT(T$9:T$229,Nutrients!$BX$8:$BX$228)+(IF($A$7=Nutrients!$B$8,Nutrients!$BX$8,Nutrients!$BX$9)*T$7)+(((IF($A$8=Nutrients!$B$79,Nutrients!$BX$79,(IF($A$8=Nutrients!$B$77,Nutrients!$BX$77,Nutrients!$BX$78)))))*T$8))/2000</f>
        <v>0.35860330309298716</v>
      </c>
      <c r="U255" s="23">
        <f>(SUMPRODUCT(U$9:U$229,Nutrients!$BX$8:$BX$228)+(IF($A$7=Nutrients!$B$8,Nutrients!$BX$8,Nutrients!$BX$9)*U$7)+(((IF($A$8=Nutrients!$B$79,Nutrients!$BX$79,(IF($A$8=Nutrients!$B$77,Nutrients!$BX$77,Nutrients!$BX$78)))))*U$8))/2000</f>
        <v>0.34524547811925704</v>
      </c>
      <c r="W255" s="23">
        <f>(SUMPRODUCT(W$9:W$229,Nutrients!$BX$8:$BX$228)+(IF($A$7=Nutrients!$B$8,Nutrients!$BX$8,Nutrients!$BX$9)*W$7)+(((IF($A$8=Nutrients!$B$79,Nutrients!$BX$79,(IF($A$8=Nutrients!$B$77,Nutrients!$BX$77,Nutrients!$BX$78)))))*W$8))/2000</f>
        <v>0.52523781751767451</v>
      </c>
      <c r="X255" s="23">
        <f>(SUMPRODUCT(X$9:X$229,Nutrients!$BX$8:$BX$228)+(IF($A$7=Nutrients!$B$8,Nutrients!$BX$8,Nutrients!$BX$9)*X$7)+(((IF($A$8=Nutrients!$B$79,Nutrients!$BX$79,(IF($A$8=Nutrients!$B$77,Nutrients!$BX$77,Nutrients!$BX$78)))))*X$8))/2000</f>
        <v>0.4746898004256766</v>
      </c>
      <c r="Y255" s="23">
        <f>(SUMPRODUCT(Y$9:Y$229,Nutrients!$BX$8:$BX$228)+(IF($A$7=Nutrients!$B$8,Nutrients!$BX$8,Nutrients!$BX$9)*Y$7)+(((IF($A$8=Nutrients!$B$79,Nutrients!$BX$79,(IF($A$8=Nutrients!$B$77,Nutrients!$BX$77,Nutrients!$BX$78)))))*Y$8))/2000</f>
        <v>0.42389778947537549</v>
      </c>
      <c r="Z255" s="23">
        <f>(SUMPRODUCT(Z$9:Z$229,Nutrients!$BX$8:$BX$228)+(IF($A$7=Nutrients!$B$8,Nutrients!$BX$8,Nutrients!$BX$9)*Z$7)+(((IF($A$8=Nutrients!$B$79,Nutrients!$BX$79,(IF($A$8=Nutrients!$B$77,Nutrients!$BX$77,Nutrients!$BX$78)))))*Z$8))/2000</f>
        <v>0.38570524816174145</v>
      </c>
      <c r="AA255" s="23">
        <f>(SUMPRODUCT(AA$9:AA$229,Nutrients!$BX$8:$BX$228)+(IF($A$7=Nutrients!$B$8,Nutrients!$BX$8,Nutrients!$BX$9)*AA$7)+(((IF($A$8=Nutrients!$B$79,Nutrients!$BX$79,(IF($A$8=Nutrients!$B$77,Nutrients!$BX$77,Nutrients!$BX$78)))))*AA$8))/2000</f>
        <v>0.35734610293560709</v>
      </c>
      <c r="AB255" s="23">
        <f>(SUMPRODUCT(AB$9:AB$229,Nutrients!$BX$8:$BX$228)+(IF($A$7=Nutrients!$B$8,Nutrients!$BX$8,Nutrients!$BX$9)*AB$7)+(((IF($A$8=Nutrients!$B$79,Nutrients!$BX$79,(IF($A$8=Nutrients!$B$77,Nutrients!$BX$77,Nutrients!$BX$78)))))*AB$8))/2000</f>
        <v>0.34524547811925704</v>
      </c>
      <c r="AD255" s="23">
        <f>(SUMPRODUCT(AD$9:AD$229,Nutrients!$BX$8:$BX$228)+(IF($A$7=Nutrients!$B$8,Nutrients!$BX$8,Nutrients!$BX$9)*AD$7)+(((IF($A$8=Nutrients!$B$79,Nutrients!$BX$79,(IF($A$8=Nutrients!$B$77,Nutrients!$BX$77,Nutrients!$BX$78)))))*AD$8))/2000</f>
        <v>0.5240112474171853</v>
      </c>
      <c r="AE255" s="23">
        <f>(SUMPRODUCT(AE$9:AE$229,Nutrients!$BX$8:$BX$228)+(IF($A$7=Nutrients!$B$8,Nutrients!$BX$8,Nutrients!$BX$9)*AE$7)+(((IF($A$8=Nutrients!$B$79,Nutrients!$BX$79,(IF($A$8=Nutrients!$B$77,Nutrients!$BX$77,Nutrients!$BX$78)))))*AE$8))/2000</f>
        <v>0.47346892381990652</v>
      </c>
      <c r="AF255" s="23">
        <f>(SUMPRODUCT(AF$9:AF$229,Nutrients!$BX$8:$BX$228)+(IF($A$7=Nutrients!$B$8,Nutrients!$BX$8,Nutrients!$BX$9)*AF$7)+(((IF($A$8=Nutrients!$B$79,Nutrients!$BX$79,(IF($A$8=Nutrients!$B$77,Nutrients!$BX$77,Nutrients!$BX$78)))))*AF$8))/2000</f>
        <v>0.42265702124493065</v>
      </c>
      <c r="AG255" s="23">
        <f>(SUMPRODUCT(AG$9:AG$229,Nutrients!$BX$8:$BX$228)+(IF($A$7=Nutrients!$B$8,Nutrients!$BX$8,Nutrients!$BX$9)*AG$7)+(((IF($A$8=Nutrients!$B$79,Nutrients!$BX$79,(IF($A$8=Nutrients!$B$77,Nutrients!$BX$77,Nutrients!$BX$78)))))*AG$8))/2000</f>
        <v>0.38445645173421161</v>
      </c>
      <c r="AH255" s="23">
        <f>(SUMPRODUCT(AH$9:AH$229,Nutrients!$BX$8:$BX$228)+(IF($A$7=Nutrients!$B$8,Nutrients!$BX$8,Nutrients!$BX$9)*AH$7)+(((IF($A$8=Nutrients!$B$79,Nutrients!$BX$79,(IF($A$8=Nutrients!$B$77,Nutrients!$BX$77,Nutrients!$BX$78)))))*AH$8))/2000</f>
        <v>0.36818502177924639</v>
      </c>
      <c r="AI255" s="23">
        <f>(SUMPRODUCT(AI$9:AI$229,Nutrients!$BX$8:$BX$228)+(IF($A$7=Nutrients!$B$8,Nutrients!$BX$8,Nutrients!$BX$9)*AI$7)+(((IF($A$8=Nutrients!$B$79,Nutrients!$BX$79,(IF($A$8=Nutrients!$B$77,Nutrients!$BX$77,Nutrients!$BX$78)))))*AI$8))/2000</f>
        <v>0.34524547811925704</v>
      </c>
      <c r="AK255" s="23">
        <f>(SUMPRODUCT(AK$9:AK$229,Nutrients!$BX$8:$BX$228)+(IF($A$7=Nutrients!$B$8,Nutrients!$BX$8,Nutrients!$BX$9)*AK$7)+(((IF($A$8=Nutrients!$B$79,Nutrients!$BX$79,(IF($A$8=Nutrients!$B$77,Nutrients!$BX$77,Nutrients!$BX$78)))))*AK$8))/2000</f>
        <v>0.52384990334382764</v>
      </c>
      <c r="AL255" s="23">
        <f>(SUMPRODUCT(AL$9:AL$229,Nutrients!$BX$8:$BX$228)+(IF($A$7=Nutrients!$B$8,Nutrients!$BX$8,Nutrients!$BX$9)*AL$7)+(((IF($A$8=Nutrients!$B$79,Nutrients!$BX$79,(IF($A$8=Nutrients!$B$77,Nutrients!$BX$77,Nutrients!$BX$78)))))*AL$8))/2000</f>
        <v>0.47330298751072836</v>
      </c>
      <c r="AM255" s="23">
        <f>(SUMPRODUCT(AM$9:AM$229,Nutrients!$BX$8:$BX$228)+(IF($A$7=Nutrients!$B$8,Nutrients!$BX$8,Nutrients!$BX$9)*AM$7)+(((IF($A$8=Nutrients!$B$79,Nutrients!$BX$79,(IF($A$8=Nutrients!$B$77,Nutrients!$BX$77,Nutrients!$BX$78)))))*AM$8))/2000</f>
        <v>0.42249780632335576</v>
      </c>
      <c r="AN255" s="23">
        <f>(SUMPRODUCT(AN$9:AN$229,Nutrients!$BX$8:$BX$228)+(IF($A$7=Nutrients!$B$8,Nutrients!$BX$8,Nutrients!$BX$9)*AN$7)+(((IF($A$8=Nutrients!$B$79,Nutrients!$BX$79,(IF($A$8=Nutrients!$B$77,Nutrients!$BX$77,Nutrients!$BX$78)))))*AN$8))/2000</f>
        <v>0.39440666504407762</v>
      </c>
      <c r="AO255" s="23">
        <f>(SUMPRODUCT(AO$9:AO$229,Nutrients!$BX$8:$BX$228)+(IF($A$7=Nutrients!$B$8,Nutrients!$BX$8,Nutrients!$BX$9)*AO$7)+(((IF($A$8=Nutrients!$B$79,Nutrients!$BX$79,(IF($A$8=Nutrients!$B$77,Nutrients!$BX$77,Nutrients!$BX$78)))))*AO$8))/2000</f>
        <v>0.38163746865011811</v>
      </c>
      <c r="AP255" s="23">
        <f>(SUMPRODUCT(AP$9:AP$229,Nutrients!$BX$8:$BX$228)+(IF($A$7=Nutrients!$B$8,Nutrients!$BX$8,Nutrients!$BX$9)*AP$7)+(((IF($A$8=Nutrients!$B$79,Nutrients!$BX$79,(IF($A$8=Nutrients!$B$77,Nutrients!$BX$77,Nutrients!$BX$78)))))*AP$8))/2000</f>
        <v>0.34524547811925704</v>
      </c>
      <c r="AR255" s="23">
        <f>(SUMPRODUCT(AR$9:AR$229,Nutrients!$BX$8:$BX$228)+(IF($A$7=Nutrients!$B$8,Nutrients!$BX$8,Nutrients!$BX$9)*AR$7)+(((IF($A$8=Nutrients!$B$79,Nutrients!$BX$79,(IF($A$8=Nutrients!$B$77,Nutrients!$BX$77,Nutrients!$BX$78)))))*AR$8))/2000</f>
        <v>0.52367043877823993</v>
      </c>
      <c r="AS255" s="23">
        <f>(SUMPRODUCT(AS$9:AS$229,Nutrients!$BX$8:$BX$228)+(IF($A$7=Nutrients!$B$8,Nutrients!$BX$8,Nutrients!$BX$9)*AS$7)+(((IF($A$8=Nutrients!$B$79,Nutrients!$BX$79,(IF($A$8=Nutrients!$B$77,Nutrients!$BX$77,Nutrients!$BX$78)))))*AS$8))/2000</f>
        <v>0.4731343344706892</v>
      </c>
      <c r="AT255" s="23">
        <f>(SUMPRODUCT(AT$9:AT$229,Nutrients!$BX$8:$BX$228)+(IF($A$7=Nutrients!$B$8,Nutrients!$BX$8,Nutrients!$BX$9)*AT$7)+(((IF($A$8=Nutrients!$B$79,Nutrients!$BX$79,(IF($A$8=Nutrients!$B$77,Nutrients!$BX$77,Nutrients!$BX$78)))))*AT$8))/2000</f>
        <v>0.42296271801162122</v>
      </c>
      <c r="AU255" s="23">
        <f>(SUMPRODUCT(AU$9:AU$229,Nutrients!$BX$8:$BX$228)+(IF($A$7=Nutrients!$B$8,Nutrients!$BX$8,Nutrients!$BX$9)*AU$7)+(((IF($A$8=Nutrients!$B$79,Nutrients!$BX$79,(IF($A$8=Nutrients!$B$77,Nutrients!$BX$77,Nutrients!$BX$78)))))*AU$8))/2000</f>
        <v>0.40785964948905362</v>
      </c>
      <c r="AV255" s="23">
        <f>(SUMPRODUCT(AV$9:AV$229,Nutrients!$BX$8:$BX$228)+(IF($A$7=Nutrients!$B$8,Nutrients!$BX$8,Nutrients!$BX$9)*AV$7)+(((IF($A$8=Nutrients!$B$79,Nutrients!$BX$79,(IF($A$8=Nutrients!$B$77,Nutrients!$BX$77,Nutrients!$BX$78)))))*AV$8))/2000</f>
        <v>0.39508986417074288</v>
      </c>
      <c r="AW255" s="23">
        <f>(SUMPRODUCT(AW$9:AW$229,Nutrients!$BX$8:$BX$228)+(IF($A$7=Nutrients!$B$8,Nutrients!$BX$8,Nutrients!$BX$9)*AW$7)+(((IF($A$8=Nutrients!$B$79,Nutrients!$BX$79,(IF($A$8=Nutrients!$B$77,Nutrients!$BX$77,Nutrients!$BX$78)))))*AW$8))/2000</f>
        <v>0.34524547811925704</v>
      </c>
    </row>
    <row r="256" spans="1:57" x14ac:dyDescent="0.25">
      <c r="A256" s="48" t="s">
        <v>156</v>
      </c>
      <c r="B256" s="23">
        <f>(SUMPRODUCT(B$9:B$229,Nutrients!$EB$8:$EB$228)+(IF($A$7=Nutrients!$B$8,Nutrients!$EB$8,Nutrients!$EB$9)*B$7)+(((IF($A$8=Nutrients!$B$79,Nutrients!$EB$79,(IF($A$8=Nutrients!$B$77,Nutrients!$EB$77,Nutrients!$EB$78)))))*B$8))/2000</f>
        <v>0.22446494345276957</v>
      </c>
      <c r="C256" s="23">
        <f>(SUMPRODUCT(C$9:C$229,Nutrients!$EB$8:$EB$228)+(IF($A$7=Nutrients!$B$8,Nutrients!$EB$8,Nutrients!$EB$9)*C$7)+(((IF($A$8=Nutrients!$B$79,Nutrients!$EB$79,(IF($A$8=Nutrients!$B$77,Nutrients!$EB$77,Nutrients!$EB$78)))))*C$8))/2000</f>
        <v>0.18518517069501755</v>
      </c>
      <c r="D256" s="23">
        <f>(SUMPRODUCT(D$9:D$229,Nutrients!$EB$8:$EB$228)+(IF($A$7=Nutrients!$B$8,Nutrients!$EB$8,Nutrients!$EB$9)*D$7)+(((IF($A$8=Nutrients!$B$79,Nutrients!$EB$79,(IF($A$8=Nutrients!$B$77,Nutrients!$EB$77,Nutrients!$EB$78)))))*D$8))/2000</f>
        <v>0.14586079396089491</v>
      </c>
      <c r="E256" s="23">
        <f>(SUMPRODUCT(E$9:E$229,Nutrients!$EB$8:$EB$228)+(IF($A$7=Nutrients!$B$8,Nutrients!$EB$8,Nutrients!$EB$9)*E$7)+(((IF($A$8=Nutrients!$B$79,Nutrients!$EB$79,(IF($A$8=Nutrients!$B$77,Nutrients!$EB$77,Nutrients!$EB$78)))))*E$8))/2000</f>
        <v>0.11735401640373964</v>
      </c>
      <c r="F256" s="23">
        <f>(SUMPRODUCT(F$9:F$229,Nutrients!$EB$8:$EB$228)+(IF($A$7=Nutrients!$B$8,Nutrients!$EB$8,Nutrients!$EB$9)*F$7)+(((IF($A$8=Nutrients!$B$79,Nutrients!$EB$79,(IF($A$8=Nutrients!$B$77,Nutrients!$EB$77,Nutrients!$EB$78)))))*F$8))/2000</f>
        <v>9.7828165821017068E-2</v>
      </c>
      <c r="G256" s="23">
        <f>(SUMPRODUCT(G$9:G$229,Nutrients!$EB$8:$EB$228)+(IF($A$7=Nutrients!$B$8,Nutrients!$EB$8,Nutrients!$EB$9)*G$7)+(((IF($A$8=Nutrients!$B$79,Nutrients!$EB$79,(IF($A$8=Nutrients!$B$77,Nutrients!$EB$77,Nutrients!$EB$78)))))*G$8))/2000</f>
        <v>8.9123540247531982E-2</v>
      </c>
      <c r="H256" s="227"/>
      <c r="I256" s="23">
        <f>(SUMPRODUCT(I$9:I$229,Nutrients!$EB$8:$EB$228)+(IF($A$7=Nutrients!$B$8,Nutrients!$EB$8,Nutrients!$EB$9)*I$7)+(((IF($A$8=Nutrients!$B$79,Nutrients!$EB$79,(IF($A$8=Nutrients!$B$77,Nutrients!$EB$77,Nutrients!$EB$78)))))*I$8))/2000</f>
        <v>0.20654941027207996</v>
      </c>
      <c r="J256" s="23">
        <f>(SUMPRODUCT(J$9:J$229,Nutrients!$EB$8:$EB$228)+(IF($A$7=Nutrients!$B$8,Nutrients!$EB$8,Nutrients!$EB$9)*J$7)+(((IF($A$8=Nutrients!$B$79,Nutrients!$EB$79,(IF($A$8=Nutrients!$B$77,Nutrients!$EB$77,Nutrients!$EB$78)))))*J$8))/2000</f>
        <v>0.16821625069426691</v>
      </c>
      <c r="K256" s="23">
        <f>(SUMPRODUCT(K$9:K$229,Nutrients!$EB$8:$EB$228)+(IF($A$7=Nutrients!$B$8,Nutrients!$EB$8,Nutrients!$EB$9)*K$7)+(((IF($A$8=Nutrients!$B$79,Nutrients!$EB$79,(IF($A$8=Nutrients!$B$77,Nutrients!$EB$77,Nutrients!$EB$78)))))*K$8))/2000</f>
        <v>0.12755025855212318</v>
      </c>
      <c r="L256" s="23">
        <f>(SUMPRODUCT(L$9:L$229,Nutrients!$EB$8:$EB$228)+(IF($A$7=Nutrients!$B$8,Nutrients!$EB$8,Nutrients!$EB$9)*L$7)+(((IF($A$8=Nutrients!$B$79,Nutrients!$EB$79,(IF($A$8=Nutrients!$B$77,Nutrients!$EB$77,Nutrients!$EB$78)))))*L$8))/2000</f>
        <v>9.9703250098421903E-2</v>
      </c>
      <c r="M256" s="23">
        <f>(SUMPRODUCT(M$9:M$229,Nutrients!$EB$8:$EB$228)+(IF($A$7=Nutrients!$B$8,Nutrients!$EB$8,Nutrients!$EB$9)*M$7)+(((IF($A$8=Nutrients!$B$79,Nutrients!$EB$79,(IF($A$8=Nutrients!$B$77,Nutrients!$EB$77,Nutrients!$EB$78)))))*M$8))/2000</f>
        <v>8.0177389833747531E-2</v>
      </c>
      <c r="N256" s="23">
        <f>(SUMPRODUCT(N$9:N$229,Nutrients!$EB$8:$EB$228)+(IF($A$7=Nutrients!$B$8,Nutrients!$EB$8,Nutrients!$EB$9)*N$7)+(((IF($A$8=Nutrients!$B$79,Nutrients!$EB$79,(IF($A$8=Nutrients!$B$77,Nutrients!$EB$77,Nutrients!$EB$78)))))*N$8))/2000</f>
        <v>8.9123540247531982E-2</v>
      </c>
      <c r="O256" s="198"/>
      <c r="P256" s="23">
        <f>(SUMPRODUCT(P$9:P$229,Nutrients!$EB$8:$EB$228)+(IF($A$7=Nutrients!$B$8,Nutrients!$EB$8,Nutrients!$EB$9)*P$7)+(((IF($A$8=Nutrients!$B$79,Nutrients!$EB$79,(IF($A$8=Nutrients!$B$77,Nutrients!$EB$77,Nutrients!$EB$78)))))*P$8))/2000</f>
        <v>0.18889980440263007</v>
      </c>
      <c r="Q256" s="23">
        <f>(SUMPRODUCT(Q$9:Q$229,Nutrients!$EB$8:$EB$228)+(IF($A$7=Nutrients!$B$8,Nutrients!$EB$8,Nutrients!$EB$9)*Q$7)+(((IF($A$8=Nutrients!$B$79,Nutrients!$EB$79,(IF($A$8=Nutrients!$B$77,Nutrients!$EB$77,Nutrients!$EB$78)))))*Q$8))/2000</f>
        <v>0.15056558753804491</v>
      </c>
      <c r="R256" s="23">
        <f>(SUMPRODUCT(R$9:R$229,Nutrients!$EB$8:$EB$228)+(IF($A$7=Nutrients!$B$8,Nutrients!$EB$8,Nutrients!$EB$9)*R$7)+(((IF($A$8=Nutrients!$B$79,Nutrients!$EB$79,(IF($A$8=Nutrients!$B$77,Nutrients!$EB$77,Nutrients!$EB$78)))))*R$8))/2000</f>
        <v>0.1098985081157391</v>
      </c>
      <c r="S256" s="23">
        <f>(SUMPRODUCT(S$9:S$229,Nutrients!$EB$8:$EB$228)+(IF($A$7=Nutrients!$B$8,Nutrients!$EB$8,Nutrients!$EB$9)*S$7)+(((IF($A$8=Nutrients!$B$79,Nutrients!$EB$79,(IF($A$8=Nutrients!$B$77,Nutrients!$EB$77,Nutrients!$EB$78)))))*S$8))/2000</f>
        <v>8.205180115812756E-2</v>
      </c>
      <c r="T256" s="23">
        <f>(SUMPRODUCT(T$9:T$229,Nutrients!$EB$8:$EB$228)+(IF($A$7=Nutrients!$B$8,Nutrients!$EB$8,Nutrients!$EB$9)*T$7)+(((IF($A$8=Nutrients!$B$79,Nutrients!$EB$79,(IF($A$8=Nutrients!$B$77,Nutrients!$EB$77,Nutrients!$EB$78)))))*T$8))/2000</f>
        <v>6.2526624956738996E-2</v>
      </c>
      <c r="U256" s="23">
        <f>(SUMPRODUCT(U$9:U$229,Nutrients!$EB$8:$EB$228)+(IF($A$7=Nutrients!$B$8,Nutrients!$EB$8,Nutrients!$EB$9)*U$7)+(((IF($A$8=Nutrients!$B$79,Nutrients!$EB$79,(IF($A$8=Nutrients!$B$77,Nutrients!$EB$77,Nutrients!$EB$78)))))*U$8))/2000</f>
        <v>8.9123540247531982E-2</v>
      </c>
      <c r="W256" s="23">
        <f>(SUMPRODUCT(W$9:W$229,Nutrients!$EB$8:$EB$228)+(IF($A$7=Nutrients!$B$8,Nutrients!$EB$8,Nutrients!$EB$9)*W$7)+(((IF($A$8=Nutrients!$B$79,Nutrients!$EB$79,(IF($A$8=Nutrients!$B$77,Nutrients!$EB$77,Nutrients!$EB$78)))))*W$8))/2000</f>
        <v>0.17017613927912439</v>
      </c>
      <c r="X256" s="23">
        <f>(SUMPRODUCT(X$9:X$229,Nutrients!$EB$8:$EB$228)+(IF($A$7=Nutrients!$B$8,Nutrients!$EB$8,Nutrients!$EB$9)*X$7)+(((IF($A$8=Nutrients!$B$79,Nutrients!$EB$79,(IF($A$8=Nutrients!$B$77,Nutrients!$EB$77,Nutrients!$EB$78)))))*X$8))/2000</f>
        <v>0.13184021739534393</v>
      </c>
      <c r="Y256" s="23">
        <f>(SUMPRODUCT(Y$9:Y$229,Nutrients!$EB$8:$EB$228)+(IF($A$7=Nutrients!$B$8,Nutrients!$EB$8,Nutrients!$EB$9)*Y$7)+(((IF($A$8=Nutrients!$B$79,Nutrients!$EB$79,(IF($A$8=Nutrients!$B$77,Nutrients!$EB$77,Nutrients!$EB$78)))))*Y$8))/2000</f>
        <v>9.1173434893111818E-2</v>
      </c>
      <c r="Z256" s="23">
        <f>(SUMPRODUCT(Z$9:Z$229,Nutrients!$EB$8:$EB$228)+(IF($A$7=Nutrients!$B$8,Nutrients!$EB$8,Nutrients!$EB$9)*Z$7)+(((IF($A$8=Nutrients!$B$79,Nutrients!$EB$79,(IF($A$8=Nutrients!$B$77,Nutrients!$EB$77,Nutrients!$EB$78)))))*Z$8))/2000</f>
        <v>6.3324806273277121E-2</v>
      </c>
      <c r="AA256" s="23">
        <f>(SUMPRODUCT(AA$9:AA$229,Nutrients!$EB$8:$EB$228)+(IF($A$7=Nutrients!$B$8,Nutrients!$EB$8,Nutrients!$EB$9)*AA$7)+(((IF($A$8=Nutrients!$B$79,Nutrients!$EB$79,(IF($A$8=Nutrients!$B$77,Nutrients!$EB$77,Nutrients!$EB$78)))))*AA$8))/2000</f>
        <v>4.3797704019653355E-2</v>
      </c>
      <c r="AB256" s="23">
        <f>(SUMPRODUCT(AB$9:AB$229,Nutrients!$EB$8:$EB$228)+(IF($A$7=Nutrients!$B$8,Nutrients!$EB$8,Nutrients!$EB$9)*AB$7)+(((IF($A$8=Nutrients!$B$79,Nutrients!$EB$79,(IF($A$8=Nutrients!$B$77,Nutrients!$EB$77,Nutrients!$EB$78)))))*AB$8))/2000</f>
        <v>8.9123540247531982E-2</v>
      </c>
      <c r="AD256" s="23">
        <f>(SUMPRODUCT(AD$9:AD$229,Nutrients!$EB$8:$EB$228)+(IF($A$7=Nutrients!$B$8,Nutrients!$EB$8,Nutrients!$EB$9)*AD$7)+(((IF($A$8=Nutrients!$B$79,Nutrients!$EB$79,(IF($A$8=Nutrients!$B$77,Nutrients!$EB$77,Nutrients!$EB$78)))))*AD$8))/2000</f>
        <v>0.15145085247279608</v>
      </c>
      <c r="AE256" s="23">
        <f>(SUMPRODUCT(AE$9:AE$229,Nutrients!$EB$8:$EB$228)+(IF($A$7=Nutrients!$B$8,Nutrients!$EB$8,Nutrients!$EB$9)*AE$7)+(((IF($A$8=Nutrients!$B$79,Nutrients!$EB$79,(IF($A$8=Nutrients!$B$77,Nutrients!$EB$77,Nutrients!$EB$78)))))*AE$8))/2000</f>
        <v>0.11311560609883757</v>
      </c>
      <c r="AF256" s="23">
        <f>(SUMPRODUCT(AF$9:AF$229,Nutrients!$EB$8:$EB$228)+(IF($A$7=Nutrients!$B$8,Nutrients!$EB$8,Nutrients!$EB$9)*AF$7)+(((IF($A$8=Nutrients!$B$79,Nutrients!$EB$79,(IF($A$8=Nutrients!$B$77,Nutrients!$EB$77,Nutrients!$EB$78)))))*AF$8))/2000</f>
        <v>7.2446463536834704E-2</v>
      </c>
      <c r="AG256" s="23">
        <f>(SUMPRODUCT(AG$9:AG$229,Nutrients!$EB$8:$EB$228)+(IF($A$7=Nutrients!$B$8,Nutrients!$EB$8,Nutrients!$EB$9)*AG$7)+(((IF($A$8=Nutrients!$B$79,Nutrients!$EB$79,(IF($A$8=Nutrients!$B$77,Nutrients!$EB$77,Nutrients!$EB$78)))))*AG$8))/2000</f>
        <v>4.4596849986197611E-2</v>
      </c>
      <c r="AH256" s="23">
        <f>(SUMPRODUCT(AH$9:AH$229,Nutrients!$EB$8:$EB$228)+(IF($A$7=Nutrients!$B$8,Nutrients!$EB$8,Nutrients!$EB$9)*AH$7)+(((IF($A$8=Nutrients!$B$79,Nutrients!$EB$79,(IF($A$8=Nutrients!$B$77,Nutrients!$EB$77,Nutrients!$EB$78)))))*AH$8))/2000</f>
        <v>3.7400033302329751E-2</v>
      </c>
      <c r="AI256" s="23">
        <f>(SUMPRODUCT(AI$9:AI$229,Nutrients!$EB$8:$EB$228)+(IF($A$7=Nutrients!$B$8,Nutrients!$EB$8,Nutrients!$EB$9)*AI$7)+(((IF($A$8=Nutrients!$B$79,Nutrients!$EB$79,(IF($A$8=Nutrients!$B$77,Nutrients!$EB$77,Nutrients!$EB$78)))))*AI$8))/2000</f>
        <v>8.9123540247531982E-2</v>
      </c>
      <c r="AK256" s="23">
        <f>(SUMPRODUCT(AK$9:AK$229,Nutrients!$EB$8:$EB$228)+(IF($A$7=Nutrients!$B$8,Nutrients!$EB$8,Nutrients!$EB$9)*AK$7)+(((IF($A$8=Nutrients!$B$79,Nutrients!$EB$79,(IF($A$8=Nutrients!$B$77,Nutrients!$EB$77,Nutrients!$EB$78)))))*AK$8))/2000</f>
        <v>0.13379940602463136</v>
      </c>
      <c r="AL256" s="23">
        <f>(SUMPRODUCT(AL$9:AL$229,Nutrients!$EB$8:$EB$228)+(IF($A$7=Nutrients!$B$8,Nutrients!$EB$8,Nutrients!$EB$9)*AL$7)+(((IF($A$8=Nutrients!$B$79,Nutrients!$EB$79,(IF($A$8=Nutrients!$B$77,Nutrients!$EB$77,Nutrients!$EB$78)))))*AL$8))/2000</f>
        <v>9.5463614800707378E-2</v>
      </c>
      <c r="AM256" s="23">
        <f>(SUMPRODUCT(AM$9:AM$229,Nutrients!$EB$8:$EB$228)+(IF($A$7=Nutrients!$B$8,Nutrients!$EB$8,Nutrients!$EB$9)*AM$7)+(((IF($A$8=Nutrients!$B$79,Nutrients!$EB$79,(IF($A$8=Nutrients!$B$77,Nutrients!$EB$77,Nutrients!$EB$78)))))*AM$8))/2000</f>
        <v>5.4795269703805764E-2</v>
      </c>
      <c r="AN256" s="23">
        <f>(SUMPRODUCT(AN$9:AN$229,Nutrients!$EB$8:$EB$228)+(IF($A$7=Nutrients!$B$8,Nutrients!$EB$8,Nutrients!$EB$9)*AN$7)+(((IF($A$8=Nutrients!$B$79,Nutrients!$EB$79,(IF($A$8=Nutrients!$B$77,Nutrients!$EB$77,Nutrients!$EB$78)))))*AN$8))/2000</f>
        <v>3.7276074191060785E-2</v>
      </c>
      <c r="AO256" s="23">
        <f>(SUMPRODUCT(AO$9:AO$229,Nutrients!$EB$8:$EB$228)+(IF($A$7=Nutrients!$B$8,Nutrients!$EB$8,Nutrients!$EB$9)*AO$7)+(((IF($A$8=Nutrients!$B$79,Nutrients!$EB$79,(IF($A$8=Nutrients!$B$77,Nutrients!$EB$77,Nutrients!$EB$78)))))*AO$8))/2000</f>
        <v>3.3680105342712471E-2</v>
      </c>
      <c r="AP256" s="23">
        <f>(SUMPRODUCT(AP$9:AP$229,Nutrients!$EB$8:$EB$228)+(IF($A$7=Nutrients!$B$8,Nutrients!$EB$8,Nutrients!$EB$9)*AP$7)+(((IF($A$8=Nutrients!$B$79,Nutrients!$EB$79,(IF($A$8=Nutrients!$B$77,Nutrients!$EB$77,Nutrients!$EB$78)))))*AP$8))/2000</f>
        <v>8.9123540247531982E-2</v>
      </c>
      <c r="AR256" s="23">
        <f>(SUMPRODUCT(AR$9:AR$229,Nutrients!$EB$8:$EB$228)+(IF($A$7=Nutrients!$B$8,Nutrients!$EB$8,Nutrients!$EB$9)*AR$7)+(((IF($A$8=Nutrients!$B$79,Nutrients!$EB$79,(IF($A$8=Nutrients!$B$77,Nutrients!$EB$77,Nutrients!$EB$78)))))*AR$8))/2000</f>
        <v>0.11614580965430407</v>
      </c>
      <c r="AS256" s="23">
        <f>(SUMPRODUCT(AS$9:AS$229,Nutrients!$EB$8:$EB$228)+(IF($A$7=Nutrients!$B$8,Nutrients!$EB$8,Nutrients!$EB$9)*AS$7)+(((IF($A$8=Nutrients!$B$79,Nutrients!$EB$79,(IF($A$8=Nutrients!$B$77,Nutrients!$EB$77,Nutrients!$EB$78)))))*AS$8))/2000</f>
        <v>7.7811301173591071E-2</v>
      </c>
      <c r="AT256" s="23">
        <f>(SUMPRODUCT(AT$9:AT$229,Nutrients!$EB$8:$EB$228)+(IF($A$7=Nutrients!$B$8,Nutrients!$EB$8,Nutrients!$EB$9)*AT$7)+(((IF($A$8=Nutrients!$B$79,Nutrients!$EB$79,(IF($A$8=Nutrients!$B$77,Nutrients!$EB$77,Nutrients!$EB$78)))))*AT$8))/2000</f>
        <v>3.7808761481268875E-2</v>
      </c>
      <c r="AU256" s="23">
        <f>(SUMPRODUCT(AU$9:AU$229,Nutrients!$EB$8:$EB$228)+(IF($A$7=Nutrients!$B$8,Nutrients!$EB$8,Nutrients!$EB$9)*AU$7)+(((IF($A$8=Nutrients!$B$79,Nutrients!$EB$79,(IF($A$8=Nutrients!$B$77,Nutrients!$EB$77,Nutrients!$EB$78)))))*AU$8))/2000</f>
        <v>3.3556196529699836E-2</v>
      </c>
      <c r="AV256" s="23">
        <f>(SUMPRODUCT(AV$9:AV$229,Nutrients!$EB$8:$EB$228)+(IF($A$7=Nutrients!$B$8,Nutrients!$EB$8,Nutrients!$EB$9)*AV$7)+(((IF($A$8=Nutrients!$B$79,Nutrients!$EB$79,(IF($A$8=Nutrients!$B$77,Nutrients!$EB$77,Nutrients!$EB$78)))))*AV$8))/2000</f>
        <v>2.996017119708673E-2</v>
      </c>
      <c r="AW256" s="23">
        <f>(SUMPRODUCT(AW$9:AW$229,Nutrients!$EB$8:$EB$228)+(IF($A$7=Nutrients!$B$8,Nutrients!$EB$8,Nutrients!$EB$9)*AW$7)+(((IF($A$8=Nutrients!$B$79,Nutrients!$EB$79,(IF($A$8=Nutrients!$B$77,Nutrients!$EB$77,Nutrients!$EB$78)))))*AW$8))/2000</f>
        <v>8.9123540247531982E-2</v>
      </c>
      <c r="AZ256" s="333"/>
      <c r="BA256" s="333"/>
      <c r="BB256" s="333"/>
      <c r="BC256" s="333"/>
      <c r="BD256" s="333"/>
      <c r="BE256" s="333"/>
    </row>
    <row r="257" spans="1:59" x14ac:dyDescent="0.25">
      <c r="A257" s="48" t="s">
        <v>146</v>
      </c>
      <c r="B257" s="23">
        <f>IF((SUMPRODUCT(B$9:B$229,Nutrients!$EE$8:$EE$228))=0,B256,IF((SUMPRODUCT(B$9:B$229,Nutrients!$EE$8:$EE$228))&gt;(1500*907),B256+0.14,B256+0.00000000006666*((SUMPRODUCT(B$9:B$229,Nutrients!$EE$8:$EE$228)/907))^3-0.00000023623322*((SUMPRODUCT(B$9:B$229,Nutrients!$EE$8:$EE$228)/907))^2+0.00029262722672*((SUMPRODUCT(B$9:B$229,Nutrients!$EE$8:$EE$228)/907))+0.007028328))</f>
        <v>0.33707938392360226</v>
      </c>
      <c r="C257" s="23">
        <f>IF((SUMPRODUCT(C$9:C$229,Nutrients!$EE$8:$EE$228))=0,C256,IF((SUMPRODUCT(C$9:C$229,Nutrients!$EE$8:$EE$228))&gt;(1500*907),C256+0.14,C256+0.00000000006666*((SUMPRODUCT(C$9:C$229,Nutrients!$EE$8:$EE$228)/907))^3-0.00000023623322*((SUMPRODUCT(C$9:C$229,Nutrients!$EE$8:$EE$228)/907))^2+0.00029262722672*((SUMPRODUCT(C$9:C$229,Nutrients!$EE$8:$EE$228)/907))+0.007028328))</f>
        <v>0.29779961116585019</v>
      </c>
      <c r="D257" s="23">
        <f>IF((SUMPRODUCT(D$9:D$229,Nutrients!$EE$8:$EE$228))=0,D256,IF((SUMPRODUCT(D$9:D$229,Nutrients!$EE$8:$EE$228))&gt;(1500*907),D256+0.14,D256+0.00000000006666*((SUMPRODUCT(D$9:D$229,Nutrients!$EE$8:$EE$228)/907))^3-0.00000023623322*((SUMPRODUCT(D$9:D$229,Nutrients!$EE$8:$EE$228)/907))^2+0.00029262722672*((SUMPRODUCT(D$9:D$229,Nutrients!$EE$8:$EE$228)/907))+0.007028328))</f>
        <v>0.2584752344317276</v>
      </c>
      <c r="E257" s="23">
        <f>IF((SUMPRODUCT(E$9:E$229,Nutrients!$EE$8:$EE$228))=0,E256,IF((SUMPRODUCT(E$9:E$229,Nutrients!$EE$8:$EE$228))&gt;(1500*907),E256+0.14,E256+0.00000000006666*((SUMPRODUCT(E$9:E$229,Nutrients!$EE$8:$EE$228)/907))^3-0.00000023623322*((SUMPRODUCT(E$9:E$229,Nutrients!$EE$8:$EE$228)/907))^2+0.00029262722672*((SUMPRODUCT(E$9:E$229,Nutrients!$EE$8:$EE$228)/907))+0.007028328))</f>
        <v>0.22996845687457232</v>
      </c>
      <c r="F257" s="23">
        <f>IF((SUMPRODUCT(F$9:F$229,Nutrients!$EE$8:$EE$228))=0,F256,IF((SUMPRODUCT(F$9:F$229,Nutrients!$EE$8:$EE$228))&gt;(1500*907),F256+0.14,F256+0.00000000006666*((SUMPRODUCT(F$9:F$229,Nutrients!$EE$8:$EE$228)/907))^3-0.00000023623322*((SUMPRODUCT(F$9:F$229,Nutrients!$EE$8:$EE$228)/907))^2+0.00029262722672*((SUMPRODUCT(F$9:F$229,Nutrients!$EE$8:$EE$228)/907))+0.007028328))</f>
        <v>0.21044260629184977</v>
      </c>
      <c r="G257" s="23">
        <f>IF((SUMPRODUCT(G$9:G$229,Nutrients!$EE$8:$EE$228))=0,G256,IF((SUMPRODUCT(G$9:G$229,Nutrients!$EE$8:$EE$228))&gt;(1500*907),G256+0.14,G256+0.00000000006666*((SUMPRODUCT(G$9:G$229,Nutrients!$EE$8:$EE$228)/907))^3-0.00000023623322*((SUMPRODUCT(G$9:G$229,Nutrients!$EE$8:$EE$228)/907))^2+0.00029262722672*((SUMPRODUCT(G$9:G$229,Nutrients!$EE$8:$EE$228)/907))+0.007028328))</f>
        <v>0.20173798071836466</v>
      </c>
      <c r="H257" s="227"/>
      <c r="I257" s="23">
        <f>IF((SUMPRODUCT(I$9:I$229,Nutrients!$EE$8:$EE$228))=0,I256,IF((SUMPRODUCT(I$9:I$229,Nutrients!$EE$8:$EE$228))&gt;(1500*907),I256+0.14,I256+0.00000000006666*((SUMPRODUCT(I$9:I$229,Nutrients!$EE$8:$EE$228)/907))^3-0.00000023623322*((SUMPRODUCT(I$9:I$229,Nutrients!$EE$8:$EE$228)/907))^2+0.00029262722672*((SUMPRODUCT(I$9:I$229,Nutrients!$EE$8:$EE$228)/907))+0.007028328))</f>
        <v>0.31916385074291265</v>
      </c>
      <c r="J257" s="23">
        <f>IF((SUMPRODUCT(J$9:J$229,Nutrients!$EE$8:$EE$228))=0,J256,IF((SUMPRODUCT(J$9:J$229,Nutrients!$EE$8:$EE$228))&gt;(1500*907),J256+0.14,J256+0.00000000006666*((SUMPRODUCT(J$9:J$229,Nutrients!$EE$8:$EE$228)/907))^3-0.00000023623322*((SUMPRODUCT(J$9:J$229,Nutrients!$EE$8:$EE$228)/907))^2+0.00029262722672*((SUMPRODUCT(J$9:J$229,Nutrients!$EE$8:$EE$228)/907))+0.007028328))</f>
        <v>0.28083069116509962</v>
      </c>
      <c r="K257" s="23">
        <f>IF((SUMPRODUCT(K$9:K$229,Nutrients!$EE$8:$EE$228))=0,K256,IF((SUMPRODUCT(K$9:K$229,Nutrients!$EE$8:$EE$228))&gt;(1500*907),K256+0.14,K256+0.00000000006666*((SUMPRODUCT(K$9:K$229,Nutrients!$EE$8:$EE$228)/907))^3-0.00000023623322*((SUMPRODUCT(K$9:K$229,Nutrients!$EE$8:$EE$228)/907))^2+0.00029262722672*((SUMPRODUCT(K$9:K$229,Nutrients!$EE$8:$EE$228)/907))+0.007028328))</f>
        <v>0.24016469902295587</v>
      </c>
      <c r="L257" s="23">
        <f>IF((SUMPRODUCT(L$9:L$229,Nutrients!$EE$8:$EE$228))=0,L256,IF((SUMPRODUCT(L$9:L$229,Nutrients!$EE$8:$EE$228))&gt;(1500*907),L256+0.14,L256+0.00000000006666*((SUMPRODUCT(L$9:L$229,Nutrients!$EE$8:$EE$228)/907))^3-0.00000023623322*((SUMPRODUCT(L$9:L$229,Nutrients!$EE$8:$EE$228)/907))^2+0.00029262722672*((SUMPRODUCT(L$9:L$229,Nutrients!$EE$8:$EE$228)/907))+0.007028328))</f>
        <v>0.21231769056925459</v>
      </c>
      <c r="M257" s="23">
        <f>IF((SUMPRODUCT(M$9:M$229,Nutrients!$EE$8:$EE$228))=0,M256,IF((SUMPRODUCT(M$9:M$229,Nutrients!$EE$8:$EE$228))&gt;(1500*907),M256+0.14,M256+0.00000000006666*((SUMPRODUCT(M$9:M$229,Nutrients!$EE$8:$EE$228)/907))^3-0.00000023623322*((SUMPRODUCT(M$9:M$229,Nutrients!$EE$8:$EE$228)/907))^2+0.00029262722672*((SUMPRODUCT(M$9:M$229,Nutrients!$EE$8:$EE$228)/907))+0.007028328))</f>
        <v>0.19279183030458022</v>
      </c>
      <c r="N257" s="23">
        <f>IF((SUMPRODUCT(N$9:N$229,Nutrients!$EE$8:$EE$228))=0,N256,IF((SUMPRODUCT(N$9:N$229,Nutrients!$EE$8:$EE$228))&gt;(1500*907),N256+0.14,N256+0.00000000006666*((SUMPRODUCT(N$9:N$229,Nutrients!$EE$8:$EE$228)/907))^3-0.00000023623322*((SUMPRODUCT(N$9:N$229,Nutrients!$EE$8:$EE$228)/907))^2+0.00029262722672*((SUMPRODUCT(N$9:N$229,Nutrients!$EE$8:$EE$228)/907))+0.007028328))</f>
        <v>0.20173798071836466</v>
      </c>
      <c r="O257" s="198"/>
      <c r="P257" s="23">
        <f>IF((SUMPRODUCT(P$9:P$229,Nutrients!$EE$8:$EE$228))=0,P256,IF((SUMPRODUCT(P$9:P$229,Nutrients!$EE$8:$EE$228))&gt;(1500*907),P256+0.14,P256+0.00000000006666*((SUMPRODUCT(P$9:P$229,Nutrients!$EE$8:$EE$228)/907))^3-0.00000023623322*((SUMPRODUCT(P$9:P$229,Nutrients!$EE$8:$EE$228)/907))^2+0.00029262722672*((SUMPRODUCT(P$9:P$229,Nutrients!$EE$8:$EE$228)/907))+0.007028328))</f>
        <v>0.30151424487346279</v>
      </c>
      <c r="Q257" s="23">
        <f>IF((SUMPRODUCT(Q$9:Q$229,Nutrients!$EE$8:$EE$228))=0,Q256,IF((SUMPRODUCT(Q$9:Q$229,Nutrients!$EE$8:$EE$228))&gt;(1500*907),Q256+0.14,Q256+0.00000000006666*((SUMPRODUCT(Q$9:Q$229,Nutrients!$EE$8:$EE$228)/907))^3-0.00000023623322*((SUMPRODUCT(Q$9:Q$229,Nutrients!$EE$8:$EE$228)/907))^2+0.00029262722672*((SUMPRODUCT(Q$9:Q$229,Nutrients!$EE$8:$EE$228)/907))+0.007028328))</f>
        <v>0.26318002800887763</v>
      </c>
      <c r="R257" s="23">
        <f>IF((SUMPRODUCT(R$9:R$229,Nutrients!$EE$8:$EE$228))=0,R256,IF((SUMPRODUCT(R$9:R$229,Nutrients!$EE$8:$EE$228))&gt;(1500*907),R256+0.14,R256+0.00000000006666*((SUMPRODUCT(R$9:R$229,Nutrients!$EE$8:$EE$228)/907))^3-0.00000023623322*((SUMPRODUCT(R$9:R$229,Nutrients!$EE$8:$EE$228)/907))^2+0.00029262722672*((SUMPRODUCT(R$9:R$229,Nutrients!$EE$8:$EE$228)/907))+0.007028328))</f>
        <v>0.22251294858657181</v>
      </c>
      <c r="S257" s="23">
        <f>IF((SUMPRODUCT(S$9:S$229,Nutrients!$EE$8:$EE$228))=0,S256,IF((SUMPRODUCT(S$9:S$229,Nutrients!$EE$8:$EE$228))&gt;(1500*907),S256+0.14,S256+0.00000000006666*((SUMPRODUCT(S$9:S$229,Nutrients!$EE$8:$EE$228)/907))^3-0.00000023623322*((SUMPRODUCT(S$9:S$229,Nutrients!$EE$8:$EE$228)/907))^2+0.00029262722672*((SUMPRODUCT(S$9:S$229,Nutrients!$EE$8:$EE$228)/907))+0.007028328))</f>
        <v>0.19466624162896026</v>
      </c>
      <c r="T257" s="23">
        <f>IF((SUMPRODUCT(T$9:T$229,Nutrients!$EE$8:$EE$228))=0,T256,IF((SUMPRODUCT(T$9:T$229,Nutrients!$EE$8:$EE$228))&gt;(1500*907),T256+0.14,T256+0.00000000006666*((SUMPRODUCT(T$9:T$229,Nutrients!$EE$8:$EE$228)/907))^3-0.00000023623322*((SUMPRODUCT(T$9:T$229,Nutrients!$EE$8:$EE$228)/907))^2+0.00029262722672*((SUMPRODUCT(T$9:T$229,Nutrients!$EE$8:$EE$228)/907))+0.007028328))</f>
        <v>0.17514106542757168</v>
      </c>
      <c r="U257" s="23">
        <f>IF((SUMPRODUCT(U$9:U$229,Nutrients!$EE$8:$EE$228))=0,U256,IF((SUMPRODUCT(U$9:U$229,Nutrients!$EE$8:$EE$228))&gt;(1500*907),U256+0.14,U256+0.00000000006666*((SUMPRODUCT(U$9:U$229,Nutrients!$EE$8:$EE$228)/907))^3-0.00000023623322*((SUMPRODUCT(U$9:U$229,Nutrients!$EE$8:$EE$228)/907))^2+0.00029262722672*((SUMPRODUCT(U$9:U$229,Nutrients!$EE$8:$EE$228)/907))+0.007028328))</f>
        <v>0.20173798071836466</v>
      </c>
      <c r="W257" s="23">
        <f>IF((SUMPRODUCT(W$9:W$229,Nutrients!$EE$8:$EE$228))=0,W256,IF((SUMPRODUCT(W$9:W$229,Nutrients!$EE$8:$EE$228))&gt;(1500*907),W256+0.14,W256+0.00000000006666*((SUMPRODUCT(W$9:W$229,Nutrients!$EE$8:$EE$228)/907))^3-0.00000023623322*((SUMPRODUCT(W$9:W$229,Nutrients!$EE$8:$EE$228)/907))^2+0.00029262722672*((SUMPRODUCT(W$9:W$229,Nutrients!$EE$8:$EE$228)/907))+0.007028328))</f>
        <v>0.28279057974995703</v>
      </c>
      <c r="X257" s="23">
        <f>IF((SUMPRODUCT(X$9:X$229,Nutrients!$EE$8:$EE$228))=0,X256,IF((SUMPRODUCT(X$9:X$229,Nutrients!$EE$8:$EE$228))&gt;(1500*907),X256+0.14,X256+0.00000000006666*((SUMPRODUCT(X$9:X$229,Nutrients!$EE$8:$EE$228)/907))^3-0.00000023623322*((SUMPRODUCT(X$9:X$229,Nutrients!$EE$8:$EE$228)/907))^2+0.00029262722672*((SUMPRODUCT(X$9:X$229,Nutrients!$EE$8:$EE$228)/907))+0.007028328))</f>
        <v>0.24445465786617662</v>
      </c>
      <c r="Y257" s="23">
        <f>IF((SUMPRODUCT(Y$9:Y$229,Nutrients!$EE$8:$EE$228))=0,Y256,IF((SUMPRODUCT(Y$9:Y$229,Nutrients!$EE$8:$EE$228))&gt;(1500*907),Y256+0.14,Y256+0.00000000006666*((SUMPRODUCT(Y$9:Y$229,Nutrients!$EE$8:$EE$228)/907))^3-0.00000023623322*((SUMPRODUCT(Y$9:Y$229,Nutrients!$EE$8:$EE$228)/907))^2+0.00029262722672*((SUMPRODUCT(Y$9:Y$229,Nutrients!$EE$8:$EE$228)/907))+0.007028328))</f>
        <v>0.20378787536394452</v>
      </c>
      <c r="Z257" s="23">
        <f>IF((SUMPRODUCT(Z$9:Z$229,Nutrients!$EE$8:$EE$228))=0,Z256,IF((SUMPRODUCT(Z$9:Z$229,Nutrients!$EE$8:$EE$228))&gt;(1500*907),Z256+0.14,Z256+0.00000000006666*((SUMPRODUCT(Z$9:Z$229,Nutrients!$EE$8:$EE$228)/907))^3-0.00000023623322*((SUMPRODUCT(Z$9:Z$229,Nutrients!$EE$8:$EE$228)/907))^2+0.00029262722672*((SUMPRODUCT(Z$9:Z$229,Nutrients!$EE$8:$EE$228)/907))+0.007028328))</f>
        <v>0.1759392467441098</v>
      </c>
      <c r="AA257" s="23">
        <f>IF((SUMPRODUCT(AA$9:AA$229,Nutrients!$EE$8:$EE$228))=0,AA256,IF((SUMPRODUCT(AA$9:AA$229,Nutrients!$EE$8:$EE$228))&gt;(1500*907),AA256+0.14,AA256+0.00000000006666*((SUMPRODUCT(AA$9:AA$229,Nutrients!$EE$8:$EE$228)/907))^3-0.00000023623322*((SUMPRODUCT(AA$9:AA$229,Nutrients!$EE$8:$EE$228)/907))^2+0.00029262722672*((SUMPRODUCT(AA$9:AA$229,Nutrients!$EE$8:$EE$228)/907))+0.007028328))</f>
        <v>0.15641214449048604</v>
      </c>
      <c r="AB257" s="23">
        <f>IF((SUMPRODUCT(AB$9:AB$229,Nutrients!$EE$8:$EE$228))=0,AB256,IF((SUMPRODUCT(AB$9:AB$229,Nutrients!$EE$8:$EE$228))&gt;(1500*907),AB256+0.14,AB256+0.00000000006666*((SUMPRODUCT(AB$9:AB$229,Nutrients!$EE$8:$EE$228)/907))^3-0.00000023623322*((SUMPRODUCT(AB$9:AB$229,Nutrients!$EE$8:$EE$228)/907))^2+0.00029262722672*((SUMPRODUCT(AB$9:AB$229,Nutrients!$EE$8:$EE$228)/907))+0.007028328))</f>
        <v>0.20173798071836466</v>
      </c>
      <c r="AD257" s="23">
        <f>IF((SUMPRODUCT(AD$9:AD$229,Nutrients!$EE$8:$EE$228))=0,AD256,IF((SUMPRODUCT(AD$9:AD$229,Nutrients!$EE$8:$EE$228))&gt;(1500*907),AD256+0.14,AD256+0.00000000006666*((SUMPRODUCT(AD$9:AD$229,Nutrients!$EE$8:$EE$228)/907))^3-0.00000023623322*((SUMPRODUCT(AD$9:AD$229,Nutrients!$EE$8:$EE$228)/907))^2+0.00029262722672*((SUMPRODUCT(AD$9:AD$229,Nutrients!$EE$8:$EE$228)/907))+0.007028328))</f>
        <v>0.26406529294362879</v>
      </c>
      <c r="AE257" s="23">
        <f>IF((SUMPRODUCT(AE$9:AE$229,Nutrients!$EE$8:$EE$228))=0,AE256,IF((SUMPRODUCT(AE$9:AE$229,Nutrients!$EE$8:$EE$228))&gt;(1500*907),AE256+0.14,AE256+0.00000000006666*((SUMPRODUCT(AE$9:AE$229,Nutrients!$EE$8:$EE$228)/907))^3-0.00000023623322*((SUMPRODUCT(AE$9:AE$229,Nutrients!$EE$8:$EE$228)/907))^2+0.00029262722672*((SUMPRODUCT(AE$9:AE$229,Nutrients!$EE$8:$EE$228)/907))+0.007028328))</f>
        <v>0.22573004656967025</v>
      </c>
      <c r="AF257" s="23">
        <f>IF((SUMPRODUCT(AF$9:AF$229,Nutrients!$EE$8:$EE$228))=0,AF256,IF((SUMPRODUCT(AF$9:AF$229,Nutrients!$EE$8:$EE$228))&gt;(1500*907),AF256+0.14,AF256+0.00000000006666*((SUMPRODUCT(AF$9:AF$229,Nutrients!$EE$8:$EE$228)/907))^3-0.00000023623322*((SUMPRODUCT(AF$9:AF$229,Nutrients!$EE$8:$EE$228)/907))^2+0.00029262722672*((SUMPRODUCT(AF$9:AF$229,Nutrients!$EE$8:$EE$228)/907))+0.007028328))</f>
        <v>0.18506090400766739</v>
      </c>
      <c r="AG257" s="23">
        <f>IF((SUMPRODUCT(AG$9:AG$229,Nutrients!$EE$8:$EE$228))=0,AG256,IF((SUMPRODUCT(AG$9:AG$229,Nutrients!$EE$8:$EE$228))&gt;(1500*907),AG256+0.14,AG256+0.00000000006666*((SUMPRODUCT(AG$9:AG$229,Nutrients!$EE$8:$EE$228)/907))^3-0.00000023623322*((SUMPRODUCT(AG$9:AG$229,Nutrients!$EE$8:$EE$228)/907))^2+0.00029262722672*((SUMPRODUCT(AG$9:AG$229,Nutrients!$EE$8:$EE$228)/907))+0.007028328))</f>
        <v>0.15721129045703028</v>
      </c>
      <c r="AH257" s="23">
        <f>IF((SUMPRODUCT(AH$9:AH$229,Nutrients!$EE$8:$EE$228))=0,AH256,IF((SUMPRODUCT(AH$9:AH$229,Nutrients!$EE$8:$EE$228))&gt;(1500*907),AH256+0.14,AH256+0.00000000006666*((SUMPRODUCT(AH$9:AH$229,Nutrients!$EE$8:$EE$228)/907))^3-0.00000023623322*((SUMPRODUCT(AH$9:AH$229,Nutrients!$EE$8:$EE$228)/907))^2+0.00029262722672*((SUMPRODUCT(AH$9:AH$229,Nutrients!$EE$8:$EE$228)/907))+0.007028328))</f>
        <v>0.15001447377316243</v>
      </c>
      <c r="AI257" s="23">
        <f>IF((SUMPRODUCT(AI$9:AI$229,Nutrients!$EE$8:$EE$228))=0,AI256,IF((SUMPRODUCT(AI$9:AI$229,Nutrients!$EE$8:$EE$228))&gt;(1500*907),AI256+0.14,AI256+0.00000000006666*((SUMPRODUCT(AI$9:AI$229,Nutrients!$EE$8:$EE$228)/907))^3-0.00000023623322*((SUMPRODUCT(AI$9:AI$229,Nutrients!$EE$8:$EE$228)/907))^2+0.00029262722672*((SUMPRODUCT(AI$9:AI$229,Nutrients!$EE$8:$EE$228)/907))+0.007028328))</f>
        <v>0.20173798071836466</v>
      </c>
      <c r="AK257" s="23">
        <f>IF((SUMPRODUCT(AK$9:AK$229,Nutrients!$EE$8:$EE$228))=0,AK256,IF((SUMPRODUCT(AK$9:AK$229,Nutrients!$EE$8:$EE$228))&gt;(1500*907),AK256+0.14,AK256+0.00000000006666*((SUMPRODUCT(AK$9:AK$229,Nutrients!$EE$8:$EE$228)/907))^3-0.00000023623322*((SUMPRODUCT(AK$9:AK$229,Nutrients!$EE$8:$EE$228)/907))^2+0.00029262722672*((SUMPRODUCT(AK$9:AK$229,Nutrients!$EE$8:$EE$228)/907))+0.007028328))</f>
        <v>0.24641384649546402</v>
      </c>
      <c r="AL257" s="23">
        <f>IF((SUMPRODUCT(AL$9:AL$229,Nutrients!$EE$8:$EE$228))=0,AL256,IF((SUMPRODUCT(AL$9:AL$229,Nutrients!$EE$8:$EE$228))&gt;(1500*907),AL256+0.14,AL256+0.00000000006666*((SUMPRODUCT(AL$9:AL$229,Nutrients!$EE$8:$EE$228)/907))^3-0.00000023623322*((SUMPRODUCT(AL$9:AL$229,Nutrients!$EE$8:$EE$228)/907))^2+0.00029262722672*((SUMPRODUCT(AL$9:AL$229,Nutrients!$EE$8:$EE$228)/907))+0.007028328))</f>
        <v>0.20807805527154008</v>
      </c>
      <c r="AM257" s="23">
        <f>IF((SUMPRODUCT(AM$9:AM$229,Nutrients!$EE$8:$EE$228))=0,AM256,IF((SUMPRODUCT(AM$9:AM$229,Nutrients!$EE$8:$EE$228))&gt;(1500*907),AM256+0.14,AM256+0.00000000006666*((SUMPRODUCT(AM$9:AM$229,Nutrients!$EE$8:$EE$228)/907))^3-0.00000023623322*((SUMPRODUCT(AM$9:AM$229,Nutrients!$EE$8:$EE$228)/907))^2+0.00029262722672*((SUMPRODUCT(AM$9:AM$229,Nutrients!$EE$8:$EE$228)/907))+0.007028328))</f>
        <v>0.16740971017463843</v>
      </c>
      <c r="AN257" s="23">
        <f>IF((SUMPRODUCT(AN$9:AN$229,Nutrients!$EE$8:$EE$228))=0,AN256,IF((SUMPRODUCT(AN$9:AN$229,Nutrients!$EE$8:$EE$228))&gt;(1500*907),AN256+0.14,AN256+0.00000000006666*((SUMPRODUCT(AN$9:AN$229,Nutrients!$EE$8:$EE$228)/907))^3-0.00000023623322*((SUMPRODUCT(AN$9:AN$229,Nutrients!$EE$8:$EE$228)/907))^2+0.00029262722672*((SUMPRODUCT(AN$9:AN$229,Nutrients!$EE$8:$EE$228)/907))+0.007028328))</f>
        <v>0.14989051466189349</v>
      </c>
      <c r="AO257" s="23">
        <f>IF((SUMPRODUCT(AO$9:AO$229,Nutrients!$EE$8:$EE$228))=0,AO256,IF((SUMPRODUCT(AO$9:AO$229,Nutrients!$EE$8:$EE$228))&gt;(1500*907),AO256+0.14,AO256+0.00000000006666*((SUMPRODUCT(AO$9:AO$229,Nutrients!$EE$8:$EE$228)/907))^3-0.00000023623322*((SUMPRODUCT(AO$9:AO$229,Nutrients!$EE$8:$EE$228)/907))^2+0.00029262722672*((SUMPRODUCT(AO$9:AO$229,Nutrients!$EE$8:$EE$228)/907))+0.007028328))</f>
        <v>0.14629454581354515</v>
      </c>
      <c r="AP257" s="23">
        <f>IF((SUMPRODUCT(AP$9:AP$229,Nutrients!$EE$8:$EE$228))=0,AP256,IF((SUMPRODUCT(AP$9:AP$229,Nutrients!$EE$8:$EE$228))&gt;(1500*907),AP256+0.14,AP256+0.00000000006666*((SUMPRODUCT(AP$9:AP$229,Nutrients!$EE$8:$EE$228)/907))^3-0.00000023623322*((SUMPRODUCT(AP$9:AP$229,Nutrients!$EE$8:$EE$228)/907))^2+0.00029262722672*((SUMPRODUCT(AP$9:AP$229,Nutrients!$EE$8:$EE$228)/907))+0.007028328))</f>
        <v>0.20173798071836466</v>
      </c>
      <c r="AR257" s="23">
        <f>IF((SUMPRODUCT(AR$9:AR$229,Nutrients!$EE$8:$EE$228))=0,AR256,IF((SUMPRODUCT(AR$9:AR$229,Nutrients!$EE$8:$EE$228))&gt;(1500*907),AR256+0.14,AR256+0.00000000006666*((SUMPRODUCT(AR$9:AR$229,Nutrients!$EE$8:$EE$228)/907))^3-0.00000023623322*((SUMPRODUCT(AR$9:AR$229,Nutrients!$EE$8:$EE$228)/907))^2+0.00029262722672*((SUMPRODUCT(AR$9:AR$229,Nutrients!$EE$8:$EE$228)/907))+0.007028328))</f>
        <v>0.22876025012513676</v>
      </c>
      <c r="AS257" s="23">
        <f>IF((SUMPRODUCT(AS$9:AS$229,Nutrients!$EE$8:$EE$228))=0,AS256,IF((SUMPRODUCT(AS$9:AS$229,Nutrients!$EE$8:$EE$228))&gt;(1500*907),AS256+0.14,AS256+0.00000000006666*((SUMPRODUCT(AS$9:AS$229,Nutrients!$EE$8:$EE$228)/907))^3-0.00000023623322*((SUMPRODUCT(AS$9:AS$229,Nutrients!$EE$8:$EE$228)/907))^2+0.00029262722672*((SUMPRODUCT(AS$9:AS$229,Nutrients!$EE$8:$EE$228)/907))+0.007028328))</f>
        <v>0.19042574164442375</v>
      </c>
      <c r="AT257" s="23">
        <f>IF((SUMPRODUCT(AT$9:AT$229,Nutrients!$EE$8:$EE$228))=0,AT256,IF((SUMPRODUCT(AT$9:AT$229,Nutrients!$EE$8:$EE$228))&gt;(1500*907),AT256+0.14,AT256+0.00000000006666*((SUMPRODUCT(AT$9:AT$229,Nutrients!$EE$8:$EE$228)/907))^3-0.00000023623322*((SUMPRODUCT(AT$9:AT$229,Nutrients!$EE$8:$EE$228)/907))^2+0.00029262722672*((SUMPRODUCT(AT$9:AT$229,Nutrients!$EE$8:$EE$228)/907))+0.007028328))</f>
        <v>0.15042320195210154</v>
      </c>
      <c r="AU257" s="23">
        <f>IF((SUMPRODUCT(AU$9:AU$229,Nutrients!$EE$8:$EE$228))=0,AU256,IF((SUMPRODUCT(AU$9:AU$229,Nutrients!$EE$8:$EE$228))&gt;(1500*907),AU256+0.14,AU256+0.00000000006666*((SUMPRODUCT(AU$9:AU$229,Nutrients!$EE$8:$EE$228)/907))^3-0.00000023623322*((SUMPRODUCT(AU$9:AU$229,Nutrients!$EE$8:$EE$228)/907))^2+0.00029262722672*((SUMPRODUCT(AU$9:AU$229,Nutrients!$EE$8:$EE$228)/907))+0.007028328))</f>
        <v>0.14617063700053254</v>
      </c>
      <c r="AV257" s="23">
        <f>IF((SUMPRODUCT(AV$9:AV$229,Nutrients!$EE$8:$EE$228))=0,AV256,IF((SUMPRODUCT(AV$9:AV$229,Nutrients!$EE$8:$EE$228))&gt;(1500*907),AV256+0.14,AV256+0.00000000006666*((SUMPRODUCT(AV$9:AV$229,Nutrients!$EE$8:$EE$228)/907))^3-0.00000023623322*((SUMPRODUCT(AV$9:AV$229,Nutrients!$EE$8:$EE$228)/907))^2+0.00029262722672*((SUMPRODUCT(AV$9:AV$229,Nutrients!$EE$8:$EE$228)/907))+0.007028328))</f>
        <v>0.14257461166791943</v>
      </c>
      <c r="AW257" s="23">
        <f>IF((SUMPRODUCT(AW$9:AW$229,Nutrients!$EE$8:$EE$228))=0,AW256,IF((SUMPRODUCT(AW$9:AW$229,Nutrients!$EE$8:$EE$228))&gt;(1500*907),AW256+0.14,AW256+0.00000000006666*((SUMPRODUCT(AW$9:AW$229,Nutrients!$EE$8:$EE$228)/907))^3-0.00000023623322*((SUMPRODUCT(AW$9:AW$229,Nutrients!$EE$8:$EE$228)/907))^2+0.00029262722672*((SUMPRODUCT(AW$9:AW$229,Nutrients!$EE$8:$EE$228)/907))+0.007028328))</f>
        <v>0.20173798071836466</v>
      </c>
    </row>
    <row r="258" spans="1:59" x14ac:dyDescent="0.25">
      <c r="A258" t="s">
        <v>28</v>
      </c>
      <c r="B258" s="23">
        <f t="shared" ref="B258:G258" si="61">IF(B$5="","",(B257)/(B246*2.2046)*10000)</f>
        <v>1.0228158443854305</v>
      </c>
      <c r="C258" s="23">
        <f t="shared" si="61"/>
        <v>0.90093891102253687</v>
      </c>
      <c r="D258" s="23">
        <f t="shared" si="61"/>
        <v>0.7799032683037318</v>
      </c>
      <c r="E258" s="23">
        <f t="shared" si="61"/>
        <v>0.69195878210567852</v>
      </c>
      <c r="F258" s="23">
        <f t="shared" si="61"/>
        <v>0.63170249608403195</v>
      </c>
      <c r="G258" s="23">
        <f t="shared" si="61"/>
        <v>0.60499551704383758</v>
      </c>
      <c r="H258" s="227"/>
      <c r="I258" s="23">
        <f t="shared" ref="I258:N258" si="62">IF(I$5="","",(I257)/(I246*2.2046)*10000)</f>
        <v>0.95975889075891618</v>
      </c>
      <c r="J258" s="23">
        <f t="shared" si="62"/>
        <v>0.84195360292807131</v>
      </c>
      <c r="K258" s="23">
        <f t="shared" si="62"/>
        <v>0.71810817514105796</v>
      </c>
      <c r="L258" s="23">
        <f t="shared" si="62"/>
        <v>0.63308370169592443</v>
      </c>
      <c r="M258" s="23">
        <f t="shared" si="62"/>
        <v>0.57350998716535484</v>
      </c>
      <c r="N258" s="23">
        <f t="shared" si="62"/>
        <v>0.60499551704383758</v>
      </c>
      <c r="O258" s="198"/>
      <c r="P258" s="23">
        <f t="shared" ref="P258:U258" si="63">IF(P$5="","",(P257)/(P246*2.2046)*10000)</f>
        <v>0.89854949471415535</v>
      </c>
      <c r="Q258" s="23">
        <f t="shared" si="63"/>
        <v>0.7819642253023521</v>
      </c>
      <c r="R258" s="23">
        <f t="shared" si="63"/>
        <v>0.65934720144006032</v>
      </c>
      <c r="S258" s="23">
        <f t="shared" si="63"/>
        <v>0.57525857971960315</v>
      </c>
      <c r="T258" s="23">
        <f t="shared" si="63"/>
        <v>0.51635473379042773</v>
      </c>
      <c r="U258" s="23">
        <f t="shared" si="63"/>
        <v>0.60499551704383758</v>
      </c>
      <c r="W258" s="23">
        <f t="shared" ref="W258:AB258" si="64">IF(W$5="","",(W257)/(W246*2.2046)*10000)</f>
        <v>0.83519723622084663</v>
      </c>
      <c r="X258" s="23">
        <f t="shared" si="64"/>
        <v>0.71979988701895059</v>
      </c>
      <c r="Y258" s="23">
        <f t="shared" si="64"/>
        <v>0.59846462078087659</v>
      </c>
      <c r="Z258" s="23">
        <f t="shared" si="64"/>
        <v>0.51525562785106505</v>
      </c>
      <c r="AA258" s="23">
        <f t="shared" si="64"/>
        <v>0.45700335333332465</v>
      </c>
      <c r="AB258" s="23">
        <f t="shared" si="64"/>
        <v>0.60499551704383758</v>
      </c>
      <c r="AD258" s="23">
        <f t="shared" ref="AD258:AI258" si="65">IF(AD$5="","",(AD257)/(AD246*2.2046)*10000)</f>
        <v>0.77293251447489708</v>
      </c>
      <c r="AE258" s="23">
        <f t="shared" si="65"/>
        <v>0.65876807749348654</v>
      </c>
      <c r="AF258" s="23">
        <f t="shared" si="65"/>
        <v>0.53862579472349725</v>
      </c>
      <c r="AG258" s="23">
        <f t="shared" si="65"/>
        <v>0.45632131818111438</v>
      </c>
      <c r="AH258" s="23">
        <f t="shared" si="65"/>
        <v>0.4344972092467963</v>
      </c>
      <c r="AI258" s="23">
        <f t="shared" si="65"/>
        <v>0.60499551704383758</v>
      </c>
      <c r="AK258" s="23">
        <f t="shared" ref="AK258:AP258" si="66">IF(AK$5="","",(AK257)/(AK246*2.2046)*10000)</f>
        <v>0.7149191986555774</v>
      </c>
      <c r="AL258" s="23">
        <f t="shared" si="66"/>
        <v>0.60191661725255041</v>
      </c>
      <c r="AM258" s="23">
        <f t="shared" si="66"/>
        <v>0.48299769802255271</v>
      </c>
      <c r="AN258" s="23">
        <f t="shared" si="66"/>
        <v>0.43132847380512235</v>
      </c>
      <c r="AO258" s="23">
        <f t="shared" si="66"/>
        <v>0.42006359493402451</v>
      </c>
      <c r="AP258" s="23">
        <f t="shared" si="66"/>
        <v>0.60499551704383758</v>
      </c>
      <c r="AR258" s="23">
        <f t="shared" ref="AR258:AW258" si="67">IF(AR$5="","",(AR257)/(AR246*2.2046)*10000)</f>
        <v>0.65784510627422133</v>
      </c>
      <c r="AS258" s="23">
        <f t="shared" si="67"/>
        <v>0.54606281266733825</v>
      </c>
      <c r="AT258" s="23">
        <f t="shared" si="67"/>
        <v>0.43021654593496106</v>
      </c>
      <c r="AU258" s="23">
        <f t="shared" si="67"/>
        <v>0.417021350002025</v>
      </c>
      <c r="AV258" s="23">
        <f t="shared" si="67"/>
        <v>0.40587704110417833</v>
      </c>
      <c r="AW258" s="23">
        <f t="shared" si="67"/>
        <v>0.60499551704383758</v>
      </c>
    </row>
    <row r="259" spans="1:59" x14ac:dyDescent="0.25">
      <c r="A259" s="34" t="s">
        <v>346</v>
      </c>
      <c r="B259" s="23">
        <f>((SUMPRODUCT(B$9:B$229,Nutrients!$DR$8:$DR$228)+(IF($A$7=Nutrients!$B$8,Nutrients!$DR$8,Nutrients!$DR$9)*B$7)+(((IF($A$8=Nutrients!$B$79,Nutrients!$DR$79,(IF($A$8=Nutrients!$B$77,Nutrients!$DR$77,Nutrients!$DR$78)))))*B$8))/2000)</f>
        <v>0.29000063647666452</v>
      </c>
      <c r="C259" s="23">
        <f>((SUMPRODUCT(C$9:C$229,Nutrients!$DR$8:$DR$228)+(IF($A$7=Nutrients!$B$8,Nutrients!$DR$8,Nutrients!$DR$9)*C$7)+(((IF($A$8=Nutrients!$B$79,Nutrients!$DR$79,(IF($A$8=Nutrients!$B$77,Nutrients!$DR$77,Nutrients!$DR$78)))))*C$8))/2000)</f>
        <v>0.24988069387487893</v>
      </c>
      <c r="D259" s="23">
        <f>((SUMPRODUCT(D$9:D$229,Nutrients!$DR$8:$DR$228)+(IF($A$7=Nutrients!$B$8,Nutrients!$DR$8,Nutrients!$DR$9)*D$7)+(((IF($A$8=Nutrients!$B$79,Nutrients!$DR$79,(IF($A$8=Nutrients!$B$77,Nutrients!$DR$77,Nutrients!$DR$78)))))*D$8))/2000)</f>
        <v>0.21060453785177027</v>
      </c>
      <c r="E259" s="23">
        <f>((SUMPRODUCT(E$9:E$229,Nutrients!$DR$8:$DR$228)+(IF($A$7=Nutrients!$B$8,Nutrients!$DR$8,Nutrients!$DR$9)*E$7)+(((IF($A$8=Nutrients!$B$79,Nutrients!$DR$79,(IF($A$8=Nutrients!$B$77,Nutrients!$DR$77,Nutrients!$DR$78)))))*E$8))/2000)</f>
        <v>0.18085065848336068</v>
      </c>
      <c r="F259" s="23">
        <f>((SUMPRODUCT(F$9:F$229,Nutrients!$DR$8:$DR$228)+(IF($A$7=Nutrients!$B$8,Nutrients!$DR$8,Nutrients!$DR$9)*F$7)+(((IF($A$8=Nutrients!$B$79,Nutrients!$DR$79,(IF($A$8=Nutrients!$B$77,Nutrients!$DR$77,Nutrients!$DR$78)))))*F$8))/2000)</f>
        <v>0.15971179439767599</v>
      </c>
      <c r="G259" s="23">
        <f>((SUMPRODUCT(G$9:G$229,Nutrients!$DR$8:$DR$228)+(IF($A$7=Nutrients!$B$8,Nutrients!$DR$8,Nutrients!$DR$9)*G$7)+(((IF($A$8=Nutrients!$B$79,Nutrients!$DR$79,(IF($A$8=Nutrients!$B$77,Nutrients!$DR$77,Nutrients!$DR$78)))))*G$8))/2000)</f>
        <v>0.14985099986346795</v>
      </c>
      <c r="H259" s="227"/>
      <c r="I259" s="23">
        <f>((SUMPRODUCT(I$9:I$229,Nutrients!$DR$8:$DR$228)+(IF($A$7=Nutrients!$B$8,Nutrients!$DR$8,Nutrients!$DR$9)*I$7)+(((IF($A$8=Nutrients!$B$79,Nutrients!$DR$79,(IF($A$8=Nutrients!$B$77,Nutrients!$DR$77,Nutrients!$DR$78)))))*I$8))/2000)</f>
        <v>0.29014809232506827</v>
      </c>
      <c r="J259" s="23">
        <f>((SUMPRODUCT(J$9:J$229,Nutrients!$DR$8:$DR$228)+(IF($A$7=Nutrients!$B$8,Nutrients!$DR$8,Nutrients!$DR$9)*J$7)+(((IF($A$8=Nutrients!$B$79,Nutrients!$DR$79,(IF($A$8=Nutrients!$B$77,Nutrients!$DR$77,Nutrients!$DR$78)))))*J$8))/2000)</f>
        <v>0.25085687289487002</v>
      </c>
      <c r="K259" s="23">
        <f>((SUMPRODUCT(K$9:K$229,Nutrients!$DR$8:$DR$228)+(IF($A$7=Nutrients!$B$8,Nutrients!$DR$8,Nutrients!$DR$9)*K$7)+(((IF($A$8=Nutrients!$B$79,Nutrients!$DR$79,(IF($A$8=Nutrients!$B$77,Nutrients!$DR$77,Nutrients!$DR$78)))))*K$8))/2000)</f>
        <v>0.21039974278228327</v>
      </c>
      <c r="L259" s="23">
        <f>((SUMPRODUCT(L$9:L$229,Nutrients!$DR$8:$DR$228)+(IF($A$7=Nutrients!$B$8,Nutrients!$DR$8,Nutrients!$DR$9)*L$7)+(((IF($A$8=Nutrients!$B$79,Nutrients!$DR$79,(IF($A$8=Nutrients!$B$77,Nutrients!$DR$77,Nutrients!$DR$78)))))*L$8))/2000)</f>
        <v>0.18122534893259912</v>
      </c>
      <c r="M259" s="23">
        <f>((SUMPRODUCT(M$9:M$229,Nutrients!$DR$8:$DR$228)+(IF($A$7=Nutrients!$B$8,Nutrients!$DR$8,Nutrients!$DR$9)*M$7)+(((IF($A$8=Nutrients!$B$79,Nutrients!$DR$79,(IF($A$8=Nutrients!$B$77,Nutrients!$DR$77,Nutrients!$DR$78)))))*M$8))/2000)</f>
        <v>0.16008645981230762</v>
      </c>
      <c r="N259" s="23">
        <f>((SUMPRODUCT(N$9:N$229,Nutrients!$DR$8:$DR$228)+(IF($A$7=Nutrients!$B$8,Nutrients!$DR$8,Nutrients!$DR$9)*N$7)+(((IF($A$8=Nutrients!$B$79,Nutrients!$DR$79,(IF($A$8=Nutrients!$B$77,Nutrients!$DR$77,Nutrients!$DR$78)))))*N$8))/2000)</f>
        <v>0.14985099986346795</v>
      </c>
      <c r="O259" s="198"/>
      <c r="P259" s="23">
        <f>((SUMPRODUCT(P$9:P$229,Nutrients!$DR$8:$DR$228)+(IF($A$7=Nutrients!$B$8,Nutrients!$DR$8,Nutrients!$DR$9)*P$7)+(((IF($A$8=Nutrients!$B$79,Nutrients!$DR$79,(IF($A$8=Nutrients!$B$77,Nutrients!$DR$77,Nutrients!$DR$78)))))*P$8))/2000)</f>
        <v>0.2905257833114176</v>
      </c>
      <c r="Q259" s="23">
        <f>((SUMPRODUCT(Q$9:Q$229,Nutrients!$DR$8:$DR$228)+(IF($A$7=Nutrients!$B$8,Nutrients!$DR$8,Nutrients!$DR$9)*Q$7)+(((IF($A$8=Nutrients!$B$79,Nutrients!$DR$79,(IF($A$8=Nutrients!$B$77,Nutrients!$DR$77,Nutrients!$DR$78)))))*Q$8))/2000)</f>
        <v>0.25123183005655536</v>
      </c>
      <c r="R259" s="23">
        <f>((SUMPRODUCT(R$9:R$229,Nutrients!$DR$8:$DR$228)+(IF($A$7=Nutrients!$B$8,Nutrients!$DR$8,Nutrients!$DR$9)*R$7)+(((IF($A$8=Nutrients!$B$79,Nutrients!$DR$79,(IF($A$8=Nutrients!$B$77,Nutrients!$DR$77,Nutrients!$DR$78)))))*R$8))/2000)</f>
        <v>0.21077188856544557</v>
      </c>
      <c r="S259" s="23">
        <f>((SUMPRODUCT(S$9:S$229,Nutrients!$DR$8:$DR$228)+(IF($A$7=Nutrients!$B$8,Nutrients!$DR$8,Nutrients!$DR$9)*S$7)+(((IF($A$8=Nutrients!$B$79,Nutrients!$DR$79,(IF($A$8=Nutrients!$B$77,Nutrients!$DR$77,Nutrients!$DR$78)))))*S$8))/2000)</f>
        <v>0.18159827429370368</v>
      </c>
      <c r="T259" s="23">
        <f>((SUMPRODUCT(T$9:T$229,Nutrients!$DR$8:$DR$228)+(IF($A$7=Nutrients!$B$8,Nutrients!$DR$8,Nutrients!$DR$9)*T$7)+(((IF($A$8=Nutrients!$B$79,Nutrients!$DR$79,(IF($A$8=Nutrients!$B$77,Nutrients!$DR$77,Nutrients!$DR$78)))))*T$8))/2000)</f>
        <v>0.16046115395472282</v>
      </c>
      <c r="U259" s="23">
        <f>((SUMPRODUCT(U$9:U$229,Nutrients!$DR$8:$DR$228)+(IF($A$7=Nutrients!$B$8,Nutrients!$DR$8,Nutrients!$DR$9)*U$7)+(((IF($A$8=Nutrients!$B$79,Nutrients!$DR$79,(IF($A$8=Nutrients!$B$77,Nutrients!$DR$77,Nutrients!$DR$78)))))*U$8))/2000)</f>
        <v>0.14985099986346795</v>
      </c>
      <c r="W259" s="23">
        <f>((SUMPRODUCT(W$9:W$229,Nutrients!$DR$8:$DR$228)+(IF($A$7=Nutrients!$B$8,Nutrients!$DR$8,Nutrients!$DR$9)*W$7)+(((IF($A$8=Nutrients!$B$79,Nutrients!$DR$79,(IF($A$8=Nutrients!$B$77,Nutrients!$DR$77,Nutrients!$DR$78)))))*W$8))/2000)</f>
        <v>0.28995668178300393</v>
      </c>
      <c r="X259" s="23">
        <f>((SUMPRODUCT(X$9:X$229,Nutrients!$DR$8:$DR$228)+(IF($A$7=Nutrients!$B$8,Nutrients!$DR$8,Nutrients!$DR$9)*X$7)+(((IF($A$8=Nutrients!$B$79,Nutrients!$DR$79,(IF($A$8=Nutrients!$B$77,Nutrients!$DR$77,Nutrients!$DR$78)))))*X$8))/2000)</f>
        <v>0.25065831986281895</v>
      </c>
      <c r="Y259" s="23">
        <f>((SUMPRODUCT(Y$9:Y$229,Nutrients!$DR$8:$DR$228)+(IF($A$7=Nutrients!$B$8,Nutrients!$DR$8,Nutrients!$DR$9)*Y$7)+(((IF($A$8=Nutrients!$B$79,Nutrients!$DR$79,(IF($A$8=Nutrients!$B$77,Nutrients!$DR$77,Nutrients!$DR$78)))))*Y$8))/2000)</f>
        <v>0.21019914611745427</v>
      </c>
      <c r="Z259" s="23">
        <f>((SUMPRODUCT(Z$9:Z$229,Nutrients!$DR$8:$DR$228)+(IF($A$7=Nutrients!$B$8,Nutrients!$DR$8,Nutrients!$DR$9)*Z$7)+(((IF($A$8=Nutrients!$B$79,Nutrients!$DR$79,(IF($A$8=Nutrients!$B$77,Nutrients!$DR$77,Nutrients!$DR$78)))))*Z$8))/2000)</f>
        <v>0.18102056300686942</v>
      </c>
      <c r="AA259" s="23">
        <f>((SUMPRODUCT(AA$9:AA$229,Nutrients!$DR$8:$DR$228)+(IF($A$7=Nutrients!$B$8,Nutrients!$DR$8,Nutrients!$DR$9)*AA$7)+(((IF($A$8=Nutrients!$B$79,Nutrients!$DR$79,(IF($A$8=Nutrients!$B$77,Nutrients!$DR$77,Nutrients!$DR$78)))))*AA$8))/2000)</f>
        <v>0.15987846247779869</v>
      </c>
      <c r="AB259" s="23">
        <f>((SUMPRODUCT(AB$9:AB$229,Nutrients!$DR$8:$DR$228)+(IF($A$7=Nutrients!$B$8,Nutrients!$DR$8,Nutrients!$DR$9)*AB$7)+(((IF($A$8=Nutrients!$B$79,Nutrients!$DR$79,(IF($A$8=Nutrients!$B$77,Nutrients!$DR$77,Nutrients!$DR$78)))))*AB$8))/2000)</f>
        <v>0.14985099986346795</v>
      </c>
      <c r="AD259" s="23">
        <f>((SUMPRODUCT(AD$9:AD$229,Nutrients!$DR$8:$DR$228)+(IF($A$7=Nutrients!$B$8,Nutrients!$DR$8,Nutrients!$DR$9)*AD$7)+(((IF($A$8=Nutrients!$B$79,Nutrients!$DR$79,(IF($A$8=Nutrients!$B$77,Nutrients!$DR$77,Nutrients!$DR$78)))))*AD$8))/2000)</f>
        <v>0.28938338707198907</v>
      </c>
      <c r="AE259" s="23">
        <f>((SUMPRODUCT(AE$9:AE$229,Nutrients!$DR$8:$DR$228)+(IF($A$7=Nutrients!$B$8,Nutrients!$DR$8,Nutrients!$DR$9)*AE$7)+(((IF($A$8=Nutrients!$B$79,Nutrients!$DR$79,(IF($A$8=Nutrients!$B$77,Nutrients!$DR$77,Nutrients!$DR$78)))))*AE$8))/2000)</f>
        <v>0.25008677181643718</v>
      </c>
      <c r="AF259" s="23">
        <f>((SUMPRODUCT(AF$9:AF$229,Nutrients!$DR$8:$DR$228)+(IF($A$7=Nutrients!$B$8,Nutrients!$DR$8,Nutrients!$DR$9)*AF$7)+(((IF($A$8=Nutrients!$B$79,Nutrients!$DR$79,(IF($A$8=Nutrients!$B$77,Nutrients!$DR$77,Nutrients!$DR$78)))))*AF$8))/2000)</f>
        <v>0.20962149566841329</v>
      </c>
      <c r="AG259" s="23">
        <f>((SUMPRODUCT(AG$9:AG$229,Nutrients!$DR$8:$DR$228)+(IF($A$7=Nutrients!$B$8,Nutrients!$DR$8,Nutrients!$DR$9)*AG$7)+(((IF($A$8=Nutrients!$B$79,Nutrients!$DR$79,(IF($A$8=Nutrients!$B$77,Nutrients!$DR$77,Nutrients!$DR$78)))))*AG$8))/2000)</f>
        <v>0.18044036582387613</v>
      </c>
      <c r="AH259" s="23">
        <f>((SUMPRODUCT(AH$9:AH$229,Nutrients!$DR$8:$DR$228)+(IF($A$7=Nutrients!$B$8,Nutrients!$DR$8,Nutrients!$DR$9)*AH$7)+(((IF($A$8=Nutrients!$B$79,Nutrients!$DR$79,(IF($A$8=Nutrients!$B$77,Nutrients!$DR$77,Nutrients!$DR$78)))))*AH$8))/2000)</f>
        <v>0.17012944236266575</v>
      </c>
      <c r="AI259" s="23">
        <f>((SUMPRODUCT(AI$9:AI$229,Nutrients!$DR$8:$DR$228)+(IF($A$7=Nutrients!$B$8,Nutrients!$DR$8,Nutrients!$DR$9)*AI$7)+(((IF($A$8=Nutrients!$B$79,Nutrients!$DR$79,(IF($A$8=Nutrients!$B$77,Nutrients!$DR$77,Nutrients!$DR$78)))))*AI$8))/2000)</f>
        <v>0.14985099986346795</v>
      </c>
      <c r="AK259" s="23">
        <f>((SUMPRODUCT(AK$9:AK$229,Nutrients!$DR$8:$DR$228)+(IF($A$7=Nutrients!$B$8,Nutrients!$DR$8,Nutrients!$DR$9)*AK$7)+(((IF($A$8=Nutrients!$B$79,Nutrients!$DR$79,(IF($A$8=Nutrients!$B$77,Nutrients!$DR$77,Nutrients!$DR$78)))))*AK$8))/2000)</f>
        <v>0.28975631887698911</v>
      </c>
      <c r="AL259" s="23">
        <f>((SUMPRODUCT(AL$9:AL$229,Nutrients!$DR$8:$DR$228)+(IF($A$7=Nutrients!$B$8,Nutrients!$DR$8,Nutrients!$DR$9)*AL$7)+(((IF($A$8=Nutrients!$B$79,Nutrients!$DR$79,(IF($A$8=Nutrients!$B$77,Nutrients!$DR$77,Nutrients!$DR$78)))))*AL$8))/2000)</f>
        <v>0.25045829480377951</v>
      </c>
      <c r="AM259" s="23">
        <f>((SUMPRODUCT(AM$9:AM$229,Nutrients!$DR$8:$DR$228)+(IF($A$7=Nutrients!$B$8,Nutrients!$DR$8,Nutrients!$DR$9)*AM$7)+(((IF($A$8=Nutrients!$B$79,Nutrients!$DR$79,(IF($A$8=Nutrients!$B$77,Nutrients!$DR$77,Nutrients!$DR$78)))))*AM$8))/2000)</f>
        <v>0.20999508065995354</v>
      </c>
      <c r="AN259" s="23">
        <f>((SUMPRODUCT(AN$9:AN$229,Nutrients!$DR$8:$DR$228)+(IF($A$7=Nutrients!$B$8,Nutrients!$DR$8,Nutrients!$DR$9)*AN$7)+(((IF($A$8=Nutrients!$B$79,Nutrients!$DR$79,(IF($A$8=Nutrients!$B$77,Nutrients!$DR$77,Nutrients!$DR$78)))))*AN$8))/2000)</f>
        <v>0.18988432468136096</v>
      </c>
      <c r="AO259" s="23">
        <f>((SUMPRODUCT(AO$9:AO$229,Nutrients!$DR$8:$DR$228)+(IF($A$7=Nutrients!$B$8,Nutrients!$DR$8,Nutrients!$DR$9)*AO$7)+(((IF($A$8=Nutrients!$B$79,Nutrients!$DR$79,(IF($A$8=Nutrients!$B$77,Nutrients!$DR$77,Nutrients!$DR$78)))))*AO$8))/2000)</f>
        <v>0.18272986909517275</v>
      </c>
      <c r="AP259" s="23">
        <f>((SUMPRODUCT(AP$9:AP$229,Nutrients!$DR$8:$DR$228)+(IF($A$7=Nutrients!$B$8,Nutrients!$DR$8,Nutrients!$DR$9)*AP$7)+(((IF($A$8=Nutrients!$B$79,Nutrients!$DR$79,(IF($A$8=Nutrients!$B$77,Nutrients!$DR$77,Nutrients!$DR$78)))))*AP$8))/2000)</f>
        <v>0.14985099986346795</v>
      </c>
      <c r="AR259" s="23">
        <f>((SUMPRODUCT(AR$9:AR$229,Nutrients!$DR$8:$DR$228)+(IF($A$7=Nutrients!$B$8,Nutrients!$DR$8,Nutrients!$DR$9)*AR$7)+(((IF($A$8=Nutrients!$B$79,Nutrients!$DR$79,(IF($A$8=Nutrients!$B$77,Nutrients!$DR$77,Nutrients!$DR$78)))))*AR$8))/2000)</f>
        <v>0.29012369163179702</v>
      </c>
      <c r="AS259" s="23">
        <f>((SUMPRODUCT(AS$9:AS$229,Nutrients!$DR$8:$DR$228)+(IF($A$7=Nutrients!$B$8,Nutrients!$DR$8,Nutrients!$DR$9)*AS$7)+(((IF($A$8=Nutrients!$B$79,Nutrients!$DR$79,(IF($A$8=Nutrients!$B$77,Nutrients!$DR$77,Nutrients!$DR$78)))))*AS$8))/2000)</f>
        <v>0.25082898434559381</v>
      </c>
      <c r="AT259" s="23">
        <f>((SUMPRODUCT(AT$9:AT$229,Nutrients!$DR$8:$DR$228)+(IF($A$7=Nutrients!$B$8,Nutrients!$DR$8,Nutrients!$DR$9)*AT$7)+(((IF($A$8=Nutrients!$B$79,Nutrients!$DR$79,(IF($A$8=Nutrients!$B$77,Nutrients!$DR$77,Nutrients!$DR$78)))))*AT$8))/2000)</f>
        <v>0.21094622056853898</v>
      </c>
      <c r="AU259" s="23">
        <f>((SUMPRODUCT(AU$9:AU$229,Nutrients!$DR$8:$DR$228)+(IF($A$7=Nutrients!$B$8,Nutrients!$DR$8,Nutrients!$DR$9)*AU$7)+(((IF($A$8=Nutrients!$B$79,Nutrients!$DR$79,(IF($A$8=Nutrients!$B$77,Nutrients!$DR$77,Nutrients!$DR$78)))))*AU$8))/2000)</f>
        <v>0.20248488146998647</v>
      </c>
      <c r="AV259" s="23">
        <f>((SUMPRODUCT(AV$9:AV$229,Nutrients!$DR$8:$DR$228)+(IF($A$7=Nutrients!$B$8,Nutrients!$DR$8,Nutrients!$DR$9)*AV$7)+(((IF($A$8=Nutrients!$B$79,Nutrients!$DR$79,(IF($A$8=Nutrients!$B$77,Nutrients!$DR$77,Nutrients!$DR$78)))))*AV$8))/2000)</f>
        <v>0.1953302798325279</v>
      </c>
      <c r="AW259" s="23">
        <f>((SUMPRODUCT(AW$9:AW$229,Nutrients!$DR$8:$DR$228)+(IF($A$7=Nutrients!$B$8,Nutrients!$DR$8,Nutrients!$DR$9)*AW$7)+(((IF($A$8=Nutrients!$B$79,Nutrients!$DR$79,(IF($A$8=Nutrients!$B$77,Nutrients!$DR$77,Nutrients!$DR$78)))))*AW$8))/2000)</f>
        <v>0.14985099986346795</v>
      </c>
    </row>
    <row r="260" spans="1:59" x14ac:dyDescent="0.25">
      <c r="A260" s="431" t="s">
        <v>347</v>
      </c>
      <c r="B260" s="227">
        <f t="shared" ref="B260:G260" si="68">B259+0.11</f>
        <v>0.40000063647666451</v>
      </c>
      <c r="C260" s="227">
        <f t="shared" si="68"/>
        <v>0.35988069387487892</v>
      </c>
      <c r="D260" s="227">
        <f t="shared" si="68"/>
        <v>0.32060453785177029</v>
      </c>
      <c r="E260" s="227">
        <f t="shared" si="68"/>
        <v>0.29085065848336067</v>
      </c>
      <c r="F260" s="227">
        <f t="shared" si="68"/>
        <v>0.26971179439767601</v>
      </c>
      <c r="G260" s="227">
        <f t="shared" si="68"/>
        <v>0.25985099986346794</v>
      </c>
      <c r="H260" s="227"/>
      <c r="I260" s="232">
        <f t="shared" ref="I260:N260" si="69">I259+0.11</f>
        <v>0.40014809232506826</v>
      </c>
      <c r="J260" s="232">
        <f t="shared" si="69"/>
        <v>0.36085687289487001</v>
      </c>
      <c r="K260" s="232">
        <f t="shared" si="69"/>
        <v>0.32039974278228328</v>
      </c>
      <c r="L260" s="232">
        <f t="shared" si="69"/>
        <v>0.2912253489325991</v>
      </c>
      <c r="M260" s="232">
        <f t="shared" si="69"/>
        <v>0.27008645981230761</v>
      </c>
      <c r="N260" s="232">
        <f t="shared" si="69"/>
        <v>0.25985099986346794</v>
      </c>
      <c r="O260" s="238"/>
      <c r="P260" s="232">
        <f t="shared" ref="P260:U260" si="70">P259+0.11</f>
        <v>0.40052578331141758</v>
      </c>
      <c r="Q260" s="232">
        <f t="shared" si="70"/>
        <v>0.36123183005655535</v>
      </c>
      <c r="R260" s="232">
        <f t="shared" si="70"/>
        <v>0.32077188856544558</v>
      </c>
      <c r="S260" s="232">
        <f t="shared" si="70"/>
        <v>0.29159827429370366</v>
      </c>
      <c r="T260" s="232">
        <f t="shared" si="70"/>
        <v>0.27046115395472281</v>
      </c>
      <c r="U260" s="232">
        <f t="shared" si="70"/>
        <v>0.25985099986346794</v>
      </c>
      <c r="V260" s="382"/>
      <c r="W260" s="232">
        <f t="shared" ref="W260:AB260" si="71">W259+0.11</f>
        <v>0.39995668178300392</v>
      </c>
      <c r="X260" s="232">
        <f t="shared" si="71"/>
        <v>0.36065831986281893</v>
      </c>
      <c r="Y260" s="232">
        <f t="shared" si="71"/>
        <v>0.32019914611745426</v>
      </c>
      <c r="Z260" s="232">
        <f t="shared" si="71"/>
        <v>0.2910205630068694</v>
      </c>
      <c r="AA260" s="232">
        <f t="shared" si="71"/>
        <v>0.26987846247779868</v>
      </c>
      <c r="AB260" s="232">
        <f t="shared" si="71"/>
        <v>0.25985099986346794</v>
      </c>
      <c r="AC260" s="382"/>
      <c r="AD260" s="232">
        <f t="shared" ref="AD260:AI260" si="72">AD259+0.11</f>
        <v>0.39938338707198906</v>
      </c>
      <c r="AE260" s="232">
        <f t="shared" si="72"/>
        <v>0.36008677181643717</v>
      </c>
      <c r="AF260" s="232">
        <f t="shared" si="72"/>
        <v>0.3196214956684133</v>
      </c>
      <c r="AG260" s="232">
        <f t="shared" si="72"/>
        <v>0.29044036582387611</v>
      </c>
      <c r="AH260" s="232">
        <f t="shared" si="72"/>
        <v>0.28012944236266574</v>
      </c>
      <c r="AI260" s="232">
        <f t="shared" si="72"/>
        <v>0.25985099986346794</v>
      </c>
      <c r="AJ260" s="382"/>
      <c r="AK260" s="232">
        <f t="shared" ref="AK260:AP260" si="73">AK259+0.11</f>
        <v>0.39975631887698909</v>
      </c>
      <c r="AL260" s="232">
        <f t="shared" si="73"/>
        <v>0.3604582948037795</v>
      </c>
      <c r="AM260" s="232">
        <f t="shared" si="73"/>
        <v>0.31999508065995352</v>
      </c>
      <c r="AN260" s="232">
        <f t="shared" si="73"/>
        <v>0.29988432468136095</v>
      </c>
      <c r="AO260" s="232">
        <f t="shared" si="73"/>
        <v>0.29272986909517273</v>
      </c>
      <c r="AP260" s="232">
        <f t="shared" si="73"/>
        <v>0.25985099986346794</v>
      </c>
      <c r="AQ260" s="382"/>
      <c r="AR260" s="232">
        <f t="shared" ref="AR260:AW260" si="74">AR259+0.11</f>
        <v>0.40012369163179701</v>
      </c>
      <c r="AS260" s="232">
        <f t="shared" si="74"/>
        <v>0.3608289843455938</v>
      </c>
      <c r="AT260" s="232">
        <f t="shared" si="74"/>
        <v>0.320946220568539</v>
      </c>
      <c r="AU260" s="232">
        <f t="shared" si="74"/>
        <v>0.31248488146998649</v>
      </c>
      <c r="AV260" s="232">
        <f t="shared" si="74"/>
        <v>0.30533027983252792</v>
      </c>
      <c r="AW260" s="232">
        <f t="shared" si="74"/>
        <v>0.25985099986346794</v>
      </c>
      <c r="AX260" s="332"/>
    </row>
    <row r="261" spans="1:59" x14ac:dyDescent="0.25">
      <c r="A261" s="432" t="s">
        <v>142</v>
      </c>
      <c r="B261" s="227">
        <f t="shared" ref="B261:G261" si="75">B254/B255</f>
        <v>1.3203146685846132</v>
      </c>
      <c r="C261" s="227">
        <f t="shared" si="75"/>
        <v>1.3163186415313215</v>
      </c>
      <c r="D261" s="227">
        <f t="shared" si="75"/>
        <v>1.3468914379746515</v>
      </c>
      <c r="E261" s="227">
        <f t="shared" si="75"/>
        <v>1.3441772957085856</v>
      </c>
      <c r="F261" s="227">
        <f t="shared" si="75"/>
        <v>1.3289773113995034</v>
      </c>
      <c r="G261" s="227">
        <f t="shared" si="75"/>
        <v>1.3324500801018839</v>
      </c>
      <c r="H261" s="227"/>
      <c r="I261" s="232">
        <f t="shared" ref="I261:N261" si="76">I254/I255</f>
        <v>1.3223577442324317</v>
      </c>
      <c r="J261" s="232">
        <f t="shared" si="76"/>
        <v>1.3189699774114005</v>
      </c>
      <c r="K261" s="232">
        <f t="shared" si="76"/>
        <v>1.3490120255762561</v>
      </c>
      <c r="L261" s="232">
        <f t="shared" si="76"/>
        <v>1.3470498336475336</v>
      </c>
      <c r="M261" s="232">
        <f t="shared" si="76"/>
        <v>1.3333112816997457</v>
      </c>
      <c r="N261" s="232">
        <f t="shared" si="76"/>
        <v>1.3324500801018839</v>
      </c>
      <c r="O261" s="238"/>
      <c r="P261" s="232">
        <f t="shared" ref="P261:U261" si="77">P254/P255</f>
        <v>1.3243616088703729</v>
      </c>
      <c r="Q261" s="232">
        <f t="shared" si="77"/>
        <v>1.3216540367797553</v>
      </c>
      <c r="R261" s="232">
        <f t="shared" si="77"/>
        <v>1.3513927724029093</v>
      </c>
      <c r="S261" s="232">
        <f t="shared" si="77"/>
        <v>1.3496556897116012</v>
      </c>
      <c r="T261" s="232">
        <f t="shared" si="77"/>
        <v>1.3360952348809283</v>
      </c>
      <c r="U261" s="232">
        <f t="shared" si="77"/>
        <v>1.3324500801018839</v>
      </c>
      <c r="V261" s="382"/>
      <c r="W261" s="232">
        <f t="shared" ref="W261:AB261" si="78">W254/W255</f>
        <v>1.3272116046499811</v>
      </c>
      <c r="X261" s="232">
        <f t="shared" si="78"/>
        <v>1.3248410689069119</v>
      </c>
      <c r="Y261" s="232">
        <f t="shared" si="78"/>
        <v>1.3550397114866901</v>
      </c>
      <c r="Z261" s="232">
        <f t="shared" si="78"/>
        <v>1.3537155421548721</v>
      </c>
      <c r="AA261" s="232">
        <f t="shared" si="78"/>
        <v>1.3404915699116697</v>
      </c>
      <c r="AB261" s="232">
        <f t="shared" si="78"/>
        <v>1.3324500801018839</v>
      </c>
      <c r="AC261" s="382"/>
      <c r="AD261" s="232">
        <f t="shared" ref="AD261:AI261" si="79">AD254/AD255</f>
        <v>1.3301098810986212</v>
      </c>
      <c r="AE261" s="232">
        <f t="shared" si="79"/>
        <v>1.3280264793479952</v>
      </c>
      <c r="AF261" s="232">
        <f t="shared" si="79"/>
        <v>1.3587597870886361</v>
      </c>
      <c r="AG261" s="232">
        <f t="shared" si="79"/>
        <v>1.3591976769068608</v>
      </c>
      <c r="AH261" s="232">
        <f t="shared" si="79"/>
        <v>1.3500108555574402</v>
      </c>
      <c r="AI261" s="232">
        <f t="shared" si="79"/>
        <v>1.3324500801018839</v>
      </c>
      <c r="AJ261" s="382"/>
      <c r="AK261" s="232">
        <f t="shared" ref="AK261:AP261" si="80">AK254/AK255</f>
        <v>1.3320294469149694</v>
      </c>
      <c r="AL261" s="232">
        <f t="shared" si="80"/>
        <v>1.3301633688790153</v>
      </c>
      <c r="AM261" s="232">
        <f t="shared" si="80"/>
        <v>1.3611438508122751</v>
      </c>
      <c r="AN261" s="232">
        <f t="shared" si="80"/>
        <v>1.3644897644887017</v>
      </c>
      <c r="AO261" s="232">
        <f t="shared" si="80"/>
        <v>1.3617621236471467</v>
      </c>
      <c r="AP261" s="232">
        <f t="shared" si="80"/>
        <v>1.3324500801018839</v>
      </c>
      <c r="AQ261" s="382"/>
      <c r="AR261" s="232">
        <f t="shared" ref="AR261:AW261" si="81">AR254/AR255</f>
        <v>1.3339968766946273</v>
      </c>
      <c r="AS261" s="232">
        <f t="shared" si="81"/>
        <v>1.3323094940796329</v>
      </c>
      <c r="AT261" s="232">
        <f t="shared" si="81"/>
        <v>1.3641526037019485</v>
      </c>
      <c r="AU261" s="232">
        <f t="shared" si="81"/>
        <v>1.3755424908517067</v>
      </c>
      <c r="AV261" s="232">
        <f t="shared" si="81"/>
        <v>1.3727171726466441</v>
      </c>
      <c r="AW261" s="232">
        <f t="shared" si="81"/>
        <v>1.3324500801018839</v>
      </c>
      <c r="AX261" s="332"/>
    </row>
    <row r="262" spans="1:59" x14ac:dyDescent="0.25">
      <c r="A262" s="432" t="s">
        <v>477</v>
      </c>
      <c r="B262" s="227">
        <f t="shared" ref="B262:G262" si="82">B254/B260</f>
        <v>1.7394731864174733</v>
      </c>
      <c r="C262" s="227">
        <f t="shared" si="82"/>
        <v>1.7393882664224269</v>
      </c>
      <c r="D262" s="227">
        <f t="shared" si="82"/>
        <v>1.790040346909656</v>
      </c>
      <c r="E262" s="227">
        <f t="shared" si="82"/>
        <v>1.7897511861126985</v>
      </c>
      <c r="F262" s="227">
        <f t="shared" si="82"/>
        <v>1.7685135744736544</v>
      </c>
      <c r="G262" s="227">
        <f t="shared" si="82"/>
        <v>1.770331325323067</v>
      </c>
      <c r="H262" s="227"/>
      <c r="I262" s="232">
        <f t="shared" ref="I262:N262" si="83">I254/I260</f>
        <v>1.7402281569503373</v>
      </c>
      <c r="J262" s="232">
        <f t="shared" si="83"/>
        <v>1.7400922212664098</v>
      </c>
      <c r="K262" s="232">
        <f t="shared" si="83"/>
        <v>1.7906273939297856</v>
      </c>
      <c r="L262" s="232">
        <f t="shared" si="83"/>
        <v>1.7905488064720849</v>
      </c>
      <c r="M262" s="232">
        <f t="shared" si="83"/>
        <v>1.7710524717081941</v>
      </c>
      <c r="N262" s="232">
        <f t="shared" si="83"/>
        <v>1.770331325323067</v>
      </c>
      <c r="O262" s="238"/>
      <c r="P262" s="232">
        <f>P254/P260</f>
        <v>1.7407396745307142</v>
      </c>
      <c r="Q262" s="232">
        <f t="shared" ref="Q262:U262" si="84">Q254/Q260</f>
        <v>1.7412577416035535</v>
      </c>
      <c r="R262" s="232">
        <f t="shared" si="84"/>
        <v>1.791015904559168</v>
      </c>
      <c r="S262" s="232">
        <f t="shared" si="84"/>
        <v>1.7909713682258248</v>
      </c>
      <c r="T262" s="232">
        <f t="shared" si="84"/>
        <v>1.7715230356345777</v>
      </c>
      <c r="U262" s="232">
        <f t="shared" si="84"/>
        <v>1.770331325323067</v>
      </c>
      <c r="V262" s="382"/>
      <c r="W262" s="232">
        <f t="shared" ref="W262:AB262" si="85">W254/W260</f>
        <v>1.7429430694914569</v>
      </c>
      <c r="X262" s="232">
        <f t="shared" si="85"/>
        <v>1.7437239291592328</v>
      </c>
      <c r="Y262" s="232">
        <f t="shared" si="85"/>
        <v>1.7938784200875411</v>
      </c>
      <c r="Z262" s="232">
        <f t="shared" si="85"/>
        <v>1.794152219803542</v>
      </c>
      <c r="AA262" s="232">
        <f t="shared" si="85"/>
        <v>1.7749450405490406</v>
      </c>
      <c r="AB262" s="232">
        <f t="shared" si="85"/>
        <v>1.770331325323067</v>
      </c>
      <c r="AC262" s="382"/>
      <c r="AD262" s="232">
        <f t="shared" ref="AD262:AI262" si="86">AD254/AD260</f>
        <v>1.7451715833908215</v>
      </c>
      <c r="AE262" s="232">
        <f t="shared" si="86"/>
        <v>1.7461881890561919</v>
      </c>
      <c r="AF262" s="232">
        <f t="shared" si="86"/>
        <v>1.7967795407417382</v>
      </c>
      <c r="AG262" s="232">
        <f t="shared" si="86"/>
        <v>1.7991724896320795</v>
      </c>
      <c r="AH262" s="232">
        <f t="shared" si="86"/>
        <v>1.7743717763594851</v>
      </c>
      <c r="AI262" s="232">
        <f t="shared" si="86"/>
        <v>1.770331325323067</v>
      </c>
      <c r="AJ262" s="382"/>
      <c r="AK262" s="232">
        <f t="shared" ref="AK262:AP262" si="87">AK254/AK260</f>
        <v>1.7455221195196597</v>
      </c>
      <c r="AL262" s="232">
        <f t="shared" si="87"/>
        <v>1.7465829069365384</v>
      </c>
      <c r="AM262" s="232">
        <f t="shared" si="87"/>
        <v>1.7971535370877374</v>
      </c>
      <c r="AN262" s="232">
        <f t="shared" si="87"/>
        <v>1.7945714837565727</v>
      </c>
      <c r="AO262" s="232">
        <f t="shared" si="87"/>
        <v>1.7753550444944202</v>
      </c>
      <c r="AP262" s="232">
        <f t="shared" si="87"/>
        <v>1.770331325323067</v>
      </c>
      <c r="AQ262" s="382"/>
      <c r="AR262" s="232">
        <f t="shared" ref="AR262:AW262" si="88">AR254/AR260</f>
        <v>1.7458969422643476</v>
      </c>
      <c r="AS262" s="232">
        <f t="shared" si="88"/>
        <v>1.7469809608936568</v>
      </c>
      <c r="AT262" s="232">
        <f t="shared" si="88"/>
        <v>1.7977644105679353</v>
      </c>
      <c r="AU262" s="232">
        <f t="shared" si="88"/>
        <v>1.7953773492557348</v>
      </c>
      <c r="AV262" s="232">
        <f t="shared" si="88"/>
        <v>1.7762622219561162</v>
      </c>
      <c r="AW262" s="232">
        <f t="shared" si="88"/>
        <v>1.770331325323067</v>
      </c>
      <c r="AX262" s="332"/>
    </row>
    <row r="263" spans="1:59" x14ac:dyDescent="0.25">
      <c r="A263" t="s">
        <v>20</v>
      </c>
      <c r="B263" s="229">
        <f>(SUMPRODUCT(B$9:B$229,Nutrients!$DX$8:$DX$228)+(IF($A$7=Nutrients!$B$8,Nutrients!$DX$8,Nutrients!$DX$9)*B$7)+(((IF($A$8=Nutrients!$B$79,Nutrients!$DX$79,(IF($A$8=Nutrients!$B$77,Nutrients!$DX$77,Nutrients!$DX$78)))))*B$8))</f>
        <v>221.26773173804173</v>
      </c>
      <c r="C263" s="229">
        <f>(SUMPRODUCT(C$9:C$229,Nutrients!$DX$8:$DX$228)+(IF($A$7=Nutrients!$B$8,Nutrients!$DX$8,Nutrients!$DX$9)*C$7)+(((IF($A$8=Nutrients!$B$79,Nutrients!$DX$79,(IF($A$8=Nutrients!$B$77,Nutrients!$DX$77,Nutrients!$DX$78)))))*C$8))</f>
        <v>211.54330280629557</v>
      </c>
      <c r="D263" s="229">
        <f>(SUMPRODUCT(D$9:D$229,Nutrients!$DX$8:$DX$228)+(IF($A$7=Nutrients!$B$8,Nutrients!$DX$8,Nutrients!$DX$9)*D$7)+(((IF($A$8=Nutrients!$B$79,Nutrients!$DX$79,(IF($A$8=Nutrients!$B$77,Nutrients!$DX$77,Nutrients!$DX$78)))))*D$8))</f>
        <v>202.16843206547495</v>
      </c>
      <c r="E263" s="229">
        <f>(SUMPRODUCT(E$9:E$229,Nutrients!$DX$8:$DX$228)+(IF($A$7=Nutrients!$B$8,Nutrients!$DX$8,Nutrients!$DX$9)*E$7)+(((IF($A$8=Nutrients!$B$79,Nutrients!$DX$79,(IF($A$8=Nutrients!$B$77,Nutrients!$DX$77,Nutrients!$DX$78)))))*E$8))</f>
        <v>195.22426532952818</v>
      </c>
      <c r="F263" s="229">
        <f>(SUMPRODUCT(F$9:F$229,Nutrients!$DX$8:$DX$228)+(IF($A$7=Nutrients!$B$8,Nutrients!$DX$8,Nutrients!$DX$9)*F$7)+(((IF($A$8=Nutrients!$B$79,Nutrients!$DX$79,(IF($A$8=Nutrients!$B$77,Nutrients!$DX$77,Nutrients!$DX$78)))))*F$8))</f>
        <v>190.24981497998971</v>
      </c>
      <c r="G263" s="229">
        <f>(SUMPRODUCT(G$9:G$229,Nutrients!$DX$8:$DX$228)+(IF($A$7=Nutrients!$B$8,Nutrients!$DX$8,Nutrients!$DX$9)*G$7)+(((IF($A$8=Nutrients!$B$79,Nutrients!$DX$79,(IF($A$8=Nutrients!$B$77,Nutrients!$DX$77,Nutrients!$DX$78)))))*G$8))</f>
        <v>187.92809138061614</v>
      </c>
      <c r="H263" s="229"/>
      <c r="I263" s="229">
        <f>(SUMPRODUCT(I$9:I$229,Nutrients!$DX$8:$DX$228)+(IF($A$7=Nutrients!$B$8,Nutrients!$DX$8,Nutrients!$DX$9)*I$7)+(((IF($A$8=Nutrients!$B$79,Nutrients!$DX$79,(IF($A$8=Nutrients!$B$77,Nutrients!$DX$77,Nutrients!$DX$78)))))*I$8))</f>
        <v>222.98298841495034</v>
      </c>
      <c r="J263" s="229">
        <f>(SUMPRODUCT(J$9:J$229,Nutrients!$DX$8:$DX$228)+(IF($A$7=Nutrients!$B$8,Nutrients!$DX$8,Nutrients!$DX$9)*J$7)+(((IF($A$8=Nutrients!$B$79,Nutrients!$DX$79,(IF($A$8=Nutrients!$B$77,Nutrients!$DX$77,Nutrients!$DX$78)))))*J$8))</f>
        <v>213.40886111904834</v>
      </c>
      <c r="K263" s="229">
        <f>(SUMPRODUCT(K$9:K$229,Nutrients!$DX$8:$DX$228)+(IF($A$7=Nutrients!$B$8,Nutrients!$DX$8,Nutrients!$DX$9)*K$7)+(((IF($A$8=Nutrients!$B$79,Nutrients!$DX$79,(IF($A$8=Nutrients!$B$77,Nutrients!$DX$77,Nutrients!$DX$78)))))*K$8))</f>
        <v>204.14329773141259</v>
      </c>
      <c r="L263" s="229">
        <f>(SUMPRODUCT(L$9:L$229,Nutrients!$DX$8:$DX$228)+(IF($A$7=Nutrients!$B$8,Nutrients!$DX$8,Nutrients!$DX$9)*L$7)+(((IF($A$8=Nutrients!$B$79,Nutrients!$DX$79,(IF($A$8=Nutrients!$B$77,Nutrients!$DX$77,Nutrients!$DX$78)))))*L$8))</f>
        <v>197.14946765440774</v>
      </c>
      <c r="M263" s="229">
        <f>(SUMPRODUCT(M$9:M$229,Nutrients!$DX$8:$DX$228)+(IF($A$7=Nutrients!$B$8,Nutrients!$DX$8,Nutrients!$DX$9)*M$7)+(((IF($A$8=Nutrients!$B$79,Nutrients!$DX$79,(IF($A$8=Nutrients!$B$77,Nutrients!$DX$77,Nutrients!$DX$78)))))*M$8))</f>
        <v>192.10045605409829</v>
      </c>
      <c r="N263" s="229">
        <f>(SUMPRODUCT(N$9:N$229,Nutrients!$DX$8:$DX$228)+(IF($A$7=Nutrients!$B$8,Nutrients!$DX$8,Nutrients!$DX$9)*N$7)+(((IF($A$8=Nutrients!$B$79,Nutrients!$DX$79,(IF($A$8=Nutrients!$B$77,Nutrients!$DX$77,Nutrients!$DX$78)))))*N$8))</f>
        <v>187.92809138061614</v>
      </c>
      <c r="O263" s="236"/>
      <c r="P263" s="229">
        <f>(SUMPRODUCT(P$9:P$229,Nutrients!$DX$8:$DX$228)+(IF($A$7=Nutrients!$B$8,Nutrients!$DX$8,Nutrients!$DX$9)*P$7)+(((IF($A$8=Nutrients!$B$79,Nutrients!$DX$79,(IF($A$8=Nutrients!$B$77,Nutrients!$DX$77,Nutrients!$DX$78)))))*P$8))</f>
        <v>224.84626453349327</v>
      </c>
      <c r="Q263" s="229">
        <f>(SUMPRODUCT(Q$9:Q$229,Nutrients!$DX$8:$DX$228)+(IF($A$7=Nutrients!$B$8,Nutrients!$DX$8,Nutrients!$DX$9)*Q$7)+(((IF($A$8=Nutrients!$B$79,Nutrients!$DX$79,(IF($A$8=Nutrients!$B$77,Nutrients!$DX$77,Nutrients!$DX$78)))))*Q$8))</f>
        <v>215.35260787079329</v>
      </c>
      <c r="R263" s="229">
        <f>(SUMPRODUCT(R$9:R$229,Nutrients!$DX$8:$DX$228)+(IF($A$7=Nutrients!$B$8,Nutrients!$DX$8,Nutrients!$DX$9)*R$7)+(((IF($A$8=Nutrients!$B$79,Nutrients!$DX$79,(IF($A$8=Nutrients!$B$77,Nutrients!$DX$77,Nutrients!$DX$78)))))*R$8))</f>
        <v>206.17290590790762</v>
      </c>
      <c r="S263" s="229">
        <f>(SUMPRODUCT(S$9:S$229,Nutrients!$DX$8:$DX$228)+(IF($A$7=Nutrients!$B$8,Nutrients!$DX$8,Nutrients!$DX$9)*S$7)+(((IF($A$8=Nutrients!$B$79,Nutrients!$DX$79,(IF($A$8=Nutrients!$B$77,Nutrients!$DX$77,Nutrients!$DX$78)))))*S$8))</f>
        <v>199.19797255248346</v>
      </c>
      <c r="T263" s="229">
        <f>(SUMPRODUCT(T$9:T$229,Nutrients!$DX$8:$DX$228)+(IF($A$7=Nutrients!$B$8,Nutrients!$DX$8,Nutrients!$DX$9)*T$7)+(((IF($A$8=Nutrients!$B$79,Nutrients!$DX$79,(IF($A$8=Nutrients!$B$77,Nutrients!$DX$77,Nutrients!$DX$78)))))*T$8))</f>
        <v>194.0515106615627</v>
      </c>
      <c r="U263" s="229">
        <f>(SUMPRODUCT(U$9:U$229,Nutrients!$DX$8:$DX$228)+(IF($A$7=Nutrients!$B$8,Nutrients!$DX$8,Nutrients!$DX$9)*U$7)+(((IF($A$8=Nutrients!$B$79,Nutrients!$DX$79,(IF($A$8=Nutrients!$B$77,Nutrients!$DX$77,Nutrients!$DX$78)))))*U$8))</f>
        <v>187.92809138061614</v>
      </c>
      <c r="W263" s="229">
        <f>(SUMPRODUCT(W$9:W$229,Nutrients!$DX$8:$DX$228)+(IF($A$7=Nutrients!$B$8,Nutrients!$DX$8,Nutrients!$DX$9)*W$7)+(((IF($A$8=Nutrients!$B$79,Nutrients!$DX$79,(IF($A$8=Nutrients!$B$77,Nutrients!$DX$77,Nutrients!$DX$78)))))*W$8))</f>
        <v>226.68237325563888</v>
      </c>
      <c r="X263" s="229">
        <f>(SUMPRODUCT(X$9:X$229,Nutrients!$DX$8:$DX$228)+(IF($A$7=Nutrients!$B$8,Nutrients!$DX$8,Nutrients!$DX$9)*X$7)+(((IF($A$8=Nutrients!$B$79,Nutrients!$DX$79,(IF($A$8=Nutrients!$B$77,Nutrients!$DX$77,Nutrients!$DX$78)))))*X$8))</f>
        <v>217.34035854218695</v>
      </c>
      <c r="Y263" s="229">
        <f>(SUMPRODUCT(Y$9:Y$229,Nutrients!$DX$8:$DX$228)+(IF($A$7=Nutrients!$B$8,Nutrients!$DX$8,Nutrients!$DX$9)*Y$7)+(((IF($A$8=Nutrients!$B$79,Nutrients!$DX$79,(IF($A$8=Nutrients!$B$77,Nutrients!$DX$77,Nutrients!$DX$78)))))*Y$8))</f>
        <v>208.18429007658008</v>
      </c>
      <c r="Z263" s="229">
        <f>(SUMPRODUCT(Z$9:Z$229,Nutrients!$DX$8:$DX$228)+(IF($A$7=Nutrients!$B$8,Nutrients!$DX$8,Nutrients!$DX$9)*Z$7)+(((IF($A$8=Nutrients!$B$79,Nutrients!$DX$79,(IF($A$8=Nutrients!$B$77,Nutrients!$DX$77,Nutrients!$DX$78)))))*Z$8))</f>
        <v>201.38333503514014</v>
      </c>
      <c r="AA263" s="229">
        <f>(SUMPRODUCT(AA$9:AA$229,Nutrients!$DX$8:$DX$228)+(IF($A$7=Nutrients!$B$8,Nutrients!$DX$8,Nutrients!$DX$9)*AA$7)+(((IF($A$8=Nutrients!$B$79,Nutrients!$DX$79,(IF($A$8=Nutrients!$B$77,Nutrients!$DX$77,Nutrients!$DX$78)))))*AA$8))</f>
        <v>196.45354630646318</v>
      </c>
      <c r="AB263" s="229">
        <f>(SUMPRODUCT(AB$9:AB$229,Nutrients!$DX$8:$DX$228)+(IF($A$7=Nutrients!$B$8,Nutrients!$DX$8,Nutrients!$DX$9)*AB$7)+(((IF($A$8=Nutrients!$B$79,Nutrients!$DX$79,(IF($A$8=Nutrients!$B$77,Nutrients!$DX$77,Nutrients!$DX$78)))))*AB$8))</f>
        <v>187.92809138061614</v>
      </c>
      <c r="AD263" s="229">
        <f>(SUMPRODUCT(AD$9:AD$229,Nutrients!$DX$8:$DX$228)+(IF($A$7=Nutrients!$B$8,Nutrients!$DX$8,Nutrients!$DX$9)*AD$7)+(((IF($A$8=Nutrients!$B$79,Nutrients!$DX$79,(IF($A$8=Nutrients!$B$77,Nutrients!$DX$77,Nutrients!$DX$78)))))*AD$8))</f>
        <v>228.62650434431652</v>
      </c>
      <c r="AE263" s="229">
        <f>(SUMPRODUCT(AE$9:AE$229,Nutrients!$DX$8:$DX$228)+(IF($A$7=Nutrients!$B$8,Nutrients!$DX$8,Nutrients!$DX$9)*AE$7)+(((IF($A$8=Nutrients!$B$79,Nutrients!$DX$79,(IF($A$8=Nutrients!$B$77,Nutrients!$DX$77,Nutrients!$DX$78)))))*AE$8))</f>
        <v>219.24641855773618</v>
      </c>
      <c r="AF263" s="229">
        <f>(SUMPRODUCT(AF$9:AF$229,Nutrients!$DX$8:$DX$228)+(IF($A$7=Nutrients!$B$8,Nutrients!$DX$8,Nutrients!$DX$9)*AF$7)+(((IF($A$8=Nutrients!$B$79,Nutrients!$DX$79,(IF($A$8=Nutrients!$B$77,Nutrients!$DX$77,Nutrients!$DX$78)))))*AF$8))</f>
        <v>210.36908240184468</v>
      </c>
      <c r="AG263" s="229">
        <f>(SUMPRODUCT(AG$9:AG$229,Nutrients!$DX$8:$DX$228)+(IF($A$7=Nutrients!$B$8,Nutrients!$DX$8,Nutrients!$DX$9)*AG$7)+(((IF($A$8=Nutrients!$B$79,Nutrients!$DX$79,(IF($A$8=Nutrients!$B$77,Nutrients!$DX$77,Nutrients!$DX$78)))))*AG$8))</f>
        <v>203.64004596167302</v>
      </c>
      <c r="AH263" s="229">
        <f>(SUMPRODUCT(AH$9:AH$229,Nutrients!$DX$8:$DX$228)+(IF($A$7=Nutrients!$B$8,Nutrients!$DX$8,Nutrients!$DX$9)*AH$7)+(((IF($A$8=Nutrients!$B$79,Nutrients!$DX$79,(IF($A$8=Nutrients!$B$77,Nutrients!$DX$77,Nutrients!$DX$78)))))*AH$8))</f>
        <v>199.39956894727004</v>
      </c>
      <c r="AI263" s="229">
        <f>(SUMPRODUCT(AI$9:AI$229,Nutrients!$DX$8:$DX$228)+(IF($A$7=Nutrients!$B$8,Nutrients!$DX$8,Nutrients!$DX$9)*AI$7)+(((IF($A$8=Nutrients!$B$79,Nutrients!$DX$79,(IF($A$8=Nutrients!$B$77,Nutrients!$DX$77,Nutrients!$DX$78)))))*AI$8))</f>
        <v>187.92809138061614</v>
      </c>
      <c r="AK263" s="229">
        <f>(SUMPRODUCT(AK$9:AK$229,Nutrients!$DX$8:$DX$228)+(IF($A$7=Nutrients!$B$8,Nutrients!$DX$8,Nutrients!$DX$9)*AK$7)+(((IF($A$8=Nutrients!$B$79,Nutrients!$DX$79,(IF($A$8=Nutrients!$B$77,Nutrients!$DX$77,Nutrients!$DX$78)))))*AK$8))</f>
        <v>230.61023122079018</v>
      </c>
      <c r="AL263" s="229">
        <f>(SUMPRODUCT(AL$9:AL$229,Nutrients!$DX$8:$DX$228)+(IF($A$7=Nutrients!$B$8,Nutrients!$DX$8,Nutrients!$DX$9)*AL$7)+(((IF($A$8=Nutrients!$B$79,Nutrients!$DX$79,(IF($A$8=Nutrients!$B$77,Nutrients!$DX$77,Nutrients!$DX$78)))))*AL$8))</f>
        <v>221.28480281930928</v>
      </c>
      <c r="AM263" s="229">
        <f>(SUMPRODUCT(AM$9:AM$229,Nutrients!$DX$8:$DX$228)+(IF($A$7=Nutrients!$B$8,Nutrients!$DX$8,Nutrients!$DX$9)*AM$7)+(((IF($A$8=Nutrients!$B$79,Nutrients!$DX$79,(IF($A$8=Nutrients!$B$77,Nutrients!$DX$77,Nutrients!$DX$78)))))*AM$8))</f>
        <v>212.41476612880837</v>
      </c>
      <c r="AN263" s="229">
        <f>(SUMPRODUCT(AN$9:AN$229,Nutrients!$DX$8:$DX$228)+(IF($A$7=Nutrients!$B$8,Nutrients!$DX$8,Nutrients!$DX$9)*AN$7)+(((IF($A$8=Nutrients!$B$79,Nutrients!$DX$79,(IF($A$8=Nutrients!$B$77,Nutrients!$DX$77,Nutrients!$DX$78)))))*AN$8))</f>
        <v>206.50844110970621</v>
      </c>
      <c r="AO263" s="229">
        <f>(SUMPRODUCT(AO$9:AO$229,Nutrients!$DX$8:$DX$228)+(IF($A$7=Nutrients!$B$8,Nutrients!$DX$8,Nutrients!$DX$9)*AO$7)+(((IF($A$8=Nutrients!$B$79,Nutrients!$DX$79,(IF($A$8=Nutrients!$B$77,Nutrients!$DX$77,Nutrients!$DX$78)))))*AO$8))</f>
        <v>202.49535190626858</v>
      </c>
      <c r="AP263" s="229">
        <f>(SUMPRODUCT(AP$9:AP$229,Nutrients!$DX$8:$DX$228)+(IF($A$7=Nutrients!$B$8,Nutrients!$DX$8,Nutrients!$DX$9)*AP$7)+(((IF($A$8=Nutrients!$B$79,Nutrients!$DX$79,(IF($A$8=Nutrients!$B$77,Nutrients!$DX$77,Nutrients!$DX$78)))))*AP$8))</f>
        <v>187.92809138061614</v>
      </c>
      <c r="AR263" s="229">
        <f>(SUMPRODUCT(AR$9:AR$229,Nutrients!$DX$8:$DX$228)+(IF($A$7=Nutrients!$B$8,Nutrients!$DX$8,Nutrients!$DX$9)*AR$7)+(((IF($A$8=Nutrients!$B$79,Nutrients!$DX$79,(IF($A$8=Nutrients!$B$77,Nutrients!$DX$77,Nutrients!$DX$78)))))*AR$8))</f>
        <v>232.668799124987</v>
      </c>
      <c r="AS263" s="229">
        <f>(SUMPRODUCT(AS$9:AS$229,Nutrients!$DX$8:$DX$228)+(IF($A$7=Nutrients!$B$8,Nutrients!$DX$8,Nutrients!$DX$9)*AS$7)+(((IF($A$8=Nutrients!$B$79,Nutrients!$DX$79,(IF($A$8=Nutrients!$B$77,Nutrients!$DX$77,Nutrients!$DX$78)))))*AS$8))</f>
        <v>223.4250681462434</v>
      </c>
      <c r="AT263" s="229">
        <f>(SUMPRODUCT(AT$9:AT$229,Nutrients!$DX$8:$DX$228)+(IF($A$7=Nutrients!$B$8,Nutrients!$DX$8,Nutrients!$DX$9)*AT$7)+(((IF($A$8=Nutrients!$B$79,Nutrients!$DX$79,(IF($A$8=Nutrients!$B$77,Nutrients!$DX$77,Nutrients!$DX$78)))))*AT$8))</f>
        <v>214.86073951707016</v>
      </c>
      <c r="AU263" s="229">
        <f>(SUMPRODUCT(AU$9:AU$229,Nutrients!$DX$8:$DX$228)+(IF($A$7=Nutrients!$B$8,Nutrients!$DX$8,Nutrients!$DX$9)*AU$7)+(((IF($A$8=Nutrients!$B$79,Nutrients!$DX$79,(IF($A$8=Nutrients!$B$77,Nutrients!$DX$77,Nutrients!$DX$78)))))*AU$8))</f>
        <v>209.5989540111882</v>
      </c>
      <c r="AV263" s="229">
        <f>(SUMPRODUCT(AV$9:AV$229,Nutrients!$DX$8:$DX$228)+(IF($A$7=Nutrients!$B$8,Nutrients!$DX$8,Nutrients!$DX$9)*AV$7)+(((IF($A$8=Nutrients!$B$79,Nutrients!$DX$79,(IF($A$8=Nutrients!$B$77,Nutrients!$DX$77,Nutrients!$DX$78)))))*AV$8))</f>
        <v>205.59125667011466</v>
      </c>
      <c r="AW263" s="229">
        <f>(SUMPRODUCT(AW$9:AW$229,Nutrients!$DX$8:$DX$228)+(IF($A$7=Nutrients!$B$8,Nutrients!$DX$8,Nutrients!$DX$9)*AW$7)+(((IF($A$8=Nutrients!$B$79,Nutrients!$DX$79,(IF($A$8=Nutrients!$B$77,Nutrients!$DX$77,Nutrients!$DX$78)))))*AW$8))</f>
        <v>187.92809138061614</v>
      </c>
    </row>
    <row r="264" spans="1:59" x14ac:dyDescent="0.25">
      <c r="A264" t="s">
        <v>21</v>
      </c>
      <c r="B264" s="25">
        <f>IF(B$5="","",B263+Nutrients!$DV$5)</f>
        <v>233.26773173804173</v>
      </c>
      <c r="C264" s="25">
        <f>IF(C$5="","",C263+Nutrients!$DV$5)</f>
        <v>223.54330280629557</v>
      </c>
      <c r="D264" s="25">
        <f>IF(D$5="","",D263+Nutrients!$DV$5)</f>
        <v>214.16843206547495</v>
      </c>
      <c r="E264" s="25">
        <f>IF(E$5="","",E263+Nutrients!$DV$5)</f>
        <v>207.22426532952818</v>
      </c>
      <c r="F264" s="25">
        <f>IF(F$5="","",F263+Nutrients!$DV$5)</f>
        <v>202.24981497998971</v>
      </c>
      <c r="G264" s="25">
        <f>IF(G$5="","",G263+Nutrients!$DV$5)</f>
        <v>199.92809138061614</v>
      </c>
      <c r="H264" s="230"/>
      <c r="I264" s="25">
        <f>IF(I$5="","",I263+Nutrients!$DV$5)</f>
        <v>234.98298841495034</v>
      </c>
      <c r="J264" s="25">
        <f>IF(J$5="","",J263+Nutrients!$DV$5)</f>
        <v>225.40886111904834</v>
      </c>
      <c r="K264" s="25">
        <f>IF(K$5="","",K263+Nutrients!$DV$5)</f>
        <v>216.14329773141259</v>
      </c>
      <c r="L264" s="25">
        <f>IF(L$5="","",L263+Nutrients!$DV$5)</f>
        <v>209.14946765440774</v>
      </c>
      <c r="M264" s="25">
        <f>IF(M$5="","",M263+Nutrients!$DV$5)</f>
        <v>204.10045605409829</v>
      </c>
      <c r="N264" s="25">
        <f>IF(N$5="","",N263+Nutrients!$DV$5)</f>
        <v>199.92809138061614</v>
      </c>
      <c r="O264" s="199"/>
      <c r="P264" s="25">
        <f>IF(P$5="","",P263+Nutrients!$DV$5)</f>
        <v>236.84626453349327</v>
      </c>
      <c r="Q264" s="25">
        <f>IF(Q$5="","",Q263+Nutrients!$DV$5)</f>
        <v>227.35260787079329</v>
      </c>
      <c r="R264" s="25">
        <f>IF(R$5="","",R263+Nutrients!$DV$5)</f>
        <v>218.17290590790762</v>
      </c>
      <c r="S264" s="25">
        <f>IF(S$5="","",S263+Nutrients!$DV$5)</f>
        <v>211.19797255248346</v>
      </c>
      <c r="T264" s="25">
        <f>IF(T$5="","",T263+Nutrients!$DV$5)</f>
        <v>206.0515106615627</v>
      </c>
      <c r="U264" s="25">
        <f>IF(U$5="","",U263+Nutrients!$DV$5)</f>
        <v>199.92809138061614</v>
      </c>
      <c r="W264" s="25">
        <f>IF(W$5="","",W263+Nutrients!$DV$5)</f>
        <v>238.68237325563888</v>
      </c>
      <c r="X264" s="25">
        <f>IF(X$5="","",X263+Nutrients!$DV$5)</f>
        <v>229.34035854218695</v>
      </c>
      <c r="Y264" s="25">
        <f>IF(Y$5="","",Y263+Nutrients!$DV$5)</f>
        <v>220.18429007658008</v>
      </c>
      <c r="Z264" s="25">
        <f>IF(Z$5="","",Z263+Nutrients!$DV$5)</f>
        <v>213.38333503514014</v>
      </c>
      <c r="AA264" s="25">
        <f>IF(AA$5="","",AA263+Nutrients!$DV$5)</f>
        <v>208.45354630646318</v>
      </c>
      <c r="AB264" s="25">
        <f>IF(AB$5="","",AB263+Nutrients!$DV$5)</f>
        <v>199.92809138061614</v>
      </c>
      <c r="AD264" s="25">
        <f>IF(AD$5="","",AD263+Nutrients!$DV$5)</f>
        <v>240.62650434431652</v>
      </c>
      <c r="AE264" s="25">
        <f>IF(AE$5="","",AE263+Nutrients!$DV$5)</f>
        <v>231.24641855773618</v>
      </c>
      <c r="AF264" s="25">
        <f>IF(AF$5="","",AF263+Nutrients!$DV$5)</f>
        <v>222.36908240184468</v>
      </c>
      <c r="AG264" s="25">
        <f>IF(AG$5="","",AG263+Nutrients!$DV$5)</f>
        <v>215.64004596167302</v>
      </c>
      <c r="AH264" s="25">
        <f>IF(AH$5="","",AH263+Nutrients!$DV$5)</f>
        <v>211.39956894727004</v>
      </c>
      <c r="AI264" s="25">
        <f>IF(AI$5="","",AI263+Nutrients!$DV$5)</f>
        <v>199.92809138061614</v>
      </c>
      <c r="AK264" s="25">
        <f>IF(AK$5="","",AK263+Nutrients!$DV$5)</f>
        <v>242.61023122079018</v>
      </c>
      <c r="AL264" s="25">
        <f>IF(AL$5="","",AL263+Nutrients!$DV$5)</f>
        <v>233.28480281930928</v>
      </c>
      <c r="AM264" s="25">
        <f>IF(AM$5="","",AM263+Nutrients!$DV$5)</f>
        <v>224.41476612880837</v>
      </c>
      <c r="AN264" s="25">
        <f>IF(AN$5="","",AN263+Nutrients!$DV$5)</f>
        <v>218.50844110970621</v>
      </c>
      <c r="AO264" s="25">
        <f>IF(AO$5="","",AO263+Nutrients!$DV$5)</f>
        <v>214.49535190626858</v>
      </c>
      <c r="AP264" s="25">
        <f>IF(AP$5="","",AP263+Nutrients!$DV$5)</f>
        <v>199.92809138061614</v>
      </c>
      <c r="AR264" s="25">
        <f>IF(AR$5="","",AR263+Nutrients!$DV$5)</f>
        <v>244.668799124987</v>
      </c>
      <c r="AS264" s="25">
        <f>IF(AS$5="","",AS263+Nutrients!$DV$5)</f>
        <v>235.4250681462434</v>
      </c>
      <c r="AT264" s="25">
        <f>IF(AT$5="","",AT263+Nutrients!$DV$5)</f>
        <v>226.86073951707016</v>
      </c>
      <c r="AU264" s="25">
        <f>IF(AU$5="","",AU263+Nutrients!$DV$5)</f>
        <v>221.5989540111882</v>
      </c>
      <c r="AV264" s="25">
        <f>IF(AV$5="","",AV263+Nutrients!$DV$5)</f>
        <v>217.59125667011466</v>
      </c>
      <c r="AW264" s="25">
        <f>IF(AW$5="","",AW263+Nutrients!$DV$5)</f>
        <v>199.92809138061614</v>
      </c>
    </row>
    <row r="265" spans="1:59" x14ac:dyDescent="0.25">
      <c r="A265" s="34" t="s">
        <v>541</v>
      </c>
      <c r="B265" s="371">
        <v>64.670241098095005</v>
      </c>
      <c r="C265" s="371">
        <v>73.763156713761802</v>
      </c>
      <c r="D265" s="371">
        <v>95.43493291654417</v>
      </c>
      <c r="E265" s="371">
        <v>107.31139412884363</v>
      </c>
      <c r="F265" s="371">
        <v>119.18785534114284</v>
      </c>
      <c r="G265" s="371">
        <v>148.28241980161249</v>
      </c>
      <c r="H265" s="91">
        <f>SUM(B265:G265)</f>
        <v>608.65</v>
      </c>
      <c r="I265" s="371">
        <f>($B$265*$B$250/I250)-($B$265*$B$250/I250)/(I6-I5)*I268</f>
        <v>64.465912384557143</v>
      </c>
      <c r="J265" s="371">
        <f>($C$265*$C$250/J250)-($C$265*$C$250/J250)/(J6-J5)*J268</f>
        <v>73.596044001409354</v>
      </c>
      <c r="K265" s="371">
        <f>($D$265*$D$250/K250)-($D$265*$D$250/K250)/(K6-K5)*K268</f>
        <v>95.20373229842302</v>
      </c>
      <c r="L265" s="371">
        <f>($E$265*$E$250/L250)-($E$265*$E$250/L250)/(L6-L5)*L268</f>
        <v>106.92710201486175</v>
      </c>
      <c r="M265" s="371">
        <f>($F$265*$F$250/M250)-($F$265*$F$250/M250)/(M6-M5)*M268</f>
        <v>118.50594294109828</v>
      </c>
      <c r="N265" s="371">
        <f>($G$265*$G$250/N250)-($G$265*$G$250/N250)/(N6-N5)*N268</f>
        <v>148.28241980161249</v>
      </c>
      <c r="O265" s="91">
        <f>SUM(I265:N265)</f>
        <v>606.98115344196208</v>
      </c>
      <c r="P265" s="371">
        <f>($B$265*$B$250/P250)-($B$265*$B$250/P250)/(P6-P5)*P268</f>
        <v>64.259631818774395</v>
      </c>
      <c r="Q265" s="371">
        <f>($C$265*$C$250/Q250)-($C$265*$C$250/Q250)/(Q6-Q5)*Q268</f>
        <v>73.42872545565919</v>
      </c>
      <c r="R265" s="371">
        <f>($D$265*$D$250/R250)-($D$265*$D$250/R250)/(R6-R5)*R268</f>
        <v>94.968497810561615</v>
      </c>
      <c r="S265" s="371">
        <f>($E$265*$E$250/S250)-($E$265*$E$250/S250)/(S6-S5)*S268</f>
        <v>106.54143886136792</v>
      </c>
      <c r="T265" s="371">
        <f>($F$265*$F$250/T250)-($F$265*$F$250/T250)/(T6-T5)*T268</f>
        <v>117.81914186833214</v>
      </c>
      <c r="U265" s="371">
        <f>($G$265*$G$250/U250)-($G$265*$G$250/U250)/(U6-U5)*U268</f>
        <v>148.28241980161249</v>
      </c>
      <c r="V265" s="91">
        <f>SUM(P265:U265)</f>
        <v>605.29985561630781</v>
      </c>
      <c r="W265" s="371">
        <f>($B$265*$B$250/W250)-($B$265*$B$250/W250)/(W6-W5)*W268</f>
        <v>64.049146556445066</v>
      </c>
      <c r="X265" s="371">
        <f>($C$265*$C$250/X250)-($C$265*$C$250/X250)/(X6-X5)*X268</f>
        <v>73.254976555764728</v>
      </c>
      <c r="Y265" s="371">
        <f>($D$265*$D$250/Y250)-($D$265*$D$250/Y250)/(Y6-Y5)*Y268</f>
        <v>94.731453814830147</v>
      </c>
      <c r="Z265" s="371">
        <f>($E$265*$E$250/Z250)-($E$265*$E$250/Z250)/(Z6-Z5)*Z268</f>
        <v>106.14503448905268</v>
      </c>
      <c r="AA265" s="371">
        <f>($F$265*$F$250/AA250)-($F$265*$F$250/AA250)/(AA6-AA5)*AA268</f>
        <v>117.10226289967412</v>
      </c>
      <c r="AB265" s="371">
        <f>($G$265*$G$250/AB250)-($G$265*$G$250/AB250)/(AB6-AB5)*AB268</f>
        <v>148.28241980161249</v>
      </c>
      <c r="AC265" s="91">
        <f>SUM(W265:AB265)</f>
        <v>603.56529411737915</v>
      </c>
      <c r="AD265" s="371">
        <f>($B$265*$B$250/AD250)-($B$265*$B$250/AD250)/(AD6-AD5)*AD268</f>
        <v>63.83991765168274</v>
      </c>
      <c r="AE265" s="371">
        <f>($C$265*$C$250/AE250)-($C$265*$C$250/AE250)/(AE6-AE5)*AE268</f>
        <v>73.083436114682044</v>
      </c>
      <c r="AF265" s="371">
        <f>($D$265*$D$250/AF250)-($D$265*$D$250/AF250)/(AF6-AF5)*AF268</f>
        <v>94.491129265849466</v>
      </c>
      <c r="AG265" s="371">
        <f>($E$265*$E$250/AG250)-($E$265*$E$250/AG250)/(AG6-AG5)*AG268</f>
        <v>105.74895393967286</v>
      </c>
      <c r="AH265" s="371">
        <f>($F$265*$F$250/AH250)-($F$265*$F$250/AH250)/(AH6-AH5)*AH268</f>
        <v>116.40199548201855</v>
      </c>
      <c r="AI265" s="371">
        <f>($G$265*$G$250/AI250)-($G$265*$G$250/AI250)/(AI6-AI5)*AI268</f>
        <v>148.28241980161249</v>
      </c>
      <c r="AJ265" s="91">
        <f>SUM(AD265:AI265)</f>
        <v>601.84785225551809</v>
      </c>
      <c r="AK265" s="371">
        <f>($B$265*$B$250/AK250)-($B$265*$B$250/AK250)/(AK6-AK5)*AK268</f>
        <v>63.632580396376824</v>
      </c>
      <c r="AL265" s="371">
        <f>($C$265*$C$250/AL250)-($C$265*$C$250/AL250)/(AL6-AL5)*AL268</f>
        <v>72.91296790783386</v>
      </c>
      <c r="AM265" s="371">
        <f>($D$265*$D$250/AM250)-($D$265*$D$250/AM250)/(AM6-AM5)*AM268</f>
        <v>94.258361191903319</v>
      </c>
      <c r="AN265" s="371">
        <f>($E$265*$E$250/AN250)-($E$265*$E$250/AN250)/(AN6-AN5)*AN268</f>
        <v>105.36491487288016</v>
      </c>
      <c r="AO265" s="371">
        <f>($F$265*$F$250/AO250)-($F$265*$F$250/AO250)/(AO6-AO5)*AO268</f>
        <v>115.70124110285134</v>
      </c>
      <c r="AP265" s="371">
        <f>($G$265*$G$250/AP250)-($G$265*$G$250/AP250)/(AP6-AP5)*AP268</f>
        <v>148.28241980161249</v>
      </c>
      <c r="AQ265" s="91">
        <f>SUM(AK265:AP265)</f>
        <v>600.15248527345796</v>
      </c>
      <c r="AR265" s="371">
        <f>($B$265*$B$250/AR250)-($B$265*$B$250/AR250)/(AR6-AR5)*AR268</f>
        <v>63.418999132303121</v>
      </c>
      <c r="AS265" s="371">
        <f>($C$265*$C$250/AS250)-($C$265*$C$250/AS250)/(AS6-AS5)*AS268</f>
        <v>72.746437384290246</v>
      </c>
      <c r="AT265" s="371">
        <f>($D$265*$D$250/AT250)-($D$265*$D$250/AT250)/(AT6-AT5)*AT268</f>
        <v>94.02617856200709</v>
      </c>
      <c r="AU265" s="371">
        <f>($E$265*$E$250/AU250)-($E$265*$E$250/AU250)/(AU6-AU5)*AU268</f>
        <v>104.97518638981782</v>
      </c>
      <c r="AV265" s="371">
        <f>($F$265*$F$250/AV250)-($F$265*$F$250/AV250)/(AV6-AV5)*AV268</f>
        <v>115.00047795090505</v>
      </c>
      <c r="AW265" s="371">
        <f>($G$265*$G$250/AW250)-($G$265*$G$250/AW250)/(AW6-AW5)*AW268</f>
        <v>148.28241980161249</v>
      </c>
      <c r="AX265" s="91">
        <f>SUM(AR265:AW265)</f>
        <v>598.44969922093583</v>
      </c>
      <c r="AY265" s="91"/>
      <c r="AZ265" s="117"/>
      <c r="BA265" s="117"/>
      <c r="BB265" s="117"/>
      <c r="BC265" s="117"/>
      <c r="BD265" s="117"/>
      <c r="BE265" s="117"/>
    </row>
    <row r="266" spans="1:59" x14ac:dyDescent="0.25">
      <c r="A266" s="34" t="s">
        <v>111</v>
      </c>
      <c r="B266" s="25">
        <f t="shared" ref="B266:G266" si="89">IF(B$265="","",B265*B264/2000)</f>
        <v>7.5427402259524534</v>
      </c>
      <c r="C266" s="25">
        <f t="shared" si="89"/>
        <v>8.244629838606345</v>
      </c>
      <c r="D266" s="25">
        <f t="shared" si="89"/>
        <v>10.219574973505026</v>
      </c>
      <c r="E266" s="25">
        <f t="shared" si="89"/>
        <v>11.118762404918533</v>
      </c>
      <c r="F266" s="25">
        <f t="shared" si="89"/>
        <v>12.052860845303957</v>
      </c>
      <c r="G266" s="25">
        <f t="shared" si="89"/>
        <v>14.822910588117834</v>
      </c>
      <c r="H266" s="91">
        <f>SUM(B266:G266)</f>
        <v>64.00147887640415</v>
      </c>
      <c r="I266" s="25">
        <f t="shared" ref="I266:N266" si="90">IF(I$265="","",I265*I264/2000)</f>
        <v>7.5741963715097969</v>
      </c>
      <c r="J266" s="25">
        <f t="shared" si="90"/>
        <v>8.2946002306125273</v>
      </c>
      <c r="K266" s="25">
        <f t="shared" si="90"/>
        <v>10.288824327659873</v>
      </c>
      <c r="L266" s="25">
        <f t="shared" si="90"/>
        <v>11.181873232118441</v>
      </c>
      <c r="M266" s="25">
        <f t="shared" si="90"/>
        <v>12.093558499699554</v>
      </c>
      <c r="N266" s="25">
        <f t="shared" si="90"/>
        <v>14.822910588117834</v>
      </c>
      <c r="O266" s="91">
        <f>SUM(I266:N266)</f>
        <v>64.255963249718022</v>
      </c>
      <c r="P266" s="25">
        <f t="shared" ref="P266:U266" si="91">IF(P$265="","",P265*P264/2000)</f>
        <v>7.6098268782871612</v>
      </c>
      <c r="Q266" s="25">
        <f t="shared" si="91"/>
        <v>8.3471061124863102</v>
      </c>
      <c r="R266" s="25">
        <f t="shared" si="91"/>
        <v>10.359776568519495</v>
      </c>
      <c r="S266" s="25">
        <f t="shared" si="91"/>
        <v>11.250667940172638</v>
      </c>
      <c r="T266" s="25">
        <f t="shared" si="91"/>
        <v>12.138406083409404</v>
      </c>
      <c r="U266" s="25">
        <f t="shared" si="91"/>
        <v>14.822910588117834</v>
      </c>
      <c r="V266" s="91">
        <f>SUM(P266:U266)</f>
        <v>64.52869417099285</v>
      </c>
      <c r="W266" s="25">
        <f t="shared" ref="W266:AB266" si="92">IF(W$265="","",W265*W264/2000)</f>
        <v>7.6437011525452698</v>
      </c>
      <c r="X266" s="25">
        <f t="shared" si="92"/>
        <v>8.4001612941492905</v>
      </c>
      <c r="Y266" s="25">
        <f t="shared" si="92"/>
        <v>10.429188953070355</v>
      </c>
      <c r="Z266" s="25">
        <f t="shared" si="92"/>
        <v>11.324790728347017</v>
      </c>
      <c r="AA266" s="25">
        <f t="shared" si="92"/>
        <v>12.205190990974423</v>
      </c>
      <c r="AB266" s="25">
        <f t="shared" si="92"/>
        <v>14.822910588117834</v>
      </c>
      <c r="AC266" s="91">
        <f>SUM(W266:AB266)</f>
        <v>64.825943707204189</v>
      </c>
      <c r="AD266" s="25">
        <f t="shared" ref="AD266:AI266" si="93">IF(AD$265="","",AD265*AD264/2000)</f>
        <v>7.6807881110767227</v>
      </c>
      <c r="AE266" s="25">
        <f t="shared" si="93"/>
        <v>8.450141428706667</v>
      </c>
      <c r="AF266" s="25">
        <f t="shared" si="93"/>
        <v>10.505952854980519</v>
      </c>
      <c r="AG266" s="25">
        <f t="shared" si="93"/>
        <v>11.40185464397495</v>
      </c>
      <c r="AH266" s="25">
        <f t="shared" si="93"/>
        <v>12.303665834750397</v>
      </c>
      <c r="AI266" s="25">
        <f t="shared" si="93"/>
        <v>14.822910588117834</v>
      </c>
      <c r="AJ266" s="91">
        <f>SUM(AD266:AI266)</f>
        <v>65.165313461607084</v>
      </c>
      <c r="AK266" s="25">
        <f t="shared" ref="AK266:AP266" si="94">IF(AK$265="","",AK265*AK264/2000)</f>
        <v>7.7189575215702506</v>
      </c>
      <c r="AL266" s="25">
        <f t="shared" si="94"/>
        <v>8.5047436706748236</v>
      </c>
      <c r="AM266" s="25">
        <f t="shared" si="94"/>
        <v>10.576484041282866</v>
      </c>
      <c r="AN266" s="25">
        <f t="shared" si="94"/>
        <v>11.511561648264971</v>
      </c>
      <c r="AO266" s="25">
        <f t="shared" si="94"/>
        <v>12.408689213174062</v>
      </c>
      <c r="AP266" s="25">
        <f t="shared" si="94"/>
        <v>14.822910588117834</v>
      </c>
      <c r="AQ266" s="91">
        <f>SUM(AK266:AP266)</f>
        <v>65.543346683084806</v>
      </c>
      <c r="AR266" s="25">
        <f t="shared" ref="AR266:AW266" si="95">IF(AR$265="","",AR265*AR264/2000)</f>
        <v>7.7583251797045989</v>
      </c>
      <c r="AS266" s="25">
        <f t="shared" si="95"/>
        <v>8.5631674892964806</v>
      </c>
      <c r="AT266" s="25">
        <f t="shared" si="95"/>
        <v>10.665424201270509</v>
      </c>
      <c r="AU266" s="25">
        <f t="shared" si="95"/>
        <v>11.631195750556575</v>
      </c>
      <c r="AV266" s="25">
        <f t="shared" si="95"/>
        <v>12.51154925750062</v>
      </c>
      <c r="AW266" s="25">
        <f t="shared" si="95"/>
        <v>14.822910588117834</v>
      </c>
      <c r="AX266" s="91">
        <f>SUM(AR266:AW266)</f>
        <v>65.952572466446625</v>
      </c>
      <c r="AY266" s="91"/>
      <c r="AZ266" s="13"/>
      <c r="BA266" s="13"/>
    </row>
    <row r="267" spans="1:59" x14ac:dyDescent="0.25">
      <c r="A267" s="34" t="s">
        <v>517</v>
      </c>
      <c r="B267" s="370">
        <f t="shared" ref="B267:G267" si="96">B342*0.00220462</f>
        <v>1.6321378734194845</v>
      </c>
      <c r="C267" s="370">
        <f t="shared" si="96"/>
        <v>1.9015014314603687</v>
      </c>
      <c r="D267" s="370">
        <f t="shared" si="96"/>
        <v>2.0832697080984475</v>
      </c>
      <c r="E267" s="370">
        <f t="shared" si="96"/>
        <v>2.1697909739378729</v>
      </c>
      <c r="F267" s="370">
        <f t="shared" si="96"/>
        <v>2.165030725567227</v>
      </c>
      <c r="G267" s="370">
        <f t="shared" si="96"/>
        <v>2.0548911695876653</v>
      </c>
      <c r="H267" s="230"/>
      <c r="I267" s="370">
        <f t="shared" ref="I267:N267" si="97">I342*0.00220462</f>
        <v>1.6266189298063185</v>
      </c>
      <c r="J267" s="370">
        <f t="shared" si="97"/>
        <v>1.8969075195205205</v>
      </c>
      <c r="K267" s="370">
        <f t="shared" si="97"/>
        <v>2.077992863816398</v>
      </c>
      <c r="L267" s="370">
        <f t="shared" si="97"/>
        <v>2.1618542844514339</v>
      </c>
      <c r="M267" s="370">
        <f t="shared" si="97"/>
        <v>2.152484153577106</v>
      </c>
      <c r="N267" s="370">
        <f t="shared" si="97"/>
        <v>2.0548911695876653</v>
      </c>
      <c r="O267" s="94"/>
      <c r="P267" s="370">
        <f t="shared" ref="P267:U267" si="98">P342*0.00220462</f>
        <v>1.6211979884286469</v>
      </c>
      <c r="Q267" s="370">
        <f t="shared" si="98"/>
        <v>1.8923762471764884</v>
      </c>
      <c r="R267" s="370">
        <f t="shared" si="98"/>
        <v>2.0727409155317003</v>
      </c>
      <c r="S267" s="370">
        <f t="shared" si="98"/>
        <v>2.1538789468597117</v>
      </c>
      <c r="T267" s="370">
        <f t="shared" si="98"/>
        <v>2.1398403867341065</v>
      </c>
      <c r="U267" s="370">
        <f t="shared" si="98"/>
        <v>2.0548911695876653</v>
      </c>
      <c r="W267" s="370">
        <f t="shared" ref="W267:AB267" si="99">W342*0.00220462</f>
        <v>1.6157996318554884</v>
      </c>
      <c r="X267" s="370">
        <f t="shared" si="99"/>
        <v>1.8879008776630013</v>
      </c>
      <c r="Y267" s="370">
        <f t="shared" si="99"/>
        <v>2.0674984498557265</v>
      </c>
      <c r="Z267" s="370">
        <f t="shared" si="99"/>
        <v>2.1459234202239537</v>
      </c>
      <c r="AA267" s="370">
        <f t="shared" si="99"/>
        <v>2.1268932516241397</v>
      </c>
      <c r="AB267" s="370">
        <f t="shared" si="99"/>
        <v>2.0548911695876653</v>
      </c>
      <c r="AD267" s="370">
        <f t="shared" ref="AD267:AI267" si="100">AD342*0.00220462</f>
        <v>1.610508159253081</v>
      </c>
      <c r="AE267" s="370">
        <f t="shared" si="100"/>
        <v>1.8834025510806229</v>
      </c>
      <c r="AF267" s="370">
        <f t="shared" si="100"/>
        <v>2.062306619341173</v>
      </c>
      <c r="AG267" s="370">
        <f t="shared" si="100"/>
        <v>2.1379406451689378</v>
      </c>
      <c r="AH267" s="370">
        <f t="shared" si="100"/>
        <v>2.1140793814937138</v>
      </c>
      <c r="AI267" s="370">
        <f t="shared" si="100"/>
        <v>2.0548911695876653</v>
      </c>
      <c r="AK267" s="370">
        <f t="shared" ref="AK267:AP267" si="101">AK342*0.00220462</f>
        <v>1.6051848288081365</v>
      </c>
      <c r="AL267" s="370">
        <f t="shared" si="101"/>
        <v>1.8789290054923611</v>
      </c>
      <c r="AM267" s="370">
        <f t="shared" si="101"/>
        <v>2.057049342344869</v>
      </c>
      <c r="AN267" s="370">
        <f t="shared" si="101"/>
        <v>2.1299362381816995</v>
      </c>
      <c r="AO267" s="370">
        <f t="shared" si="101"/>
        <v>2.1013649980733211</v>
      </c>
      <c r="AP267" s="370">
        <f t="shared" si="101"/>
        <v>2.0548911695876653</v>
      </c>
      <c r="AR267" s="370">
        <f t="shared" ref="AR267:AW267" si="102">AR342*0.00220462</f>
        <v>1.5999111105816655</v>
      </c>
      <c r="AS267" s="370">
        <f t="shared" si="102"/>
        <v>1.8745080983063227</v>
      </c>
      <c r="AT267" s="370">
        <f t="shared" si="102"/>
        <v>2.0518759195263487</v>
      </c>
      <c r="AU267" s="370">
        <f t="shared" si="102"/>
        <v>2.1220305449495052</v>
      </c>
      <c r="AV267" s="370">
        <f t="shared" si="102"/>
        <v>2.0886509026072342</v>
      </c>
      <c r="AW267" s="370">
        <f t="shared" si="102"/>
        <v>2.0548911695876653</v>
      </c>
      <c r="AZ267" s="375"/>
      <c r="BA267" s="378"/>
    </row>
    <row r="268" spans="1:59" x14ac:dyDescent="0.25">
      <c r="A268" s="302" t="s">
        <v>545</v>
      </c>
      <c r="B268" s="303"/>
      <c r="C268" s="303"/>
      <c r="D268" s="303"/>
      <c r="E268" s="303"/>
      <c r="F268" s="303"/>
      <c r="G268" s="303"/>
      <c r="H268" s="303"/>
      <c r="I268" s="304">
        <f>($B$6-$B$5)-(($B$6-$B$5)/$B$267)*I267</f>
        <v>0.11834969925433825</v>
      </c>
      <c r="J268" s="304">
        <f>($C$6-$C$5)-(($C$6-$C$5)/$C$267)*J267</f>
        <v>8.4557873706778253E-2</v>
      </c>
      <c r="K268" s="304">
        <f>($D$6-$D$5)-(($D$6-$D$5)/$D$267)*K267</f>
        <v>0.10131850449389646</v>
      </c>
      <c r="L268" s="304">
        <f>($E$6-$E$5)-(($E$6-$E$5)/$E$267)*L267</f>
        <v>0.14631251732115658</v>
      </c>
      <c r="M268" s="304">
        <f>($F$6-$F$5)-(($F$6-$F$5)/$F$267)*M267</f>
        <v>0.23180404493952267</v>
      </c>
      <c r="N268" s="304">
        <f>($G$6-$G$5)-(($G$6-$G$5)/$G$267)*N267</f>
        <v>0</v>
      </c>
      <c r="O268" s="305"/>
      <c r="P268" s="304">
        <f>($B$6-$B$5)-(($B$6-$B$5)/$B$267)*P267</f>
        <v>0.23459781242445388</v>
      </c>
      <c r="Q268" s="304">
        <f>($C$6-$C$5)-(($C$6-$C$5)/$C$267)*Q267</f>
        <v>0.16796277123521719</v>
      </c>
      <c r="R268" s="304">
        <f>($D$6-$D$5)-(($D$6-$D$5)/$D$267)*R267</f>
        <v>0.20215899123993353</v>
      </c>
      <c r="S268" s="304">
        <f>($E$6-$E$5)-(($E$6-$E$5)/$E$267)*S267</f>
        <v>0.29333751074248937</v>
      </c>
      <c r="T268" s="304">
        <f>($F$6-$F$5)-(($F$6-$F$5)/$F$267)*T267</f>
        <v>0.46540381225343452</v>
      </c>
      <c r="U268" s="304">
        <f>($G$6-$G$5)-(($G$6-$G$5)/$G$267)*U267</f>
        <v>0</v>
      </c>
      <c r="V268" s="305"/>
      <c r="W268" s="304">
        <f>($B$6-$B$5)-(($B$6-$B$5)/$B$267)*W267</f>
        <v>0.35036161102113539</v>
      </c>
      <c r="X268" s="304">
        <f>($C$6-$C$5)-(($C$6-$C$5)/$C$267)*X267</f>
        <v>0.2503386929045206</v>
      </c>
      <c r="Y268" s="304">
        <f>($D$6-$D$5)-(($D$6-$D$5)/$D$267)*Y267</f>
        <v>0.30281740633797227</v>
      </c>
      <c r="Z268" s="304">
        <f>($E$6-$E$5)-(($E$6-$E$5)/$E$267)*Z267</f>
        <v>0.43999729007266097</v>
      </c>
      <c r="AA268" s="304">
        <f>($F$6-$F$5)-(($F$6-$F$5)/$F$267)*AA267</f>
        <v>0.70460845645681047</v>
      </c>
      <c r="AB268" s="304">
        <f>($G$6-$G$5)-(($G$6-$G$5)/$G$267)*AB267</f>
        <v>0</v>
      </c>
      <c r="AC268" s="305"/>
      <c r="AD268" s="304">
        <f>($B$6-$B$5)-(($B$6-$B$5)/$B$267)*AD267</f>
        <v>0.46383336123317065</v>
      </c>
      <c r="AE268" s="304">
        <f>($C$6-$C$5)-(($C$6-$C$5)/$C$267)*AE267</f>
        <v>0.33313717403020604</v>
      </c>
      <c r="AF268" s="304">
        <f>($D$6-$D$5)-(($D$6-$D$5)/$D$267)*AF267</f>
        <v>0.4025035966448911</v>
      </c>
      <c r="AG268" s="304">
        <f>($E$6-$E$5)-(($E$6-$E$5)/$E$267)*AG267</f>
        <v>0.58715939279867513</v>
      </c>
      <c r="AH268" s="304">
        <f>($F$6-$F$5)-(($F$6-$F$5)/$F$267)*AH267</f>
        <v>0.94135096507998384</v>
      </c>
      <c r="AI268" s="304">
        <f>($G$6-$G$5)-(($G$6-$G$5)/$G$267)*AI267</f>
        <v>0</v>
      </c>
      <c r="AJ268" s="305"/>
      <c r="AK268" s="304">
        <f>($B$6-$B$5)-(($B$6-$B$5)/$B$267)*AK267</f>
        <v>0.57798827952001375</v>
      </c>
      <c r="AL268" s="304">
        <f>($C$6-$C$5)-(($C$6-$C$5)/$C$267)*AL267</f>
        <v>0.41547952360652118</v>
      </c>
      <c r="AM268" s="304">
        <f>($D$6-$D$5)-(($D$6-$D$5)/$D$267)*AM267</f>
        <v>0.50344639777845401</v>
      </c>
      <c r="AN268" s="304">
        <f>($E$6-$E$5)-(($E$6-$E$5)/$E$267)*AN267</f>
        <v>0.73472027923210703</v>
      </c>
      <c r="AO268" s="304">
        <f>($F$6-$F$5)-(($F$6-$F$5)/$F$267)*AO267</f>
        <v>1.176255408148549</v>
      </c>
      <c r="AP268" s="304">
        <f>($G$6-$G$5)-(($G$6-$G$5)/$G$267)*AP267</f>
        <v>0</v>
      </c>
      <c r="AQ268" s="305"/>
      <c r="AR268" s="304">
        <f>($B$6-$B$5)-(($B$6-$B$5)/$B$267)*AR267</f>
        <v>0.69107930015773178</v>
      </c>
      <c r="AS268" s="304">
        <f>($C$6-$C$5)-(($C$6-$C$5)/$C$267)*AS267</f>
        <v>0.49685298404746447</v>
      </c>
      <c r="AT268" s="304">
        <f>($D$6-$D$5)-(($D$6-$D$5)/$D$267)*AT267</f>
        <v>0.60277914952747835</v>
      </c>
      <c r="AU268" s="304">
        <f>($E$6-$E$5)-(($E$6-$E$5)/$E$267)*AU267</f>
        <v>0.88046138198628654</v>
      </c>
      <c r="AV268" s="304">
        <f>($F$6-$F$5)-(($F$6-$F$5)/$F$267)*AV267</f>
        <v>1.4111545311206868</v>
      </c>
      <c r="AW268" s="304">
        <f>($G$6-$G$5)-(($G$6-$G$5)/$G$267)*AW267</f>
        <v>0</v>
      </c>
      <c r="AX268" s="305"/>
    </row>
    <row r="269" spans="1:59" x14ac:dyDescent="0.25">
      <c r="A269" s="34" t="s">
        <v>543</v>
      </c>
      <c r="B269" s="371">
        <v>64.670241098095005</v>
      </c>
      <c r="C269" s="371">
        <v>73.763156713761802</v>
      </c>
      <c r="D269" s="371">
        <v>95.43493291654417</v>
      </c>
      <c r="E269" s="371">
        <v>107.31139412884363</v>
      </c>
      <c r="F269" s="371">
        <v>119.18785534114284</v>
      </c>
      <c r="G269" s="371">
        <v>148.28241980161249</v>
      </c>
      <c r="H269" s="91">
        <f>SUM(B269:G269)</f>
        <v>608.65</v>
      </c>
      <c r="I269" s="371">
        <f>($B$269*$B$250/I250)</f>
        <v>64.684638312862944</v>
      </c>
      <c r="J269" s="371">
        <f>($C$269*$C$250/J250)</f>
        <v>73.774278175603101</v>
      </c>
      <c r="K269" s="371">
        <f>($D$269*$D$250/K250)</f>
        <v>95.44549216158542</v>
      </c>
      <c r="L269" s="371">
        <f>($E$269*$E$250/L250)</f>
        <v>107.31965724510111</v>
      </c>
      <c r="M269" s="371">
        <f>($F$269*$F$250/M250)</f>
        <v>119.19669987043351</v>
      </c>
      <c r="N269" s="371">
        <f>($G$269*$G$250/N250)</f>
        <v>148.28241980161249</v>
      </c>
      <c r="O269" s="91">
        <f>SUM(I269:N269)</f>
        <v>608.7031855671986</v>
      </c>
      <c r="P269" s="371">
        <f>($B$269*$B$250/P250)</f>
        <v>64.693257438019288</v>
      </c>
      <c r="Q269" s="371">
        <f>($C$269*$C$250/Q250)</f>
        <v>73.782804435731521</v>
      </c>
      <c r="R269" s="371">
        <f>($D$269*$D$250/R250)</f>
        <v>95.450904273583788</v>
      </c>
      <c r="S269" s="371">
        <f>($E$269*$E$250/S250)</f>
        <v>107.32852592704543</v>
      </c>
      <c r="T269" s="371">
        <f>($F$269*$F$250/T250)</f>
        <v>119.20611639367067</v>
      </c>
      <c r="U269" s="371">
        <f>($G$269*$G$250/U250)</f>
        <v>148.28241980161249</v>
      </c>
      <c r="V269" s="91">
        <f>SUM(P269:U269)</f>
        <v>608.7440282696632</v>
      </c>
      <c r="W269" s="371">
        <f>($B$269*$B$250/W250)</f>
        <v>64.696782815159466</v>
      </c>
      <c r="X269" s="371">
        <f>($C$269*$C$250/X250)</f>
        <v>73.78270990308161</v>
      </c>
      <c r="Y269" s="371">
        <f>($D$269*$D$250/Y250)</f>
        <v>95.454082758966152</v>
      </c>
      <c r="Z269" s="371">
        <f>($E$269*$E$250/Z250)</f>
        <v>107.32560891601378</v>
      </c>
      <c r="AA269" s="371">
        <f>($F$269*$F$250/AA250)</f>
        <v>119.20203189212475</v>
      </c>
      <c r="AB269" s="371">
        <f>($G$269*$G$250/AB250)</f>
        <v>148.28241980161249</v>
      </c>
      <c r="AC269" s="91">
        <f>SUM(W269:AB269)</f>
        <v>608.7436360869583</v>
      </c>
      <c r="AD269" s="371">
        <f>($B$269*$B$250/AD250)</f>
        <v>64.697311116769583</v>
      </c>
      <c r="AE269" s="371">
        <f>($C$269*$C$250/AE250)</f>
        <v>73.78574394962763</v>
      </c>
      <c r="AF269" s="371">
        <f>($D$269*$D$250/AF250)</f>
        <v>95.451619772449249</v>
      </c>
      <c r="AG269" s="371">
        <f>($E$269*$E$250/AG250)</f>
        <v>107.32436668911494</v>
      </c>
      <c r="AH269" s="371">
        <f>($F$269*$F$250/AH250)</f>
        <v>119.20739539962116</v>
      </c>
      <c r="AI269" s="371">
        <f>($G$269*$G$250/AI250)</f>
        <v>148.28241980161249</v>
      </c>
      <c r="AJ269" s="91">
        <f>SUM(AD269:AI269)</f>
        <v>608.74885672919504</v>
      </c>
      <c r="AK269" s="371">
        <f>($B$269*$B$250/AK250)</f>
        <v>64.701050361565947</v>
      </c>
      <c r="AL269" s="371">
        <f>($C$269*$C$250/AL250)</f>
        <v>73.788904446892204</v>
      </c>
      <c r="AM269" s="371">
        <f>($D$269*$D$250/AM250)</f>
        <v>95.459833930018249</v>
      </c>
      <c r="AN269" s="371">
        <f>($E$269*$E$250/AN250)</f>
        <v>107.33647193874577</v>
      </c>
      <c r="AO269" s="371">
        <f>($F$269*$F$250/AO250)</f>
        <v>119.20667861300053</v>
      </c>
      <c r="AP269" s="371">
        <f>($G$269*$G$250/AP250)</f>
        <v>148.28241980161249</v>
      </c>
      <c r="AQ269" s="91">
        <f>SUM(AK269:AP269)</f>
        <v>608.77535909183518</v>
      </c>
      <c r="AR269" s="371">
        <f>($B$269*$B$250/AR250)</f>
        <v>64.696438254346305</v>
      </c>
      <c r="AS269" s="371">
        <f>($C$269*$C$250/AS250)</f>
        <v>73.794002247764737</v>
      </c>
      <c r="AT269" s="371">
        <f>($D$269*$D$250/AT250)</f>
        <v>95.4647830808902</v>
      </c>
      <c r="AU269" s="371">
        <f>($E$269*$E$250/AU250)</f>
        <v>107.33785734525917</v>
      </c>
      <c r="AV269" s="371">
        <f>($F$269*$F$250/AV250)</f>
        <v>119.20592757163394</v>
      </c>
      <c r="AW269" s="371">
        <f>($G$269*$G$250/AW250)</f>
        <v>148.28241980161249</v>
      </c>
      <c r="AX269" s="91">
        <f>SUM(AR269:AW269)</f>
        <v>608.78142830150682</v>
      </c>
      <c r="AY269" s="91"/>
      <c r="AZ269" s="117"/>
      <c r="BA269" s="117"/>
      <c r="BB269" s="117"/>
      <c r="BC269" s="117"/>
      <c r="BD269" s="117"/>
      <c r="BE269" s="117"/>
    </row>
    <row r="270" spans="1:59" x14ac:dyDescent="0.25">
      <c r="A270" s="34" t="s">
        <v>544</v>
      </c>
      <c r="B270" s="25">
        <f t="shared" ref="B270:G270" si="103">B269*B264/2000</f>
        <v>7.5427402259524534</v>
      </c>
      <c r="C270" s="25">
        <f t="shared" si="103"/>
        <v>8.244629838606345</v>
      </c>
      <c r="D270" s="25">
        <f t="shared" si="103"/>
        <v>10.219574973505026</v>
      </c>
      <c r="E270" s="25">
        <f t="shared" si="103"/>
        <v>11.118762404918533</v>
      </c>
      <c r="F270" s="25">
        <f t="shared" si="103"/>
        <v>12.052860845303957</v>
      </c>
      <c r="G270" s="25">
        <f t="shared" si="103"/>
        <v>14.822910588117834</v>
      </c>
      <c r="H270" s="230"/>
      <c r="I270" s="25">
        <f t="shared" ref="I270:N270" si="104">I269*I264/2000</f>
        <v>7.5998948076483632</v>
      </c>
      <c r="J270" s="25">
        <f t="shared" si="104"/>
        <v>8.3146880117212785</v>
      </c>
      <c r="K270" s="25">
        <f t="shared" si="104"/>
        <v>10.314951714701381</v>
      </c>
      <c r="L270" s="25">
        <f t="shared" si="104"/>
        <v>11.2229245908332</v>
      </c>
      <c r="M270" s="25">
        <f t="shared" si="104"/>
        <v>12.164050401849478</v>
      </c>
      <c r="N270" s="25">
        <f t="shared" si="104"/>
        <v>14.822910588117834</v>
      </c>
      <c r="O270" s="199"/>
      <c r="P270" s="25">
        <f t="shared" ref="P270:U270" si="105">P269*P264/2000</f>
        <v>7.6611781823492482</v>
      </c>
      <c r="Q270" s="25">
        <f t="shared" si="105"/>
        <v>8.3873565022421488</v>
      </c>
      <c r="R270" s="25">
        <f t="shared" si="105"/>
        <v>10.412400578452647</v>
      </c>
      <c r="S270" s="25">
        <f t="shared" si="105"/>
        <v>11.333783536419325</v>
      </c>
      <c r="T270" s="25">
        <f t="shared" si="105"/>
        <v>12.281300181506959</v>
      </c>
      <c r="U270" s="25">
        <f t="shared" si="105"/>
        <v>14.822910588117834</v>
      </c>
      <c r="W270" s="25">
        <f t="shared" ref="W270:AB270" si="106">W269*W264/2000</f>
        <v>7.7209908321634479</v>
      </c>
      <c r="X270" s="25">
        <f t="shared" si="106"/>
        <v>8.4606765716934511</v>
      </c>
      <c r="Y270" s="25">
        <f t="shared" si="106"/>
        <v>10.508744723597044</v>
      </c>
      <c r="Z270" s="25">
        <f t="shared" si="106"/>
        <v>11.450748182588095</v>
      </c>
      <c r="AA270" s="25">
        <f t="shared" si="106"/>
        <v>12.424043137424764</v>
      </c>
      <c r="AB270" s="25">
        <f t="shared" si="106"/>
        <v>14.822910588117834</v>
      </c>
      <c r="AD270" s="25">
        <f t="shared" ref="AD270:AI270" si="107">AD269*AD264/2000</f>
        <v>7.7839439072524765</v>
      </c>
      <c r="AE270" s="25">
        <f t="shared" si="107"/>
        <v>8.5313445144847702</v>
      </c>
      <c r="AF270" s="25">
        <f t="shared" si="107"/>
        <v>10.612744551284656</v>
      </c>
      <c r="AG270" s="25">
        <f t="shared" si="107"/>
        <v>11.571715682824097</v>
      </c>
      <c r="AH270" s="25">
        <f t="shared" si="107"/>
        <v>12.600196001403349</v>
      </c>
      <c r="AI270" s="25">
        <f t="shared" si="107"/>
        <v>14.822910588117834</v>
      </c>
      <c r="AK270" s="25">
        <f t="shared" ref="AK270:AP270" si="108">AK269*AK264/2000</f>
        <v>7.8485683942237516</v>
      </c>
      <c r="AL270" s="25">
        <f t="shared" si="108"/>
        <v>8.6069150120730509</v>
      </c>
      <c r="AM270" s="25">
        <f t="shared" si="108"/>
        <v>10.711298153049965</v>
      </c>
      <c r="AN270" s="25">
        <f t="shared" si="108"/>
        <v>11.726962578775533</v>
      </c>
      <c r="AO270" s="25">
        <f t="shared" si="108"/>
        <v>12.784639239336506</v>
      </c>
      <c r="AP270" s="25">
        <f t="shared" si="108"/>
        <v>14.822910588117834</v>
      </c>
      <c r="AR270" s="25">
        <f t="shared" ref="AR270:AW270" si="109">AR269*AR264/2000</f>
        <v>7.91459992767739</v>
      </c>
      <c r="AS270" s="25">
        <f t="shared" si="109"/>
        <v>8.6864790039820257</v>
      </c>
      <c r="AT270" s="25">
        <f t="shared" si="109"/>
        <v>10.828605643783719</v>
      </c>
      <c r="AU270" s="25">
        <f t="shared" si="109"/>
        <v>11.892978456755783</v>
      </c>
      <c r="AV270" s="25">
        <f t="shared" si="109"/>
        <v>12.96908379141925</v>
      </c>
      <c r="AW270" s="25">
        <f t="shared" si="109"/>
        <v>14.822910588117834</v>
      </c>
      <c r="AZ270" s="369"/>
    </row>
    <row r="271" spans="1:59" x14ac:dyDescent="0.25">
      <c r="B271" s="417">
        <f t="shared" ref="B271:G271" si="110">(0.1135*(B250*2.2046)+8.8142*(AVERAGE(B5:B6)/2.2046)-0.05068*((AVERAGE(B5:B6)/2.2046)^2)+276)</f>
        <v>787.02385912147702</v>
      </c>
      <c r="C271" s="417">
        <f t="shared" si="110"/>
        <v>866.66162670940309</v>
      </c>
      <c r="D271" s="417">
        <f t="shared" si="110"/>
        <v>923.28098162177844</v>
      </c>
      <c r="E271" s="417">
        <f t="shared" si="110"/>
        <v>951.2806842177074</v>
      </c>
      <c r="F271" s="417">
        <f t="shared" si="110"/>
        <v>945.67943656821853</v>
      </c>
      <c r="G271" s="417">
        <f t="shared" si="110"/>
        <v>902.38960307777609</v>
      </c>
      <c r="H271" s="379"/>
      <c r="I271" s="7">
        <f>(((I351-I5)*(I353/100)*0.85)-I266)-((($B$351-$B$5)*($B$353/100)*0.85)-$B$266)</f>
        <v>-0.14700082838033524</v>
      </c>
      <c r="J271" s="7">
        <f>(((J351-I351)*(J353/100)*0.85)-J266)-((($C$351-$B$351)*($C$353/100)*0.85)-$C$266)</f>
        <v>-7.000499479438993E-2</v>
      </c>
      <c r="K271" s="7">
        <f>(((K351-J351)*(K353/100)*0.85)-K266)-((($D$351-$C$351)*($D$353/100)*0.85)-$D$266)</f>
        <v>-0.12689077909113244</v>
      </c>
      <c r="L271" s="7">
        <f>(((L351-K351)*(L353/100)*0.85)-L266)-((($E$351-$D$351)*($E$353/100)*0.85)-$E$266)</f>
        <v>-0.13846364058517757</v>
      </c>
      <c r="M271" s="7">
        <f>(((M351-L351)*(M353/100)*0.85)-M266)-((($F$351-$E$351)*($F$353/100)*0.85)-$F$266)</f>
        <v>-0.14144454988431576</v>
      </c>
      <c r="N271" s="7">
        <f>(((N351-M351)*(N353/100)*0.85)-N266)-((($G$351-$F$351)*($G$353/100)*0.85)-$G$266)</f>
        <v>0.12306722181762453</v>
      </c>
      <c r="O271" s="7">
        <f>O268*0.85</f>
        <v>0</v>
      </c>
      <c r="P271" s="7">
        <f>(((P351-P5)*(P353/100)*0.85)-P266)-((($B$351-$B$5)*($B$353/100)*0.85)-$B$266)</f>
        <v>-0.29654785743637646</v>
      </c>
      <c r="Q271" s="7">
        <f>(((Q351-P351)*(Q353/100)*0.85)-Q266)-((($C$351-$B$351)*($C$353/100)*0.85)-$C$266)</f>
        <v>-0.14320845275026173</v>
      </c>
      <c r="R271" s="7">
        <f>(((R351-Q351)*(R353/100)*0.85)-R266)-((($D$351-$C$351)*($D$353/100)*0.85)-$D$266)</f>
        <v>-0.25584786491732636</v>
      </c>
      <c r="S271" s="7">
        <f>(((S351-R351)*(S353/100)*0.85)-S266)-((($E$351-$D$351)*($E$353/100)*0.85)-$E$266)</f>
        <v>-0.28322866994696128</v>
      </c>
      <c r="T271" s="7">
        <f>(((T351-S351)*(T353/100)*0.85)-T266)-((($F$351-$E$351)*($F$353/100)*0.85)-$F$266)</f>
        <v>-0.28751202956003397</v>
      </c>
      <c r="U271" s="7">
        <f>(((U351-T351)*(U353/100)*0.85)-U266)-((($G$351-$F$351)*($G$353/100)*0.85)-$G$266)</f>
        <v>0.24702930857562677</v>
      </c>
      <c r="V271" s="7">
        <f>V268*0.85</f>
        <v>0</v>
      </c>
      <c r="W271" s="7">
        <f>(((W351-W5)*(W353/100)*0.85)-W266)-((($B$351-$B$5)*($B$353/100)*0.85)-$B$266)</f>
        <v>-0.4437732867522115</v>
      </c>
      <c r="X271" s="7">
        <f>(((X351-W351)*(X353/100)*0.85)-X266)-((($C$351-$B$351)*($C$353/100)*0.85)-$C$266)</f>
        <v>-0.21670502690155757</v>
      </c>
      <c r="Y271" s="7">
        <f>(((Y351-X351)*(Y353/100)*0.85)-Y266)-((($D$351-$C$351)*($D$353/100)*0.85)-$D$266)</f>
        <v>-0.38376862607747242</v>
      </c>
      <c r="Z271" s="7">
        <f>(((Z351-Y351)*(Z353/100)*0.85)-Z266)-((($E$351-$D$351)*($E$353/100)*0.85)-$E$266)</f>
        <v>-0.43310407530452366</v>
      </c>
      <c r="AA271" s="7">
        <f>(((AA351-Z351)*(AA353/100)*0.85)-AA266)-((($F$351-$E$351)*($F$353/100)*0.85)-$F$266)</f>
        <v>-0.45901594514521449</v>
      </c>
      <c r="AB271" s="7">
        <f>(((AB351-AA351)*(AB353/100)*0.85)-AB266)-((($G$351-$F$351)*($G$353/100)*0.85)-$G$266)</f>
        <v>0.37429342700201929</v>
      </c>
      <c r="AC271" s="7">
        <f>AC268*0.85</f>
        <v>0</v>
      </c>
      <c r="AD271" s="7">
        <f>(((AD351-AD5)*(AD353/100)*0.85)-AD266)-((($B$351-$B$5)*($B$353/100)*0.85)-$B$266)</f>
        <v>-0.59248864505734744</v>
      </c>
      <c r="AE271" s="7">
        <f>(((AE351-AD351)*(AE353/100)*0.85)-AE266)-((($C$351-$B$351)*($C$353/100)*0.85)-$C$266)</f>
        <v>-0.28889608542327849</v>
      </c>
      <c r="AF271" s="7">
        <f>(((AF351-AE351)*(AF353/100)*0.85)-AF266)-((($D$351-$C$351)*($D$353/100)*0.85)-$D$266)</f>
        <v>-0.51811684452721884</v>
      </c>
      <c r="AG271" s="7">
        <f>(((AG351-AF351)*(AG353/100)*0.85)-AG266)-((($E$351-$D$351)*($E$353/100)*0.85)-$E$266)</f>
        <v>-0.58671333419314031</v>
      </c>
      <c r="AH271" s="7">
        <f>(((AH351-AG351)*(AH353/100)*0.85)-AH266)-((($F$351-$E$351)*($F$353/100)*0.85)-$F$266)</f>
        <v>-0.65988082322026287</v>
      </c>
      <c r="AI271" s="7">
        <f>(((AI351-AH351)*(AI353/100)*0.85)-AI266)-((($G$351-$F$351)*($G$353/100)*0.85)-$G$266)</f>
        <v>0.49999499636635392</v>
      </c>
      <c r="AJ271" s="7">
        <f>AJ268*0.85</f>
        <v>0</v>
      </c>
      <c r="AK271" s="7">
        <f>(((AK351-AK5)*(AK353/100)*0.85)-AK266)-((($B$351-$B$5)*($B$353/100)*0.85)-$B$266)</f>
        <v>-0.7424307289993628</v>
      </c>
      <c r="AL271" s="7">
        <f>(((AL351-AK351)*(AL353/100)*0.85)-AL266)-((($C$351-$B$351)*($C$353/100)*0.85)-$C$266)</f>
        <v>-0.36504909712497202</v>
      </c>
      <c r="AM271" s="7">
        <f>(((AM351-AL351)*(AM353/100)*0.85)-AM266)-((($D$351-$C$351)*($D$353/100)*0.85)-$D$266)</f>
        <v>-0.64725136269605876</v>
      </c>
      <c r="AN271" s="7">
        <f>(((AN351-AM351)*(AN353/100)*0.85)-AN266)-((($E$351-$D$351)*($E$353/100)*0.85)-$E$266)</f>
        <v>-0.77209755840760153</v>
      </c>
      <c r="AO271" s="7">
        <f>(((AO351-AN351)*(AO353/100)*0.85)-AO266)-((($F$351-$E$351)*($F$353/100)*0.85)-$F$266)</f>
        <v>-0.86545526640003168</v>
      </c>
      <c r="AP271" s="7">
        <f>(((AP351-AO351)*(AP353/100)*0.85)-AP266)-((($G$351-$F$351)*($G$353/100)*0.85)-$G$266)</f>
        <v>0.62437176553412854</v>
      </c>
      <c r="AQ271" s="7">
        <f>AQ268*0.85</f>
        <v>0</v>
      </c>
      <c r="AR271" s="7">
        <f>(((AR351-AR5)*(AR353/100)*0.85)-AR266)-((($B$351-$B$5)*($B$353/100)*0.85)-$B$266)</f>
        <v>-0.89261506159593296</v>
      </c>
      <c r="AS271" s="7">
        <f>(((AS351-AR351)*(AS353/100)*0.85)-AS266)-((($C$351-$B$351)*($C$353/100)*0.85)-$C$266)</f>
        <v>-0.4451441786463235</v>
      </c>
      <c r="AT271" s="7">
        <f>(((AT351-AS351)*(AT353/100)*0.85)-AT266)-((($D$351-$C$351)*($D$353/100)*0.85)-$D$266)</f>
        <v>-0.79430659082010102</v>
      </c>
      <c r="AU271" s="7">
        <f>(((AU351-AT351)*(AU353/100)*0.85)-AU266)-((($E$351-$D$351)*($E$353/100)*0.85)-$E$266)</f>
        <v>-0.9670292903648825</v>
      </c>
      <c r="AV271" s="7">
        <f>(((AV351-AU351)*(AV353/100)*0.85)-AV266)-((($F$351-$E$351)*($F$353/100)*0.85)-$F$266)</f>
        <v>-1.0697116786553469</v>
      </c>
      <c r="AW271" s="7">
        <f>(((AW351-AV351)*(AW353/100)*0.85)-AW266)-((($G$351-$F$351)*($G$353/100)*0.85)-$G$266)</f>
        <v>0.74851330654714232</v>
      </c>
      <c r="AX271" s="7">
        <f>AX268*0.85</f>
        <v>0</v>
      </c>
      <c r="AY271" s="2"/>
      <c r="AZ271" s="13"/>
      <c r="BB271" s="379"/>
      <c r="BC271" s="379"/>
      <c r="BD271" s="379"/>
      <c r="BE271" s="379"/>
      <c r="BF271" s="379"/>
      <c r="BG271" s="379"/>
    </row>
    <row r="272" spans="1:59" x14ac:dyDescent="0.25">
      <c r="A272" s="17" t="s">
        <v>49</v>
      </c>
      <c r="B272" s="293"/>
      <c r="C272" s="293"/>
      <c r="D272" s="293"/>
      <c r="E272" s="293"/>
      <c r="F272" s="293"/>
      <c r="G272" s="293"/>
      <c r="H272" s="293"/>
      <c r="I272" s="293"/>
      <c r="J272" s="293"/>
      <c r="K272" s="293"/>
      <c r="L272" s="293"/>
      <c r="M272" s="293"/>
      <c r="N272" s="293"/>
      <c r="P272" s="293"/>
      <c r="Q272" s="293"/>
      <c r="R272" s="293"/>
      <c r="S272" s="293"/>
      <c r="T272" s="293"/>
      <c r="U272" s="293"/>
      <c r="W272" s="293"/>
      <c r="X272" s="293"/>
      <c r="Y272" s="293"/>
      <c r="Z272" s="293"/>
      <c r="AA272" s="293"/>
      <c r="AB272" s="293"/>
      <c r="AD272" s="293"/>
      <c r="AE272" s="293"/>
      <c r="AF272" s="293"/>
      <c r="AG272" s="293"/>
      <c r="AH272" s="293"/>
      <c r="AI272" s="293"/>
      <c r="AK272" s="293"/>
      <c r="AL272" s="293"/>
      <c r="AM272" s="293"/>
      <c r="AN272" s="293"/>
      <c r="AO272" s="293"/>
      <c r="AP272" s="293"/>
      <c r="AR272" s="293"/>
      <c r="AS272" s="293"/>
      <c r="AT272" s="293"/>
      <c r="AU272" s="293"/>
      <c r="AV272" s="293"/>
      <c r="AW272" s="293"/>
    </row>
    <row r="273" spans="1:53" x14ac:dyDescent="0.25">
      <c r="A273" s="42" t="s">
        <v>402</v>
      </c>
      <c r="B273" s="14">
        <v>0.56000000000000005</v>
      </c>
      <c r="C273" s="14">
        <v>0.56000000000000005</v>
      </c>
      <c r="D273" s="14">
        <v>0.56000000000000005</v>
      </c>
      <c r="E273" s="14">
        <v>0.56000000000000005</v>
      </c>
      <c r="F273" s="14">
        <v>0.56000000000000005</v>
      </c>
      <c r="G273" s="14">
        <v>0.56000000000000005</v>
      </c>
      <c r="H273" s="403"/>
      <c r="I273" s="14">
        <v>0.56000000000000005</v>
      </c>
      <c r="J273" s="14">
        <v>0.56000000000000005</v>
      </c>
      <c r="K273" s="14">
        <v>0.56000000000000005</v>
      </c>
      <c r="L273" s="14">
        <v>0.56000000000000005</v>
      </c>
      <c r="M273" s="14">
        <v>0.56000000000000005</v>
      </c>
      <c r="N273" s="14">
        <v>0.56000000000000005</v>
      </c>
      <c r="P273" s="14">
        <v>0.56000000000000005</v>
      </c>
      <c r="Q273" s="14">
        <v>0.56000000000000005</v>
      </c>
      <c r="R273" s="14">
        <v>0.56000000000000005</v>
      </c>
      <c r="S273" s="14">
        <v>0.56000000000000005</v>
      </c>
      <c r="T273" s="14">
        <v>0.56000000000000005</v>
      </c>
      <c r="U273" s="14">
        <v>0.56000000000000005</v>
      </c>
      <c r="W273" s="14">
        <v>0.56000000000000005</v>
      </c>
      <c r="X273" s="14">
        <v>0.56000000000000005</v>
      </c>
      <c r="Y273" s="14">
        <v>0.56000000000000005</v>
      </c>
      <c r="Z273" s="14">
        <v>0.56000000000000005</v>
      </c>
      <c r="AA273" s="14">
        <v>0.56000000000000005</v>
      </c>
      <c r="AB273" s="14">
        <v>0.56000000000000005</v>
      </c>
      <c r="AD273" s="14">
        <v>0.56000000000000005</v>
      </c>
      <c r="AE273" s="14">
        <v>0.56000000000000005</v>
      </c>
      <c r="AF273" s="14">
        <v>0.56000000000000005</v>
      </c>
      <c r="AG273" s="14">
        <v>0.56000000000000005</v>
      </c>
      <c r="AH273" s="14">
        <v>0.56000000000000005</v>
      </c>
      <c r="AI273" s="14">
        <v>0.56000000000000005</v>
      </c>
      <c r="AK273" s="14">
        <v>0.56000000000000005</v>
      </c>
      <c r="AL273" s="14">
        <v>0.56000000000000005</v>
      </c>
      <c r="AM273" s="14">
        <v>0.56000000000000005</v>
      </c>
      <c r="AN273" s="14">
        <v>0.56000000000000005</v>
      </c>
      <c r="AO273" s="14">
        <v>0.56000000000000005</v>
      </c>
      <c r="AP273" s="14">
        <v>0.56000000000000005</v>
      </c>
      <c r="AR273" s="14">
        <v>0.56000000000000005</v>
      </c>
      <c r="AS273" s="14">
        <v>0.56000000000000005</v>
      </c>
      <c r="AT273" s="14">
        <v>0.56000000000000005</v>
      </c>
      <c r="AU273" s="14">
        <v>0.56000000000000005</v>
      </c>
      <c r="AV273" s="14">
        <v>0.56000000000000005</v>
      </c>
      <c r="AW273" s="14">
        <v>0.56000000000000005</v>
      </c>
      <c r="BA273" s="2"/>
    </row>
    <row r="274" spans="1:53" x14ac:dyDescent="0.25">
      <c r="A274" s="42" t="s">
        <v>401</v>
      </c>
      <c r="B274" s="14"/>
      <c r="C274" s="14"/>
      <c r="D274" s="14"/>
      <c r="E274" s="14"/>
      <c r="F274" s="14"/>
      <c r="G274" s="14"/>
      <c r="H274" s="231"/>
      <c r="I274" s="14"/>
      <c r="J274" s="14"/>
      <c r="K274" s="14"/>
      <c r="L274" s="14"/>
      <c r="M274" s="14"/>
      <c r="N274" s="14"/>
      <c r="O274" s="200"/>
      <c r="P274" s="14"/>
      <c r="Q274" s="14"/>
      <c r="R274" s="14"/>
      <c r="S274" s="14"/>
      <c r="T274" s="14"/>
      <c r="U274" s="14"/>
      <c r="W274" s="14"/>
      <c r="X274" s="14"/>
      <c r="Y274" s="14"/>
      <c r="Z274" s="14"/>
      <c r="AA274" s="14"/>
      <c r="AB274" s="14"/>
      <c r="AD274" s="14"/>
      <c r="AE274" s="14"/>
      <c r="AF274" s="14"/>
      <c r="AG274" s="14"/>
      <c r="AH274" s="14"/>
      <c r="AI274" s="14"/>
      <c r="AK274" s="14"/>
      <c r="AL274" s="14"/>
      <c r="AM274" s="14"/>
      <c r="AN274" s="14"/>
      <c r="AO274" s="14"/>
      <c r="AP274" s="14"/>
      <c r="AR274" s="14"/>
      <c r="AS274" s="14"/>
      <c r="AT274" s="14"/>
      <c r="AU274" s="14"/>
      <c r="AV274" s="14"/>
      <c r="AW274" s="14"/>
    </row>
    <row r="275" spans="1:53" x14ac:dyDescent="0.25">
      <c r="A275" s="43" t="s">
        <v>400</v>
      </c>
      <c r="B275" s="14">
        <f t="shared" ref="B275:G275" si="111" xml:space="preserve"> 0.000000416*((B5+B6)/2)^2 - 0.000036654*((B5+B6)/2) + 0.280606061</f>
        <v>0.28002731600000003</v>
      </c>
      <c r="C275" s="14">
        <f t="shared" si="111"/>
        <v>0.281219626</v>
      </c>
      <c r="D275" s="14">
        <f t="shared" si="111"/>
        <v>0.28362810100000002</v>
      </c>
      <c r="E275" s="14">
        <f t="shared" si="111"/>
        <v>0.28748674100000005</v>
      </c>
      <c r="F275" s="14">
        <f t="shared" si="111"/>
        <v>0.29267658100000005</v>
      </c>
      <c r="G275" s="14">
        <f t="shared" si="111"/>
        <v>0.29964938600000002</v>
      </c>
      <c r="H275" s="231"/>
      <c r="I275" s="14">
        <f t="shared" ref="I275:N275" si="112" xml:space="preserve"> 0.000000416*((I5+I6)/2)^2 - 0.000036654*((I5+I6)/2) + 0.280606061</f>
        <v>0.28002731600000003</v>
      </c>
      <c r="J275" s="14">
        <f t="shared" si="112"/>
        <v>0.281219626</v>
      </c>
      <c r="K275" s="14">
        <f t="shared" si="112"/>
        <v>0.28362810100000002</v>
      </c>
      <c r="L275" s="14">
        <f t="shared" si="112"/>
        <v>0.28748674100000005</v>
      </c>
      <c r="M275" s="14">
        <f t="shared" si="112"/>
        <v>0.29267658100000005</v>
      </c>
      <c r="N275" s="14">
        <f t="shared" si="112"/>
        <v>0.29964938600000002</v>
      </c>
      <c r="O275" s="200"/>
      <c r="P275" s="14">
        <f t="shared" ref="P275:U275" si="113" xml:space="preserve"> 0.000000416*((P5+P6)/2)^2 - 0.000036654*((P5+P6)/2) + 0.280606061</f>
        <v>0.28002731600000003</v>
      </c>
      <c r="Q275" s="14">
        <f t="shared" si="113"/>
        <v>0.281219626</v>
      </c>
      <c r="R275" s="14">
        <f t="shared" si="113"/>
        <v>0.28362810100000002</v>
      </c>
      <c r="S275" s="14">
        <f t="shared" si="113"/>
        <v>0.28748674100000005</v>
      </c>
      <c r="T275" s="14">
        <f t="shared" si="113"/>
        <v>0.29267658100000005</v>
      </c>
      <c r="U275" s="14">
        <f t="shared" si="113"/>
        <v>0.29964938600000002</v>
      </c>
      <c r="W275" s="14">
        <f t="shared" ref="W275:AB275" si="114" xml:space="preserve"> 0.000000416*((W5+W6)/2)^2 - 0.000036654*((W5+W6)/2) + 0.280606061</f>
        <v>0.28002731600000003</v>
      </c>
      <c r="X275" s="14">
        <f t="shared" si="114"/>
        <v>0.281219626</v>
      </c>
      <c r="Y275" s="14">
        <f t="shared" si="114"/>
        <v>0.28362810100000002</v>
      </c>
      <c r="Z275" s="14">
        <f t="shared" si="114"/>
        <v>0.28748674100000005</v>
      </c>
      <c r="AA275" s="14">
        <f t="shared" si="114"/>
        <v>0.29267658100000005</v>
      </c>
      <c r="AB275" s="14">
        <f t="shared" si="114"/>
        <v>0.29964938600000002</v>
      </c>
      <c r="AD275" s="14">
        <f t="shared" ref="AD275:AI275" si="115" xml:space="preserve"> 0.000000416*((AD5+AD6)/2)^2 - 0.000036654*((AD5+AD6)/2) + 0.280606061</f>
        <v>0.28002731600000003</v>
      </c>
      <c r="AE275" s="14">
        <f t="shared" si="115"/>
        <v>0.281219626</v>
      </c>
      <c r="AF275" s="14">
        <f t="shared" si="115"/>
        <v>0.28362810100000002</v>
      </c>
      <c r="AG275" s="14">
        <f t="shared" si="115"/>
        <v>0.28748674100000005</v>
      </c>
      <c r="AH275" s="14">
        <f t="shared" si="115"/>
        <v>0.29267658100000005</v>
      </c>
      <c r="AI275" s="14">
        <f t="shared" si="115"/>
        <v>0.29964938600000002</v>
      </c>
      <c r="AK275" s="14">
        <f t="shared" ref="AK275:AP275" si="116" xml:space="preserve"> 0.000000416*((AK5+AK6)/2)^2 - 0.000036654*((AK5+AK6)/2) + 0.280606061</f>
        <v>0.28002731600000003</v>
      </c>
      <c r="AL275" s="14">
        <f t="shared" si="116"/>
        <v>0.281219626</v>
      </c>
      <c r="AM275" s="14">
        <f t="shared" si="116"/>
        <v>0.28362810100000002</v>
      </c>
      <c r="AN275" s="14">
        <f t="shared" si="116"/>
        <v>0.28748674100000005</v>
      </c>
      <c r="AO275" s="14">
        <f t="shared" si="116"/>
        <v>0.29267658100000005</v>
      </c>
      <c r="AP275" s="14">
        <f t="shared" si="116"/>
        <v>0.29964938600000002</v>
      </c>
      <c r="AR275" s="14">
        <f t="shared" ref="AR275:AW275" si="117" xml:space="preserve"> 0.000000416*((AR5+AR6)/2)^2 - 0.000036654*((AR5+AR6)/2) + 0.280606061</f>
        <v>0.28002731600000003</v>
      </c>
      <c r="AS275" s="14">
        <f t="shared" si="117"/>
        <v>0.281219626</v>
      </c>
      <c r="AT275" s="14">
        <f t="shared" si="117"/>
        <v>0.28362810100000002</v>
      </c>
      <c r="AU275" s="14">
        <f t="shared" si="117"/>
        <v>0.28748674100000005</v>
      </c>
      <c r="AV275" s="14">
        <f t="shared" si="117"/>
        <v>0.29267658100000005</v>
      </c>
      <c r="AW275" s="14">
        <f t="shared" si="117"/>
        <v>0.29964938600000002</v>
      </c>
    </row>
    <row r="276" spans="1:53" x14ac:dyDescent="0.25">
      <c r="A276" s="43" t="s">
        <v>399</v>
      </c>
      <c r="B276" s="14">
        <v>0.55900000000000005</v>
      </c>
      <c r="C276" s="14">
        <v>0.55900000000000005</v>
      </c>
      <c r="D276" s="14">
        <v>0.55900000000000005</v>
      </c>
      <c r="E276" s="14">
        <v>0.56899999999999995</v>
      </c>
      <c r="F276" s="14">
        <v>0.56899999999999995</v>
      </c>
      <c r="G276" s="14">
        <v>0.57899999999999996</v>
      </c>
      <c r="H276" s="231"/>
      <c r="I276" s="14">
        <v>0.55900000000000005</v>
      </c>
      <c r="J276" s="14">
        <v>0.55900000000000005</v>
      </c>
      <c r="K276" s="14">
        <v>0.55900000000000005</v>
      </c>
      <c r="L276" s="14">
        <v>0.56899999999999995</v>
      </c>
      <c r="M276" s="14">
        <v>0.56899999999999995</v>
      </c>
      <c r="N276" s="14">
        <v>0.57899999999999996</v>
      </c>
      <c r="O276" s="200"/>
      <c r="P276" s="14">
        <v>0.55900000000000005</v>
      </c>
      <c r="Q276" s="14">
        <v>0.55900000000000005</v>
      </c>
      <c r="R276" s="14">
        <v>0.55900000000000005</v>
      </c>
      <c r="S276" s="14">
        <v>0.56899999999999995</v>
      </c>
      <c r="T276" s="14">
        <v>0.56899999999999995</v>
      </c>
      <c r="U276" s="14">
        <v>0.57899999999999996</v>
      </c>
      <c r="W276" s="14">
        <v>0.55900000000000005</v>
      </c>
      <c r="X276" s="14">
        <v>0.55900000000000005</v>
      </c>
      <c r="Y276" s="14">
        <v>0.55900000000000005</v>
      </c>
      <c r="Z276" s="14">
        <v>0.56899999999999995</v>
      </c>
      <c r="AA276" s="14">
        <v>0.56899999999999995</v>
      </c>
      <c r="AB276" s="14">
        <v>0.57899999999999996</v>
      </c>
      <c r="AD276" s="14">
        <v>0.55900000000000005</v>
      </c>
      <c r="AE276" s="14">
        <v>0.55900000000000005</v>
      </c>
      <c r="AF276" s="14">
        <v>0.55900000000000005</v>
      </c>
      <c r="AG276" s="14">
        <v>0.56899999999999995</v>
      </c>
      <c r="AH276" s="14">
        <v>0.56899999999999995</v>
      </c>
      <c r="AI276" s="14">
        <v>0.57899999999999996</v>
      </c>
      <c r="AK276" s="14">
        <v>0.55900000000000005</v>
      </c>
      <c r="AL276" s="14">
        <v>0.55900000000000005</v>
      </c>
      <c r="AM276" s="14">
        <v>0.55900000000000005</v>
      </c>
      <c r="AN276" s="14">
        <v>0.56899999999999995</v>
      </c>
      <c r="AO276" s="14">
        <v>0.56899999999999995</v>
      </c>
      <c r="AP276" s="14">
        <v>0.57899999999999996</v>
      </c>
      <c r="AR276" s="14">
        <v>0.55900000000000005</v>
      </c>
      <c r="AS276" s="14">
        <v>0.55900000000000005</v>
      </c>
      <c r="AT276" s="14">
        <v>0.55900000000000005</v>
      </c>
      <c r="AU276" s="14">
        <v>0.56899999999999995</v>
      </c>
      <c r="AV276" s="14">
        <v>0.56899999999999995</v>
      </c>
      <c r="AW276" s="14">
        <v>0.57899999999999996</v>
      </c>
    </row>
    <row r="277" spans="1:53" x14ac:dyDescent="0.25">
      <c r="A277" s="43" t="s">
        <v>398</v>
      </c>
      <c r="B277" s="14">
        <v>0.61899999999999999</v>
      </c>
      <c r="C277" s="14">
        <v>0.61899999999999999</v>
      </c>
      <c r="D277" s="14">
        <v>0.61899999999999999</v>
      </c>
      <c r="E277" s="14">
        <v>0.629</v>
      </c>
      <c r="F277" s="14">
        <v>0.629</v>
      </c>
      <c r="G277" s="14">
        <v>0.63900000000000001</v>
      </c>
      <c r="H277" s="231"/>
      <c r="I277" s="14">
        <v>0.61899999999999999</v>
      </c>
      <c r="J277" s="14">
        <v>0.61899999999999999</v>
      </c>
      <c r="K277" s="14">
        <v>0.61899999999999999</v>
      </c>
      <c r="L277" s="14">
        <v>0.629</v>
      </c>
      <c r="M277" s="14">
        <v>0.629</v>
      </c>
      <c r="N277" s="14">
        <v>0.63900000000000001</v>
      </c>
      <c r="O277" s="200"/>
      <c r="P277" s="14">
        <v>0.61899999999999999</v>
      </c>
      <c r="Q277" s="14">
        <v>0.61899999999999999</v>
      </c>
      <c r="R277" s="14">
        <v>0.61899999999999999</v>
      </c>
      <c r="S277" s="14">
        <v>0.629</v>
      </c>
      <c r="T277" s="14">
        <v>0.629</v>
      </c>
      <c r="U277" s="14">
        <v>0.63900000000000001</v>
      </c>
      <c r="W277" s="14">
        <v>0.61899999999999999</v>
      </c>
      <c r="X277" s="14">
        <v>0.61899999999999999</v>
      </c>
      <c r="Y277" s="14">
        <v>0.61899999999999999</v>
      </c>
      <c r="Z277" s="14">
        <v>0.629</v>
      </c>
      <c r="AA277" s="14">
        <v>0.629</v>
      </c>
      <c r="AB277" s="14">
        <v>0.63900000000000001</v>
      </c>
      <c r="AD277" s="14">
        <v>0.61899999999999999</v>
      </c>
      <c r="AE277" s="14">
        <v>0.61899999999999999</v>
      </c>
      <c r="AF277" s="14">
        <v>0.61899999999999999</v>
      </c>
      <c r="AG277" s="14">
        <v>0.629</v>
      </c>
      <c r="AH277" s="14">
        <v>0.629</v>
      </c>
      <c r="AI277" s="14">
        <v>0.63900000000000001</v>
      </c>
      <c r="AK277" s="14">
        <v>0.61899999999999999</v>
      </c>
      <c r="AL277" s="14">
        <v>0.61899999999999999</v>
      </c>
      <c r="AM277" s="14">
        <v>0.61899999999999999</v>
      </c>
      <c r="AN277" s="14">
        <v>0.629</v>
      </c>
      <c r="AO277" s="14">
        <v>0.629</v>
      </c>
      <c r="AP277" s="14">
        <v>0.63900000000000001</v>
      </c>
      <c r="AR277" s="14">
        <v>0.61899999999999999</v>
      </c>
      <c r="AS277" s="14">
        <v>0.61899999999999999</v>
      </c>
      <c r="AT277" s="14">
        <v>0.61899999999999999</v>
      </c>
      <c r="AU277" s="14">
        <v>0.629</v>
      </c>
      <c r="AV277" s="14">
        <v>0.629</v>
      </c>
      <c r="AW277" s="14">
        <v>0.63900000000000001</v>
      </c>
    </row>
    <row r="278" spans="1:53" x14ac:dyDescent="0.25">
      <c r="A278" s="43" t="s">
        <v>397</v>
      </c>
      <c r="B278" s="14">
        <v>0.189</v>
      </c>
      <c r="C278" s="14">
        <v>0.189</v>
      </c>
      <c r="D278" s="14">
        <v>0.189</v>
      </c>
      <c r="E278" s="14">
        <v>0.189</v>
      </c>
      <c r="F278" s="14">
        <v>0.189</v>
      </c>
      <c r="G278" s="14">
        <v>0.189</v>
      </c>
      <c r="H278" s="231"/>
      <c r="I278" s="14">
        <v>0.189</v>
      </c>
      <c r="J278" s="14">
        <v>0.189</v>
      </c>
      <c r="K278" s="14">
        <v>0.189</v>
      </c>
      <c r="L278" s="14">
        <v>0.189</v>
      </c>
      <c r="M278" s="14">
        <v>0.189</v>
      </c>
      <c r="N278" s="14">
        <v>0.189</v>
      </c>
      <c r="O278" s="200"/>
      <c r="P278" s="14">
        <v>0.189</v>
      </c>
      <c r="Q278" s="14">
        <v>0.189</v>
      </c>
      <c r="R278" s="14">
        <v>0.189</v>
      </c>
      <c r="S278" s="14">
        <v>0.189</v>
      </c>
      <c r="T278" s="14">
        <v>0.189</v>
      </c>
      <c r="U278" s="14">
        <v>0.189</v>
      </c>
      <c r="W278" s="14">
        <v>0.189</v>
      </c>
      <c r="X278" s="14">
        <v>0.189</v>
      </c>
      <c r="Y278" s="14">
        <v>0.189</v>
      </c>
      <c r="Z278" s="14">
        <v>0.189</v>
      </c>
      <c r="AA278" s="14">
        <v>0.189</v>
      </c>
      <c r="AB278" s="14">
        <v>0.189</v>
      </c>
      <c r="AD278" s="14">
        <v>0.189</v>
      </c>
      <c r="AE278" s="14">
        <v>0.189</v>
      </c>
      <c r="AF278" s="14">
        <v>0.189</v>
      </c>
      <c r="AG278" s="14">
        <v>0.189</v>
      </c>
      <c r="AH278" s="14">
        <v>0.189</v>
      </c>
      <c r="AI278" s="14">
        <v>0.189</v>
      </c>
      <c r="AK278" s="14">
        <v>0.189</v>
      </c>
      <c r="AL278" s="14">
        <v>0.189</v>
      </c>
      <c r="AM278" s="14">
        <v>0.189</v>
      </c>
      <c r="AN278" s="14">
        <v>0.189</v>
      </c>
      <c r="AO278" s="14">
        <v>0.189</v>
      </c>
      <c r="AP278" s="14">
        <v>0.189</v>
      </c>
      <c r="AR278" s="14">
        <v>0.189</v>
      </c>
      <c r="AS278" s="14">
        <v>0.189</v>
      </c>
      <c r="AT278" s="14">
        <v>0.189</v>
      </c>
      <c r="AU278" s="14">
        <v>0.189</v>
      </c>
      <c r="AV278" s="14">
        <v>0.189</v>
      </c>
      <c r="AW278" s="14">
        <v>0.189</v>
      </c>
    </row>
    <row r="279" spans="1:53" x14ac:dyDescent="0.25">
      <c r="A279" s="43" t="s">
        <v>396</v>
      </c>
      <c r="B279" s="14">
        <v>0.67900000000000005</v>
      </c>
      <c r="C279" s="14">
        <v>0.67900000000000005</v>
      </c>
      <c r="D279" s="14">
        <v>0.67900000000000005</v>
      </c>
      <c r="E279" s="14">
        <v>0.67900000000000005</v>
      </c>
      <c r="F279" s="14">
        <v>0.67900000000000005</v>
      </c>
      <c r="G279" s="14">
        <v>0.67900000000000005</v>
      </c>
      <c r="H279" s="231"/>
      <c r="I279" s="14">
        <v>0.67900000000000005</v>
      </c>
      <c r="J279" s="14">
        <v>0.67900000000000005</v>
      </c>
      <c r="K279" s="14">
        <v>0.67900000000000005</v>
      </c>
      <c r="L279" s="14">
        <v>0.67900000000000005</v>
      </c>
      <c r="M279" s="14">
        <v>0.67900000000000005</v>
      </c>
      <c r="N279" s="14">
        <v>0.67900000000000005</v>
      </c>
      <c r="O279" s="200"/>
      <c r="P279" s="14">
        <v>0.67900000000000005</v>
      </c>
      <c r="Q279" s="14">
        <v>0.67900000000000005</v>
      </c>
      <c r="R279" s="14">
        <v>0.67900000000000005</v>
      </c>
      <c r="S279" s="14">
        <v>0.67900000000000005</v>
      </c>
      <c r="T279" s="14">
        <v>0.67900000000000005</v>
      </c>
      <c r="U279" s="14">
        <v>0.67900000000000005</v>
      </c>
      <c r="W279" s="14">
        <v>0.67900000000000005</v>
      </c>
      <c r="X279" s="14">
        <v>0.67900000000000005</v>
      </c>
      <c r="Y279" s="14">
        <v>0.67900000000000005</v>
      </c>
      <c r="Z279" s="14">
        <v>0.67900000000000005</v>
      </c>
      <c r="AA279" s="14">
        <v>0.67900000000000005</v>
      </c>
      <c r="AB279" s="14">
        <v>0.67900000000000005</v>
      </c>
      <c r="AD279" s="14">
        <v>0.67900000000000005</v>
      </c>
      <c r="AE279" s="14">
        <v>0.67900000000000005</v>
      </c>
      <c r="AF279" s="14">
        <v>0.67900000000000005</v>
      </c>
      <c r="AG279" s="14">
        <v>0.67900000000000005</v>
      </c>
      <c r="AH279" s="14">
        <v>0.67900000000000005</v>
      </c>
      <c r="AI279" s="14">
        <v>0.67900000000000005</v>
      </c>
      <c r="AK279" s="14">
        <v>0.67900000000000005</v>
      </c>
      <c r="AL279" s="14">
        <v>0.67900000000000005</v>
      </c>
      <c r="AM279" s="14">
        <v>0.67900000000000005</v>
      </c>
      <c r="AN279" s="14">
        <v>0.67900000000000005</v>
      </c>
      <c r="AO279" s="14">
        <v>0.67900000000000005</v>
      </c>
      <c r="AP279" s="14">
        <v>0.67900000000000005</v>
      </c>
      <c r="AR279" s="14">
        <v>0.67900000000000005</v>
      </c>
      <c r="AS279" s="14">
        <v>0.67900000000000005</v>
      </c>
      <c r="AT279" s="14">
        <v>0.67900000000000005</v>
      </c>
      <c r="AU279" s="14">
        <v>0.67900000000000005</v>
      </c>
      <c r="AV279" s="14">
        <v>0.67900000000000005</v>
      </c>
      <c r="AW279" s="14">
        <v>0.67900000000000005</v>
      </c>
    </row>
    <row r="280" spans="1:53" x14ac:dyDescent="0.25">
      <c r="A280" s="43" t="s">
        <v>395</v>
      </c>
      <c r="B280" s="14">
        <v>0.31</v>
      </c>
      <c r="C280" s="14">
        <v>0.31</v>
      </c>
      <c r="D280" s="14">
        <v>0.31</v>
      </c>
      <c r="E280" s="14">
        <v>0.31</v>
      </c>
      <c r="F280" s="14">
        <v>0.31</v>
      </c>
      <c r="G280" s="14">
        <v>0.31</v>
      </c>
      <c r="H280" s="231"/>
      <c r="I280" s="14">
        <v>0.31</v>
      </c>
      <c r="J280" s="14">
        <v>0.31</v>
      </c>
      <c r="K280" s="14">
        <v>0.31</v>
      </c>
      <c r="L280" s="14">
        <v>0.31</v>
      </c>
      <c r="M280" s="14">
        <v>0.31</v>
      </c>
      <c r="N280" s="14">
        <v>0.31</v>
      </c>
      <c r="O280" s="200"/>
      <c r="P280" s="14">
        <v>0.31</v>
      </c>
      <c r="Q280" s="14">
        <v>0.31</v>
      </c>
      <c r="R280" s="14">
        <v>0.31</v>
      </c>
      <c r="S280" s="14">
        <v>0.31</v>
      </c>
      <c r="T280" s="14">
        <v>0.31</v>
      </c>
      <c r="U280" s="14">
        <v>0.31</v>
      </c>
      <c r="W280" s="14">
        <v>0.31</v>
      </c>
      <c r="X280" s="14">
        <v>0.31</v>
      </c>
      <c r="Y280" s="14">
        <v>0.31</v>
      </c>
      <c r="Z280" s="14">
        <v>0.31</v>
      </c>
      <c r="AA280" s="14">
        <v>0.31</v>
      </c>
      <c r="AB280" s="14">
        <v>0.31</v>
      </c>
      <c r="AD280" s="14">
        <v>0.31</v>
      </c>
      <c r="AE280" s="14">
        <v>0.31</v>
      </c>
      <c r="AF280" s="14">
        <v>0.31</v>
      </c>
      <c r="AG280" s="14">
        <v>0.31</v>
      </c>
      <c r="AH280" s="14">
        <v>0.31</v>
      </c>
      <c r="AI280" s="14">
        <v>0.31</v>
      </c>
      <c r="AK280" s="14">
        <v>0.31</v>
      </c>
      <c r="AL280" s="14">
        <v>0.31</v>
      </c>
      <c r="AM280" s="14">
        <v>0.31</v>
      </c>
      <c r="AN280" s="14">
        <v>0.31</v>
      </c>
      <c r="AO280" s="14">
        <v>0.31</v>
      </c>
      <c r="AP280" s="14">
        <v>0.31</v>
      </c>
      <c r="AR280" s="14">
        <v>0.31</v>
      </c>
      <c r="AS280" s="14">
        <v>0.31</v>
      </c>
      <c r="AT280" s="14">
        <v>0.31</v>
      </c>
      <c r="AU280" s="14">
        <v>0.31</v>
      </c>
      <c r="AV280" s="14">
        <v>0.31</v>
      </c>
      <c r="AW280" s="14">
        <v>0.31</v>
      </c>
    </row>
    <row r="281" spans="1:53" x14ac:dyDescent="0.25">
      <c r="A281" s="50" t="s">
        <v>149</v>
      </c>
      <c r="B281" s="28">
        <f t="shared" ref="B281:G281" si="118">IF(AVERAGE(B5:B6)&lt;51,0.000025*((B6+B5)/2)^2 - 0.01005*((B6+B5)/2) + 1.5955,(0.00000649518*((B5+B6)/2)^2 - 0.00338103746*((B5+B6)/2) + 1.049852))</f>
        <v>0.85122563532500006</v>
      </c>
      <c r="C281" s="28">
        <f t="shared" si="118"/>
        <v>0.77153564522499996</v>
      </c>
      <c r="D281" s="28">
        <f t="shared" si="118"/>
        <v>0.70381228360000003</v>
      </c>
      <c r="E281" s="28">
        <f t="shared" si="118"/>
        <v>0.65170908920000004</v>
      </c>
      <c r="F281" s="28">
        <f t="shared" si="118"/>
        <v>0.62039047080000009</v>
      </c>
      <c r="G281" s="28">
        <f t="shared" si="118"/>
        <v>0.60988816362500009</v>
      </c>
      <c r="H281" s="28"/>
      <c r="I281" s="28">
        <f t="shared" ref="I281:N281" si="119">IF(AVERAGE(I5:I6)&lt;51,0.000025*((I6+I5)/2)^2 - 0.01005*((I6+I5)/2) + 1.5955,(0.00000649518*((I5+I6)/2)^2 - 0.00338103746*((I5+I6)/2) + 1.049852))</f>
        <v>0.85122563532500006</v>
      </c>
      <c r="J281" s="28">
        <f t="shared" si="119"/>
        <v>0.77153564522499996</v>
      </c>
      <c r="K281" s="28">
        <f t="shared" si="119"/>
        <v>0.70381228360000003</v>
      </c>
      <c r="L281" s="28">
        <f t="shared" si="119"/>
        <v>0.65170908920000004</v>
      </c>
      <c r="M281" s="28">
        <f t="shared" si="119"/>
        <v>0.62039047080000009</v>
      </c>
      <c r="N281" s="28">
        <f t="shared" si="119"/>
        <v>0.60988816362500009</v>
      </c>
      <c r="O281" s="200"/>
      <c r="P281" s="28">
        <f t="shared" ref="P281:U281" si="120">IF(AVERAGE(P5:P6)&lt;51,0.000025*((P6+P5)/2)^2 - 0.01005*((P6+P5)/2) + 1.5955,(0.00000649518*((P5+P6)/2)^2 - 0.00338103746*((P5+P6)/2) + 1.049852))</f>
        <v>0.85122563532500006</v>
      </c>
      <c r="Q281" s="28">
        <f t="shared" si="120"/>
        <v>0.77153564522499996</v>
      </c>
      <c r="R281" s="28">
        <f t="shared" si="120"/>
        <v>0.70381228360000003</v>
      </c>
      <c r="S281" s="28">
        <f t="shared" si="120"/>
        <v>0.65170908920000004</v>
      </c>
      <c r="T281" s="28">
        <f t="shared" si="120"/>
        <v>0.62039047080000009</v>
      </c>
      <c r="U281" s="28">
        <f t="shared" si="120"/>
        <v>0.60988816362500009</v>
      </c>
      <c r="W281" s="28">
        <f t="shared" ref="W281:AB281" si="121">IF(AVERAGE(W5:W6)&lt;51,0.000025*((W6+W5)/2)^2 - 0.01005*((W6+W5)/2) + 1.5955,(0.00000649518*((W5+W6)/2)^2 - 0.00338103746*((W5+W6)/2) + 1.049852))</f>
        <v>0.85122563532500006</v>
      </c>
      <c r="X281" s="28">
        <f t="shared" si="121"/>
        <v>0.77153564522499996</v>
      </c>
      <c r="Y281" s="28">
        <f t="shared" si="121"/>
        <v>0.70381228360000003</v>
      </c>
      <c r="Z281" s="28">
        <f t="shared" si="121"/>
        <v>0.65170908920000004</v>
      </c>
      <c r="AA281" s="28">
        <f t="shared" si="121"/>
        <v>0.62039047080000009</v>
      </c>
      <c r="AB281" s="28">
        <f t="shared" si="121"/>
        <v>0.60988816362500009</v>
      </c>
      <c r="AD281" s="28">
        <f t="shared" ref="AD281:AI281" si="122">IF(AVERAGE(AD5:AD6)&lt;51,0.000025*((AD6+AD5)/2)^2 - 0.01005*((AD6+AD5)/2) + 1.5955,(0.00000649518*((AD5+AD6)/2)^2 - 0.00338103746*((AD5+AD6)/2) + 1.049852))</f>
        <v>0.85122563532500006</v>
      </c>
      <c r="AE281" s="28">
        <f t="shared" si="122"/>
        <v>0.77153564522499996</v>
      </c>
      <c r="AF281" s="28">
        <f t="shared" si="122"/>
        <v>0.70381228360000003</v>
      </c>
      <c r="AG281" s="28">
        <f t="shared" si="122"/>
        <v>0.65170908920000004</v>
      </c>
      <c r="AH281" s="28">
        <f t="shared" si="122"/>
        <v>0.62039047080000009</v>
      </c>
      <c r="AI281" s="28">
        <f t="shared" si="122"/>
        <v>0.60988816362500009</v>
      </c>
      <c r="AK281" s="28">
        <f t="shared" ref="AK281:AP281" si="123">IF(AVERAGE(AK5:AK6)&lt;51,0.000025*((AK6+AK5)/2)^2 - 0.01005*((AK6+AK5)/2) + 1.5955,(0.00000649518*((AK5+AK6)/2)^2 - 0.00338103746*((AK5+AK6)/2) + 1.049852))</f>
        <v>0.85122563532500006</v>
      </c>
      <c r="AL281" s="28">
        <f t="shared" si="123"/>
        <v>0.77153564522499996</v>
      </c>
      <c r="AM281" s="28">
        <f t="shared" si="123"/>
        <v>0.70381228360000003</v>
      </c>
      <c r="AN281" s="28">
        <f t="shared" si="123"/>
        <v>0.65170908920000004</v>
      </c>
      <c r="AO281" s="28">
        <f t="shared" si="123"/>
        <v>0.62039047080000009</v>
      </c>
      <c r="AP281" s="28">
        <f t="shared" si="123"/>
        <v>0.60988816362500009</v>
      </c>
      <c r="AR281" s="28">
        <f t="shared" ref="AR281:AW281" si="124">IF(AVERAGE(AR5:AR6)&lt;51,0.000025*((AR6+AR5)/2)^2 - 0.01005*((AR6+AR5)/2) + 1.5955,(0.00000649518*((AR5+AR6)/2)^2 - 0.00338103746*((AR5+AR6)/2) + 1.049852))</f>
        <v>0.85122563532500006</v>
      </c>
      <c r="AS281" s="28">
        <f t="shared" si="124"/>
        <v>0.77153564522499996</v>
      </c>
      <c r="AT281" s="28">
        <f t="shared" si="124"/>
        <v>0.70381228360000003</v>
      </c>
      <c r="AU281" s="28">
        <f t="shared" si="124"/>
        <v>0.65170908920000004</v>
      </c>
      <c r="AV281" s="28">
        <f t="shared" si="124"/>
        <v>0.62039047080000009</v>
      </c>
      <c r="AW281" s="28">
        <f t="shared" si="124"/>
        <v>0.60988816362500009</v>
      </c>
    </row>
    <row r="282" spans="1:53" x14ac:dyDescent="0.25">
      <c r="A282" s="50" t="s">
        <v>150</v>
      </c>
      <c r="B282" s="28">
        <f t="shared" ref="B282:G282" si="125">IF(AVERAGE(B5:B6)&lt;51,0.000025*((B6+B5)/2)^2 - 0.01005*((B6+B5)/2) + 1.5955,0.00000649518*((B6+B5)/2)^2 - 0.00338103746*((B6+B5)/2) + 1.3529)</f>
        <v>1.154273635325</v>
      </c>
      <c r="C282" s="28">
        <f t="shared" si="125"/>
        <v>1.0745836452249999</v>
      </c>
      <c r="D282" s="28">
        <f t="shared" si="125"/>
        <v>1.0068602836</v>
      </c>
      <c r="E282" s="28">
        <f t="shared" si="125"/>
        <v>0.95475708920000002</v>
      </c>
      <c r="F282" s="28">
        <f t="shared" si="125"/>
        <v>0.92343847080000008</v>
      </c>
      <c r="G282" s="28">
        <f t="shared" si="125"/>
        <v>0.91293616362500007</v>
      </c>
      <c r="H282" s="28"/>
      <c r="I282" s="28">
        <f t="shared" ref="I282:N282" si="126">IF(AVERAGE(I5:I6)&lt;51,0.000025*((I6+I5)/2)^2 - 0.01005*((I6+I5)/2) + 1.5955,0.00000649518*((I6+I5)/2)^2 - 0.00338103746*((I6+I5)/2) + 1.3529)</f>
        <v>1.154273635325</v>
      </c>
      <c r="J282" s="28">
        <f t="shared" si="126"/>
        <v>1.0745836452249999</v>
      </c>
      <c r="K282" s="28">
        <f t="shared" si="126"/>
        <v>1.0068602836</v>
      </c>
      <c r="L282" s="28">
        <f t="shared" si="126"/>
        <v>0.95475708920000002</v>
      </c>
      <c r="M282" s="28">
        <f t="shared" si="126"/>
        <v>0.92343847080000008</v>
      </c>
      <c r="N282" s="28">
        <f t="shared" si="126"/>
        <v>0.91293616362500007</v>
      </c>
      <c r="O282" s="28"/>
      <c r="P282" s="28">
        <f t="shared" ref="P282:U282" si="127">IF(AVERAGE(P5:P6)&lt;51,0.000025*((P6+P5)/2)^2 - 0.01005*((P6+P5)/2) + 1.5955,0.00000649518*((P6+P5)/2)^2 - 0.00338103746*((P6+P5)/2) + 1.3529)</f>
        <v>1.154273635325</v>
      </c>
      <c r="Q282" s="28">
        <f t="shared" si="127"/>
        <v>1.0745836452249999</v>
      </c>
      <c r="R282" s="28">
        <f t="shared" si="127"/>
        <v>1.0068602836</v>
      </c>
      <c r="S282" s="28">
        <f t="shared" si="127"/>
        <v>0.95475708920000002</v>
      </c>
      <c r="T282" s="28">
        <f t="shared" si="127"/>
        <v>0.92343847080000008</v>
      </c>
      <c r="U282" s="28">
        <f t="shared" si="127"/>
        <v>0.91293616362500007</v>
      </c>
      <c r="W282" s="28">
        <f t="shared" ref="W282:AB282" si="128">IF(AVERAGE(W5:W6)&lt;51,0.000025*((W6+W5)/2)^2 - 0.01005*((W6+W5)/2) + 1.5955,0.00000649518*((W6+W5)/2)^2 - 0.00338103746*((W6+W5)/2) + 1.3529)</f>
        <v>1.154273635325</v>
      </c>
      <c r="X282" s="28">
        <f t="shared" si="128"/>
        <v>1.0745836452249999</v>
      </c>
      <c r="Y282" s="28">
        <f t="shared" si="128"/>
        <v>1.0068602836</v>
      </c>
      <c r="Z282" s="28">
        <f t="shared" si="128"/>
        <v>0.95475708920000002</v>
      </c>
      <c r="AA282" s="28">
        <f t="shared" si="128"/>
        <v>0.92343847080000008</v>
      </c>
      <c r="AB282" s="28">
        <f t="shared" si="128"/>
        <v>0.91293616362500007</v>
      </c>
      <c r="AD282" s="28">
        <f t="shared" ref="AD282:AI282" si="129">IF(AVERAGE(AD5:AD6)&lt;51,0.000025*((AD6+AD5)/2)^2 - 0.01005*((AD6+AD5)/2) + 1.5955,0.00000649518*((AD6+AD5)/2)^2 - 0.00338103746*((AD6+AD5)/2) + 1.3529)</f>
        <v>1.154273635325</v>
      </c>
      <c r="AE282" s="28">
        <f t="shared" si="129"/>
        <v>1.0745836452249999</v>
      </c>
      <c r="AF282" s="28">
        <f t="shared" si="129"/>
        <v>1.0068602836</v>
      </c>
      <c r="AG282" s="28">
        <f t="shared" si="129"/>
        <v>0.95475708920000002</v>
      </c>
      <c r="AH282" s="28">
        <f t="shared" si="129"/>
        <v>0.92343847080000008</v>
      </c>
      <c r="AI282" s="28">
        <f t="shared" si="129"/>
        <v>0.91293616362500007</v>
      </c>
      <c r="AK282" s="28">
        <f t="shared" ref="AK282:AP282" si="130">IF(AVERAGE(AK5:AK6)&lt;51,0.000025*((AK6+AK5)/2)^2 - 0.01005*((AK6+AK5)/2) + 1.5955,0.00000649518*((AK6+AK5)/2)^2 - 0.00338103746*((AK6+AK5)/2) + 1.3529)</f>
        <v>1.154273635325</v>
      </c>
      <c r="AL282" s="28">
        <f t="shared" si="130"/>
        <v>1.0745836452249999</v>
      </c>
      <c r="AM282" s="28">
        <f t="shared" si="130"/>
        <v>1.0068602836</v>
      </c>
      <c r="AN282" s="28">
        <f t="shared" si="130"/>
        <v>0.95475708920000002</v>
      </c>
      <c r="AO282" s="28">
        <f t="shared" si="130"/>
        <v>0.92343847080000008</v>
      </c>
      <c r="AP282" s="28">
        <f t="shared" si="130"/>
        <v>0.91293616362500007</v>
      </c>
      <c r="AR282" s="28">
        <f t="shared" ref="AR282:AW282" si="131">IF(AVERAGE(AR5:AR6)&lt;51,0.000025*((AR6+AR5)/2)^2 - 0.01005*((AR6+AR5)/2) + 1.5955,0.00000649518*((AR6+AR5)/2)^2 - 0.00338103746*((AR6+AR5)/2) + 1.3529)</f>
        <v>1.154273635325</v>
      </c>
      <c r="AS282" s="28">
        <f t="shared" si="131"/>
        <v>1.0745836452249999</v>
      </c>
      <c r="AT282" s="28">
        <f t="shared" si="131"/>
        <v>1.0068602836</v>
      </c>
      <c r="AU282" s="28">
        <f t="shared" si="131"/>
        <v>0.95475708920000002</v>
      </c>
      <c r="AV282" s="28">
        <f t="shared" si="131"/>
        <v>0.92343847080000008</v>
      </c>
      <c r="AW282" s="28">
        <f t="shared" si="131"/>
        <v>0.91293616362500007</v>
      </c>
    </row>
    <row r="283" spans="1:53" x14ac:dyDescent="0.25">
      <c r="A283" s="15" t="s">
        <v>51</v>
      </c>
      <c r="B283" s="28">
        <f t="shared" ref="B283:G283" si="132">B281*(B246*2.2046)/10000</f>
        <v>0.28053008203811425</v>
      </c>
      <c r="C283" s="28">
        <f t="shared" si="132"/>
        <v>0.2550261869451555</v>
      </c>
      <c r="D283" s="28">
        <f t="shared" si="132"/>
        <v>0.23325719020912211</v>
      </c>
      <c r="E283" s="28">
        <f t="shared" si="132"/>
        <v>0.21659170668863326</v>
      </c>
      <c r="F283" s="28">
        <f t="shared" si="132"/>
        <v>0.20667416767087224</v>
      </c>
      <c r="G283" s="28">
        <f t="shared" si="132"/>
        <v>0.20336945171913379</v>
      </c>
      <c r="H283" s="28"/>
      <c r="I283" s="28">
        <f t="shared" ref="I283:N283" si="133">I281*(I246*2.2046)/10000</f>
        <v>0.28307156540803879</v>
      </c>
      <c r="J283" s="28">
        <f t="shared" si="133"/>
        <v>0.25734302668642206</v>
      </c>
      <c r="K283" s="28">
        <f t="shared" si="133"/>
        <v>0.23538356909284666</v>
      </c>
      <c r="L283" s="28">
        <f t="shared" si="133"/>
        <v>0.21856409882495495</v>
      </c>
      <c r="M283" s="28">
        <f t="shared" si="133"/>
        <v>0.20855123196759132</v>
      </c>
      <c r="N283" s="28">
        <f t="shared" si="133"/>
        <v>0.20336945171913379</v>
      </c>
      <c r="O283" s="28"/>
      <c r="P283" s="28">
        <f t="shared" ref="P283:U283" si="134">P281*(P246*2.2046)/10000</f>
        <v>0.28563440985918986</v>
      </c>
      <c r="Q283" s="28">
        <f t="shared" si="134"/>
        <v>0.25967015644692842</v>
      </c>
      <c r="R283" s="28">
        <f t="shared" si="134"/>
        <v>0.23751878544906707</v>
      </c>
      <c r="S283" s="28">
        <f t="shared" si="134"/>
        <v>0.22053692635377065</v>
      </c>
      <c r="T283" s="28">
        <f t="shared" si="134"/>
        <v>0.21042868579786245</v>
      </c>
      <c r="U283" s="28">
        <f t="shared" si="134"/>
        <v>0.20336945171913379</v>
      </c>
      <c r="W283" s="28">
        <f t="shared" ref="W283:AB283" si="135">W281*(W246*2.2046)/10000</f>
        <v>0.28821765742521011</v>
      </c>
      <c r="X283" s="28">
        <f t="shared" si="135"/>
        <v>0.26202488439689303</v>
      </c>
      <c r="Y283" s="28">
        <f t="shared" si="135"/>
        <v>0.23966063314276556</v>
      </c>
      <c r="Z283" s="28">
        <f t="shared" si="135"/>
        <v>0.22253266156130325</v>
      </c>
      <c r="AA283" s="28">
        <f t="shared" si="135"/>
        <v>0.21233236747940154</v>
      </c>
      <c r="AB283" s="28">
        <f t="shared" si="135"/>
        <v>0.20336945171913379</v>
      </c>
      <c r="AD283" s="28">
        <f t="shared" ref="AD283:AI283" si="136">AD281*(AD246*2.2046)/10000</f>
        <v>0.29081341843398795</v>
      </c>
      <c r="AE283" s="28">
        <f t="shared" si="136"/>
        <v>0.26437039540447649</v>
      </c>
      <c r="AF283" s="28">
        <f t="shared" si="136"/>
        <v>0.24181563291371791</v>
      </c>
      <c r="AG283" s="28">
        <f t="shared" si="136"/>
        <v>0.224526058357508</v>
      </c>
      <c r="AH283" s="28">
        <f t="shared" si="136"/>
        <v>0.21419596727049112</v>
      </c>
      <c r="AI283" s="28">
        <f t="shared" si="136"/>
        <v>0.20336945171913379</v>
      </c>
      <c r="AK283" s="28">
        <f t="shared" ref="AK283:AP283" si="137">AK281*(AK246*2.2046)/10000</f>
        <v>0.29339509056467555</v>
      </c>
      <c r="AL283" s="28">
        <f t="shared" si="137"/>
        <v>0.26671407970737598</v>
      </c>
      <c r="AM283" s="28">
        <f t="shared" si="137"/>
        <v>0.24394528358461204</v>
      </c>
      <c r="AN283" s="28">
        <f t="shared" si="137"/>
        <v>0.22647475583575019</v>
      </c>
      <c r="AO283" s="28">
        <f t="shared" si="137"/>
        <v>0.21606190883309528</v>
      </c>
      <c r="AP283" s="28">
        <f t="shared" si="137"/>
        <v>0.20336945171913379</v>
      </c>
      <c r="AR283" s="28">
        <f t="shared" ref="AR283:AW283" si="138">AR281*(AR246*2.2046)/10000</f>
        <v>0.29600674595381743</v>
      </c>
      <c r="AS283" s="28">
        <f t="shared" si="138"/>
        <v>0.26905374993294684</v>
      </c>
      <c r="AT283" s="28">
        <f t="shared" si="138"/>
        <v>0.24608467124911007</v>
      </c>
      <c r="AU283" s="28">
        <f t="shared" si="138"/>
        <v>0.22843130862949415</v>
      </c>
      <c r="AV283" s="28">
        <f t="shared" si="138"/>
        <v>0.21792789810469809</v>
      </c>
      <c r="AW283" s="28">
        <f t="shared" si="138"/>
        <v>0.20336945171913379</v>
      </c>
    </row>
    <row r="284" spans="1:53" x14ac:dyDescent="0.25">
      <c r="A284" s="15" t="s">
        <v>375</v>
      </c>
      <c r="B284" s="28">
        <f t="shared" ref="B284:G284" si="139" xml:space="preserve"> -0.096629122*LN(AVERAGE(B5:B6)/2.2046) + 0.7201091526</f>
        <v>0.38948473530861316</v>
      </c>
      <c r="C284" s="28">
        <f t="shared" si="139"/>
        <v>0.34911934963648045</v>
      </c>
      <c r="D284" s="28">
        <f t="shared" si="139"/>
        <v>0.31899235830889017</v>
      </c>
      <c r="E284" s="28">
        <f t="shared" si="139"/>
        <v>0.29470806575817415</v>
      </c>
      <c r="F284" s="28">
        <f t="shared" si="139"/>
        <v>0.27531743264453717</v>
      </c>
      <c r="G284" s="28">
        <f t="shared" si="139"/>
        <v>0.25825045546730907</v>
      </c>
      <c r="H284" s="28"/>
      <c r="I284" s="28">
        <f t="shared" ref="I284:N284" si="140" xml:space="preserve"> -0.096629122*LN(AVERAGE(I5:I6)/2.2046) + 0.7201091526</f>
        <v>0.38948473530861316</v>
      </c>
      <c r="J284" s="28">
        <f t="shared" si="140"/>
        <v>0.34911934963648045</v>
      </c>
      <c r="K284" s="28">
        <f t="shared" si="140"/>
        <v>0.31899235830889017</v>
      </c>
      <c r="L284" s="28">
        <f t="shared" si="140"/>
        <v>0.29470806575817415</v>
      </c>
      <c r="M284" s="28">
        <f t="shared" si="140"/>
        <v>0.27531743264453717</v>
      </c>
      <c r="N284" s="28">
        <f t="shared" si="140"/>
        <v>0.25825045546730907</v>
      </c>
      <c r="O284" s="28"/>
      <c r="P284" s="28">
        <f t="shared" ref="P284:U284" si="141" xml:space="preserve"> -0.096629122*LN(AVERAGE(P5:P6)/2.2046) + 0.7201091526</f>
        <v>0.38948473530861316</v>
      </c>
      <c r="Q284" s="28">
        <f t="shared" si="141"/>
        <v>0.34911934963648045</v>
      </c>
      <c r="R284" s="28">
        <f t="shared" si="141"/>
        <v>0.31899235830889017</v>
      </c>
      <c r="S284" s="28">
        <f t="shared" si="141"/>
        <v>0.29470806575817415</v>
      </c>
      <c r="T284" s="28">
        <f t="shared" si="141"/>
        <v>0.27531743264453717</v>
      </c>
      <c r="U284" s="28">
        <f t="shared" si="141"/>
        <v>0.25825045546730907</v>
      </c>
      <c r="W284" s="28">
        <f t="shared" ref="W284:AB284" si="142" xml:space="preserve"> -0.096629122*LN(AVERAGE(W5:W6)/2.2046) + 0.7201091526</f>
        <v>0.38948473530861316</v>
      </c>
      <c r="X284" s="28">
        <f t="shared" si="142"/>
        <v>0.34911934963648045</v>
      </c>
      <c r="Y284" s="28">
        <f t="shared" si="142"/>
        <v>0.31899235830889017</v>
      </c>
      <c r="Z284" s="28">
        <f t="shared" si="142"/>
        <v>0.29470806575817415</v>
      </c>
      <c r="AA284" s="28">
        <f t="shared" si="142"/>
        <v>0.27531743264453717</v>
      </c>
      <c r="AB284" s="28">
        <f t="shared" si="142"/>
        <v>0.25825045546730907</v>
      </c>
      <c r="AD284" s="28">
        <f t="shared" ref="AD284:AI284" si="143" xml:space="preserve"> -0.096629122*LN(AVERAGE(AD5:AD6)/2.2046) + 0.7201091526</f>
        <v>0.38948473530861316</v>
      </c>
      <c r="AE284" s="28">
        <f t="shared" si="143"/>
        <v>0.34911934963648045</v>
      </c>
      <c r="AF284" s="28">
        <f t="shared" si="143"/>
        <v>0.31899235830889017</v>
      </c>
      <c r="AG284" s="28">
        <f t="shared" si="143"/>
        <v>0.29470806575817415</v>
      </c>
      <c r="AH284" s="28">
        <f t="shared" si="143"/>
        <v>0.27531743264453717</v>
      </c>
      <c r="AI284" s="28">
        <f t="shared" si="143"/>
        <v>0.25825045546730907</v>
      </c>
      <c r="AK284" s="28">
        <f t="shared" ref="AK284:AP284" si="144" xml:space="preserve"> -0.096629122*LN(AVERAGE(AK5:AK6)/2.2046) + 0.7201091526</f>
        <v>0.38948473530861316</v>
      </c>
      <c r="AL284" s="28">
        <f t="shared" si="144"/>
        <v>0.34911934963648045</v>
      </c>
      <c r="AM284" s="28">
        <f t="shared" si="144"/>
        <v>0.31899235830889017</v>
      </c>
      <c r="AN284" s="28">
        <f t="shared" si="144"/>
        <v>0.29470806575817415</v>
      </c>
      <c r="AO284" s="28">
        <f t="shared" si="144"/>
        <v>0.27531743264453717</v>
      </c>
      <c r="AP284" s="28">
        <f t="shared" si="144"/>
        <v>0.25825045546730907</v>
      </c>
      <c r="AR284" s="28">
        <f t="shared" ref="AR284:AW284" si="145" xml:space="preserve"> -0.096629122*LN(AVERAGE(AR5:AR6)/2.2046) + 0.7201091526</f>
        <v>0.38948473530861316</v>
      </c>
      <c r="AS284" s="28">
        <f t="shared" si="145"/>
        <v>0.34911934963648045</v>
      </c>
      <c r="AT284" s="28">
        <f t="shared" si="145"/>
        <v>0.31899235830889017</v>
      </c>
      <c r="AU284" s="28">
        <f t="shared" si="145"/>
        <v>0.29470806575817415</v>
      </c>
      <c r="AV284" s="28">
        <f t="shared" si="145"/>
        <v>0.27531743264453717</v>
      </c>
      <c r="AW284" s="28">
        <f t="shared" si="145"/>
        <v>0.25825045546730907</v>
      </c>
    </row>
    <row r="285" spans="1:53" x14ac:dyDescent="0.25">
      <c r="A285" s="50" t="s">
        <v>154</v>
      </c>
      <c r="B285" s="26">
        <v>1</v>
      </c>
      <c r="C285" s="26">
        <v>1</v>
      </c>
      <c r="D285" s="26">
        <v>1</v>
      </c>
      <c r="E285" s="26">
        <v>1</v>
      </c>
      <c r="F285" s="26">
        <v>1</v>
      </c>
      <c r="G285" s="26">
        <v>1</v>
      </c>
      <c r="H285" s="26"/>
      <c r="I285" s="26">
        <v>1</v>
      </c>
      <c r="J285" s="26">
        <v>1</v>
      </c>
      <c r="K285" s="26">
        <v>1</v>
      </c>
      <c r="L285" s="26">
        <v>1</v>
      </c>
      <c r="M285" s="26">
        <v>1</v>
      </c>
      <c r="N285" s="26">
        <v>1</v>
      </c>
      <c r="O285" s="28"/>
      <c r="P285" s="26">
        <v>1</v>
      </c>
      <c r="Q285" s="26">
        <v>1</v>
      </c>
      <c r="R285" s="26">
        <v>1</v>
      </c>
      <c r="S285" s="26">
        <v>1</v>
      </c>
      <c r="T285" s="26">
        <v>1</v>
      </c>
      <c r="U285" s="26">
        <v>1</v>
      </c>
      <c r="W285" s="26">
        <v>1</v>
      </c>
      <c r="X285" s="26">
        <v>1</v>
      </c>
      <c r="Y285" s="26">
        <v>1</v>
      </c>
      <c r="Z285" s="26">
        <v>1</v>
      </c>
      <c r="AA285" s="26">
        <v>1</v>
      </c>
      <c r="AB285" s="26">
        <v>1</v>
      </c>
      <c r="AD285" s="26">
        <v>1</v>
      </c>
      <c r="AE285" s="26">
        <v>1</v>
      </c>
      <c r="AF285" s="26">
        <v>1</v>
      </c>
      <c r="AG285" s="26">
        <v>1</v>
      </c>
      <c r="AH285" s="26">
        <v>1</v>
      </c>
      <c r="AI285" s="26">
        <v>1</v>
      </c>
      <c r="AK285" s="26">
        <v>1</v>
      </c>
      <c r="AL285" s="26">
        <v>1</v>
      </c>
      <c r="AM285" s="26">
        <v>1</v>
      </c>
      <c r="AN285" s="26">
        <v>1</v>
      </c>
      <c r="AO285" s="26">
        <v>1</v>
      </c>
      <c r="AP285" s="26">
        <v>1</v>
      </c>
      <c r="AR285" s="26">
        <v>1</v>
      </c>
      <c r="AS285" s="26">
        <v>1</v>
      </c>
      <c r="AT285" s="26">
        <v>1</v>
      </c>
      <c r="AU285" s="26">
        <v>1</v>
      </c>
      <c r="AV285" s="26">
        <v>1</v>
      </c>
      <c r="AW285" s="26">
        <v>1</v>
      </c>
    </row>
    <row r="286" spans="1:53" x14ac:dyDescent="0.25">
      <c r="A286" s="50" t="s">
        <v>153</v>
      </c>
      <c r="B286" s="26">
        <v>1.5</v>
      </c>
      <c r="C286" s="26">
        <v>1.5</v>
      </c>
      <c r="D286" s="26">
        <v>1.5</v>
      </c>
      <c r="E286" s="26">
        <v>1.5</v>
      </c>
      <c r="F286" s="26">
        <v>1.5</v>
      </c>
      <c r="G286" s="26">
        <v>1.5</v>
      </c>
      <c r="H286" s="26"/>
      <c r="I286" s="26">
        <v>1.5</v>
      </c>
      <c r="J286" s="26">
        <v>1.5</v>
      </c>
      <c r="K286" s="26">
        <v>1.5</v>
      </c>
      <c r="L286" s="26">
        <v>1.5</v>
      </c>
      <c r="M286" s="26">
        <v>1.5</v>
      </c>
      <c r="N286" s="26">
        <v>1.5</v>
      </c>
      <c r="O286" s="26"/>
      <c r="P286" s="26">
        <v>1.5</v>
      </c>
      <c r="Q286" s="26">
        <v>1.5</v>
      </c>
      <c r="R286" s="26">
        <v>1.5</v>
      </c>
      <c r="S286" s="26">
        <v>1.5</v>
      </c>
      <c r="T286" s="26">
        <v>1.5</v>
      </c>
      <c r="U286" s="26">
        <v>1.5</v>
      </c>
      <c r="W286" s="26">
        <v>1.5</v>
      </c>
      <c r="X286" s="26">
        <v>1.5</v>
      </c>
      <c r="Y286" s="26">
        <v>1.5</v>
      </c>
      <c r="Z286" s="26">
        <v>1.5</v>
      </c>
      <c r="AA286" s="26">
        <v>1.5</v>
      </c>
      <c r="AB286" s="26">
        <v>1.5</v>
      </c>
      <c r="AD286" s="26">
        <v>1.5</v>
      </c>
      <c r="AE286" s="26">
        <v>1.5</v>
      </c>
      <c r="AF286" s="26">
        <v>1.5</v>
      </c>
      <c r="AG286" s="26">
        <v>1.5</v>
      </c>
      <c r="AH286" s="26">
        <v>1.5</v>
      </c>
      <c r="AI286" s="26">
        <v>1.5</v>
      </c>
      <c r="AK286" s="26">
        <v>1.5</v>
      </c>
      <c r="AL286" s="26">
        <v>1.5</v>
      </c>
      <c r="AM286" s="26">
        <v>1.5</v>
      </c>
      <c r="AN286" s="26">
        <v>1.5</v>
      </c>
      <c r="AO286" s="26">
        <v>1.5</v>
      </c>
      <c r="AP286" s="26">
        <v>1.5</v>
      </c>
      <c r="AR286" s="26">
        <v>1.5</v>
      </c>
      <c r="AS286" s="26">
        <v>1.5</v>
      </c>
      <c r="AT286" s="26">
        <v>1.5</v>
      </c>
      <c r="AU286" s="26">
        <v>1.5</v>
      </c>
      <c r="AV286" s="26">
        <v>1.5</v>
      </c>
      <c r="AW286" s="26">
        <v>1.5</v>
      </c>
    </row>
    <row r="287" spans="1:53" x14ac:dyDescent="0.25">
      <c r="A287" s="50" t="s">
        <v>368</v>
      </c>
      <c r="B287" s="33">
        <f t="shared" ref="B287:G287" si="146">-0.12264*LN(AVERAGE(B5:B6)/2.2046) + 1.07262</f>
        <v>0.65299724345031629</v>
      </c>
      <c r="C287" s="33">
        <f t="shared" si="146"/>
        <v>0.60176619843647083</v>
      </c>
      <c r="D287" s="33">
        <f t="shared" si="146"/>
        <v>0.56352954534532851</v>
      </c>
      <c r="E287" s="33">
        <f t="shared" si="146"/>
        <v>0.53270834386095811</v>
      </c>
      <c r="F287" s="33">
        <f t="shared" si="146"/>
        <v>0.50809808976948001</v>
      </c>
      <c r="G287" s="33">
        <f t="shared" si="146"/>
        <v>0.48643697935376851</v>
      </c>
      <c r="H287" s="33"/>
      <c r="I287" s="33">
        <f t="shared" ref="I287:N287" si="147">-0.12264*LN(AVERAGE(I5:I6)/2.2046) + 1.07262</f>
        <v>0.65299724345031629</v>
      </c>
      <c r="J287" s="33">
        <f t="shared" si="147"/>
        <v>0.60176619843647083</v>
      </c>
      <c r="K287" s="33">
        <f t="shared" si="147"/>
        <v>0.56352954534532851</v>
      </c>
      <c r="L287" s="33">
        <f t="shared" si="147"/>
        <v>0.53270834386095811</v>
      </c>
      <c r="M287" s="33">
        <f t="shared" si="147"/>
        <v>0.50809808976948001</v>
      </c>
      <c r="N287" s="33">
        <f t="shared" si="147"/>
        <v>0.48643697935376851</v>
      </c>
      <c r="O287" s="26"/>
      <c r="P287" s="33">
        <f t="shared" ref="P287:U287" si="148">-0.12264*LN(AVERAGE(P5:P6)/2.2046) + 1.07262</f>
        <v>0.65299724345031629</v>
      </c>
      <c r="Q287" s="33">
        <f t="shared" si="148"/>
        <v>0.60176619843647083</v>
      </c>
      <c r="R287" s="33">
        <f t="shared" si="148"/>
        <v>0.56352954534532851</v>
      </c>
      <c r="S287" s="33">
        <f t="shared" si="148"/>
        <v>0.53270834386095811</v>
      </c>
      <c r="T287" s="33">
        <f t="shared" si="148"/>
        <v>0.50809808976948001</v>
      </c>
      <c r="U287" s="33">
        <f t="shared" si="148"/>
        <v>0.48643697935376851</v>
      </c>
      <c r="W287" s="33">
        <f t="shared" ref="W287:AB287" si="149">-0.12264*LN(AVERAGE(W5:W6)/2.2046) + 1.07262</f>
        <v>0.65299724345031629</v>
      </c>
      <c r="X287" s="33">
        <f t="shared" si="149"/>
        <v>0.60176619843647083</v>
      </c>
      <c r="Y287" s="33">
        <f t="shared" si="149"/>
        <v>0.56352954534532851</v>
      </c>
      <c r="Z287" s="33">
        <f t="shared" si="149"/>
        <v>0.53270834386095811</v>
      </c>
      <c r="AA287" s="33">
        <f t="shared" si="149"/>
        <v>0.50809808976948001</v>
      </c>
      <c r="AB287" s="33">
        <f t="shared" si="149"/>
        <v>0.48643697935376851</v>
      </c>
      <c r="AD287" s="33">
        <f t="shared" ref="AD287:AI287" si="150">-0.12264*LN(AVERAGE(AD5:AD6)/2.2046) + 1.07262</f>
        <v>0.65299724345031629</v>
      </c>
      <c r="AE287" s="33">
        <f t="shared" si="150"/>
        <v>0.60176619843647083</v>
      </c>
      <c r="AF287" s="33">
        <f t="shared" si="150"/>
        <v>0.56352954534532851</v>
      </c>
      <c r="AG287" s="33">
        <f t="shared" si="150"/>
        <v>0.53270834386095811</v>
      </c>
      <c r="AH287" s="33">
        <f t="shared" si="150"/>
        <v>0.50809808976948001</v>
      </c>
      <c r="AI287" s="33">
        <f t="shared" si="150"/>
        <v>0.48643697935376851</v>
      </c>
      <c r="AK287" s="33">
        <f t="shared" ref="AK287:AP287" si="151">-0.12264*LN(AVERAGE(AK5:AK6)/2.2046) + 1.07262</f>
        <v>0.65299724345031629</v>
      </c>
      <c r="AL287" s="33">
        <f t="shared" si="151"/>
        <v>0.60176619843647083</v>
      </c>
      <c r="AM287" s="33">
        <f t="shared" si="151"/>
        <v>0.56352954534532851</v>
      </c>
      <c r="AN287" s="33">
        <f t="shared" si="151"/>
        <v>0.53270834386095811</v>
      </c>
      <c r="AO287" s="33">
        <f t="shared" si="151"/>
        <v>0.50809808976948001</v>
      </c>
      <c r="AP287" s="33">
        <f t="shared" si="151"/>
        <v>0.48643697935376851</v>
      </c>
      <c r="AR287" s="33">
        <f t="shared" ref="AR287:AW287" si="152">-0.12264*LN(AVERAGE(AR5:AR6)/2.2046) + 1.07262</f>
        <v>0.65299724345031629</v>
      </c>
      <c r="AS287" s="33">
        <f t="shared" si="152"/>
        <v>0.60176619843647083</v>
      </c>
      <c r="AT287" s="33">
        <f t="shared" si="152"/>
        <v>0.56352954534532851</v>
      </c>
      <c r="AU287" s="33">
        <f t="shared" si="152"/>
        <v>0.53270834386095811</v>
      </c>
      <c r="AV287" s="33">
        <f t="shared" si="152"/>
        <v>0.50809808976948001</v>
      </c>
      <c r="AW287" s="33">
        <f t="shared" si="152"/>
        <v>0.48643697935376851</v>
      </c>
    </row>
    <row r="288" spans="1:53" x14ac:dyDescent="0.25">
      <c r="A288" s="50" t="s">
        <v>370</v>
      </c>
      <c r="B288" s="33">
        <v>0.4</v>
      </c>
      <c r="C288" s="33">
        <v>0.36</v>
      </c>
      <c r="D288" s="33">
        <v>0.32</v>
      </c>
      <c r="E288" s="33">
        <v>0.28999999999999998</v>
      </c>
      <c r="F288" s="33">
        <v>0.27</v>
      </c>
      <c r="G288" s="33">
        <v>0.26</v>
      </c>
      <c r="H288" s="33"/>
      <c r="I288" s="33">
        <v>0.4</v>
      </c>
      <c r="J288" s="33">
        <v>0.36</v>
      </c>
      <c r="K288" s="33">
        <v>0.32</v>
      </c>
      <c r="L288" s="33">
        <v>0.28999999999999998</v>
      </c>
      <c r="M288" s="33">
        <v>0.27</v>
      </c>
      <c r="N288" s="33">
        <v>0.26</v>
      </c>
      <c r="O288" s="33"/>
      <c r="P288" s="33">
        <v>0.4</v>
      </c>
      <c r="Q288" s="33">
        <v>0.36</v>
      </c>
      <c r="R288" s="33">
        <v>0.32</v>
      </c>
      <c r="S288" s="33">
        <v>0.28999999999999998</v>
      </c>
      <c r="T288" s="33">
        <v>0.27</v>
      </c>
      <c r="U288" s="33">
        <v>0.26</v>
      </c>
      <c r="W288" s="33">
        <v>0.4</v>
      </c>
      <c r="X288" s="33">
        <v>0.36</v>
      </c>
      <c r="Y288" s="33">
        <v>0.32</v>
      </c>
      <c r="Z288" s="33">
        <v>0.28999999999999998</v>
      </c>
      <c r="AA288" s="33">
        <v>0.27</v>
      </c>
      <c r="AB288" s="33">
        <v>0.26</v>
      </c>
      <c r="AD288" s="33">
        <v>0.4</v>
      </c>
      <c r="AE288" s="33">
        <v>0.36</v>
      </c>
      <c r="AF288" s="33">
        <v>0.32</v>
      </c>
      <c r="AG288" s="33">
        <v>0.28999999999999998</v>
      </c>
      <c r="AH288" s="33">
        <v>0.27</v>
      </c>
      <c r="AI288" s="33">
        <v>0.26</v>
      </c>
      <c r="AK288" s="33">
        <v>0.4</v>
      </c>
      <c r="AL288" s="33">
        <v>0.36</v>
      </c>
      <c r="AM288" s="33">
        <v>0.32</v>
      </c>
      <c r="AN288" s="33">
        <v>0.28999999999999998</v>
      </c>
      <c r="AO288" s="33">
        <v>0.27</v>
      </c>
      <c r="AP288" s="33">
        <v>0.26</v>
      </c>
      <c r="AR288" s="33">
        <v>0.4</v>
      </c>
      <c r="AS288" s="33">
        <v>0.36</v>
      </c>
      <c r="AT288" s="33">
        <v>0.32</v>
      </c>
      <c r="AU288" s="33">
        <v>0.28999999999999998</v>
      </c>
      <c r="AV288" s="33">
        <v>0.27</v>
      </c>
      <c r="AW288" s="33">
        <v>0.26</v>
      </c>
    </row>
    <row r="289" spans="1:49" x14ac:dyDescent="0.25">
      <c r="A289" s="50" t="s">
        <v>369</v>
      </c>
      <c r="B289" s="33">
        <v>1.74</v>
      </c>
      <c r="C289" s="33">
        <v>1.74</v>
      </c>
      <c r="D289" s="33">
        <v>1.79</v>
      </c>
      <c r="E289" s="33">
        <v>1.79</v>
      </c>
      <c r="F289" s="33">
        <v>1.77</v>
      </c>
      <c r="G289" s="33">
        <v>1.77</v>
      </c>
      <c r="H289" s="33"/>
      <c r="I289" s="33">
        <v>1.74</v>
      </c>
      <c r="J289" s="33">
        <v>1.74</v>
      </c>
      <c r="K289" s="33">
        <v>1.79</v>
      </c>
      <c r="L289" s="33">
        <v>1.79</v>
      </c>
      <c r="M289" s="33">
        <v>1.77</v>
      </c>
      <c r="N289" s="33">
        <v>1.77</v>
      </c>
      <c r="O289" s="33"/>
      <c r="P289" s="33">
        <v>1.74</v>
      </c>
      <c r="Q289" s="33">
        <v>1.74</v>
      </c>
      <c r="R289" s="33">
        <v>1.79</v>
      </c>
      <c r="S289" s="33">
        <v>1.79</v>
      </c>
      <c r="T289" s="33">
        <v>1.77</v>
      </c>
      <c r="U289" s="33">
        <v>1.77</v>
      </c>
      <c r="W289" s="33">
        <v>1.74</v>
      </c>
      <c r="X289" s="33">
        <v>1.74</v>
      </c>
      <c r="Y289" s="33">
        <v>1.79</v>
      </c>
      <c r="Z289" s="33">
        <v>1.79</v>
      </c>
      <c r="AA289" s="33">
        <v>1.77</v>
      </c>
      <c r="AB289" s="33">
        <v>1.77</v>
      </c>
      <c r="AD289" s="33">
        <v>1.74</v>
      </c>
      <c r="AE289" s="33">
        <v>1.74</v>
      </c>
      <c r="AF289" s="33">
        <v>1.79</v>
      </c>
      <c r="AG289" s="33">
        <v>1.79</v>
      </c>
      <c r="AH289" s="33">
        <v>1.77</v>
      </c>
      <c r="AI289" s="33">
        <v>1.77</v>
      </c>
      <c r="AK289" s="33">
        <v>1.74</v>
      </c>
      <c r="AL289" s="33">
        <v>1.74</v>
      </c>
      <c r="AM289" s="33">
        <v>1.79</v>
      </c>
      <c r="AN289" s="33">
        <v>1.79</v>
      </c>
      <c r="AO289" s="33">
        <v>1.77</v>
      </c>
      <c r="AP289" s="33">
        <v>1.77</v>
      </c>
      <c r="AR289" s="33">
        <v>1.74</v>
      </c>
      <c r="AS289" s="33">
        <v>1.74</v>
      </c>
      <c r="AT289" s="33">
        <v>1.79</v>
      </c>
      <c r="AU289" s="33">
        <v>1.79</v>
      </c>
      <c r="AV289" s="33">
        <v>1.77</v>
      </c>
      <c r="AW289" s="33">
        <v>1.77</v>
      </c>
    </row>
    <row r="290" spans="1:49" x14ac:dyDescent="0.25">
      <c r="A290" s="50" t="s">
        <v>152</v>
      </c>
      <c r="B290" s="26">
        <v>7.3</v>
      </c>
      <c r="C290" s="26">
        <v>8.3000000000000007</v>
      </c>
      <c r="D290" s="26">
        <v>9.3000000000000007</v>
      </c>
      <c r="E290" s="26">
        <v>10.3</v>
      </c>
      <c r="F290" s="26">
        <v>11.3</v>
      </c>
      <c r="G290" s="26">
        <v>11.3</v>
      </c>
      <c r="H290" s="26"/>
      <c r="I290" s="26">
        <v>7.3</v>
      </c>
      <c r="J290" s="26">
        <v>8.3000000000000007</v>
      </c>
      <c r="K290" s="26">
        <v>9.3000000000000007</v>
      </c>
      <c r="L290" s="26">
        <v>10.3</v>
      </c>
      <c r="M290" s="26">
        <v>11.3</v>
      </c>
      <c r="N290" s="26">
        <v>11.3</v>
      </c>
      <c r="O290" s="33"/>
      <c r="P290" s="26">
        <v>7.3</v>
      </c>
      <c r="Q290" s="26">
        <v>8.3000000000000007</v>
      </c>
      <c r="R290" s="26">
        <v>9.3000000000000007</v>
      </c>
      <c r="S290" s="26">
        <v>10.3</v>
      </c>
      <c r="T290" s="26">
        <v>11.3</v>
      </c>
      <c r="U290" s="26">
        <v>11.3</v>
      </c>
      <c r="W290" s="26">
        <v>7.3</v>
      </c>
      <c r="X290" s="26">
        <v>8.3000000000000007</v>
      </c>
      <c r="Y290" s="26">
        <v>9.3000000000000007</v>
      </c>
      <c r="Z290" s="26">
        <v>10.3</v>
      </c>
      <c r="AA290" s="26">
        <v>11.3</v>
      </c>
      <c r="AB290" s="26">
        <v>11.3</v>
      </c>
      <c r="AD290" s="26">
        <v>7.3</v>
      </c>
      <c r="AE290" s="26">
        <v>8.3000000000000007</v>
      </c>
      <c r="AF290" s="26">
        <v>9.3000000000000007</v>
      </c>
      <c r="AG290" s="26">
        <v>10.3</v>
      </c>
      <c r="AH290" s="26">
        <v>11.3</v>
      </c>
      <c r="AI290" s="26">
        <v>11.3</v>
      </c>
      <c r="AK290" s="26">
        <v>7.3</v>
      </c>
      <c r="AL290" s="26">
        <v>8.3000000000000007</v>
      </c>
      <c r="AM290" s="26">
        <v>9.3000000000000007</v>
      </c>
      <c r="AN290" s="26">
        <v>10.3</v>
      </c>
      <c r="AO290" s="26">
        <v>11.3</v>
      </c>
      <c r="AP290" s="26">
        <v>11.3</v>
      </c>
      <c r="AR290" s="26">
        <v>7.3</v>
      </c>
      <c r="AS290" s="26">
        <v>8.3000000000000007</v>
      </c>
      <c r="AT290" s="26">
        <v>9.3000000000000007</v>
      </c>
      <c r="AU290" s="26">
        <v>10.3</v>
      </c>
      <c r="AV290" s="26">
        <v>11.3</v>
      </c>
      <c r="AW290" s="26">
        <v>11.3</v>
      </c>
    </row>
    <row r="291" spans="1:49" x14ac:dyDescent="0.25">
      <c r="A291" s="15"/>
      <c r="B291" s="26"/>
      <c r="C291" s="26"/>
      <c r="D291" s="26"/>
      <c r="E291" s="26"/>
      <c r="F291" s="26"/>
      <c r="G291" s="26"/>
      <c r="H291" s="26"/>
      <c r="I291" s="26"/>
      <c r="J291" s="26"/>
      <c r="K291" s="26"/>
      <c r="L291" s="26"/>
      <c r="M291" s="26"/>
      <c r="N291" s="26"/>
      <c r="O291" s="26"/>
      <c r="P291" s="26"/>
      <c r="Q291" s="26"/>
      <c r="R291" s="26"/>
      <c r="S291" s="26"/>
      <c r="T291" s="26"/>
      <c r="U291" s="26"/>
      <c r="W291" s="26"/>
      <c r="X291" s="26"/>
      <c r="Y291" s="26"/>
      <c r="Z291" s="26"/>
      <c r="AA291" s="26"/>
      <c r="AB291" s="26"/>
      <c r="AD291" s="26"/>
      <c r="AE291" s="26"/>
      <c r="AF291" s="26"/>
      <c r="AG291" s="26"/>
      <c r="AH291" s="26"/>
      <c r="AI291" s="26"/>
      <c r="AK291" s="26"/>
      <c r="AL291" s="26"/>
      <c r="AM291" s="26"/>
      <c r="AN291" s="26"/>
      <c r="AO291" s="26"/>
      <c r="AP291" s="26"/>
      <c r="AR291" s="26"/>
      <c r="AS291" s="26"/>
      <c r="AT291" s="26"/>
      <c r="AU291" s="26"/>
      <c r="AV291" s="26"/>
      <c r="AW291" s="26"/>
    </row>
    <row r="292" spans="1:49" x14ac:dyDescent="0.25">
      <c r="A292" s="41" t="s">
        <v>349</v>
      </c>
      <c r="B292" s="33">
        <f t="shared" ref="B292:G292" si="153">IF(AVERAGE(B5:B6)&lt;15,-0.0525*((B5+B6)/2) + 5.0586,IF(AVERAGE(B5:B6)&lt;50,(-0.007855*((B5+B6)/2) + 4.1),(0.000025*((B5+B6)/2)^2 - 0.016*((B5+B6)/2)+ 4.53)*0.87))</f>
        <v>3.1005984375</v>
      </c>
      <c r="C292" s="33">
        <f t="shared" si="153"/>
        <v>2.7428109375000003</v>
      </c>
      <c r="D292" s="33">
        <f t="shared" si="153"/>
        <v>2.4186000000000001</v>
      </c>
      <c r="E292" s="33">
        <f t="shared" si="153"/>
        <v>2.1402000000000005</v>
      </c>
      <c r="F292" s="33">
        <f t="shared" si="153"/>
        <v>1.9314000000000002</v>
      </c>
      <c r="G292" s="33">
        <f t="shared" si="153"/>
        <v>1.7858109375</v>
      </c>
      <c r="H292" s="33"/>
      <c r="I292" s="33">
        <f t="shared" ref="I292:N292" si="154">IF(AVERAGE(I5:I6)&lt;15,-0.0525*((I5+I6)/2) + 5.0586,IF(AVERAGE(I5:I6)&lt;50,(-0.007855*((I5+I6)/2) + 4.1),(0.000025*((I5+I6)/2)^2 - 0.016*((I5+I6)/2)+ 4.53)*0.87))</f>
        <v>3.1005984375</v>
      </c>
      <c r="J292" s="33">
        <f t="shared" si="154"/>
        <v>2.7428109375000003</v>
      </c>
      <c r="K292" s="33">
        <f t="shared" si="154"/>
        <v>2.4186000000000001</v>
      </c>
      <c r="L292" s="33">
        <f t="shared" si="154"/>
        <v>2.1402000000000005</v>
      </c>
      <c r="M292" s="33">
        <f t="shared" si="154"/>
        <v>1.9314000000000002</v>
      </c>
      <c r="N292" s="33">
        <f t="shared" si="154"/>
        <v>1.7858109375</v>
      </c>
      <c r="O292" s="33"/>
      <c r="P292" s="33">
        <f t="shared" ref="P292:U292" si="155">IF(AVERAGE(P5:P6)&lt;15,-0.0525*((P5+P6)/2) + 5.0586,IF(AVERAGE(P5:P6)&lt;50,(-0.007855*((P5+P6)/2) + 4.1),(0.000025*((P5+P6)/2)^2 - 0.016*((P5+P6)/2)+ 4.53)*0.87))</f>
        <v>3.1005984375</v>
      </c>
      <c r="Q292" s="33">
        <f t="shared" si="155"/>
        <v>2.7428109375000003</v>
      </c>
      <c r="R292" s="33">
        <f t="shared" si="155"/>
        <v>2.4186000000000001</v>
      </c>
      <c r="S292" s="33">
        <f t="shared" si="155"/>
        <v>2.1402000000000005</v>
      </c>
      <c r="T292" s="33">
        <f t="shared" si="155"/>
        <v>1.9314000000000002</v>
      </c>
      <c r="U292" s="33">
        <f t="shared" si="155"/>
        <v>1.7858109375</v>
      </c>
      <c r="W292" s="33">
        <f t="shared" ref="W292:AB292" si="156">IF(AVERAGE(W5:W6)&lt;15,-0.0525*((W5+W6)/2) + 5.0586,IF(AVERAGE(W5:W6)&lt;50,(-0.007855*((W5+W6)/2) + 4.1),(0.000025*((W5+W6)/2)^2 - 0.016*((W5+W6)/2)+ 4.53)*0.87))</f>
        <v>3.1005984375</v>
      </c>
      <c r="X292" s="33">
        <f t="shared" si="156"/>
        <v>2.7428109375000003</v>
      </c>
      <c r="Y292" s="33">
        <f t="shared" si="156"/>
        <v>2.4186000000000001</v>
      </c>
      <c r="Z292" s="33">
        <f t="shared" si="156"/>
        <v>2.1402000000000005</v>
      </c>
      <c r="AA292" s="33">
        <f t="shared" si="156"/>
        <v>1.9314000000000002</v>
      </c>
      <c r="AB292" s="33">
        <f t="shared" si="156"/>
        <v>1.7858109375</v>
      </c>
      <c r="AD292" s="33">
        <f t="shared" ref="AD292:AI292" si="157">IF(AVERAGE(AD5:AD6)&lt;15,-0.0525*((AD5+AD6)/2) + 5.0586,IF(AVERAGE(AD5:AD6)&lt;50,(-0.007855*((AD5+AD6)/2) + 4.1),(0.000025*((AD5+AD6)/2)^2 - 0.016*((AD5+AD6)/2)+ 4.53)*0.87))</f>
        <v>3.1005984375</v>
      </c>
      <c r="AE292" s="33">
        <f t="shared" si="157"/>
        <v>2.7428109375000003</v>
      </c>
      <c r="AF292" s="33">
        <f t="shared" si="157"/>
        <v>2.4186000000000001</v>
      </c>
      <c r="AG292" s="33">
        <f t="shared" si="157"/>
        <v>2.1402000000000005</v>
      </c>
      <c r="AH292" s="33">
        <f t="shared" si="157"/>
        <v>1.9314000000000002</v>
      </c>
      <c r="AI292" s="33">
        <f t="shared" si="157"/>
        <v>1.7858109375</v>
      </c>
      <c r="AK292" s="33">
        <f t="shared" ref="AK292:AP292" si="158">IF(AVERAGE(AK5:AK6)&lt;15,-0.0525*((AK5+AK6)/2) + 5.0586,IF(AVERAGE(AK5:AK6)&lt;50,(-0.007855*((AK5+AK6)/2) + 4.1),(0.000025*((AK5+AK6)/2)^2 - 0.016*((AK5+AK6)/2)+ 4.53)*0.87))</f>
        <v>3.1005984375</v>
      </c>
      <c r="AL292" s="33">
        <f t="shared" si="158"/>
        <v>2.7428109375000003</v>
      </c>
      <c r="AM292" s="33">
        <f t="shared" si="158"/>
        <v>2.4186000000000001</v>
      </c>
      <c r="AN292" s="33">
        <f t="shared" si="158"/>
        <v>2.1402000000000005</v>
      </c>
      <c r="AO292" s="33">
        <f t="shared" si="158"/>
        <v>1.9314000000000002</v>
      </c>
      <c r="AP292" s="33">
        <f t="shared" si="158"/>
        <v>1.7858109375</v>
      </c>
      <c r="AR292" s="33">
        <f t="shared" ref="AR292:AW292" si="159">IF(AVERAGE(AR5:AR6)&lt;15,-0.0525*((AR5+AR6)/2) + 5.0586,IF(AVERAGE(AR5:AR6)&lt;50,(-0.007855*((AR5+AR6)/2) + 4.1),(0.000025*((AR5+AR6)/2)^2 - 0.016*((AR5+AR6)/2)+ 4.53)*0.87))</f>
        <v>3.1005984375</v>
      </c>
      <c r="AS292" s="33">
        <f t="shared" si="159"/>
        <v>2.7428109375000003</v>
      </c>
      <c r="AT292" s="33">
        <f t="shared" si="159"/>
        <v>2.4186000000000001</v>
      </c>
      <c r="AU292" s="33">
        <f t="shared" si="159"/>
        <v>2.1402000000000005</v>
      </c>
      <c r="AV292" s="33">
        <f t="shared" si="159"/>
        <v>1.9314000000000002</v>
      </c>
      <c r="AW292" s="33">
        <f t="shared" si="159"/>
        <v>1.7858109375</v>
      </c>
    </row>
    <row r="293" spans="1:49" x14ac:dyDescent="0.25">
      <c r="A293" s="40" t="s">
        <v>108</v>
      </c>
      <c r="B293" s="26">
        <f t="shared" ref="B293:G293" si="160">IF(B292="","",B246*2.2046*B292/10000)</f>
        <v>1.0218338099122541</v>
      </c>
      <c r="C293" s="26">
        <f t="shared" si="160"/>
        <v>0.90661866270365665</v>
      </c>
      <c r="D293" s="26">
        <f t="shared" si="160"/>
        <v>0.80157146072263108</v>
      </c>
      <c r="E293" s="26">
        <f t="shared" si="160"/>
        <v>0.71128296096658616</v>
      </c>
      <c r="F293" s="26">
        <f t="shared" si="160"/>
        <v>0.64341814748506398</v>
      </c>
      <c r="G293" s="26">
        <f t="shared" si="160"/>
        <v>0.5954852264631163</v>
      </c>
      <c r="H293" s="26"/>
      <c r="I293" s="26">
        <f t="shared" ref="I293:N293" si="161">IF(I292="","",I246*2.2046*I292/10000)</f>
        <v>1.0310911901398969</v>
      </c>
      <c r="J293" s="26">
        <f t="shared" si="161"/>
        <v>0.91485503314500838</v>
      </c>
      <c r="K293" s="26">
        <f t="shared" si="161"/>
        <v>0.80887860793789501</v>
      </c>
      <c r="L293" s="26">
        <f t="shared" si="161"/>
        <v>0.71776025846037672</v>
      </c>
      <c r="M293" s="26">
        <f t="shared" si="161"/>
        <v>0.64926182522242237</v>
      </c>
      <c r="N293" s="26">
        <f t="shared" si="161"/>
        <v>0.5954852264631163</v>
      </c>
      <c r="O293" s="26"/>
      <c r="P293" s="26">
        <f t="shared" ref="P293:U293" si="162">IF(P292="","",P246*2.2046*P292/10000)</f>
        <v>1.0404263783332841</v>
      </c>
      <c r="Q293" s="26">
        <f t="shared" si="162"/>
        <v>0.92312798462768075</v>
      </c>
      <c r="R293" s="26">
        <f t="shared" si="162"/>
        <v>0.81621612448810299</v>
      </c>
      <c r="S293" s="26">
        <f t="shared" si="162"/>
        <v>0.72423898577466694</v>
      </c>
      <c r="T293" s="26">
        <f t="shared" si="162"/>
        <v>0.65510671565587741</v>
      </c>
      <c r="U293" s="26">
        <f t="shared" si="162"/>
        <v>0.5954852264631163</v>
      </c>
      <c r="W293" s="26">
        <f t="shared" ref="W293:AB293" si="163">IF(W292="","",W246*2.2046*W292/10000)</f>
        <v>1.0498358850897622</v>
      </c>
      <c r="X293" s="26">
        <f t="shared" si="163"/>
        <v>0.93149904773535652</v>
      </c>
      <c r="Y293" s="26">
        <f t="shared" si="163"/>
        <v>0.82357642914985463</v>
      </c>
      <c r="Z293" s="26">
        <f t="shared" si="163"/>
        <v>0.73079294146125173</v>
      </c>
      <c r="AA293" s="26">
        <f t="shared" si="163"/>
        <v>0.66103325865223161</v>
      </c>
      <c r="AB293" s="26">
        <f t="shared" si="163"/>
        <v>0.5954852264631163</v>
      </c>
      <c r="AD293" s="26">
        <f t="shared" ref="AD293:AI293" si="164">IF(AD292="","",AD246*2.2046*AD292/10000)</f>
        <v>1.0592909721946839</v>
      </c>
      <c r="AE293" s="26">
        <f t="shared" si="164"/>
        <v>0.93983734459233514</v>
      </c>
      <c r="AF293" s="26">
        <f t="shared" si="164"/>
        <v>0.83098192997369003</v>
      </c>
      <c r="AG293" s="26">
        <f t="shared" si="164"/>
        <v>0.73733921785042167</v>
      </c>
      <c r="AH293" s="26">
        <f t="shared" si="164"/>
        <v>0.66683501868228001</v>
      </c>
      <c r="AI293" s="26">
        <f t="shared" si="164"/>
        <v>0.5954852264631163</v>
      </c>
      <c r="AK293" s="26">
        <f t="shared" ref="AK293:AP293" si="165">IF(AK292="","",AK246*2.2046*AK292/10000)</f>
        <v>1.0686947404111933</v>
      </c>
      <c r="AL293" s="26">
        <f t="shared" si="165"/>
        <v>0.94816914751009318</v>
      </c>
      <c r="AM293" s="26">
        <f t="shared" si="165"/>
        <v>0.83830032044888669</v>
      </c>
      <c r="AN293" s="26">
        <f t="shared" si="165"/>
        <v>0.74373870254696561</v>
      </c>
      <c r="AO293" s="26">
        <f t="shared" si="165"/>
        <v>0.67264406911686592</v>
      </c>
      <c r="AP293" s="26">
        <f t="shared" si="165"/>
        <v>0.5954852264631163</v>
      </c>
      <c r="AR293" s="26">
        <f t="shared" ref="AR293:AW293" si="166">IF(AR292="","",AR246*2.2046*AR292/10000)</f>
        <v>1.0782077229657776</v>
      </c>
      <c r="AS293" s="26">
        <f t="shared" si="166"/>
        <v>0.95648668037400553</v>
      </c>
      <c r="AT293" s="26">
        <f t="shared" si="166"/>
        <v>0.84565217139824544</v>
      </c>
      <c r="AU293" s="26">
        <f t="shared" si="166"/>
        <v>0.75016398394715456</v>
      </c>
      <c r="AV293" s="26">
        <f t="shared" si="166"/>
        <v>0.67845326807913608</v>
      </c>
      <c r="AW293" s="26">
        <f t="shared" si="166"/>
        <v>0.5954852264631163</v>
      </c>
    </row>
    <row r="294" spans="1:49" x14ac:dyDescent="0.25">
      <c r="A294" s="15"/>
      <c r="B294" s="26"/>
      <c r="C294" s="26"/>
      <c r="D294" s="26"/>
      <c r="E294" s="26"/>
      <c r="F294" s="26"/>
      <c r="G294" s="26"/>
      <c r="H294" s="26"/>
      <c r="I294" s="26"/>
      <c r="J294" s="26"/>
      <c r="K294" s="26"/>
      <c r="L294" s="26"/>
      <c r="M294" s="26"/>
      <c r="N294" s="26"/>
      <c r="O294" s="26"/>
      <c r="P294" s="26"/>
      <c r="Q294" s="26"/>
      <c r="R294" s="26"/>
      <c r="S294" s="26"/>
      <c r="T294" s="26"/>
      <c r="U294" s="26"/>
      <c r="W294" s="26"/>
      <c r="X294" s="26"/>
      <c r="Y294" s="26"/>
      <c r="Z294" s="26"/>
      <c r="AA294" s="26"/>
      <c r="AB294" s="26"/>
      <c r="AD294" s="26"/>
      <c r="AE294" s="26"/>
      <c r="AF294" s="26"/>
      <c r="AG294" s="26"/>
      <c r="AH294" s="26"/>
      <c r="AI294" s="26"/>
      <c r="AK294" s="26"/>
      <c r="AL294" s="26"/>
      <c r="AM294" s="26"/>
      <c r="AN294" s="26"/>
      <c r="AO294" s="26"/>
      <c r="AP294" s="26"/>
      <c r="AR294" s="26"/>
      <c r="AS294" s="26"/>
      <c r="AT294" s="26"/>
      <c r="AU294" s="26"/>
      <c r="AV294" s="26"/>
      <c r="AW294" s="26"/>
    </row>
    <row r="295" spans="1:49" x14ac:dyDescent="0.25">
      <c r="B295" s="26"/>
      <c r="C295" s="26"/>
      <c r="D295" s="26"/>
      <c r="E295" s="26"/>
      <c r="F295" s="26"/>
      <c r="G295" s="26"/>
      <c r="H295" s="26"/>
      <c r="I295" s="26"/>
      <c r="J295" s="26"/>
      <c r="K295" s="26"/>
      <c r="L295" s="26"/>
      <c r="M295" s="26"/>
      <c r="N295" s="26"/>
      <c r="O295" s="26"/>
      <c r="P295" s="26"/>
      <c r="Q295" s="26"/>
      <c r="R295" s="26"/>
      <c r="S295" s="26"/>
      <c r="T295" s="26"/>
      <c r="U295" s="26"/>
      <c r="W295" s="26"/>
      <c r="X295" s="26"/>
      <c r="Y295" s="26"/>
      <c r="Z295" s="26"/>
      <c r="AA295" s="26"/>
      <c r="AB295" s="26"/>
      <c r="AD295" s="26"/>
      <c r="AE295" s="26"/>
      <c r="AF295" s="26"/>
      <c r="AG295" s="26"/>
      <c r="AH295" s="26"/>
      <c r="AI295" s="26"/>
      <c r="AK295" s="26"/>
      <c r="AL295" s="26"/>
      <c r="AM295" s="26"/>
      <c r="AN295" s="26"/>
      <c r="AO295" s="26"/>
      <c r="AP295" s="26"/>
      <c r="AR295" s="26"/>
      <c r="AS295" s="26"/>
      <c r="AT295" s="26"/>
      <c r="AU295" s="26"/>
      <c r="AV295" s="26"/>
      <c r="AW295" s="26"/>
    </row>
    <row r="296" spans="1:49" x14ac:dyDescent="0.25">
      <c r="A296" s="17" t="s">
        <v>50</v>
      </c>
      <c r="B296" s="294"/>
      <c r="C296" s="294"/>
      <c r="D296" s="294"/>
      <c r="E296" s="294"/>
      <c r="F296" s="294"/>
      <c r="G296" s="294"/>
      <c r="H296" s="295"/>
      <c r="I296" s="294"/>
      <c r="J296" s="294"/>
      <c r="K296" s="294"/>
      <c r="L296" s="294"/>
      <c r="M296" s="294"/>
      <c r="N296" s="294"/>
      <c r="O296" s="201"/>
      <c r="P296" s="294"/>
      <c r="Q296" s="294"/>
      <c r="R296" s="294"/>
      <c r="S296" s="294"/>
      <c r="T296" s="294"/>
      <c r="U296" s="294"/>
      <c r="W296" s="294"/>
      <c r="X296" s="294"/>
      <c r="Y296" s="294"/>
      <c r="Z296" s="294"/>
      <c r="AA296" s="294"/>
      <c r="AB296" s="294"/>
      <c r="AD296" s="294"/>
      <c r="AE296" s="294"/>
      <c r="AF296" s="294"/>
      <c r="AG296" s="294"/>
      <c r="AH296" s="294"/>
      <c r="AI296" s="294"/>
      <c r="AK296" s="294"/>
      <c r="AL296" s="294"/>
      <c r="AM296" s="294"/>
      <c r="AN296" s="294"/>
      <c r="AO296" s="294"/>
      <c r="AP296" s="294"/>
      <c r="AR296" s="294"/>
      <c r="AS296" s="294"/>
      <c r="AT296" s="294"/>
      <c r="AU296" s="294"/>
      <c r="AV296" s="294"/>
      <c r="AW296" s="294"/>
    </row>
    <row r="297" spans="1:49" x14ac:dyDescent="0.25">
      <c r="A297" s="3" t="s">
        <v>48</v>
      </c>
      <c r="B297" s="20">
        <f>SUMPRODUCT(B$9:B$229,Nutrients!$DA$8:$DA$228)/2000</f>
        <v>0.35459999999999997</v>
      </c>
      <c r="C297" s="20">
        <f>SUMPRODUCT(C$9:C$229,Nutrients!$DA$8:$DA$228)/2000</f>
        <v>0.31519999999999998</v>
      </c>
      <c r="D297" s="20">
        <f>SUMPRODUCT(D$9:D$229,Nutrients!$DA$8:$DA$228)/2000</f>
        <v>0.27579999999999999</v>
      </c>
      <c r="E297" s="20">
        <f>SUMPRODUCT(E$9:E$229,Nutrients!$DA$8:$DA$228)/2000</f>
        <v>0.25692384707729665</v>
      </c>
      <c r="F297" s="20">
        <f>SUMPRODUCT(F$9:F$229,Nutrients!$DA$8:$DA$228)/2000</f>
        <v>0.25692384707729665</v>
      </c>
      <c r="G297" s="20">
        <f>SUMPRODUCT(G$9:G$229,Nutrients!$DA$8:$DA$228)/2000</f>
        <v>0.25692384707729665</v>
      </c>
      <c r="H297" s="192"/>
      <c r="I297" s="20">
        <f>SUMPRODUCT(I$9:I$229,Nutrients!$DA$8:$DA$228)/2000</f>
        <v>0.39727200000000001</v>
      </c>
      <c r="J297" s="20">
        <f>SUMPRODUCT(J$9:J$229,Nutrients!$DA$8:$DA$228)/2000</f>
        <v>0.35787200000000002</v>
      </c>
      <c r="K297" s="20">
        <f>SUMPRODUCT(K$9:K$229,Nutrients!$DA$8:$DA$228)/2000</f>
        <v>0.31847199999999998</v>
      </c>
      <c r="L297" s="20">
        <f>SUMPRODUCT(L$9:L$229,Nutrients!$DA$8:$DA$228)/2000</f>
        <v>0.2995958470772967</v>
      </c>
      <c r="M297" s="20">
        <f>SUMPRODUCT(M$9:M$229,Nutrients!$DA$8:$DA$228)/2000</f>
        <v>0.2995958470772967</v>
      </c>
      <c r="N297" s="20">
        <f>SUMPRODUCT(N$9:N$229,Nutrients!$DA$8:$DA$228)/2000</f>
        <v>0.25692384707729665</v>
      </c>
      <c r="O297" s="237"/>
      <c r="P297" s="20">
        <f>SUMPRODUCT(P$9:P$229,Nutrients!$DA$8:$DA$228)/2000</f>
        <v>0.43994399999999995</v>
      </c>
      <c r="Q297" s="20">
        <f>SUMPRODUCT(Q$9:Q$229,Nutrients!$DA$8:$DA$228)/2000</f>
        <v>0.40054399999999996</v>
      </c>
      <c r="R297" s="20">
        <f>SUMPRODUCT(R$9:R$229,Nutrients!$DA$8:$DA$228)/2000</f>
        <v>0.36114400000000002</v>
      </c>
      <c r="S297" s="20">
        <f>SUMPRODUCT(S$9:S$229,Nutrients!$DA$8:$DA$228)/2000</f>
        <v>0.34226784707729668</v>
      </c>
      <c r="T297" s="20">
        <f>SUMPRODUCT(T$9:T$229,Nutrients!$DA$8:$DA$228)/2000</f>
        <v>0.34226784707729668</v>
      </c>
      <c r="U297" s="20">
        <f>SUMPRODUCT(U$9:U$229,Nutrients!$DA$8:$DA$228)/2000</f>
        <v>0.25692384707729665</v>
      </c>
      <c r="W297" s="20">
        <f>SUMPRODUCT(W$9:W$229,Nutrients!$DA$8:$DA$228)/2000</f>
        <v>0.48261599999999993</v>
      </c>
      <c r="X297" s="20">
        <f>SUMPRODUCT(X$9:X$229,Nutrients!$DA$8:$DA$228)/2000</f>
        <v>0.44321599999999994</v>
      </c>
      <c r="Y297" s="20">
        <f>SUMPRODUCT(Y$9:Y$229,Nutrients!$DA$8:$DA$228)/2000</f>
        <v>0.40381599999999995</v>
      </c>
      <c r="Z297" s="20">
        <f>SUMPRODUCT(Z$9:Z$229,Nutrients!$DA$8:$DA$228)/2000</f>
        <v>0.38493984707729662</v>
      </c>
      <c r="AA297" s="20">
        <f>SUMPRODUCT(AA$9:AA$229,Nutrients!$DA$8:$DA$228)/2000</f>
        <v>0.38493984707729662</v>
      </c>
      <c r="AB297" s="20">
        <f>SUMPRODUCT(AB$9:AB$229,Nutrients!$DA$8:$DA$228)/2000</f>
        <v>0.25692384707729665</v>
      </c>
      <c r="AD297" s="20">
        <f>SUMPRODUCT(AD$9:AD$229,Nutrients!$DA$8:$DA$228)/2000</f>
        <v>0.52528799999999998</v>
      </c>
      <c r="AE297" s="20">
        <f>SUMPRODUCT(AE$9:AE$229,Nutrients!$DA$8:$DA$228)/2000</f>
        <v>0.48588799999999999</v>
      </c>
      <c r="AF297" s="20">
        <f>SUMPRODUCT(AF$9:AF$229,Nutrients!$DA$8:$DA$228)/2000</f>
        <v>0.44648799999999994</v>
      </c>
      <c r="AG297" s="20">
        <f>SUMPRODUCT(AG$9:AG$229,Nutrients!$DA$8:$DA$228)/2000</f>
        <v>0.42761184707729666</v>
      </c>
      <c r="AH297" s="20">
        <f>SUMPRODUCT(AH$9:AH$229,Nutrients!$DA$8:$DA$228)/2000</f>
        <v>0.42761184707729666</v>
      </c>
      <c r="AI297" s="20">
        <f>SUMPRODUCT(AI$9:AI$229,Nutrients!$DA$8:$DA$228)/2000</f>
        <v>0.25692384707729665</v>
      </c>
      <c r="AK297" s="20">
        <f>SUMPRODUCT(AK$9:AK$229,Nutrients!$DA$8:$DA$228)/2000</f>
        <v>0.56795999999999991</v>
      </c>
      <c r="AL297" s="20">
        <f>SUMPRODUCT(AL$9:AL$229,Nutrients!$DA$8:$DA$228)/2000</f>
        <v>0.52855999999999992</v>
      </c>
      <c r="AM297" s="20">
        <f>SUMPRODUCT(AM$9:AM$229,Nutrients!$DA$8:$DA$228)/2000</f>
        <v>0.48915999999999998</v>
      </c>
      <c r="AN297" s="20">
        <f>SUMPRODUCT(AN$9:AN$229,Nutrients!$DA$8:$DA$228)/2000</f>
        <v>0.47028384707729665</v>
      </c>
      <c r="AO297" s="20">
        <f>SUMPRODUCT(AO$9:AO$229,Nutrients!$DA$8:$DA$228)/2000</f>
        <v>0.47028384707729665</v>
      </c>
      <c r="AP297" s="20">
        <f>SUMPRODUCT(AP$9:AP$229,Nutrients!$DA$8:$DA$228)/2000</f>
        <v>0.25692384707729665</v>
      </c>
      <c r="AR297" s="20">
        <f>SUMPRODUCT(AR$9:AR$229,Nutrients!$DA$8:$DA$228)/2000</f>
        <v>0.61063199999999995</v>
      </c>
      <c r="AS297" s="20">
        <f>SUMPRODUCT(AS$9:AS$229,Nutrients!$DA$8:$DA$228)/2000</f>
        <v>0.57123199999999996</v>
      </c>
      <c r="AT297" s="20">
        <f>SUMPRODUCT(AT$9:AT$229,Nutrients!$DA$8:$DA$228)/2000</f>
        <v>0.53183199999999997</v>
      </c>
      <c r="AU297" s="20">
        <f>SUMPRODUCT(AU$9:AU$229,Nutrients!$DA$8:$DA$228)/2000</f>
        <v>0.51295584707729669</v>
      </c>
      <c r="AV297" s="20">
        <f>SUMPRODUCT(AV$9:AV$229,Nutrients!$DA$8:$DA$228)/2000</f>
        <v>0.51295584707729669</v>
      </c>
      <c r="AW297" s="20">
        <f>SUMPRODUCT(AW$9:AW$229,Nutrients!$DA$8:$DA$228)/2000</f>
        <v>0.25692384707729665</v>
      </c>
    </row>
    <row r="298" spans="1:49" x14ac:dyDescent="0.25">
      <c r="A298" s="34" t="s">
        <v>391</v>
      </c>
      <c r="B298" s="23">
        <f t="shared" ref="B298:G298" si="167">IF(B$5="","",B245/(B246*2.2046)*10000)</f>
        <v>4.0004918161487684</v>
      </c>
      <c r="C298" s="23">
        <f t="shared" si="167"/>
        <v>3.5419410134415341</v>
      </c>
      <c r="D298" s="23">
        <f t="shared" si="167"/>
        <v>3.1391303590347972</v>
      </c>
      <c r="E298" s="23">
        <f t="shared" si="167"/>
        <v>2.8010240180887811</v>
      </c>
      <c r="F298" s="23">
        <f t="shared" si="167"/>
        <v>2.5643124869082041</v>
      </c>
      <c r="G298" s="23">
        <f t="shared" si="167"/>
        <v>2.4347307257524458</v>
      </c>
      <c r="H298" s="227"/>
      <c r="I298" s="23">
        <f t="shared" ref="I298:N298" si="168">IF(I$5="","",I245/(I246*2.2046)*10000)</f>
        <v>3.9909187882093167</v>
      </c>
      <c r="J298" s="23">
        <f t="shared" si="168"/>
        <v>3.5362972506100401</v>
      </c>
      <c r="K298" s="23">
        <f t="shared" si="168"/>
        <v>3.1369572557269727</v>
      </c>
      <c r="L298" s="23">
        <f t="shared" si="168"/>
        <v>2.8018497235714168</v>
      </c>
      <c r="M298" s="23">
        <f t="shared" si="168"/>
        <v>2.5672740062992552</v>
      </c>
      <c r="N298" s="23">
        <f t="shared" si="168"/>
        <v>2.4347307257524458</v>
      </c>
      <c r="O298" s="198"/>
      <c r="P298" s="23">
        <f t="shared" ref="P298:U298" si="169">IF(P$5="","",P245/(P246*2.2046)*10000)</f>
        <v>3.9812048290036857</v>
      </c>
      <c r="Q298" s="23">
        <f t="shared" si="169"/>
        <v>3.5306165210678899</v>
      </c>
      <c r="R298" s="23">
        <f t="shared" si="169"/>
        <v>3.1346924065223649</v>
      </c>
      <c r="S298" s="23">
        <f t="shared" si="169"/>
        <v>2.8026517172586285</v>
      </c>
      <c r="T298" s="23">
        <f t="shared" si="169"/>
        <v>2.5701779885294318</v>
      </c>
      <c r="U298" s="23">
        <f t="shared" si="169"/>
        <v>2.4347307257524458</v>
      </c>
      <c r="W298" s="23">
        <f t="shared" ref="W298:AB298" si="170">IF(W$5="","",W245/(W246*2.2046)*10000)</f>
        <v>3.9713871747430769</v>
      </c>
      <c r="X298" s="23">
        <f t="shared" si="170"/>
        <v>3.5246668849889673</v>
      </c>
      <c r="Y298" s="23">
        <f t="shared" si="170"/>
        <v>3.1323895644931188</v>
      </c>
      <c r="Z298" s="23">
        <f t="shared" si="170"/>
        <v>2.8031481994177971</v>
      </c>
      <c r="AA298" s="23">
        <f t="shared" si="170"/>
        <v>2.57269719881005</v>
      </c>
      <c r="AB298" s="23">
        <f t="shared" si="170"/>
        <v>2.4347307257524458</v>
      </c>
      <c r="AD298" s="23">
        <f t="shared" ref="AD298:AI298" si="171">IF(AD$5="","",AD245/(AD246*2.2046)*10000)</f>
        <v>3.9615654530128719</v>
      </c>
      <c r="AE298" s="23">
        <f t="shared" si="171"/>
        <v>3.5189496531504854</v>
      </c>
      <c r="AF298" s="23">
        <f t="shared" si="171"/>
        <v>3.1299479384293605</v>
      </c>
      <c r="AG298" s="23">
        <f t="shared" si="171"/>
        <v>2.8036603391027048</v>
      </c>
      <c r="AH298" s="23">
        <f t="shared" si="171"/>
        <v>2.5754959234331962</v>
      </c>
      <c r="AI298" s="23">
        <f t="shared" si="171"/>
        <v>2.4347307257524458</v>
      </c>
      <c r="AK298" s="23">
        <f t="shared" ref="AK298:AP298" si="172">IF(AK$5="","",AK245/(AK246*2.2046)*10000)</f>
        <v>3.9521016006755469</v>
      </c>
      <c r="AL298" s="23">
        <f t="shared" si="172"/>
        <v>3.5133454040306047</v>
      </c>
      <c r="AM298" s="23">
        <f t="shared" si="172"/>
        <v>3.1278782305228909</v>
      </c>
      <c r="AN298" s="23">
        <f t="shared" si="172"/>
        <v>2.8045787316589523</v>
      </c>
      <c r="AO298" s="23">
        <f t="shared" si="172"/>
        <v>2.5781756753227372</v>
      </c>
      <c r="AP298" s="23">
        <f t="shared" si="172"/>
        <v>2.4347307257524458</v>
      </c>
      <c r="AR298" s="23">
        <f t="shared" ref="AR298:AW298" si="173">IF(AR$5="","",AR245/(AR246*2.2046)*10000)</f>
        <v>3.9423930216202354</v>
      </c>
      <c r="AS298" s="23">
        <f t="shared" si="173"/>
        <v>3.5078895611306744</v>
      </c>
      <c r="AT298" s="23">
        <f t="shared" si="173"/>
        <v>3.125694087883621</v>
      </c>
      <c r="AU298" s="23">
        <f t="shared" si="173"/>
        <v>2.8053198652345319</v>
      </c>
      <c r="AV298" s="23">
        <f t="shared" si="173"/>
        <v>2.5808089433217916</v>
      </c>
      <c r="AW298" s="23">
        <f t="shared" si="173"/>
        <v>2.4347307257524458</v>
      </c>
    </row>
    <row r="299" spans="1:49" x14ac:dyDescent="0.25">
      <c r="A299" s="34" t="s">
        <v>392</v>
      </c>
      <c r="B299" s="23">
        <f t="shared" ref="B299:G299" si="174">IF(B$5="","",B236/(B246*2.2046)*10000)</f>
        <v>3.5990753406176657</v>
      </c>
      <c r="C299" s="23">
        <f t="shared" si="174"/>
        <v>3.1727222375948116</v>
      </c>
      <c r="D299" s="23">
        <f t="shared" si="174"/>
        <v>2.7968342544845632</v>
      </c>
      <c r="E299" s="23">
        <f t="shared" si="174"/>
        <v>2.4855813058752307</v>
      </c>
      <c r="F299" s="23">
        <f t="shared" si="174"/>
        <v>2.2715388971881016</v>
      </c>
      <c r="G299" s="23">
        <f t="shared" si="174"/>
        <v>2.1544027583542169</v>
      </c>
      <c r="H299" s="227"/>
      <c r="I299" s="23">
        <f t="shared" ref="I299:N299" si="175">IF(I$5="","",I236/(I246*2.2046)*10000)</f>
        <v>3.5667619921819083</v>
      </c>
      <c r="J299" s="23">
        <f t="shared" si="175"/>
        <v>3.1441584600458028</v>
      </c>
      <c r="K299" s="23">
        <f t="shared" si="175"/>
        <v>2.7715685601842632</v>
      </c>
      <c r="L299" s="23">
        <f t="shared" si="175"/>
        <v>2.463150627423218</v>
      </c>
      <c r="M299" s="23">
        <f t="shared" si="175"/>
        <v>2.2510939229614184</v>
      </c>
      <c r="N299" s="23">
        <f t="shared" si="175"/>
        <v>2.1544027583542169</v>
      </c>
      <c r="O299" s="198"/>
      <c r="P299" s="23">
        <f t="shared" ref="P299:U299" si="176">IF(P$5="","",P236/(P246*2.2046)*10000)</f>
        <v>3.5347593487162761</v>
      </c>
      <c r="Q299" s="23">
        <f t="shared" si="176"/>
        <v>3.1159809258068383</v>
      </c>
      <c r="R299" s="23">
        <f t="shared" si="176"/>
        <v>2.7466530634545916</v>
      </c>
      <c r="S299" s="23">
        <f t="shared" si="176"/>
        <v>2.4411163520492831</v>
      </c>
      <c r="T299" s="23">
        <f t="shared" si="176"/>
        <v>2.231009565679333</v>
      </c>
      <c r="U299" s="23">
        <f t="shared" si="176"/>
        <v>2.1544027583542169</v>
      </c>
      <c r="W299" s="23">
        <f t="shared" ref="W299:AB299" si="177">IF(W$5="","",W236/(W246*2.2046)*10000)</f>
        <v>3.5030778807395677</v>
      </c>
      <c r="X299" s="23">
        <f t="shared" si="177"/>
        <v>3.0879786717673321</v>
      </c>
      <c r="Y299" s="23">
        <f t="shared" si="177"/>
        <v>2.722106217974777</v>
      </c>
      <c r="Z299" s="23">
        <f t="shared" si="177"/>
        <v>2.419223737206647</v>
      </c>
      <c r="AA299" s="23">
        <f t="shared" si="177"/>
        <v>2.2110072829753817</v>
      </c>
      <c r="AB299" s="23">
        <f t="shared" si="177"/>
        <v>2.1544027583542169</v>
      </c>
      <c r="AD299" s="23">
        <f t="shared" ref="AD299:AI299" si="178">IF(AD$5="","",AD236/(AD246*2.2046)*10000)</f>
        <v>3.4718098841577665</v>
      </c>
      <c r="AE299" s="23">
        <f t="shared" si="178"/>
        <v>3.0605819280633639</v>
      </c>
      <c r="AF299" s="23">
        <f t="shared" si="178"/>
        <v>2.6978474957178222</v>
      </c>
      <c r="AG299" s="23">
        <f t="shared" si="178"/>
        <v>2.3977452821786271</v>
      </c>
      <c r="AH299" s="23">
        <f t="shared" si="178"/>
        <v>2.1917705402712251</v>
      </c>
      <c r="AI299" s="23">
        <f t="shared" si="178"/>
        <v>2.1544027583542169</v>
      </c>
      <c r="AK299" s="23">
        <f t="shared" ref="AK299:AP299" si="179">IF(AK$5="","",AK236/(AK246*2.2046)*10000)</f>
        <v>3.4412603790391723</v>
      </c>
      <c r="AL299" s="23">
        <f t="shared" si="179"/>
        <v>3.0336878179721007</v>
      </c>
      <c r="AM299" s="23">
        <f t="shared" si="179"/>
        <v>2.674295194788697</v>
      </c>
      <c r="AN299" s="23">
        <f t="shared" si="179"/>
        <v>2.3771139311584841</v>
      </c>
      <c r="AO299" s="23">
        <f t="shared" si="179"/>
        <v>2.172842096248532</v>
      </c>
      <c r="AP299" s="23">
        <f t="shared" si="179"/>
        <v>2.1544027583542169</v>
      </c>
      <c r="AR299" s="23">
        <f t="shared" ref="AR299:AW299" si="180">IF(AR$5="","",AR236/(AR246*2.2046)*10000)</f>
        <v>3.4108982797383671</v>
      </c>
      <c r="AS299" s="23">
        <f t="shared" si="180"/>
        <v>3.0073071075632876</v>
      </c>
      <c r="AT299" s="23">
        <f t="shared" si="180"/>
        <v>2.6510456598952148</v>
      </c>
      <c r="AU299" s="23">
        <f t="shared" si="180"/>
        <v>2.3567535482890785</v>
      </c>
      <c r="AV299" s="23">
        <f t="shared" si="180"/>
        <v>2.1542373188164161</v>
      </c>
      <c r="AW299" s="23">
        <f t="shared" si="180"/>
        <v>2.1544027583542169</v>
      </c>
    </row>
    <row r="300" spans="1:49" x14ac:dyDescent="0.25">
      <c r="A300" s="34" t="s">
        <v>151</v>
      </c>
      <c r="B300" s="23">
        <f t="shared" ref="B300:G300" si="181">B245/B253*100</f>
        <v>6.8677028806815752</v>
      </c>
      <c r="C300" s="23">
        <f t="shared" si="181"/>
        <v>6.6830941302046103</v>
      </c>
      <c r="D300" s="23">
        <f t="shared" si="181"/>
        <v>6.4644027164582063</v>
      </c>
      <c r="E300" s="23">
        <f t="shared" si="181"/>
        <v>6.3149371296786221</v>
      </c>
      <c r="F300" s="23">
        <f t="shared" si="181"/>
        <v>6.2696154239212527</v>
      </c>
      <c r="G300" s="23">
        <f t="shared" si="181"/>
        <v>6.2402437601749243</v>
      </c>
      <c r="H300" s="227"/>
      <c r="I300" s="23">
        <f t="shared" ref="I300:N300" si="182">I245/I253*100</f>
        <v>6.7722097781263129</v>
      </c>
      <c r="J300" s="23">
        <f t="shared" si="182"/>
        <v>6.5822068163990028</v>
      </c>
      <c r="K300" s="23">
        <f t="shared" si="182"/>
        <v>6.3582822897883053</v>
      </c>
      <c r="L300" s="23">
        <f t="shared" si="182"/>
        <v>6.2044342345478212</v>
      </c>
      <c r="M300" s="23">
        <f t="shared" si="182"/>
        <v>6.152510497066749</v>
      </c>
      <c r="N300" s="23">
        <f t="shared" si="182"/>
        <v>6.2402437601749243</v>
      </c>
      <c r="O300" s="198"/>
      <c r="P300" s="23">
        <f t="shared" ref="P300:U300" si="183">P245/P253*100</f>
        <v>6.6797140853702777</v>
      </c>
      <c r="Q300" s="23">
        <f t="shared" si="183"/>
        <v>6.4846993710644023</v>
      </c>
      <c r="R300" s="23">
        <f t="shared" si="183"/>
        <v>6.2572436185690128</v>
      </c>
      <c r="S300" s="23">
        <f t="shared" si="183"/>
        <v>6.0983462661466374</v>
      </c>
      <c r="T300" s="23">
        <f t="shared" si="183"/>
        <v>6.0407592095446754</v>
      </c>
      <c r="U300" s="23">
        <f t="shared" si="183"/>
        <v>6.2402437601749243</v>
      </c>
      <c r="W300" s="23">
        <f t="shared" ref="W300:AB300" si="184">W245/W253*100</f>
        <v>6.590774380423742</v>
      </c>
      <c r="X300" s="23">
        <f t="shared" si="184"/>
        <v>6.390861850261782</v>
      </c>
      <c r="Y300" s="23">
        <f t="shared" si="184"/>
        <v>6.1606787077645384</v>
      </c>
      <c r="Z300" s="23">
        <f t="shared" si="184"/>
        <v>5.9961911696384798</v>
      </c>
      <c r="AA300" s="23">
        <f t="shared" si="184"/>
        <v>5.9302708221458067</v>
      </c>
      <c r="AB300" s="23">
        <f t="shared" si="184"/>
        <v>6.2402437601749243</v>
      </c>
      <c r="AD300" s="23">
        <f t="shared" ref="AD300:AI300" si="185">AD245/AD253*100</f>
        <v>6.5042317008935315</v>
      </c>
      <c r="AE300" s="23">
        <f t="shared" si="185"/>
        <v>6.3011959018750865</v>
      </c>
      <c r="AF300" s="23">
        <f t="shared" si="185"/>
        <v>6.0672304226469134</v>
      </c>
      <c r="AG300" s="23">
        <f t="shared" si="185"/>
        <v>5.8985026531687517</v>
      </c>
      <c r="AH300" s="23">
        <f t="shared" si="185"/>
        <v>5.8278642618027874</v>
      </c>
      <c r="AI300" s="23">
        <f t="shared" si="185"/>
        <v>6.2402437601749243</v>
      </c>
      <c r="AK300" s="23">
        <f t="shared" ref="AK300:AP300" si="186">AK245/AK253*100</f>
        <v>6.4212832626708405</v>
      </c>
      <c r="AL300" s="23">
        <f t="shared" si="186"/>
        <v>6.2149535786526355</v>
      </c>
      <c r="AM300" s="23">
        <f t="shared" si="186"/>
        <v>5.9792517659025028</v>
      </c>
      <c r="AN300" s="23">
        <f t="shared" si="186"/>
        <v>5.8059182301015424</v>
      </c>
      <c r="AO300" s="23">
        <f t="shared" si="186"/>
        <v>5.7313552148282536</v>
      </c>
      <c r="AP300" s="23">
        <f t="shared" si="186"/>
        <v>6.2402437601749243</v>
      </c>
      <c r="AR300" s="23">
        <f t="shared" ref="AR300:AW300" si="187">AR245/AR253*100</f>
        <v>6.3413317579288835</v>
      </c>
      <c r="AS300" s="23">
        <f t="shared" si="187"/>
        <v>6.1312940027142702</v>
      </c>
      <c r="AT300" s="23">
        <f t="shared" si="187"/>
        <v>5.8923331530486625</v>
      </c>
      <c r="AU300" s="23">
        <f t="shared" si="187"/>
        <v>5.718507070088326</v>
      </c>
      <c r="AV300" s="23">
        <f t="shared" si="187"/>
        <v>5.6397500032628685</v>
      </c>
      <c r="AW300" s="23">
        <f t="shared" si="187"/>
        <v>6.2402437601749243</v>
      </c>
    </row>
    <row r="301" spans="1:49" x14ac:dyDescent="0.25">
      <c r="A301" t="s">
        <v>56</v>
      </c>
      <c r="B301" s="22">
        <f>(SUMPRODUCT(B$9:B$229,Nutrients!$K$8:$K$228)+(IF($A$7=Nutrients!$B$8,Nutrients!$K$8,Nutrients!$K$9)*B$7)+(((IF($A$8=Nutrients!$B$79,Nutrients!$K$79,(IF($A$8=Nutrients!$B$77,Nutrients!$K$77,Nutrients!$K$78)))))*B$8))/2000</f>
        <v>2.8430787934788264</v>
      </c>
      <c r="C301" s="22">
        <f>(SUMPRODUCT(C$9:C$229,Nutrients!$K$8:$K$228)+(IF($A$7=Nutrients!$B$8,Nutrients!$K$8,Nutrients!$K$9)*C$7)+(((IF($A$8=Nutrients!$B$79,Nutrients!$K$79,(IF($A$8=Nutrients!$B$77,Nutrients!$K$77,Nutrients!$K$78)))))*C$8))/2000</f>
        <v>2.9356906063346426</v>
      </c>
      <c r="D301" s="22">
        <f>(SUMPRODUCT(D$9:D$229,Nutrients!$K$8:$K$228)+(IF($A$7=Nutrients!$B$8,Nutrients!$K$8,Nutrients!$K$9)*D$7)+(((IF($A$8=Nutrients!$B$79,Nutrients!$K$79,(IF($A$8=Nutrients!$B$77,Nutrients!$K$77,Nutrients!$K$78)))))*D$8))/2000</f>
        <v>3.0150158948020342</v>
      </c>
      <c r="E301" s="22">
        <f>(SUMPRODUCT(E$9:E$229,Nutrients!$K$8:$K$228)+(IF($A$7=Nutrients!$B$8,Nutrients!$K$8,Nutrients!$K$9)*E$7)+(((IF($A$8=Nutrients!$B$79,Nutrients!$K$79,(IF($A$8=Nutrients!$B$77,Nutrients!$K$77,Nutrients!$K$78)))))*E$8))/2000</f>
        <v>3.0897558386383324</v>
      </c>
      <c r="F301" s="22">
        <f>(SUMPRODUCT(F$9:F$229,Nutrients!$K$8:$K$228)+(IF($A$7=Nutrients!$B$8,Nutrients!$K$8,Nutrients!$K$9)*F$7)+(((IF($A$8=Nutrients!$B$79,Nutrients!$K$79,(IF($A$8=Nutrients!$B$77,Nutrients!$K$77,Nutrients!$K$78)))))*F$8))/2000</f>
        <v>3.1512333335874807</v>
      </c>
      <c r="G301" s="22">
        <f>(SUMPRODUCT(G$9:G$229,Nutrients!$K$8:$K$228)+(IF($A$7=Nutrients!$B$8,Nutrients!$K$8,Nutrients!$K$9)*G$7)+(((IF($A$8=Nutrients!$B$79,Nutrients!$K$79,(IF($A$8=Nutrients!$B$77,Nutrients!$K$77,Nutrients!$K$78)))))*G$8))/2000</f>
        <v>3.1836624192329586</v>
      </c>
      <c r="H301" s="228"/>
      <c r="I301" s="22">
        <f>(SUMPRODUCT(I$9:I$229,Nutrients!$K$8:$K$228)+(IF($A$7=Nutrients!$B$8,Nutrients!$K$8,Nutrients!$K$9)*I$7)+(((IF($A$8=Nutrients!$B$79,Nutrients!$K$79,(IF($A$8=Nutrients!$B$77,Nutrients!$K$77,Nutrients!$K$78)))))*I$8))/2000</f>
        <v>3.7545037280099876</v>
      </c>
      <c r="J301" s="22">
        <f>(SUMPRODUCT(J$9:J$229,Nutrients!$K$8:$K$228)+(IF($A$7=Nutrients!$B$8,Nutrients!$K$8,Nutrients!$K$9)*J$7)+(((IF($A$8=Nutrients!$B$79,Nutrients!$K$79,(IF($A$8=Nutrients!$B$77,Nutrients!$K$77,Nutrients!$K$78)))))*J$8))/2000</f>
        <v>3.852858417655737</v>
      </c>
      <c r="K301" s="22">
        <f>(SUMPRODUCT(K$9:K$229,Nutrients!$K$8:$K$228)+(IF($A$7=Nutrients!$B$8,Nutrients!$K$8,Nutrients!$K$9)*K$7)+(((IF($A$8=Nutrients!$B$79,Nutrients!$K$79,(IF($A$8=Nutrients!$B$77,Nutrients!$K$77,Nutrients!$K$78)))))*K$8))/2000</f>
        <v>3.9273066414676694</v>
      </c>
      <c r="L301" s="22">
        <f>(SUMPRODUCT(L$9:L$229,Nutrients!$K$8:$K$228)+(IF($A$7=Nutrients!$B$8,Nutrients!$K$8,Nutrients!$K$9)*L$7)+(((IF($A$8=Nutrients!$B$79,Nutrients!$K$79,(IF($A$8=Nutrients!$B$77,Nutrients!$K$77,Nutrients!$K$78)))))*L$8))/2000</f>
        <v>4.0073021325352087</v>
      </c>
      <c r="M301" s="22">
        <f>(SUMPRODUCT(M$9:M$229,Nutrients!$K$8:$K$228)+(IF($A$7=Nutrients!$B$8,Nutrients!$K$8,Nutrients!$K$9)*M$7)+(((IF($A$8=Nutrients!$B$79,Nutrients!$K$79,(IF($A$8=Nutrients!$B$77,Nutrients!$K$77,Nutrients!$K$78)))))*M$8))/2000</f>
        <v>4.0702933150083371</v>
      </c>
      <c r="N301" s="22">
        <f>(SUMPRODUCT(N$9:N$229,Nutrients!$K$8:$K$228)+(IF($A$7=Nutrients!$B$8,Nutrients!$K$8,Nutrients!$K$9)*N$7)+(((IF($A$8=Nutrients!$B$79,Nutrients!$K$79,(IF($A$8=Nutrients!$B$77,Nutrients!$K$77,Nutrients!$K$78)))))*N$8))/2000</f>
        <v>3.1836624192329586</v>
      </c>
      <c r="O301" s="235"/>
      <c r="P301" s="22">
        <f>(SUMPRODUCT(P$9:P$229,Nutrients!$K$8:$K$228)+(IF($A$7=Nutrients!$B$8,Nutrients!$K$8,Nutrients!$K$9)*P$7)+(((IF($A$8=Nutrients!$B$79,Nutrients!$K$79,(IF($A$8=Nutrients!$B$77,Nutrients!$K$77,Nutrients!$K$78)))))*P$8))/2000</f>
        <v>4.6699211391159769</v>
      </c>
      <c r="Q301" s="22">
        <f>(SUMPRODUCT(Q$9:Q$229,Nutrients!$K$8:$K$228)+(IF($A$7=Nutrients!$B$8,Nutrients!$K$8,Nutrients!$K$9)*Q$7)+(((IF($A$8=Nutrients!$B$79,Nutrients!$K$79,(IF($A$8=Nutrients!$B$77,Nutrients!$K$77,Nutrients!$K$78)))))*Q$8))/2000</f>
        <v>4.7684600330317926</v>
      </c>
      <c r="R301" s="22">
        <f>(SUMPRODUCT(R$9:R$229,Nutrients!$K$8:$K$228)+(IF($A$7=Nutrients!$B$8,Nutrients!$K$8,Nutrients!$K$9)*R$7)+(((IF($A$8=Nutrients!$B$79,Nutrients!$K$79,(IF($A$8=Nutrients!$B$77,Nutrients!$K$77,Nutrients!$K$78)))))*R$8))/2000</f>
        <v>4.8445751107378179</v>
      </c>
      <c r="S301" s="22">
        <f>(SUMPRODUCT(S$9:S$229,Nutrients!$K$8:$K$228)+(IF($A$7=Nutrients!$B$8,Nutrients!$K$8,Nutrients!$K$9)*S$7)+(((IF($A$8=Nutrients!$B$79,Nutrients!$K$79,(IF($A$8=Nutrients!$B$77,Nutrients!$K$77,Nutrients!$K$78)))))*S$8))/2000</f>
        <v>4.9226741180700433</v>
      </c>
      <c r="T301" s="22">
        <f>(SUMPRODUCT(T$9:T$229,Nutrients!$K$8:$K$228)+(IF($A$7=Nutrients!$B$8,Nutrients!$K$8,Nutrients!$K$9)*T$7)+(((IF($A$8=Nutrients!$B$79,Nutrients!$K$79,(IF($A$8=Nutrients!$B$77,Nutrients!$K$77,Nutrients!$K$78)))))*T$8))/2000</f>
        <v>4.9873365797615312</v>
      </c>
      <c r="U301" s="22">
        <f>(SUMPRODUCT(U$9:U$229,Nutrients!$K$8:$K$228)+(IF($A$7=Nutrients!$B$8,Nutrients!$K$8,Nutrients!$K$9)*U$7)+(((IF($A$8=Nutrients!$B$79,Nutrients!$K$79,(IF($A$8=Nutrients!$B$77,Nutrients!$K$77,Nutrients!$K$78)))))*U$8))/2000</f>
        <v>3.1836624192329586</v>
      </c>
      <c r="W301" s="22">
        <f>(SUMPRODUCT(W$9:W$229,Nutrients!$K$8:$K$228)+(IF($A$7=Nutrients!$B$8,Nutrients!$K$8,Nutrients!$K$9)*W$7)+(((IF($A$8=Nutrients!$B$79,Nutrients!$K$79,(IF($A$8=Nutrients!$B$77,Nutrients!$K$77,Nutrients!$K$78)))))*W$8))/2000</f>
        <v>5.5868843038431528</v>
      </c>
      <c r="X301" s="22">
        <f>(SUMPRODUCT(X$9:X$229,Nutrients!$K$8:$K$228)+(IF($A$7=Nutrients!$B$8,Nutrients!$K$8,Nutrients!$K$9)*X$7)+(((IF($A$8=Nutrients!$B$79,Nutrients!$K$79,(IF($A$8=Nutrients!$B$77,Nutrients!$K$77,Nutrients!$K$78)))))*X$8))/2000</f>
        <v>5.6864957912272311</v>
      </c>
      <c r="Y301" s="22">
        <f>(SUMPRODUCT(Y$9:Y$229,Nutrients!$K$8:$K$228)+(IF($A$7=Nutrients!$B$8,Nutrients!$K$8,Nutrients!$K$9)*Y$7)+(((IF($A$8=Nutrients!$B$79,Nutrients!$K$79,(IF($A$8=Nutrients!$B$77,Nutrients!$K$77,Nutrients!$K$78)))))*Y$8))/2000</f>
        <v>5.7602177230741081</v>
      </c>
      <c r="Z301" s="22">
        <f>(SUMPRODUCT(Z$9:Z$229,Nutrients!$K$8:$K$228)+(IF($A$7=Nutrients!$B$8,Nutrients!$K$8,Nutrients!$K$9)*Z$7)+(((IF($A$8=Nutrients!$B$79,Nutrients!$K$79,(IF($A$8=Nutrients!$B$77,Nutrients!$K$77,Nutrients!$K$78)))))*Z$8))/2000</f>
        <v>5.8393903190894196</v>
      </c>
      <c r="AA301" s="22">
        <f>(SUMPRODUCT(AA$9:AA$229,Nutrients!$K$8:$K$228)+(IF($A$7=Nutrients!$B$8,Nutrients!$K$8,Nutrients!$K$9)*AA$7)+(((IF($A$8=Nutrients!$B$79,Nutrients!$K$79,(IF($A$8=Nutrients!$B$77,Nutrients!$K$77,Nutrients!$K$78)))))*AA$8))/2000</f>
        <v>5.9010593459188012</v>
      </c>
      <c r="AB301" s="22">
        <f>(SUMPRODUCT(AB$9:AB$229,Nutrients!$K$8:$K$228)+(IF($A$7=Nutrients!$B$8,Nutrients!$K$8,Nutrients!$K$9)*AB$7)+(((IF($A$8=Nutrients!$B$79,Nutrients!$K$79,(IF($A$8=Nutrients!$B$77,Nutrients!$K$77,Nutrients!$K$78)))))*AB$8))/2000</f>
        <v>3.1836624192329586</v>
      </c>
      <c r="AD301" s="22">
        <f>(SUMPRODUCT(AD$9:AD$229,Nutrients!$K$8:$K$228)+(IF($A$7=Nutrients!$B$8,Nutrients!$K$8,Nutrients!$K$9)*AD$7)+(((IF($A$8=Nutrients!$B$79,Nutrients!$K$79,(IF($A$8=Nutrients!$B$77,Nutrients!$K$77,Nutrients!$K$78)))))*AD$8))/2000</f>
        <v>6.5044358882885929</v>
      </c>
      <c r="AE301" s="22">
        <f>(SUMPRODUCT(AE$9:AE$229,Nutrients!$K$8:$K$228)+(IF($A$7=Nutrients!$B$8,Nutrients!$K$8,Nutrients!$K$9)*AE$7)+(((IF($A$8=Nutrients!$B$79,Nutrients!$K$79,(IF($A$8=Nutrients!$B$77,Nutrients!$K$77,Nutrients!$K$78)))))*AE$8))/2000</f>
        <v>6.6026520821971788</v>
      </c>
      <c r="AF301" s="22">
        <f>(SUMPRODUCT(AF$9:AF$229,Nutrients!$K$8:$K$228)+(IF($A$7=Nutrients!$B$8,Nutrients!$K$8,Nutrients!$K$9)*AF$7)+(((IF($A$8=Nutrients!$B$79,Nutrients!$K$79,(IF($A$8=Nutrients!$B$77,Nutrients!$K$77,Nutrients!$K$78)))))*AF$8))/2000</f>
        <v>6.6768519969750972</v>
      </c>
      <c r="AG301" s="22">
        <f>(SUMPRODUCT(AG$9:AG$229,Nutrients!$K$8:$K$228)+(IF($A$7=Nutrients!$B$8,Nutrients!$K$8,Nutrients!$K$9)*AG$7)+(((IF($A$8=Nutrients!$B$79,Nutrients!$K$79,(IF($A$8=Nutrients!$B$77,Nutrients!$K$77,Nutrients!$K$78)))))*AG$8))/2000</f>
        <v>6.7548314185939686</v>
      </c>
      <c r="AH301" s="22">
        <f>(SUMPRODUCT(AH$9:AH$229,Nutrients!$K$8:$K$228)+(IF($A$7=Nutrients!$B$8,Nutrients!$K$8,Nutrients!$K$9)*AH$7)+(((IF($A$8=Nutrients!$B$79,Nutrients!$K$79,(IF($A$8=Nutrients!$B$77,Nutrients!$K$77,Nutrients!$K$78)))))*AH$8))/2000</f>
        <v>6.851493144723106</v>
      </c>
      <c r="AI301" s="22">
        <f>(SUMPRODUCT(AI$9:AI$229,Nutrients!$K$8:$K$228)+(IF($A$7=Nutrients!$B$8,Nutrients!$K$8,Nutrients!$K$9)*AI$7)+(((IF($A$8=Nutrients!$B$79,Nutrients!$K$79,(IF($A$8=Nutrients!$B$77,Nutrients!$K$77,Nutrients!$K$78)))))*AI$8))/2000</f>
        <v>3.1836624192329586</v>
      </c>
      <c r="AK301" s="22">
        <f>(SUMPRODUCT(AK$9:AK$229,Nutrients!$K$8:$K$228)+(IF($A$7=Nutrients!$B$8,Nutrients!$K$8,Nutrients!$K$9)*AK$7)+(((IF($A$8=Nutrients!$B$79,Nutrients!$K$79,(IF($A$8=Nutrients!$B$77,Nutrients!$K$77,Nutrients!$K$78)))))*AK$8))/2000</f>
        <v>7.4223440189802972</v>
      </c>
      <c r="AL301" s="22">
        <f>(SUMPRODUCT(AL$9:AL$229,Nutrients!$K$8:$K$228)+(IF($A$7=Nutrients!$B$8,Nutrients!$K$8,Nutrients!$K$9)*AL$7)+(((IF($A$8=Nutrients!$B$79,Nutrients!$K$79,(IF($A$8=Nutrients!$B$77,Nutrients!$K$77,Nutrients!$K$78)))))*AL$8))/2000</f>
        <v>7.5206296380942304</v>
      </c>
      <c r="AM301" s="22">
        <f>(SUMPRODUCT(AM$9:AM$229,Nutrients!$K$8:$K$228)+(IF($A$7=Nutrients!$B$8,Nutrients!$K$8,Nutrients!$K$9)*AM$7)+(((IF($A$8=Nutrients!$B$79,Nutrients!$K$79,(IF($A$8=Nutrients!$B$77,Nutrients!$K$77,Nutrients!$K$78)))))*AM$8))/2000</f>
        <v>7.5923347500274998</v>
      </c>
      <c r="AN301" s="22">
        <f>(SUMPRODUCT(AN$9:AN$229,Nutrients!$K$8:$K$228)+(IF($A$7=Nutrients!$B$8,Nutrients!$K$8,Nutrients!$K$9)*AN$7)+(((IF($A$8=Nutrients!$B$79,Nutrients!$K$79,(IF($A$8=Nutrients!$B$77,Nutrients!$K$77,Nutrients!$K$78)))))*AN$8))/2000</f>
        <v>7.6970716682702944</v>
      </c>
      <c r="AO301" s="22">
        <f>(SUMPRODUCT(AO$9:AO$229,Nutrients!$K$8:$K$228)+(IF($A$7=Nutrients!$B$8,Nutrients!$K$8,Nutrients!$K$9)*AO$7)+(((IF($A$8=Nutrients!$B$79,Nutrients!$K$79,(IF($A$8=Nutrients!$B$77,Nutrients!$K$77,Nutrients!$K$78)))))*AO$8))/2000</f>
        <v>7.8145327962651105</v>
      </c>
      <c r="AP301" s="22">
        <f>(SUMPRODUCT(AP$9:AP$229,Nutrients!$K$8:$K$228)+(IF($A$7=Nutrients!$B$8,Nutrients!$K$8,Nutrients!$K$9)*AP$7)+(((IF($A$8=Nutrients!$B$79,Nutrients!$K$79,(IF($A$8=Nutrients!$B$77,Nutrients!$K$77,Nutrients!$K$78)))))*AP$8))/2000</f>
        <v>3.1836624192329586</v>
      </c>
      <c r="AR301" s="22">
        <f>(SUMPRODUCT(AR$9:AR$229,Nutrients!$K$8:$K$228)+(IF($A$7=Nutrients!$B$8,Nutrients!$K$8,Nutrients!$K$9)*AR$7)+(((IF($A$8=Nutrients!$B$79,Nutrients!$K$79,(IF($A$8=Nutrients!$B$77,Nutrients!$K$77,Nutrients!$K$78)))))*AR$8))/2000</f>
        <v>8.3467354795864441</v>
      </c>
      <c r="AS301" s="22">
        <f>(SUMPRODUCT(AS$9:AS$229,Nutrients!$K$8:$K$228)+(IF($A$7=Nutrients!$B$8,Nutrients!$K$8,Nutrients!$K$9)*AS$7)+(((IF($A$8=Nutrients!$B$79,Nutrients!$K$79,(IF($A$8=Nutrients!$B$77,Nutrients!$K$77,Nutrients!$K$78)))))*AS$8))/2000</f>
        <v>8.4355819109671497</v>
      </c>
      <c r="AT301" s="22">
        <f>(SUMPRODUCT(AT$9:AT$229,Nutrients!$K$8:$K$228)+(IF($A$7=Nutrients!$B$8,Nutrients!$K$8,Nutrients!$K$9)*AT$7)+(((IF($A$8=Nutrients!$B$79,Nutrients!$K$79,(IF($A$8=Nutrients!$B$77,Nutrients!$K$77,Nutrients!$K$78)))))*AT$8))/2000</f>
        <v>8.5064418643260602</v>
      </c>
      <c r="AU301" s="22">
        <f>(SUMPRODUCT(AU$9:AU$229,Nutrients!$K$8:$K$228)+(IF($A$7=Nutrients!$B$8,Nutrients!$K$8,Nutrients!$K$9)*AU$7)+(((IF($A$8=Nutrients!$B$79,Nutrients!$K$79,(IF($A$8=Nutrients!$B$77,Nutrients!$K$77,Nutrients!$K$78)))))*AU$8))/2000</f>
        <v>8.6593850346017085</v>
      </c>
      <c r="AV301" s="22">
        <f>(SUMPRODUCT(AV$9:AV$229,Nutrients!$K$8:$K$228)+(IF($A$7=Nutrients!$B$8,Nutrients!$K$8,Nutrients!$K$9)*AV$7)+(((IF($A$8=Nutrients!$B$79,Nutrients!$K$79,(IF($A$8=Nutrients!$B$77,Nutrients!$K$77,Nutrients!$K$78)))))*AV$8))/2000</f>
        <v>8.7775901650738835</v>
      </c>
      <c r="AW301" s="22">
        <f>(SUMPRODUCT(AW$9:AW$229,Nutrients!$K$8:$K$228)+(IF($A$7=Nutrients!$B$8,Nutrients!$K$8,Nutrients!$K$9)*AW$7)+(((IF($A$8=Nutrients!$B$79,Nutrients!$K$79,(IF($A$8=Nutrients!$B$77,Nutrients!$K$77,Nutrients!$K$78)))))*AW$8))/2000</f>
        <v>3.1836624192329586</v>
      </c>
    </row>
    <row r="302" spans="1:49" x14ac:dyDescent="0.25">
      <c r="A302" t="s">
        <v>53</v>
      </c>
      <c r="B302" s="22">
        <f>(SUMPRODUCT(B$9:B$229,Nutrients!$J$8:$J$228)+(IF($A$7=Nutrients!$B$8,Nutrients!$J$8,Nutrients!$J$9)*B$7)+(((IF($A$8=Nutrients!$B$79,Nutrients!$J$79,(IF($A$8=Nutrients!$B$77,Nutrients!$J$77,Nutrients!$J$78)))))*B$8))/2000</f>
        <v>2.4236304403667859</v>
      </c>
      <c r="C302" s="22">
        <f>(SUMPRODUCT(C$9:C$229,Nutrients!$J$8:$J$228)+(IF($A$7=Nutrients!$B$8,Nutrients!$J$8,Nutrients!$J$9)*C$7)+(((IF($A$8=Nutrients!$B$79,Nutrients!$J$79,(IF($A$8=Nutrients!$B$77,Nutrients!$J$77,Nutrients!$J$78)))))*C$8))/2000</f>
        <v>2.3544062118589144</v>
      </c>
      <c r="D302" s="22">
        <f>(SUMPRODUCT(D$9:D$229,Nutrients!$J$8:$J$228)+(IF($A$7=Nutrients!$B$8,Nutrients!$J$8,Nutrients!$J$9)*D$7)+(((IF($A$8=Nutrients!$B$79,Nutrients!$J$79,(IF($A$8=Nutrients!$B$77,Nutrients!$J$77,Nutrients!$J$78)))))*D$8))/2000</f>
        <v>2.2969299326886694</v>
      </c>
      <c r="E302" s="22">
        <f>(SUMPRODUCT(E$9:E$229,Nutrients!$J$8:$J$228)+(IF($A$7=Nutrients!$B$8,Nutrients!$J$8,Nutrients!$J$9)*E$7)+(((IF($A$8=Nutrients!$B$79,Nutrients!$J$79,(IF($A$8=Nutrients!$B$77,Nutrients!$J$77,Nutrients!$J$78)))))*E$8))/2000</f>
        <v>2.237626654434278</v>
      </c>
      <c r="F302" s="22">
        <f>(SUMPRODUCT(F$9:F$229,Nutrients!$J$8:$J$228)+(IF($A$7=Nutrients!$B$8,Nutrients!$J$8,Nutrients!$J$9)*F$7)+(((IF($A$8=Nutrients!$B$79,Nutrients!$J$79,(IF($A$8=Nutrients!$B$77,Nutrients!$J$77,Nutrients!$J$78)))))*F$8))/2000</f>
        <v>2.1865908459890111</v>
      </c>
      <c r="G302" s="22">
        <f>(SUMPRODUCT(G$9:G$229,Nutrients!$J$8:$J$228)+(IF($A$7=Nutrients!$B$8,Nutrients!$J$8,Nutrients!$J$9)*G$7)+(((IF($A$8=Nutrients!$B$79,Nutrients!$J$79,(IF($A$8=Nutrients!$B$77,Nutrients!$J$77,Nutrients!$J$78)))))*G$8))/2000</f>
        <v>2.1575827805851042</v>
      </c>
      <c r="H302" s="228"/>
      <c r="I302" s="22">
        <f>(SUMPRODUCT(I$9:I$229,Nutrients!$J$8:$J$228)+(IF($A$7=Nutrients!$B$8,Nutrients!$J$8,Nutrients!$J$9)*I$7)+(((IF($A$8=Nutrients!$B$79,Nutrients!$J$79,(IF($A$8=Nutrients!$B$77,Nutrients!$J$77,Nutrients!$J$78)))))*I$8))/2000</f>
        <v>2.6718282307022601</v>
      </c>
      <c r="J302" s="22">
        <f>(SUMPRODUCT(J$9:J$229,Nutrients!$J$8:$J$228)+(IF($A$7=Nutrients!$B$8,Nutrients!$J$8,Nutrients!$J$9)*J$7)+(((IF($A$8=Nutrients!$B$79,Nutrients!$J$79,(IF($A$8=Nutrients!$B$77,Nutrients!$J$77,Nutrients!$J$78)))))*J$8))/2000</f>
        <v>2.6023170826454272</v>
      </c>
      <c r="K302" s="22">
        <f>(SUMPRODUCT(K$9:K$229,Nutrients!$J$8:$J$228)+(IF($A$7=Nutrients!$B$8,Nutrients!$J$8,Nutrients!$J$9)*K$7)+(((IF($A$8=Nutrients!$B$79,Nutrients!$J$79,(IF($A$8=Nutrients!$B$77,Nutrients!$J$77,Nutrients!$J$78)))))*K$8))/2000</f>
        <v>2.5449884520003567</v>
      </c>
      <c r="L302" s="22">
        <f>(SUMPRODUCT(L$9:L$229,Nutrients!$J$8:$J$228)+(IF($A$7=Nutrients!$B$8,Nutrients!$J$8,Nutrients!$J$9)*L$7)+(((IF($A$8=Nutrients!$B$79,Nutrients!$J$79,(IF($A$8=Nutrients!$B$77,Nutrients!$J$77,Nutrients!$J$78)))))*L$8))/2000</f>
        <v>2.4855609136058394</v>
      </c>
      <c r="M302" s="22">
        <f>(SUMPRODUCT(M$9:M$229,Nutrients!$J$8:$J$228)+(IF($A$7=Nutrients!$B$8,Nutrients!$J$8,Nutrients!$J$9)*M$7)+(((IF($A$8=Nutrients!$B$79,Nutrients!$J$79,(IF($A$8=Nutrients!$B$77,Nutrients!$J$77,Nutrients!$J$78)))))*M$8))/2000</f>
        <v>2.4345244423495487</v>
      </c>
      <c r="N302" s="22">
        <f>(SUMPRODUCT(N$9:N$229,Nutrients!$J$8:$J$228)+(IF($A$7=Nutrients!$B$8,Nutrients!$J$8,Nutrients!$J$9)*N$7)+(((IF($A$8=Nutrients!$B$79,Nutrients!$J$79,(IF($A$8=Nutrients!$B$77,Nutrients!$J$77,Nutrients!$J$78)))))*N$8))/2000</f>
        <v>2.1575827805851042</v>
      </c>
      <c r="O302" s="235"/>
      <c r="P302" s="22">
        <f>(SUMPRODUCT(P$9:P$229,Nutrients!$J$8:$J$228)+(IF($A$7=Nutrients!$B$8,Nutrients!$J$8,Nutrients!$J$9)*P$7)+(((IF($A$8=Nutrients!$B$79,Nutrients!$J$79,(IF($A$8=Nutrients!$B$77,Nutrients!$J$77,Nutrients!$J$78)))))*P$8))/2000</f>
        <v>2.9198419314680719</v>
      </c>
      <c r="Q302" s="22">
        <f>(SUMPRODUCT(Q$9:Q$229,Nutrients!$J$8:$J$228)+(IF($A$7=Nutrients!$B$8,Nutrients!$J$8,Nutrients!$J$9)*Q$7)+(((IF($A$8=Nutrients!$B$79,Nutrients!$J$79,(IF($A$8=Nutrients!$B$77,Nutrients!$J$77,Nutrients!$J$78)))))*Q$8))/2000</f>
        <v>2.8502584032400629</v>
      </c>
      <c r="R302" s="22">
        <f>(SUMPRODUCT(R$9:R$229,Nutrients!$J$8:$J$228)+(IF($A$7=Nutrients!$B$8,Nutrients!$J$8,Nutrients!$J$9)*R$7)+(((IF($A$8=Nutrients!$B$79,Nutrients!$J$79,(IF($A$8=Nutrients!$B$77,Nutrients!$J$77,Nutrients!$J$78)))))*R$8))/2000</f>
        <v>2.7928553391240332</v>
      </c>
      <c r="S302" s="22">
        <f>(SUMPRODUCT(S$9:S$229,Nutrients!$J$8:$J$228)+(IF($A$7=Nutrients!$B$8,Nutrients!$J$8,Nutrients!$J$9)*S$7)+(((IF($A$8=Nutrients!$B$79,Nutrients!$J$79,(IF($A$8=Nutrients!$B$77,Nutrients!$J$77,Nutrients!$J$78)))))*S$8))/2000</f>
        <v>2.733448440672392</v>
      </c>
      <c r="T302" s="22">
        <f>(SUMPRODUCT(T$9:T$229,Nutrients!$J$8:$J$228)+(IF($A$7=Nutrients!$B$8,Nutrients!$J$8,Nutrients!$J$9)*T$7)+(((IF($A$8=Nutrients!$B$79,Nutrients!$J$79,(IF($A$8=Nutrients!$B$77,Nutrients!$J$77,Nutrients!$J$78)))))*T$8))/2000</f>
        <v>2.6824587993008882</v>
      </c>
      <c r="U302" s="22">
        <f>(SUMPRODUCT(U$9:U$229,Nutrients!$J$8:$J$228)+(IF($A$7=Nutrients!$B$8,Nutrients!$J$8,Nutrients!$J$9)*U$7)+(((IF($A$8=Nutrients!$B$79,Nutrients!$J$79,(IF($A$8=Nutrients!$B$77,Nutrients!$J$77,Nutrients!$J$78)))))*U$8))/2000</f>
        <v>2.1575827805851042</v>
      </c>
      <c r="W302" s="22">
        <f>(SUMPRODUCT(W$9:W$229,Nutrients!$J$8:$J$228)+(IF($A$7=Nutrients!$B$8,Nutrients!$J$8,Nutrients!$J$9)*W$7)+(((IF($A$8=Nutrients!$B$79,Nutrients!$J$79,(IF($A$8=Nutrients!$B$77,Nutrients!$J$77,Nutrients!$J$78)))))*W$8))/2000</f>
        <v>3.167920034205292</v>
      </c>
      <c r="X302" s="22">
        <f>(SUMPRODUCT(X$9:X$229,Nutrients!$J$8:$J$228)+(IF($A$7=Nutrients!$B$8,Nutrients!$J$8,Nutrients!$J$9)*X$7)+(((IF($A$8=Nutrients!$B$79,Nutrients!$J$79,(IF($A$8=Nutrients!$B$77,Nutrients!$J$77,Nutrients!$J$78)))))*X$8))/2000</f>
        <v>3.0982197830744109</v>
      </c>
      <c r="Y302" s="22">
        <f>(SUMPRODUCT(Y$9:Y$229,Nutrients!$J$8:$J$228)+(IF($A$7=Nutrients!$B$8,Nutrients!$J$8,Nutrients!$J$9)*Y$7)+(((IF($A$8=Nutrients!$B$79,Nutrients!$J$79,(IF($A$8=Nutrients!$B$77,Nutrients!$J$77,Nutrients!$J$78)))))*Y$8))/2000</f>
        <v>3.0408370456344769</v>
      </c>
      <c r="Z302" s="22">
        <f>(SUMPRODUCT(Z$9:Z$229,Nutrients!$J$8:$J$228)+(IF($A$7=Nutrients!$B$8,Nutrients!$J$8,Nutrients!$J$9)*Z$7)+(((IF($A$8=Nutrients!$B$79,Nutrients!$J$79,(IF($A$8=Nutrients!$B$77,Nutrients!$J$77,Nutrients!$J$78)))))*Z$8))/2000</f>
        <v>2.9812985932427689</v>
      </c>
      <c r="AA302" s="22">
        <f>(SUMPRODUCT(AA$9:AA$229,Nutrients!$J$8:$J$228)+(IF($A$7=Nutrients!$B$8,Nutrients!$J$8,Nutrients!$J$9)*AA$7)+(((IF($A$8=Nutrients!$B$79,Nutrients!$J$79,(IF($A$8=Nutrients!$B$77,Nutrients!$J$77,Nutrients!$J$78)))))*AA$8))/2000</f>
        <v>2.930177097397952</v>
      </c>
      <c r="AB302" s="22">
        <f>(SUMPRODUCT(AB$9:AB$229,Nutrients!$J$8:$J$228)+(IF($A$7=Nutrients!$B$8,Nutrients!$J$8,Nutrients!$J$9)*AB$7)+(((IF($A$8=Nutrients!$B$79,Nutrients!$J$79,(IF($A$8=Nutrients!$B$77,Nutrients!$J$77,Nutrients!$J$78)))))*AB$8))/2000</f>
        <v>2.1575827805851042</v>
      </c>
      <c r="AD302" s="22">
        <f>(SUMPRODUCT(AD$9:AD$229,Nutrients!$J$8:$J$228)+(IF($A$7=Nutrients!$B$8,Nutrients!$J$8,Nutrients!$J$9)*AD$7)+(((IF($A$8=Nutrients!$B$79,Nutrients!$J$79,(IF($A$8=Nutrients!$B$77,Nutrients!$J$77,Nutrients!$J$78)))))*AD$8))/2000</f>
        <v>3.4158871191151974</v>
      </c>
      <c r="AE302" s="22">
        <f>(SUMPRODUCT(AE$9:AE$229,Nutrients!$J$8:$J$228)+(IF($A$7=Nutrients!$B$8,Nutrients!$J$8,Nutrients!$J$9)*AE$7)+(((IF($A$8=Nutrients!$B$79,Nutrients!$J$79,(IF($A$8=Nutrients!$B$77,Nutrients!$J$77,Nutrients!$J$78)))))*AE$8))/2000</f>
        <v>3.3462331123125635</v>
      </c>
      <c r="AF302" s="22">
        <f>(SUMPRODUCT(AF$9:AF$229,Nutrients!$J$8:$J$228)+(IF($A$7=Nutrients!$B$8,Nutrients!$J$8,Nutrients!$J$9)*AF$7)+(((IF($A$8=Nutrients!$B$79,Nutrients!$J$79,(IF($A$8=Nutrients!$B$77,Nutrients!$J$77,Nutrients!$J$78)))))*AF$8))/2000</f>
        <v>3.2886888089335691</v>
      </c>
      <c r="AG302" s="22">
        <f>(SUMPRODUCT(AG$9:AG$229,Nutrients!$J$8:$J$228)+(IF($A$7=Nutrients!$B$8,Nutrients!$J$8,Nutrients!$J$9)*AG$7)+(((IF($A$8=Nutrients!$B$79,Nutrients!$J$79,(IF($A$8=Nutrients!$B$77,Nutrients!$J$77,Nutrients!$J$78)))))*AG$8))/2000</f>
        <v>3.2290829297453163</v>
      </c>
      <c r="AH302" s="22">
        <f>(SUMPRODUCT(AH$9:AH$229,Nutrients!$J$8:$J$228)+(IF($A$7=Nutrients!$B$8,Nutrients!$J$8,Nutrients!$J$9)*AH$7)+(((IF($A$8=Nutrients!$B$79,Nutrients!$J$79,(IF($A$8=Nutrients!$B$77,Nutrients!$J$77,Nutrients!$J$78)))))*AH$8))/2000</f>
        <v>3.1756912077705173</v>
      </c>
      <c r="AI302" s="22">
        <f>(SUMPRODUCT(AI$9:AI$229,Nutrients!$J$8:$J$228)+(IF($A$7=Nutrients!$B$8,Nutrients!$J$8,Nutrients!$J$9)*AI$7)+(((IF($A$8=Nutrients!$B$79,Nutrients!$J$79,(IF($A$8=Nutrients!$B$77,Nutrients!$J$77,Nutrients!$J$78)))))*AI$8))/2000</f>
        <v>2.1575827805851042</v>
      </c>
      <c r="AK302" s="22">
        <f>(SUMPRODUCT(AK$9:AK$229,Nutrients!$J$8:$J$228)+(IF($A$7=Nutrients!$B$8,Nutrients!$J$8,Nutrients!$J$9)*AK$7)+(((IF($A$8=Nutrients!$B$79,Nutrients!$J$79,(IF($A$8=Nutrients!$B$77,Nutrients!$J$77,Nutrients!$J$78)))))*AK$8))/2000</f>
        <v>3.6637748167889841</v>
      </c>
      <c r="AL302" s="22">
        <f>(SUMPRODUCT(AL$9:AL$229,Nutrients!$J$8:$J$228)+(IF($A$7=Nutrients!$B$8,Nutrients!$J$8,Nutrients!$J$9)*AL$7)+(((IF($A$8=Nutrients!$B$79,Nutrients!$J$79,(IF($A$8=Nutrients!$B$77,Nutrients!$J$77,Nutrients!$J$78)))))*AL$8))/2000</f>
        <v>3.5940835104241042</v>
      </c>
      <c r="AM302" s="22">
        <f>(SUMPRODUCT(AM$9:AM$229,Nutrients!$J$8:$J$228)+(IF($A$7=Nutrients!$B$8,Nutrients!$J$8,Nutrients!$J$9)*AM$7)+(((IF($A$8=Nutrients!$B$79,Nutrients!$J$79,(IF($A$8=Nutrients!$B$77,Nutrients!$J$77,Nutrients!$J$78)))))*AM$8))/2000</f>
        <v>3.5365938002378567</v>
      </c>
      <c r="AN302" s="22">
        <f>(SUMPRODUCT(AN$9:AN$229,Nutrients!$J$8:$J$228)+(IF($A$7=Nutrients!$B$8,Nutrients!$J$8,Nutrients!$J$9)*AN$7)+(((IF($A$8=Nutrients!$B$79,Nutrients!$J$79,(IF($A$8=Nutrients!$B$77,Nutrients!$J$77,Nutrients!$J$78)))))*AN$8))/2000</f>
        <v>3.4749219336775514</v>
      </c>
      <c r="AO302" s="22">
        <f>(SUMPRODUCT(AO$9:AO$229,Nutrients!$J$8:$J$228)+(IF($A$7=Nutrients!$B$8,Nutrients!$J$8,Nutrients!$J$9)*AO$7)+(((IF($A$8=Nutrients!$B$79,Nutrients!$J$79,(IF($A$8=Nutrients!$B$77,Nutrients!$J$77,Nutrients!$J$78)))))*AO$8))/2000</f>
        <v>3.4206022303123245</v>
      </c>
      <c r="AP302" s="22">
        <f>(SUMPRODUCT(AP$9:AP$229,Nutrients!$J$8:$J$228)+(IF($A$7=Nutrients!$B$8,Nutrients!$J$8,Nutrients!$J$9)*AP$7)+(((IF($A$8=Nutrients!$B$79,Nutrients!$J$79,(IF($A$8=Nutrients!$B$77,Nutrients!$J$77,Nutrients!$J$78)))))*AP$8))/2000</f>
        <v>2.1575827805851042</v>
      </c>
      <c r="AR302" s="22">
        <f>(SUMPRODUCT(AR$9:AR$229,Nutrients!$J$8:$J$228)+(IF($A$7=Nutrients!$B$8,Nutrients!$J$8,Nutrients!$J$9)*AR$7)+(((IF($A$8=Nutrients!$B$79,Nutrients!$J$79,(IF($A$8=Nutrients!$B$77,Nutrients!$J$77,Nutrients!$J$78)))))*AR$8))/2000</f>
        <v>3.9115153342102138</v>
      </c>
      <c r="AS302" s="22">
        <f>(SUMPRODUCT(AS$9:AS$229,Nutrients!$J$8:$J$228)+(IF($A$7=Nutrients!$B$8,Nutrients!$J$8,Nutrients!$J$9)*AS$7)+(((IF($A$8=Nutrients!$B$79,Nutrients!$J$79,(IF($A$8=Nutrients!$B$77,Nutrients!$J$77,Nutrients!$J$78)))))*AS$8))/2000</f>
        <v>3.8419118424058079</v>
      </c>
      <c r="AT302" s="22">
        <f>(SUMPRODUCT(AT$9:AT$229,Nutrients!$J$8:$J$228)+(IF($A$7=Nutrients!$B$8,Nutrients!$J$8,Nutrients!$J$9)*AT$7)+(((IF($A$8=Nutrients!$B$79,Nutrients!$J$79,(IF($A$8=Nutrients!$B$77,Nutrients!$J$77,Nutrients!$J$78)))))*AT$8))/2000</f>
        <v>3.7841223653311413</v>
      </c>
      <c r="AU302" s="22">
        <f>(SUMPRODUCT(AU$9:AU$229,Nutrients!$J$8:$J$228)+(IF($A$7=Nutrients!$B$8,Nutrients!$J$8,Nutrients!$J$9)*AU$7)+(((IF($A$8=Nutrients!$B$79,Nutrients!$J$79,(IF($A$8=Nutrients!$B$77,Nutrients!$J$77,Nutrients!$J$78)))))*AU$8))/2000</f>
        <v>3.7198363995580066</v>
      </c>
      <c r="AV302" s="22">
        <f>(SUMPRODUCT(AV$9:AV$229,Nutrients!$J$8:$J$228)+(IF($A$7=Nutrients!$B$8,Nutrients!$J$8,Nutrients!$J$9)*AV$7)+(((IF($A$8=Nutrients!$B$79,Nutrients!$J$79,(IF($A$8=Nutrients!$B$77,Nutrients!$J$77,Nutrients!$J$78)))))*AV$8))/2000</f>
        <v>3.6655128293698302</v>
      </c>
      <c r="AW302" s="22">
        <f>(SUMPRODUCT(AW$9:AW$229,Nutrients!$J$8:$J$228)+(IF($A$7=Nutrients!$B$8,Nutrients!$J$8,Nutrients!$J$9)*AW$7)+(((IF($A$8=Nutrients!$B$79,Nutrients!$J$79,(IF($A$8=Nutrients!$B$77,Nutrients!$J$77,Nutrients!$J$78)))))*AW$8))/2000</f>
        <v>2.1575827805851042</v>
      </c>
    </row>
    <row r="303" spans="1:49" x14ac:dyDescent="0.25">
      <c r="A303" t="s">
        <v>54</v>
      </c>
      <c r="B303" s="22">
        <f>(SUMPRODUCT(B$9:B$229,Nutrients!$ED$8:$ED$228)+(IF($A$7=Nutrients!$B$8,Nutrients!$ED$8,Nutrients!$ED$9)*B$7)+(((IF($A$8=Nutrients!$B$79,Nutrients!$ED$79,(IF($A$8=Nutrients!$B$77,Nutrients!$ED$77,Nutrients!$ED$78)))))*B$8))/2000</f>
        <v>0</v>
      </c>
      <c r="C303" s="22">
        <f>(SUMPRODUCT(C$9:C$229,Nutrients!$ED$8:$ED$228)+(IF($A$7=Nutrients!$B$8,Nutrients!$ED$8,Nutrients!$ED$9)*C$7)+(((IF($A$8=Nutrients!$B$79,Nutrients!$ED$79,(IF($A$8=Nutrients!$B$77,Nutrients!$ED$77,Nutrients!$ED$78)))))*C$8))/2000</f>
        <v>0</v>
      </c>
      <c r="D303" s="22">
        <f>(SUMPRODUCT(D$9:D$229,Nutrients!$ED$8:$ED$228)+(IF($A$7=Nutrients!$B$8,Nutrients!$ED$8,Nutrients!$ED$9)*D$7)+(((IF($A$8=Nutrients!$B$79,Nutrients!$ED$79,(IF($A$8=Nutrients!$B$77,Nutrients!$ED$77,Nutrients!$ED$78)))))*D$8))/2000</f>
        <v>0</v>
      </c>
      <c r="E303" s="22">
        <f>(SUMPRODUCT(E$9:E$229,Nutrients!$ED$8:$ED$228)+(IF($A$7=Nutrients!$B$8,Nutrients!$ED$8,Nutrients!$ED$9)*E$7)+(((IF($A$8=Nutrients!$B$79,Nutrients!$ED$79,(IF($A$8=Nutrients!$B$77,Nutrients!$ED$77,Nutrients!$ED$78)))))*E$8))/2000</f>
        <v>0</v>
      </c>
      <c r="F303" s="22">
        <f>(SUMPRODUCT(F$9:F$229,Nutrients!$ED$8:$ED$228)+(IF($A$7=Nutrients!$B$8,Nutrients!$ED$8,Nutrients!$ED$9)*F$7)+(((IF($A$8=Nutrients!$B$79,Nutrients!$ED$79,(IF($A$8=Nutrients!$B$77,Nutrients!$ED$77,Nutrients!$ED$78)))))*F$8))/2000</f>
        <v>0</v>
      </c>
      <c r="G303" s="22">
        <f>(SUMPRODUCT(G$9:G$229,Nutrients!$ED$8:$ED$228)+(IF($A$7=Nutrients!$B$8,Nutrients!$ED$8,Nutrients!$ED$9)*G$7)+(((IF($A$8=Nutrients!$B$79,Nutrients!$ED$79,(IF($A$8=Nutrients!$B$77,Nutrients!$ED$77,Nutrients!$ED$78)))))*G$8))/2000</f>
        <v>0</v>
      </c>
      <c r="H303" s="228"/>
      <c r="I303" s="22">
        <f>(SUMPRODUCT(I$9:I$229,Nutrients!$ED$8:$ED$228)+(IF($A$7=Nutrients!$B$8,Nutrients!$ED$8,Nutrients!$ED$9)*I$7)+(((IF($A$8=Nutrients!$B$79,Nutrients!$ED$79,(IF($A$8=Nutrients!$B$77,Nutrients!$ED$77,Nutrients!$ED$78)))))*I$8))/2000</f>
        <v>0</v>
      </c>
      <c r="J303" s="22">
        <f>(SUMPRODUCT(J$9:J$229,Nutrients!$ED$8:$ED$228)+(IF($A$7=Nutrients!$B$8,Nutrients!$ED$8,Nutrients!$ED$9)*J$7)+(((IF($A$8=Nutrients!$B$79,Nutrients!$ED$79,(IF($A$8=Nutrients!$B$77,Nutrients!$ED$77,Nutrients!$ED$78)))))*J$8))/2000</f>
        <v>0</v>
      </c>
      <c r="K303" s="22">
        <f>(SUMPRODUCT(K$9:K$229,Nutrients!$ED$8:$ED$228)+(IF($A$7=Nutrients!$B$8,Nutrients!$ED$8,Nutrients!$ED$9)*K$7)+(((IF($A$8=Nutrients!$B$79,Nutrients!$ED$79,(IF($A$8=Nutrients!$B$77,Nutrients!$ED$77,Nutrients!$ED$78)))))*K$8))/2000</f>
        <v>0</v>
      </c>
      <c r="L303" s="22">
        <f>(SUMPRODUCT(L$9:L$229,Nutrients!$ED$8:$ED$228)+(IF($A$7=Nutrients!$B$8,Nutrients!$ED$8,Nutrients!$ED$9)*L$7)+(((IF($A$8=Nutrients!$B$79,Nutrients!$ED$79,(IF($A$8=Nutrients!$B$77,Nutrients!$ED$77,Nutrients!$ED$78)))))*L$8))/2000</f>
        <v>0</v>
      </c>
      <c r="M303" s="22">
        <f>(SUMPRODUCT(M$9:M$229,Nutrients!$ED$8:$ED$228)+(IF($A$7=Nutrients!$B$8,Nutrients!$ED$8,Nutrients!$ED$9)*M$7)+(((IF($A$8=Nutrients!$B$79,Nutrients!$ED$79,(IF($A$8=Nutrients!$B$77,Nutrients!$ED$77,Nutrients!$ED$78)))))*M$8))/2000</f>
        <v>0</v>
      </c>
      <c r="N303" s="22">
        <f>(SUMPRODUCT(N$9:N$229,Nutrients!$ED$8:$ED$228)+(IF($A$7=Nutrients!$B$8,Nutrients!$ED$8,Nutrients!$ED$9)*N$7)+(((IF($A$8=Nutrients!$B$79,Nutrients!$ED$79,(IF($A$8=Nutrients!$B$77,Nutrients!$ED$77,Nutrients!$ED$78)))))*N$8))/2000</f>
        <v>0</v>
      </c>
      <c r="O303" s="235"/>
      <c r="P303" s="22">
        <f>(SUMPRODUCT(P$9:P$229,Nutrients!$ED$8:$ED$228)+(IF($A$7=Nutrients!$B$8,Nutrients!$ED$8,Nutrients!$ED$9)*P$7)+(((IF($A$8=Nutrients!$B$79,Nutrients!$ED$79,(IF($A$8=Nutrients!$B$77,Nutrients!$ED$77,Nutrients!$ED$78)))))*P$8))/2000</f>
        <v>0</v>
      </c>
      <c r="Q303" s="22">
        <f>(SUMPRODUCT(Q$9:Q$229,Nutrients!$ED$8:$ED$228)+(IF($A$7=Nutrients!$B$8,Nutrients!$ED$8,Nutrients!$ED$9)*Q$7)+(((IF($A$8=Nutrients!$B$79,Nutrients!$ED$79,(IF($A$8=Nutrients!$B$77,Nutrients!$ED$77,Nutrients!$ED$78)))))*Q$8))/2000</f>
        <v>0</v>
      </c>
      <c r="R303" s="22">
        <f>(SUMPRODUCT(R$9:R$229,Nutrients!$ED$8:$ED$228)+(IF($A$7=Nutrients!$B$8,Nutrients!$ED$8,Nutrients!$ED$9)*R$7)+(((IF($A$8=Nutrients!$B$79,Nutrients!$ED$79,(IF($A$8=Nutrients!$B$77,Nutrients!$ED$77,Nutrients!$ED$78)))))*R$8))/2000</f>
        <v>0</v>
      </c>
      <c r="S303" s="22">
        <f>(SUMPRODUCT(S$9:S$229,Nutrients!$ED$8:$ED$228)+(IF($A$7=Nutrients!$B$8,Nutrients!$ED$8,Nutrients!$ED$9)*S$7)+(((IF($A$8=Nutrients!$B$79,Nutrients!$ED$79,(IF($A$8=Nutrients!$B$77,Nutrients!$ED$77,Nutrients!$ED$78)))))*S$8))/2000</f>
        <v>0</v>
      </c>
      <c r="T303" s="22">
        <f>(SUMPRODUCT(T$9:T$229,Nutrients!$ED$8:$ED$228)+(IF($A$7=Nutrients!$B$8,Nutrients!$ED$8,Nutrients!$ED$9)*T$7)+(((IF($A$8=Nutrients!$B$79,Nutrients!$ED$79,(IF($A$8=Nutrients!$B$77,Nutrients!$ED$77,Nutrients!$ED$78)))))*T$8))/2000</f>
        <v>0</v>
      </c>
      <c r="U303" s="22">
        <f>(SUMPRODUCT(U$9:U$229,Nutrients!$ED$8:$ED$228)+(IF($A$7=Nutrients!$B$8,Nutrients!$ED$8,Nutrients!$ED$9)*U$7)+(((IF($A$8=Nutrients!$B$79,Nutrients!$ED$79,(IF($A$8=Nutrients!$B$77,Nutrients!$ED$77,Nutrients!$ED$78)))))*U$8))/2000</f>
        <v>0</v>
      </c>
      <c r="W303" s="22">
        <f>(SUMPRODUCT(W$9:W$229,Nutrients!$ED$8:$ED$228)+(IF($A$7=Nutrients!$B$8,Nutrients!$ED$8,Nutrients!$ED$9)*W$7)+(((IF($A$8=Nutrients!$B$79,Nutrients!$ED$79,(IF($A$8=Nutrients!$B$77,Nutrients!$ED$77,Nutrients!$ED$78)))))*W$8))/2000</f>
        <v>0</v>
      </c>
      <c r="X303" s="22">
        <f>(SUMPRODUCT(X$9:X$229,Nutrients!$ED$8:$ED$228)+(IF($A$7=Nutrients!$B$8,Nutrients!$ED$8,Nutrients!$ED$9)*X$7)+(((IF($A$8=Nutrients!$B$79,Nutrients!$ED$79,(IF($A$8=Nutrients!$B$77,Nutrients!$ED$77,Nutrients!$ED$78)))))*X$8))/2000</f>
        <v>0</v>
      </c>
      <c r="Y303" s="22">
        <f>(SUMPRODUCT(Y$9:Y$229,Nutrients!$ED$8:$ED$228)+(IF($A$7=Nutrients!$B$8,Nutrients!$ED$8,Nutrients!$ED$9)*Y$7)+(((IF($A$8=Nutrients!$B$79,Nutrients!$ED$79,(IF($A$8=Nutrients!$B$77,Nutrients!$ED$77,Nutrients!$ED$78)))))*Y$8))/2000</f>
        <v>0</v>
      </c>
      <c r="Z303" s="22">
        <f>(SUMPRODUCT(Z$9:Z$229,Nutrients!$ED$8:$ED$228)+(IF($A$7=Nutrients!$B$8,Nutrients!$ED$8,Nutrients!$ED$9)*Z$7)+(((IF($A$8=Nutrients!$B$79,Nutrients!$ED$79,(IF($A$8=Nutrients!$B$77,Nutrients!$ED$77,Nutrients!$ED$78)))))*Z$8))/2000</f>
        <v>0</v>
      </c>
      <c r="AA303" s="22">
        <f>(SUMPRODUCT(AA$9:AA$229,Nutrients!$ED$8:$ED$228)+(IF($A$7=Nutrients!$B$8,Nutrients!$ED$8,Nutrients!$ED$9)*AA$7)+(((IF($A$8=Nutrients!$B$79,Nutrients!$ED$79,(IF($A$8=Nutrients!$B$77,Nutrients!$ED$77,Nutrients!$ED$78)))))*AA$8))/2000</f>
        <v>0</v>
      </c>
      <c r="AB303" s="22">
        <f>(SUMPRODUCT(AB$9:AB$229,Nutrients!$ED$8:$ED$228)+(IF($A$7=Nutrients!$B$8,Nutrients!$ED$8,Nutrients!$ED$9)*AB$7)+(((IF($A$8=Nutrients!$B$79,Nutrients!$ED$79,(IF($A$8=Nutrients!$B$77,Nutrients!$ED$77,Nutrients!$ED$78)))))*AB$8))/2000</f>
        <v>0</v>
      </c>
      <c r="AD303" s="22">
        <f>(SUMPRODUCT(AD$9:AD$229,Nutrients!$ED$8:$ED$228)+(IF($A$7=Nutrients!$B$8,Nutrients!$ED$8,Nutrients!$ED$9)*AD$7)+(((IF($A$8=Nutrients!$B$79,Nutrients!$ED$79,(IF($A$8=Nutrients!$B$77,Nutrients!$ED$77,Nutrients!$ED$78)))))*AD$8))/2000</f>
        <v>0</v>
      </c>
      <c r="AE303" s="22">
        <f>(SUMPRODUCT(AE$9:AE$229,Nutrients!$ED$8:$ED$228)+(IF($A$7=Nutrients!$B$8,Nutrients!$ED$8,Nutrients!$ED$9)*AE$7)+(((IF($A$8=Nutrients!$B$79,Nutrients!$ED$79,(IF($A$8=Nutrients!$B$77,Nutrients!$ED$77,Nutrients!$ED$78)))))*AE$8))/2000</f>
        <v>0</v>
      </c>
      <c r="AF303" s="22">
        <f>(SUMPRODUCT(AF$9:AF$229,Nutrients!$ED$8:$ED$228)+(IF($A$7=Nutrients!$B$8,Nutrients!$ED$8,Nutrients!$ED$9)*AF$7)+(((IF($A$8=Nutrients!$B$79,Nutrients!$ED$79,(IF($A$8=Nutrients!$B$77,Nutrients!$ED$77,Nutrients!$ED$78)))))*AF$8))/2000</f>
        <v>0</v>
      </c>
      <c r="AG303" s="22">
        <f>(SUMPRODUCT(AG$9:AG$229,Nutrients!$ED$8:$ED$228)+(IF($A$7=Nutrients!$B$8,Nutrients!$ED$8,Nutrients!$ED$9)*AG$7)+(((IF($A$8=Nutrients!$B$79,Nutrients!$ED$79,(IF($A$8=Nutrients!$B$77,Nutrients!$ED$77,Nutrients!$ED$78)))))*AG$8))/2000</f>
        <v>0</v>
      </c>
      <c r="AH303" s="22">
        <f>(SUMPRODUCT(AH$9:AH$229,Nutrients!$ED$8:$ED$228)+(IF($A$7=Nutrients!$B$8,Nutrients!$ED$8,Nutrients!$ED$9)*AH$7)+(((IF($A$8=Nutrients!$B$79,Nutrients!$ED$79,(IF($A$8=Nutrients!$B$77,Nutrients!$ED$77,Nutrients!$ED$78)))))*AH$8))/2000</f>
        <v>0</v>
      </c>
      <c r="AI303" s="22">
        <f>(SUMPRODUCT(AI$9:AI$229,Nutrients!$ED$8:$ED$228)+(IF($A$7=Nutrients!$B$8,Nutrients!$ED$8,Nutrients!$ED$9)*AI$7)+(((IF($A$8=Nutrients!$B$79,Nutrients!$ED$79,(IF($A$8=Nutrients!$B$77,Nutrients!$ED$77,Nutrients!$ED$78)))))*AI$8))/2000</f>
        <v>0</v>
      </c>
      <c r="AK303" s="22">
        <f>(SUMPRODUCT(AK$9:AK$229,Nutrients!$ED$8:$ED$228)+(IF($A$7=Nutrients!$B$8,Nutrients!$ED$8,Nutrients!$ED$9)*AK$7)+(((IF($A$8=Nutrients!$B$79,Nutrients!$ED$79,(IF($A$8=Nutrients!$B$77,Nutrients!$ED$77,Nutrients!$ED$78)))))*AK$8))/2000</f>
        <v>0</v>
      </c>
      <c r="AL303" s="22">
        <f>(SUMPRODUCT(AL$9:AL$229,Nutrients!$ED$8:$ED$228)+(IF($A$7=Nutrients!$B$8,Nutrients!$ED$8,Nutrients!$ED$9)*AL$7)+(((IF($A$8=Nutrients!$B$79,Nutrients!$ED$79,(IF($A$8=Nutrients!$B$77,Nutrients!$ED$77,Nutrients!$ED$78)))))*AL$8))/2000</f>
        <v>0</v>
      </c>
      <c r="AM303" s="22">
        <f>(SUMPRODUCT(AM$9:AM$229,Nutrients!$ED$8:$ED$228)+(IF($A$7=Nutrients!$B$8,Nutrients!$ED$8,Nutrients!$ED$9)*AM$7)+(((IF($A$8=Nutrients!$B$79,Nutrients!$ED$79,(IF($A$8=Nutrients!$B$77,Nutrients!$ED$77,Nutrients!$ED$78)))))*AM$8))/2000</f>
        <v>0</v>
      </c>
      <c r="AN303" s="22">
        <f>(SUMPRODUCT(AN$9:AN$229,Nutrients!$ED$8:$ED$228)+(IF($A$7=Nutrients!$B$8,Nutrients!$ED$8,Nutrients!$ED$9)*AN$7)+(((IF($A$8=Nutrients!$B$79,Nutrients!$ED$79,(IF($A$8=Nutrients!$B$77,Nutrients!$ED$77,Nutrients!$ED$78)))))*AN$8))/2000</f>
        <v>0</v>
      </c>
      <c r="AO303" s="22">
        <f>(SUMPRODUCT(AO$9:AO$229,Nutrients!$ED$8:$ED$228)+(IF($A$7=Nutrients!$B$8,Nutrients!$ED$8,Nutrients!$ED$9)*AO$7)+(((IF($A$8=Nutrients!$B$79,Nutrients!$ED$79,(IF($A$8=Nutrients!$B$77,Nutrients!$ED$77,Nutrients!$ED$78)))))*AO$8))/2000</f>
        <v>0</v>
      </c>
      <c r="AP303" s="22">
        <f>(SUMPRODUCT(AP$9:AP$229,Nutrients!$ED$8:$ED$228)+(IF($A$7=Nutrients!$B$8,Nutrients!$ED$8,Nutrients!$ED$9)*AP$7)+(((IF($A$8=Nutrients!$B$79,Nutrients!$ED$79,(IF($A$8=Nutrients!$B$77,Nutrients!$ED$77,Nutrients!$ED$78)))))*AP$8))/2000</f>
        <v>0</v>
      </c>
      <c r="AR303" s="22">
        <f>(SUMPRODUCT(AR$9:AR$229,Nutrients!$ED$8:$ED$228)+(IF($A$7=Nutrients!$B$8,Nutrients!$ED$8,Nutrients!$ED$9)*AR$7)+(((IF($A$8=Nutrients!$B$79,Nutrients!$ED$79,(IF($A$8=Nutrients!$B$77,Nutrients!$ED$77,Nutrients!$ED$78)))))*AR$8))/2000</f>
        <v>0</v>
      </c>
      <c r="AS303" s="22">
        <f>(SUMPRODUCT(AS$9:AS$229,Nutrients!$ED$8:$ED$228)+(IF($A$7=Nutrients!$B$8,Nutrients!$ED$8,Nutrients!$ED$9)*AS$7)+(((IF($A$8=Nutrients!$B$79,Nutrients!$ED$79,(IF($A$8=Nutrients!$B$77,Nutrients!$ED$77,Nutrients!$ED$78)))))*AS$8))/2000</f>
        <v>0</v>
      </c>
      <c r="AT303" s="22">
        <f>(SUMPRODUCT(AT$9:AT$229,Nutrients!$ED$8:$ED$228)+(IF($A$7=Nutrients!$B$8,Nutrients!$ED$8,Nutrients!$ED$9)*AT$7)+(((IF($A$8=Nutrients!$B$79,Nutrients!$ED$79,(IF($A$8=Nutrients!$B$77,Nutrients!$ED$77,Nutrients!$ED$78)))))*AT$8))/2000</f>
        <v>0</v>
      </c>
      <c r="AU303" s="22">
        <f>(SUMPRODUCT(AU$9:AU$229,Nutrients!$ED$8:$ED$228)+(IF($A$7=Nutrients!$B$8,Nutrients!$ED$8,Nutrients!$ED$9)*AU$7)+(((IF($A$8=Nutrients!$B$79,Nutrients!$ED$79,(IF($A$8=Nutrients!$B$77,Nutrients!$ED$77,Nutrients!$ED$78)))))*AU$8))/2000</f>
        <v>0</v>
      </c>
      <c r="AV303" s="22">
        <f>(SUMPRODUCT(AV$9:AV$229,Nutrients!$ED$8:$ED$228)+(IF($A$7=Nutrients!$B$8,Nutrients!$ED$8,Nutrients!$ED$9)*AV$7)+(((IF($A$8=Nutrients!$B$79,Nutrients!$ED$79,(IF($A$8=Nutrients!$B$77,Nutrients!$ED$77,Nutrients!$ED$78)))))*AV$8))/2000</f>
        <v>0</v>
      </c>
      <c r="AW303" s="22">
        <f>(SUMPRODUCT(AW$9:AW$229,Nutrients!$ED$8:$ED$228)+(IF($A$7=Nutrients!$B$8,Nutrients!$ED$8,Nutrients!$ED$9)*AW$7)+(((IF($A$8=Nutrients!$B$79,Nutrients!$ED$79,(IF($A$8=Nutrients!$B$77,Nutrients!$ED$77,Nutrients!$ED$78)))))*AW$8))/2000</f>
        <v>0</v>
      </c>
    </row>
    <row r="304" spans="1:49" x14ac:dyDescent="0.25">
      <c r="A304" t="s">
        <v>57</v>
      </c>
      <c r="B304" s="22">
        <f>(SUMPRODUCT(B$9:B$229,Nutrients!$EH$8:$EH$228)+(IF($A$7=Nutrients!$B$8,Nutrients!$EH$8,Nutrients!$EH$9)*B$7)+(((IF($A$8=Nutrients!$B$79,Nutrients!$EH$79,(IF($A$8=Nutrients!$B$77,Nutrients!$EH$77,Nutrients!$EH$78)))))*B$8))/2000</f>
        <v>35.538484918485338</v>
      </c>
      <c r="C304" s="22">
        <f>(SUMPRODUCT(C$9:C$229,Nutrients!$EH$8:$EH$228)+(IF($A$7=Nutrients!$B$8,Nutrients!$EH$8,Nutrients!$EH$9)*C$7)+(((IF($A$8=Nutrients!$B$79,Nutrients!$EH$79,(IF($A$8=Nutrients!$B$77,Nutrients!$EH$77,Nutrients!$EH$78)))))*C$8))/2000</f>
        <v>36.696132579183029</v>
      </c>
      <c r="D304" s="22">
        <f>(SUMPRODUCT(D$9:D$229,Nutrients!$EH$8:$EH$228)+(IF($A$7=Nutrients!$B$8,Nutrients!$EH$8,Nutrients!$EH$9)*D$7)+(((IF($A$8=Nutrients!$B$79,Nutrients!$EH$79,(IF($A$8=Nutrients!$B$77,Nutrients!$EH$77,Nutrients!$EH$78)))))*D$8))/2000</f>
        <v>37.687698685025424</v>
      </c>
      <c r="E304" s="22">
        <f>(SUMPRODUCT(E$9:E$229,Nutrients!$EH$8:$EH$228)+(IF($A$7=Nutrients!$B$8,Nutrients!$EH$8,Nutrients!$EH$9)*E$7)+(((IF($A$8=Nutrients!$B$79,Nutrients!$EH$79,(IF($A$8=Nutrients!$B$77,Nutrients!$EH$77,Nutrients!$EH$78)))))*E$8))/2000</f>
        <v>38.621947982979158</v>
      </c>
      <c r="F304" s="22">
        <f>(SUMPRODUCT(F$9:F$229,Nutrients!$EH$8:$EH$228)+(IF($A$7=Nutrients!$B$8,Nutrients!$EH$8,Nutrients!$EH$9)*F$7)+(((IF($A$8=Nutrients!$B$79,Nutrients!$EH$79,(IF($A$8=Nutrients!$B$77,Nutrients!$EH$77,Nutrients!$EH$78)))))*F$8))/2000</f>
        <v>39.390416669843518</v>
      </c>
      <c r="G304" s="22">
        <f>(SUMPRODUCT(G$9:G$229,Nutrients!$EH$8:$EH$228)+(IF($A$7=Nutrients!$B$8,Nutrients!$EH$8,Nutrients!$EH$9)*G$7)+(((IF($A$8=Nutrients!$B$79,Nutrients!$EH$79,(IF($A$8=Nutrients!$B$77,Nutrients!$EH$77,Nutrients!$EH$78)))))*G$8))/2000</f>
        <v>39.795780240411979</v>
      </c>
      <c r="H304" s="228"/>
      <c r="I304" s="22">
        <f>(SUMPRODUCT(I$9:I$229,Nutrients!$EH$8:$EH$228)+(IF($A$7=Nutrients!$B$8,Nutrients!$EH$8,Nutrients!$EH$9)*I$7)+(((IF($A$8=Nutrients!$B$79,Nutrients!$EH$79,(IF($A$8=Nutrients!$B$77,Nutrients!$EH$77,Nutrients!$EH$78)))))*I$8))/2000</f>
        <v>37.169653159982261</v>
      </c>
      <c r="J304" s="22">
        <f>(SUMPRODUCT(J$9:J$229,Nutrients!$EH$8:$EH$228)+(IF($A$7=Nutrients!$B$8,Nutrients!$EH$8,Nutrients!$EH$9)*J$7)+(((IF($A$8=Nutrients!$B$79,Nutrients!$EH$79,(IF($A$8=Nutrients!$B$77,Nutrients!$EH$77,Nutrients!$EH$78)))))*J$8))/2000</f>
        <v>38.35924317735688</v>
      </c>
      <c r="K304" s="22">
        <f>(SUMPRODUCT(K$9:K$229,Nutrients!$EH$8:$EH$228)+(IF($A$7=Nutrients!$B$8,Nutrients!$EH$8,Nutrients!$EH$9)*K$7)+(((IF($A$8=Nutrients!$B$79,Nutrients!$EH$79,(IF($A$8=Nutrients!$B$77,Nutrients!$EH$77,Nutrients!$EH$78)))))*K$8))/2000</f>
        <v>39.322484442451611</v>
      </c>
      <c r="L304" s="22">
        <f>(SUMPRODUCT(L$9:L$229,Nutrients!$EH$8:$EH$228)+(IF($A$7=Nutrients!$B$8,Nutrients!$EH$8,Nutrients!$EH$9)*L$7)+(((IF($A$8=Nutrients!$B$79,Nutrients!$EH$79,(IF($A$8=Nutrients!$B$77,Nutrients!$EH$77,Nutrients!$EH$78)))))*L$8))/2000</f>
        <v>40.287691584210933</v>
      </c>
      <c r="M304" s="22">
        <f>(SUMPRODUCT(M$9:M$229,Nutrients!$EH$8:$EH$228)+(IF($A$7=Nutrients!$B$8,Nutrients!$EH$8,Nutrients!$EH$9)*M$7)+(((IF($A$8=Nutrients!$B$79,Nutrients!$EH$79,(IF($A$8=Nutrients!$B$77,Nutrients!$EH$77,Nutrients!$EH$78)))))*M$8))/2000</f>
        <v>41.0655150151835</v>
      </c>
      <c r="N304" s="22">
        <f>(SUMPRODUCT(N$9:N$229,Nutrients!$EH$8:$EH$228)+(IF($A$7=Nutrients!$B$8,Nutrients!$EH$8,Nutrients!$EH$9)*N$7)+(((IF($A$8=Nutrients!$B$79,Nutrients!$EH$79,(IF($A$8=Nutrients!$B$77,Nutrients!$EH$77,Nutrients!$EH$78)))))*N$8))/2000</f>
        <v>39.795780240411979</v>
      </c>
      <c r="O304" s="235"/>
      <c r="P304" s="22">
        <f>(SUMPRODUCT(P$9:P$229,Nutrients!$EH$8:$EH$228)+(IF($A$7=Nutrients!$B$8,Nutrients!$EH$8,Nutrients!$EH$9)*P$7)+(((IF($A$8=Nutrients!$B$79,Nutrients!$EH$79,(IF($A$8=Nutrients!$B$77,Nutrients!$EH$77,Nutrients!$EH$78)))))*P$8))/2000</f>
        <v>38.823219799899526</v>
      </c>
      <c r="Q304" s="22">
        <f>(SUMPRODUCT(Q$9:Q$229,Nutrients!$EH$8:$EH$228)+(IF($A$7=Nutrients!$B$8,Nutrients!$EH$8,Nutrients!$EH$9)*Q$7)+(((IF($A$8=Nutrients!$B$79,Nutrients!$EH$79,(IF($A$8=Nutrients!$B$77,Nutrients!$EH$77,Nutrients!$EH$78)))))*Q$8))/2000</f>
        <v>40.013045961822343</v>
      </c>
      <c r="R304" s="22">
        <f>(SUMPRODUCT(R$9:R$229,Nutrients!$EH$8:$EH$228)+(IF($A$7=Nutrients!$B$8,Nutrients!$EH$8,Nutrients!$EH$9)*R$7)+(((IF($A$8=Nutrients!$B$79,Nutrients!$EH$79,(IF($A$8=Nutrients!$B$77,Nutrients!$EH$77,Nutrients!$EH$78)))))*R$8))/2000</f>
        <v>40.985668776055746</v>
      </c>
      <c r="S304" s="22">
        <f>(SUMPRODUCT(S$9:S$229,Nutrients!$EH$8:$EH$228)+(IF($A$7=Nutrients!$B$8,Nutrients!$EH$8,Nutrients!$EH$9)*S$7)+(((IF($A$8=Nutrients!$B$79,Nutrients!$EH$79,(IF($A$8=Nutrients!$B$77,Nutrients!$EH$77,Nutrients!$EH$78)))))*S$8))/2000</f>
        <v>41.939402665316734</v>
      </c>
      <c r="T304" s="22">
        <f>(SUMPRODUCT(T$9:T$229,Nutrients!$EH$8:$EH$228)+(IF($A$7=Nutrients!$B$8,Nutrients!$EH$8,Nutrients!$EH$9)*T$7)+(((IF($A$8=Nutrients!$B$79,Nutrients!$EH$79,(IF($A$8=Nutrients!$B$77,Nutrients!$EH$77,Nutrients!$EH$78)))))*T$8))/2000</f>
        <v>42.72814831617481</v>
      </c>
      <c r="U304" s="22">
        <f>(SUMPRODUCT(U$9:U$229,Nutrients!$EH$8:$EH$228)+(IF($A$7=Nutrients!$B$8,Nutrients!$EH$8,Nutrients!$EH$9)*U$7)+(((IF($A$8=Nutrients!$B$79,Nutrients!$EH$79,(IF($A$8=Nutrients!$B$77,Nutrients!$EH$77,Nutrients!$EH$78)))))*U$8))/2000</f>
        <v>39.795780240411979</v>
      </c>
      <c r="W304" s="22">
        <f>(SUMPRODUCT(W$9:W$229,Nutrients!$EH$8:$EH$228)+(IF($A$7=Nutrients!$B$8,Nutrients!$EH$8,Nutrients!$EH$9)*W$7)+(((IF($A$8=Nutrients!$B$79,Nutrients!$EH$79,(IF($A$8=Nutrients!$B$77,Nutrients!$EH$77,Nutrients!$EH$78)))))*W$8))/2000</f>
        <v>40.487151502341334</v>
      </c>
      <c r="X304" s="22">
        <f>(SUMPRODUCT(X$9:X$229,Nutrients!$EH$8:$EH$228)+(IF($A$7=Nutrients!$B$8,Nutrients!$EH$8,Nutrients!$EH$9)*X$7)+(((IF($A$8=Nutrients!$B$79,Nutrients!$EH$79,(IF($A$8=Nutrients!$B$77,Nutrients!$EH$77,Nutrients!$EH$78)))))*X$8))/2000</f>
        <v>41.68215562769543</v>
      </c>
      <c r="Y304" s="22">
        <f>(SUMPRODUCT(Y$9:Y$229,Nutrients!$EH$8:$EH$228)+(IF($A$7=Nutrients!$B$8,Nutrients!$EH$8,Nutrients!$EH$9)*Y$7)+(((IF($A$8=Nutrients!$B$79,Nutrients!$EH$79,(IF($A$8=Nutrients!$B$77,Nutrients!$EH$77,Nutrients!$EH$78)))))*Y$8))/2000</f>
        <v>42.640229143191064</v>
      </c>
      <c r="Z304" s="22">
        <f>(SUMPRODUCT(Z$9:Z$229,Nutrients!$EH$8:$EH$228)+(IF($A$7=Nutrients!$B$8,Nutrients!$EH$8,Nutrients!$EH$9)*Z$7)+(((IF($A$8=Nutrients!$B$79,Nutrients!$EH$79,(IF($A$8=Nutrients!$B$77,Nutrients!$EH$77,Nutrients!$EH$78)))))*Z$8))/2000</f>
        <v>43.598962068955018</v>
      </c>
      <c r="AA304" s="22">
        <f>(SUMPRODUCT(AA$9:AA$229,Nutrients!$EH$8:$EH$228)+(IF($A$7=Nutrients!$B$8,Nutrients!$EH$8,Nutrients!$EH$9)*AA$7)+(((IF($A$8=Nutrients!$B$79,Nutrients!$EH$79,(IF($A$8=Nutrients!$B$77,Nutrients!$EH$77,Nutrients!$EH$78)))))*AA$8))/2000</f>
        <v>44.367546159161051</v>
      </c>
      <c r="AB304" s="22">
        <f>(SUMPRODUCT(AB$9:AB$229,Nutrients!$EH$8:$EH$228)+(IF($A$7=Nutrients!$B$8,Nutrients!$EH$8,Nutrients!$EH$9)*AB$7)+(((IF($A$8=Nutrients!$B$79,Nutrients!$EH$79,(IF($A$8=Nutrients!$B$77,Nutrients!$EH$77,Nutrients!$EH$78)))))*AB$8))/2000</f>
        <v>39.795780240411979</v>
      </c>
      <c r="AD304" s="22">
        <f>(SUMPRODUCT(AD$9:AD$229,Nutrients!$EH$8:$EH$228)+(IF($A$7=Nutrients!$B$8,Nutrients!$EH$8,Nutrients!$EH$9)*AD$7)+(((IF($A$8=Nutrients!$B$79,Nutrients!$EH$79,(IF($A$8=Nutrients!$B$77,Nutrients!$EH$77,Nutrients!$EH$78)))))*AD$8))/2000</f>
        <v>42.153337475132474</v>
      </c>
      <c r="AE304" s="22">
        <f>(SUMPRODUCT(AE$9:AE$229,Nutrients!$EH$8:$EH$228)+(IF($A$7=Nutrients!$B$8,Nutrients!$EH$8,Nutrients!$EH$9)*AE$7)+(((IF($A$8=Nutrients!$B$79,Nutrients!$EH$79,(IF($A$8=Nutrients!$B$77,Nutrients!$EH$77,Nutrients!$EH$78)))))*AE$8))/2000</f>
        <v>43.340288022070212</v>
      </c>
      <c r="AF304" s="22">
        <f>(SUMPRODUCT(AF$9:AF$229,Nutrients!$EH$8:$EH$228)+(IF($A$7=Nutrients!$B$8,Nutrients!$EH$8,Nutrients!$EH$9)*AF$7)+(((IF($A$8=Nutrients!$B$79,Nutrients!$EH$79,(IF($A$8=Nutrients!$B$77,Nutrients!$EH$77,Nutrients!$EH$78)))))*AF$8))/2000</f>
        <v>44.299301882125484</v>
      </c>
      <c r="AG304" s="22">
        <f>(SUMPRODUCT(AG$9:AG$229,Nutrients!$EH$8:$EH$228)+(IF($A$7=Nutrients!$B$8,Nutrients!$EH$8,Nutrients!$EH$9)*AG$7)+(((IF($A$8=Nutrients!$B$79,Nutrients!$EH$79,(IF($A$8=Nutrients!$B$77,Nutrients!$EH$77,Nutrients!$EH$78)))))*AG$8))/2000</f>
        <v>45.249812899691278</v>
      </c>
      <c r="AH304" s="22">
        <f>(SUMPRODUCT(AH$9:AH$229,Nutrients!$EH$8:$EH$228)+(IF($A$7=Nutrients!$B$8,Nutrients!$EH$8,Nutrients!$EH$9)*AH$7)+(((IF($A$8=Nutrients!$B$79,Nutrients!$EH$79,(IF($A$8=Nutrients!$B$77,Nutrients!$EH$77,Nutrients!$EH$78)))))*AH$8))/2000</f>
        <v>46.206515547325957</v>
      </c>
      <c r="AI304" s="22">
        <f>(SUMPRODUCT(AI$9:AI$229,Nutrients!$EH$8:$EH$228)+(IF($A$7=Nutrients!$B$8,Nutrients!$EH$8,Nutrients!$EH$9)*AI$7)+(((IF($A$8=Nutrients!$B$79,Nutrients!$EH$79,(IF($A$8=Nutrients!$B$77,Nutrients!$EH$77,Nutrients!$EH$78)))))*AI$8))/2000</f>
        <v>39.795780240411979</v>
      </c>
      <c r="AK304" s="22">
        <f>(SUMPRODUCT(AK$9:AK$229,Nutrients!$EH$8:$EH$228)+(IF($A$7=Nutrients!$B$8,Nutrients!$EH$8,Nutrients!$EH$9)*AK$7)+(((IF($A$8=Nutrients!$B$79,Nutrients!$EH$79,(IF($A$8=Nutrients!$B$77,Nutrients!$EH$77,Nutrients!$EH$78)))))*AK$8))/2000</f>
        <v>43.820738181135056</v>
      </c>
      <c r="AL304" s="22">
        <f>(SUMPRODUCT(AL$9:AL$229,Nutrients!$EH$8:$EH$228)+(IF($A$7=Nutrients!$B$8,Nutrients!$EH$8,Nutrients!$EH$9)*AL$7)+(((IF($A$8=Nutrients!$B$79,Nutrients!$EH$79,(IF($A$8=Nutrients!$B$77,Nutrients!$EH$77,Nutrients!$EH$78)))))*AL$8))/2000</f>
        <v>45.007652685042004</v>
      </c>
      <c r="AM304" s="22">
        <f>(SUMPRODUCT(AM$9:AM$229,Nutrients!$EH$8:$EH$228)+(IF($A$7=Nutrients!$B$8,Nutrients!$EH$8,Nutrients!$EH$9)*AM$7)+(((IF($A$8=Nutrients!$B$79,Nutrients!$EH$79,(IF($A$8=Nutrients!$B$77,Nutrients!$EH$77,Nutrients!$EH$78)))))*AM$8))/2000</f>
        <v>45.951916066872911</v>
      </c>
      <c r="AN304" s="22">
        <f>(SUMPRODUCT(AN$9:AN$229,Nutrients!$EH$8:$EH$228)+(IF($A$7=Nutrients!$B$8,Nutrients!$EH$8,Nutrients!$EH$9)*AN$7)+(((IF($A$8=Nutrients!$B$79,Nutrients!$EH$79,(IF($A$8=Nutrients!$B$77,Nutrients!$EH$77,Nutrients!$EH$78)))))*AN$8))/2000</f>
        <v>47.042155027235289</v>
      </c>
      <c r="AO304" s="22">
        <f>(SUMPRODUCT(AO$9:AO$229,Nutrients!$EH$8:$EH$228)+(IF($A$7=Nutrients!$B$8,Nutrients!$EH$8,Nutrients!$EH$9)*AO$7)+(((IF($A$8=Nutrients!$B$79,Nutrients!$EH$79,(IF($A$8=Nutrients!$B$77,Nutrients!$EH$77,Nutrients!$EH$78)))))*AO$8))/2000</f>
        <v>48.11593308971824</v>
      </c>
      <c r="AP304" s="22">
        <f>(SUMPRODUCT(AP$9:AP$229,Nutrients!$EH$8:$EH$228)+(IF($A$7=Nutrients!$B$8,Nutrients!$EH$8,Nutrients!$EH$9)*AP$7)+(((IF($A$8=Nutrients!$B$79,Nutrients!$EH$79,(IF($A$8=Nutrients!$B$77,Nutrients!$EH$77,Nutrients!$EH$78)))))*AP$8))/2000</f>
        <v>39.795780240411979</v>
      </c>
      <c r="AR304" s="22">
        <f>(SUMPRODUCT(AR$9:AR$229,Nutrients!$EH$8:$EH$228)+(IF($A$7=Nutrients!$B$8,Nutrients!$EH$8,Nutrients!$EH$9)*AR$7)+(((IF($A$8=Nutrients!$B$79,Nutrients!$EH$79,(IF($A$8=Nutrients!$B$77,Nutrients!$EH$77,Nutrients!$EH$78)))))*AR$8))/2000</f>
        <v>45.526405233056607</v>
      </c>
      <c r="AS304" s="22">
        <f>(SUMPRODUCT(AS$9:AS$229,Nutrients!$EH$8:$EH$228)+(IF($A$7=Nutrients!$B$8,Nutrients!$EH$8,Nutrients!$EH$9)*AS$7)+(((IF($A$8=Nutrients!$B$79,Nutrients!$EH$79,(IF($A$8=Nutrients!$B$77,Nutrients!$EH$77,Nutrients!$EH$78)))))*AS$8))/2000</f>
        <v>46.656028884411555</v>
      </c>
      <c r="AT304" s="22">
        <f>(SUMPRODUCT(AT$9:AT$229,Nutrients!$EH$8:$EH$228)+(IF($A$7=Nutrients!$B$8,Nutrients!$EH$8,Nutrients!$EH$9)*AT$7)+(((IF($A$8=Nutrients!$B$79,Nutrients!$EH$79,(IF($A$8=Nutrients!$B$77,Nutrients!$EH$77,Nutrients!$EH$78)))))*AT$8))/2000</f>
        <v>47.591323561228798</v>
      </c>
      <c r="AU304" s="22">
        <f>(SUMPRODUCT(AU$9:AU$229,Nutrients!$EH$8:$EH$228)+(IF($A$7=Nutrients!$B$8,Nutrients!$EH$8,Nutrients!$EH$9)*AU$7)+(((IF($A$8=Nutrients!$B$79,Nutrients!$EH$79,(IF($A$8=Nutrients!$B$77,Nutrients!$EH$77,Nutrients!$EH$78)))))*AU$8))/2000</f>
        <v>48.947123054693819</v>
      </c>
      <c r="AV304" s="22">
        <f>(SUMPRODUCT(AV$9:AV$229,Nutrients!$EH$8:$EH$228)+(IF($A$7=Nutrients!$B$8,Nutrients!$EH$8,Nutrients!$EH$9)*AV$7)+(((IF($A$8=Nutrients!$B$79,Nutrients!$EH$79,(IF($A$8=Nutrients!$B$77,Nutrients!$EH$77,Nutrients!$EH$78)))))*AV$8))/2000</f>
        <v>50.025454938608455</v>
      </c>
      <c r="AW304" s="22">
        <f>(SUMPRODUCT(AW$9:AW$229,Nutrients!$EH$8:$EH$228)+(IF($A$7=Nutrients!$B$8,Nutrients!$EH$8,Nutrients!$EH$9)*AW$7)+(((IF($A$8=Nutrients!$B$79,Nutrients!$EH$79,(IF($A$8=Nutrients!$B$77,Nutrients!$EH$77,Nutrients!$EH$78)))))*AW$8))/2000</f>
        <v>39.795780240411979</v>
      </c>
    </row>
    <row r="305" spans="1:49" x14ac:dyDescent="0.25">
      <c r="A305" t="s">
        <v>58</v>
      </c>
      <c r="B305" s="23">
        <f t="shared" ref="B305:G305" si="188">(0.4472*B304)+51.796</f>
        <v>67.688810455546644</v>
      </c>
      <c r="C305" s="23">
        <f t="shared" si="188"/>
        <v>68.206510489410647</v>
      </c>
      <c r="D305" s="23">
        <f t="shared" si="188"/>
        <v>68.649938851943375</v>
      </c>
      <c r="E305" s="23">
        <f t="shared" si="188"/>
        <v>69.067735137988279</v>
      </c>
      <c r="F305" s="23">
        <f t="shared" si="188"/>
        <v>69.411394334754021</v>
      </c>
      <c r="G305" s="23">
        <f t="shared" si="188"/>
        <v>69.592672923512239</v>
      </c>
      <c r="H305" s="227"/>
      <c r="I305" s="23">
        <f t="shared" ref="I305:N305" si="189">(0.4472*I304)+51.796</f>
        <v>68.418268893144074</v>
      </c>
      <c r="J305" s="23">
        <f t="shared" si="189"/>
        <v>68.950253548913992</v>
      </c>
      <c r="K305" s="23">
        <f t="shared" si="189"/>
        <v>69.381015042664359</v>
      </c>
      <c r="L305" s="23">
        <f t="shared" si="189"/>
        <v>69.81265567645913</v>
      </c>
      <c r="M305" s="23">
        <f t="shared" si="189"/>
        <v>70.160498314790061</v>
      </c>
      <c r="N305" s="23">
        <f t="shared" si="189"/>
        <v>69.592672923512239</v>
      </c>
      <c r="O305" s="198"/>
      <c r="P305" s="23">
        <f t="shared" ref="P305:U305" si="190">(0.4472*P304)+51.796</f>
        <v>69.157743894515065</v>
      </c>
      <c r="Q305" s="23">
        <f t="shared" si="190"/>
        <v>69.689834154126942</v>
      </c>
      <c r="R305" s="23">
        <f t="shared" si="190"/>
        <v>70.12479107665213</v>
      </c>
      <c r="S305" s="23">
        <f t="shared" si="190"/>
        <v>70.551300871929641</v>
      </c>
      <c r="T305" s="23">
        <f t="shared" si="190"/>
        <v>70.904027926993379</v>
      </c>
      <c r="U305" s="23">
        <f t="shared" si="190"/>
        <v>69.592672923512239</v>
      </c>
      <c r="W305" s="23">
        <f t="shared" ref="W305:AB305" si="191">(0.4472*W304)+51.796</f>
        <v>69.901854151847047</v>
      </c>
      <c r="X305" s="23">
        <f t="shared" si="191"/>
        <v>70.436259996705388</v>
      </c>
      <c r="Y305" s="23">
        <f t="shared" si="191"/>
        <v>70.864710472835043</v>
      </c>
      <c r="Z305" s="23">
        <f t="shared" si="191"/>
        <v>71.293455837236678</v>
      </c>
      <c r="AA305" s="23">
        <f t="shared" si="191"/>
        <v>71.637166642376826</v>
      </c>
      <c r="AB305" s="23">
        <f t="shared" si="191"/>
        <v>69.592672923512239</v>
      </c>
      <c r="AD305" s="23">
        <f t="shared" ref="AD305:AI305" si="192">(0.4472*AD304)+51.796</f>
        <v>70.646972518879238</v>
      </c>
      <c r="AE305" s="23">
        <f t="shared" si="192"/>
        <v>71.177776803469797</v>
      </c>
      <c r="AF305" s="23">
        <f t="shared" si="192"/>
        <v>71.606647801686506</v>
      </c>
      <c r="AG305" s="23">
        <f t="shared" si="192"/>
        <v>72.031716328741936</v>
      </c>
      <c r="AH305" s="23">
        <f t="shared" si="192"/>
        <v>72.459553752764165</v>
      </c>
      <c r="AI305" s="23">
        <f t="shared" si="192"/>
        <v>69.592672923512239</v>
      </c>
      <c r="AK305" s="23">
        <f t="shared" ref="AK305:AP305" si="193">(0.4472*AK304)+51.796</f>
        <v>71.392634114603595</v>
      </c>
      <c r="AL305" s="23">
        <f t="shared" si="193"/>
        <v>71.923422280750785</v>
      </c>
      <c r="AM305" s="23">
        <f t="shared" si="193"/>
        <v>72.345696865105566</v>
      </c>
      <c r="AN305" s="23">
        <f t="shared" si="193"/>
        <v>72.833251728179619</v>
      </c>
      <c r="AO305" s="23">
        <f t="shared" si="193"/>
        <v>73.313445277721996</v>
      </c>
      <c r="AP305" s="23">
        <f t="shared" si="193"/>
        <v>69.592672923512239</v>
      </c>
      <c r="AR305" s="23">
        <f t="shared" ref="AR305:AW305" si="194">(0.4472*AR304)+51.796</f>
        <v>72.155408420222912</v>
      </c>
      <c r="AS305" s="23">
        <f t="shared" si="194"/>
        <v>72.660576117108846</v>
      </c>
      <c r="AT305" s="23">
        <f t="shared" si="194"/>
        <v>73.078839896581513</v>
      </c>
      <c r="AU305" s="23">
        <f t="shared" si="194"/>
        <v>73.685153430059074</v>
      </c>
      <c r="AV305" s="23">
        <f t="shared" si="194"/>
        <v>74.167383448545706</v>
      </c>
      <c r="AW305" s="23">
        <f t="shared" si="194"/>
        <v>69.592672923512239</v>
      </c>
    </row>
    <row r="306" spans="1:49" x14ac:dyDescent="0.25">
      <c r="A306" t="s">
        <v>65</v>
      </c>
      <c r="B306" s="23">
        <f>(SUMPRODUCT(B$9:B$229,Nutrients!$BW$8:$BW$228)+(IF($A$7=Nutrients!$B$8,Nutrients!$BW$8,Nutrients!$BW$9)*B$7)+(((IF($A$8=Nutrients!$B$79,Nutrients!$BW$79,(IF($A$8=Nutrients!$B$77,Nutrients!$BW$77,Nutrients!$BW$78)))))*B$8))/2000</f>
        <v>0.17585444277585438</v>
      </c>
      <c r="C306" s="23">
        <f>(SUMPRODUCT(C$9:C$229,Nutrients!$BW$8:$BW$228)+(IF($A$7=Nutrients!$B$8,Nutrients!$BW$8,Nutrients!$BW$9)*C$7)+(((IF($A$8=Nutrients!$B$79,Nutrients!$BW$79,(IF($A$8=Nutrients!$B$77,Nutrients!$BW$77,Nutrients!$BW$78)))))*C$8))/2000</f>
        <v>0.17313593688104692</v>
      </c>
      <c r="D306" s="23">
        <f>(SUMPRODUCT(D$9:D$229,Nutrients!$BW$8:$BW$228)+(IF($A$7=Nutrients!$B$8,Nutrients!$BW$8,Nutrients!$BW$9)*D$7)+(((IF($A$8=Nutrients!$B$79,Nutrients!$BW$79,(IF($A$8=Nutrients!$B$77,Nutrients!$BW$77,Nutrients!$BW$78)))))*D$8))/2000</f>
        <v>0.17084392516917876</v>
      </c>
      <c r="E306" s="23">
        <f>(SUMPRODUCT(E$9:E$229,Nutrients!$BW$8:$BW$228)+(IF($A$7=Nutrients!$B$8,Nutrients!$BW$8,Nutrients!$BW$9)*E$7)+(((IF($A$8=Nutrients!$B$79,Nutrients!$BW$79,(IF($A$8=Nutrients!$B$77,Nutrients!$BW$77,Nutrients!$BW$78)))))*E$8))/2000</f>
        <v>0.16862311318463774</v>
      </c>
      <c r="F306" s="23">
        <f>(SUMPRODUCT(F$9:F$229,Nutrients!$BW$8:$BW$228)+(IF($A$7=Nutrients!$B$8,Nutrients!$BW$8,Nutrients!$BW$9)*F$7)+(((IF($A$8=Nutrients!$B$79,Nutrients!$BW$79,(IF($A$8=Nutrients!$B$77,Nutrients!$BW$77,Nutrients!$BW$78)))))*F$8))/2000</f>
        <v>0.16677873706348853</v>
      </c>
      <c r="G306" s="23">
        <f>(SUMPRODUCT(G$9:G$229,Nutrients!$BW$8:$BW$228)+(IF($A$7=Nutrients!$B$8,Nutrients!$BW$8,Nutrients!$BW$9)*G$7)+(((IF($A$8=Nutrients!$B$79,Nutrients!$BW$79,(IF($A$8=Nutrients!$B$77,Nutrients!$BW$77,Nutrients!$BW$78)))))*G$8))/2000</f>
        <v>0.16577103413561747</v>
      </c>
      <c r="H306" s="227"/>
      <c r="I306" s="23">
        <f>(SUMPRODUCT(I$9:I$229,Nutrients!$BW$8:$BW$228)+(IF($A$7=Nutrients!$B$8,Nutrients!$BW$8,Nutrients!$BW$9)*I$7)+(((IF($A$8=Nutrients!$B$79,Nutrients!$BW$79,(IF($A$8=Nutrients!$B$77,Nutrients!$BW$77,Nutrients!$BW$78)))))*I$8))/2000</f>
        <v>0.18336019689860844</v>
      </c>
      <c r="J306" s="23">
        <f>(SUMPRODUCT(J$9:J$229,Nutrients!$BW$8:$BW$228)+(IF($A$7=Nutrients!$B$8,Nutrients!$BW$8,Nutrients!$BW$9)*J$7)+(((IF($A$8=Nutrients!$B$79,Nutrients!$BW$79,(IF($A$8=Nutrients!$B$77,Nutrients!$BW$77,Nutrients!$BW$78)))))*J$8))/2000</f>
        <v>0.18064935822550934</v>
      </c>
      <c r="K306" s="23">
        <f>(SUMPRODUCT(K$9:K$229,Nutrients!$BW$8:$BW$228)+(IF($A$7=Nutrients!$B$8,Nutrients!$BW$8,Nutrients!$BW$9)*K$7)+(((IF($A$8=Nutrients!$B$79,Nutrients!$BW$79,(IF($A$8=Nutrients!$B$77,Nutrients!$BW$77,Nutrients!$BW$78)))))*K$8))/2000</f>
        <v>0.17834400171431383</v>
      </c>
      <c r="L306" s="23">
        <f>(SUMPRODUCT(L$9:L$229,Nutrients!$BW$8:$BW$228)+(IF($A$7=Nutrients!$B$8,Nutrients!$BW$8,Nutrients!$BW$9)*L$7)+(((IF($A$8=Nutrients!$B$79,Nutrients!$BW$79,(IF($A$8=Nutrients!$B$77,Nutrients!$BW$77,Nutrients!$BW$78)))))*L$8))/2000</f>
        <v>0.17612939260193294</v>
      </c>
      <c r="M306" s="23">
        <f>(SUMPRODUCT(M$9:M$229,Nutrients!$BW$8:$BW$228)+(IF($A$7=Nutrients!$B$8,Nutrients!$BW$8,Nutrients!$BW$9)*M$7)+(((IF($A$8=Nutrients!$B$79,Nutrients!$BW$79,(IF($A$8=Nutrients!$B$77,Nutrients!$BW$77,Nutrients!$BW$78)))))*M$8))/2000</f>
        <v>0.17428593646768656</v>
      </c>
      <c r="N306" s="23">
        <f>(SUMPRODUCT(N$9:N$229,Nutrients!$BW$8:$BW$228)+(IF($A$7=Nutrients!$B$8,Nutrients!$BW$8,Nutrients!$BW$9)*N$7)+(((IF($A$8=Nutrients!$B$79,Nutrients!$BW$79,(IF($A$8=Nutrients!$B$77,Nutrients!$BW$77,Nutrients!$BW$78)))))*N$8))/2000</f>
        <v>0.16577103413561747</v>
      </c>
      <c r="O306" s="198"/>
      <c r="P306" s="23">
        <f>(SUMPRODUCT(P$9:P$229,Nutrients!$BW$8:$BW$228)+(IF($A$7=Nutrients!$B$8,Nutrients!$BW$8,Nutrients!$BW$9)*P$7)+(((IF($A$8=Nutrients!$B$79,Nutrients!$BW$79,(IF($A$8=Nutrients!$B$77,Nutrients!$BW$77,Nutrients!$BW$78)))))*P$8))/2000</f>
        <v>0.1908670613461714</v>
      </c>
      <c r="Q306" s="23">
        <f>(SUMPRODUCT(Q$9:Q$229,Nutrients!$BW$8:$BW$228)+(IF($A$7=Nutrients!$B$8,Nutrients!$BW$8,Nutrients!$BW$9)*Q$7)+(((IF($A$8=Nutrients!$B$79,Nutrients!$BW$79,(IF($A$8=Nutrients!$B$77,Nutrients!$BW$77,Nutrients!$BW$78)))))*Q$8))/2000</f>
        <v>0.18815605165017121</v>
      </c>
      <c r="R306" s="23">
        <f>(SUMPRODUCT(R$9:R$229,Nutrients!$BW$8:$BW$228)+(IF($A$7=Nutrients!$B$8,Nutrients!$BW$8,Nutrients!$BW$9)*R$7)+(((IF($A$8=Nutrients!$B$79,Nutrients!$BW$79,(IF($A$8=Nutrients!$B$77,Nutrients!$BW$77,Nutrients!$BW$78)))))*R$8))/2000</f>
        <v>0.18584948067891796</v>
      </c>
      <c r="S306" s="23">
        <f>(SUMPRODUCT(S$9:S$229,Nutrients!$BW$8:$BW$228)+(IF($A$7=Nutrients!$B$8,Nutrients!$BW$8,Nutrients!$BW$9)*S$7)+(((IF($A$8=Nutrients!$B$79,Nutrients!$BW$79,(IF($A$8=Nutrients!$B$77,Nutrients!$BW$77,Nutrients!$BW$78)))))*S$8))/2000</f>
        <v>0.18363504548241932</v>
      </c>
      <c r="T306" s="23">
        <f>(SUMPRODUCT(T$9:T$229,Nutrients!$BW$8:$BW$228)+(IF($A$7=Nutrients!$B$8,Nutrients!$BW$8,Nutrients!$BW$9)*T$7)+(((IF($A$8=Nutrients!$B$79,Nutrients!$BW$79,(IF($A$8=Nutrients!$B$77,Nutrients!$BW$77,Nutrients!$BW$78)))))*T$8))/2000</f>
        <v>0.18179198394523055</v>
      </c>
      <c r="U306" s="23">
        <f>(SUMPRODUCT(U$9:U$229,Nutrients!$BW$8:$BW$228)+(IF($A$7=Nutrients!$B$8,Nutrients!$BW$8,Nutrients!$BW$9)*U$7)+(((IF($A$8=Nutrients!$B$79,Nutrients!$BW$79,(IF($A$8=Nutrients!$B$77,Nutrients!$BW$77,Nutrients!$BW$78)))))*U$8))/2000</f>
        <v>0.16577103413561747</v>
      </c>
      <c r="W306" s="23">
        <f>(SUMPRODUCT(W$9:W$229,Nutrients!$BW$8:$BW$228)+(IF($A$7=Nutrients!$B$8,Nutrients!$BW$8,Nutrients!$BW$9)*W$7)+(((IF($A$8=Nutrients!$B$79,Nutrients!$BW$79,(IF($A$8=Nutrients!$B$77,Nutrients!$BW$77,Nutrients!$BW$78)))))*W$8))/2000</f>
        <v>0.19836432005163979</v>
      </c>
      <c r="X306" s="23">
        <f>(SUMPRODUCT(X$9:X$229,Nutrients!$BW$8:$BW$228)+(IF($A$7=Nutrients!$B$8,Nutrients!$BW$8,Nutrients!$BW$9)*X$7)+(((IF($A$8=Nutrients!$B$79,Nutrients!$BW$79,(IF($A$8=Nutrients!$B$77,Nutrients!$BW$77,Nutrients!$BW$78)))))*X$8))/2000</f>
        <v>0.1956523268274025</v>
      </c>
      <c r="Y306" s="23">
        <f>(SUMPRODUCT(Y$9:Y$229,Nutrients!$BW$8:$BW$228)+(IF($A$7=Nutrients!$B$8,Nutrients!$BW$8,Nutrients!$BW$9)*Y$7)+(((IF($A$8=Nutrients!$B$79,Nutrients!$BW$79,(IF($A$8=Nutrients!$B$77,Nutrients!$BW$77,Nutrients!$BW$78)))))*Y$8))/2000</f>
        <v>0.1933459271323891</v>
      </c>
      <c r="Z306" s="23">
        <f>(SUMPRODUCT(Z$9:Z$229,Nutrients!$BW$8:$BW$228)+(IF($A$7=Nutrients!$B$8,Nutrients!$BW$8,Nutrients!$BW$9)*Z$7)+(((IF($A$8=Nutrients!$B$79,Nutrients!$BW$79,(IF($A$8=Nutrients!$B$77,Nutrients!$BW$77,Nutrients!$BW$78)))))*Z$8))/2000</f>
        <v>0.19113038343865832</v>
      </c>
      <c r="AA306" s="23">
        <f>(SUMPRODUCT(AA$9:AA$229,Nutrients!$BW$8:$BW$228)+(IF($A$7=Nutrients!$B$8,Nutrients!$BW$8,Nutrients!$BW$9)*AA$7)+(((IF($A$8=Nutrients!$B$79,Nutrients!$BW$79,(IF($A$8=Nutrients!$B$77,Nutrients!$BW$77,Nutrients!$BW$78)))))*AA$8))/2000</f>
        <v>0.1892862108718901</v>
      </c>
      <c r="AB306" s="23">
        <f>(SUMPRODUCT(AB$9:AB$229,Nutrients!$BW$8:$BW$228)+(IF($A$7=Nutrients!$B$8,Nutrients!$BW$8,Nutrients!$BW$9)*AB$7)+(((IF($A$8=Nutrients!$B$79,Nutrients!$BW$79,(IF($A$8=Nutrients!$B$77,Nutrients!$BW$77,Nutrients!$BW$78)))))*AB$8))/2000</f>
        <v>0.16577103413561747</v>
      </c>
      <c r="AD306" s="23">
        <f>(SUMPRODUCT(AD$9:AD$229,Nutrients!$BW$8:$BW$228)+(IF($A$7=Nutrients!$B$8,Nutrients!$BW$8,Nutrients!$BW$9)*AD$7)+(((IF($A$8=Nutrients!$B$79,Nutrients!$BW$79,(IF($A$8=Nutrients!$B$77,Nutrients!$BW$77,Nutrients!$BW$78)))))*AD$8))/2000</f>
        <v>0.20586064330086698</v>
      </c>
      <c r="AE306" s="23">
        <f>(SUMPRODUCT(AE$9:AE$229,Nutrients!$BW$8:$BW$228)+(IF($A$7=Nutrients!$B$8,Nutrients!$BW$8,Nutrients!$BW$9)*AE$7)+(((IF($A$8=Nutrients!$B$79,Nutrients!$BW$79,(IF($A$8=Nutrients!$B$77,Nutrients!$BW$77,Nutrients!$BW$78)))))*AE$8))/2000</f>
        <v>0.20314903973968224</v>
      </c>
      <c r="AF306" s="23">
        <f>(SUMPRODUCT(AF$9:AF$229,Nutrients!$BW$8:$BW$228)+(IF($A$7=Nutrients!$B$8,Nutrients!$BW$8,Nutrients!$BW$9)*AF$7)+(((IF($A$8=Nutrients!$B$79,Nutrients!$BW$79,(IF($A$8=Nutrients!$B$77,Nutrients!$BW$77,Nutrients!$BW$78)))))*AF$8))/2000</f>
        <v>0.20084127866091886</v>
      </c>
      <c r="AG306" s="23">
        <f>(SUMPRODUCT(AG$9:AG$229,Nutrients!$BW$8:$BW$228)+(IF($A$7=Nutrients!$B$8,Nutrients!$BW$8,Nutrients!$BW$9)*AG$7)+(((IF($A$8=Nutrients!$B$79,Nutrients!$BW$79,(IF($A$8=Nutrients!$B$77,Nutrients!$BW$77,Nutrients!$BW$78)))))*AG$8))/2000</f>
        <v>0.19862625975335874</v>
      </c>
      <c r="AH306" s="23">
        <f>(SUMPRODUCT(AH$9:AH$229,Nutrients!$BW$8:$BW$228)+(IF($A$7=Nutrients!$B$8,Nutrients!$BW$8,Nutrients!$BW$9)*AH$7)+(((IF($A$8=Nutrients!$B$79,Nutrients!$BW$79,(IF($A$8=Nutrients!$B$77,Nutrients!$BW$77,Nutrients!$BW$78)))))*AH$8))/2000</f>
        <v>0.19689305694368972</v>
      </c>
      <c r="AI306" s="23">
        <f>(SUMPRODUCT(AI$9:AI$229,Nutrients!$BW$8:$BW$228)+(IF($A$7=Nutrients!$B$8,Nutrients!$BW$8,Nutrients!$BW$9)*AI$7)+(((IF($A$8=Nutrients!$B$79,Nutrients!$BW$79,(IF($A$8=Nutrients!$B$77,Nutrients!$BW$77,Nutrients!$BW$78)))))*AI$8))/2000</f>
        <v>0.16577103413561747</v>
      </c>
      <c r="AK306" s="23">
        <f>(SUMPRODUCT(AK$9:AK$229,Nutrients!$BW$8:$BW$228)+(IF($A$7=Nutrients!$B$8,Nutrients!$BW$8,Nutrients!$BW$9)*AK$7)+(((IF($A$8=Nutrients!$B$79,Nutrients!$BW$79,(IF($A$8=Nutrients!$B$77,Nutrients!$BW$77,Nutrients!$BW$78)))))*AK$8))/2000</f>
        <v>0.21336629761892068</v>
      </c>
      <c r="AL306" s="23">
        <f>(SUMPRODUCT(AL$9:AL$229,Nutrients!$BW$8:$BW$228)+(IF($A$7=Nutrients!$B$8,Nutrients!$BW$8,Nutrients!$BW$9)*AL$7)+(((IF($A$8=Nutrients!$B$79,Nutrients!$BW$79,(IF($A$8=Nutrients!$B$77,Nutrients!$BW$77,Nutrients!$BW$78)))))*AL$8))/2000</f>
        <v>0.2106543797648954</v>
      </c>
      <c r="AM306" s="23">
        <f>(SUMPRODUCT(AM$9:AM$229,Nutrients!$BW$8:$BW$228)+(IF($A$7=Nutrients!$B$8,Nutrients!$BW$8,Nutrients!$BW$9)*AM$7)+(((IF($A$8=Nutrients!$B$79,Nutrients!$BW$79,(IF($A$8=Nutrients!$B$77,Nutrients!$BW$77,Nutrients!$BW$78)))))*AM$8))/2000</f>
        <v>0.20834707869822303</v>
      </c>
      <c r="AN306" s="23">
        <f>(SUMPRODUCT(AN$9:AN$229,Nutrients!$BW$8:$BW$228)+(IF($A$7=Nutrients!$B$8,Nutrients!$BW$8,Nutrients!$BW$9)*AN$7)+(((IF($A$8=Nutrients!$B$79,Nutrients!$BW$79,(IF($A$8=Nutrients!$B$77,Nutrients!$BW$77,Nutrients!$BW$78)))))*AN$8))/2000</f>
        <v>0.20622379328016605</v>
      </c>
      <c r="AO306" s="23">
        <f>(SUMPRODUCT(AO$9:AO$229,Nutrients!$BW$8:$BW$228)+(IF($A$7=Nutrients!$B$8,Nutrients!$BW$8,Nutrients!$BW$9)*AO$7)+(((IF($A$8=Nutrients!$B$79,Nutrients!$BW$79,(IF($A$8=Nutrients!$B$77,Nutrients!$BW$77,Nutrients!$BW$78)))))*AO$8))/2000</f>
        <v>0.20452471846281339</v>
      </c>
      <c r="AP306" s="23">
        <f>(SUMPRODUCT(AP$9:AP$229,Nutrients!$BW$8:$BW$228)+(IF($A$7=Nutrients!$B$8,Nutrients!$BW$8,Nutrients!$BW$9)*AP$7)+(((IF($A$8=Nutrients!$B$79,Nutrients!$BW$79,(IF($A$8=Nutrients!$B$77,Nutrients!$BW$77,Nutrients!$BW$78)))))*AP$8))/2000</f>
        <v>0.16577103413561747</v>
      </c>
      <c r="AR306" s="23">
        <f>(SUMPRODUCT(AR$9:AR$229,Nutrients!$BW$8:$BW$228)+(IF($A$7=Nutrients!$B$8,Nutrients!$BW$8,Nutrients!$BW$9)*AR$7)+(((IF($A$8=Nutrients!$B$79,Nutrients!$BW$79,(IF($A$8=Nutrients!$B$77,Nutrients!$BW$77,Nutrients!$BW$78)))))*AR$8))/2000</f>
        <v>0.2208707117696142</v>
      </c>
      <c r="AS306" s="23">
        <f>(SUMPRODUCT(AS$9:AS$229,Nutrients!$BW$8:$BW$228)+(IF($A$7=Nutrients!$B$8,Nutrients!$BW$8,Nutrients!$BW$9)*AS$7)+(((IF($A$8=Nutrients!$B$79,Nutrients!$BW$79,(IF($A$8=Nutrients!$B$77,Nutrients!$BW$77,Nutrients!$BW$78)))))*AS$8))/2000</f>
        <v>0.21815953385691766</v>
      </c>
      <c r="AT306" s="23">
        <f>(SUMPRODUCT(AT$9:AT$229,Nutrients!$BW$8:$BW$228)+(IF($A$7=Nutrients!$B$8,Nutrients!$BW$8,Nutrients!$BW$9)*AT$7)+(((IF($A$8=Nutrients!$B$79,Nutrients!$BW$79,(IF($A$8=Nutrients!$B$77,Nutrients!$BW$77,Nutrients!$BW$78)))))*AT$8))/2000</f>
        <v>0.21585708962025246</v>
      </c>
      <c r="AU306" s="23">
        <f>(SUMPRODUCT(AU$9:AU$229,Nutrients!$BW$8:$BW$228)+(IF($A$7=Nutrients!$B$8,Nutrients!$BW$8,Nutrients!$BW$9)*AU$7)+(((IF($A$8=Nutrients!$B$79,Nutrients!$BW$79,(IF($A$8=Nutrients!$B$77,Nutrients!$BW$77,Nutrients!$BW$78)))))*AU$8))/2000</f>
        <v>0.21385593836634298</v>
      </c>
      <c r="AV306" s="23">
        <f>(SUMPRODUCT(AV$9:AV$229,Nutrients!$BW$8:$BW$228)+(IF($A$7=Nutrients!$B$8,Nutrients!$BW$8,Nutrients!$BW$9)*AV$7)+(((IF($A$8=Nutrients!$B$79,Nutrients!$BW$79,(IF($A$8=Nutrients!$B$77,Nutrients!$BW$77,Nutrients!$BW$78)))))*AV$8))/2000</f>
        <v>0.21215637956622457</v>
      </c>
      <c r="AW306" s="23">
        <f>(SUMPRODUCT(AW$9:AW$229,Nutrients!$BW$8:$BW$228)+(IF($A$7=Nutrients!$B$8,Nutrients!$BW$8,Nutrients!$BW$9)*AW$7)+(((IF($A$8=Nutrients!$B$79,Nutrients!$BW$79,(IF($A$8=Nutrients!$B$77,Nutrients!$BW$77,Nutrients!$BW$78)))))*AW$8))/2000</f>
        <v>0.16577103413561747</v>
      </c>
    </row>
    <row r="307" spans="1:49" x14ac:dyDescent="0.25">
      <c r="A307" t="s">
        <v>66</v>
      </c>
      <c r="B307" s="23">
        <f>(SUMPRODUCT(B$9:B$229,Nutrients!$BT$8:$BT$228)+(IF($A$7=Nutrients!$B$8,Nutrients!$BT$8,Nutrients!$BT$9)*B$7)+(((IF($A$8=Nutrients!$B$79,Nutrients!$BT$79,(IF($A$8=Nutrients!$B$77,Nutrients!$BT$77,Nutrients!$BT$78)))))*B$8))/2000</f>
        <v>0.34074334390126987</v>
      </c>
      <c r="C307" s="23">
        <f>(SUMPRODUCT(C$9:C$229,Nutrients!$BT$8:$BT$228)+(IF($A$7=Nutrients!$B$8,Nutrients!$BT$8,Nutrients!$BT$9)*C$7)+(((IF($A$8=Nutrients!$B$79,Nutrients!$BT$79,(IF($A$8=Nutrients!$B$77,Nutrients!$BT$77,Nutrients!$BT$78)))))*C$8))/2000</f>
        <v>0.33141446527128632</v>
      </c>
      <c r="D307" s="23">
        <f>(SUMPRODUCT(D$9:D$229,Nutrients!$BT$8:$BT$228)+(IF($A$7=Nutrients!$B$8,Nutrients!$BT$8,Nutrients!$BT$9)*D$7)+(((IF($A$8=Nutrients!$B$79,Nutrients!$BT$79,(IF($A$8=Nutrients!$B$77,Nutrients!$BT$77,Nutrients!$BT$78)))))*D$8))/2000</f>
        <v>0.32208201141013715</v>
      </c>
      <c r="E307" s="23">
        <f>(SUMPRODUCT(E$9:E$229,Nutrients!$BT$8:$BT$228)+(IF($A$7=Nutrients!$B$8,Nutrients!$BT$8,Nutrients!$BT$9)*E$7)+(((IF($A$8=Nutrients!$B$79,Nutrients!$BT$79,(IF($A$8=Nutrients!$B$77,Nutrients!$BT$77,Nutrients!$BT$78)))))*E$8))/2000</f>
        <v>0.31765998822682556</v>
      </c>
      <c r="F307" s="23">
        <f>(SUMPRODUCT(F$9:F$229,Nutrients!$BT$8:$BT$228)+(IF($A$7=Nutrients!$B$8,Nutrients!$BT$8,Nutrients!$BT$9)*F$7)+(((IF($A$8=Nutrients!$B$79,Nutrients!$BT$79,(IF($A$8=Nutrients!$B$77,Nutrients!$BT$77,Nutrients!$BT$78)))))*F$8))/2000</f>
        <v>0.31776531917662576</v>
      </c>
      <c r="G307" s="23">
        <f>(SUMPRODUCT(G$9:G$229,Nutrients!$BT$8:$BT$228)+(IF($A$7=Nutrients!$B$8,Nutrients!$BT$8,Nutrients!$BT$9)*G$7)+(((IF($A$8=Nutrients!$B$79,Nutrients!$BT$79,(IF($A$8=Nutrients!$B$77,Nutrients!$BT$77,Nutrients!$BT$78)))))*G$8))/2000</f>
        <v>0.31780178721106933</v>
      </c>
      <c r="H307" s="227"/>
      <c r="I307" s="23">
        <f>(SUMPRODUCT(I$9:I$229,Nutrients!$BT$8:$BT$228)+(IF($A$7=Nutrients!$B$8,Nutrients!$BT$8,Nutrients!$BT$9)*I$7)+(((IF($A$8=Nutrients!$B$79,Nutrients!$BT$79,(IF($A$8=Nutrients!$B$77,Nutrients!$BT$77,Nutrients!$BT$78)))))*I$8))/2000</f>
        <v>0.35214530521477544</v>
      </c>
      <c r="J307" s="23">
        <f>(SUMPRODUCT(J$9:J$229,Nutrients!$BT$8:$BT$228)+(IF($A$7=Nutrients!$B$8,Nutrients!$BT$8,Nutrients!$BT$9)*J$7)+(((IF($A$8=Nutrients!$B$79,Nutrients!$BT$79,(IF($A$8=Nutrients!$B$77,Nutrients!$BT$77,Nutrients!$BT$78)))))*J$8))/2000</f>
        <v>0.34280891000235425</v>
      </c>
      <c r="K307" s="23">
        <f>(SUMPRODUCT(K$9:K$229,Nutrients!$BT$8:$BT$228)+(IF($A$7=Nutrients!$B$8,Nutrients!$BT$8,Nutrients!$BT$9)*K$7)+(((IF($A$8=Nutrients!$B$79,Nutrients!$BT$79,(IF($A$8=Nutrients!$B$77,Nutrients!$BT$77,Nutrients!$BT$78)))))*K$8))/2000</f>
        <v>0.33347996153785703</v>
      </c>
      <c r="L307" s="23">
        <f>(SUMPRODUCT(L$9:L$229,Nutrients!$BT$8:$BT$228)+(IF($A$7=Nutrients!$B$8,Nutrients!$BT$8,Nutrients!$BT$9)*L$7)+(((IF($A$8=Nutrients!$B$79,Nutrients!$BT$79,(IF($A$8=Nutrients!$B$77,Nutrients!$BT$77,Nutrients!$BT$78)))))*L$8))/2000</f>
        <v>0.32905482268203223</v>
      </c>
      <c r="M307" s="23">
        <f>(SUMPRODUCT(M$9:M$229,Nutrients!$BT$8:$BT$228)+(IF($A$7=Nutrients!$B$8,Nutrients!$BT$8,Nutrients!$BT$9)*M$7)+(((IF($A$8=Nutrients!$B$79,Nutrients!$BT$79,(IF($A$8=Nutrients!$B$77,Nutrients!$BT$77,Nutrients!$BT$78)))))*M$8))/2000</f>
        <v>0.3291603669445653</v>
      </c>
      <c r="N307" s="23">
        <f>(SUMPRODUCT(N$9:N$229,Nutrients!$BT$8:$BT$228)+(IF($A$7=Nutrients!$B$8,Nutrients!$BT$8,Nutrients!$BT$9)*N$7)+(((IF($A$8=Nutrients!$B$79,Nutrients!$BT$79,(IF($A$8=Nutrients!$B$77,Nutrients!$BT$77,Nutrients!$BT$78)))))*N$8))/2000</f>
        <v>0.31780178721106933</v>
      </c>
      <c r="O307" s="198"/>
      <c r="P307" s="23">
        <f>(SUMPRODUCT(P$9:P$229,Nutrients!$BT$8:$BT$228)+(IF($A$7=Nutrients!$B$8,Nutrients!$BT$8,Nutrients!$BT$9)*P$7)+(((IF($A$8=Nutrients!$B$79,Nutrients!$BT$79,(IF($A$8=Nutrients!$B$77,Nutrients!$BT$77,Nutrients!$BT$78)))))*P$8))/2000</f>
        <v>0.36354228559705848</v>
      </c>
      <c r="Q307" s="23">
        <f>(SUMPRODUCT(Q$9:Q$229,Nutrients!$BT$8:$BT$228)+(IF($A$7=Nutrients!$B$8,Nutrients!$BT$8,Nutrients!$BT$9)*Q$7)+(((IF($A$8=Nutrients!$B$79,Nutrients!$BT$79,(IF($A$8=Nutrients!$B$77,Nutrients!$BT$77,Nutrients!$BT$78)))))*Q$8))/2000</f>
        <v>0.35420402570649528</v>
      </c>
      <c r="R307" s="23">
        <f>(SUMPRODUCT(R$9:R$229,Nutrients!$BT$8:$BT$228)+(IF($A$7=Nutrients!$B$8,Nutrients!$BT$8,Nutrients!$BT$9)*R$7)+(((IF($A$8=Nutrients!$B$79,Nutrients!$BT$79,(IF($A$8=Nutrients!$B$77,Nutrients!$BT$77,Nutrients!$BT$78)))))*R$8))/2000</f>
        <v>0.34487290001979115</v>
      </c>
      <c r="S307" s="23">
        <f>(SUMPRODUCT(S$9:S$229,Nutrients!$BT$8:$BT$228)+(IF($A$7=Nutrients!$B$8,Nutrients!$BT$8,Nutrients!$BT$9)*S$7)+(((IF($A$8=Nutrients!$B$79,Nutrients!$BT$79,(IF($A$8=Nutrients!$B$77,Nutrients!$BT$77,Nutrients!$BT$78)))))*S$8))/2000</f>
        <v>0.34044832418266713</v>
      </c>
      <c r="T307" s="23">
        <f>(SUMPRODUCT(T$9:T$229,Nutrients!$BT$8:$BT$228)+(IF($A$7=Nutrients!$B$8,Nutrients!$BT$8,Nutrients!$BT$9)*T$7)+(((IF($A$8=Nutrients!$B$79,Nutrients!$BT$79,(IF($A$8=Nutrients!$B$77,Nutrients!$BT$77,Nutrients!$BT$78)))))*T$8))/2000</f>
        <v>0.34055514587610441</v>
      </c>
      <c r="U307" s="23">
        <f>(SUMPRODUCT(U$9:U$229,Nutrients!$BT$8:$BT$228)+(IF($A$7=Nutrients!$B$8,Nutrients!$BT$8,Nutrients!$BT$9)*U$7)+(((IF($A$8=Nutrients!$B$79,Nutrients!$BT$79,(IF($A$8=Nutrients!$B$77,Nutrients!$BT$77,Nutrients!$BT$78)))))*U$8))/2000</f>
        <v>0.31780178721106933</v>
      </c>
      <c r="W307" s="23">
        <f>(SUMPRODUCT(W$9:W$229,Nutrients!$BT$8:$BT$228)+(IF($A$7=Nutrients!$B$8,Nutrients!$BT$8,Nutrients!$BT$9)*W$7)+(((IF($A$8=Nutrients!$B$79,Nutrients!$BT$79,(IF($A$8=Nutrients!$B$77,Nutrients!$BT$77,Nutrients!$BT$78)))))*W$8))/2000</f>
        <v>0.37494098564243494</v>
      </c>
      <c r="X307" s="23">
        <f>(SUMPRODUCT(X$9:X$229,Nutrients!$BT$8:$BT$228)+(IF($A$7=Nutrients!$B$8,Nutrients!$BT$8,Nutrients!$BT$9)*X$7)+(((IF($A$8=Nutrients!$B$79,Nutrients!$BT$79,(IF($A$8=Nutrients!$B$77,Nutrients!$BT$77,Nutrients!$BT$78)))))*X$8))/2000</f>
        <v>0.36559954177129955</v>
      </c>
      <c r="Y307" s="23">
        <f>(SUMPRODUCT(Y$9:Y$229,Nutrients!$BT$8:$BT$228)+(IF($A$7=Nutrients!$B$8,Nutrients!$BT$8,Nutrients!$BT$9)*Y$7)+(((IF($A$8=Nutrients!$B$79,Nutrients!$BT$79,(IF($A$8=Nutrients!$B$77,Nutrients!$BT$77,Nutrients!$BT$78)))))*Y$8))/2000</f>
        <v>0.35626897055796947</v>
      </c>
      <c r="Z307" s="23">
        <f>(SUMPRODUCT(Z$9:Z$229,Nutrients!$BT$8:$BT$228)+(IF($A$7=Nutrients!$B$8,Nutrients!$BT$8,Nutrients!$BT$9)*Z$7)+(((IF($A$8=Nutrients!$B$79,Nutrients!$BT$79,(IF($A$8=Nutrients!$B$77,Nutrients!$BT$77,Nutrients!$BT$78)))))*Z$8))/2000</f>
        <v>0.35184080617756003</v>
      </c>
      <c r="AA307" s="23">
        <f>(SUMPRODUCT(AA$9:AA$229,Nutrients!$BT$8:$BT$228)+(IF($A$7=Nutrients!$B$8,Nutrients!$BT$8,Nutrients!$BT$9)*AA$7)+(((IF($A$8=Nutrients!$B$79,Nutrients!$BT$79,(IF($A$8=Nutrients!$B$77,Nutrients!$BT$77,Nutrients!$BT$78)))))*AA$8))/2000</f>
        <v>0.35194403112973166</v>
      </c>
      <c r="AB307" s="23">
        <f>(SUMPRODUCT(AB$9:AB$229,Nutrients!$BT$8:$BT$228)+(IF($A$7=Nutrients!$B$8,Nutrients!$BT$8,Nutrients!$BT$9)*AB$7)+(((IF($A$8=Nutrients!$B$79,Nutrients!$BT$79,(IF($A$8=Nutrients!$B$77,Nutrients!$BT$77,Nutrients!$BT$78)))))*AB$8))/2000</f>
        <v>0.31780178721106933</v>
      </c>
      <c r="AD307" s="23">
        <f>(SUMPRODUCT(AD$9:AD$229,Nutrients!$BT$8:$BT$228)+(IF($A$7=Nutrients!$B$8,Nutrients!$BT$8,Nutrients!$BT$9)*AD$7)+(((IF($A$8=Nutrients!$B$79,Nutrients!$BT$79,(IF($A$8=Nutrients!$B$77,Nutrients!$BT$77,Nutrients!$BT$78)))))*AD$8))/2000</f>
        <v>0.38633665733093681</v>
      </c>
      <c r="AE307" s="23">
        <f>(SUMPRODUCT(AE$9:AE$229,Nutrients!$BT$8:$BT$228)+(IF($A$7=Nutrients!$B$8,Nutrients!$BT$8,Nutrients!$BT$9)*AE$7)+(((IF($A$8=Nutrients!$B$79,Nutrients!$BT$79,(IF($A$8=Nutrients!$B$77,Nutrients!$BT$77,Nutrients!$BT$78)))))*AE$8))/2000</f>
        <v>0.3769964749178279</v>
      </c>
      <c r="AF307" s="23">
        <f>(SUMPRODUCT(AF$9:AF$229,Nutrients!$BT$8:$BT$228)+(IF($A$7=Nutrients!$B$8,Nutrients!$BT$8,Nutrients!$BT$9)*AF$7)+(((IF($A$8=Nutrients!$B$79,Nutrients!$BT$79,(IF($A$8=Nutrients!$B$77,Nutrients!$BT$77,Nutrients!$BT$78)))))*AF$8))/2000</f>
        <v>0.36766149649050273</v>
      </c>
      <c r="AG307" s="23">
        <f>(SUMPRODUCT(AG$9:AG$229,Nutrients!$BT$8:$BT$228)+(IF($A$7=Nutrients!$B$8,Nutrients!$BT$8,Nutrients!$BT$9)*AG$7)+(((IF($A$8=Nutrients!$B$79,Nutrients!$BT$79,(IF($A$8=Nutrients!$B$77,Nutrients!$BT$77,Nutrients!$BT$78)))))*AG$8))/2000</f>
        <v>0.36323176606842644</v>
      </c>
      <c r="AH307" s="23">
        <f>(SUMPRODUCT(AH$9:AH$229,Nutrients!$BT$8:$BT$228)+(IF($A$7=Nutrients!$B$8,Nutrients!$BT$8,Nutrients!$BT$9)*AH$7)+(((IF($A$8=Nutrients!$B$79,Nutrients!$BT$79,(IF($A$8=Nutrients!$B$77,Nutrients!$BT$77,Nutrients!$BT$78)))))*AH$8))/2000</f>
        <v>0.363276836104024</v>
      </c>
      <c r="AI307" s="23">
        <f>(SUMPRODUCT(AI$9:AI$229,Nutrients!$BT$8:$BT$228)+(IF($A$7=Nutrients!$B$8,Nutrients!$BT$8,Nutrients!$BT$9)*AI$7)+(((IF($A$8=Nutrients!$B$79,Nutrients!$BT$79,(IF($A$8=Nutrients!$B$77,Nutrients!$BT$77,Nutrients!$BT$78)))))*AI$8))/2000</f>
        <v>0.31780178721106933</v>
      </c>
      <c r="AK307" s="23">
        <f>(SUMPRODUCT(AK$9:AK$229,Nutrients!$BT$8:$BT$228)+(IF($A$7=Nutrients!$B$8,Nutrients!$BT$8,Nutrients!$BT$9)*AK$7)+(((IF($A$8=Nutrients!$B$79,Nutrients!$BT$79,(IF($A$8=Nutrients!$B$77,Nutrients!$BT$77,Nutrients!$BT$78)))))*AK$8))/2000</f>
        <v>0.39773016348541529</v>
      </c>
      <c r="AL307" s="23">
        <f>(SUMPRODUCT(AL$9:AL$229,Nutrients!$BT$8:$BT$228)+(IF($A$7=Nutrients!$B$8,Nutrients!$BT$8,Nutrients!$BT$9)*AL$7)+(((IF($A$8=Nutrients!$B$79,Nutrients!$BT$79,(IF($A$8=Nutrients!$B$77,Nutrients!$BT$77,Nutrients!$BT$78)))))*AL$8))/2000</f>
        <v>0.38838896361062042</v>
      </c>
      <c r="AM307" s="23">
        <f>(SUMPRODUCT(AM$9:AM$229,Nutrients!$BT$8:$BT$228)+(IF($A$7=Nutrients!$B$8,Nutrients!$BT$8,Nutrients!$BT$9)*AM$7)+(((IF($A$8=Nutrients!$B$79,Nutrients!$BT$79,(IF($A$8=Nutrients!$B$77,Nutrients!$BT$77,Nutrients!$BT$78)))))*AM$8))/2000</f>
        <v>0.37905547438259368</v>
      </c>
      <c r="AN307" s="23">
        <f>(SUMPRODUCT(AN$9:AN$229,Nutrients!$BT$8:$BT$228)+(IF($A$7=Nutrients!$B$8,Nutrients!$BT$8,Nutrients!$BT$9)*AN$7)+(((IF($A$8=Nutrients!$B$79,Nutrients!$BT$79,(IF($A$8=Nutrients!$B$77,Nutrients!$BT$77,Nutrients!$BT$78)))))*AN$8))/2000</f>
        <v>0.37457257877973621</v>
      </c>
      <c r="AO307" s="23">
        <f>(SUMPRODUCT(AO$9:AO$229,Nutrients!$BT$8:$BT$228)+(IF($A$7=Nutrients!$B$8,Nutrients!$BT$8,Nutrients!$BT$9)*AO$7)+(((IF($A$8=Nutrients!$B$79,Nutrients!$BT$79,(IF($A$8=Nutrients!$B$77,Nutrients!$BT$77,Nutrients!$BT$78)))))*AO$8))/2000</f>
        <v>0.37459441647760444</v>
      </c>
      <c r="AP307" s="23">
        <f>(SUMPRODUCT(AP$9:AP$229,Nutrients!$BT$8:$BT$228)+(IF($A$7=Nutrients!$B$8,Nutrients!$BT$8,Nutrients!$BT$9)*AP$7)+(((IF($A$8=Nutrients!$B$79,Nutrients!$BT$79,(IF($A$8=Nutrients!$B$77,Nutrients!$BT$77,Nutrients!$BT$78)))))*AP$8))/2000</f>
        <v>0.31780178721106933</v>
      </c>
      <c r="AR307" s="23">
        <f>(SUMPRODUCT(AR$9:AR$229,Nutrients!$BT$8:$BT$228)+(IF($A$7=Nutrients!$B$8,Nutrients!$BT$8,Nutrients!$BT$9)*AR$7)+(((IF($A$8=Nutrients!$B$79,Nutrients!$BT$79,(IF($A$8=Nutrients!$B$77,Nutrients!$BT$77,Nutrients!$BT$78)))))*AR$8))/2000</f>
        <v>0.40911965484028517</v>
      </c>
      <c r="AS307" s="23">
        <f>(SUMPRODUCT(AS$9:AS$229,Nutrients!$BT$8:$BT$228)+(IF($A$7=Nutrients!$B$8,Nutrients!$BT$8,Nutrients!$BT$9)*AS$7)+(((IF($A$8=Nutrients!$B$79,Nutrients!$BT$79,(IF($A$8=Nutrients!$B$77,Nutrients!$BT$77,Nutrients!$BT$78)))))*AS$8))/2000</f>
        <v>0.39978085038102251</v>
      </c>
      <c r="AT307" s="23">
        <f>(SUMPRODUCT(AT$9:AT$229,Nutrients!$BT$8:$BT$228)+(IF($A$7=Nutrients!$B$8,Nutrients!$BT$8,Nutrients!$BT$9)*AT$7)+(((IF($A$8=Nutrients!$B$79,Nutrients!$BT$79,(IF($A$8=Nutrients!$B$77,Nutrients!$BT$77,Nutrients!$BT$78)))))*AT$8))/2000</f>
        <v>0.39043947118985589</v>
      </c>
      <c r="AU307" s="23">
        <f>(SUMPRODUCT(AU$9:AU$229,Nutrients!$BT$8:$BT$228)+(IF($A$7=Nutrients!$B$8,Nutrients!$BT$8,Nutrients!$BT$9)*AU$7)+(((IF($A$8=Nutrients!$B$79,Nutrients!$BT$79,(IF($A$8=Nutrients!$B$77,Nutrients!$BT$77,Nutrients!$BT$78)))))*AU$8))/2000</f>
        <v>0.38589036671931354</v>
      </c>
      <c r="AV307" s="23">
        <f>(SUMPRODUCT(AV$9:AV$229,Nutrients!$BT$8:$BT$228)+(IF($A$7=Nutrients!$B$8,Nutrients!$BT$8,Nutrients!$BT$9)*AV$7)+(((IF($A$8=Nutrients!$B$79,Nutrients!$BT$79,(IF($A$8=Nutrients!$B$77,Nutrients!$BT$77,Nutrients!$BT$78)))))*AV$8))/2000</f>
        <v>0.38591198608749266</v>
      </c>
      <c r="AW307" s="23">
        <f>(SUMPRODUCT(AW$9:AW$229,Nutrients!$BT$8:$BT$228)+(IF($A$7=Nutrients!$B$8,Nutrients!$BT$8,Nutrients!$BT$9)*AW$7)+(((IF($A$8=Nutrients!$B$79,Nutrients!$BT$79,(IF($A$8=Nutrients!$B$77,Nutrients!$BT$77,Nutrients!$BT$78)))))*AW$8))/2000</f>
        <v>0.31780178721106933</v>
      </c>
    </row>
    <row r="308" spans="1:49" x14ac:dyDescent="0.25">
      <c r="A308" t="s">
        <v>67</v>
      </c>
      <c r="B308" s="23">
        <f>(SUMPRODUCT(B$9:B$229,Nutrients!$BU$8:$BU$228)+(IF($A$7=Nutrients!$B$8,Nutrients!$BU$8,Nutrients!$BU$9)*B$7)+(((IF($A$8=Nutrients!$B$79,Nutrients!$BU$79,(IF($A$8=Nutrients!$B$77,Nutrients!$BU$77,Nutrients!$BU$78)))))*B$8))/2000</f>
        <v>0.82299889398162063</v>
      </c>
      <c r="C308" s="23">
        <f>(SUMPRODUCT(C$9:C$229,Nutrients!$BU$8:$BU$228)+(IF($A$7=Nutrients!$B$8,Nutrients!$BU$8,Nutrients!$BU$9)*C$7)+(((IF($A$8=Nutrients!$B$79,Nutrients!$BU$79,(IF($A$8=Nutrients!$B$77,Nutrients!$BU$77,Nutrients!$BU$78)))))*C$8))/2000</f>
        <v>0.74655886728664078</v>
      </c>
      <c r="D308" s="23">
        <f>(SUMPRODUCT(D$9:D$229,Nutrients!$BU$8:$BU$228)+(IF($A$7=Nutrients!$B$8,Nutrients!$BU$8,Nutrients!$BU$9)*D$7)+(((IF($A$8=Nutrients!$B$79,Nutrients!$BU$79,(IF($A$8=Nutrients!$B$77,Nutrients!$BU$77,Nutrients!$BU$78)))))*D$8))/2000</f>
        <v>0.68235096300443021</v>
      </c>
      <c r="E308" s="23">
        <f>(SUMPRODUCT(E$9:E$229,Nutrients!$BU$8:$BU$228)+(IF($A$7=Nutrients!$B$8,Nutrients!$BU$8,Nutrients!$BU$9)*E$7)+(((IF($A$8=Nutrients!$B$79,Nutrients!$BU$79,(IF($A$8=Nutrients!$B$77,Nutrients!$BU$77,Nutrients!$BU$78)))))*E$8))/2000</f>
        <v>0.61832324439114794</v>
      </c>
      <c r="F308" s="23">
        <f>(SUMPRODUCT(F$9:F$229,Nutrients!$BU$8:$BU$228)+(IF($A$7=Nutrients!$B$8,Nutrients!$BU$8,Nutrients!$BU$9)*F$7)+(((IF($A$8=Nutrients!$B$79,Nutrients!$BU$79,(IF($A$8=Nutrients!$B$77,Nutrients!$BU$77,Nutrients!$BU$78)))))*F$8))/2000</f>
        <v>0.5641190327748159</v>
      </c>
      <c r="G308" s="23">
        <f>(SUMPRODUCT(G$9:G$229,Nutrients!$BU$8:$BU$228)+(IF($A$7=Nutrients!$B$8,Nutrients!$BU$8,Nutrients!$BU$9)*G$7)+(((IF($A$8=Nutrients!$B$79,Nutrients!$BU$79,(IF($A$8=Nutrients!$B$77,Nutrients!$BU$77,Nutrients!$BU$78)))))*G$8))/2000</f>
        <v>0.53408892433970367</v>
      </c>
      <c r="H308" s="227"/>
      <c r="I308" s="23">
        <f>(SUMPRODUCT(I$9:I$229,Nutrients!$BU$8:$BU$228)+(IF($A$7=Nutrients!$B$8,Nutrients!$BU$8,Nutrients!$BU$9)*I$7)+(((IF($A$8=Nutrients!$B$79,Nutrients!$BU$79,(IF($A$8=Nutrients!$B$77,Nutrients!$BU$77,Nutrients!$BU$78)))))*I$8))/2000</f>
        <v>0.82643545418371034</v>
      </c>
      <c r="J308" s="23">
        <f>(SUMPRODUCT(J$9:J$229,Nutrients!$BU$8:$BU$228)+(IF($A$7=Nutrients!$B$8,Nutrients!$BU$8,Nutrients!$BU$9)*J$7)+(((IF($A$8=Nutrients!$B$79,Nutrients!$BU$79,(IF($A$8=Nutrients!$B$77,Nutrients!$BU$77,Nutrients!$BU$78)))))*J$8))/2000</f>
        <v>0.74997639390212012</v>
      </c>
      <c r="K308" s="23">
        <f>(SUMPRODUCT(K$9:K$229,Nutrients!$BU$8:$BU$228)+(IF($A$7=Nutrients!$B$8,Nutrients!$BU$8,Nutrients!$BU$9)*K$7)+(((IF($A$8=Nutrients!$B$79,Nutrients!$BU$79,(IF($A$8=Nutrients!$B$77,Nutrients!$BU$77,Nutrients!$BU$78)))))*K$8))/2000</f>
        <v>0.68577047477827435</v>
      </c>
      <c r="L308" s="23">
        <f>(SUMPRODUCT(L$9:L$229,Nutrients!$BU$8:$BU$228)+(IF($A$7=Nutrients!$B$8,Nutrients!$BU$8,Nutrients!$BU$9)*L$7)+(((IF($A$8=Nutrients!$B$79,Nutrients!$BU$79,(IF($A$8=Nutrients!$B$77,Nutrients!$BU$77,Nutrients!$BU$78)))))*L$8))/2000</f>
        <v>0.62173693059971857</v>
      </c>
      <c r="M308" s="23">
        <f>(SUMPRODUCT(M$9:M$229,Nutrients!$BU$8:$BU$228)+(IF($A$7=Nutrients!$B$8,Nutrients!$BU$8,Nutrients!$BU$9)*M$7)+(((IF($A$8=Nutrients!$B$79,Nutrients!$BU$79,(IF($A$8=Nutrients!$B$77,Nutrients!$BU$77,Nutrients!$BU$78)))))*M$8))/2000</f>
        <v>0.56753358137533527</v>
      </c>
      <c r="N308" s="23">
        <f>(SUMPRODUCT(N$9:N$229,Nutrients!$BU$8:$BU$228)+(IF($A$7=Nutrients!$B$8,Nutrients!$BU$8,Nutrients!$BU$9)*N$7)+(((IF($A$8=Nutrients!$B$79,Nutrients!$BU$79,(IF($A$8=Nutrients!$B$77,Nutrients!$BU$77,Nutrients!$BU$78)))))*N$8))/2000</f>
        <v>0.53408892433970367</v>
      </c>
      <c r="O308" s="198"/>
      <c r="P308" s="23">
        <f>(SUMPRODUCT(P$9:P$229,Nutrients!$BU$8:$BU$228)+(IF($A$7=Nutrients!$B$8,Nutrients!$BU$8,Nutrients!$BU$9)*P$7)+(((IF($A$8=Nutrients!$B$79,Nutrients!$BU$79,(IF($A$8=Nutrients!$B$77,Nutrients!$BU$77,Nutrients!$BU$78)))))*P$8))/2000</f>
        <v>0.82985662849872444</v>
      </c>
      <c r="Q308" s="23">
        <f>(SUMPRODUCT(Q$9:Q$229,Nutrients!$BU$8:$BU$228)+(IF($A$7=Nutrients!$B$8,Nutrients!$BU$8,Nutrients!$BU$9)*Q$7)+(((IF($A$8=Nutrients!$B$79,Nutrients!$BU$79,(IF($A$8=Nutrients!$B$77,Nutrients!$BU$77,Nutrients!$BU$78)))))*Q$8))/2000</f>
        <v>0.75339110772031248</v>
      </c>
      <c r="R308" s="23">
        <f>(SUMPRODUCT(R$9:R$229,Nutrients!$BU$8:$BU$228)+(IF($A$7=Nutrients!$B$8,Nutrients!$BU$8,Nutrients!$BU$9)*R$7)+(((IF($A$8=Nutrients!$B$79,Nutrients!$BU$79,(IF($A$8=Nutrients!$B$77,Nutrients!$BU$77,Nutrients!$BU$78)))))*R$8))/2000</f>
        <v>0.68917750624103402</v>
      </c>
      <c r="S308" s="23">
        <f>(SUMPRODUCT(S$9:S$229,Nutrients!$BU$8:$BU$228)+(IF($A$7=Nutrients!$B$8,Nutrients!$BU$8,Nutrients!$BU$9)*S$7)+(((IF($A$8=Nutrients!$B$79,Nutrients!$BU$79,(IF($A$8=Nutrients!$B$77,Nutrients!$BU$77,Nutrients!$BU$78)))))*S$8))/2000</f>
        <v>0.62514592948589665</v>
      </c>
      <c r="T308" s="23">
        <f>(SUMPRODUCT(T$9:T$229,Nutrients!$BU$8:$BU$228)+(IF($A$7=Nutrients!$B$8,Nutrients!$BU$8,Nutrients!$BU$9)*T$7)+(((IF($A$8=Nutrients!$B$79,Nutrients!$BU$79,(IF($A$8=Nutrients!$B$77,Nutrients!$BU$77,Nutrients!$BU$78)))))*T$8))/2000</f>
        <v>0.57094704414072717</v>
      </c>
      <c r="U308" s="23">
        <f>(SUMPRODUCT(U$9:U$229,Nutrients!$BU$8:$BU$228)+(IF($A$7=Nutrients!$B$8,Nutrients!$BU$8,Nutrients!$BU$9)*U$7)+(((IF($A$8=Nutrients!$B$79,Nutrients!$BU$79,(IF($A$8=Nutrients!$B$77,Nutrients!$BU$77,Nutrients!$BU$78)))))*U$8))/2000</f>
        <v>0.53408892433970367</v>
      </c>
      <c r="W308" s="23">
        <f>(SUMPRODUCT(W$9:W$229,Nutrients!$BU$8:$BU$228)+(IF($A$7=Nutrients!$B$8,Nutrients!$BU$8,Nutrients!$BU$9)*W$7)+(((IF($A$8=Nutrients!$B$79,Nutrients!$BU$79,(IF($A$8=Nutrients!$B$77,Nutrients!$BU$77,Nutrients!$BU$78)))))*W$8))/2000</f>
        <v>0.83327579328001122</v>
      </c>
      <c r="X308" s="23">
        <f>(SUMPRODUCT(X$9:X$229,Nutrients!$BU$8:$BU$228)+(IF($A$7=Nutrients!$B$8,Nutrients!$BU$8,Nutrients!$BU$9)*X$7)+(((IF($A$8=Nutrients!$B$79,Nutrients!$BU$79,(IF($A$8=Nutrients!$B$77,Nutrients!$BU$77,Nutrients!$BU$78)))))*X$8))/2000</f>
        <v>0.75679914633841716</v>
      </c>
      <c r="Y308" s="23">
        <f>(SUMPRODUCT(Y$9:Y$229,Nutrients!$BU$8:$BU$228)+(IF($A$7=Nutrients!$B$8,Nutrients!$BU$8,Nutrients!$BU$9)*Y$7)+(((IF($A$8=Nutrients!$B$79,Nutrients!$BU$79,(IF($A$8=Nutrients!$B$77,Nutrients!$BU$77,Nutrients!$BU$78)))))*Y$8))/2000</f>
        <v>0.69258748242160206</v>
      </c>
      <c r="Z308" s="23">
        <f>(SUMPRODUCT(Z$9:Z$229,Nutrients!$BU$8:$BU$228)+(IF($A$7=Nutrients!$B$8,Nutrients!$BU$8,Nutrients!$BU$9)*Z$7)+(((IF($A$8=Nutrients!$B$79,Nutrients!$BU$79,(IF($A$8=Nutrients!$B$77,Nutrients!$BU$77,Nutrients!$BU$78)))))*Z$8))/2000</f>
        <v>0.62854336579152625</v>
      </c>
      <c r="AA308" s="23">
        <f>(SUMPRODUCT(AA$9:AA$229,Nutrients!$BU$8:$BU$228)+(IF($A$7=Nutrients!$B$8,Nutrients!$BU$8,Nutrients!$BU$9)*AA$7)+(((IF($A$8=Nutrients!$B$79,Nutrients!$BU$79,(IF($A$8=Nutrients!$B$77,Nutrients!$BU$77,Nutrients!$BU$78)))))*AA$8))/2000</f>
        <v>0.57433191192423905</v>
      </c>
      <c r="AB308" s="23">
        <f>(SUMPRODUCT(AB$9:AB$229,Nutrients!$BU$8:$BU$228)+(IF($A$7=Nutrients!$B$8,Nutrients!$BU$8,Nutrients!$BU$9)*AB$7)+(((IF($A$8=Nutrients!$B$79,Nutrients!$BU$79,(IF($A$8=Nutrients!$B$77,Nutrients!$BU$77,Nutrients!$BU$78)))))*AB$8))/2000</f>
        <v>0.53408892433970367</v>
      </c>
      <c r="AD308" s="23">
        <f>(SUMPRODUCT(AD$9:AD$229,Nutrients!$BU$8:$BU$228)+(IF($A$7=Nutrients!$B$8,Nutrients!$BU$8,Nutrients!$BU$9)*AD$7)+(((IF($A$8=Nutrients!$B$79,Nutrients!$BU$79,(IF($A$8=Nutrients!$B$77,Nutrients!$BU$77,Nutrients!$BU$78)))))*AD$8))/2000</f>
        <v>0.83668437571256915</v>
      </c>
      <c r="AE308" s="23">
        <f>(SUMPRODUCT(AE$9:AE$229,Nutrients!$BU$8:$BU$228)+(IF($A$7=Nutrients!$B$8,Nutrients!$BU$8,Nutrients!$BU$9)*AE$7)+(((IF($A$8=Nutrients!$B$79,Nutrients!$BU$79,(IF($A$8=Nutrients!$B$77,Nutrients!$BU$77,Nutrients!$BU$78)))))*AE$8))/2000</f>
        <v>0.76021213683425737</v>
      </c>
      <c r="AF308" s="23">
        <f>(SUMPRODUCT(AF$9:AF$229,Nutrients!$BU$8:$BU$228)+(IF($A$7=Nutrients!$B$8,Nutrients!$BU$8,Nutrients!$BU$9)*AF$7)+(((IF($A$8=Nutrients!$B$79,Nutrients!$BU$79,(IF($A$8=Nutrients!$B$77,Nutrients!$BU$77,Nutrients!$BU$78)))))*AF$8))/2000</f>
        <v>0.69598507226377071</v>
      </c>
      <c r="AG308" s="23">
        <f>(SUMPRODUCT(AG$9:AG$229,Nutrients!$BU$8:$BU$228)+(IF($A$7=Nutrients!$B$8,Nutrients!$BU$8,Nutrients!$BU$9)*AG$7)+(((IF($A$8=Nutrients!$B$79,Nutrients!$BU$79,(IF($A$8=Nutrients!$B$77,Nutrients!$BU$77,Nutrients!$BU$78)))))*AG$8))/2000</f>
        <v>0.63193562136936177</v>
      </c>
      <c r="AH308" s="23">
        <f>(SUMPRODUCT(AH$9:AH$229,Nutrients!$BU$8:$BU$228)+(IF($A$7=Nutrients!$B$8,Nutrients!$BU$8,Nutrients!$BU$9)*AH$7)+(((IF($A$8=Nutrients!$B$79,Nutrients!$BU$79,(IF($A$8=Nutrients!$B$77,Nutrients!$BU$77,Nutrients!$BU$78)))))*AH$8))/2000</f>
        <v>0.57761486422952724</v>
      </c>
      <c r="AI308" s="23">
        <f>(SUMPRODUCT(AI$9:AI$229,Nutrients!$BU$8:$BU$228)+(IF($A$7=Nutrients!$B$8,Nutrients!$BU$8,Nutrients!$BU$9)*AI$7)+(((IF($A$8=Nutrients!$B$79,Nutrients!$BU$79,(IF($A$8=Nutrients!$B$77,Nutrients!$BU$77,Nutrients!$BU$78)))))*AI$8))/2000</f>
        <v>0.53408892433970367</v>
      </c>
      <c r="AK308" s="23">
        <f>(SUMPRODUCT(AK$9:AK$229,Nutrients!$BU$8:$BU$228)+(IF($A$7=Nutrients!$B$8,Nutrients!$BU$8,Nutrients!$BU$9)*AK$7)+(((IF($A$8=Nutrients!$B$79,Nutrients!$BU$79,(IF($A$8=Nutrients!$B$77,Nutrients!$BU$77,Nutrients!$BU$78)))))*AK$8))/2000</f>
        <v>0.84009339086122736</v>
      </c>
      <c r="AL308" s="23">
        <f>(SUMPRODUCT(AL$9:AL$229,Nutrients!$BU$8:$BU$228)+(IF($A$7=Nutrients!$B$8,Nutrients!$BU$8,Nutrients!$BU$9)*AL$7)+(((IF($A$8=Nutrients!$B$79,Nutrients!$BU$79,(IF($A$8=Nutrients!$B$77,Nutrients!$BU$77,Nutrients!$BU$78)))))*AL$8))/2000</f>
        <v>0.76361759654515704</v>
      </c>
      <c r="AM308" s="23">
        <f>(SUMPRODUCT(AM$9:AM$229,Nutrients!$BU$8:$BU$228)+(IF($A$7=Nutrients!$B$8,Nutrients!$BU$8,Nutrients!$BU$9)*AM$7)+(((IF($A$8=Nutrients!$B$79,Nutrients!$BU$79,(IF($A$8=Nutrients!$B$77,Nutrients!$BU$77,Nutrients!$BU$78)))))*AM$8))/2000</f>
        <v>0.69939573586144976</v>
      </c>
      <c r="AN308" s="23">
        <f>(SUMPRODUCT(AN$9:AN$229,Nutrients!$BU$8:$BU$228)+(IF($A$7=Nutrients!$B$8,Nutrients!$BU$8,Nutrients!$BU$9)*AN$7)+(((IF($A$8=Nutrients!$B$79,Nutrients!$BU$79,(IF($A$8=Nutrients!$B$77,Nutrients!$BU$77,Nutrients!$BU$78)))))*AN$8))/2000</f>
        <v>0.63523921898508329</v>
      </c>
      <c r="AO308" s="23">
        <f>(SUMPRODUCT(AO$9:AO$229,Nutrients!$BU$8:$BU$228)+(IF($A$7=Nutrients!$B$8,Nutrients!$BU$8,Nutrients!$BU$9)*AO$7)+(((IF($A$8=Nutrients!$B$79,Nutrients!$BU$79,(IF($A$8=Nutrients!$B$77,Nutrients!$BU$77,Nutrients!$BU$78)))))*AO$8))/2000</f>
        <v>0.58086522843701693</v>
      </c>
      <c r="AP308" s="23">
        <f>(SUMPRODUCT(AP$9:AP$229,Nutrients!$BU$8:$BU$228)+(IF($A$7=Nutrients!$B$8,Nutrients!$BU$8,Nutrients!$BU$9)*AP$7)+(((IF($A$8=Nutrients!$B$79,Nutrients!$BU$79,(IF($A$8=Nutrients!$B$77,Nutrients!$BU$77,Nutrients!$BU$78)))))*AP$8))/2000</f>
        <v>0.53408892433970367</v>
      </c>
      <c r="AR308" s="23">
        <f>(SUMPRODUCT(AR$9:AR$229,Nutrients!$BU$8:$BU$228)+(IF($A$7=Nutrients!$B$8,Nutrients!$BU$8,Nutrients!$BU$9)*AR$7)+(((IF($A$8=Nutrients!$B$79,Nutrients!$BU$79,(IF($A$8=Nutrients!$B$77,Nutrients!$BU$77,Nutrients!$BU$78)))))*AR$8))/2000</f>
        <v>0.84348837661662324</v>
      </c>
      <c r="AS308" s="23">
        <f>(SUMPRODUCT(AS$9:AS$229,Nutrients!$BU$8:$BU$228)+(IF($A$7=Nutrients!$B$8,Nutrients!$BU$8,Nutrients!$BU$9)*AS$7)+(((IF($A$8=Nutrients!$B$79,Nutrients!$BU$79,(IF($A$8=Nutrients!$B$77,Nutrients!$BU$77,Nutrients!$BU$78)))))*AS$8))/2000</f>
        <v>0.76702095288683514</v>
      </c>
      <c r="AT308" s="23">
        <f>(SUMPRODUCT(AT$9:AT$229,Nutrients!$BU$8:$BU$228)+(IF($A$7=Nutrients!$B$8,Nutrients!$BU$8,Nutrients!$BU$9)*AT$7)+(((IF($A$8=Nutrients!$B$79,Nutrients!$BU$79,(IF($A$8=Nutrients!$B$77,Nutrients!$BU$77,Nutrients!$BU$78)))))*AT$8))/2000</f>
        <v>0.70277665393936517</v>
      </c>
      <c r="AU308" s="23">
        <f>(SUMPRODUCT(AU$9:AU$229,Nutrients!$BU$8:$BU$228)+(IF($A$7=Nutrients!$B$8,Nutrients!$BU$8,Nutrients!$BU$9)*AU$7)+(((IF($A$8=Nutrients!$B$79,Nutrients!$BU$79,(IF($A$8=Nutrients!$B$77,Nutrients!$BU$77,Nutrients!$BU$78)))))*AU$8))/2000</f>
        <v>0.63849036596848785</v>
      </c>
      <c r="AV308" s="23">
        <f>(SUMPRODUCT(AV$9:AV$229,Nutrients!$BU$8:$BU$228)+(IF($A$7=Nutrients!$B$8,Nutrients!$BU$8,Nutrients!$BU$9)*AV$7)+(((IF($A$8=Nutrients!$B$79,Nutrients!$BU$79,(IF($A$8=Nutrients!$B$77,Nutrients!$BU$77,Nutrients!$BU$78)))))*AV$8))/2000</f>
        <v>0.58411555543013183</v>
      </c>
      <c r="AW308" s="23">
        <f>(SUMPRODUCT(AW$9:AW$229,Nutrients!$BU$8:$BU$228)+(IF($A$7=Nutrients!$B$8,Nutrients!$BU$8,Nutrients!$BU$9)*AW$7)+(((IF($A$8=Nutrients!$B$79,Nutrients!$BU$79,(IF($A$8=Nutrients!$B$77,Nutrients!$BU$77,Nutrients!$BU$78)))))*AW$8))/2000</f>
        <v>0.53408892433970367</v>
      </c>
    </row>
    <row r="309" spans="1:49" x14ac:dyDescent="0.25">
      <c r="A309" t="s">
        <v>42</v>
      </c>
      <c r="B309" s="8">
        <f t="shared" ref="B309:G309" si="195">(B306 * 434.98) + (B308* 255.74) - (B307*282.06)</f>
        <v>190.85683508470862</v>
      </c>
      <c r="C309" s="8">
        <f t="shared" si="195"/>
        <v>172.75687046998428</v>
      </c>
      <c r="D309" s="8">
        <f t="shared" si="195"/>
        <v>157.97167371049909</v>
      </c>
      <c r="E309" s="8">
        <f t="shared" si="195"/>
        <v>141.87849201438749</v>
      </c>
      <c r="F309" s="8">
        <f t="shared" si="195"/>
        <v>127.1843305627486</v>
      </c>
      <c r="G309" s="8">
        <f t="shared" si="195"/>
        <v>119.05581383819251</v>
      </c>
      <c r="H309" s="8"/>
      <c r="I309" s="8">
        <f t="shared" ref="I309:N309" si="196">(I306 * 434.98) + (I308* 255.74) - (I307*282.06)</f>
        <v>191.78451671101925</v>
      </c>
      <c r="J309" s="8">
        <f t="shared" si="196"/>
        <v>173.68513966219621</v>
      </c>
      <c r="K309" s="8">
        <f t="shared" si="196"/>
        <v>158.89365713412019</v>
      </c>
      <c r="L309" s="8">
        <f t="shared" si="196"/>
        <v>142.80256253986681</v>
      </c>
      <c r="M309" s="8">
        <f t="shared" si="196"/>
        <v>128.10896164525849</v>
      </c>
      <c r="N309" s="8">
        <f t="shared" si="196"/>
        <v>119.05581383819251</v>
      </c>
      <c r="O309" s="8"/>
      <c r="P309" s="8">
        <f t="shared" ref="P309:U309" si="197">(P306 * 434.98) + (P308* 255.74) - (P307*282.06)</f>
        <v>192.71015144111513</v>
      </c>
      <c r="Q309" s="8">
        <f t="shared" si="197"/>
        <v>174.60957374441014</v>
      </c>
      <c r="R309" s="8">
        <f t="shared" si="197"/>
        <v>159.81621237221549</v>
      </c>
      <c r="S309" s="8">
        <f t="shared" si="197"/>
        <v>143.72553777170288</v>
      </c>
      <c r="T309" s="8">
        <f t="shared" si="197"/>
        <v>129.03288979923195</v>
      </c>
      <c r="U309" s="8">
        <f t="shared" si="197"/>
        <v>119.05581383819251</v>
      </c>
      <c r="W309" s="8">
        <f t="shared" ref="W309:AB309" si="198">(W306 * 434.98) + (W308* 255.74) - (W307*282.06)</f>
        <v>193.63060889918714</v>
      </c>
      <c r="X309" s="8">
        <f t="shared" si="198"/>
        <v>175.52765605595761</v>
      </c>
      <c r="Y309" s="8">
        <f t="shared" si="198"/>
        <v>160.73470830296625</v>
      </c>
      <c r="Z309" s="8">
        <f t="shared" si="198"/>
        <v>144.64135676522992</v>
      </c>
      <c r="AA309" s="8">
        <f t="shared" si="198"/>
        <v>129.94602574010756</v>
      </c>
      <c r="AB309" s="8">
        <f t="shared" si="198"/>
        <v>119.05581383819251</v>
      </c>
      <c r="AD309" s="8">
        <f t="shared" ref="AD309:AI309" si="199">(AD306 * 434.98) + (AD308* 255.74) - (AD307*282.06)</f>
        <v>194.54880730097955</v>
      </c>
      <c r="AE309" s="8">
        <f t="shared" si="199"/>
        <v>176.44679546463743</v>
      </c>
      <c r="AF309" s="8">
        <f t="shared" si="199"/>
        <v>161.65056007255203</v>
      </c>
      <c r="AG309" s="8">
        <f t="shared" si="199"/>
        <v>145.55651433925618</v>
      </c>
      <c r="AH309" s="8">
        <f t="shared" si="199"/>
        <v>130.89790289592443</v>
      </c>
      <c r="AI309" s="8">
        <f t="shared" si="199"/>
        <v>119.05581383819251</v>
      </c>
      <c r="AK309" s="8">
        <f t="shared" ref="AK309:AP309" si="200">(AK306 * 434.98) + (AK308* 255.74) - (AK307*282.06)</f>
        <v>195.47178600443215</v>
      </c>
      <c r="AL309" s="8">
        <f t="shared" si="200"/>
        <v>177.36901517458108</v>
      </c>
      <c r="AM309" s="8">
        <f t="shared" si="200"/>
        <v>162.57389067700581</v>
      </c>
      <c r="AN309" s="8">
        <f t="shared" si="200"/>
        <v>146.50736189363946</v>
      </c>
      <c r="AO309" s="8">
        <f t="shared" si="200"/>
        <v>131.85653444576417</v>
      </c>
      <c r="AP309" s="8">
        <f t="shared" si="200"/>
        <v>119.05581383819251</v>
      </c>
      <c r="AR309" s="8">
        <f t="shared" ref="AR309:AW309" si="201">(AR306 * 434.98) + (AR308* 255.74) - (AR307*282.06)</f>
        <v>196.39176979723118</v>
      </c>
      <c r="AS309" s="8">
        <f t="shared" si="201"/>
        <v>178.2907858698901</v>
      </c>
      <c r="AT309" s="8">
        <f t="shared" si="201"/>
        <v>163.49426107765993</v>
      </c>
      <c r="AU309" s="8">
        <f t="shared" si="201"/>
        <v>147.46634542652339</v>
      </c>
      <c r="AV309" s="8">
        <f t="shared" si="201"/>
        <v>132.81515933358008</v>
      </c>
      <c r="AW309" s="8">
        <f t="shared" si="201"/>
        <v>119.05581383819251</v>
      </c>
    </row>
    <row r="310" spans="1:49" x14ac:dyDescent="0.25">
      <c r="A310" t="s">
        <v>73</v>
      </c>
      <c r="B310" s="202">
        <f>(SUMPRODUCT(B$9:B$229,Nutrients!$EG$8:$EG$228)+(IF($A$7=Nutrients!$B$8,Nutrients!$EG$8,Nutrients!$EG$9)*B$7)+(((IF($A$8=Nutrients!$B$79,Nutrients!$EG$79,(IF($A$8=Nutrients!$B$77,Nutrients!$EG$77,Nutrients!$EG$78)))))*B$8))/2000</f>
        <v>0.25833959194258826</v>
      </c>
      <c r="C310" s="202">
        <f>(SUMPRODUCT(C$9:C$229,Nutrients!$EG$8:$EG$228)+(IF($A$7=Nutrients!$B$8,Nutrients!$EG$8,Nutrients!$EG$9)*C$7)+(((IF($A$8=Nutrients!$B$79,Nutrients!$EG$79,(IF($A$8=Nutrients!$B$77,Nutrients!$EG$77,Nutrients!$EG$78)))))*C$8))/2000</f>
        <v>0.24779907433968829</v>
      </c>
      <c r="D310" s="202">
        <f>(SUMPRODUCT(D$9:D$229,Nutrients!$EG$8:$EG$228)+(IF($A$7=Nutrients!$B$8,Nutrients!$EG$8,Nutrients!$EG$9)*D$7)+(((IF($A$8=Nutrients!$B$79,Nutrients!$EG$79,(IF($A$8=Nutrients!$B$77,Nutrients!$EG$77,Nutrients!$EG$78)))))*D$8))/2000</f>
        <v>0.23900316211582037</v>
      </c>
      <c r="E310" s="202">
        <f>(SUMPRODUCT(E$9:E$229,Nutrients!$EG$8:$EG$228)+(IF($A$7=Nutrients!$B$8,Nutrients!$EG$8,Nutrients!$EG$9)*E$7)+(((IF($A$8=Nutrients!$B$79,Nutrients!$EG$79,(IF($A$8=Nutrients!$B$77,Nutrients!$EG$77,Nutrients!$EG$78)))))*E$8))/2000</f>
        <v>0.23005692988837381</v>
      </c>
      <c r="F310" s="202">
        <f>(SUMPRODUCT(F$9:F$229,Nutrients!$EG$8:$EG$228)+(IF($A$7=Nutrients!$B$8,Nutrients!$EG$8,Nutrients!$EG$9)*F$7)+(((IF($A$8=Nutrients!$B$79,Nutrients!$EG$79,(IF($A$8=Nutrients!$B$77,Nutrients!$EG$77,Nutrients!$EG$78)))))*F$8))/2000</f>
        <v>0.22240960598768925</v>
      </c>
      <c r="G310" s="202">
        <f>(SUMPRODUCT(G$9:G$229,Nutrients!$EG$8:$EG$228)+(IF($A$7=Nutrients!$B$8,Nutrients!$EG$8,Nutrients!$EG$9)*G$7)+(((IF($A$8=Nutrients!$B$79,Nutrients!$EG$79,(IF($A$8=Nutrients!$B$77,Nutrients!$EG$77,Nutrients!$EG$78)))))*G$8))/2000</f>
        <v>0.21810869862161428</v>
      </c>
      <c r="H310" s="232"/>
      <c r="I310" s="202">
        <f>(SUMPRODUCT(I$9:I$229,Nutrients!$EG$8:$EG$228)+(IF($A$7=Nutrients!$B$8,Nutrients!$EG$8,Nutrients!$EG$9)*I$7)+(((IF($A$8=Nutrients!$B$79,Nutrients!$EG$79,(IF($A$8=Nutrients!$B$77,Nutrients!$EG$77,Nutrients!$EG$78)))))*I$8))/2000</f>
        <v>0.25326105292984608</v>
      </c>
      <c r="J310" s="202">
        <f>(SUMPRODUCT(J$9:J$229,Nutrients!$EG$8:$EG$228)+(IF($A$7=Nutrients!$B$8,Nutrients!$EG$8,Nutrients!$EG$9)*J$7)+(((IF($A$8=Nutrients!$B$79,Nutrients!$EG$79,(IF($A$8=Nutrients!$B$77,Nutrients!$EG$77,Nutrients!$EG$78)))))*J$8))/2000</f>
        <v>0.24269414437588799</v>
      </c>
      <c r="K310" s="202">
        <f>(SUMPRODUCT(K$9:K$229,Nutrients!$EG$8:$EG$228)+(IF($A$7=Nutrients!$B$8,Nutrients!$EG$8,Nutrients!$EG$9)*K$7)+(((IF($A$8=Nutrients!$B$79,Nutrients!$EG$79,(IF($A$8=Nutrients!$B$77,Nutrients!$EG$77,Nutrients!$EG$78)))))*K$8))/2000</f>
        <v>0.23391181291016569</v>
      </c>
      <c r="L310" s="202">
        <f>(SUMPRODUCT(L$9:L$229,Nutrients!$EG$8:$EG$228)+(IF($A$7=Nutrients!$B$8,Nutrients!$EG$8,Nutrients!$EG$9)*L$7)+(((IF($A$8=Nutrients!$B$79,Nutrients!$EG$79,(IF($A$8=Nutrients!$B$77,Nutrients!$EG$77,Nutrients!$EG$78)))))*L$8))/2000</f>
        <v>0.22495415119564377</v>
      </c>
      <c r="M310" s="202">
        <f>(SUMPRODUCT(M$9:M$229,Nutrients!$EG$8:$EG$228)+(IF($A$7=Nutrients!$B$8,Nutrients!$EG$8,Nutrients!$EG$9)*M$7)+(((IF($A$8=Nutrients!$B$79,Nutrients!$EG$79,(IF($A$8=Nutrients!$B$77,Nutrients!$EG$77,Nutrients!$EG$78)))))*M$8))/2000</f>
        <v>0.21730676632939108</v>
      </c>
      <c r="N310" s="202">
        <f>(SUMPRODUCT(N$9:N$229,Nutrients!$EG$8:$EG$228)+(IF($A$7=Nutrients!$B$8,Nutrients!$EG$8,Nutrients!$EG$9)*N$7)+(((IF($A$8=Nutrients!$B$79,Nutrients!$EG$79,(IF($A$8=Nutrients!$B$77,Nutrients!$EG$77,Nutrients!$EG$78)))))*N$8))/2000</f>
        <v>0.21810869862161428</v>
      </c>
      <c r="O310" s="238"/>
      <c r="P310" s="202">
        <f>(SUMPRODUCT(P$9:P$229,Nutrients!$EG$8:$EG$228)+(IF($A$7=Nutrients!$B$8,Nutrients!$EG$8,Nutrients!$EG$9)*P$7)+(((IF($A$8=Nutrients!$B$79,Nutrients!$EG$79,(IF($A$8=Nutrients!$B$77,Nutrients!$EG$77,Nutrients!$EG$78)))))*P$8))/2000</f>
        <v>0.24816558130013566</v>
      </c>
      <c r="Q310" s="202">
        <f>(SUMPRODUCT(Q$9:Q$229,Nutrients!$EG$8:$EG$228)+(IF($A$7=Nutrients!$B$8,Nutrients!$EG$8,Nutrients!$EG$9)*Q$7)+(((IF($A$8=Nutrients!$B$79,Nutrients!$EG$79,(IF($A$8=Nutrients!$B$77,Nutrients!$EG$77,Nutrients!$EG$78)))))*Q$8))/2000</f>
        <v>0.23759201519509052</v>
      </c>
      <c r="R310" s="202">
        <f>(SUMPRODUCT(R$9:R$229,Nutrients!$EG$8:$EG$228)+(IF($A$7=Nutrients!$B$8,Nutrients!$EG$8,Nutrients!$EG$9)*R$7)+(((IF($A$8=Nutrients!$B$79,Nutrients!$EG$79,(IF($A$8=Nutrients!$B$77,Nutrients!$EG$77,Nutrients!$EG$78)))))*R$8))/2000</f>
        <v>0.22880283731511622</v>
      </c>
      <c r="S310" s="202">
        <f>(SUMPRODUCT(S$9:S$229,Nutrients!$EG$8:$EG$228)+(IF($A$7=Nutrients!$B$8,Nutrients!$EG$8,Nutrients!$EG$9)*S$7)+(((IF($A$8=Nutrients!$B$79,Nutrients!$EG$79,(IF($A$8=Nutrients!$B$77,Nutrients!$EG$77,Nutrients!$EG$78)))))*S$8))/2000</f>
        <v>0.2198470740690823</v>
      </c>
      <c r="T310" s="202">
        <f>(SUMPRODUCT(T$9:T$229,Nutrients!$EG$8:$EG$228)+(IF($A$7=Nutrients!$B$8,Nutrients!$EG$8,Nutrients!$EG$9)*T$7)+(((IF($A$8=Nutrients!$B$79,Nutrients!$EG$79,(IF($A$8=Nutrients!$B$77,Nutrients!$EG$77,Nutrients!$EG$78)))))*T$8))/2000</f>
        <v>0.21220399663047596</v>
      </c>
      <c r="U310" s="202">
        <f>(SUMPRODUCT(U$9:U$229,Nutrients!$EG$8:$EG$228)+(IF($A$7=Nutrients!$B$8,Nutrients!$EG$8,Nutrients!$EG$9)*U$7)+(((IF($A$8=Nutrients!$B$79,Nutrients!$EG$79,(IF($A$8=Nutrients!$B$77,Nutrients!$EG$77,Nutrients!$EG$78)))))*U$8))/2000</f>
        <v>0.21810869862161428</v>
      </c>
      <c r="W310" s="202">
        <f>(SUMPRODUCT(W$9:W$229,Nutrients!$EG$8:$EG$228)+(IF($A$7=Nutrients!$B$8,Nutrients!$EG$8,Nutrients!$EG$9)*W$7)+(((IF($A$8=Nutrients!$B$79,Nutrients!$EG$79,(IF($A$8=Nutrients!$B$77,Nutrients!$EG$77,Nutrients!$EG$78)))))*W$8))/2000</f>
        <v>0.24307603338416886</v>
      </c>
      <c r="X310" s="202">
        <f>(SUMPRODUCT(X$9:X$229,Nutrients!$EG$8:$EG$228)+(IF($A$7=Nutrients!$B$8,Nutrients!$EG$8,Nutrients!$EG$9)*X$7)+(((IF($A$8=Nutrients!$B$79,Nutrients!$EG$79,(IF($A$8=Nutrients!$B$77,Nutrients!$EG$77,Nutrients!$EG$78)))))*X$8))/2000</f>
        <v>0.23249173106951992</v>
      </c>
      <c r="Y310" s="202">
        <f>(SUMPRODUCT(Y$9:Y$229,Nutrients!$EG$8:$EG$228)+(IF($A$7=Nutrients!$B$8,Nutrients!$EG$8,Nutrients!$EG$9)*Y$7)+(((IF($A$8=Nutrients!$B$79,Nutrients!$EG$79,(IF($A$8=Nutrients!$B$77,Nutrients!$EG$77,Nutrients!$EG$78)))))*Y$8))/2000</f>
        <v>0.22370442284365594</v>
      </c>
      <c r="Z310" s="202">
        <f>(SUMPRODUCT(Z$9:Z$229,Nutrients!$EG$8:$EG$228)+(IF($A$7=Nutrients!$B$8,Nutrients!$EG$8,Nutrients!$EG$9)*Z$7)+(((IF($A$8=Nutrients!$B$79,Nutrients!$EG$79,(IF($A$8=Nutrients!$B$77,Nutrients!$EG$77,Nutrients!$EG$78)))))*Z$8))/2000</f>
        <v>0.21473655922451609</v>
      </c>
      <c r="AA310" s="202">
        <f>(SUMPRODUCT(AA$9:AA$229,Nutrients!$EG$8:$EG$228)+(IF($A$7=Nutrients!$B$8,Nutrients!$EG$8,Nutrients!$EG$9)*AA$7)+(((IF($A$8=Nutrients!$B$79,Nutrients!$EG$79,(IF($A$8=Nutrients!$B$77,Nutrients!$EG$77,Nutrients!$EG$78)))))*AA$8))/2000</f>
        <v>0.20708135376966055</v>
      </c>
      <c r="AB310" s="202">
        <f>(SUMPRODUCT(AB$9:AB$229,Nutrients!$EG$8:$EG$228)+(IF($A$7=Nutrients!$B$8,Nutrients!$EG$8,Nutrients!$EG$9)*AB$7)+(((IF($A$8=Nutrients!$B$79,Nutrients!$EG$79,(IF($A$8=Nutrients!$B$77,Nutrients!$EG$77,Nutrients!$EG$78)))))*AB$8))/2000</f>
        <v>0.21810869862161428</v>
      </c>
      <c r="AD310" s="202">
        <f>(SUMPRODUCT(AD$9:AD$229,Nutrients!$EG$8:$EG$228)+(IF($A$7=Nutrients!$B$8,Nutrients!$EG$8,Nutrients!$EG$9)*AD$7)+(((IF($A$8=Nutrients!$B$79,Nutrients!$EG$79,(IF($A$8=Nutrients!$B$77,Nutrients!$EG$77,Nutrients!$EG$78)))))*AD$8))/2000</f>
        <v>0.23797627401325641</v>
      </c>
      <c r="AE310" s="202">
        <f>(SUMPRODUCT(AE$9:AE$229,Nutrients!$EG$8:$EG$228)+(IF($A$7=Nutrients!$B$8,Nutrients!$EG$8,Nutrients!$EG$9)*AE$7)+(((IF($A$8=Nutrients!$B$79,Nutrients!$EG$79,(IF($A$8=Nutrients!$B$77,Nutrients!$EG$77,Nutrients!$EG$78)))))*AE$8))/2000</f>
        <v>0.2273962252665776</v>
      </c>
      <c r="AF310" s="202">
        <f>(SUMPRODUCT(AF$9:AF$229,Nutrients!$EG$8:$EG$228)+(IF($A$7=Nutrients!$B$8,Nutrients!$EG$8,Nutrients!$EG$9)*AF$7)+(((IF($A$8=Nutrients!$B$79,Nutrients!$EG$79,(IF($A$8=Nutrients!$B$77,Nutrients!$EG$77,Nutrients!$EG$78)))))*AF$8))/2000</f>
        <v>0.2185940561544274</v>
      </c>
      <c r="AG310" s="202">
        <f>(SUMPRODUCT(AG$9:AG$229,Nutrients!$EG$8:$EG$228)+(IF($A$7=Nutrients!$B$8,Nutrients!$EG$8,Nutrients!$EG$9)*AG$7)+(((IF($A$8=Nutrients!$B$79,Nutrients!$EG$79,(IF($A$8=Nutrients!$B$77,Nutrients!$EG$77,Nutrients!$EG$78)))))*AG$8))/2000</f>
        <v>0.20961999059716918</v>
      </c>
      <c r="AH310" s="202">
        <f>(SUMPRODUCT(AH$9:AH$229,Nutrients!$EG$8:$EG$228)+(IF($A$7=Nutrients!$B$8,Nutrients!$EG$8,Nutrients!$EG$9)*AH$7)+(((IF($A$8=Nutrients!$B$79,Nutrients!$EG$79,(IF($A$8=Nutrients!$B$77,Nutrients!$EG$77,Nutrients!$EG$78)))))*AH$8))/2000</f>
        <v>0.20175596902328619</v>
      </c>
      <c r="AI310" s="202">
        <f>(SUMPRODUCT(AI$9:AI$229,Nutrients!$EG$8:$EG$228)+(IF($A$7=Nutrients!$B$8,Nutrients!$EG$8,Nutrients!$EG$9)*AI$7)+(((IF($A$8=Nutrients!$B$79,Nutrients!$EG$79,(IF($A$8=Nutrients!$B$77,Nutrients!$EG$77,Nutrients!$EG$78)))))*AI$8))/2000</f>
        <v>0.21810869862161428</v>
      </c>
      <c r="AK310" s="202">
        <f>(SUMPRODUCT(AK$9:AK$229,Nutrients!$EG$8:$EG$228)+(IF($A$7=Nutrients!$B$8,Nutrients!$EG$8,Nutrients!$EG$9)*AK$7)+(((IF($A$8=Nutrients!$B$79,Nutrients!$EG$79,(IF($A$8=Nutrients!$B$77,Nutrients!$EG$77,Nutrients!$EG$78)))))*AK$8))/2000</f>
        <v>0.2328692125792024</v>
      </c>
      <c r="AL310" s="202">
        <f>(SUMPRODUCT(AL$9:AL$229,Nutrients!$EG$8:$EG$228)+(IF($A$7=Nutrients!$B$8,Nutrients!$EG$8,Nutrients!$EG$9)*AL$7)+(((IF($A$8=Nutrients!$B$79,Nutrients!$EG$79,(IF($A$8=Nutrients!$B$77,Nutrients!$EG$77,Nutrients!$EG$78)))))*AL$8))/2000</f>
        <v>0.22228573300696547</v>
      </c>
      <c r="AM310" s="202">
        <f>(SUMPRODUCT(AM$9:AM$229,Nutrients!$EG$8:$EG$228)+(IF($A$7=Nutrients!$B$8,Nutrients!$EG$8,Nutrients!$EG$9)*AM$7)+(((IF($A$8=Nutrients!$B$79,Nutrients!$EG$79,(IF($A$8=Nutrients!$B$77,Nutrients!$EG$77,Nutrients!$EG$78)))))*AM$8))/2000</f>
        <v>0.21348858539398838</v>
      </c>
      <c r="AN310" s="202">
        <f>(SUMPRODUCT(AN$9:AN$229,Nutrients!$EG$8:$EG$228)+(IF($A$7=Nutrients!$B$8,Nutrients!$EG$8,Nutrients!$EG$9)*AN$7)+(((IF($A$8=Nutrients!$B$79,Nutrients!$EG$79,(IF($A$8=Nutrients!$B$77,Nutrients!$EG$77,Nutrients!$EG$78)))))*AN$8))/2000</f>
        <v>0.20432448966339445</v>
      </c>
      <c r="AO310" s="202">
        <f>(SUMPRODUCT(AO$9:AO$229,Nutrients!$EG$8:$EG$228)+(IF($A$7=Nutrients!$B$8,Nutrients!$EG$8,Nutrients!$EG$9)*AO$7)+(((IF($A$8=Nutrients!$B$79,Nutrients!$EG$79,(IF($A$8=Nutrients!$B$77,Nutrients!$EG$77,Nutrients!$EG$78)))))*AO$8))/2000</f>
        <v>0.19637511206707833</v>
      </c>
      <c r="AP310" s="202">
        <f>(SUMPRODUCT(AP$9:AP$229,Nutrients!$EG$8:$EG$228)+(IF($A$7=Nutrients!$B$8,Nutrients!$EG$8,Nutrients!$EG$9)*AP$7)+(((IF($A$8=Nutrients!$B$79,Nutrients!$EG$79,(IF($A$8=Nutrients!$B$77,Nutrients!$EG$77,Nutrients!$EG$78)))))*AP$8))/2000</f>
        <v>0.21810869862161428</v>
      </c>
      <c r="AR310" s="202">
        <f>(SUMPRODUCT(AR$9:AR$229,Nutrients!$EG$8:$EG$228)+(IF($A$7=Nutrients!$B$8,Nutrients!$EG$8,Nutrients!$EG$9)*AR$7)+(((IF($A$8=Nutrients!$B$79,Nutrients!$EG$79,(IF($A$8=Nutrients!$B$77,Nutrients!$EG$77,Nutrients!$EG$78)))))*AR$8))/2000</f>
        <v>0.2277486134588666</v>
      </c>
      <c r="AS310" s="202">
        <f>(SUMPRODUCT(AS$9:AS$229,Nutrients!$EG$8:$EG$228)+(IF($A$7=Nutrients!$B$8,Nutrients!$EG$8,Nutrients!$EG$9)*AS$7)+(((IF($A$8=Nutrients!$B$79,Nutrients!$EG$79,(IF($A$8=Nutrients!$B$77,Nutrients!$EG$77,Nutrients!$EG$78)))))*AS$8))/2000</f>
        <v>0.21717321109773655</v>
      </c>
      <c r="AT310" s="202">
        <f>(SUMPRODUCT(AT$9:AT$229,Nutrients!$EG$8:$EG$228)+(IF($A$7=Nutrients!$B$8,Nutrients!$EG$8,Nutrients!$EG$9)*AT$7)+(((IF($A$8=Nutrients!$B$79,Nutrients!$EG$79,(IF($A$8=Nutrients!$B$77,Nutrients!$EG$77,Nutrients!$EG$78)))))*AT$8))/2000</f>
        <v>0.20834849083134596</v>
      </c>
      <c r="AU310" s="202">
        <f>(SUMPRODUCT(AU$9:AU$229,Nutrients!$EG$8:$EG$228)+(IF($A$7=Nutrients!$B$8,Nutrients!$EG$8,Nutrients!$EG$9)*AU$7)+(((IF($A$8=Nutrients!$B$79,Nutrients!$EG$79,(IF($A$8=Nutrients!$B$77,Nutrients!$EG$77,Nutrients!$EG$78)))))*AU$8))/2000</f>
        <v>0.1989439494265669</v>
      </c>
      <c r="AV310" s="202">
        <f>(SUMPRODUCT(AV$9:AV$229,Nutrients!$EG$8:$EG$228)+(IF($A$7=Nutrients!$B$8,Nutrients!$EG$8,Nutrients!$EG$9)*AV$7)+(((IF($A$8=Nutrients!$B$79,Nutrients!$EG$79,(IF($A$8=Nutrients!$B$77,Nutrients!$EG$77,Nutrients!$EG$78)))))*AV$8))/2000</f>
        <v>0.19099421615865023</v>
      </c>
      <c r="AW310" s="202">
        <f>(SUMPRODUCT(AW$9:AW$229,Nutrients!$EG$8:$EG$228)+(IF($A$7=Nutrients!$B$8,Nutrients!$EG$8,Nutrients!$EG$9)*AW$7)+(((IF($A$8=Nutrients!$B$79,Nutrients!$EG$79,(IF($A$8=Nutrients!$B$77,Nutrients!$EG$77,Nutrients!$EG$78)))))*AW$8))/2000</f>
        <v>0.21810869862161428</v>
      </c>
    </row>
    <row r="311" spans="1:49" x14ac:dyDescent="0.25">
      <c r="A311" t="s">
        <v>74</v>
      </c>
      <c r="B311" s="23">
        <f t="shared" ref="B311:G311" si="202">B255-B256</f>
        <v>0.30252335581907996</v>
      </c>
      <c r="C311" s="23">
        <f t="shared" si="202"/>
        <v>0.29036249419994237</v>
      </c>
      <c r="D311" s="23">
        <f t="shared" si="202"/>
        <v>0.2802277845068476</v>
      </c>
      <c r="E311" s="23">
        <f t="shared" si="202"/>
        <v>0.26990911671431012</v>
      </c>
      <c r="F311" s="23">
        <f t="shared" si="202"/>
        <v>0.26108614031234767</v>
      </c>
      <c r="G311" s="23">
        <f t="shared" si="202"/>
        <v>0.25612193787172505</v>
      </c>
      <c r="H311" s="227"/>
      <c r="I311" s="23">
        <f t="shared" ref="I311:N311" si="203">I255-I256</f>
        <v>0.32004710285095983</v>
      </c>
      <c r="J311" s="23">
        <f t="shared" si="203"/>
        <v>0.30785541755343937</v>
      </c>
      <c r="K311" s="23">
        <f t="shared" si="203"/>
        <v>0.29773620706625381</v>
      </c>
      <c r="L311" s="23">
        <f t="shared" si="203"/>
        <v>0.28740432968108326</v>
      </c>
      <c r="M311" s="23">
        <f t="shared" si="203"/>
        <v>0.27858151275027954</v>
      </c>
      <c r="N311" s="23">
        <f t="shared" si="203"/>
        <v>0.25612193787172505</v>
      </c>
      <c r="O311" s="198"/>
      <c r="P311" s="23">
        <f t="shared" ref="P311:U311" si="204">P255-P256</f>
        <v>0.3375509149574466</v>
      </c>
      <c r="Q311" s="23">
        <f t="shared" si="204"/>
        <v>0.3253514853838263</v>
      </c>
      <c r="R311" s="23">
        <f t="shared" si="204"/>
        <v>0.31522405128249059</v>
      </c>
      <c r="S311" s="23">
        <f t="shared" si="204"/>
        <v>0.30489441354325209</v>
      </c>
      <c r="T311" s="23">
        <f t="shared" si="204"/>
        <v>0.29607667813624816</v>
      </c>
      <c r="U311" s="23">
        <f t="shared" si="204"/>
        <v>0.25612193787172505</v>
      </c>
      <c r="W311" s="23">
        <f t="shared" ref="W311:AB311" si="205">W255-W256</f>
        <v>0.35506167823855012</v>
      </c>
      <c r="X311" s="23">
        <f t="shared" si="205"/>
        <v>0.34284958303033264</v>
      </c>
      <c r="Y311" s="23">
        <f t="shared" si="205"/>
        <v>0.33272435458226368</v>
      </c>
      <c r="Z311" s="23">
        <f t="shared" si="205"/>
        <v>0.32238044188846432</v>
      </c>
      <c r="AA311" s="23">
        <f t="shared" si="205"/>
        <v>0.31354839891595376</v>
      </c>
      <c r="AB311" s="23">
        <f t="shared" si="205"/>
        <v>0.25612193787172505</v>
      </c>
      <c r="AD311" s="23">
        <f t="shared" ref="AD311:AI311" si="206">AD255-AD256</f>
        <v>0.37256039494438919</v>
      </c>
      <c r="AE311" s="23">
        <f t="shared" si="206"/>
        <v>0.36035331772106893</v>
      </c>
      <c r="AF311" s="23">
        <f t="shared" si="206"/>
        <v>0.35021055770809595</v>
      </c>
      <c r="AG311" s="23">
        <f t="shared" si="206"/>
        <v>0.339859601748014</v>
      </c>
      <c r="AH311" s="23">
        <f t="shared" si="206"/>
        <v>0.33078498847691662</v>
      </c>
      <c r="AI311" s="23">
        <f t="shared" si="206"/>
        <v>0.25612193787172505</v>
      </c>
      <c r="AK311" s="23">
        <f t="shared" ref="AK311:AP311" si="207">AK255-AK256</f>
        <v>0.39005049731919628</v>
      </c>
      <c r="AL311" s="23">
        <f t="shared" si="207"/>
        <v>0.37783937271002099</v>
      </c>
      <c r="AM311" s="23">
        <f t="shared" si="207"/>
        <v>0.36770253661954999</v>
      </c>
      <c r="AN311" s="23">
        <f t="shared" si="207"/>
        <v>0.35713059085301685</v>
      </c>
      <c r="AO311" s="23">
        <f t="shared" si="207"/>
        <v>0.34795736330740562</v>
      </c>
      <c r="AP311" s="23">
        <f t="shared" si="207"/>
        <v>0.25612193787172505</v>
      </c>
      <c r="AR311" s="23">
        <f t="shared" ref="AR311:AW311" si="208">AR255-AR256</f>
        <v>0.40752462912393583</v>
      </c>
      <c r="AS311" s="23">
        <f t="shared" si="208"/>
        <v>0.39532303329709811</v>
      </c>
      <c r="AT311" s="23">
        <f t="shared" si="208"/>
        <v>0.38515395653035234</v>
      </c>
      <c r="AU311" s="23">
        <f t="shared" si="208"/>
        <v>0.3743034529593538</v>
      </c>
      <c r="AV311" s="23">
        <f t="shared" si="208"/>
        <v>0.36512969297365616</v>
      </c>
      <c r="AW311" s="23">
        <f t="shared" si="208"/>
        <v>0.25612193787172505</v>
      </c>
    </row>
    <row r="312" spans="1:49" x14ac:dyDescent="0.25">
      <c r="A312" s="34" t="s">
        <v>109</v>
      </c>
      <c r="B312" s="45">
        <f t="shared" ref="B312:G312" si="209">B257-B256</f>
        <v>0.11261444047083269</v>
      </c>
      <c r="C312" s="45">
        <f t="shared" si="209"/>
        <v>0.11261444047083263</v>
      </c>
      <c r="D312" s="45">
        <f t="shared" si="209"/>
        <v>0.11261444047083269</v>
      </c>
      <c r="E312" s="45">
        <f t="shared" si="209"/>
        <v>0.11261444047083267</v>
      </c>
      <c r="F312" s="45">
        <f t="shared" si="209"/>
        <v>0.1126144404708327</v>
      </c>
      <c r="G312" s="45">
        <f t="shared" si="209"/>
        <v>0.11261444047083267</v>
      </c>
      <c r="H312" s="233"/>
      <c r="I312" s="45">
        <f t="shared" ref="I312:N312" si="210">I257-I256</f>
        <v>0.11261444047083269</v>
      </c>
      <c r="J312" s="45">
        <f t="shared" si="210"/>
        <v>0.11261444047083272</v>
      </c>
      <c r="K312" s="45">
        <f t="shared" si="210"/>
        <v>0.11261444047083269</v>
      </c>
      <c r="L312" s="45">
        <f t="shared" si="210"/>
        <v>0.11261444047083269</v>
      </c>
      <c r="M312" s="45">
        <f t="shared" si="210"/>
        <v>0.11261444047083269</v>
      </c>
      <c r="N312" s="45">
        <f t="shared" si="210"/>
        <v>0.11261444047083267</v>
      </c>
      <c r="O312" s="239"/>
      <c r="P312" s="45">
        <f t="shared" ref="P312:U312" si="211">P257-P256</f>
        <v>0.11261444047083272</v>
      </c>
      <c r="Q312" s="45">
        <f t="shared" si="211"/>
        <v>0.11261444047083272</v>
      </c>
      <c r="R312" s="45">
        <f t="shared" si="211"/>
        <v>0.1126144404708327</v>
      </c>
      <c r="S312" s="45">
        <f t="shared" si="211"/>
        <v>0.1126144404708327</v>
      </c>
      <c r="T312" s="45">
        <f t="shared" si="211"/>
        <v>0.11261444047083269</v>
      </c>
      <c r="U312" s="45">
        <f t="shared" si="211"/>
        <v>0.11261444047083267</v>
      </c>
      <c r="W312" s="45">
        <f t="shared" ref="W312:AB312" si="212">W257-W256</f>
        <v>0.11261444047083263</v>
      </c>
      <c r="X312" s="45">
        <f t="shared" si="212"/>
        <v>0.11261444047083269</v>
      </c>
      <c r="Y312" s="45">
        <f t="shared" si="212"/>
        <v>0.1126144404708327</v>
      </c>
      <c r="Z312" s="45">
        <f t="shared" si="212"/>
        <v>0.11261444047083267</v>
      </c>
      <c r="AA312" s="45">
        <f t="shared" si="212"/>
        <v>0.11261444047083269</v>
      </c>
      <c r="AB312" s="45">
        <f t="shared" si="212"/>
        <v>0.11261444047083267</v>
      </c>
      <c r="AD312" s="45">
        <f t="shared" ref="AD312:AI312" si="213">AD257-AD256</f>
        <v>0.11261444047083272</v>
      </c>
      <c r="AE312" s="45">
        <f t="shared" si="213"/>
        <v>0.11261444047083267</v>
      </c>
      <c r="AF312" s="45">
        <f t="shared" si="213"/>
        <v>0.11261444047083269</v>
      </c>
      <c r="AG312" s="45">
        <f t="shared" si="213"/>
        <v>0.11261444047083266</v>
      </c>
      <c r="AH312" s="45">
        <f t="shared" si="213"/>
        <v>0.11261444047083269</v>
      </c>
      <c r="AI312" s="45">
        <f t="shared" si="213"/>
        <v>0.11261444047083267</v>
      </c>
      <c r="AK312" s="45">
        <f t="shared" ref="AK312:AP312" si="214">AK257-AK256</f>
        <v>0.11261444047083266</v>
      </c>
      <c r="AL312" s="45">
        <f t="shared" si="214"/>
        <v>0.1126144404708327</v>
      </c>
      <c r="AM312" s="45">
        <f t="shared" si="214"/>
        <v>0.11261444047083266</v>
      </c>
      <c r="AN312" s="45">
        <f t="shared" si="214"/>
        <v>0.1126144404708327</v>
      </c>
      <c r="AO312" s="45">
        <f t="shared" si="214"/>
        <v>0.11261444047083267</v>
      </c>
      <c r="AP312" s="45">
        <f t="shared" si="214"/>
        <v>0.11261444047083267</v>
      </c>
      <c r="AR312" s="45">
        <f t="shared" ref="AR312:AW312" si="215">AR257-AR256</f>
        <v>0.11261444047083269</v>
      </c>
      <c r="AS312" s="45">
        <f t="shared" si="215"/>
        <v>0.11261444047083267</v>
      </c>
      <c r="AT312" s="45">
        <f t="shared" si="215"/>
        <v>0.11261444047083266</v>
      </c>
      <c r="AU312" s="45">
        <f t="shared" si="215"/>
        <v>0.1126144404708327</v>
      </c>
      <c r="AV312" s="45">
        <f t="shared" si="215"/>
        <v>0.1126144404708327</v>
      </c>
      <c r="AW312" s="45">
        <f t="shared" si="215"/>
        <v>0.11261444047083267</v>
      </c>
    </row>
    <row r="313" spans="1:49" x14ac:dyDescent="0.25">
      <c r="A313" s="44" t="s">
        <v>110</v>
      </c>
      <c r="B313" s="46">
        <f t="shared" ref="B313:G313" si="216">B312/B310</f>
        <v>0.43591630544906723</v>
      </c>
      <c r="C313" s="46">
        <f t="shared" si="216"/>
        <v>0.45445868097335318</v>
      </c>
      <c r="D313" s="46">
        <f t="shared" si="216"/>
        <v>0.47118389344263151</v>
      </c>
      <c r="E313" s="46">
        <f t="shared" si="216"/>
        <v>0.4895068387006401</v>
      </c>
      <c r="F313" s="46">
        <f t="shared" si="216"/>
        <v>0.50633802425362018</v>
      </c>
      <c r="G313" s="46">
        <f t="shared" si="216"/>
        <v>0.51632255468270782</v>
      </c>
      <c r="H313" s="46"/>
      <c r="I313" s="46">
        <f t="shared" ref="I313:N313" si="217">I312/I310</f>
        <v>0.44465755459852391</v>
      </c>
      <c r="J313" s="46">
        <f t="shared" si="217"/>
        <v>0.46401795461704237</v>
      </c>
      <c r="K313" s="46">
        <f t="shared" si="217"/>
        <v>0.48143973179363325</v>
      </c>
      <c r="L313" s="46">
        <f t="shared" si="217"/>
        <v>0.50061063497730851</v>
      </c>
      <c r="M313" s="46">
        <f t="shared" si="217"/>
        <v>0.51822795200096539</v>
      </c>
      <c r="N313" s="46">
        <f t="shared" si="217"/>
        <v>0.51632255468270782</v>
      </c>
      <c r="O313" s="46"/>
      <c r="P313" s="46">
        <f t="shared" ref="P313:U313" si="218">P312/P310</f>
        <v>0.45378750703803239</v>
      </c>
      <c r="Q313" s="46">
        <f t="shared" si="218"/>
        <v>0.47398242899014614</v>
      </c>
      <c r="R313" s="46">
        <f t="shared" si="218"/>
        <v>0.49218987750460319</v>
      </c>
      <c r="S313" s="46">
        <f t="shared" si="218"/>
        <v>0.51223988742031656</v>
      </c>
      <c r="T313" s="46">
        <f t="shared" si="218"/>
        <v>0.5306895358193241</v>
      </c>
      <c r="U313" s="46">
        <f t="shared" si="218"/>
        <v>0.51632255468270782</v>
      </c>
      <c r="W313" s="46">
        <f t="shared" ref="W313:AB313" si="219">W312/W310</f>
        <v>0.46328895079858179</v>
      </c>
      <c r="X313" s="46">
        <f t="shared" si="219"/>
        <v>0.48438041195176357</v>
      </c>
      <c r="Y313" s="46">
        <f t="shared" si="219"/>
        <v>0.50340730433183012</v>
      </c>
      <c r="Z313" s="46">
        <f t="shared" si="219"/>
        <v>0.52443068324052611</v>
      </c>
      <c r="AA313" s="46">
        <f t="shared" si="219"/>
        <v>0.54381738587673756</v>
      </c>
      <c r="AB313" s="46">
        <f t="shared" si="219"/>
        <v>0.51632255468270782</v>
      </c>
      <c r="AD313" s="46">
        <f t="shared" ref="AD313:AI313" si="220">AD312/AD310</f>
        <v>0.4732170924928405</v>
      </c>
      <c r="AE313" s="46">
        <f t="shared" si="220"/>
        <v>0.49523443205274964</v>
      </c>
      <c r="AF313" s="46">
        <f t="shared" si="220"/>
        <v>0.51517613265419893</v>
      </c>
      <c r="AG313" s="46">
        <f t="shared" si="220"/>
        <v>0.53723139739685433</v>
      </c>
      <c r="AH313" s="46">
        <f t="shared" si="220"/>
        <v>0.55817154266119884</v>
      </c>
      <c r="AI313" s="46">
        <f t="shared" si="220"/>
        <v>0.51632255468270782</v>
      </c>
      <c r="AK313" s="46">
        <f t="shared" ref="AK313:AP313" si="221">AK312/AK310</f>
        <v>0.48359523023049156</v>
      </c>
      <c r="AL313" s="46">
        <f t="shared" si="221"/>
        <v>0.5066201908122635</v>
      </c>
      <c r="AM313" s="46">
        <f t="shared" si="221"/>
        <v>0.52749630741617992</v>
      </c>
      <c r="AN313" s="46">
        <f t="shared" si="221"/>
        <v>0.55115488435260251</v>
      </c>
      <c r="AO313" s="46">
        <f t="shared" si="221"/>
        <v>0.57346595138983569</v>
      </c>
      <c r="AP313" s="46">
        <f t="shared" si="221"/>
        <v>0.51632255468270782</v>
      </c>
      <c r="AR313" s="46">
        <f t="shared" ref="AR313:AW313" si="222">AR312/AR310</f>
        <v>0.49446817155342132</v>
      </c>
      <c r="AS313" s="46">
        <f t="shared" si="222"/>
        <v>0.51854664717441468</v>
      </c>
      <c r="AT313" s="46">
        <f t="shared" si="222"/>
        <v>0.54050998892039903</v>
      </c>
      <c r="AU313" s="46">
        <f t="shared" si="222"/>
        <v>0.56606114835576005</v>
      </c>
      <c r="AV313" s="46">
        <f t="shared" si="222"/>
        <v>0.58962225524823741</v>
      </c>
      <c r="AW313" s="46">
        <f t="shared" si="222"/>
        <v>0.51632255468270782</v>
      </c>
    </row>
    <row r="314" spans="1:49" x14ac:dyDescent="0.25">
      <c r="A314" s="34" t="s">
        <v>359</v>
      </c>
      <c r="B314" s="21">
        <f>((SUMPRODUCT(B$9:B$229,Nutrients!$EE$8:$EE$228)+(IF($A$7=Nutrients!$B$8,Nutrients!$EE$8,Nutrients!$EE$9)*B$7)+(((IF($A$8=Nutrients!$B$79,Nutrients!$EE$79,(IF($A$8=Nutrients!$B$77,Nutrients!$EE$77,Nutrients!$EE$78)))))*B$8))/2000)*2.2046</f>
        <v>608.03970300000003</v>
      </c>
      <c r="C314" s="21">
        <f>((SUMPRODUCT(C$9:C$229,Nutrients!$EE$8:$EE$228)+(IF($A$7=Nutrients!$B$8,Nutrients!$EE$8,Nutrients!$EE$9)*C$7)+(((IF($A$8=Nutrients!$B$79,Nutrients!$EE$79,(IF($A$8=Nutrients!$B$77,Nutrients!$EE$77,Nutrients!$EE$78)))))*C$8))/2000)*2.2046</f>
        <v>608.03970300000003</v>
      </c>
      <c r="D314" s="21">
        <f>((SUMPRODUCT(D$9:D$229,Nutrients!$EE$8:$EE$228)+(IF($A$7=Nutrients!$B$8,Nutrients!$EE$8,Nutrients!$EE$9)*D$7)+(((IF($A$8=Nutrients!$B$79,Nutrients!$EE$79,(IF($A$8=Nutrients!$B$77,Nutrients!$EE$77,Nutrients!$EE$78)))))*D$8))/2000)*2.2046</f>
        <v>608.03970300000003</v>
      </c>
      <c r="E314" s="21">
        <f>((SUMPRODUCT(E$9:E$229,Nutrients!$EE$8:$EE$228)+(IF($A$7=Nutrients!$B$8,Nutrients!$EE$8,Nutrients!$EE$9)*E$7)+(((IF($A$8=Nutrients!$B$79,Nutrients!$EE$79,(IF($A$8=Nutrients!$B$77,Nutrients!$EE$77,Nutrients!$EE$78)))))*E$8))/2000)*2.2046</f>
        <v>608.03970300000003</v>
      </c>
      <c r="F314" s="21">
        <f>((SUMPRODUCT(F$9:F$229,Nutrients!$EE$8:$EE$228)+(IF($A$7=Nutrients!$B$8,Nutrients!$EE$8,Nutrients!$EE$9)*F$7)+(((IF($A$8=Nutrients!$B$79,Nutrients!$EE$79,(IF($A$8=Nutrients!$B$77,Nutrients!$EE$77,Nutrients!$EE$78)))))*F$8))/2000)*2.2046</f>
        <v>608.03970300000003</v>
      </c>
      <c r="G314" s="21">
        <f>((SUMPRODUCT(G$9:G$229,Nutrients!$EE$8:$EE$228)+(IF($A$7=Nutrients!$B$8,Nutrients!$EE$8,Nutrients!$EE$9)*G$7)+(((IF($A$8=Nutrients!$B$79,Nutrients!$EE$79,(IF($A$8=Nutrients!$B$77,Nutrients!$EE$77,Nutrients!$EE$78)))))*G$8))/2000)*2.2046</f>
        <v>608.03970300000003</v>
      </c>
      <c r="H314" s="226"/>
      <c r="I314" s="21">
        <f>((SUMPRODUCT(I$9:I$229,Nutrients!$EE$8:$EE$228)+(IF($A$7=Nutrients!$B$8,Nutrients!$EE$8,Nutrients!$EE$9)*I$7)+(((IF($A$8=Nutrients!$B$79,Nutrients!$EE$79,(IF($A$8=Nutrients!$B$77,Nutrients!$EE$77,Nutrients!$EE$78)))))*I$8))/2000)*2.2046</f>
        <v>608.03970300000003</v>
      </c>
      <c r="J314" s="21">
        <f>((SUMPRODUCT(J$9:J$229,Nutrients!$EE$8:$EE$228)+(IF($A$7=Nutrients!$B$8,Nutrients!$EE$8,Nutrients!$EE$9)*J$7)+(((IF($A$8=Nutrients!$B$79,Nutrients!$EE$79,(IF($A$8=Nutrients!$B$77,Nutrients!$EE$77,Nutrients!$EE$78)))))*J$8))/2000)*2.2046</f>
        <v>608.03970300000003</v>
      </c>
      <c r="K314" s="21">
        <f>((SUMPRODUCT(K$9:K$229,Nutrients!$EE$8:$EE$228)+(IF($A$7=Nutrients!$B$8,Nutrients!$EE$8,Nutrients!$EE$9)*K$7)+(((IF($A$8=Nutrients!$B$79,Nutrients!$EE$79,(IF($A$8=Nutrients!$B$77,Nutrients!$EE$77,Nutrients!$EE$78)))))*K$8))/2000)*2.2046</f>
        <v>608.03970300000003</v>
      </c>
      <c r="L314" s="21">
        <f>((SUMPRODUCT(L$9:L$229,Nutrients!$EE$8:$EE$228)+(IF($A$7=Nutrients!$B$8,Nutrients!$EE$8,Nutrients!$EE$9)*L$7)+(((IF($A$8=Nutrients!$B$79,Nutrients!$EE$79,(IF($A$8=Nutrients!$B$77,Nutrients!$EE$77,Nutrients!$EE$78)))))*L$8))/2000)*2.2046</f>
        <v>608.03970300000003</v>
      </c>
      <c r="M314" s="21">
        <f>((SUMPRODUCT(M$9:M$229,Nutrients!$EE$8:$EE$228)+(IF($A$7=Nutrients!$B$8,Nutrients!$EE$8,Nutrients!$EE$9)*M$7)+(((IF($A$8=Nutrients!$B$79,Nutrients!$EE$79,(IF($A$8=Nutrients!$B$77,Nutrients!$EE$77,Nutrients!$EE$78)))))*M$8))/2000)*2.2046</f>
        <v>608.03970300000003</v>
      </c>
      <c r="N314" s="21">
        <f>((SUMPRODUCT(N$9:N$229,Nutrients!$EE$8:$EE$228)+(IF($A$7=Nutrients!$B$8,Nutrients!$EE$8,Nutrients!$EE$9)*N$7)+(((IF($A$8=Nutrients!$B$79,Nutrients!$EE$79,(IF($A$8=Nutrients!$B$77,Nutrients!$EE$77,Nutrients!$EE$78)))))*N$8))/2000)*2.2046</f>
        <v>608.03970300000003</v>
      </c>
      <c r="O314" s="234"/>
      <c r="P314" s="21">
        <f>((SUMPRODUCT(P$9:P$229,Nutrients!$EE$8:$EE$228)+(IF($A$7=Nutrients!$B$8,Nutrients!$EE$8,Nutrients!$EE$9)*P$7)+(((IF($A$8=Nutrients!$B$79,Nutrients!$EE$79,(IF($A$8=Nutrients!$B$77,Nutrients!$EE$77,Nutrients!$EE$78)))))*P$8))/2000)*2.2046</f>
        <v>608.03970300000003</v>
      </c>
      <c r="Q314" s="21">
        <f>((SUMPRODUCT(Q$9:Q$229,Nutrients!$EE$8:$EE$228)+(IF($A$7=Nutrients!$B$8,Nutrients!$EE$8,Nutrients!$EE$9)*Q$7)+(((IF($A$8=Nutrients!$B$79,Nutrients!$EE$79,(IF($A$8=Nutrients!$B$77,Nutrients!$EE$77,Nutrients!$EE$78)))))*Q$8))/2000)*2.2046</f>
        <v>608.03970300000003</v>
      </c>
      <c r="R314" s="21">
        <f>((SUMPRODUCT(R$9:R$229,Nutrients!$EE$8:$EE$228)+(IF($A$7=Nutrients!$B$8,Nutrients!$EE$8,Nutrients!$EE$9)*R$7)+(((IF($A$8=Nutrients!$B$79,Nutrients!$EE$79,(IF($A$8=Nutrients!$B$77,Nutrients!$EE$77,Nutrients!$EE$78)))))*R$8))/2000)*2.2046</f>
        <v>608.03970300000003</v>
      </c>
      <c r="S314" s="21">
        <f>((SUMPRODUCT(S$9:S$229,Nutrients!$EE$8:$EE$228)+(IF($A$7=Nutrients!$B$8,Nutrients!$EE$8,Nutrients!$EE$9)*S$7)+(((IF($A$8=Nutrients!$B$79,Nutrients!$EE$79,(IF($A$8=Nutrients!$B$77,Nutrients!$EE$77,Nutrients!$EE$78)))))*S$8))/2000)*2.2046</f>
        <v>608.03970300000003</v>
      </c>
      <c r="T314" s="21">
        <f>((SUMPRODUCT(T$9:T$229,Nutrients!$EE$8:$EE$228)+(IF($A$7=Nutrients!$B$8,Nutrients!$EE$8,Nutrients!$EE$9)*T$7)+(((IF($A$8=Nutrients!$B$79,Nutrients!$EE$79,(IF($A$8=Nutrients!$B$77,Nutrients!$EE$77,Nutrients!$EE$78)))))*T$8))/2000)*2.2046</f>
        <v>608.03970300000003</v>
      </c>
      <c r="U314" s="21">
        <f>((SUMPRODUCT(U$9:U$229,Nutrients!$EE$8:$EE$228)+(IF($A$7=Nutrients!$B$8,Nutrients!$EE$8,Nutrients!$EE$9)*U$7)+(((IF($A$8=Nutrients!$B$79,Nutrients!$EE$79,(IF($A$8=Nutrients!$B$77,Nutrients!$EE$77,Nutrients!$EE$78)))))*U$8))/2000)*2.2046</f>
        <v>608.03970300000003</v>
      </c>
      <c r="W314" s="21">
        <f>((SUMPRODUCT(W$9:W$229,Nutrients!$EE$8:$EE$228)+(IF($A$7=Nutrients!$B$8,Nutrients!$EE$8,Nutrients!$EE$9)*W$7)+(((IF($A$8=Nutrients!$B$79,Nutrients!$EE$79,(IF($A$8=Nutrients!$B$77,Nutrients!$EE$77,Nutrients!$EE$78)))))*W$8))/2000)*2.2046</f>
        <v>608.03970300000003</v>
      </c>
      <c r="X314" s="21">
        <f>((SUMPRODUCT(X$9:X$229,Nutrients!$EE$8:$EE$228)+(IF($A$7=Nutrients!$B$8,Nutrients!$EE$8,Nutrients!$EE$9)*X$7)+(((IF($A$8=Nutrients!$B$79,Nutrients!$EE$79,(IF($A$8=Nutrients!$B$77,Nutrients!$EE$77,Nutrients!$EE$78)))))*X$8))/2000)*2.2046</f>
        <v>608.03970300000003</v>
      </c>
      <c r="Y314" s="21">
        <f>((SUMPRODUCT(Y$9:Y$229,Nutrients!$EE$8:$EE$228)+(IF($A$7=Nutrients!$B$8,Nutrients!$EE$8,Nutrients!$EE$9)*Y$7)+(((IF($A$8=Nutrients!$B$79,Nutrients!$EE$79,(IF($A$8=Nutrients!$B$77,Nutrients!$EE$77,Nutrients!$EE$78)))))*Y$8))/2000)*2.2046</f>
        <v>608.03970300000003</v>
      </c>
      <c r="Z314" s="21">
        <f>((SUMPRODUCT(Z$9:Z$229,Nutrients!$EE$8:$EE$228)+(IF($A$7=Nutrients!$B$8,Nutrients!$EE$8,Nutrients!$EE$9)*Z$7)+(((IF($A$8=Nutrients!$B$79,Nutrients!$EE$79,(IF($A$8=Nutrients!$B$77,Nutrients!$EE$77,Nutrients!$EE$78)))))*Z$8))/2000)*2.2046</f>
        <v>608.03970300000003</v>
      </c>
      <c r="AA314" s="21">
        <f>((SUMPRODUCT(AA$9:AA$229,Nutrients!$EE$8:$EE$228)+(IF($A$7=Nutrients!$B$8,Nutrients!$EE$8,Nutrients!$EE$9)*AA$7)+(((IF($A$8=Nutrients!$B$79,Nutrients!$EE$79,(IF($A$8=Nutrients!$B$77,Nutrients!$EE$77,Nutrients!$EE$78)))))*AA$8))/2000)*2.2046</f>
        <v>608.03970300000003</v>
      </c>
      <c r="AB314" s="21">
        <f>((SUMPRODUCT(AB$9:AB$229,Nutrients!$EE$8:$EE$228)+(IF($A$7=Nutrients!$B$8,Nutrients!$EE$8,Nutrients!$EE$9)*AB$7)+(((IF($A$8=Nutrients!$B$79,Nutrients!$EE$79,(IF($A$8=Nutrients!$B$77,Nutrients!$EE$77,Nutrients!$EE$78)))))*AB$8))/2000)*2.2046</f>
        <v>608.03970300000003</v>
      </c>
      <c r="AD314" s="21">
        <f>((SUMPRODUCT(AD$9:AD$229,Nutrients!$EE$8:$EE$228)+(IF($A$7=Nutrients!$B$8,Nutrients!$EE$8,Nutrients!$EE$9)*AD$7)+(((IF($A$8=Nutrients!$B$79,Nutrients!$EE$79,(IF($A$8=Nutrients!$B$77,Nutrients!$EE$77,Nutrients!$EE$78)))))*AD$8))/2000)*2.2046</f>
        <v>608.03970300000003</v>
      </c>
      <c r="AE314" s="21">
        <f>((SUMPRODUCT(AE$9:AE$229,Nutrients!$EE$8:$EE$228)+(IF($A$7=Nutrients!$B$8,Nutrients!$EE$8,Nutrients!$EE$9)*AE$7)+(((IF($A$8=Nutrients!$B$79,Nutrients!$EE$79,(IF($A$8=Nutrients!$B$77,Nutrients!$EE$77,Nutrients!$EE$78)))))*AE$8))/2000)*2.2046</f>
        <v>608.03970300000003</v>
      </c>
      <c r="AF314" s="21">
        <f>((SUMPRODUCT(AF$9:AF$229,Nutrients!$EE$8:$EE$228)+(IF($A$7=Nutrients!$B$8,Nutrients!$EE$8,Nutrients!$EE$9)*AF$7)+(((IF($A$8=Nutrients!$B$79,Nutrients!$EE$79,(IF($A$8=Nutrients!$B$77,Nutrients!$EE$77,Nutrients!$EE$78)))))*AF$8))/2000)*2.2046</f>
        <v>608.03970300000003</v>
      </c>
      <c r="AG314" s="21">
        <f>((SUMPRODUCT(AG$9:AG$229,Nutrients!$EE$8:$EE$228)+(IF($A$7=Nutrients!$B$8,Nutrients!$EE$8,Nutrients!$EE$9)*AG$7)+(((IF($A$8=Nutrients!$B$79,Nutrients!$EE$79,(IF($A$8=Nutrients!$B$77,Nutrients!$EE$77,Nutrients!$EE$78)))))*AG$8))/2000)*2.2046</f>
        <v>608.03970300000003</v>
      </c>
      <c r="AH314" s="21">
        <f>((SUMPRODUCT(AH$9:AH$229,Nutrients!$EE$8:$EE$228)+(IF($A$7=Nutrients!$B$8,Nutrients!$EE$8,Nutrients!$EE$9)*AH$7)+(((IF($A$8=Nutrients!$B$79,Nutrients!$EE$79,(IF($A$8=Nutrients!$B$77,Nutrients!$EE$77,Nutrients!$EE$78)))))*AH$8))/2000)*2.2046</f>
        <v>608.03970300000003</v>
      </c>
      <c r="AI314" s="21">
        <f>((SUMPRODUCT(AI$9:AI$229,Nutrients!$EE$8:$EE$228)+(IF($A$7=Nutrients!$B$8,Nutrients!$EE$8,Nutrients!$EE$9)*AI$7)+(((IF($A$8=Nutrients!$B$79,Nutrients!$EE$79,(IF($A$8=Nutrients!$B$77,Nutrients!$EE$77,Nutrients!$EE$78)))))*AI$8))/2000)*2.2046</f>
        <v>608.03970300000003</v>
      </c>
      <c r="AK314" s="21">
        <f>((SUMPRODUCT(AK$9:AK$229,Nutrients!$EE$8:$EE$228)+(IF($A$7=Nutrients!$B$8,Nutrients!$EE$8,Nutrients!$EE$9)*AK$7)+(((IF($A$8=Nutrients!$B$79,Nutrients!$EE$79,(IF($A$8=Nutrients!$B$77,Nutrients!$EE$77,Nutrients!$EE$78)))))*AK$8))/2000)*2.2046</f>
        <v>608.03970300000003</v>
      </c>
      <c r="AL314" s="21">
        <f>((SUMPRODUCT(AL$9:AL$229,Nutrients!$EE$8:$EE$228)+(IF($A$7=Nutrients!$B$8,Nutrients!$EE$8,Nutrients!$EE$9)*AL$7)+(((IF($A$8=Nutrients!$B$79,Nutrients!$EE$79,(IF($A$8=Nutrients!$B$77,Nutrients!$EE$77,Nutrients!$EE$78)))))*AL$8))/2000)*2.2046</f>
        <v>608.03970300000003</v>
      </c>
      <c r="AM314" s="21">
        <f>((SUMPRODUCT(AM$9:AM$229,Nutrients!$EE$8:$EE$228)+(IF($A$7=Nutrients!$B$8,Nutrients!$EE$8,Nutrients!$EE$9)*AM$7)+(((IF($A$8=Nutrients!$B$79,Nutrients!$EE$79,(IF($A$8=Nutrients!$B$77,Nutrients!$EE$77,Nutrients!$EE$78)))))*AM$8))/2000)*2.2046</f>
        <v>608.03970300000003</v>
      </c>
      <c r="AN314" s="21">
        <f>((SUMPRODUCT(AN$9:AN$229,Nutrients!$EE$8:$EE$228)+(IF($A$7=Nutrients!$B$8,Nutrients!$EE$8,Nutrients!$EE$9)*AN$7)+(((IF($A$8=Nutrients!$B$79,Nutrients!$EE$79,(IF($A$8=Nutrients!$B$77,Nutrients!$EE$77,Nutrients!$EE$78)))))*AN$8))/2000)*2.2046</f>
        <v>608.03970300000003</v>
      </c>
      <c r="AO314" s="21">
        <f>((SUMPRODUCT(AO$9:AO$229,Nutrients!$EE$8:$EE$228)+(IF($A$7=Nutrients!$B$8,Nutrients!$EE$8,Nutrients!$EE$9)*AO$7)+(((IF($A$8=Nutrients!$B$79,Nutrients!$EE$79,(IF($A$8=Nutrients!$B$77,Nutrients!$EE$77,Nutrients!$EE$78)))))*AO$8))/2000)*2.2046</f>
        <v>608.03970300000003</v>
      </c>
      <c r="AP314" s="21">
        <f>((SUMPRODUCT(AP$9:AP$229,Nutrients!$EE$8:$EE$228)+(IF($A$7=Nutrients!$B$8,Nutrients!$EE$8,Nutrients!$EE$9)*AP$7)+(((IF($A$8=Nutrients!$B$79,Nutrients!$EE$79,(IF($A$8=Nutrients!$B$77,Nutrients!$EE$77,Nutrients!$EE$78)))))*AP$8))/2000)*2.2046</f>
        <v>608.03970300000003</v>
      </c>
      <c r="AR314" s="21">
        <f>((SUMPRODUCT(AR$9:AR$229,Nutrients!$EE$8:$EE$228)+(IF($A$7=Nutrients!$B$8,Nutrients!$EE$8,Nutrients!$EE$9)*AR$7)+(((IF($A$8=Nutrients!$B$79,Nutrients!$EE$79,(IF($A$8=Nutrients!$B$77,Nutrients!$EE$77,Nutrients!$EE$78)))))*AR$8))/2000)*2.2046</f>
        <v>608.03970300000003</v>
      </c>
      <c r="AS314" s="21">
        <f>((SUMPRODUCT(AS$9:AS$229,Nutrients!$EE$8:$EE$228)+(IF($A$7=Nutrients!$B$8,Nutrients!$EE$8,Nutrients!$EE$9)*AS$7)+(((IF($A$8=Nutrients!$B$79,Nutrients!$EE$79,(IF($A$8=Nutrients!$B$77,Nutrients!$EE$77,Nutrients!$EE$78)))))*AS$8))/2000)*2.2046</f>
        <v>608.03970300000003</v>
      </c>
      <c r="AT314" s="21">
        <f>((SUMPRODUCT(AT$9:AT$229,Nutrients!$EE$8:$EE$228)+(IF($A$7=Nutrients!$B$8,Nutrients!$EE$8,Nutrients!$EE$9)*AT$7)+(((IF($A$8=Nutrients!$B$79,Nutrients!$EE$79,(IF($A$8=Nutrients!$B$77,Nutrients!$EE$77,Nutrients!$EE$78)))))*AT$8))/2000)*2.2046</f>
        <v>608.03970300000003</v>
      </c>
      <c r="AU314" s="21">
        <f>((SUMPRODUCT(AU$9:AU$229,Nutrients!$EE$8:$EE$228)+(IF($A$7=Nutrients!$B$8,Nutrients!$EE$8,Nutrients!$EE$9)*AU$7)+(((IF($A$8=Nutrients!$B$79,Nutrients!$EE$79,(IF($A$8=Nutrients!$B$77,Nutrients!$EE$77,Nutrients!$EE$78)))))*AU$8))/2000)*2.2046</f>
        <v>608.03970300000003</v>
      </c>
      <c r="AV314" s="21">
        <f>((SUMPRODUCT(AV$9:AV$229,Nutrients!$EE$8:$EE$228)+(IF($A$7=Nutrients!$B$8,Nutrients!$EE$8,Nutrients!$EE$9)*AV$7)+(((IF($A$8=Nutrients!$B$79,Nutrients!$EE$79,(IF($A$8=Nutrients!$B$77,Nutrients!$EE$77,Nutrients!$EE$78)))))*AV$8))/2000)*2.2046</f>
        <v>608.03970300000003</v>
      </c>
      <c r="AW314" s="21">
        <f>((SUMPRODUCT(AW$9:AW$229,Nutrients!$EE$8:$EE$228)+(IF($A$7=Nutrients!$B$8,Nutrients!$EE$8,Nutrients!$EE$9)*AW$7)+(((IF($A$8=Nutrients!$B$79,Nutrients!$EE$79,(IF($A$8=Nutrients!$B$77,Nutrients!$EE$77,Nutrients!$EE$78)))))*AW$8))/2000)*2.2046</f>
        <v>608.03970300000003</v>
      </c>
    </row>
    <row r="315" spans="1:49" x14ac:dyDescent="0.25">
      <c r="A315" s="34" t="s">
        <v>360</v>
      </c>
      <c r="B315" s="23">
        <f>((SUMPRODUCT(B$9:B$229,Nutrients!$FK$8:$FK$228)+(IF($A$7=Nutrients!$B$8,Nutrients!$FK$8,Nutrients!$FK$9)*B$7)+(((IF($A$8=Nutrients!$B$79,Nutrients!$FK$79,(IF($A$8=Nutrients!$B$77,Nutrients!$FK$77,Nutrients!$FK$78)))))*B$8))/2000)</f>
        <v>1.5519301991788417</v>
      </c>
      <c r="C315" s="23">
        <f>((SUMPRODUCT(C$9:C$229,Nutrients!$FK$8:$FK$228)+(IF($A$7=Nutrients!$B$8,Nutrients!$FK$8,Nutrients!$FK$9)*C$7)+(((IF($A$8=Nutrients!$B$79,Nutrients!$FK$79,(IF($A$8=Nutrients!$B$77,Nutrients!$FK$77,Nutrients!$FK$78)))))*C$8))/2000)</f>
        <v>1.595708614420986</v>
      </c>
      <c r="D315" s="23">
        <f>((SUMPRODUCT(D$9:D$229,Nutrients!$FK$8:$FK$228)+(IF($A$7=Nutrients!$B$8,Nutrients!$FK$8,Nutrients!$FK$9)*D$7)+(((IF($A$8=Nutrients!$B$79,Nutrients!$FK$79,(IF($A$8=Nutrients!$B$77,Nutrients!$FK$77,Nutrients!$FK$78)))))*D$8))/2000)</f>
        <v>1.633289438982505</v>
      </c>
      <c r="E315" s="23">
        <f>((SUMPRODUCT(E$9:E$229,Nutrients!$FK$8:$FK$228)+(IF($A$7=Nutrients!$B$8,Nutrients!$FK$8,Nutrients!$FK$9)*E$7)+(((IF($A$8=Nutrients!$B$79,Nutrients!$FK$79,(IF($A$8=Nutrients!$B$77,Nutrients!$FK$77,Nutrients!$FK$78)))))*E$8))/2000)</f>
        <v>1.6684624843927185</v>
      </c>
      <c r="F315" s="23">
        <f>((SUMPRODUCT(F$9:F$229,Nutrients!$FK$8:$FK$228)+(IF($A$7=Nutrients!$B$8,Nutrients!$FK$8,Nutrients!$FK$9)*F$7)+(((IF($A$8=Nutrients!$B$79,Nutrients!$FK$79,(IF($A$8=Nutrients!$B$77,Nutrients!$FK$77,Nutrients!$FK$78)))))*F$8))/2000)</f>
        <v>1.6972910046236616</v>
      </c>
      <c r="G315" s="23">
        <f>((SUMPRODUCT(G$9:G$229,Nutrients!$FK$8:$FK$228)+(IF($A$7=Nutrients!$B$8,Nutrients!$FK$8,Nutrients!$FK$9)*G$7)+(((IF($A$8=Nutrients!$B$79,Nutrients!$FK$79,(IF($A$8=Nutrients!$B$77,Nutrients!$FK$77,Nutrients!$FK$78)))))*G$8))/2000)</f>
        <v>1.7124024914223799</v>
      </c>
      <c r="H315" s="227"/>
      <c r="I315" s="23">
        <f>((SUMPRODUCT(I$9:I$229,Nutrients!$FK$8:$FK$228)+(IF($A$7=Nutrients!$B$8,Nutrients!$FK$8,Nutrients!$FK$9)*I$7)+(((IF($A$8=Nutrients!$B$79,Nutrients!$FK$79,(IF($A$8=Nutrients!$B$77,Nutrients!$FK$77,Nutrients!$FK$78)))))*I$8))/2000)</f>
        <v>1.5109100855294222</v>
      </c>
      <c r="J315" s="23">
        <f>((SUMPRODUCT(J$9:J$229,Nutrients!$FK$8:$FK$228)+(IF($A$7=Nutrients!$B$8,Nutrients!$FK$8,Nutrients!$FK$9)*J$7)+(((IF($A$8=Nutrients!$B$79,Nutrients!$FK$79,(IF($A$8=Nutrients!$B$77,Nutrients!$FK$77,Nutrients!$FK$78)))))*J$8))/2000)</f>
        <v>1.5550252557383859</v>
      </c>
      <c r="K315" s="23">
        <f>((SUMPRODUCT(K$9:K$229,Nutrients!$FK$8:$FK$228)+(IF($A$7=Nutrients!$B$8,Nutrients!$FK$8,Nutrients!$FK$9)*K$7)+(((IF($A$8=Nutrients!$B$79,Nutrients!$FK$79,(IF($A$8=Nutrients!$B$77,Nutrients!$FK$77,Nutrients!$FK$78)))))*K$8))/2000)</f>
        <v>1.5922386861548514</v>
      </c>
      <c r="L315" s="23">
        <f>((SUMPRODUCT(L$9:L$229,Nutrients!$FK$8:$FK$228)+(IF($A$7=Nutrients!$B$8,Nutrients!$FK$8,Nutrients!$FK$9)*L$7)+(((IF($A$8=Nutrients!$B$79,Nutrients!$FK$79,(IF($A$8=Nutrients!$B$77,Nutrients!$FK$77,Nutrients!$FK$78)))))*L$8))/2000)</f>
        <v>1.6278371831769283</v>
      </c>
      <c r="M315" s="23">
        <f>((SUMPRODUCT(M$9:M$229,Nutrients!$FK$8:$FK$228)+(IF($A$7=Nutrients!$B$8,Nutrients!$FK$8,Nutrients!$FK$9)*M$7)+(((IF($A$8=Nutrients!$B$79,Nutrients!$FK$79,(IF($A$8=Nutrients!$B$77,Nutrients!$FK$77,Nutrients!$FK$78)))))*M$8))/2000)</f>
        <v>1.6568180238584036</v>
      </c>
      <c r="N315" s="23">
        <f>((SUMPRODUCT(N$9:N$229,Nutrients!$FK$8:$FK$228)+(IF($A$7=Nutrients!$B$8,Nutrients!$FK$8,Nutrients!$FK$9)*N$7)+(((IF($A$8=Nutrients!$B$79,Nutrients!$FK$79,(IF($A$8=Nutrients!$B$77,Nutrients!$FK$77,Nutrients!$FK$78)))))*N$8))/2000)</f>
        <v>1.7124024914223799</v>
      </c>
      <c r="O315" s="198"/>
      <c r="P315" s="23">
        <f>((SUMPRODUCT(P$9:P$229,Nutrients!$FK$8:$FK$228)+(IF($A$7=Nutrients!$B$8,Nutrients!$FK$8,Nutrients!$FK$9)*P$7)+(((IF($A$8=Nutrients!$B$79,Nutrients!$FK$79,(IF($A$8=Nutrients!$B$77,Nutrients!$FK$77,Nutrients!$FK$78)))))*P$8))/2000)</f>
        <v>1.4701371247113864</v>
      </c>
      <c r="Q315" s="23">
        <f>((SUMPRODUCT(Q$9:Q$229,Nutrients!$FK$8:$FK$228)+(IF($A$7=Nutrients!$B$8,Nutrients!$FK$8,Nutrients!$FK$9)*Q$7)+(((IF($A$8=Nutrients!$B$79,Nutrients!$FK$79,(IF($A$8=Nutrients!$B$77,Nutrients!$FK$77,Nutrients!$FK$78)))))*Q$8))/2000)</f>
        <v>1.5142095292865623</v>
      </c>
      <c r="R315" s="23">
        <f>((SUMPRODUCT(R$9:R$229,Nutrients!$FK$8:$FK$228)+(IF($A$7=Nutrients!$B$8,Nutrients!$FK$8,Nutrients!$FK$9)*R$7)+(((IF($A$8=Nutrients!$B$79,Nutrients!$FK$79,(IF($A$8=Nutrients!$B$77,Nutrients!$FK$77,Nutrients!$FK$78)))))*R$8))/2000)</f>
        <v>1.5515282007134028</v>
      </c>
      <c r="S315" s="23">
        <f>((SUMPRODUCT(S$9:S$229,Nutrients!$FK$8:$FK$228)+(IF($A$7=Nutrients!$B$8,Nutrients!$FK$8,Nutrients!$FK$9)*S$7)+(((IF($A$8=Nutrients!$B$79,Nutrients!$FK$79,(IF($A$8=Nutrients!$B$77,Nutrients!$FK$77,Nutrients!$FK$78)))))*S$8))/2000)</f>
        <v>1.5869526532342451</v>
      </c>
      <c r="T315" s="23">
        <f>((SUMPRODUCT(T$9:T$229,Nutrients!$FK$8:$FK$228)+(IF($A$7=Nutrients!$B$8,Nutrients!$FK$8,Nutrients!$FK$9)*T$7)+(((IF($A$8=Nutrients!$B$79,Nutrients!$FK$79,(IF($A$8=Nutrients!$B$77,Nutrients!$FK$77,Nutrients!$FK$78)))))*T$8))/2000)</f>
        <v>1.6161419996053834</v>
      </c>
      <c r="U315" s="23">
        <f>((SUMPRODUCT(U$9:U$229,Nutrients!$FK$8:$FK$228)+(IF($A$7=Nutrients!$B$8,Nutrients!$FK$8,Nutrients!$FK$9)*U$7)+(((IF($A$8=Nutrients!$B$79,Nutrients!$FK$79,(IF($A$8=Nutrients!$B$77,Nutrients!$FK$77,Nutrients!$FK$78)))))*U$8))/2000)</f>
        <v>1.7124024914223799</v>
      </c>
      <c r="W315" s="23">
        <f>((SUMPRODUCT(W$9:W$229,Nutrients!$FK$8:$FK$228)+(IF($A$7=Nutrients!$B$8,Nutrients!$FK$8,Nutrients!$FK$9)*W$7)+(((IF($A$8=Nutrients!$B$79,Nutrients!$FK$79,(IF($A$8=Nutrients!$B$77,Nutrients!$FK$77,Nutrients!$FK$78)))))*W$8))/2000)</f>
        <v>1.429574890655801</v>
      </c>
      <c r="X315" s="23">
        <f>((SUMPRODUCT(X$9:X$229,Nutrients!$FK$8:$FK$228)+(IF($A$7=Nutrients!$B$8,Nutrients!$FK$8,Nutrients!$FK$9)*X$7)+(((IF($A$8=Nutrients!$B$79,Nutrients!$FK$79,(IF($A$8=Nutrients!$B$77,Nutrients!$FK$77,Nutrients!$FK$78)))))*X$8))/2000)</f>
        <v>1.473656659244392</v>
      </c>
      <c r="Y315" s="23">
        <f>((SUMPRODUCT(Y$9:Y$229,Nutrients!$FK$8:$FK$228)+(IF($A$7=Nutrients!$B$8,Nutrients!$FK$8,Nutrients!$FK$9)*Y$7)+(((IF($A$8=Nutrients!$B$79,Nutrients!$FK$79,(IF($A$8=Nutrients!$B$77,Nutrients!$FK$77,Nutrients!$FK$78)))))*Y$8))/2000)</f>
        <v>1.5107508576804056</v>
      </c>
      <c r="Z315" s="23">
        <f>((SUMPRODUCT(Z$9:Z$229,Nutrients!$FK$8:$FK$228)+(IF($A$7=Nutrients!$B$8,Nutrients!$FK$8,Nutrients!$FK$9)*Z$7)+(((IF($A$8=Nutrients!$B$79,Nutrients!$FK$79,(IF($A$8=Nutrients!$B$77,Nutrients!$FK$77,Nutrients!$FK$78)))))*Z$8))/2000)</f>
        <v>1.5461721996756641</v>
      </c>
      <c r="AA315" s="23">
        <f>((SUMPRODUCT(AA$9:AA$229,Nutrients!$FK$8:$FK$228)+(IF($A$7=Nutrients!$B$8,Nutrients!$FK$8,Nutrients!$FK$9)*AA$7)+(((IF($A$8=Nutrients!$B$79,Nutrients!$FK$79,(IF($A$8=Nutrients!$B$77,Nutrients!$FK$77,Nutrients!$FK$78)))))*AA$8))/2000)</f>
        <v>1.574947411324678</v>
      </c>
      <c r="AB315" s="23">
        <f>((SUMPRODUCT(AB$9:AB$229,Nutrients!$FK$8:$FK$228)+(IF($A$7=Nutrients!$B$8,Nutrients!$FK$8,Nutrients!$FK$9)*AB$7)+(((IF($A$8=Nutrients!$B$79,Nutrients!$FK$79,(IF($A$8=Nutrients!$B$77,Nutrients!$FK$77,Nutrients!$FK$78)))))*AB$8))/2000)</f>
        <v>1.7124024914223799</v>
      </c>
      <c r="AD315" s="23">
        <f>((SUMPRODUCT(AD$9:AD$229,Nutrients!$FK$8:$FK$228)+(IF($A$7=Nutrients!$B$8,Nutrients!$FK$8,Nutrients!$FK$9)*AD$7)+(((IF($A$8=Nutrients!$B$79,Nutrients!$FK$79,(IF($A$8=Nutrients!$B$77,Nutrients!$FK$77,Nutrients!$FK$78)))))*AD$8))/2000)</f>
        <v>1.3889779563289211</v>
      </c>
      <c r="AE315" s="23">
        <f>((SUMPRODUCT(AE$9:AE$229,Nutrients!$FK$8:$FK$228)+(IF($A$7=Nutrients!$B$8,Nutrients!$FK$8,Nutrients!$FK$9)*AE$7)+(((IF($A$8=Nutrients!$B$79,Nutrients!$FK$79,(IF($A$8=Nutrients!$B$77,Nutrients!$FK$77,Nutrients!$FK$78)))))*AE$8))/2000)</f>
        <v>1.4329580102788417</v>
      </c>
      <c r="AF315" s="23">
        <f>((SUMPRODUCT(AF$9:AF$229,Nutrients!$FK$8:$FK$228)+(IF($A$7=Nutrients!$B$8,Nutrients!$FK$8,Nutrients!$FK$9)*AF$7)+(((IF($A$8=Nutrients!$B$79,Nutrients!$FK$79,(IF($A$8=Nutrients!$B$77,Nutrients!$FK$77,Nutrients!$FK$78)))))*AF$8))/2000)</f>
        <v>1.4699634952001155</v>
      </c>
      <c r="AG315" s="23">
        <f>((SUMPRODUCT(AG$9:AG$229,Nutrients!$FK$8:$FK$228)+(IF($A$7=Nutrients!$B$8,Nutrients!$FK$8,Nutrients!$FK$9)*AG$7)+(((IF($A$8=Nutrients!$B$79,Nutrients!$FK$79,(IF($A$8=Nutrients!$B$77,Nutrients!$FK$77,Nutrients!$FK$78)))))*AG$8))/2000)</f>
        <v>1.5052071562222529</v>
      </c>
      <c r="AH315" s="23">
        <f>((SUMPRODUCT(AH$9:AH$229,Nutrients!$FK$8:$FK$228)+(IF($A$7=Nutrients!$B$8,Nutrients!$FK$8,Nutrients!$FK$9)*AH$7)+(((IF($A$8=Nutrients!$B$79,Nutrients!$FK$79,(IF($A$8=Nutrients!$B$77,Nutrients!$FK$77,Nutrients!$FK$78)))))*AH$8))/2000)</f>
        <v>1.5355917334314786</v>
      </c>
      <c r="AI315" s="23">
        <f>((SUMPRODUCT(AI$9:AI$229,Nutrients!$FK$8:$FK$228)+(IF($A$7=Nutrients!$B$8,Nutrients!$FK$8,Nutrients!$FK$9)*AI$7)+(((IF($A$8=Nutrients!$B$79,Nutrients!$FK$79,(IF($A$8=Nutrients!$B$77,Nutrients!$FK$77,Nutrients!$FK$78)))))*AI$8))/2000)</f>
        <v>1.7124024914223799</v>
      </c>
      <c r="AK315" s="23">
        <f>((SUMPRODUCT(AK$9:AK$229,Nutrients!$FK$8:$FK$228)+(IF($A$7=Nutrients!$B$8,Nutrients!$FK$8,Nutrients!$FK$9)*AK$7)+(((IF($A$8=Nutrients!$B$79,Nutrients!$FK$79,(IF($A$8=Nutrients!$B$77,Nutrients!$FK$77,Nutrients!$FK$78)))))*AK$8))/2000)</f>
        <v>1.3483497217028759</v>
      </c>
      <c r="AL315" s="23">
        <f>((SUMPRODUCT(AL$9:AL$229,Nutrients!$FK$8:$FK$228)+(IF($A$7=Nutrients!$B$8,Nutrients!$FK$8,Nutrients!$FK$9)*AL$7)+(((IF($A$8=Nutrients!$B$79,Nutrients!$FK$79,(IF($A$8=Nutrients!$B$77,Nutrients!$FK$77,Nutrients!$FK$78)))))*AL$8))/2000)</f>
        <v>1.392305161754267</v>
      </c>
      <c r="AM315" s="23">
        <f>((SUMPRODUCT(AM$9:AM$229,Nutrients!$FK$8:$FK$228)+(IF($A$7=Nutrients!$B$8,Nutrients!$FK$8,Nutrients!$FK$9)*AM$7)+(((IF($A$8=Nutrients!$B$79,Nutrients!$FK$79,(IF($A$8=Nutrients!$B$77,Nutrients!$FK$77,Nutrients!$FK$78)))))*AM$8))/2000)</f>
        <v>1.4291049604910506</v>
      </c>
      <c r="AN315" s="23">
        <f>((SUMPRODUCT(AN$9:AN$229,Nutrients!$FK$8:$FK$228)+(IF($A$7=Nutrients!$B$8,Nutrients!$FK$8,Nutrients!$FK$9)*AN$7)+(((IF($A$8=Nutrients!$B$79,Nutrients!$FK$79,(IF($A$8=Nutrients!$B$77,Nutrients!$FK$77,Nutrients!$FK$78)))))*AN$8))/2000)</f>
        <v>1.4652994031569937</v>
      </c>
      <c r="AO315" s="23">
        <f>((SUMPRODUCT(AO$9:AO$229,Nutrients!$FK$8:$FK$228)+(IF($A$7=Nutrients!$B$8,Nutrients!$FK$8,Nutrients!$FK$9)*AO$7)+(((IF($A$8=Nutrients!$B$79,Nutrients!$FK$79,(IF($A$8=Nutrients!$B$77,Nutrients!$FK$77,Nutrients!$FK$78)))))*AO$8))/2000)</f>
        <v>1.4969978958427332</v>
      </c>
      <c r="AP315" s="23">
        <f>((SUMPRODUCT(AP$9:AP$229,Nutrients!$FK$8:$FK$228)+(IF($A$7=Nutrients!$B$8,Nutrients!$FK$8,Nutrients!$FK$9)*AP$7)+(((IF($A$8=Nutrients!$B$79,Nutrients!$FK$79,(IF($A$8=Nutrients!$B$77,Nutrients!$FK$77,Nutrients!$FK$78)))))*AP$8))/2000)</f>
        <v>1.7124024914223799</v>
      </c>
      <c r="AR315" s="23">
        <f>((SUMPRODUCT(AR$9:AR$229,Nutrients!$FK$8:$FK$228)+(IF($A$7=Nutrients!$B$8,Nutrients!$FK$8,Nutrients!$FK$9)*AR$7)+(((IF($A$8=Nutrients!$B$79,Nutrients!$FK$79,(IF($A$8=Nutrients!$B$77,Nutrients!$FK$77,Nutrients!$FK$78)))))*AR$8))/2000)</f>
        <v>1.3082515110556867</v>
      </c>
      <c r="AS315" s="23">
        <f>((SUMPRODUCT(AS$9:AS$229,Nutrients!$FK$8:$FK$228)+(IF($A$7=Nutrients!$B$8,Nutrients!$FK$8,Nutrients!$FK$9)*AS$7)+(((IF($A$8=Nutrients!$B$79,Nutrients!$FK$79,(IF($A$8=Nutrients!$B$77,Nutrients!$FK$77,Nutrients!$FK$78)))))*AS$8))/2000)</f>
        <v>1.3513280500416787</v>
      </c>
      <c r="AT315" s="23">
        <f>((SUMPRODUCT(AT$9:AT$229,Nutrients!$FK$8:$FK$228)+(IF($A$7=Nutrients!$B$8,Nutrients!$FK$8,Nutrients!$FK$9)*AT$7)+(((IF($A$8=Nutrients!$B$79,Nutrients!$FK$79,(IF($A$8=Nutrients!$B$77,Nutrients!$FK$77,Nutrients!$FK$78)))))*AT$8))/2000)</f>
        <v>1.3877883190709288</v>
      </c>
      <c r="AU315" s="23">
        <f>((SUMPRODUCT(AU$9:AU$229,Nutrients!$FK$8:$FK$228)+(IF($A$7=Nutrients!$B$8,Nutrients!$FK$8,Nutrients!$FK$9)*AU$7)+(((IF($A$8=Nutrients!$B$79,Nutrients!$FK$79,(IF($A$8=Nutrients!$B$77,Nutrients!$FK$77,Nutrients!$FK$78)))))*AU$8))/2000)</f>
        <v>1.4266351303268547</v>
      </c>
      <c r="AV315" s="23">
        <f>((SUMPRODUCT(AV$9:AV$229,Nutrients!$FK$8:$FK$228)+(IF($A$7=Nutrients!$B$8,Nutrients!$FK$8,Nutrients!$FK$9)*AV$7)+(((IF($A$8=Nutrients!$B$79,Nutrients!$FK$79,(IF($A$8=Nutrients!$B$77,Nutrients!$FK$77,Nutrients!$FK$78)))))*AV$8))/2000)</f>
        <v>1.4584054886307525</v>
      </c>
      <c r="AW315" s="23">
        <f>((SUMPRODUCT(AW$9:AW$229,Nutrients!$FK$8:$FK$228)+(IF($A$7=Nutrients!$B$8,Nutrients!$FK$8,Nutrients!$FK$9)*AW$7)+(((IF($A$8=Nutrients!$B$79,Nutrients!$FK$79,(IF($A$8=Nutrients!$B$77,Nutrients!$FK$77,Nutrients!$FK$78)))))*AW$8))/2000)</f>
        <v>1.7124024914223799</v>
      </c>
    </row>
    <row r="316" spans="1:49" x14ac:dyDescent="0.25">
      <c r="A316" s="34" t="s">
        <v>403</v>
      </c>
      <c r="B316" s="22">
        <f>(SUMPRODUCT(B$9:B$229,Nutrients!$U$8:$U$228)+(IF($A$7=Nutrients!$B$8,Nutrients!$U$8,Nutrients!$U$9)*B$7)+(((IF($A$8=Nutrients!$B$79,Nutrients!$U$79,(IF($A$8=Nutrients!$B$77,Nutrients!$U$77,Nutrients!$U$78)))))*B$8))/2000</f>
        <v>8.5699292218715204</v>
      </c>
      <c r="C316" s="22">
        <f>(SUMPRODUCT(C$9:C$229,Nutrients!$U$8:$U$228)+(IF($A$7=Nutrients!$B$8,Nutrients!$U$8,Nutrients!$U$9)*C$7)+(((IF($A$8=Nutrients!$B$79,Nutrients!$U$79,(IF($A$8=Nutrients!$B$77,Nutrients!$U$77,Nutrients!$U$78)))))*C$8))/2000</f>
        <v>8.6418600707376481</v>
      </c>
      <c r="D316" s="22">
        <f>(SUMPRODUCT(D$9:D$229,Nutrients!$U$8:$U$228)+(IF($A$7=Nutrients!$B$8,Nutrients!$U$8,Nutrients!$U$9)*D$7)+(((IF($A$8=Nutrients!$B$79,Nutrients!$U$79,(IF($A$8=Nutrients!$B$77,Nutrients!$U$77,Nutrients!$U$78)))))*D$8))/2000</f>
        <v>8.7060121920111886</v>
      </c>
      <c r="E316" s="22">
        <f>(SUMPRODUCT(E$9:E$229,Nutrients!$U$8:$U$228)+(IF($A$7=Nutrients!$B$8,Nutrients!$U$8,Nutrients!$U$9)*E$7)+(((IF($A$8=Nutrients!$B$79,Nutrients!$U$79,(IF($A$8=Nutrients!$B$77,Nutrients!$U$77,Nutrients!$U$78)))))*E$8))/2000</f>
        <v>8.7592542727281515</v>
      </c>
      <c r="F316" s="22">
        <f>(SUMPRODUCT(F$9:F$229,Nutrients!$U$8:$U$228)+(IF($A$7=Nutrients!$B$8,Nutrients!$U$8,Nutrients!$U$9)*F$7)+(((IF($A$8=Nutrients!$B$79,Nutrients!$U$79,(IF($A$8=Nutrients!$B$77,Nutrients!$U$77,Nutrients!$U$78)))))*F$8))/2000</f>
        <v>8.7998937942372635</v>
      </c>
      <c r="G316" s="22">
        <f>(SUMPRODUCT(G$9:G$229,Nutrients!$U$8:$U$228)+(IF($A$7=Nutrients!$B$8,Nutrients!$U$8,Nutrients!$U$9)*G$7)+(((IF($A$8=Nutrients!$B$79,Nutrients!$U$79,(IF($A$8=Nutrients!$B$77,Nutrients!$U$77,Nutrients!$U$78)))))*G$8))/2000</f>
        <v>8.8184122421246407</v>
      </c>
      <c r="H316" s="228"/>
      <c r="I316" s="22">
        <f>(SUMPRODUCT(I$9:I$229,Nutrients!$U$8:$U$228)+(IF($A$7=Nutrients!$B$8,Nutrients!$U$8,Nutrients!$U$9)*I$7)+(((IF($A$8=Nutrients!$B$79,Nutrients!$U$79,(IF($A$8=Nutrients!$B$77,Nutrients!$U$77,Nutrients!$U$78)))))*I$8))/2000</f>
        <v>9.727011409502925</v>
      </c>
      <c r="J316" s="22">
        <f>(SUMPRODUCT(J$9:J$229,Nutrients!$U$8:$U$228)+(IF($A$7=Nutrients!$B$8,Nutrients!$U$8,Nutrients!$U$9)*J$7)+(((IF($A$8=Nutrients!$B$79,Nutrients!$U$79,(IF($A$8=Nutrients!$B$77,Nutrients!$U$77,Nutrients!$U$78)))))*J$8))/2000</f>
        <v>9.7975077739509313</v>
      </c>
      <c r="K316" s="22">
        <f>(SUMPRODUCT(K$9:K$229,Nutrients!$U$8:$U$228)+(IF($A$7=Nutrients!$B$8,Nutrients!$U$8,Nutrients!$U$9)*K$7)+(((IF($A$8=Nutrients!$B$79,Nutrients!$U$79,(IF($A$8=Nutrients!$B$77,Nutrients!$U$77,Nutrients!$U$78)))))*K$8))/2000</f>
        <v>9.8623980795325394</v>
      </c>
      <c r="L316" s="22">
        <f>(SUMPRODUCT(L$9:L$229,Nutrients!$U$8:$U$228)+(IF($A$7=Nutrients!$B$8,Nutrients!$U$8,Nutrients!$U$9)*L$7)+(((IF($A$8=Nutrients!$B$79,Nutrients!$U$79,(IF($A$8=Nutrients!$B$77,Nutrients!$U$77,Nutrients!$U$78)))))*L$8))/2000</f>
        <v>9.9150189086288005</v>
      </c>
      <c r="M316" s="22">
        <f>(SUMPRODUCT(M$9:M$229,Nutrients!$U$8:$U$228)+(IF($A$7=Nutrients!$B$8,Nutrients!$U$8,Nutrients!$U$9)*M$7)+(((IF($A$8=Nutrients!$B$79,Nutrients!$U$79,(IF($A$8=Nutrients!$B$77,Nutrients!$U$77,Nutrients!$U$78)))))*M$8))/2000</f>
        <v>9.9556551163445857</v>
      </c>
      <c r="N316" s="22">
        <f>(SUMPRODUCT(N$9:N$229,Nutrients!$U$8:$U$228)+(IF($A$7=Nutrients!$B$8,Nutrients!$U$8,Nutrients!$U$9)*N$7)+(((IF($A$8=Nutrients!$B$79,Nutrients!$U$79,(IF($A$8=Nutrients!$B$77,Nutrients!$U$77,Nutrients!$U$78)))))*N$8))/2000</f>
        <v>8.8184122421246407</v>
      </c>
      <c r="O316" s="235"/>
      <c r="P316" s="22">
        <f>(SUMPRODUCT(P$9:P$229,Nutrients!$U$8:$U$228)+(IF($A$7=Nutrients!$B$8,Nutrients!$U$8,Nutrients!$U$9)*P$7)+(((IF($A$8=Nutrients!$B$79,Nutrients!$U$79,(IF($A$8=Nutrients!$B$77,Nutrients!$U$77,Nutrients!$U$78)))))*P$8))/2000</f>
        <v>10.883173221997206</v>
      </c>
      <c r="Q316" s="22">
        <f>(SUMPRODUCT(Q$9:Q$229,Nutrients!$U$8:$U$228)+(IF($A$7=Nutrients!$B$8,Nutrients!$U$8,Nutrients!$U$9)*Q$7)+(((IF($A$8=Nutrients!$B$79,Nutrients!$U$79,(IF($A$8=Nutrients!$B$77,Nutrients!$U$77,Nutrients!$U$78)))))*Q$8))/2000</f>
        <v>10.953307714177852</v>
      </c>
      <c r="R316" s="22">
        <f>(SUMPRODUCT(R$9:R$229,Nutrients!$U$8:$U$228)+(IF($A$7=Nutrients!$B$8,Nutrients!$U$8,Nutrients!$U$9)*R$7)+(((IF($A$8=Nutrients!$B$79,Nutrients!$U$79,(IF($A$8=Nutrients!$B$77,Nutrients!$U$77,Nutrients!$U$78)))))*R$8))/2000</f>
        <v>11.017825881804187</v>
      </c>
      <c r="S316" s="22">
        <f>(SUMPRODUCT(S$9:S$229,Nutrients!$U$8:$U$228)+(IF($A$7=Nutrients!$B$8,Nutrients!$U$8,Nutrients!$U$9)*S$7)+(((IF($A$8=Nutrients!$B$79,Nutrients!$U$79,(IF($A$8=Nutrients!$B$77,Nutrients!$U$77,Nutrients!$U$78)))))*S$8))/2000</f>
        <v>11.07054990246252</v>
      </c>
      <c r="T316" s="22">
        <f>(SUMPRODUCT(T$9:T$229,Nutrients!$U$8:$U$228)+(IF($A$7=Nutrients!$B$8,Nutrients!$U$8,Nutrients!$U$9)*T$7)+(((IF($A$8=Nutrients!$B$79,Nutrients!$U$79,(IF($A$8=Nutrients!$B$77,Nutrients!$U$77,Nutrients!$U$78)))))*T$8))/2000</f>
        <v>11.111420241105503</v>
      </c>
      <c r="U316" s="22">
        <f>(SUMPRODUCT(U$9:U$229,Nutrients!$U$8:$U$228)+(IF($A$7=Nutrients!$B$8,Nutrients!$U$8,Nutrients!$U$9)*U$7)+(((IF($A$8=Nutrients!$B$79,Nutrients!$U$79,(IF($A$8=Nutrients!$B$77,Nutrients!$U$77,Nutrients!$U$78)))))*U$8))/2000</f>
        <v>8.8184122421246407</v>
      </c>
      <c r="W316" s="22">
        <f>(SUMPRODUCT(W$9:W$229,Nutrients!$U$8:$U$228)+(IF($A$7=Nutrients!$B$8,Nutrients!$U$8,Nutrients!$U$9)*W$7)+(((IF($A$8=Nutrients!$B$79,Nutrients!$U$79,(IF($A$8=Nutrients!$B$77,Nutrients!$U$77,Nutrients!$U$78)))))*W$8))/2000</f>
        <v>12.039657018911216</v>
      </c>
      <c r="X316" s="22">
        <f>(SUMPRODUCT(X$9:X$229,Nutrients!$U$8:$U$228)+(IF($A$7=Nutrients!$B$8,Nutrients!$U$8,Nutrients!$U$9)*X$7)+(((IF($A$8=Nutrients!$B$79,Nutrients!$U$79,(IF($A$8=Nutrients!$B$77,Nutrients!$U$77,Nutrients!$U$78)))))*X$8))/2000</f>
        <v>12.109207942680387</v>
      </c>
      <c r="Y316" s="22">
        <f>(SUMPRODUCT(Y$9:Y$229,Nutrients!$U$8:$U$228)+(IF($A$7=Nutrients!$B$8,Nutrients!$U$8,Nutrients!$U$9)*Y$7)+(((IF($A$8=Nutrients!$B$79,Nutrients!$U$79,(IF($A$8=Nutrients!$B$77,Nutrients!$U$77,Nutrients!$U$78)))))*Y$8))/2000</f>
        <v>12.17382773565863</v>
      </c>
      <c r="Z316" s="22">
        <f>(SUMPRODUCT(Z$9:Z$229,Nutrients!$U$8:$U$228)+(IF($A$7=Nutrients!$B$8,Nutrients!$U$8,Nutrients!$U$9)*Z$7)+(((IF($A$8=Nutrients!$B$79,Nutrients!$U$79,(IF($A$8=Nutrients!$B$77,Nutrients!$U$77,Nutrients!$U$78)))))*Z$8))/2000</f>
        <v>12.225894038577438</v>
      </c>
      <c r="AA316" s="22">
        <f>(SUMPRODUCT(AA$9:AA$229,Nutrients!$U$8:$U$228)+(IF($A$7=Nutrients!$B$8,Nutrients!$U$8,Nutrients!$U$9)*AA$7)+(((IF($A$8=Nutrients!$B$79,Nutrients!$U$79,(IF($A$8=Nutrients!$B$77,Nutrients!$U$77,Nutrients!$U$78)))))*AA$8))/2000</f>
        <v>12.266105156933367</v>
      </c>
      <c r="AB316" s="22">
        <f>(SUMPRODUCT(AB$9:AB$229,Nutrients!$U$8:$U$228)+(IF($A$7=Nutrients!$B$8,Nutrients!$U$8,Nutrients!$U$9)*AB$7)+(((IF($A$8=Nutrients!$B$79,Nutrients!$U$79,(IF($A$8=Nutrients!$B$77,Nutrients!$U$77,Nutrients!$U$78)))))*AB$8))/2000</f>
        <v>8.8184122421246407</v>
      </c>
      <c r="AD316" s="22">
        <f>(SUMPRODUCT(AD$9:AD$229,Nutrients!$U$8:$U$228)+(IF($A$7=Nutrients!$B$8,Nutrients!$U$8,Nutrients!$U$9)*AD$7)+(((IF($A$8=Nutrients!$B$79,Nutrients!$U$79,(IF($A$8=Nutrients!$B$77,Nutrients!$U$77,Nutrients!$U$78)))))*AD$8))/2000</f>
        <v>13.195585770538168</v>
      </c>
      <c r="AE316" s="22">
        <f>(SUMPRODUCT(AE$9:AE$229,Nutrients!$U$8:$U$228)+(IF($A$7=Nutrients!$B$8,Nutrients!$U$8,Nutrients!$U$9)*AE$7)+(((IF($A$8=Nutrients!$B$79,Nutrients!$U$79,(IF($A$8=Nutrients!$B$77,Nutrients!$U$77,Nutrients!$U$78)))))*AE$8))/2000</f>
        <v>13.265367897683115</v>
      </c>
      <c r="AF316" s="22">
        <f>(SUMPRODUCT(AF$9:AF$229,Nutrients!$U$8:$U$228)+(IF($A$7=Nutrients!$B$8,Nutrients!$U$8,Nutrients!$U$9)*AF$7)+(((IF($A$8=Nutrients!$B$79,Nutrients!$U$79,(IF($A$8=Nutrients!$B$77,Nutrients!$U$77,Nutrients!$U$78)))))*AF$8))/2000</f>
        <v>13.329179924780918</v>
      </c>
      <c r="AG316" s="22">
        <f>(SUMPRODUCT(AG$9:AG$229,Nutrients!$U$8:$U$228)+(IF($A$7=Nutrients!$B$8,Nutrients!$U$8,Nutrients!$U$9)*AG$7)+(((IF($A$8=Nutrients!$B$79,Nutrients!$U$79,(IF($A$8=Nutrients!$B$77,Nutrients!$U$77,Nutrients!$U$78)))))*AG$8))/2000</f>
        <v>13.380909120349052</v>
      </c>
      <c r="AH316" s="22">
        <f>(SUMPRODUCT(AH$9:AH$229,Nutrients!$U$8:$U$228)+(IF($A$7=Nutrients!$B$8,Nutrients!$U$8,Nutrients!$U$9)*AH$7)+(((IF($A$8=Nutrients!$B$79,Nutrients!$U$79,(IF($A$8=Nutrients!$B$77,Nutrients!$U$77,Nutrients!$U$78)))))*AH$8))/2000</f>
        <v>13.409770004742649</v>
      </c>
      <c r="AI316" s="22">
        <f>(SUMPRODUCT(AI$9:AI$229,Nutrients!$U$8:$U$228)+(IF($A$7=Nutrients!$B$8,Nutrients!$U$8,Nutrients!$U$9)*AI$7)+(((IF($A$8=Nutrients!$B$79,Nutrients!$U$79,(IF($A$8=Nutrients!$B$77,Nutrients!$U$77,Nutrients!$U$78)))))*AI$8))/2000</f>
        <v>8.8184122421246407</v>
      </c>
      <c r="AK316" s="22">
        <f>(SUMPRODUCT(AK$9:AK$229,Nutrients!$U$8:$U$228)+(IF($A$7=Nutrients!$B$8,Nutrients!$U$8,Nutrients!$U$9)*AK$7)+(((IF($A$8=Nutrients!$B$79,Nutrients!$U$79,(IF($A$8=Nutrients!$B$77,Nutrients!$U$77,Nutrients!$U$78)))))*AK$8))/2000</f>
        <v>14.351117617340673</v>
      </c>
      <c r="AL316" s="22">
        <f>(SUMPRODUCT(AL$9:AL$229,Nutrients!$U$8:$U$228)+(IF($A$7=Nutrients!$B$8,Nutrients!$U$8,Nutrients!$U$9)*AL$7)+(((IF($A$8=Nutrients!$B$79,Nutrients!$U$79,(IF($A$8=Nutrients!$B$77,Nutrients!$U$77,Nutrients!$U$78)))))*AL$8))/2000</f>
        <v>14.420713261406867</v>
      </c>
      <c r="AM316" s="22">
        <f>(SUMPRODUCT(AM$9:AM$229,Nutrients!$U$8:$U$228)+(IF($A$7=Nutrients!$B$8,Nutrients!$U$8,Nutrients!$U$9)*AM$7)+(((IF($A$8=Nutrients!$B$79,Nutrients!$U$79,(IF($A$8=Nutrients!$B$77,Nutrients!$U$77,Nutrients!$U$78)))))*AM$8))/2000</f>
        <v>14.484798232905339</v>
      </c>
      <c r="AN316" s="22">
        <f>(SUMPRODUCT(AN$9:AN$229,Nutrients!$U$8:$U$228)+(IF($A$7=Nutrients!$B$8,Nutrients!$U$8,Nutrients!$U$9)*AN$7)+(((IF($A$8=Nutrients!$B$79,Nutrients!$U$79,(IF($A$8=Nutrients!$B$77,Nutrients!$U$77,Nutrients!$U$78)))))*AN$8))/2000</f>
        <v>14.526198307631129</v>
      </c>
      <c r="AO316" s="22">
        <f>(SUMPRODUCT(AO$9:AO$229,Nutrients!$U$8:$U$228)+(IF($A$7=Nutrients!$B$8,Nutrients!$U$8,Nutrients!$U$9)*AO$7)+(((IF($A$8=Nutrients!$B$79,Nutrients!$U$79,(IF($A$8=Nutrients!$B$77,Nutrients!$U$77,Nutrients!$U$78)))))*AO$8))/2000</f>
        <v>14.550419651604081</v>
      </c>
      <c r="AP316" s="22">
        <f>(SUMPRODUCT(AP$9:AP$229,Nutrients!$U$8:$U$228)+(IF($A$7=Nutrients!$B$8,Nutrients!$U$8,Nutrients!$U$9)*AP$7)+(((IF($A$8=Nutrients!$B$79,Nutrients!$U$79,(IF($A$8=Nutrients!$B$77,Nutrients!$U$77,Nutrients!$U$78)))))*AP$8))/2000</f>
        <v>8.8184122421246407</v>
      </c>
      <c r="AR316" s="22">
        <f>(SUMPRODUCT(AR$9:AR$229,Nutrients!$U$8:$U$228)+(IF($A$7=Nutrients!$B$8,Nutrients!$U$8,Nutrients!$U$9)*AR$7)+(((IF($A$8=Nutrients!$B$79,Nutrients!$U$79,(IF($A$8=Nutrients!$B$77,Nutrients!$U$77,Nutrients!$U$78)))))*AR$8))/2000</f>
        <v>15.505913621013237</v>
      </c>
      <c r="AS316" s="22">
        <f>(SUMPRODUCT(AS$9:AS$229,Nutrients!$U$8:$U$228)+(IF($A$7=Nutrients!$B$8,Nutrients!$U$8,Nutrients!$U$9)*AS$7)+(((IF($A$8=Nutrients!$B$79,Nutrients!$U$79,(IF($A$8=Nutrients!$B$77,Nutrients!$U$77,Nutrients!$U$78)))))*AS$8))/2000</f>
        <v>15.57594830319705</v>
      </c>
      <c r="AT316" s="22">
        <f>(SUMPRODUCT(AT$9:AT$229,Nutrients!$U$8:$U$228)+(IF($A$7=Nutrients!$B$8,Nutrients!$U$8,Nutrients!$U$9)*AT$7)+(((IF($A$8=Nutrients!$B$79,Nutrients!$U$79,(IF($A$8=Nutrients!$B$77,Nutrients!$U$77,Nutrients!$U$78)))))*AT$8))/2000</f>
        <v>15.638534558654516</v>
      </c>
      <c r="AU316" s="22">
        <f>(SUMPRODUCT(AU$9:AU$229,Nutrients!$U$8:$U$228)+(IF($A$7=Nutrients!$B$8,Nutrients!$U$8,Nutrients!$U$9)*AU$7)+(((IF($A$8=Nutrients!$B$79,Nutrients!$U$79,(IF($A$8=Nutrients!$B$77,Nutrients!$U$77,Nutrients!$U$78)))))*AU$8))/2000</f>
        <v>15.666865169825762</v>
      </c>
      <c r="AV316" s="22">
        <f>(SUMPRODUCT(AV$9:AV$229,Nutrients!$U$8:$U$228)+(IF($A$7=Nutrients!$B$8,Nutrients!$U$8,Nutrients!$U$9)*AV$7)+(((IF($A$8=Nutrients!$B$79,Nutrients!$U$79,(IF($A$8=Nutrients!$B$77,Nutrients!$U$77,Nutrients!$U$78)))))*AV$8))/2000</f>
        <v>15.691067181211277</v>
      </c>
      <c r="AW316" s="22">
        <f>(SUMPRODUCT(AW$9:AW$229,Nutrients!$U$8:$U$228)+(IF($A$7=Nutrients!$B$8,Nutrients!$U$8,Nutrients!$U$9)*AW$7)+(((IF($A$8=Nutrients!$B$79,Nutrients!$U$79,(IF($A$8=Nutrients!$B$77,Nutrients!$U$77,Nutrients!$U$78)))))*AW$8))/2000</f>
        <v>8.8184122421246407</v>
      </c>
    </row>
    <row r="317" spans="1:49" x14ac:dyDescent="0.25">
      <c r="A317" s="34" t="s">
        <v>416</v>
      </c>
      <c r="B317" s="23">
        <f t="shared" ref="B317:G317" si="223">B236/B253*100</f>
        <v>6.1785853391259096</v>
      </c>
      <c r="C317" s="23">
        <f t="shared" si="223"/>
        <v>5.9864354833614239</v>
      </c>
      <c r="D317" s="23">
        <f t="shared" si="223"/>
        <v>5.7595132677868364</v>
      </c>
      <c r="E317" s="23">
        <f t="shared" si="223"/>
        <v>5.6037683275620731</v>
      </c>
      <c r="F317" s="23">
        <f t="shared" si="223"/>
        <v>5.5537986803701944</v>
      </c>
      <c r="G317" s="23">
        <f t="shared" si="223"/>
        <v>5.52175985110991</v>
      </c>
      <c r="H317" s="227"/>
      <c r="I317" s="23">
        <f t="shared" ref="I317:N317" si="224">I236/I253*100</f>
        <v>6.0524560186657261</v>
      </c>
      <c r="J317" s="23">
        <f t="shared" si="224"/>
        <v>5.8523081576306772</v>
      </c>
      <c r="K317" s="23">
        <f t="shared" si="224"/>
        <v>5.6176778497639352</v>
      </c>
      <c r="L317" s="23">
        <f t="shared" si="224"/>
        <v>5.4544167551400866</v>
      </c>
      <c r="M317" s="23">
        <f t="shared" si="224"/>
        <v>5.3947802053540839</v>
      </c>
      <c r="N317" s="23">
        <f t="shared" si="224"/>
        <v>5.52175985110991</v>
      </c>
      <c r="O317" s="198"/>
      <c r="P317" s="23">
        <f t="shared" ref="P317:U317" si="225">P236/P253*100</f>
        <v>5.930662406014207</v>
      </c>
      <c r="Q317" s="23">
        <f t="shared" si="225"/>
        <v>5.7231362934076442</v>
      </c>
      <c r="R317" s="23">
        <f t="shared" si="225"/>
        <v>5.482667874514358</v>
      </c>
      <c r="S317" s="23">
        <f t="shared" si="225"/>
        <v>5.3116741902238651</v>
      </c>
      <c r="T317" s="23">
        <f t="shared" si="225"/>
        <v>5.2436024433353632</v>
      </c>
      <c r="U317" s="23">
        <f t="shared" si="225"/>
        <v>5.52175985110991</v>
      </c>
      <c r="W317" s="23">
        <f t="shared" ref="W317:AB317" si="226">W236/W253*100</f>
        <v>5.8135847584543514</v>
      </c>
      <c r="X317" s="23">
        <f t="shared" si="226"/>
        <v>5.5990667293603451</v>
      </c>
      <c r="Y317" s="23">
        <f t="shared" si="226"/>
        <v>5.3537471863160091</v>
      </c>
      <c r="Z317" s="23">
        <f t="shared" si="226"/>
        <v>5.1749415223323414</v>
      </c>
      <c r="AA317" s="23">
        <f t="shared" si="226"/>
        <v>5.0965469173151892</v>
      </c>
      <c r="AB317" s="23">
        <f t="shared" si="226"/>
        <v>5.52175985110991</v>
      </c>
      <c r="AD317" s="23">
        <f t="shared" ref="AD317:AI317" si="227">AD236/AD253*100</f>
        <v>5.7001344988104803</v>
      </c>
      <c r="AE317" s="23">
        <f t="shared" si="227"/>
        <v>5.4804212061402566</v>
      </c>
      <c r="AF317" s="23">
        <f t="shared" si="227"/>
        <v>5.2296276882786819</v>
      </c>
      <c r="AG317" s="23">
        <f t="shared" si="227"/>
        <v>5.0445150973886914</v>
      </c>
      <c r="AH317" s="23">
        <f t="shared" si="227"/>
        <v>4.9595656842243017</v>
      </c>
      <c r="AI317" s="23">
        <f t="shared" si="227"/>
        <v>5.52175985110991</v>
      </c>
      <c r="AK317" s="23">
        <f t="shared" ref="AK317:AP317" si="228">AK236/AK253*100</f>
        <v>5.5912802622886462</v>
      </c>
      <c r="AL317" s="23">
        <f t="shared" si="228"/>
        <v>5.3664603938999367</v>
      </c>
      <c r="AM317" s="23">
        <f t="shared" si="228"/>
        <v>5.1121824724333287</v>
      </c>
      <c r="AN317" s="23">
        <f t="shared" si="228"/>
        <v>4.9209989907388643</v>
      </c>
      <c r="AO317" s="23">
        <f t="shared" si="228"/>
        <v>4.8302875550842623</v>
      </c>
      <c r="AP317" s="23">
        <f t="shared" si="228"/>
        <v>5.52175985110991</v>
      </c>
      <c r="AR317" s="23">
        <f t="shared" ref="AR317:AW317" si="229">AR236/AR253*100</f>
        <v>5.4864234655835027</v>
      </c>
      <c r="AS317" s="23">
        <f t="shared" si="229"/>
        <v>5.2563467896006308</v>
      </c>
      <c r="AT317" s="23">
        <f t="shared" si="229"/>
        <v>4.9975601555503051</v>
      </c>
      <c r="AU317" s="23">
        <f t="shared" si="229"/>
        <v>4.8041266150660951</v>
      </c>
      <c r="AV317" s="23">
        <f t="shared" si="229"/>
        <v>4.7075782022772605</v>
      </c>
      <c r="AW317" s="23">
        <f t="shared" si="229"/>
        <v>5.52175985110991</v>
      </c>
    </row>
    <row r="318" spans="1:49" x14ac:dyDescent="0.25">
      <c r="A318" s="34" t="s">
        <v>120</v>
      </c>
    </row>
    <row r="319" spans="1:49" x14ac:dyDescent="0.25">
      <c r="A319" s="34" t="s">
        <v>112</v>
      </c>
      <c r="B319" s="21">
        <f>(SUMPRODUCT(B$9:B$229,Nutrients!$EK$8:$EK$228)+(IF($A$7=Nutrients!$B$8,Nutrients!$EK$8,Nutrients!$EK$9)*B$7)+(((IF($A$8=Nutrients!$B$79,Nutrients!$EK$79,(IF($A$8=Nutrients!$B$77,Nutrients!$EK$77,Nutrients!$EK$78)))))*B$8))/2000*1000000</f>
        <v>110.11950000000002</v>
      </c>
      <c r="C319" s="21">
        <f>(SUMPRODUCT(C$9:C$229,Nutrients!$EK$8:$EK$228)+(IF($A$7=Nutrients!$B$8,Nutrients!$EK$8,Nutrients!$EK$9)*C$7)+(((IF($A$8=Nutrients!$B$79,Nutrients!$EK$79,(IF($A$8=Nutrients!$B$77,Nutrients!$EK$77,Nutrients!$EK$78)))))*C$8))/2000*1000000</f>
        <v>110.11950000000002</v>
      </c>
      <c r="D319" s="21">
        <f>(SUMPRODUCT(D$9:D$229,Nutrients!$EK$8:$EK$228)+(IF($A$7=Nutrients!$B$8,Nutrients!$EK$8,Nutrients!$EK$9)*D$7)+(((IF($A$8=Nutrients!$B$79,Nutrients!$EK$79,(IF($A$8=Nutrients!$B$77,Nutrients!$EK$77,Nutrients!$EK$78)))))*D$8))/2000*1000000</f>
        <v>91.766249999999999</v>
      </c>
      <c r="E319" s="21">
        <f>(SUMPRODUCT(E$9:E$229,Nutrients!$EK$8:$EK$228)+(IF($A$7=Nutrients!$B$8,Nutrients!$EK$8,Nutrients!$EK$9)*E$7)+(((IF($A$8=Nutrients!$B$79,Nutrients!$EK$79,(IF($A$8=Nutrients!$B$77,Nutrients!$EK$77,Nutrients!$EK$78)))))*E$8))/2000*1000000</f>
        <v>73.413000000000011</v>
      </c>
      <c r="F319" s="21">
        <f>(SUMPRODUCT(F$9:F$229,Nutrients!$EK$8:$EK$228)+(IF($A$7=Nutrients!$B$8,Nutrients!$EK$8,Nutrients!$EK$9)*F$7)+(((IF($A$8=Nutrients!$B$79,Nutrients!$EK$79,(IF($A$8=Nutrients!$B$77,Nutrients!$EK$77,Nutrients!$EK$78)))))*F$8))/2000*1000000</f>
        <v>55.059750000000008</v>
      </c>
      <c r="G319" s="21">
        <f>(SUMPRODUCT(G$9:G$229,Nutrients!$EK$8:$EK$228)+(IF($A$7=Nutrients!$B$8,Nutrients!$EK$8,Nutrients!$EK$9)*G$7)+(((IF($A$8=Nutrients!$B$79,Nutrients!$EK$79,(IF($A$8=Nutrients!$B$77,Nutrients!$EK$77,Nutrients!$EK$78)))))*G$8))/2000*1000000</f>
        <v>55.059750000000008</v>
      </c>
      <c r="H319" s="226"/>
      <c r="I319" s="21">
        <f>(SUMPRODUCT(I$9:I$229,Nutrients!$EK$8:$EK$228)+(IF($A$7=Nutrients!$B$8,Nutrients!$EK$8,Nutrients!$EK$9)*I$7)+(((IF($A$8=Nutrients!$B$79,Nutrients!$EK$79,(IF($A$8=Nutrients!$B$77,Nutrients!$EK$77,Nutrients!$EK$78)))))*I$8))/2000*1000000</f>
        <v>110.11950000000002</v>
      </c>
      <c r="J319" s="21">
        <f>(SUMPRODUCT(J$9:J$229,Nutrients!$EK$8:$EK$228)+(IF($A$7=Nutrients!$B$8,Nutrients!$EK$8,Nutrients!$EK$9)*J$7)+(((IF($A$8=Nutrients!$B$79,Nutrients!$EK$79,(IF($A$8=Nutrients!$B$77,Nutrients!$EK$77,Nutrients!$EK$78)))))*J$8))/2000*1000000</f>
        <v>110.11950000000002</v>
      </c>
      <c r="K319" s="21">
        <f>(SUMPRODUCT(K$9:K$229,Nutrients!$EK$8:$EK$228)+(IF($A$7=Nutrients!$B$8,Nutrients!$EK$8,Nutrients!$EK$9)*K$7)+(((IF($A$8=Nutrients!$B$79,Nutrients!$EK$79,(IF($A$8=Nutrients!$B$77,Nutrients!$EK$77,Nutrients!$EK$78)))))*K$8))/2000*1000000</f>
        <v>91.766249999999999</v>
      </c>
      <c r="L319" s="21">
        <f>(SUMPRODUCT(L$9:L$229,Nutrients!$EK$8:$EK$228)+(IF($A$7=Nutrients!$B$8,Nutrients!$EK$8,Nutrients!$EK$9)*L$7)+(((IF($A$8=Nutrients!$B$79,Nutrients!$EK$79,(IF($A$8=Nutrients!$B$77,Nutrients!$EK$77,Nutrients!$EK$78)))))*L$8))/2000*1000000</f>
        <v>73.413000000000011</v>
      </c>
      <c r="M319" s="21">
        <f>(SUMPRODUCT(M$9:M$229,Nutrients!$EK$8:$EK$228)+(IF($A$7=Nutrients!$B$8,Nutrients!$EK$8,Nutrients!$EK$9)*M$7)+(((IF($A$8=Nutrients!$B$79,Nutrients!$EK$79,(IF($A$8=Nutrients!$B$77,Nutrients!$EK$77,Nutrients!$EK$78)))))*M$8))/2000*1000000</f>
        <v>55.059750000000008</v>
      </c>
      <c r="N319" s="21">
        <f>(SUMPRODUCT(N$9:N$229,Nutrients!$EK$8:$EK$228)+(IF($A$7=Nutrients!$B$8,Nutrients!$EK$8,Nutrients!$EK$9)*N$7)+(((IF($A$8=Nutrients!$B$79,Nutrients!$EK$79,(IF($A$8=Nutrients!$B$77,Nutrients!$EK$77,Nutrients!$EK$78)))))*N$8))/2000*1000000</f>
        <v>55.059750000000008</v>
      </c>
      <c r="O319" s="234"/>
      <c r="P319" s="21">
        <f>(SUMPRODUCT(P$9:P$229,Nutrients!$EK$8:$EK$228)+(IF($A$7=Nutrients!$B$8,Nutrients!$EK$8,Nutrients!$EK$9)*P$7)+(((IF($A$8=Nutrients!$B$79,Nutrients!$EK$79,(IF($A$8=Nutrients!$B$77,Nutrients!$EK$77,Nutrients!$EK$78)))))*P$8))/2000*1000000</f>
        <v>110.11950000000002</v>
      </c>
      <c r="Q319" s="21">
        <f>(SUMPRODUCT(Q$9:Q$229,Nutrients!$EK$8:$EK$228)+(IF($A$7=Nutrients!$B$8,Nutrients!$EK$8,Nutrients!$EK$9)*Q$7)+(((IF($A$8=Nutrients!$B$79,Nutrients!$EK$79,(IF($A$8=Nutrients!$B$77,Nutrients!$EK$77,Nutrients!$EK$78)))))*Q$8))/2000*1000000</f>
        <v>110.11950000000002</v>
      </c>
      <c r="R319" s="21">
        <f>(SUMPRODUCT(R$9:R$229,Nutrients!$EK$8:$EK$228)+(IF($A$7=Nutrients!$B$8,Nutrients!$EK$8,Nutrients!$EK$9)*R$7)+(((IF($A$8=Nutrients!$B$79,Nutrients!$EK$79,(IF($A$8=Nutrients!$B$77,Nutrients!$EK$77,Nutrients!$EK$78)))))*R$8))/2000*1000000</f>
        <v>91.766249999999999</v>
      </c>
      <c r="S319" s="21">
        <f>(SUMPRODUCT(S$9:S$229,Nutrients!$EK$8:$EK$228)+(IF($A$7=Nutrients!$B$8,Nutrients!$EK$8,Nutrients!$EK$9)*S$7)+(((IF($A$8=Nutrients!$B$79,Nutrients!$EK$79,(IF($A$8=Nutrients!$B$77,Nutrients!$EK$77,Nutrients!$EK$78)))))*S$8))/2000*1000000</f>
        <v>73.413000000000011</v>
      </c>
      <c r="T319" s="21">
        <f>(SUMPRODUCT(T$9:T$229,Nutrients!$EK$8:$EK$228)+(IF($A$7=Nutrients!$B$8,Nutrients!$EK$8,Nutrients!$EK$9)*T$7)+(((IF($A$8=Nutrients!$B$79,Nutrients!$EK$79,(IF($A$8=Nutrients!$B$77,Nutrients!$EK$77,Nutrients!$EK$78)))))*T$8))/2000*1000000</f>
        <v>55.059750000000008</v>
      </c>
      <c r="U319" s="21">
        <f>(SUMPRODUCT(U$9:U$229,Nutrients!$EK$8:$EK$228)+(IF($A$7=Nutrients!$B$8,Nutrients!$EK$8,Nutrients!$EK$9)*U$7)+(((IF($A$8=Nutrients!$B$79,Nutrients!$EK$79,(IF($A$8=Nutrients!$B$77,Nutrients!$EK$77,Nutrients!$EK$78)))))*U$8))/2000*1000000</f>
        <v>55.059750000000008</v>
      </c>
      <c r="W319" s="21">
        <f>(SUMPRODUCT(W$9:W$229,Nutrients!$EK$8:$EK$228)+(IF($A$7=Nutrients!$B$8,Nutrients!$EK$8,Nutrients!$EK$9)*W$7)+(((IF($A$8=Nutrients!$B$79,Nutrients!$EK$79,(IF($A$8=Nutrients!$B$77,Nutrients!$EK$77,Nutrients!$EK$78)))))*W$8))/2000*1000000</f>
        <v>110.11950000000002</v>
      </c>
      <c r="X319" s="21">
        <f>(SUMPRODUCT(X$9:X$229,Nutrients!$EK$8:$EK$228)+(IF($A$7=Nutrients!$B$8,Nutrients!$EK$8,Nutrients!$EK$9)*X$7)+(((IF($A$8=Nutrients!$B$79,Nutrients!$EK$79,(IF($A$8=Nutrients!$B$77,Nutrients!$EK$77,Nutrients!$EK$78)))))*X$8))/2000*1000000</f>
        <v>110.11950000000002</v>
      </c>
      <c r="Y319" s="21">
        <f>(SUMPRODUCT(Y$9:Y$229,Nutrients!$EK$8:$EK$228)+(IF($A$7=Nutrients!$B$8,Nutrients!$EK$8,Nutrients!$EK$9)*Y$7)+(((IF($A$8=Nutrients!$B$79,Nutrients!$EK$79,(IF($A$8=Nutrients!$B$77,Nutrients!$EK$77,Nutrients!$EK$78)))))*Y$8))/2000*1000000</f>
        <v>91.766249999999999</v>
      </c>
      <c r="Z319" s="21">
        <f>(SUMPRODUCT(Z$9:Z$229,Nutrients!$EK$8:$EK$228)+(IF($A$7=Nutrients!$B$8,Nutrients!$EK$8,Nutrients!$EK$9)*Z$7)+(((IF($A$8=Nutrients!$B$79,Nutrients!$EK$79,(IF($A$8=Nutrients!$B$77,Nutrients!$EK$77,Nutrients!$EK$78)))))*Z$8))/2000*1000000</f>
        <v>73.413000000000011</v>
      </c>
      <c r="AA319" s="21">
        <f>(SUMPRODUCT(AA$9:AA$229,Nutrients!$EK$8:$EK$228)+(IF($A$7=Nutrients!$B$8,Nutrients!$EK$8,Nutrients!$EK$9)*AA$7)+(((IF($A$8=Nutrients!$B$79,Nutrients!$EK$79,(IF($A$8=Nutrients!$B$77,Nutrients!$EK$77,Nutrients!$EK$78)))))*AA$8))/2000*1000000</f>
        <v>55.059750000000008</v>
      </c>
      <c r="AB319" s="21">
        <f>(SUMPRODUCT(AB$9:AB$229,Nutrients!$EK$8:$EK$228)+(IF($A$7=Nutrients!$B$8,Nutrients!$EK$8,Nutrients!$EK$9)*AB$7)+(((IF($A$8=Nutrients!$B$79,Nutrients!$EK$79,(IF($A$8=Nutrients!$B$77,Nutrients!$EK$77,Nutrients!$EK$78)))))*AB$8))/2000*1000000</f>
        <v>55.059750000000008</v>
      </c>
      <c r="AD319" s="21">
        <f>(SUMPRODUCT(AD$9:AD$229,Nutrients!$EK$8:$EK$228)+(IF($A$7=Nutrients!$B$8,Nutrients!$EK$8,Nutrients!$EK$9)*AD$7)+(((IF($A$8=Nutrients!$B$79,Nutrients!$EK$79,(IF($A$8=Nutrients!$B$77,Nutrients!$EK$77,Nutrients!$EK$78)))))*AD$8))/2000*1000000</f>
        <v>110.11950000000002</v>
      </c>
      <c r="AE319" s="21">
        <f>(SUMPRODUCT(AE$9:AE$229,Nutrients!$EK$8:$EK$228)+(IF($A$7=Nutrients!$B$8,Nutrients!$EK$8,Nutrients!$EK$9)*AE$7)+(((IF($A$8=Nutrients!$B$79,Nutrients!$EK$79,(IF($A$8=Nutrients!$B$77,Nutrients!$EK$77,Nutrients!$EK$78)))))*AE$8))/2000*1000000</f>
        <v>110.11950000000002</v>
      </c>
      <c r="AF319" s="21">
        <f>(SUMPRODUCT(AF$9:AF$229,Nutrients!$EK$8:$EK$228)+(IF($A$7=Nutrients!$B$8,Nutrients!$EK$8,Nutrients!$EK$9)*AF$7)+(((IF($A$8=Nutrients!$B$79,Nutrients!$EK$79,(IF($A$8=Nutrients!$B$77,Nutrients!$EK$77,Nutrients!$EK$78)))))*AF$8))/2000*1000000</f>
        <v>91.766249999999999</v>
      </c>
      <c r="AG319" s="21">
        <f>(SUMPRODUCT(AG$9:AG$229,Nutrients!$EK$8:$EK$228)+(IF($A$7=Nutrients!$B$8,Nutrients!$EK$8,Nutrients!$EK$9)*AG$7)+(((IF($A$8=Nutrients!$B$79,Nutrients!$EK$79,(IF($A$8=Nutrients!$B$77,Nutrients!$EK$77,Nutrients!$EK$78)))))*AG$8))/2000*1000000</f>
        <v>73.413000000000011</v>
      </c>
      <c r="AH319" s="21">
        <f>(SUMPRODUCT(AH$9:AH$229,Nutrients!$EK$8:$EK$228)+(IF($A$7=Nutrients!$B$8,Nutrients!$EK$8,Nutrients!$EK$9)*AH$7)+(((IF($A$8=Nutrients!$B$79,Nutrients!$EK$79,(IF($A$8=Nutrients!$B$77,Nutrients!$EK$77,Nutrients!$EK$78)))))*AH$8))/2000*1000000</f>
        <v>55.059750000000008</v>
      </c>
      <c r="AI319" s="21">
        <f>(SUMPRODUCT(AI$9:AI$229,Nutrients!$EK$8:$EK$228)+(IF($A$7=Nutrients!$B$8,Nutrients!$EK$8,Nutrients!$EK$9)*AI$7)+(((IF($A$8=Nutrients!$B$79,Nutrients!$EK$79,(IF($A$8=Nutrients!$B$77,Nutrients!$EK$77,Nutrients!$EK$78)))))*AI$8))/2000*1000000</f>
        <v>55.059750000000008</v>
      </c>
      <c r="AK319" s="21">
        <f>(SUMPRODUCT(AK$9:AK$229,Nutrients!$EK$8:$EK$228)+(IF($A$7=Nutrients!$B$8,Nutrients!$EK$8,Nutrients!$EK$9)*AK$7)+(((IF($A$8=Nutrients!$B$79,Nutrients!$EK$79,(IF($A$8=Nutrients!$B$77,Nutrients!$EK$77,Nutrients!$EK$78)))))*AK$8))/2000*1000000</f>
        <v>110.11950000000002</v>
      </c>
      <c r="AL319" s="21">
        <f>(SUMPRODUCT(AL$9:AL$229,Nutrients!$EK$8:$EK$228)+(IF($A$7=Nutrients!$B$8,Nutrients!$EK$8,Nutrients!$EK$9)*AL$7)+(((IF($A$8=Nutrients!$B$79,Nutrients!$EK$79,(IF($A$8=Nutrients!$B$77,Nutrients!$EK$77,Nutrients!$EK$78)))))*AL$8))/2000*1000000</f>
        <v>110.11950000000002</v>
      </c>
      <c r="AM319" s="21">
        <f>(SUMPRODUCT(AM$9:AM$229,Nutrients!$EK$8:$EK$228)+(IF($A$7=Nutrients!$B$8,Nutrients!$EK$8,Nutrients!$EK$9)*AM$7)+(((IF($A$8=Nutrients!$B$79,Nutrients!$EK$79,(IF($A$8=Nutrients!$B$77,Nutrients!$EK$77,Nutrients!$EK$78)))))*AM$8))/2000*1000000</f>
        <v>91.766249999999999</v>
      </c>
      <c r="AN319" s="21">
        <f>(SUMPRODUCT(AN$9:AN$229,Nutrients!$EK$8:$EK$228)+(IF($A$7=Nutrients!$B$8,Nutrients!$EK$8,Nutrients!$EK$9)*AN$7)+(((IF($A$8=Nutrients!$B$79,Nutrients!$EK$79,(IF($A$8=Nutrients!$B$77,Nutrients!$EK$77,Nutrients!$EK$78)))))*AN$8))/2000*1000000</f>
        <v>73.413000000000011</v>
      </c>
      <c r="AO319" s="21">
        <f>(SUMPRODUCT(AO$9:AO$229,Nutrients!$EK$8:$EK$228)+(IF($A$7=Nutrients!$B$8,Nutrients!$EK$8,Nutrients!$EK$9)*AO$7)+(((IF($A$8=Nutrients!$B$79,Nutrients!$EK$79,(IF($A$8=Nutrients!$B$77,Nutrients!$EK$77,Nutrients!$EK$78)))))*AO$8))/2000*1000000</f>
        <v>55.059750000000008</v>
      </c>
      <c r="AP319" s="21">
        <f>(SUMPRODUCT(AP$9:AP$229,Nutrients!$EK$8:$EK$228)+(IF($A$7=Nutrients!$B$8,Nutrients!$EK$8,Nutrients!$EK$9)*AP$7)+(((IF($A$8=Nutrients!$B$79,Nutrients!$EK$79,(IF($A$8=Nutrients!$B$77,Nutrients!$EK$77,Nutrients!$EK$78)))))*AP$8))/2000*1000000</f>
        <v>55.059750000000008</v>
      </c>
      <c r="AR319" s="21">
        <f>(SUMPRODUCT(AR$9:AR$229,Nutrients!$EK$8:$EK$228)+(IF($A$7=Nutrients!$B$8,Nutrients!$EK$8,Nutrients!$EK$9)*AR$7)+(((IF($A$8=Nutrients!$B$79,Nutrients!$EK$79,(IF($A$8=Nutrients!$B$77,Nutrients!$EK$77,Nutrients!$EK$78)))))*AR$8))/2000*1000000</f>
        <v>110.11950000000002</v>
      </c>
      <c r="AS319" s="21">
        <f>(SUMPRODUCT(AS$9:AS$229,Nutrients!$EK$8:$EK$228)+(IF($A$7=Nutrients!$B$8,Nutrients!$EK$8,Nutrients!$EK$9)*AS$7)+(((IF($A$8=Nutrients!$B$79,Nutrients!$EK$79,(IF($A$8=Nutrients!$B$77,Nutrients!$EK$77,Nutrients!$EK$78)))))*AS$8))/2000*1000000</f>
        <v>110.11950000000002</v>
      </c>
      <c r="AT319" s="21">
        <f>(SUMPRODUCT(AT$9:AT$229,Nutrients!$EK$8:$EK$228)+(IF($A$7=Nutrients!$B$8,Nutrients!$EK$8,Nutrients!$EK$9)*AT$7)+(((IF($A$8=Nutrients!$B$79,Nutrients!$EK$79,(IF($A$8=Nutrients!$B$77,Nutrients!$EK$77,Nutrients!$EK$78)))))*AT$8))/2000*1000000</f>
        <v>91.766249999999999</v>
      </c>
      <c r="AU319" s="21">
        <f>(SUMPRODUCT(AU$9:AU$229,Nutrients!$EK$8:$EK$228)+(IF($A$7=Nutrients!$B$8,Nutrients!$EK$8,Nutrients!$EK$9)*AU$7)+(((IF($A$8=Nutrients!$B$79,Nutrients!$EK$79,(IF($A$8=Nutrients!$B$77,Nutrients!$EK$77,Nutrients!$EK$78)))))*AU$8))/2000*1000000</f>
        <v>73.413000000000011</v>
      </c>
      <c r="AV319" s="21">
        <f>(SUMPRODUCT(AV$9:AV$229,Nutrients!$EK$8:$EK$228)+(IF($A$7=Nutrients!$B$8,Nutrients!$EK$8,Nutrients!$EK$9)*AV$7)+(((IF($A$8=Nutrients!$B$79,Nutrients!$EK$79,(IF($A$8=Nutrients!$B$77,Nutrients!$EK$77,Nutrients!$EK$78)))))*AV$8))/2000*1000000</f>
        <v>55.059750000000008</v>
      </c>
      <c r="AW319" s="21">
        <f>(SUMPRODUCT(AW$9:AW$229,Nutrients!$EK$8:$EK$228)+(IF($A$7=Nutrients!$B$8,Nutrients!$EK$8,Nutrients!$EK$9)*AW$7)+(((IF($A$8=Nutrients!$B$79,Nutrients!$EK$79,(IF($A$8=Nutrients!$B$77,Nutrients!$EK$77,Nutrients!$EK$78)))))*AW$8))/2000*1000000</f>
        <v>55.059750000000008</v>
      </c>
    </row>
    <row r="320" spans="1:49" x14ac:dyDescent="0.25">
      <c r="A320" s="34" t="s">
        <v>113</v>
      </c>
      <c r="B320" s="21">
        <f>(SUMPRODUCT(B$9:B$229,Nutrients!$EL$8:$EL$228)+(IF($A$7=Nutrients!$B$8,Nutrients!$EL$8,Nutrients!$EL$9)*B$7)+(((IF($A$8=Nutrients!$B$79,Nutrients!$EL$79,(IF($A$8=Nutrients!$B$77,Nutrients!$EL$77,Nutrients!$EL$78)))))*B$8))/2000*1000000</f>
        <v>110.11950000000002</v>
      </c>
      <c r="C320" s="21">
        <f>(SUMPRODUCT(C$9:C$229,Nutrients!$EL$8:$EL$228)+(IF($A$7=Nutrients!$B$8,Nutrients!$EL$8,Nutrients!$EL$9)*C$7)+(((IF($A$8=Nutrients!$B$79,Nutrients!$EL$79,(IF($A$8=Nutrients!$B$77,Nutrients!$EL$77,Nutrients!$EL$78)))))*C$8))/2000*1000000</f>
        <v>110.11950000000002</v>
      </c>
      <c r="D320" s="21">
        <f>(SUMPRODUCT(D$9:D$229,Nutrients!$EL$8:$EL$228)+(IF($A$7=Nutrients!$B$8,Nutrients!$EL$8,Nutrients!$EL$9)*D$7)+(((IF($A$8=Nutrients!$B$79,Nutrients!$EL$79,(IF($A$8=Nutrients!$B$77,Nutrients!$EL$77,Nutrients!$EL$78)))))*D$8))/2000*1000000</f>
        <v>91.766249999999999</v>
      </c>
      <c r="E320" s="21">
        <f>(SUMPRODUCT(E$9:E$229,Nutrients!$EL$8:$EL$228)+(IF($A$7=Nutrients!$B$8,Nutrients!$EL$8,Nutrients!$EL$9)*E$7)+(((IF($A$8=Nutrients!$B$79,Nutrients!$EL$79,(IF($A$8=Nutrients!$B$77,Nutrients!$EL$77,Nutrients!$EL$78)))))*E$8))/2000*1000000</f>
        <v>73.413000000000011</v>
      </c>
      <c r="F320" s="21">
        <f>(SUMPRODUCT(F$9:F$229,Nutrients!$EL$8:$EL$228)+(IF($A$7=Nutrients!$B$8,Nutrients!$EL$8,Nutrients!$EL$9)*F$7)+(((IF($A$8=Nutrients!$B$79,Nutrients!$EL$79,(IF($A$8=Nutrients!$B$77,Nutrients!$EL$77,Nutrients!$EL$78)))))*F$8))/2000*1000000</f>
        <v>55.059750000000008</v>
      </c>
      <c r="G320" s="21">
        <f>(SUMPRODUCT(G$9:G$229,Nutrients!$EL$8:$EL$228)+(IF($A$7=Nutrients!$B$8,Nutrients!$EL$8,Nutrients!$EL$9)*G$7)+(((IF($A$8=Nutrients!$B$79,Nutrients!$EL$79,(IF($A$8=Nutrients!$B$77,Nutrients!$EL$77,Nutrients!$EL$78)))))*G$8))/2000*1000000</f>
        <v>55.059750000000008</v>
      </c>
      <c r="H320" s="226"/>
      <c r="I320" s="21">
        <f>(SUMPRODUCT(I$9:I$229,Nutrients!$EL$8:$EL$228)+(IF($A$7=Nutrients!$B$8,Nutrients!$EL$8,Nutrients!$EL$9)*I$7)+(((IF($A$8=Nutrients!$B$79,Nutrients!$EL$79,(IF($A$8=Nutrients!$B$77,Nutrients!$EL$77,Nutrients!$EL$78)))))*I$8))/2000*1000000</f>
        <v>110.11950000000002</v>
      </c>
      <c r="J320" s="21">
        <f>(SUMPRODUCT(J$9:J$229,Nutrients!$EL$8:$EL$228)+(IF($A$7=Nutrients!$B$8,Nutrients!$EL$8,Nutrients!$EL$9)*J$7)+(((IF($A$8=Nutrients!$B$79,Nutrients!$EL$79,(IF($A$8=Nutrients!$B$77,Nutrients!$EL$77,Nutrients!$EL$78)))))*J$8))/2000*1000000</f>
        <v>110.11950000000002</v>
      </c>
      <c r="K320" s="21">
        <f>(SUMPRODUCT(K$9:K$229,Nutrients!$EL$8:$EL$228)+(IF($A$7=Nutrients!$B$8,Nutrients!$EL$8,Nutrients!$EL$9)*K$7)+(((IF($A$8=Nutrients!$B$79,Nutrients!$EL$79,(IF($A$8=Nutrients!$B$77,Nutrients!$EL$77,Nutrients!$EL$78)))))*K$8))/2000*1000000</f>
        <v>91.766249999999999</v>
      </c>
      <c r="L320" s="21">
        <f>(SUMPRODUCT(L$9:L$229,Nutrients!$EL$8:$EL$228)+(IF($A$7=Nutrients!$B$8,Nutrients!$EL$8,Nutrients!$EL$9)*L$7)+(((IF($A$8=Nutrients!$B$79,Nutrients!$EL$79,(IF($A$8=Nutrients!$B$77,Nutrients!$EL$77,Nutrients!$EL$78)))))*L$8))/2000*1000000</f>
        <v>73.413000000000011</v>
      </c>
      <c r="M320" s="21">
        <f>(SUMPRODUCT(M$9:M$229,Nutrients!$EL$8:$EL$228)+(IF($A$7=Nutrients!$B$8,Nutrients!$EL$8,Nutrients!$EL$9)*M$7)+(((IF($A$8=Nutrients!$B$79,Nutrients!$EL$79,(IF($A$8=Nutrients!$B$77,Nutrients!$EL$77,Nutrients!$EL$78)))))*M$8))/2000*1000000</f>
        <v>55.059750000000008</v>
      </c>
      <c r="N320" s="21">
        <f>(SUMPRODUCT(N$9:N$229,Nutrients!$EL$8:$EL$228)+(IF($A$7=Nutrients!$B$8,Nutrients!$EL$8,Nutrients!$EL$9)*N$7)+(((IF($A$8=Nutrients!$B$79,Nutrients!$EL$79,(IF($A$8=Nutrients!$B$77,Nutrients!$EL$77,Nutrients!$EL$78)))))*N$8))/2000*1000000</f>
        <v>55.059750000000008</v>
      </c>
      <c r="O320" s="234"/>
      <c r="P320" s="21">
        <f>(SUMPRODUCT(P$9:P$229,Nutrients!$EL$8:$EL$228)+(IF($A$7=Nutrients!$B$8,Nutrients!$EL$8,Nutrients!$EL$9)*P$7)+(((IF($A$8=Nutrients!$B$79,Nutrients!$EL$79,(IF($A$8=Nutrients!$B$77,Nutrients!$EL$77,Nutrients!$EL$78)))))*P$8))/2000*1000000</f>
        <v>110.11950000000002</v>
      </c>
      <c r="Q320" s="21">
        <f>(SUMPRODUCT(Q$9:Q$229,Nutrients!$EL$8:$EL$228)+(IF($A$7=Nutrients!$B$8,Nutrients!$EL$8,Nutrients!$EL$9)*Q$7)+(((IF($A$8=Nutrients!$B$79,Nutrients!$EL$79,(IF($A$8=Nutrients!$B$77,Nutrients!$EL$77,Nutrients!$EL$78)))))*Q$8))/2000*1000000</f>
        <v>110.11950000000002</v>
      </c>
      <c r="R320" s="21">
        <f>(SUMPRODUCT(R$9:R$229,Nutrients!$EL$8:$EL$228)+(IF($A$7=Nutrients!$B$8,Nutrients!$EL$8,Nutrients!$EL$9)*R$7)+(((IF($A$8=Nutrients!$B$79,Nutrients!$EL$79,(IF($A$8=Nutrients!$B$77,Nutrients!$EL$77,Nutrients!$EL$78)))))*R$8))/2000*1000000</f>
        <v>91.766249999999999</v>
      </c>
      <c r="S320" s="21">
        <f>(SUMPRODUCT(S$9:S$229,Nutrients!$EL$8:$EL$228)+(IF($A$7=Nutrients!$B$8,Nutrients!$EL$8,Nutrients!$EL$9)*S$7)+(((IF($A$8=Nutrients!$B$79,Nutrients!$EL$79,(IF($A$8=Nutrients!$B$77,Nutrients!$EL$77,Nutrients!$EL$78)))))*S$8))/2000*1000000</f>
        <v>73.413000000000011</v>
      </c>
      <c r="T320" s="21">
        <f>(SUMPRODUCT(T$9:T$229,Nutrients!$EL$8:$EL$228)+(IF($A$7=Nutrients!$B$8,Nutrients!$EL$8,Nutrients!$EL$9)*T$7)+(((IF($A$8=Nutrients!$B$79,Nutrients!$EL$79,(IF($A$8=Nutrients!$B$77,Nutrients!$EL$77,Nutrients!$EL$78)))))*T$8))/2000*1000000</f>
        <v>55.059750000000008</v>
      </c>
      <c r="U320" s="21">
        <f>(SUMPRODUCT(U$9:U$229,Nutrients!$EL$8:$EL$228)+(IF($A$7=Nutrients!$B$8,Nutrients!$EL$8,Nutrients!$EL$9)*U$7)+(((IF($A$8=Nutrients!$B$79,Nutrients!$EL$79,(IF($A$8=Nutrients!$B$77,Nutrients!$EL$77,Nutrients!$EL$78)))))*U$8))/2000*1000000</f>
        <v>55.059750000000008</v>
      </c>
      <c r="W320" s="21">
        <f>(SUMPRODUCT(W$9:W$229,Nutrients!$EL$8:$EL$228)+(IF($A$7=Nutrients!$B$8,Nutrients!$EL$8,Nutrients!$EL$9)*W$7)+(((IF($A$8=Nutrients!$B$79,Nutrients!$EL$79,(IF($A$8=Nutrients!$B$77,Nutrients!$EL$77,Nutrients!$EL$78)))))*W$8))/2000*1000000</f>
        <v>110.11950000000002</v>
      </c>
      <c r="X320" s="21">
        <f>(SUMPRODUCT(X$9:X$229,Nutrients!$EL$8:$EL$228)+(IF($A$7=Nutrients!$B$8,Nutrients!$EL$8,Nutrients!$EL$9)*X$7)+(((IF($A$8=Nutrients!$B$79,Nutrients!$EL$79,(IF($A$8=Nutrients!$B$77,Nutrients!$EL$77,Nutrients!$EL$78)))))*X$8))/2000*1000000</f>
        <v>110.11950000000002</v>
      </c>
      <c r="Y320" s="21">
        <f>(SUMPRODUCT(Y$9:Y$229,Nutrients!$EL$8:$EL$228)+(IF($A$7=Nutrients!$B$8,Nutrients!$EL$8,Nutrients!$EL$9)*Y$7)+(((IF($A$8=Nutrients!$B$79,Nutrients!$EL$79,(IF($A$8=Nutrients!$B$77,Nutrients!$EL$77,Nutrients!$EL$78)))))*Y$8))/2000*1000000</f>
        <v>91.766249999999999</v>
      </c>
      <c r="Z320" s="21">
        <f>(SUMPRODUCT(Z$9:Z$229,Nutrients!$EL$8:$EL$228)+(IF($A$7=Nutrients!$B$8,Nutrients!$EL$8,Nutrients!$EL$9)*Z$7)+(((IF($A$8=Nutrients!$B$79,Nutrients!$EL$79,(IF($A$8=Nutrients!$B$77,Nutrients!$EL$77,Nutrients!$EL$78)))))*Z$8))/2000*1000000</f>
        <v>73.413000000000011</v>
      </c>
      <c r="AA320" s="21">
        <f>(SUMPRODUCT(AA$9:AA$229,Nutrients!$EL$8:$EL$228)+(IF($A$7=Nutrients!$B$8,Nutrients!$EL$8,Nutrients!$EL$9)*AA$7)+(((IF($A$8=Nutrients!$B$79,Nutrients!$EL$79,(IF($A$8=Nutrients!$B$77,Nutrients!$EL$77,Nutrients!$EL$78)))))*AA$8))/2000*1000000</f>
        <v>55.059750000000008</v>
      </c>
      <c r="AB320" s="21">
        <f>(SUMPRODUCT(AB$9:AB$229,Nutrients!$EL$8:$EL$228)+(IF($A$7=Nutrients!$B$8,Nutrients!$EL$8,Nutrients!$EL$9)*AB$7)+(((IF($A$8=Nutrients!$B$79,Nutrients!$EL$79,(IF($A$8=Nutrients!$B$77,Nutrients!$EL$77,Nutrients!$EL$78)))))*AB$8))/2000*1000000</f>
        <v>55.059750000000008</v>
      </c>
      <c r="AD320" s="21">
        <f>(SUMPRODUCT(AD$9:AD$229,Nutrients!$EL$8:$EL$228)+(IF($A$7=Nutrients!$B$8,Nutrients!$EL$8,Nutrients!$EL$9)*AD$7)+(((IF($A$8=Nutrients!$B$79,Nutrients!$EL$79,(IF($A$8=Nutrients!$B$77,Nutrients!$EL$77,Nutrients!$EL$78)))))*AD$8))/2000*1000000</f>
        <v>110.11950000000002</v>
      </c>
      <c r="AE320" s="21">
        <f>(SUMPRODUCT(AE$9:AE$229,Nutrients!$EL$8:$EL$228)+(IF($A$7=Nutrients!$B$8,Nutrients!$EL$8,Nutrients!$EL$9)*AE$7)+(((IF($A$8=Nutrients!$B$79,Nutrients!$EL$79,(IF($A$8=Nutrients!$B$77,Nutrients!$EL$77,Nutrients!$EL$78)))))*AE$8))/2000*1000000</f>
        <v>110.11950000000002</v>
      </c>
      <c r="AF320" s="21">
        <f>(SUMPRODUCT(AF$9:AF$229,Nutrients!$EL$8:$EL$228)+(IF($A$7=Nutrients!$B$8,Nutrients!$EL$8,Nutrients!$EL$9)*AF$7)+(((IF($A$8=Nutrients!$B$79,Nutrients!$EL$79,(IF($A$8=Nutrients!$B$77,Nutrients!$EL$77,Nutrients!$EL$78)))))*AF$8))/2000*1000000</f>
        <v>91.766249999999999</v>
      </c>
      <c r="AG320" s="21">
        <f>(SUMPRODUCT(AG$9:AG$229,Nutrients!$EL$8:$EL$228)+(IF($A$7=Nutrients!$B$8,Nutrients!$EL$8,Nutrients!$EL$9)*AG$7)+(((IF($A$8=Nutrients!$B$79,Nutrients!$EL$79,(IF($A$8=Nutrients!$B$77,Nutrients!$EL$77,Nutrients!$EL$78)))))*AG$8))/2000*1000000</f>
        <v>73.413000000000011</v>
      </c>
      <c r="AH320" s="21">
        <f>(SUMPRODUCT(AH$9:AH$229,Nutrients!$EL$8:$EL$228)+(IF($A$7=Nutrients!$B$8,Nutrients!$EL$8,Nutrients!$EL$9)*AH$7)+(((IF($A$8=Nutrients!$B$79,Nutrients!$EL$79,(IF($A$8=Nutrients!$B$77,Nutrients!$EL$77,Nutrients!$EL$78)))))*AH$8))/2000*1000000</f>
        <v>55.059750000000008</v>
      </c>
      <c r="AI320" s="21">
        <f>(SUMPRODUCT(AI$9:AI$229,Nutrients!$EL$8:$EL$228)+(IF($A$7=Nutrients!$B$8,Nutrients!$EL$8,Nutrients!$EL$9)*AI$7)+(((IF($A$8=Nutrients!$B$79,Nutrients!$EL$79,(IF($A$8=Nutrients!$B$77,Nutrients!$EL$77,Nutrients!$EL$78)))))*AI$8))/2000*1000000</f>
        <v>55.059750000000008</v>
      </c>
      <c r="AK320" s="21">
        <f>(SUMPRODUCT(AK$9:AK$229,Nutrients!$EL$8:$EL$228)+(IF($A$7=Nutrients!$B$8,Nutrients!$EL$8,Nutrients!$EL$9)*AK$7)+(((IF($A$8=Nutrients!$B$79,Nutrients!$EL$79,(IF($A$8=Nutrients!$B$77,Nutrients!$EL$77,Nutrients!$EL$78)))))*AK$8))/2000*1000000</f>
        <v>110.11950000000002</v>
      </c>
      <c r="AL320" s="21">
        <f>(SUMPRODUCT(AL$9:AL$229,Nutrients!$EL$8:$EL$228)+(IF($A$7=Nutrients!$B$8,Nutrients!$EL$8,Nutrients!$EL$9)*AL$7)+(((IF($A$8=Nutrients!$B$79,Nutrients!$EL$79,(IF($A$8=Nutrients!$B$77,Nutrients!$EL$77,Nutrients!$EL$78)))))*AL$8))/2000*1000000</f>
        <v>110.11950000000002</v>
      </c>
      <c r="AM320" s="21">
        <f>(SUMPRODUCT(AM$9:AM$229,Nutrients!$EL$8:$EL$228)+(IF($A$7=Nutrients!$B$8,Nutrients!$EL$8,Nutrients!$EL$9)*AM$7)+(((IF($A$8=Nutrients!$B$79,Nutrients!$EL$79,(IF($A$8=Nutrients!$B$77,Nutrients!$EL$77,Nutrients!$EL$78)))))*AM$8))/2000*1000000</f>
        <v>91.766249999999999</v>
      </c>
      <c r="AN320" s="21">
        <f>(SUMPRODUCT(AN$9:AN$229,Nutrients!$EL$8:$EL$228)+(IF($A$7=Nutrients!$B$8,Nutrients!$EL$8,Nutrients!$EL$9)*AN$7)+(((IF($A$8=Nutrients!$B$79,Nutrients!$EL$79,(IF($A$8=Nutrients!$B$77,Nutrients!$EL$77,Nutrients!$EL$78)))))*AN$8))/2000*1000000</f>
        <v>73.413000000000011</v>
      </c>
      <c r="AO320" s="21">
        <f>(SUMPRODUCT(AO$9:AO$229,Nutrients!$EL$8:$EL$228)+(IF($A$7=Nutrients!$B$8,Nutrients!$EL$8,Nutrients!$EL$9)*AO$7)+(((IF($A$8=Nutrients!$B$79,Nutrients!$EL$79,(IF($A$8=Nutrients!$B$77,Nutrients!$EL$77,Nutrients!$EL$78)))))*AO$8))/2000*1000000</f>
        <v>55.059750000000008</v>
      </c>
      <c r="AP320" s="21">
        <f>(SUMPRODUCT(AP$9:AP$229,Nutrients!$EL$8:$EL$228)+(IF($A$7=Nutrients!$B$8,Nutrients!$EL$8,Nutrients!$EL$9)*AP$7)+(((IF($A$8=Nutrients!$B$79,Nutrients!$EL$79,(IF($A$8=Nutrients!$B$77,Nutrients!$EL$77,Nutrients!$EL$78)))))*AP$8))/2000*1000000</f>
        <v>55.059750000000008</v>
      </c>
      <c r="AR320" s="21">
        <f>(SUMPRODUCT(AR$9:AR$229,Nutrients!$EL$8:$EL$228)+(IF($A$7=Nutrients!$B$8,Nutrients!$EL$8,Nutrients!$EL$9)*AR$7)+(((IF($A$8=Nutrients!$B$79,Nutrients!$EL$79,(IF($A$8=Nutrients!$B$77,Nutrients!$EL$77,Nutrients!$EL$78)))))*AR$8))/2000*1000000</f>
        <v>110.11950000000002</v>
      </c>
      <c r="AS320" s="21">
        <f>(SUMPRODUCT(AS$9:AS$229,Nutrients!$EL$8:$EL$228)+(IF($A$7=Nutrients!$B$8,Nutrients!$EL$8,Nutrients!$EL$9)*AS$7)+(((IF($A$8=Nutrients!$B$79,Nutrients!$EL$79,(IF($A$8=Nutrients!$B$77,Nutrients!$EL$77,Nutrients!$EL$78)))))*AS$8))/2000*1000000</f>
        <v>110.11950000000002</v>
      </c>
      <c r="AT320" s="21">
        <f>(SUMPRODUCT(AT$9:AT$229,Nutrients!$EL$8:$EL$228)+(IF($A$7=Nutrients!$B$8,Nutrients!$EL$8,Nutrients!$EL$9)*AT$7)+(((IF($A$8=Nutrients!$B$79,Nutrients!$EL$79,(IF($A$8=Nutrients!$B$77,Nutrients!$EL$77,Nutrients!$EL$78)))))*AT$8))/2000*1000000</f>
        <v>91.766249999999999</v>
      </c>
      <c r="AU320" s="21">
        <f>(SUMPRODUCT(AU$9:AU$229,Nutrients!$EL$8:$EL$228)+(IF($A$7=Nutrients!$B$8,Nutrients!$EL$8,Nutrients!$EL$9)*AU$7)+(((IF($A$8=Nutrients!$B$79,Nutrients!$EL$79,(IF($A$8=Nutrients!$B$77,Nutrients!$EL$77,Nutrients!$EL$78)))))*AU$8))/2000*1000000</f>
        <v>73.413000000000011</v>
      </c>
      <c r="AV320" s="21">
        <f>(SUMPRODUCT(AV$9:AV$229,Nutrients!$EL$8:$EL$228)+(IF($A$7=Nutrients!$B$8,Nutrients!$EL$8,Nutrients!$EL$9)*AV$7)+(((IF($A$8=Nutrients!$B$79,Nutrients!$EL$79,(IF($A$8=Nutrients!$B$77,Nutrients!$EL$77,Nutrients!$EL$78)))))*AV$8))/2000*1000000</f>
        <v>55.059750000000008</v>
      </c>
      <c r="AW320" s="21">
        <f>(SUMPRODUCT(AW$9:AW$229,Nutrients!$EL$8:$EL$228)+(IF($A$7=Nutrients!$B$8,Nutrients!$EL$8,Nutrients!$EL$9)*AW$7)+(((IF($A$8=Nutrients!$B$79,Nutrients!$EL$79,(IF($A$8=Nutrients!$B$77,Nutrients!$EL$77,Nutrients!$EL$78)))))*AW$8))/2000*1000000</f>
        <v>55.059750000000008</v>
      </c>
    </row>
    <row r="321" spans="1:49" x14ac:dyDescent="0.25">
      <c r="A321" s="34" t="s">
        <v>114</v>
      </c>
      <c r="B321" s="21">
        <f>(SUMPRODUCT(B$9:B$229,Nutrients!$EM$8:$EM$228)+(IF($A$7=Nutrients!$B$8,Nutrients!$EM$8,Nutrients!$EM$9)*B$7)+(((IF($A$8=Nutrients!$B$79,Nutrients!$EM$79,(IF($A$8=Nutrients!$B$77,Nutrients!$EM$77,Nutrients!$EM$78)))))*B$8))/2000*1000000</f>
        <v>33.068999999999996</v>
      </c>
      <c r="C321" s="21">
        <f>(SUMPRODUCT(C$9:C$229,Nutrients!$EM$8:$EM$228)+(IF($A$7=Nutrients!$B$8,Nutrients!$EM$8,Nutrients!$EM$9)*C$7)+(((IF($A$8=Nutrients!$B$79,Nutrients!$EM$79,(IF($A$8=Nutrients!$B$77,Nutrients!$EM$77,Nutrients!$EM$78)))))*C$8))/2000*1000000</f>
        <v>33.068999999999996</v>
      </c>
      <c r="D321" s="21">
        <f>(SUMPRODUCT(D$9:D$229,Nutrients!$EM$8:$EM$228)+(IF($A$7=Nutrients!$B$8,Nutrients!$EM$8,Nutrients!$EM$9)*D$7)+(((IF($A$8=Nutrients!$B$79,Nutrients!$EM$79,(IF($A$8=Nutrients!$B$77,Nutrients!$EM$77,Nutrients!$EM$78)))))*D$8))/2000*1000000</f>
        <v>27.557499999999997</v>
      </c>
      <c r="E321" s="21">
        <f>(SUMPRODUCT(E$9:E$229,Nutrients!$EM$8:$EM$228)+(IF($A$7=Nutrients!$B$8,Nutrients!$EM$8,Nutrients!$EM$9)*E$7)+(((IF($A$8=Nutrients!$B$79,Nutrients!$EM$79,(IF($A$8=Nutrients!$B$77,Nutrients!$EM$77,Nutrients!$EM$78)))))*E$8))/2000*1000000</f>
        <v>22.045999999999999</v>
      </c>
      <c r="F321" s="21">
        <f>(SUMPRODUCT(F$9:F$229,Nutrients!$EM$8:$EM$228)+(IF($A$7=Nutrients!$B$8,Nutrients!$EM$8,Nutrients!$EM$9)*F$7)+(((IF($A$8=Nutrients!$B$79,Nutrients!$EM$79,(IF($A$8=Nutrients!$B$77,Nutrients!$EM$77,Nutrients!$EM$78)))))*F$8))/2000*1000000</f>
        <v>16.534499999999998</v>
      </c>
      <c r="G321" s="21">
        <f>(SUMPRODUCT(G$9:G$229,Nutrients!$EM$8:$EM$228)+(IF($A$7=Nutrients!$B$8,Nutrients!$EM$8,Nutrients!$EM$9)*G$7)+(((IF($A$8=Nutrients!$B$79,Nutrients!$EM$79,(IF($A$8=Nutrients!$B$77,Nutrients!$EM$77,Nutrients!$EM$78)))))*G$8))/2000*1000000</f>
        <v>16.534499999999998</v>
      </c>
      <c r="H321" s="226"/>
      <c r="I321" s="21">
        <f>(SUMPRODUCT(I$9:I$229,Nutrients!$EM$8:$EM$228)+(IF($A$7=Nutrients!$B$8,Nutrients!$EM$8,Nutrients!$EM$9)*I$7)+(((IF($A$8=Nutrients!$B$79,Nutrients!$EM$79,(IF($A$8=Nutrients!$B$77,Nutrients!$EM$77,Nutrients!$EM$78)))))*I$8))/2000*1000000</f>
        <v>33.068999999999996</v>
      </c>
      <c r="J321" s="21">
        <f>(SUMPRODUCT(J$9:J$229,Nutrients!$EM$8:$EM$228)+(IF($A$7=Nutrients!$B$8,Nutrients!$EM$8,Nutrients!$EM$9)*J$7)+(((IF($A$8=Nutrients!$B$79,Nutrients!$EM$79,(IF($A$8=Nutrients!$B$77,Nutrients!$EM$77,Nutrients!$EM$78)))))*J$8))/2000*1000000</f>
        <v>33.068999999999996</v>
      </c>
      <c r="K321" s="21">
        <f>(SUMPRODUCT(K$9:K$229,Nutrients!$EM$8:$EM$228)+(IF($A$7=Nutrients!$B$8,Nutrients!$EM$8,Nutrients!$EM$9)*K$7)+(((IF($A$8=Nutrients!$B$79,Nutrients!$EM$79,(IF($A$8=Nutrients!$B$77,Nutrients!$EM$77,Nutrients!$EM$78)))))*K$8))/2000*1000000</f>
        <v>27.557499999999997</v>
      </c>
      <c r="L321" s="21">
        <f>(SUMPRODUCT(L$9:L$229,Nutrients!$EM$8:$EM$228)+(IF($A$7=Nutrients!$B$8,Nutrients!$EM$8,Nutrients!$EM$9)*L$7)+(((IF($A$8=Nutrients!$B$79,Nutrients!$EM$79,(IF($A$8=Nutrients!$B$77,Nutrients!$EM$77,Nutrients!$EM$78)))))*L$8))/2000*1000000</f>
        <v>22.045999999999999</v>
      </c>
      <c r="M321" s="21">
        <f>(SUMPRODUCT(M$9:M$229,Nutrients!$EM$8:$EM$228)+(IF($A$7=Nutrients!$B$8,Nutrients!$EM$8,Nutrients!$EM$9)*M$7)+(((IF($A$8=Nutrients!$B$79,Nutrients!$EM$79,(IF($A$8=Nutrients!$B$77,Nutrients!$EM$77,Nutrients!$EM$78)))))*M$8))/2000*1000000</f>
        <v>16.534499999999998</v>
      </c>
      <c r="N321" s="21">
        <f>(SUMPRODUCT(N$9:N$229,Nutrients!$EM$8:$EM$228)+(IF($A$7=Nutrients!$B$8,Nutrients!$EM$8,Nutrients!$EM$9)*N$7)+(((IF($A$8=Nutrients!$B$79,Nutrients!$EM$79,(IF($A$8=Nutrients!$B$77,Nutrients!$EM$77,Nutrients!$EM$78)))))*N$8))/2000*1000000</f>
        <v>16.534499999999998</v>
      </c>
      <c r="O321" s="234"/>
      <c r="P321" s="21">
        <f>(SUMPRODUCT(P$9:P$229,Nutrients!$EM$8:$EM$228)+(IF($A$7=Nutrients!$B$8,Nutrients!$EM$8,Nutrients!$EM$9)*P$7)+(((IF($A$8=Nutrients!$B$79,Nutrients!$EM$79,(IF($A$8=Nutrients!$B$77,Nutrients!$EM$77,Nutrients!$EM$78)))))*P$8))/2000*1000000</f>
        <v>33.068999999999996</v>
      </c>
      <c r="Q321" s="21">
        <f>(SUMPRODUCT(Q$9:Q$229,Nutrients!$EM$8:$EM$228)+(IF($A$7=Nutrients!$B$8,Nutrients!$EM$8,Nutrients!$EM$9)*Q$7)+(((IF($A$8=Nutrients!$B$79,Nutrients!$EM$79,(IF($A$8=Nutrients!$B$77,Nutrients!$EM$77,Nutrients!$EM$78)))))*Q$8))/2000*1000000</f>
        <v>33.068999999999996</v>
      </c>
      <c r="R321" s="21">
        <f>(SUMPRODUCT(R$9:R$229,Nutrients!$EM$8:$EM$228)+(IF($A$7=Nutrients!$B$8,Nutrients!$EM$8,Nutrients!$EM$9)*R$7)+(((IF($A$8=Nutrients!$B$79,Nutrients!$EM$79,(IF($A$8=Nutrients!$B$77,Nutrients!$EM$77,Nutrients!$EM$78)))))*R$8))/2000*1000000</f>
        <v>27.557499999999997</v>
      </c>
      <c r="S321" s="21">
        <f>(SUMPRODUCT(S$9:S$229,Nutrients!$EM$8:$EM$228)+(IF($A$7=Nutrients!$B$8,Nutrients!$EM$8,Nutrients!$EM$9)*S$7)+(((IF($A$8=Nutrients!$B$79,Nutrients!$EM$79,(IF($A$8=Nutrients!$B$77,Nutrients!$EM$77,Nutrients!$EM$78)))))*S$8))/2000*1000000</f>
        <v>22.045999999999999</v>
      </c>
      <c r="T321" s="21">
        <f>(SUMPRODUCT(T$9:T$229,Nutrients!$EM$8:$EM$228)+(IF($A$7=Nutrients!$B$8,Nutrients!$EM$8,Nutrients!$EM$9)*T$7)+(((IF($A$8=Nutrients!$B$79,Nutrients!$EM$79,(IF($A$8=Nutrients!$B$77,Nutrients!$EM$77,Nutrients!$EM$78)))))*T$8))/2000*1000000</f>
        <v>16.534499999999998</v>
      </c>
      <c r="U321" s="21">
        <f>(SUMPRODUCT(U$9:U$229,Nutrients!$EM$8:$EM$228)+(IF($A$7=Nutrients!$B$8,Nutrients!$EM$8,Nutrients!$EM$9)*U$7)+(((IF($A$8=Nutrients!$B$79,Nutrients!$EM$79,(IF($A$8=Nutrients!$B$77,Nutrients!$EM$77,Nutrients!$EM$78)))))*U$8))/2000*1000000</f>
        <v>16.534499999999998</v>
      </c>
      <c r="W321" s="21">
        <f>(SUMPRODUCT(W$9:W$229,Nutrients!$EM$8:$EM$228)+(IF($A$7=Nutrients!$B$8,Nutrients!$EM$8,Nutrients!$EM$9)*W$7)+(((IF($A$8=Nutrients!$B$79,Nutrients!$EM$79,(IF($A$8=Nutrients!$B$77,Nutrients!$EM$77,Nutrients!$EM$78)))))*W$8))/2000*1000000</f>
        <v>33.068999999999996</v>
      </c>
      <c r="X321" s="21">
        <f>(SUMPRODUCT(X$9:X$229,Nutrients!$EM$8:$EM$228)+(IF($A$7=Nutrients!$B$8,Nutrients!$EM$8,Nutrients!$EM$9)*X$7)+(((IF($A$8=Nutrients!$B$79,Nutrients!$EM$79,(IF($A$8=Nutrients!$B$77,Nutrients!$EM$77,Nutrients!$EM$78)))))*X$8))/2000*1000000</f>
        <v>33.068999999999996</v>
      </c>
      <c r="Y321" s="21">
        <f>(SUMPRODUCT(Y$9:Y$229,Nutrients!$EM$8:$EM$228)+(IF($A$7=Nutrients!$B$8,Nutrients!$EM$8,Nutrients!$EM$9)*Y$7)+(((IF($A$8=Nutrients!$B$79,Nutrients!$EM$79,(IF($A$8=Nutrients!$B$77,Nutrients!$EM$77,Nutrients!$EM$78)))))*Y$8))/2000*1000000</f>
        <v>27.557499999999997</v>
      </c>
      <c r="Z321" s="21">
        <f>(SUMPRODUCT(Z$9:Z$229,Nutrients!$EM$8:$EM$228)+(IF($A$7=Nutrients!$B$8,Nutrients!$EM$8,Nutrients!$EM$9)*Z$7)+(((IF($A$8=Nutrients!$B$79,Nutrients!$EM$79,(IF($A$8=Nutrients!$B$77,Nutrients!$EM$77,Nutrients!$EM$78)))))*Z$8))/2000*1000000</f>
        <v>22.045999999999999</v>
      </c>
      <c r="AA321" s="21">
        <f>(SUMPRODUCT(AA$9:AA$229,Nutrients!$EM$8:$EM$228)+(IF($A$7=Nutrients!$B$8,Nutrients!$EM$8,Nutrients!$EM$9)*AA$7)+(((IF($A$8=Nutrients!$B$79,Nutrients!$EM$79,(IF($A$8=Nutrients!$B$77,Nutrients!$EM$77,Nutrients!$EM$78)))))*AA$8))/2000*1000000</f>
        <v>16.534499999999998</v>
      </c>
      <c r="AB321" s="21">
        <f>(SUMPRODUCT(AB$9:AB$229,Nutrients!$EM$8:$EM$228)+(IF($A$7=Nutrients!$B$8,Nutrients!$EM$8,Nutrients!$EM$9)*AB$7)+(((IF($A$8=Nutrients!$B$79,Nutrients!$EM$79,(IF($A$8=Nutrients!$B$77,Nutrients!$EM$77,Nutrients!$EM$78)))))*AB$8))/2000*1000000</f>
        <v>16.534499999999998</v>
      </c>
      <c r="AD321" s="21">
        <f>(SUMPRODUCT(AD$9:AD$229,Nutrients!$EM$8:$EM$228)+(IF($A$7=Nutrients!$B$8,Nutrients!$EM$8,Nutrients!$EM$9)*AD$7)+(((IF($A$8=Nutrients!$B$79,Nutrients!$EM$79,(IF($A$8=Nutrients!$B$77,Nutrients!$EM$77,Nutrients!$EM$78)))))*AD$8))/2000*1000000</f>
        <v>33.068999999999996</v>
      </c>
      <c r="AE321" s="21">
        <f>(SUMPRODUCT(AE$9:AE$229,Nutrients!$EM$8:$EM$228)+(IF($A$7=Nutrients!$B$8,Nutrients!$EM$8,Nutrients!$EM$9)*AE$7)+(((IF($A$8=Nutrients!$B$79,Nutrients!$EM$79,(IF($A$8=Nutrients!$B$77,Nutrients!$EM$77,Nutrients!$EM$78)))))*AE$8))/2000*1000000</f>
        <v>33.068999999999996</v>
      </c>
      <c r="AF321" s="21">
        <f>(SUMPRODUCT(AF$9:AF$229,Nutrients!$EM$8:$EM$228)+(IF($A$7=Nutrients!$B$8,Nutrients!$EM$8,Nutrients!$EM$9)*AF$7)+(((IF($A$8=Nutrients!$B$79,Nutrients!$EM$79,(IF($A$8=Nutrients!$B$77,Nutrients!$EM$77,Nutrients!$EM$78)))))*AF$8))/2000*1000000</f>
        <v>27.557499999999997</v>
      </c>
      <c r="AG321" s="21">
        <f>(SUMPRODUCT(AG$9:AG$229,Nutrients!$EM$8:$EM$228)+(IF($A$7=Nutrients!$B$8,Nutrients!$EM$8,Nutrients!$EM$9)*AG$7)+(((IF($A$8=Nutrients!$B$79,Nutrients!$EM$79,(IF($A$8=Nutrients!$B$77,Nutrients!$EM$77,Nutrients!$EM$78)))))*AG$8))/2000*1000000</f>
        <v>22.045999999999999</v>
      </c>
      <c r="AH321" s="21">
        <f>(SUMPRODUCT(AH$9:AH$229,Nutrients!$EM$8:$EM$228)+(IF($A$7=Nutrients!$B$8,Nutrients!$EM$8,Nutrients!$EM$9)*AH$7)+(((IF($A$8=Nutrients!$B$79,Nutrients!$EM$79,(IF($A$8=Nutrients!$B$77,Nutrients!$EM$77,Nutrients!$EM$78)))))*AH$8))/2000*1000000</f>
        <v>16.534499999999998</v>
      </c>
      <c r="AI321" s="21">
        <f>(SUMPRODUCT(AI$9:AI$229,Nutrients!$EM$8:$EM$228)+(IF($A$7=Nutrients!$B$8,Nutrients!$EM$8,Nutrients!$EM$9)*AI$7)+(((IF($A$8=Nutrients!$B$79,Nutrients!$EM$79,(IF($A$8=Nutrients!$B$77,Nutrients!$EM$77,Nutrients!$EM$78)))))*AI$8))/2000*1000000</f>
        <v>16.534499999999998</v>
      </c>
      <c r="AK321" s="21">
        <f>(SUMPRODUCT(AK$9:AK$229,Nutrients!$EM$8:$EM$228)+(IF($A$7=Nutrients!$B$8,Nutrients!$EM$8,Nutrients!$EM$9)*AK$7)+(((IF($A$8=Nutrients!$B$79,Nutrients!$EM$79,(IF($A$8=Nutrients!$B$77,Nutrients!$EM$77,Nutrients!$EM$78)))))*AK$8))/2000*1000000</f>
        <v>33.068999999999996</v>
      </c>
      <c r="AL321" s="21">
        <f>(SUMPRODUCT(AL$9:AL$229,Nutrients!$EM$8:$EM$228)+(IF($A$7=Nutrients!$B$8,Nutrients!$EM$8,Nutrients!$EM$9)*AL$7)+(((IF($A$8=Nutrients!$B$79,Nutrients!$EM$79,(IF($A$8=Nutrients!$B$77,Nutrients!$EM$77,Nutrients!$EM$78)))))*AL$8))/2000*1000000</f>
        <v>33.068999999999996</v>
      </c>
      <c r="AM321" s="21">
        <f>(SUMPRODUCT(AM$9:AM$229,Nutrients!$EM$8:$EM$228)+(IF($A$7=Nutrients!$B$8,Nutrients!$EM$8,Nutrients!$EM$9)*AM$7)+(((IF($A$8=Nutrients!$B$79,Nutrients!$EM$79,(IF($A$8=Nutrients!$B$77,Nutrients!$EM$77,Nutrients!$EM$78)))))*AM$8))/2000*1000000</f>
        <v>27.557499999999997</v>
      </c>
      <c r="AN321" s="21">
        <f>(SUMPRODUCT(AN$9:AN$229,Nutrients!$EM$8:$EM$228)+(IF($A$7=Nutrients!$B$8,Nutrients!$EM$8,Nutrients!$EM$9)*AN$7)+(((IF($A$8=Nutrients!$B$79,Nutrients!$EM$79,(IF($A$8=Nutrients!$B$77,Nutrients!$EM$77,Nutrients!$EM$78)))))*AN$8))/2000*1000000</f>
        <v>22.045999999999999</v>
      </c>
      <c r="AO321" s="21">
        <f>(SUMPRODUCT(AO$9:AO$229,Nutrients!$EM$8:$EM$228)+(IF($A$7=Nutrients!$B$8,Nutrients!$EM$8,Nutrients!$EM$9)*AO$7)+(((IF($A$8=Nutrients!$B$79,Nutrients!$EM$79,(IF($A$8=Nutrients!$B$77,Nutrients!$EM$77,Nutrients!$EM$78)))))*AO$8))/2000*1000000</f>
        <v>16.534499999999998</v>
      </c>
      <c r="AP321" s="21">
        <f>(SUMPRODUCT(AP$9:AP$229,Nutrients!$EM$8:$EM$228)+(IF($A$7=Nutrients!$B$8,Nutrients!$EM$8,Nutrients!$EM$9)*AP$7)+(((IF($A$8=Nutrients!$B$79,Nutrients!$EM$79,(IF($A$8=Nutrients!$B$77,Nutrients!$EM$77,Nutrients!$EM$78)))))*AP$8))/2000*1000000</f>
        <v>16.534499999999998</v>
      </c>
      <c r="AR321" s="21">
        <f>(SUMPRODUCT(AR$9:AR$229,Nutrients!$EM$8:$EM$228)+(IF($A$7=Nutrients!$B$8,Nutrients!$EM$8,Nutrients!$EM$9)*AR$7)+(((IF($A$8=Nutrients!$B$79,Nutrients!$EM$79,(IF($A$8=Nutrients!$B$77,Nutrients!$EM$77,Nutrients!$EM$78)))))*AR$8))/2000*1000000</f>
        <v>33.068999999999996</v>
      </c>
      <c r="AS321" s="21">
        <f>(SUMPRODUCT(AS$9:AS$229,Nutrients!$EM$8:$EM$228)+(IF($A$7=Nutrients!$B$8,Nutrients!$EM$8,Nutrients!$EM$9)*AS$7)+(((IF($A$8=Nutrients!$B$79,Nutrients!$EM$79,(IF($A$8=Nutrients!$B$77,Nutrients!$EM$77,Nutrients!$EM$78)))))*AS$8))/2000*1000000</f>
        <v>33.068999999999996</v>
      </c>
      <c r="AT321" s="21">
        <f>(SUMPRODUCT(AT$9:AT$229,Nutrients!$EM$8:$EM$228)+(IF($A$7=Nutrients!$B$8,Nutrients!$EM$8,Nutrients!$EM$9)*AT$7)+(((IF($A$8=Nutrients!$B$79,Nutrients!$EM$79,(IF($A$8=Nutrients!$B$77,Nutrients!$EM$77,Nutrients!$EM$78)))))*AT$8))/2000*1000000</f>
        <v>27.557499999999997</v>
      </c>
      <c r="AU321" s="21">
        <f>(SUMPRODUCT(AU$9:AU$229,Nutrients!$EM$8:$EM$228)+(IF($A$7=Nutrients!$B$8,Nutrients!$EM$8,Nutrients!$EM$9)*AU$7)+(((IF($A$8=Nutrients!$B$79,Nutrients!$EM$79,(IF($A$8=Nutrients!$B$77,Nutrients!$EM$77,Nutrients!$EM$78)))))*AU$8))/2000*1000000</f>
        <v>22.045999999999999</v>
      </c>
      <c r="AV321" s="21">
        <f>(SUMPRODUCT(AV$9:AV$229,Nutrients!$EM$8:$EM$228)+(IF($A$7=Nutrients!$B$8,Nutrients!$EM$8,Nutrients!$EM$9)*AV$7)+(((IF($A$8=Nutrients!$B$79,Nutrients!$EM$79,(IF($A$8=Nutrients!$B$77,Nutrients!$EM$77,Nutrients!$EM$78)))))*AV$8))/2000*1000000</f>
        <v>16.534499999999998</v>
      </c>
      <c r="AW321" s="21">
        <f>(SUMPRODUCT(AW$9:AW$229,Nutrients!$EM$8:$EM$228)+(IF($A$7=Nutrients!$B$8,Nutrients!$EM$8,Nutrients!$EM$9)*AW$7)+(((IF($A$8=Nutrients!$B$79,Nutrients!$EM$79,(IF($A$8=Nutrients!$B$77,Nutrients!$EM$77,Nutrients!$EM$78)))))*AW$8))/2000*1000000</f>
        <v>16.534499999999998</v>
      </c>
    </row>
    <row r="322" spans="1:49" x14ac:dyDescent="0.25">
      <c r="A322" s="34" t="s">
        <v>115</v>
      </c>
      <c r="B322" s="21">
        <f>(SUMPRODUCT(B$9:B$229,Nutrients!$EN$8:$EN$228)+(IF($A$7=Nutrients!$B$8,Nutrients!$EN$8,Nutrients!$EN$9)*B$7)+(((IF($A$8=Nutrients!$B$79,Nutrients!$EN$79,(IF($A$8=Nutrients!$B$77,Nutrients!$EN$77,Nutrients!$EN$78)))))*B$8))/2000*1000000</f>
        <v>16.5</v>
      </c>
      <c r="C322" s="21">
        <f>(SUMPRODUCT(C$9:C$229,Nutrients!$EN$8:$EN$228)+(IF($A$7=Nutrients!$B$8,Nutrients!$EN$8,Nutrients!$EN$9)*C$7)+(((IF($A$8=Nutrients!$B$79,Nutrients!$EN$79,(IF($A$8=Nutrients!$B$77,Nutrients!$EN$77,Nutrients!$EN$78)))))*C$8))/2000*1000000</f>
        <v>16.5</v>
      </c>
      <c r="D322" s="21">
        <f>(SUMPRODUCT(D$9:D$229,Nutrients!$EN$8:$EN$228)+(IF($A$7=Nutrients!$B$8,Nutrients!$EN$8,Nutrients!$EN$9)*D$7)+(((IF($A$8=Nutrients!$B$79,Nutrients!$EN$79,(IF($A$8=Nutrients!$B$77,Nutrients!$EN$77,Nutrients!$EN$78)))))*D$8))/2000*1000000</f>
        <v>13.749999999999998</v>
      </c>
      <c r="E322" s="21">
        <f>(SUMPRODUCT(E$9:E$229,Nutrients!$EN$8:$EN$228)+(IF($A$7=Nutrients!$B$8,Nutrients!$EN$8,Nutrients!$EN$9)*E$7)+(((IF($A$8=Nutrients!$B$79,Nutrients!$EN$79,(IF($A$8=Nutrients!$B$77,Nutrients!$EN$77,Nutrients!$EN$78)))))*E$8))/2000*1000000</f>
        <v>11</v>
      </c>
      <c r="F322" s="21">
        <f>(SUMPRODUCT(F$9:F$229,Nutrients!$EN$8:$EN$228)+(IF($A$7=Nutrients!$B$8,Nutrients!$EN$8,Nutrients!$EN$9)*F$7)+(((IF($A$8=Nutrients!$B$79,Nutrients!$EN$79,(IF($A$8=Nutrients!$B$77,Nutrients!$EN$77,Nutrients!$EN$78)))))*F$8))/2000*1000000</f>
        <v>8.25</v>
      </c>
      <c r="G322" s="21">
        <f>(SUMPRODUCT(G$9:G$229,Nutrients!$EN$8:$EN$228)+(IF($A$7=Nutrients!$B$8,Nutrients!$EN$8,Nutrients!$EN$9)*G$7)+(((IF($A$8=Nutrients!$B$79,Nutrients!$EN$79,(IF($A$8=Nutrients!$B$77,Nutrients!$EN$77,Nutrients!$EN$78)))))*G$8))/2000*1000000</f>
        <v>8.25</v>
      </c>
      <c r="H322" s="226"/>
      <c r="I322" s="21">
        <f>(SUMPRODUCT(I$9:I$229,Nutrients!$EN$8:$EN$228)+(IF($A$7=Nutrients!$B$8,Nutrients!$EN$8,Nutrients!$EN$9)*I$7)+(((IF($A$8=Nutrients!$B$79,Nutrients!$EN$79,(IF($A$8=Nutrients!$B$77,Nutrients!$EN$77,Nutrients!$EN$78)))))*I$8))/2000*1000000</f>
        <v>16.5</v>
      </c>
      <c r="J322" s="21">
        <f>(SUMPRODUCT(J$9:J$229,Nutrients!$EN$8:$EN$228)+(IF($A$7=Nutrients!$B$8,Nutrients!$EN$8,Nutrients!$EN$9)*J$7)+(((IF($A$8=Nutrients!$B$79,Nutrients!$EN$79,(IF($A$8=Nutrients!$B$77,Nutrients!$EN$77,Nutrients!$EN$78)))))*J$8))/2000*1000000</f>
        <v>16.5</v>
      </c>
      <c r="K322" s="21">
        <f>(SUMPRODUCT(K$9:K$229,Nutrients!$EN$8:$EN$228)+(IF($A$7=Nutrients!$B$8,Nutrients!$EN$8,Nutrients!$EN$9)*K$7)+(((IF($A$8=Nutrients!$B$79,Nutrients!$EN$79,(IF($A$8=Nutrients!$B$77,Nutrients!$EN$77,Nutrients!$EN$78)))))*K$8))/2000*1000000</f>
        <v>13.749999999999998</v>
      </c>
      <c r="L322" s="21">
        <f>(SUMPRODUCT(L$9:L$229,Nutrients!$EN$8:$EN$228)+(IF($A$7=Nutrients!$B$8,Nutrients!$EN$8,Nutrients!$EN$9)*L$7)+(((IF($A$8=Nutrients!$B$79,Nutrients!$EN$79,(IF($A$8=Nutrients!$B$77,Nutrients!$EN$77,Nutrients!$EN$78)))))*L$8))/2000*1000000</f>
        <v>11</v>
      </c>
      <c r="M322" s="21">
        <f>(SUMPRODUCT(M$9:M$229,Nutrients!$EN$8:$EN$228)+(IF($A$7=Nutrients!$B$8,Nutrients!$EN$8,Nutrients!$EN$9)*M$7)+(((IF($A$8=Nutrients!$B$79,Nutrients!$EN$79,(IF($A$8=Nutrients!$B$77,Nutrients!$EN$77,Nutrients!$EN$78)))))*M$8))/2000*1000000</f>
        <v>8.25</v>
      </c>
      <c r="N322" s="21">
        <f>(SUMPRODUCT(N$9:N$229,Nutrients!$EN$8:$EN$228)+(IF($A$7=Nutrients!$B$8,Nutrients!$EN$8,Nutrients!$EN$9)*N$7)+(((IF($A$8=Nutrients!$B$79,Nutrients!$EN$79,(IF($A$8=Nutrients!$B$77,Nutrients!$EN$77,Nutrients!$EN$78)))))*N$8))/2000*1000000</f>
        <v>8.25</v>
      </c>
      <c r="O322" s="234"/>
      <c r="P322" s="21">
        <f>(SUMPRODUCT(P$9:P$229,Nutrients!$EN$8:$EN$228)+(IF($A$7=Nutrients!$B$8,Nutrients!$EN$8,Nutrients!$EN$9)*P$7)+(((IF($A$8=Nutrients!$B$79,Nutrients!$EN$79,(IF($A$8=Nutrients!$B$77,Nutrients!$EN$77,Nutrients!$EN$78)))))*P$8))/2000*1000000</f>
        <v>16.5</v>
      </c>
      <c r="Q322" s="21">
        <f>(SUMPRODUCT(Q$9:Q$229,Nutrients!$EN$8:$EN$228)+(IF($A$7=Nutrients!$B$8,Nutrients!$EN$8,Nutrients!$EN$9)*Q$7)+(((IF($A$8=Nutrients!$B$79,Nutrients!$EN$79,(IF($A$8=Nutrients!$B$77,Nutrients!$EN$77,Nutrients!$EN$78)))))*Q$8))/2000*1000000</f>
        <v>16.5</v>
      </c>
      <c r="R322" s="21">
        <f>(SUMPRODUCT(R$9:R$229,Nutrients!$EN$8:$EN$228)+(IF($A$7=Nutrients!$B$8,Nutrients!$EN$8,Nutrients!$EN$9)*R$7)+(((IF($A$8=Nutrients!$B$79,Nutrients!$EN$79,(IF($A$8=Nutrients!$B$77,Nutrients!$EN$77,Nutrients!$EN$78)))))*R$8))/2000*1000000</f>
        <v>13.749999999999998</v>
      </c>
      <c r="S322" s="21">
        <f>(SUMPRODUCT(S$9:S$229,Nutrients!$EN$8:$EN$228)+(IF($A$7=Nutrients!$B$8,Nutrients!$EN$8,Nutrients!$EN$9)*S$7)+(((IF($A$8=Nutrients!$B$79,Nutrients!$EN$79,(IF($A$8=Nutrients!$B$77,Nutrients!$EN$77,Nutrients!$EN$78)))))*S$8))/2000*1000000</f>
        <v>11</v>
      </c>
      <c r="T322" s="21">
        <f>(SUMPRODUCT(T$9:T$229,Nutrients!$EN$8:$EN$228)+(IF($A$7=Nutrients!$B$8,Nutrients!$EN$8,Nutrients!$EN$9)*T$7)+(((IF($A$8=Nutrients!$B$79,Nutrients!$EN$79,(IF($A$8=Nutrients!$B$77,Nutrients!$EN$77,Nutrients!$EN$78)))))*T$8))/2000*1000000</f>
        <v>8.25</v>
      </c>
      <c r="U322" s="21">
        <f>(SUMPRODUCT(U$9:U$229,Nutrients!$EN$8:$EN$228)+(IF($A$7=Nutrients!$B$8,Nutrients!$EN$8,Nutrients!$EN$9)*U$7)+(((IF($A$8=Nutrients!$B$79,Nutrients!$EN$79,(IF($A$8=Nutrients!$B$77,Nutrients!$EN$77,Nutrients!$EN$78)))))*U$8))/2000*1000000</f>
        <v>8.25</v>
      </c>
      <c r="W322" s="21">
        <f>(SUMPRODUCT(W$9:W$229,Nutrients!$EN$8:$EN$228)+(IF($A$7=Nutrients!$B$8,Nutrients!$EN$8,Nutrients!$EN$9)*W$7)+(((IF($A$8=Nutrients!$B$79,Nutrients!$EN$79,(IF($A$8=Nutrients!$B$77,Nutrients!$EN$77,Nutrients!$EN$78)))))*W$8))/2000*1000000</f>
        <v>16.5</v>
      </c>
      <c r="X322" s="21">
        <f>(SUMPRODUCT(X$9:X$229,Nutrients!$EN$8:$EN$228)+(IF($A$7=Nutrients!$B$8,Nutrients!$EN$8,Nutrients!$EN$9)*X$7)+(((IF($A$8=Nutrients!$B$79,Nutrients!$EN$79,(IF($A$8=Nutrients!$B$77,Nutrients!$EN$77,Nutrients!$EN$78)))))*X$8))/2000*1000000</f>
        <v>16.5</v>
      </c>
      <c r="Y322" s="21">
        <f>(SUMPRODUCT(Y$9:Y$229,Nutrients!$EN$8:$EN$228)+(IF($A$7=Nutrients!$B$8,Nutrients!$EN$8,Nutrients!$EN$9)*Y$7)+(((IF($A$8=Nutrients!$B$79,Nutrients!$EN$79,(IF($A$8=Nutrients!$B$77,Nutrients!$EN$77,Nutrients!$EN$78)))))*Y$8))/2000*1000000</f>
        <v>13.749999999999998</v>
      </c>
      <c r="Z322" s="21">
        <f>(SUMPRODUCT(Z$9:Z$229,Nutrients!$EN$8:$EN$228)+(IF($A$7=Nutrients!$B$8,Nutrients!$EN$8,Nutrients!$EN$9)*Z$7)+(((IF($A$8=Nutrients!$B$79,Nutrients!$EN$79,(IF($A$8=Nutrients!$B$77,Nutrients!$EN$77,Nutrients!$EN$78)))))*Z$8))/2000*1000000</f>
        <v>11</v>
      </c>
      <c r="AA322" s="21">
        <f>(SUMPRODUCT(AA$9:AA$229,Nutrients!$EN$8:$EN$228)+(IF($A$7=Nutrients!$B$8,Nutrients!$EN$8,Nutrients!$EN$9)*AA$7)+(((IF($A$8=Nutrients!$B$79,Nutrients!$EN$79,(IF($A$8=Nutrients!$B$77,Nutrients!$EN$77,Nutrients!$EN$78)))))*AA$8))/2000*1000000</f>
        <v>8.25</v>
      </c>
      <c r="AB322" s="21">
        <f>(SUMPRODUCT(AB$9:AB$229,Nutrients!$EN$8:$EN$228)+(IF($A$7=Nutrients!$B$8,Nutrients!$EN$8,Nutrients!$EN$9)*AB$7)+(((IF($A$8=Nutrients!$B$79,Nutrients!$EN$79,(IF($A$8=Nutrients!$B$77,Nutrients!$EN$77,Nutrients!$EN$78)))))*AB$8))/2000*1000000</f>
        <v>8.25</v>
      </c>
      <c r="AD322" s="21">
        <f>(SUMPRODUCT(AD$9:AD$229,Nutrients!$EN$8:$EN$228)+(IF($A$7=Nutrients!$B$8,Nutrients!$EN$8,Nutrients!$EN$9)*AD$7)+(((IF($A$8=Nutrients!$B$79,Nutrients!$EN$79,(IF($A$8=Nutrients!$B$77,Nutrients!$EN$77,Nutrients!$EN$78)))))*AD$8))/2000*1000000</f>
        <v>16.5</v>
      </c>
      <c r="AE322" s="21">
        <f>(SUMPRODUCT(AE$9:AE$229,Nutrients!$EN$8:$EN$228)+(IF($A$7=Nutrients!$B$8,Nutrients!$EN$8,Nutrients!$EN$9)*AE$7)+(((IF($A$8=Nutrients!$B$79,Nutrients!$EN$79,(IF($A$8=Nutrients!$B$77,Nutrients!$EN$77,Nutrients!$EN$78)))))*AE$8))/2000*1000000</f>
        <v>16.5</v>
      </c>
      <c r="AF322" s="21">
        <f>(SUMPRODUCT(AF$9:AF$229,Nutrients!$EN$8:$EN$228)+(IF($A$7=Nutrients!$B$8,Nutrients!$EN$8,Nutrients!$EN$9)*AF$7)+(((IF($A$8=Nutrients!$B$79,Nutrients!$EN$79,(IF($A$8=Nutrients!$B$77,Nutrients!$EN$77,Nutrients!$EN$78)))))*AF$8))/2000*1000000</f>
        <v>13.749999999999998</v>
      </c>
      <c r="AG322" s="21">
        <f>(SUMPRODUCT(AG$9:AG$229,Nutrients!$EN$8:$EN$228)+(IF($A$7=Nutrients!$B$8,Nutrients!$EN$8,Nutrients!$EN$9)*AG$7)+(((IF($A$8=Nutrients!$B$79,Nutrients!$EN$79,(IF($A$8=Nutrients!$B$77,Nutrients!$EN$77,Nutrients!$EN$78)))))*AG$8))/2000*1000000</f>
        <v>11</v>
      </c>
      <c r="AH322" s="21">
        <f>(SUMPRODUCT(AH$9:AH$229,Nutrients!$EN$8:$EN$228)+(IF($A$7=Nutrients!$B$8,Nutrients!$EN$8,Nutrients!$EN$9)*AH$7)+(((IF($A$8=Nutrients!$B$79,Nutrients!$EN$79,(IF($A$8=Nutrients!$B$77,Nutrients!$EN$77,Nutrients!$EN$78)))))*AH$8))/2000*1000000</f>
        <v>8.25</v>
      </c>
      <c r="AI322" s="21">
        <f>(SUMPRODUCT(AI$9:AI$229,Nutrients!$EN$8:$EN$228)+(IF($A$7=Nutrients!$B$8,Nutrients!$EN$8,Nutrients!$EN$9)*AI$7)+(((IF($A$8=Nutrients!$B$79,Nutrients!$EN$79,(IF($A$8=Nutrients!$B$77,Nutrients!$EN$77,Nutrients!$EN$78)))))*AI$8))/2000*1000000</f>
        <v>8.25</v>
      </c>
      <c r="AK322" s="21">
        <f>(SUMPRODUCT(AK$9:AK$229,Nutrients!$EN$8:$EN$228)+(IF($A$7=Nutrients!$B$8,Nutrients!$EN$8,Nutrients!$EN$9)*AK$7)+(((IF($A$8=Nutrients!$B$79,Nutrients!$EN$79,(IF($A$8=Nutrients!$B$77,Nutrients!$EN$77,Nutrients!$EN$78)))))*AK$8))/2000*1000000</f>
        <v>16.5</v>
      </c>
      <c r="AL322" s="21">
        <f>(SUMPRODUCT(AL$9:AL$229,Nutrients!$EN$8:$EN$228)+(IF($A$7=Nutrients!$B$8,Nutrients!$EN$8,Nutrients!$EN$9)*AL$7)+(((IF($A$8=Nutrients!$B$79,Nutrients!$EN$79,(IF($A$8=Nutrients!$B$77,Nutrients!$EN$77,Nutrients!$EN$78)))))*AL$8))/2000*1000000</f>
        <v>16.5</v>
      </c>
      <c r="AM322" s="21">
        <f>(SUMPRODUCT(AM$9:AM$229,Nutrients!$EN$8:$EN$228)+(IF($A$7=Nutrients!$B$8,Nutrients!$EN$8,Nutrients!$EN$9)*AM$7)+(((IF($A$8=Nutrients!$B$79,Nutrients!$EN$79,(IF($A$8=Nutrients!$B$77,Nutrients!$EN$77,Nutrients!$EN$78)))))*AM$8))/2000*1000000</f>
        <v>13.749999999999998</v>
      </c>
      <c r="AN322" s="21">
        <f>(SUMPRODUCT(AN$9:AN$229,Nutrients!$EN$8:$EN$228)+(IF($A$7=Nutrients!$B$8,Nutrients!$EN$8,Nutrients!$EN$9)*AN$7)+(((IF($A$8=Nutrients!$B$79,Nutrients!$EN$79,(IF($A$8=Nutrients!$B$77,Nutrients!$EN$77,Nutrients!$EN$78)))))*AN$8))/2000*1000000</f>
        <v>11</v>
      </c>
      <c r="AO322" s="21">
        <f>(SUMPRODUCT(AO$9:AO$229,Nutrients!$EN$8:$EN$228)+(IF($A$7=Nutrients!$B$8,Nutrients!$EN$8,Nutrients!$EN$9)*AO$7)+(((IF($A$8=Nutrients!$B$79,Nutrients!$EN$79,(IF($A$8=Nutrients!$B$77,Nutrients!$EN$77,Nutrients!$EN$78)))))*AO$8))/2000*1000000</f>
        <v>8.25</v>
      </c>
      <c r="AP322" s="21">
        <f>(SUMPRODUCT(AP$9:AP$229,Nutrients!$EN$8:$EN$228)+(IF($A$7=Nutrients!$B$8,Nutrients!$EN$8,Nutrients!$EN$9)*AP$7)+(((IF($A$8=Nutrients!$B$79,Nutrients!$EN$79,(IF($A$8=Nutrients!$B$77,Nutrients!$EN$77,Nutrients!$EN$78)))))*AP$8))/2000*1000000</f>
        <v>8.25</v>
      </c>
      <c r="AR322" s="21">
        <f>(SUMPRODUCT(AR$9:AR$229,Nutrients!$EN$8:$EN$228)+(IF($A$7=Nutrients!$B$8,Nutrients!$EN$8,Nutrients!$EN$9)*AR$7)+(((IF($A$8=Nutrients!$B$79,Nutrients!$EN$79,(IF($A$8=Nutrients!$B$77,Nutrients!$EN$77,Nutrients!$EN$78)))))*AR$8))/2000*1000000</f>
        <v>16.5</v>
      </c>
      <c r="AS322" s="21">
        <f>(SUMPRODUCT(AS$9:AS$229,Nutrients!$EN$8:$EN$228)+(IF($A$7=Nutrients!$B$8,Nutrients!$EN$8,Nutrients!$EN$9)*AS$7)+(((IF($A$8=Nutrients!$B$79,Nutrients!$EN$79,(IF($A$8=Nutrients!$B$77,Nutrients!$EN$77,Nutrients!$EN$78)))))*AS$8))/2000*1000000</f>
        <v>16.5</v>
      </c>
      <c r="AT322" s="21">
        <f>(SUMPRODUCT(AT$9:AT$229,Nutrients!$EN$8:$EN$228)+(IF($A$7=Nutrients!$B$8,Nutrients!$EN$8,Nutrients!$EN$9)*AT$7)+(((IF($A$8=Nutrients!$B$79,Nutrients!$EN$79,(IF($A$8=Nutrients!$B$77,Nutrients!$EN$77,Nutrients!$EN$78)))))*AT$8))/2000*1000000</f>
        <v>13.749999999999998</v>
      </c>
      <c r="AU322" s="21">
        <f>(SUMPRODUCT(AU$9:AU$229,Nutrients!$EN$8:$EN$228)+(IF($A$7=Nutrients!$B$8,Nutrients!$EN$8,Nutrients!$EN$9)*AU$7)+(((IF($A$8=Nutrients!$B$79,Nutrients!$EN$79,(IF($A$8=Nutrients!$B$77,Nutrients!$EN$77,Nutrients!$EN$78)))))*AU$8))/2000*1000000</f>
        <v>11</v>
      </c>
      <c r="AV322" s="21">
        <f>(SUMPRODUCT(AV$9:AV$229,Nutrients!$EN$8:$EN$228)+(IF($A$7=Nutrients!$B$8,Nutrients!$EN$8,Nutrients!$EN$9)*AV$7)+(((IF($A$8=Nutrients!$B$79,Nutrients!$EN$79,(IF($A$8=Nutrients!$B$77,Nutrients!$EN$77,Nutrients!$EN$78)))))*AV$8))/2000*1000000</f>
        <v>8.25</v>
      </c>
      <c r="AW322" s="21">
        <f>(SUMPRODUCT(AW$9:AW$229,Nutrients!$EN$8:$EN$228)+(IF($A$7=Nutrients!$B$8,Nutrients!$EN$8,Nutrients!$EN$9)*AW$7)+(((IF($A$8=Nutrients!$B$79,Nutrients!$EN$79,(IF($A$8=Nutrients!$B$77,Nutrients!$EN$77,Nutrients!$EN$78)))))*AW$8))/2000*1000000</f>
        <v>8.25</v>
      </c>
    </row>
    <row r="323" spans="1:49" x14ac:dyDescent="0.25">
      <c r="A323" s="34" t="s">
        <v>116</v>
      </c>
      <c r="B323" s="23">
        <f>(SUMPRODUCT(B$9:B$229,Nutrients!$EO$8:$EO$228)+(IF($A$7=Nutrients!$B$8,Nutrients!$EO$8,Nutrients!$EO$9)*B$7)+(((IF($A$8=Nutrients!$B$79,Nutrients!$EO$79,(IF($A$8=Nutrients!$B$77,Nutrients!$EO$77,Nutrients!$EO$78)))))*B$8))/2000*1000000</f>
        <v>0.29699999999999999</v>
      </c>
      <c r="C323" s="23">
        <f>(SUMPRODUCT(C$9:C$229,Nutrients!$EO$8:$EO$228)+(IF($A$7=Nutrients!$B$8,Nutrients!$EO$8,Nutrients!$EO$9)*C$7)+(((IF($A$8=Nutrients!$B$79,Nutrients!$EO$79,(IF($A$8=Nutrients!$B$77,Nutrients!$EO$77,Nutrients!$EO$78)))))*C$8))/2000*1000000</f>
        <v>0.29699999999999999</v>
      </c>
      <c r="D323" s="23">
        <f>(SUMPRODUCT(D$9:D$229,Nutrients!$EO$8:$EO$228)+(IF($A$7=Nutrients!$B$8,Nutrients!$EO$8,Nutrients!$EO$9)*D$7)+(((IF($A$8=Nutrients!$B$79,Nutrients!$EO$79,(IF($A$8=Nutrients!$B$77,Nutrients!$EO$77,Nutrients!$EO$78)))))*D$8))/2000*1000000</f>
        <v>0.24750000000000003</v>
      </c>
      <c r="E323" s="23">
        <f>(SUMPRODUCT(E$9:E$229,Nutrients!$EO$8:$EO$228)+(IF($A$7=Nutrients!$B$8,Nutrients!$EO$8,Nutrients!$EO$9)*E$7)+(((IF($A$8=Nutrients!$B$79,Nutrients!$EO$79,(IF($A$8=Nutrients!$B$77,Nutrients!$EO$77,Nutrients!$EO$78)))))*E$8))/2000*1000000</f>
        <v>0.19800000000000001</v>
      </c>
      <c r="F323" s="23">
        <f>(SUMPRODUCT(F$9:F$229,Nutrients!$EO$8:$EO$228)+(IF($A$7=Nutrients!$B$8,Nutrients!$EO$8,Nutrients!$EO$9)*F$7)+(((IF($A$8=Nutrients!$B$79,Nutrients!$EO$79,(IF($A$8=Nutrients!$B$77,Nutrients!$EO$77,Nutrients!$EO$78)))))*F$8))/2000*1000000</f>
        <v>0.14849999999999999</v>
      </c>
      <c r="G323" s="23">
        <f>(SUMPRODUCT(G$9:G$229,Nutrients!$EO$8:$EO$228)+(IF($A$7=Nutrients!$B$8,Nutrients!$EO$8,Nutrients!$EO$9)*G$7)+(((IF($A$8=Nutrients!$B$79,Nutrients!$EO$79,(IF($A$8=Nutrients!$B$77,Nutrients!$EO$77,Nutrients!$EO$78)))))*G$8))/2000*1000000</f>
        <v>0.14849999999999999</v>
      </c>
      <c r="H323" s="227"/>
      <c r="I323" s="23">
        <f>(SUMPRODUCT(I$9:I$229,Nutrients!$EO$8:$EO$228)+(IF($A$7=Nutrients!$B$8,Nutrients!$EO$8,Nutrients!$EO$9)*I$7)+(((IF($A$8=Nutrients!$B$79,Nutrients!$EO$79,(IF($A$8=Nutrients!$B$77,Nutrients!$EO$77,Nutrients!$EO$78)))))*I$8))/2000*1000000</f>
        <v>0.29699999999999999</v>
      </c>
      <c r="J323" s="23">
        <f>(SUMPRODUCT(J$9:J$229,Nutrients!$EO$8:$EO$228)+(IF($A$7=Nutrients!$B$8,Nutrients!$EO$8,Nutrients!$EO$9)*J$7)+(((IF($A$8=Nutrients!$B$79,Nutrients!$EO$79,(IF($A$8=Nutrients!$B$77,Nutrients!$EO$77,Nutrients!$EO$78)))))*J$8))/2000*1000000</f>
        <v>0.29699999999999999</v>
      </c>
      <c r="K323" s="23">
        <f>(SUMPRODUCT(K$9:K$229,Nutrients!$EO$8:$EO$228)+(IF($A$7=Nutrients!$B$8,Nutrients!$EO$8,Nutrients!$EO$9)*K$7)+(((IF($A$8=Nutrients!$B$79,Nutrients!$EO$79,(IF($A$8=Nutrients!$B$77,Nutrients!$EO$77,Nutrients!$EO$78)))))*K$8))/2000*1000000</f>
        <v>0.24750000000000003</v>
      </c>
      <c r="L323" s="23">
        <f>(SUMPRODUCT(L$9:L$229,Nutrients!$EO$8:$EO$228)+(IF($A$7=Nutrients!$B$8,Nutrients!$EO$8,Nutrients!$EO$9)*L$7)+(((IF($A$8=Nutrients!$B$79,Nutrients!$EO$79,(IF($A$8=Nutrients!$B$77,Nutrients!$EO$77,Nutrients!$EO$78)))))*L$8))/2000*1000000</f>
        <v>0.19800000000000001</v>
      </c>
      <c r="M323" s="23">
        <f>(SUMPRODUCT(M$9:M$229,Nutrients!$EO$8:$EO$228)+(IF($A$7=Nutrients!$B$8,Nutrients!$EO$8,Nutrients!$EO$9)*M$7)+(((IF($A$8=Nutrients!$B$79,Nutrients!$EO$79,(IF($A$8=Nutrients!$B$77,Nutrients!$EO$77,Nutrients!$EO$78)))))*M$8))/2000*1000000</f>
        <v>0.14849999999999999</v>
      </c>
      <c r="N323" s="23">
        <f>(SUMPRODUCT(N$9:N$229,Nutrients!$EO$8:$EO$228)+(IF($A$7=Nutrients!$B$8,Nutrients!$EO$8,Nutrients!$EO$9)*N$7)+(((IF($A$8=Nutrients!$B$79,Nutrients!$EO$79,(IF($A$8=Nutrients!$B$77,Nutrients!$EO$77,Nutrients!$EO$78)))))*N$8))/2000*1000000</f>
        <v>0.14849999999999999</v>
      </c>
      <c r="O323" s="198"/>
      <c r="P323" s="23">
        <f>(SUMPRODUCT(P$9:P$229,Nutrients!$EO$8:$EO$228)+(IF($A$7=Nutrients!$B$8,Nutrients!$EO$8,Nutrients!$EO$9)*P$7)+(((IF($A$8=Nutrients!$B$79,Nutrients!$EO$79,(IF($A$8=Nutrients!$B$77,Nutrients!$EO$77,Nutrients!$EO$78)))))*P$8))/2000*1000000</f>
        <v>0.29699999999999999</v>
      </c>
      <c r="Q323" s="23">
        <f>(SUMPRODUCT(Q$9:Q$229,Nutrients!$EO$8:$EO$228)+(IF($A$7=Nutrients!$B$8,Nutrients!$EO$8,Nutrients!$EO$9)*Q$7)+(((IF($A$8=Nutrients!$B$79,Nutrients!$EO$79,(IF($A$8=Nutrients!$B$77,Nutrients!$EO$77,Nutrients!$EO$78)))))*Q$8))/2000*1000000</f>
        <v>0.29699999999999999</v>
      </c>
      <c r="R323" s="23">
        <f>(SUMPRODUCT(R$9:R$229,Nutrients!$EO$8:$EO$228)+(IF($A$7=Nutrients!$B$8,Nutrients!$EO$8,Nutrients!$EO$9)*R$7)+(((IF($A$8=Nutrients!$B$79,Nutrients!$EO$79,(IF($A$8=Nutrients!$B$77,Nutrients!$EO$77,Nutrients!$EO$78)))))*R$8))/2000*1000000</f>
        <v>0.24750000000000003</v>
      </c>
      <c r="S323" s="23">
        <f>(SUMPRODUCT(S$9:S$229,Nutrients!$EO$8:$EO$228)+(IF($A$7=Nutrients!$B$8,Nutrients!$EO$8,Nutrients!$EO$9)*S$7)+(((IF($A$8=Nutrients!$B$79,Nutrients!$EO$79,(IF($A$8=Nutrients!$B$77,Nutrients!$EO$77,Nutrients!$EO$78)))))*S$8))/2000*1000000</f>
        <v>0.19800000000000001</v>
      </c>
      <c r="T323" s="23">
        <f>(SUMPRODUCT(T$9:T$229,Nutrients!$EO$8:$EO$228)+(IF($A$7=Nutrients!$B$8,Nutrients!$EO$8,Nutrients!$EO$9)*T$7)+(((IF($A$8=Nutrients!$B$79,Nutrients!$EO$79,(IF($A$8=Nutrients!$B$77,Nutrients!$EO$77,Nutrients!$EO$78)))))*T$8))/2000*1000000</f>
        <v>0.14849999999999999</v>
      </c>
      <c r="U323" s="23">
        <f>(SUMPRODUCT(U$9:U$229,Nutrients!$EO$8:$EO$228)+(IF($A$7=Nutrients!$B$8,Nutrients!$EO$8,Nutrients!$EO$9)*U$7)+(((IF($A$8=Nutrients!$B$79,Nutrients!$EO$79,(IF($A$8=Nutrients!$B$77,Nutrients!$EO$77,Nutrients!$EO$78)))))*U$8))/2000*1000000</f>
        <v>0.14849999999999999</v>
      </c>
      <c r="W323" s="23">
        <f>(SUMPRODUCT(W$9:W$229,Nutrients!$EO$8:$EO$228)+(IF($A$7=Nutrients!$B$8,Nutrients!$EO$8,Nutrients!$EO$9)*W$7)+(((IF($A$8=Nutrients!$B$79,Nutrients!$EO$79,(IF($A$8=Nutrients!$B$77,Nutrients!$EO$77,Nutrients!$EO$78)))))*W$8))/2000*1000000</f>
        <v>0.29699999999999999</v>
      </c>
      <c r="X323" s="23">
        <f>(SUMPRODUCT(X$9:X$229,Nutrients!$EO$8:$EO$228)+(IF($A$7=Nutrients!$B$8,Nutrients!$EO$8,Nutrients!$EO$9)*X$7)+(((IF($A$8=Nutrients!$B$79,Nutrients!$EO$79,(IF($A$8=Nutrients!$B$77,Nutrients!$EO$77,Nutrients!$EO$78)))))*X$8))/2000*1000000</f>
        <v>0.29699999999999999</v>
      </c>
      <c r="Y323" s="23">
        <f>(SUMPRODUCT(Y$9:Y$229,Nutrients!$EO$8:$EO$228)+(IF($A$7=Nutrients!$B$8,Nutrients!$EO$8,Nutrients!$EO$9)*Y$7)+(((IF($A$8=Nutrients!$B$79,Nutrients!$EO$79,(IF($A$8=Nutrients!$B$77,Nutrients!$EO$77,Nutrients!$EO$78)))))*Y$8))/2000*1000000</f>
        <v>0.24750000000000003</v>
      </c>
      <c r="Z323" s="23">
        <f>(SUMPRODUCT(Z$9:Z$229,Nutrients!$EO$8:$EO$228)+(IF($A$7=Nutrients!$B$8,Nutrients!$EO$8,Nutrients!$EO$9)*Z$7)+(((IF($A$8=Nutrients!$B$79,Nutrients!$EO$79,(IF($A$8=Nutrients!$B$77,Nutrients!$EO$77,Nutrients!$EO$78)))))*Z$8))/2000*1000000</f>
        <v>0.19800000000000001</v>
      </c>
      <c r="AA323" s="23">
        <f>(SUMPRODUCT(AA$9:AA$229,Nutrients!$EO$8:$EO$228)+(IF($A$7=Nutrients!$B$8,Nutrients!$EO$8,Nutrients!$EO$9)*AA$7)+(((IF($A$8=Nutrients!$B$79,Nutrients!$EO$79,(IF($A$8=Nutrients!$B$77,Nutrients!$EO$77,Nutrients!$EO$78)))))*AA$8))/2000*1000000</f>
        <v>0.14849999999999999</v>
      </c>
      <c r="AB323" s="23">
        <f>(SUMPRODUCT(AB$9:AB$229,Nutrients!$EO$8:$EO$228)+(IF($A$7=Nutrients!$B$8,Nutrients!$EO$8,Nutrients!$EO$9)*AB$7)+(((IF($A$8=Nutrients!$B$79,Nutrients!$EO$79,(IF($A$8=Nutrients!$B$77,Nutrients!$EO$77,Nutrients!$EO$78)))))*AB$8))/2000*1000000</f>
        <v>0.14849999999999999</v>
      </c>
      <c r="AD323" s="23">
        <f>(SUMPRODUCT(AD$9:AD$229,Nutrients!$EO$8:$EO$228)+(IF($A$7=Nutrients!$B$8,Nutrients!$EO$8,Nutrients!$EO$9)*AD$7)+(((IF($A$8=Nutrients!$B$79,Nutrients!$EO$79,(IF($A$8=Nutrients!$B$77,Nutrients!$EO$77,Nutrients!$EO$78)))))*AD$8))/2000*1000000</f>
        <v>0.29699999999999999</v>
      </c>
      <c r="AE323" s="23">
        <f>(SUMPRODUCT(AE$9:AE$229,Nutrients!$EO$8:$EO$228)+(IF($A$7=Nutrients!$B$8,Nutrients!$EO$8,Nutrients!$EO$9)*AE$7)+(((IF($A$8=Nutrients!$B$79,Nutrients!$EO$79,(IF($A$8=Nutrients!$B$77,Nutrients!$EO$77,Nutrients!$EO$78)))))*AE$8))/2000*1000000</f>
        <v>0.29699999999999999</v>
      </c>
      <c r="AF323" s="23">
        <f>(SUMPRODUCT(AF$9:AF$229,Nutrients!$EO$8:$EO$228)+(IF($A$7=Nutrients!$B$8,Nutrients!$EO$8,Nutrients!$EO$9)*AF$7)+(((IF($A$8=Nutrients!$B$79,Nutrients!$EO$79,(IF($A$8=Nutrients!$B$77,Nutrients!$EO$77,Nutrients!$EO$78)))))*AF$8))/2000*1000000</f>
        <v>0.24750000000000003</v>
      </c>
      <c r="AG323" s="23">
        <f>(SUMPRODUCT(AG$9:AG$229,Nutrients!$EO$8:$EO$228)+(IF($A$7=Nutrients!$B$8,Nutrients!$EO$8,Nutrients!$EO$9)*AG$7)+(((IF($A$8=Nutrients!$B$79,Nutrients!$EO$79,(IF($A$8=Nutrients!$B$77,Nutrients!$EO$77,Nutrients!$EO$78)))))*AG$8))/2000*1000000</f>
        <v>0.19800000000000001</v>
      </c>
      <c r="AH323" s="23">
        <f>(SUMPRODUCT(AH$9:AH$229,Nutrients!$EO$8:$EO$228)+(IF($A$7=Nutrients!$B$8,Nutrients!$EO$8,Nutrients!$EO$9)*AH$7)+(((IF($A$8=Nutrients!$B$79,Nutrients!$EO$79,(IF($A$8=Nutrients!$B$77,Nutrients!$EO$77,Nutrients!$EO$78)))))*AH$8))/2000*1000000</f>
        <v>0.14849999999999999</v>
      </c>
      <c r="AI323" s="23">
        <f>(SUMPRODUCT(AI$9:AI$229,Nutrients!$EO$8:$EO$228)+(IF($A$7=Nutrients!$B$8,Nutrients!$EO$8,Nutrients!$EO$9)*AI$7)+(((IF($A$8=Nutrients!$B$79,Nutrients!$EO$79,(IF($A$8=Nutrients!$B$77,Nutrients!$EO$77,Nutrients!$EO$78)))))*AI$8))/2000*1000000</f>
        <v>0.14849999999999999</v>
      </c>
      <c r="AK323" s="23">
        <f>(SUMPRODUCT(AK$9:AK$229,Nutrients!$EO$8:$EO$228)+(IF($A$7=Nutrients!$B$8,Nutrients!$EO$8,Nutrients!$EO$9)*AK$7)+(((IF($A$8=Nutrients!$B$79,Nutrients!$EO$79,(IF($A$8=Nutrients!$B$77,Nutrients!$EO$77,Nutrients!$EO$78)))))*AK$8))/2000*1000000</f>
        <v>0.29699999999999999</v>
      </c>
      <c r="AL323" s="23">
        <f>(SUMPRODUCT(AL$9:AL$229,Nutrients!$EO$8:$EO$228)+(IF($A$7=Nutrients!$B$8,Nutrients!$EO$8,Nutrients!$EO$9)*AL$7)+(((IF($A$8=Nutrients!$B$79,Nutrients!$EO$79,(IF($A$8=Nutrients!$B$77,Nutrients!$EO$77,Nutrients!$EO$78)))))*AL$8))/2000*1000000</f>
        <v>0.29699999999999999</v>
      </c>
      <c r="AM323" s="23">
        <f>(SUMPRODUCT(AM$9:AM$229,Nutrients!$EO$8:$EO$228)+(IF($A$7=Nutrients!$B$8,Nutrients!$EO$8,Nutrients!$EO$9)*AM$7)+(((IF($A$8=Nutrients!$B$79,Nutrients!$EO$79,(IF($A$8=Nutrients!$B$77,Nutrients!$EO$77,Nutrients!$EO$78)))))*AM$8))/2000*1000000</f>
        <v>0.24750000000000003</v>
      </c>
      <c r="AN323" s="23">
        <f>(SUMPRODUCT(AN$9:AN$229,Nutrients!$EO$8:$EO$228)+(IF($A$7=Nutrients!$B$8,Nutrients!$EO$8,Nutrients!$EO$9)*AN$7)+(((IF($A$8=Nutrients!$B$79,Nutrients!$EO$79,(IF($A$8=Nutrients!$B$77,Nutrients!$EO$77,Nutrients!$EO$78)))))*AN$8))/2000*1000000</f>
        <v>0.19800000000000001</v>
      </c>
      <c r="AO323" s="23">
        <f>(SUMPRODUCT(AO$9:AO$229,Nutrients!$EO$8:$EO$228)+(IF($A$7=Nutrients!$B$8,Nutrients!$EO$8,Nutrients!$EO$9)*AO$7)+(((IF($A$8=Nutrients!$B$79,Nutrients!$EO$79,(IF($A$8=Nutrients!$B$77,Nutrients!$EO$77,Nutrients!$EO$78)))))*AO$8))/2000*1000000</f>
        <v>0.14849999999999999</v>
      </c>
      <c r="AP323" s="23">
        <f>(SUMPRODUCT(AP$9:AP$229,Nutrients!$EO$8:$EO$228)+(IF($A$7=Nutrients!$B$8,Nutrients!$EO$8,Nutrients!$EO$9)*AP$7)+(((IF($A$8=Nutrients!$B$79,Nutrients!$EO$79,(IF($A$8=Nutrients!$B$77,Nutrients!$EO$77,Nutrients!$EO$78)))))*AP$8))/2000*1000000</f>
        <v>0.14849999999999999</v>
      </c>
      <c r="AR323" s="23">
        <f>(SUMPRODUCT(AR$9:AR$229,Nutrients!$EO$8:$EO$228)+(IF($A$7=Nutrients!$B$8,Nutrients!$EO$8,Nutrients!$EO$9)*AR$7)+(((IF($A$8=Nutrients!$B$79,Nutrients!$EO$79,(IF($A$8=Nutrients!$B$77,Nutrients!$EO$77,Nutrients!$EO$78)))))*AR$8))/2000*1000000</f>
        <v>0.29699999999999999</v>
      </c>
      <c r="AS323" s="23">
        <f>(SUMPRODUCT(AS$9:AS$229,Nutrients!$EO$8:$EO$228)+(IF($A$7=Nutrients!$B$8,Nutrients!$EO$8,Nutrients!$EO$9)*AS$7)+(((IF($A$8=Nutrients!$B$79,Nutrients!$EO$79,(IF($A$8=Nutrients!$B$77,Nutrients!$EO$77,Nutrients!$EO$78)))))*AS$8))/2000*1000000</f>
        <v>0.29699999999999999</v>
      </c>
      <c r="AT323" s="23">
        <f>(SUMPRODUCT(AT$9:AT$229,Nutrients!$EO$8:$EO$228)+(IF($A$7=Nutrients!$B$8,Nutrients!$EO$8,Nutrients!$EO$9)*AT$7)+(((IF($A$8=Nutrients!$B$79,Nutrients!$EO$79,(IF($A$8=Nutrients!$B$77,Nutrients!$EO$77,Nutrients!$EO$78)))))*AT$8))/2000*1000000</f>
        <v>0.24750000000000003</v>
      </c>
      <c r="AU323" s="23">
        <f>(SUMPRODUCT(AU$9:AU$229,Nutrients!$EO$8:$EO$228)+(IF($A$7=Nutrients!$B$8,Nutrients!$EO$8,Nutrients!$EO$9)*AU$7)+(((IF($A$8=Nutrients!$B$79,Nutrients!$EO$79,(IF($A$8=Nutrients!$B$77,Nutrients!$EO$77,Nutrients!$EO$78)))))*AU$8))/2000*1000000</f>
        <v>0.19800000000000001</v>
      </c>
      <c r="AV323" s="23">
        <f>(SUMPRODUCT(AV$9:AV$229,Nutrients!$EO$8:$EO$228)+(IF($A$7=Nutrients!$B$8,Nutrients!$EO$8,Nutrients!$EO$9)*AV$7)+(((IF($A$8=Nutrients!$B$79,Nutrients!$EO$79,(IF($A$8=Nutrients!$B$77,Nutrients!$EO$77,Nutrients!$EO$78)))))*AV$8))/2000*1000000</f>
        <v>0.14849999999999999</v>
      </c>
      <c r="AW323" s="23">
        <f>(SUMPRODUCT(AW$9:AW$229,Nutrients!$EO$8:$EO$228)+(IF($A$7=Nutrients!$B$8,Nutrients!$EO$8,Nutrients!$EO$9)*AW$7)+(((IF($A$8=Nutrients!$B$79,Nutrients!$EO$79,(IF($A$8=Nutrients!$B$77,Nutrients!$EO$77,Nutrients!$EO$78)))))*AW$8))/2000*1000000</f>
        <v>0.14849999999999999</v>
      </c>
    </row>
    <row r="324" spans="1:49" x14ac:dyDescent="0.25">
      <c r="A324" s="34" t="s">
        <v>117</v>
      </c>
      <c r="B324" s="23">
        <f>(SUMPRODUCT(B$9:B$229,Nutrients!$EP$8:$EP$228)+(IF($A$7=Nutrients!$B$8,Nutrients!$EP$8,Nutrients!$EP$9)*B$7)+(((IF($A$8=Nutrients!$B$79,Nutrients!$EP$79,(IF($A$8=Nutrients!$B$77,Nutrients!$EP$77,Nutrients!$EP$78)))))*B$8))/2000*1000000</f>
        <v>0.29699999999999999</v>
      </c>
      <c r="C324" s="23">
        <f>(SUMPRODUCT(C$9:C$229,Nutrients!$EP$8:$EP$228)+(IF($A$7=Nutrients!$B$8,Nutrients!$EP$8,Nutrients!$EP$9)*C$7)+(((IF($A$8=Nutrients!$B$79,Nutrients!$EP$79,(IF($A$8=Nutrients!$B$77,Nutrients!$EP$77,Nutrients!$EP$78)))))*C$8))/2000*1000000</f>
        <v>0.29699999999999999</v>
      </c>
      <c r="D324" s="23">
        <f>(SUMPRODUCT(D$9:D$229,Nutrients!$EP$8:$EP$228)+(IF($A$7=Nutrients!$B$8,Nutrients!$EP$8,Nutrients!$EP$9)*D$7)+(((IF($A$8=Nutrients!$B$79,Nutrients!$EP$79,(IF($A$8=Nutrients!$B$77,Nutrients!$EP$77,Nutrients!$EP$78)))))*D$8))/2000*1000000</f>
        <v>0.24750000000000003</v>
      </c>
      <c r="E324" s="23">
        <f>(SUMPRODUCT(E$9:E$229,Nutrients!$EP$8:$EP$228)+(IF($A$7=Nutrients!$B$8,Nutrients!$EP$8,Nutrients!$EP$9)*E$7)+(((IF($A$8=Nutrients!$B$79,Nutrients!$EP$79,(IF($A$8=Nutrients!$B$77,Nutrients!$EP$77,Nutrients!$EP$78)))))*E$8))/2000*1000000</f>
        <v>0.19800000000000001</v>
      </c>
      <c r="F324" s="23">
        <f>(SUMPRODUCT(F$9:F$229,Nutrients!$EP$8:$EP$228)+(IF($A$7=Nutrients!$B$8,Nutrients!$EP$8,Nutrients!$EP$9)*F$7)+(((IF($A$8=Nutrients!$B$79,Nutrients!$EP$79,(IF($A$8=Nutrients!$B$77,Nutrients!$EP$77,Nutrients!$EP$78)))))*F$8))/2000*1000000</f>
        <v>0.14849999999999999</v>
      </c>
      <c r="G324" s="23">
        <f>(SUMPRODUCT(G$9:G$229,Nutrients!$EP$8:$EP$228)+(IF($A$7=Nutrients!$B$8,Nutrients!$EP$8,Nutrients!$EP$9)*G$7)+(((IF($A$8=Nutrients!$B$79,Nutrients!$EP$79,(IF($A$8=Nutrients!$B$77,Nutrients!$EP$77,Nutrients!$EP$78)))))*G$8))/2000*1000000</f>
        <v>0.14849999999999999</v>
      </c>
      <c r="H324" s="227"/>
      <c r="I324" s="23">
        <f>(SUMPRODUCT(I$9:I$229,Nutrients!$EP$8:$EP$228)+(IF($A$7=Nutrients!$B$8,Nutrients!$EP$8,Nutrients!$EP$9)*I$7)+(((IF($A$8=Nutrients!$B$79,Nutrients!$EP$79,(IF($A$8=Nutrients!$B$77,Nutrients!$EP$77,Nutrients!$EP$78)))))*I$8))/2000*1000000</f>
        <v>0.29699999999999999</v>
      </c>
      <c r="J324" s="23">
        <f>(SUMPRODUCT(J$9:J$229,Nutrients!$EP$8:$EP$228)+(IF($A$7=Nutrients!$B$8,Nutrients!$EP$8,Nutrients!$EP$9)*J$7)+(((IF($A$8=Nutrients!$B$79,Nutrients!$EP$79,(IF($A$8=Nutrients!$B$77,Nutrients!$EP$77,Nutrients!$EP$78)))))*J$8))/2000*1000000</f>
        <v>0.29699999999999999</v>
      </c>
      <c r="K324" s="23">
        <f>(SUMPRODUCT(K$9:K$229,Nutrients!$EP$8:$EP$228)+(IF($A$7=Nutrients!$B$8,Nutrients!$EP$8,Nutrients!$EP$9)*K$7)+(((IF($A$8=Nutrients!$B$79,Nutrients!$EP$79,(IF($A$8=Nutrients!$B$77,Nutrients!$EP$77,Nutrients!$EP$78)))))*K$8))/2000*1000000</f>
        <v>0.24750000000000003</v>
      </c>
      <c r="L324" s="23">
        <f>(SUMPRODUCT(L$9:L$229,Nutrients!$EP$8:$EP$228)+(IF($A$7=Nutrients!$B$8,Nutrients!$EP$8,Nutrients!$EP$9)*L$7)+(((IF($A$8=Nutrients!$B$79,Nutrients!$EP$79,(IF($A$8=Nutrients!$B$77,Nutrients!$EP$77,Nutrients!$EP$78)))))*L$8))/2000*1000000</f>
        <v>0.19800000000000001</v>
      </c>
      <c r="M324" s="23">
        <f>(SUMPRODUCT(M$9:M$229,Nutrients!$EP$8:$EP$228)+(IF($A$7=Nutrients!$B$8,Nutrients!$EP$8,Nutrients!$EP$9)*M$7)+(((IF($A$8=Nutrients!$B$79,Nutrients!$EP$79,(IF($A$8=Nutrients!$B$77,Nutrients!$EP$77,Nutrients!$EP$78)))))*M$8))/2000*1000000</f>
        <v>0.14849999999999999</v>
      </c>
      <c r="N324" s="23">
        <f>(SUMPRODUCT(N$9:N$229,Nutrients!$EP$8:$EP$228)+(IF($A$7=Nutrients!$B$8,Nutrients!$EP$8,Nutrients!$EP$9)*N$7)+(((IF($A$8=Nutrients!$B$79,Nutrients!$EP$79,(IF($A$8=Nutrients!$B$77,Nutrients!$EP$77,Nutrients!$EP$78)))))*N$8))/2000*1000000</f>
        <v>0.14849999999999999</v>
      </c>
      <c r="O324" s="198"/>
      <c r="P324" s="23">
        <f>(SUMPRODUCT(P$9:P$229,Nutrients!$EP$8:$EP$228)+(IF($A$7=Nutrients!$B$8,Nutrients!$EP$8,Nutrients!$EP$9)*P$7)+(((IF($A$8=Nutrients!$B$79,Nutrients!$EP$79,(IF($A$8=Nutrients!$B$77,Nutrients!$EP$77,Nutrients!$EP$78)))))*P$8))/2000*1000000</f>
        <v>0.29699999999999999</v>
      </c>
      <c r="Q324" s="23">
        <f>(SUMPRODUCT(Q$9:Q$229,Nutrients!$EP$8:$EP$228)+(IF($A$7=Nutrients!$B$8,Nutrients!$EP$8,Nutrients!$EP$9)*Q$7)+(((IF($A$8=Nutrients!$B$79,Nutrients!$EP$79,(IF($A$8=Nutrients!$B$77,Nutrients!$EP$77,Nutrients!$EP$78)))))*Q$8))/2000*1000000</f>
        <v>0.29699999999999999</v>
      </c>
      <c r="R324" s="23">
        <f>(SUMPRODUCT(R$9:R$229,Nutrients!$EP$8:$EP$228)+(IF($A$7=Nutrients!$B$8,Nutrients!$EP$8,Nutrients!$EP$9)*R$7)+(((IF($A$8=Nutrients!$B$79,Nutrients!$EP$79,(IF($A$8=Nutrients!$B$77,Nutrients!$EP$77,Nutrients!$EP$78)))))*R$8))/2000*1000000</f>
        <v>0.24750000000000003</v>
      </c>
      <c r="S324" s="23">
        <f>(SUMPRODUCT(S$9:S$229,Nutrients!$EP$8:$EP$228)+(IF($A$7=Nutrients!$B$8,Nutrients!$EP$8,Nutrients!$EP$9)*S$7)+(((IF($A$8=Nutrients!$B$79,Nutrients!$EP$79,(IF($A$8=Nutrients!$B$77,Nutrients!$EP$77,Nutrients!$EP$78)))))*S$8))/2000*1000000</f>
        <v>0.19800000000000001</v>
      </c>
      <c r="T324" s="23">
        <f>(SUMPRODUCT(T$9:T$229,Nutrients!$EP$8:$EP$228)+(IF($A$7=Nutrients!$B$8,Nutrients!$EP$8,Nutrients!$EP$9)*T$7)+(((IF($A$8=Nutrients!$B$79,Nutrients!$EP$79,(IF($A$8=Nutrients!$B$77,Nutrients!$EP$77,Nutrients!$EP$78)))))*T$8))/2000*1000000</f>
        <v>0.14849999999999999</v>
      </c>
      <c r="U324" s="23">
        <f>(SUMPRODUCT(U$9:U$229,Nutrients!$EP$8:$EP$228)+(IF($A$7=Nutrients!$B$8,Nutrients!$EP$8,Nutrients!$EP$9)*U$7)+(((IF($A$8=Nutrients!$B$79,Nutrients!$EP$79,(IF($A$8=Nutrients!$B$77,Nutrients!$EP$77,Nutrients!$EP$78)))))*U$8))/2000*1000000</f>
        <v>0.14849999999999999</v>
      </c>
      <c r="W324" s="23">
        <f>(SUMPRODUCT(W$9:W$229,Nutrients!$EP$8:$EP$228)+(IF($A$7=Nutrients!$B$8,Nutrients!$EP$8,Nutrients!$EP$9)*W$7)+(((IF($A$8=Nutrients!$B$79,Nutrients!$EP$79,(IF($A$8=Nutrients!$B$77,Nutrients!$EP$77,Nutrients!$EP$78)))))*W$8))/2000*1000000</f>
        <v>0.29699999999999999</v>
      </c>
      <c r="X324" s="23">
        <f>(SUMPRODUCT(X$9:X$229,Nutrients!$EP$8:$EP$228)+(IF($A$7=Nutrients!$B$8,Nutrients!$EP$8,Nutrients!$EP$9)*X$7)+(((IF($A$8=Nutrients!$B$79,Nutrients!$EP$79,(IF($A$8=Nutrients!$B$77,Nutrients!$EP$77,Nutrients!$EP$78)))))*X$8))/2000*1000000</f>
        <v>0.29699999999999999</v>
      </c>
      <c r="Y324" s="23">
        <f>(SUMPRODUCT(Y$9:Y$229,Nutrients!$EP$8:$EP$228)+(IF($A$7=Nutrients!$B$8,Nutrients!$EP$8,Nutrients!$EP$9)*Y$7)+(((IF($A$8=Nutrients!$B$79,Nutrients!$EP$79,(IF($A$8=Nutrients!$B$77,Nutrients!$EP$77,Nutrients!$EP$78)))))*Y$8))/2000*1000000</f>
        <v>0.24750000000000003</v>
      </c>
      <c r="Z324" s="23">
        <f>(SUMPRODUCT(Z$9:Z$229,Nutrients!$EP$8:$EP$228)+(IF($A$7=Nutrients!$B$8,Nutrients!$EP$8,Nutrients!$EP$9)*Z$7)+(((IF($A$8=Nutrients!$B$79,Nutrients!$EP$79,(IF($A$8=Nutrients!$B$77,Nutrients!$EP$77,Nutrients!$EP$78)))))*Z$8))/2000*1000000</f>
        <v>0.19800000000000001</v>
      </c>
      <c r="AA324" s="23">
        <f>(SUMPRODUCT(AA$9:AA$229,Nutrients!$EP$8:$EP$228)+(IF($A$7=Nutrients!$B$8,Nutrients!$EP$8,Nutrients!$EP$9)*AA$7)+(((IF($A$8=Nutrients!$B$79,Nutrients!$EP$79,(IF($A$8=Nutrients!$B$77,Nutrients!$EP$77,Nutrients!$EP$78)))))*AA$8))/2000*1000000</f>
        <v>0.14849999999999999</v>
      </c>
      <c r="AB324" s="23">
        <f>(SUMPRODUCT(AB$9:AB$229,Nutrients!$EP$8:$EP$228)+(IF($A$7=Nutrients!$B$8,Nutrients!$EP$8,Nutrients!$EP$9)*AB$7)+(((IF($A$8=Nutrients!$B$79,Nutrients!$EP$79,(IF($A$8=Nutrients!$B$77,Nutrients!$EP$77,Nutrients!$EP$78)))))*AB$8))/2000*1000000</f>
        <v>0.14849999999999999</v>
      </c>
      <c r="AD324" s="23">
        <f>(SUMPRODUCT(AD$9:AD$229,Nutrients!$EP$8:$EP$228)+(IF($A$7=Nutrients!$B$8,Nutrients!$EP$8,Nutrients!$EP$9)*AD$7)+(((IF($A$8=Nutrients!$B$79,Nutrients!$EP$79,(IF($A$8=Nutrients!$B$77,Nutrients!$EP$77,Nutrients!$EP$78)))))*AD$8))/2000*1000000</f>
        <v>0.29699999999999999</v>
      </c>
      <c r="AE324" s="23">
        <f>(SUMPRODUCT(AE$9:AE$229,Nutrients!$EP$8:$EP$228)+(IF($A$7=Nutrients!$B$8,Nutrients!$EP$8,Nutrients!$EP$9)*AE$7)+(((IF($A$8=Nutrients!$B$79,Nutrients!$EP$79,(IF($A$8=Nutrients!$B$77,Nutrients!$EP$77,Nutrients!$EP$78)))))*AE$8))/2000*1000000</f>
        <v>0.29699999999999999</v>
      </c>
      <c r="AF324" s="23">
        <f>(SUMPRODUCT(AF$9:AF$229,Nutrients!$EP$8:$EP$228)+(IF($A$7=Nutrients!$B$8,Nutrients!$EP$8,Nutrients!$EP$9)*AF$7)+(((IF($A$8=Nutrients!$B$79,Nutrients!$EP$79,(IF($A$8=Nutrients!$B$77,Nutrients!$EP$77,Nutrients!$EP$78)))))*AF$8))/2000*1000000</f>
        <v>0.24750000000000003</v>
      </c>
      <c r="AG324" s="23">
        <f>(SUMPRODUCT(AG$9:AG$229,Nutrients!$EP$8:$EP$228)+(IF($A$7=Nutrients!$B$8,Nutrients!$EP$8,Nutrients!$EP$9)*AG$7)+(((IF($A$8=Nutrients!$B$79,Nutrients!$EP$79,(IF($A$8=Nutrients!$B$77,Nutrients!$EP$77,Nutrients!$EP$78)))))*AG$8))/2000*1000000</f>
        <v>0.19800000000000001</v>
      </c>
      <c r="AH324" s="23">
        <f>(SUMPRODUCT(AH$9:AH$229,Nutrients!$EP$8:$EP$228)+(IF($A$7=Nutrients!$B$8,Nutrients!$EP$8,Nutrients!$EP$9)*AH$7)+(((IF($A$8=Nutrients!$B$79,Nutrients!$EP$79,(IF($A$8=Nutrients!$B$77,Nutrients!$EP$77,Nutrients!$EP$78)))))*AH$8))/2000*1000000</f>
        <v>0.14849999999999999</v>
      </c>
      <c r="AI324" s="23">
        <f>(SUMPRODUCT(AI$9:AI$229,Nutrients!$EP$8:$EP$228)+(IF($A$7=Nutrients!$B$8,Nutrients!$EP$8,Nutrients!$EP$9)*AI$7)+(((IF($A$8=Nutrients!$B$79,Nutrients!$EP$79,(IF($A$8=Nutrients!$B$77,Nutrients!$EP$77,Nutrients!$EP$78)))))*AI$8))/2000*1000000</f>
        <v>0.14849999999999999</v>
      </c>
      <c r="AK324" s="23">
        <f>(SUMPRODUCT(AK$9:AK$229,Nutrients!$EP$8:$EP$228)+(IF($A$7=Nutrients!$B$8,Nutrients!$EP$8,Nutrients!$EP$9)*AK$7)+(((IF($A$8=Nutrients!$B$79,Nutrients!$EP$79,(IF($A$8=Nutrients!$B$77,Nutrients!$EP$77,Nutrients!$EP$78)))))*AK$8))/2000*1000000</f>
        <v>0.29699999999999999</v>
      </c>
      <c r="AL324" s="23">
        <f>(SUMPRODUCT(AL$9:AL$229,Nutrients!$EP$8:$EP$228)+(IF($A$7=Nutrients!$B$8,Nutrients!$EP$8,Nutrients!$EP$9)*AL$7)+(((IF($A$8=Nutrients!$B$79,Nutrients!$EP$79,(IF($A$8=Nutrients!$B$77,Nutrients!$EP$77,Nutrients!$EP$78)))))*AL$8))/2000*1000000</f>
        <v>0.29699999999999999</v>
      </c>
      <c r="AM324" s="23">
        <f>(SUMPRODUCT(AM$9:AM$229,Nutrients!$EP$8:$EP$228)+(IF($A$7=Nutrients!$B$8,Nutrients!$EP$8,Nutrients!$EP$9)*AM$7)+(((IF($A$8=Nutrients!$B$79,Nutrients!$EP$79,(IF($A$8=Nutrients!$B$77,Nutrients!$EP$77,Nutrients!$EP$78)))))*AM$8))/2000*1000000</f>
        <v>0.24750000000000003</v>
      </c>
      <c r="AN324" s="23">
        <f>(SUMPRODUCT(AN$9:AN$229,Nutrients!$EP$8:$EP$228)+(IF($A$7=Nutrients!$B$8,Nutrients!$EP$8,Nutrients!$EP$9)*AN$7)+(((IF($A$8=Nutrients!$B$79,Nutrients!$EP$79,(IF($A$8=Nutrients!$B$77,Nutrients!$EP$77,Nutrients!$EP$78)))))*AN$8))/2000*1000000</f>
        <v>0.19800000000000001</v>
      </c>
      <c r="AO324" s="23">
        <f>(SUMPRODUCT(AO$9:AO$229,Nutrients!$EP$8:$EP$228)+(IF($A$7=Nutrients!$B$8,Nutrients!$EP$8,Nutrients!$EP$9)*AO$7)+(((IF($A$8=Nutrients!$B$79,Nutrients!$EP$79,(IF($A$8=Nutrients!$B$77,Nutrients!$EP$77,Nutrients!$EP$78)))))*AO$8))/2000*1000000</f>
        <v>0.14849999999999999</v>
      </c>
      <c r="AP324" s="23">
        <f>(SUMPRODUCT(AP$9:AP$229,Nutrients!$EP$8:$EP$228)+(IF($A$7=Nutrients!$B$8,Nutrients!$EP$8,Nutrients!$EP$9)*AP$7)+(((IF($A$8=Nutrients!$B$79,Nutrients!$EP$79,(IF($A$8=Nutrients!$B$77,Nutrients!$EP$77,Nutrients!$EP$78)))))*AP$8))/2000*1000000</f>
        <v>0.14849999999999999</v>
      </c>
      <c r="AR324" s="23">
        <f>(SUMPRODUCT(AR$9:AR$229,Nutrients!$EP$8:$EP$228)+(IF($A$7=Nutrients!$B$8,Nutrients!$EP$8,Nutrients!$EP$9)*AR$7)+(((IF($A$8=Nutrients!$B$79,Nutrients!$EP$79,(IF($A$8=Nutrients!$B$77,Nutrients!$EP$77,Nutrients!$EP$78)))))*AR$8))/2000*1000000</f>
        <v>0.29699999999999999</v>
      </c>
      <c r="AS324" s="23">
        <f>(SUMPRODUCT(AS$9:AS$229,Nutrients!$EP$8:$EP$228)+(IF($A$7=Nutrients!$B$8,Nutrients!$EP$8,Nutrients!$EP$9)*AS$7)+(((IF($A$8=Nutrients!$B$79,Nutrients!$EP$79,(IF($A$8=Nutrients!$B$77,Nutrients!$EP$77,Nutrients!$EP$78)))))*AS$8))/2000*1000000</f>
        <v>0.29699999999999999</v>
      </c>
      <c r="AT324" s="23">
        <f>(SUMPRODUCT(AT$9:AT$229,Nutrients!$EP$8:$EP$228)+(IF($A$7=Nutrients!$B$8,Nutrients!$EP$8,Nutrients!$EP$9)*AT$7)+(((IF($A$8=Nutrients!$B$79,Nutrients!$EP$79,(IF($A$8=Nutrients!$B$77,Nutrients!$EP$77,Nutrients!$EP$78)))))*AT$8))/2000*1000000</f>
        <v>0.24750000000000003</v>
      </c>
      <c r="AU324" s="23">
        <f>(SUMPRODUCT(AU$9:AU$229,Nutrients!$EP$8:$EP$228)+(IF($A$7=Nutrients!$B$8,Nutrients!$EP$8,Nutrients!$EP$9)*AU$7)+(((IF($A$8=Nutrients!$B$79,Nutrients!$EP$79,(IF($A$8=Nutrients!$B$77,Nutrients!$EP$77,Nutrients!$EP$78)))))*AU$8))/2000*1000000</f>
        <v>0.19800000000000001</v>
      </c>
      <c r="AV324" s="23">
        <f>(SUMPRODUCT(AV$9:AV$229,Nutrients!$EP$8:$EP$228)+(IF($A$7=Nutrients!$B$8,Nutrients!$EP$8,Nutrients!$EP$9)*AV$7)+(((IF($A$8=Nutrients!$B$79,Nutrients!$EP$79,(IF($A$8=Nutrients!$B$77,Nutrients!$EP$77,Nutrients!$EP$78)))))*AV$8))/2000*1000000</f>
        <v>0.14849999999999999</v>
      </c>
      <c r="AW324" s="23">
        <f>(SUMPRODUCT(AW$9:AW$229,Nutrients!$EP$8:$EP$228)+(IF($A$7=Nutrients!$B$8,Nutrients!$EP$8,Nutrients!$EP$9)*AW$7)+(((IF($A$8=Nutrients!$B$79,Nutrients!$EP$79,(IF($A$8=Nutrients!$B$77,Nutrients!$EP$77,Nutrients!$EP$78)))))*AW$8))/2000*1000000</f>
        <v>0.14849999999999999</v>
      </c>
    </row>
    <row r="325" spans="1:49" x14ac:dyDescent="0.25">
      <c r="A325" s="34" t="s">
        <v>118</v>
      </c>
      <c r="B325" s="21">
        <f>(SUMPRODUCT(B$9:B$229,Nutrients!$EQ$8:$EQ$228)+(IF($A$7=Nutrients!$B$8,Nutrients!$EQ$8,Nutrients!$EQ$9)*B$7)+(((IF($A$8=Nutrients!$B$79,Nutrients!$EQ$79,(IF($A$8=Nutrients!$B$77,Nutrients!$EQ$77,Nutrients!$EQ$78)))))*B$8))/2000*1000000000</f>
        <v>0</v>
      </c>
      <c r="C325" s="21">
        <f>(SUMPRODUCT(C$9:C$229,Nutrients!$EQ$8:$EQ$228)+(IF($A$7=Nutrients!$B$8,Nutrients!$EQ$8,Nutrients!$EQ$9)*C$7)+(((IF($A$8=Nutrients!$B$79,Nutrients!$EQ$79,(IF($A$8=Nutrients!$B$77,Nutrients!$EQ$77,Nutrients!$EQ$78)))))*C$8))/2000*1000000000</f>
        <v>0</v>
      </c>
      <c r="D325" s="21">
        <f>(SUMPRODUCT(D$9:D$229,Nutrients!$EQ$8:$EQ$228)+(IF($A$7=Nutrients!$B$8,Nutrients!$EQ$8,Nutrients!$EQ$9)*D$7)+(((IF($A$8=Nutrients!$B$79,Nutrients!$EQ$79,(IF($A$8=Nutrients!$B$77,Nutrients!$EQ$77,Nutrients!$EQ$78)))))*D$8))/2000*1000000000</f>
        <v>0</v>
      </c>
      <c r="E325" s="21">
        <f>(SUMPRODUCT(E$9:E$229,Nutrients!$EQ$8:$EQ$228)+(IF($A$7=Nutrients!$B$8,Nutrients!$EQ$8,Nutrients!$EQ$9)*E$7)+(((IF($A$8=Nutrients!$B$79,Nutrients!$EQ$79,(IF($A$8=Nutrients!$B$77,Nutrients!$EQ$77,Nutrients!$EQ$78)))))*E$8))/2000*1000000000</f>
        <v>0</v>
      </c>
      <c r="F325" s="21">
        <f>(SUMPRODUCT(F$9:F$229,Nutrients!$EQ$8:$EQ$228)+(IF($A$7=Nutrients!$B$8,Nutrients!$EQ$8,Nutrients!$EQ$9)*F$7)+(((IF($A$8=Nutrients!$B$79,Nutrients!$EQ$79,(IF($A$8=Nutrients!$B$77,Nutrients!$EQ$77,Nutrients!$EQ$78)))))*F$8))/2000*1000000000</f>
        <v>0</v>
      </c>
      <c r="G325" s="21">
        <f>(SUMPRODUCT(G$9:G$229,Nutrients!$EQ$8:$EQ$228)+(IF($A$7=Nutrients!$B$8,Nutrients!$EQ$8,Nutrients!$EQ$9)*G$7)+(((IF($A$8=Nutrients!$B$79,Nutrients!$EQ$79,(IF($A$8=Nutrients!$B$77,Nutrients!$EQ$77,Nutrients!$EQ$78)))))*G$8))/2000*1000000000</f>
        <v>0</v>
      </c>
      <c r="H325" s="226"/>
      <c r="I325" s="21">
        <f>(SUMPRODUCT(I$9:I$229,Nutrients!$EQ$8:$EQ$228)+(IF($A$7=Nutrients!$B$8,Nutrients!$EQ$8,Nutrients!$EQ$9)*I$7)+(((IF($A$8=Nutrients!$B$79,Nutrients!$EQ$79,(IF($A$8=Nutrients!$B$77,Nutrients!$EQ$77,Nutrients!$EQ$78)))))*I$8))/2000*1000000000</f>
        <v>0</v>
      </c>
      <c r="J325" s="21">
        <f>(SUMPRODUCT(J$9:J$229,Nutrients!$EQ$8:$EQ$228)+(IF($A$7=Nutrients!$B$8,Nutrients!$EQ$8,Nutrients!$EQ$9)*J$7)+(((IF($A$8=Nutrients!$B$79,Nutrients!$EQ$79,(IF($A$8=Nutrients!$B$77,Nutrients!$EQ$77,Nutrients!$EQ$78)))))*J$8))/2000*1000000000</f>
        <v>0</v>
      </c>
      <c r="K325" s="21">
        <f>(SUMPRODUCT(K$9:K$229,Nutrients!$EQ$8:$EQ$228)+(IF($A$7=Nutrients!$B$8,Nutrients!$EQ$8,Nutrients!$EQ$9)*K$7)+(((IF($A$8=Nutrients!$B$79,Nutrients!$EQ$79,(IF($A$8=Nutrients!$B$77,Nutrients!$EQ$77,Nutrients!$EQ$78)))))*K$8))/2000*1000000000</f>
        <v>0</v>
      </c>
      <c r="L325" s="21">
        <f>(SUMPRODUCT(L$9:L$229,Nutrients!$EQ$8:$EQ$228)+(IF($A$7=Nutrients!$B$8,Nutrients!$EQ$8,Nutrients!$EQ$9)*L$7)+(((IF($A$8=Nutrients!$B$79,Nutrients!$EQ$79,(IF($A$8=Nutrients!$B$77,Nutrients!$EQ$77,Nutrients!$EQ$78)))))*L$8))/2000*1000000000</f>
        <v>0</v>
      </c>
      <c r="M325" s="21">
        <f>(SUMPRODUCT(M$9:M$229,Nutrients!$EQ$8:$EQ$228)+(IF($A$7=Nutrients!$B$8,Nutrients!$EQ$8,Nutrients!$EQ$9)*M$7)+(((IF($A$8=Nutrients!$B$79,Nutrients!$EQ$79,(IF($A$8=Nutrients!$B$77,Nutrients!$EQ$77,Nutrients!$EQ$78)))))*M$8))/2000*1000000000</f>
        <v>0</v>
      </c>
      <c r="N325" s="21">
        <f>(SUMPRODUCT(N$9:N$229,Nutrients!$EQ$8:$EQ$228)+(IF($A$7=Nutrients!$B$8,Nutrients!$EQ$8,Nutrients!$EQ$9)*N$7)+(((IF($A$8=Nutrients!$B$79,Nutrients!$EQ$79,(IF($A$8=Nutrients!$B$77,Nutrients!$EQ$77,Nutrients!$EQ$78)))))*N$8))/2000*1000000000</f>
        <v>0</v>
      </c>
      <c r="O325" s="234"/>
      <c r="P325" s="21">
        <f>(SUMPRODUCT(P$9:P$229,Nutrients!$EQ$8:$EQ$228)+(IF($A$7=Nutrients!$B$8,Nutrients!$EQ$8,Nutrients!$EQ$9)*P$7)+(((IF($A$8=Nutrients!$B$79,Nutrients!$EQ$79,(IF($A$8=Nutrients!$B$77,Nutrients!$EQ$77,Nutrients!$EQ$78)))))*P$8))/2000*1000000000</f>
        <v>0</v>
      </c>
      <c r="Q325" s="21">
        <f>(SUMPRODUCT(Q$9:Q$229,Nutrients!$EQ$8:$EQ$228)+(IF($A$7=Nutrients!$B$8,Nutrients!$EQ$8,Nutrients!$EQ$9)*Q$7)+(((IF($A$8=Nutrients!$B$79,Nutrients!$EQ$79,(IF($A$8=Nutrients!$B$77,Nutrients!$EQ$77,Nutrients!$EQ$78)))))*Q$8))/2000*1000000000</f>
        <v>0</v>
      </c>
      <c r="R325" s="21">
        <f>(SUMPRODUCT(R$9:R$229,Nutrients!$EQ$8:$EQ$228)+(IF($A$7=Nutrients!$B$8,Nutrients!$EQ$8,Nutrients!$EQ$9)*R$7)+(((IF($A$8=Nutrients!$B$79,Nutrients!$EQ$79,(IF($A$8=Nutrients!$B$77,Nutrients!$EQ$77,Nutrients!$EQ$78)))))*R$8))/2000*1000000000</f>
        <v>0</v>
      </c>
      <c r="S325" s="21">
        <f>(SUMPRODUCT(S$9:S$229,Nutrients!$EQ$8:$EQ$228)+(IF($A$7=Nutrients!$B$8,Nutrients!$EQ$8,Nutrients!$EQ$9)*S$7)+(((IF($A$8=Nutrients!$B$79,Nutrients!$EQ$79,(IF($A$8=Nutrients!$B$77,Nutrients!$EQ$77,Nutrients!$EQ$78)))))*S$8))/2000*1000000000</f>
        <v>0</v>
      </c>
      <c r="T325" s="21">
        <f>(SUMPRODUCT(T$9:T$229,Nutrients!$EQ$8:$EQ$228)+(IF($A$7=Nutrients!$B$8,Nutrients!$EQ$8,Nutrients!$EQ$9)*T$7)+(((IF($A$8=Nutrients!$B$79,Nutrients!$EQ$79,(IF($A$8=Nutrients!$B$77,Nutrients!$EQ$77,Nutrients!$EQ$78)))))*T$8))/2000*1000000000</f>
        <v>0</v>
      </c>
      <c r="U325" s="21">
        <f>(SUMPRODUCT(U$9:U$229,Nutrients!$EQ$8:$EQ$228)+(IF($A$7=Nutrients!$B$8,Nutrients!$EQ$8,Nutrients!$EQ$9)*U$7)+(((IF($A$8=Nutrients!$B$79,Nutrients!$EQ$79,(IF($A$8=Nutrients!$B$77,Nutrients!$EQ$77,Nutrients!$EQ$78)))))*U$8))/2000*1000000000</f>
        <v>0</v>
      </c>
      <c r="W325" s="21">
        <f>(SUMPRODUCT(W$9:W$229,Nutrients!$EQ$8:$EQ$228)+(IF($A$7=Nutrients!$B$8,Nutrients!$EQ$8,Nutrients!$EQ$9)*W$7)+(((IF($A$8=Nutrients!$B$79,Nutrients!$EQ$79,(IF($A$8=Nutrients!$B$77,Nutrients!$EQ$77,Nutrients!$EQ$78)))))*W$8))/2000*1000000000</f>
        <v>0</v>
      </c>
      <c r="X325" s="21">
        <f>(SUMPRODUCT(X$9:X$229,Nutrients!$EQ$8:$EQ$228)+(IF($A$7=Nutrients!$B$8,Nutrients!$EQ$8,Nutrients!$EQ$9)*X$7)+(((IF($A$8=Nutrients!$B$79,Nutrients!$EQ$79,(IF($A$8=Nutrients!$B$77,Nutrients!$EQ$77,Nutrients!$EQ$78)))))*X$8))/2000*1000000000</f>
        <v>0</v>
      </c>
      <c r="Y325" s="21">
        <f>(SUMPRODUCT(Y$9:Y$229,Nutrients!$EQ$8:$EQ$228)+(IF($A$7=Nutrients!$B$8,Nutrients!$EQ$8,Nutrients!$EQ$9)*Y$7)+(((IF($A$8=Nutrients!$B$79,Nutrients!$EQ$79,(IF($A$8=Nutrients!$B$77,Nutrients!$EQ$77,Nutrients!$EQ$78)))))*Y$8))/2000*1000000000</f>
        <v>0</v>
      </c>
      <c r="Z325" s="21">
        <f>(SUMPRODUCT(Z$9:Z$229,Nutrients!$EQ$8:$EQ$228)+(IF($A$7=Nutrients!$B$8,Nutrients!$EQ$8,Nutrients!$EQ$9)*Z$7)+(((IF($A$8=Nutrients!$B$79,Nutrients!$EQ$79,(IF($A$8=Nutrients!$B$77,Nutrients!$EQ$77,Nutrients!$EQ$78)))))*Z$8))/2000*1000000000</f>
        <v>0</v>
      </c>
      <c r="AA325" s="21">
        <f>(SUMPRODUCT(AA$9:AA$229,Nutrients!$EQ$8:$EQ$228)+(IF($A$7=Nutrients!$B$8,Nutrients!$EQ$8,Nutrients!$EQ$9)*AA$7)+(((IF($A$8=Nutrients!$B$79,Nutrients!$EQ$79,(IF($A$8=Nutrients!$B$77,Nutrients!$EQ$77,Nutrients!$EQ$78)))))*AA$8))/2000*1000000000</f>
        <v>0</v>
      </c>
      <c r="AB325" s="21">
        <f>(SUMPRODUCT(AB$9:AB$229,Nutrients!$EQ$8:$EQ$228)+(IF($A$7=Nutrients!$B$8,Nutrients!$EQ$8,Nutrients!$EQ$9)*AB$7)+(((IF($A$8=Nutrients!$B$79,Nutrients!$EQ$79,(IF($A$8=Nutrients!$B$77,Nutrients!$EQ$77,Nutrients!$EQ$78)))))*AB$8))/2000*1000000000</f>
        <v>0</v>
      </c>
      <c r="AD325" s="21">
        <f>(SUMPRODUCT(AD$9:AD$229,Nutrients!$EQ$8:$EQ$228)+(IF($A$7=Nutrients!$B$8,Nutrients!$EQ$8,Nutrients!$EQ$9)*AD$7)+(((IF($A$8=Nutrients!$B$79,Nutrients!$EQ$79,(IF($A$8=Nutrients!$B$77,Nutrients!$EQ$77,Nutrients!$EQ$78)))))*AD$8))/2000*1000000000</f>
        <v>0</v>
      </c>
      <c r="AE325" s="21">
        <f>(SUMPRODUCT(AE$9:AE$229,Nutrients!$EQ$8:$EQ$228)+(IF($A$7=Nutrients!$B$8,Nutrients!$EQ$8,Nutrients!$EQ$9)*AE$7)+(((IF($A$8=Nutrients!$B$79,Nutrients!$EQ$79,(IF($A$8=Nutrients!$B$77,Nutrients!$EQ$77,Nutrients!$EQ$78)))))*AE$8))/2000*1000000000</f>
        <v>0</v>
      </c>
      <c r="AF325" s="21">
        <f>(SUMPRODUCT(AF$9:AF$229,Nutrients!$EQ$8:$EQ$228)+(IF($A$7=Nutrients!$B$8,Nutrients!$EQ$8,Nutrients!$EQ$9)*AF$7)+(((IF($A$8=Nutrients!$B$79,Nutrients!$EQ$79,(IF($A$8=Nutrients!$B$77,Nutrients!$EQ$77,Nutrients!$EQ$78)))))*AF$8))/2000*1000000000</f>
        <v>0</v>
      </c>
      <c r="AG325" s="21">
        <f>(SUMPRODUCT(AG$9:AG$229,Nutrients!$EQ$8:$EQ$228)+(IF($A$7=Nutrients!$B$8,Nutrients!$EQ$8,Nutrients!$EQ$9)*AG$7)+(((IF($A$8=Nutrients!$B$79,Nutrients!$EQ$79,(IF($A$8=Nutrients!$B$77,Nutrients!$EQ$77,Nutrients!$EQ$78)))))*AG$8))/2000*1000000000</f>
        <v>0</v>
      </c>
      <c r="AH325" s="21">
        <f>(SUMPRODUCT(AH$9:AH$229,Nutrients!$EQ$8:$EQ$228)+(IF($A$7=Nutrients!$B$8,Nutrients!$EQ$8,Nutrients!$EQ$9)*AH$7)+(((IF($A$8=Nutrients!$B$79,Nutrients!$EQ$79,(IF($A$8=Nutrients!$B$77,Nutrients!$EQ$77,Nutrients!$EQ$78)))))*AH$8))/2000*1000000000</f>
        <v>0</v>
      </c>
      <c r="AI325" s="21">
        <f>(SUMPRODUCT(AI$9:AI$229,Nutrients!$EQ$8:$EQ$228)+(IF($A$7=Nutrients!$B$8,Nutrients!$EQ$8,Nutrients!$EQ$9)*AI$7)+(((IF($A$8=Nutrients!$B$79,Nutrients!$EQ$79,(IF($A$8=Nutrients!$B$77,Nutrients!$EQ$77,Nutrients!$EQ$78)))))*AI$8))/2000*1000000000</f>
        <v>0</v>
      </c>
      <c r="AK325" s="21">
        <f>(SUMPRODUCT(AK$9:AK$229,Nutrients!$EQ$8:$EQ$228)+(IF($A$7=Nutrients!$B$8,Nutrients!$EQ$8,Nutrients!$EQ$9)*AK$7)+(((IF($A$8=Nutrients!$B$79,Nutrients!$EQ$79,(IF($A$8=Nutrients!$B$77,Nutrients!$EQ$77,Nutrients!$EQ$78)))))*AK$8))/2000*1000000000</f>
        <v>0</v>
      </c>
      <c r="AL325" s="21">
        <f>(SUMPRODUCT(AL$9:AL$229,Nutrients!$EQ$8:$EQ$228)+(IF($A$7=Nutrients!$B$8,Nutrients!$EQ$8,Nutrients!$EQ$9)*AL$7)+(((IF($A$8=Nutrients!$B$79,Nutrients!$EQ$79,(IF($A$8=Nutrients!$B$77,Nutrients!$EQ$77,Nutrients!$EQ$78)))))*AL$8))/2000*1000000000</f>
        <v>0</v>
      </c>
      <c r="AM325" s="21">
        <f>(SUMPRODUCT(AM$9:AM$229,Nutrients!$EQ$8:$EQ$228)+(IF($A$7=Nutrients!$B$8,Nutrients!$EQ$8,Nutrients!$EQ$9)*AM$7)+(((IF($A$8=Nutrients!$B$79,Nutrients!$EQ$79,(IF($A$8=Nutrients!$B$77,Nutrients!$EQ$77,Nutrients!$EQ$78)))))*AM$8))/2000*1000000000</f>
        <v>0</v>
      </c>
      <c r="AN325" s="21">
        <f>(SUMPRODUCT(AN$9:AN$229,Nutrients!$EQ$8:$EQ$228)+(IF($A$7=Nutrients!$B$8,Nutrients!$EQ$8,Nutrients!$EQ$9)*AN$7)+(((IF($A$8=Nutrients!$B$79,Nutrients!$EQ$79,(IF($A$8=Nutrients!$B$77,Nutrients!$EQ$77,Nutrients!$EQ$78)))))*AN$8))/2000*1000000000</f>
        <v>0</v>
      </c>
      <c r="AO325" s="21">
        <f>(SUMPRODUCT(AO$9:AO$229,Nutrients!$EQ$8:$EQ$228)+(IF($A$7=Nutrients!$B$8,Nutrients!$EQ$8,Nutrients!$EQ$9)*AO$7)+(((IF($A$8=Nutrients!$B$79,Nutrients!$EQ$79,(IF($A$8=Nutrients!$B$77,Nutrients!$EQ$77,Nutrients!$EQ$78)))))*AO$8))/2000*1000000000</f>
        <v>0</v>
      </c>
      <c r="AP325" s="21">
        <f>(SUMPRODUCT(AP$9:AP$229,Nutrients!$EQ$8:$EQ$228)+(IF($A$7=Nutrients!$B$8,Nutrients!$EQ$8,Nutrients!$EQ$9)*AP$7)+(((IF($A$8=Nutrients!$B$79,Nutrients!$EQ$79,(IF($A$8=Nutrients!$B$77,Nutrients!$EQ$77,Nutrients!$EQ$78)))))*AP$8))/2000*1000000000</f>
        <v>0</v>
      </c>
      <c r="AR325" s="21">
        <f>(SUMPRODUCT(AR$9:AR$229,Nutrients!$EQ$8:$EQ$228)+(IF($A$7=Nutrients!$B$8,Nutrients!$EQ$8,Nutrients!$EQ$9)*AR$7)+(((IF($A$8=Nutrients!$B$79,Nutrients!$EQ$79,(IF($A$8=Nutrients!$B$77,Nutrients!$EQ$77,Nutrients!$EQ$78)))))*AR$8))/2000*1000000000</f>
        <v>0</v>
      </c>
      <c r="AS325" s="21">
        <f>(SUMPRODUCT(AS$9:AS$229,Nutrients!$EQ$8:$EQ$228)+(IF($A$7=Nutrients!$B$8,Nutrients!$EQ$8,Nutrients!$EQ$9)*AS$7)+(((IF($A$8=Nutrients!$B$79,Nutrients!$EQ$79,(IF($A$8=Nutrients!$B$77,Nutrients!$EQ$77,Nutrients!$EQ$78)))))*AS$8))/2000*1000000000</f>
        <v>0</v>
      </c>
      <c r="AT325" s="21">
        <f>(SUMPRODUCT(AT$9:AT$229,Nutrients!$EQ$8:$EQ$228)+(IF($A$7=Nutrients!$B$8,Nutrients!$EQ$8,Nutrients!$EQ$9)*AT$7)+(((IF($A$8=Nutrients!$B$79,Nutrients!$EQ$79,(IF($A$8=Nutrients!$B$77,Nutrients!$EQ$77,Nutrients!$EQ$78)))))*AT$8))/2000*1000000000</f>
        <v>0</v>
      </c>
      <c r="AU325" s="21">
        <f>(SUMPRODUCT(AU$9:AU$229,Nutrients!$EQ$8:$EQ$228)+(IF($A$7=Nutrients!$B$8,Nutrients!$EQ$8,Nutrients!$EQ$9)*AU$7)+(((IF($A$8=Nutrients!$B$79,Nutrients!$EQ$79,(IF($A$8=Nutrients!$B$77,Nutrients!$EQ$77,Nutrients!$EQ$78)))))*AU$8))/2000*1000000000</f>
        <v>0</v>
      </c>
      <c r="AV325" s="21">
        <f>(SUMPRODUCT(AV$9:AV$229,Nutrients!$EQ$8:$EQ$228)+(IF($A$7=Nutrients!$B$8,Nutrients!$EQ$8,Nutrients!$EQ$9)*AV$7)+(((IF($A$8=Nutrients!$B$79,Nutrients!$EQ$79,(IF($A$8=Nutrients!$B$77,Nutrients!$EQ$77,Nutrients!$EQ$78)))))*AV$8))/2000*1000000000</f>
        <v>0</v>
      </c>
      <c r="AW325" s="21">
        <f>(SUMPRODUCT(AW$9:AW$229,Nutrients!$EQ$8:$EQ$228)+(IF($A$7=Nutrients!$B$8,Nutrients!$EQ$8,Nutrients!$EQ$9)*AW$7)+(((IF($A$8=Nutrients!$B$79,Nutrients!$EQ$79,(IF($A$8=Nutrients!$B$77,Nutrients!$EQ$77,Nutrients!$EQ$78)))))*AW$8))/2000*1000000000</f>
        <v>0</v>
      </c>
    </row>
    <row r="327" spans="1:49" x14ac:dyDescent="0.25">
      <c r="A327" s="34" t="s">
        <v>119</v>
      </c>
    </row>
    <row r="328" spans="1:49" x14ac:dyDescent="0.25">
      <c r="A328" s="34" t="s">
        <v>121</v>
      </c>
      <c r="B328" s="21">
        <f>(SUMPRODUCT(B$9:B$229,Nutrients!$ES$8:$ES$228)+(IF($A$7=Nutrients!$B$8,Nutrients!$ES$8,Nutrients!$ES$9)*B$7)+(((IF($A$8=Nutrients!$B$79,Nutrients!$ES$79,(IF($A$8=Nutrients!$B$77,Nutrients!$ES$77,Nutrients!$ES$78)))))*B$8))</f>
        <v>2250000</v>
      </c>
      <c r="C328" s="21">
        <f>(SUMPRODUCT(C$9:C$229,Nutrients!$ES$8:$ES$228)+(IF($A$7=Nutrients!$B$8,Nutrients!$ES$8,Nutrients!$ES$9)*C$7)+(((IF($A$8=Nutrients!$B$79,Nutrients!$ES$79,(IF($A$8=Nutrients!$B$77,Nutrients!$ES$77,Nutrients!$ES$78)))))*C$8))</f>
        <v>2250000</v>
      </c>
      <c r="D328" s="21">
        <f>(SUMPRODUCT(D$9:D$229,Nutrients!$ES$8:$ES$228)+(IF($A$7=Nutrients!$B$8,Nutrients!$ES$8,Nutrients!$ES$9)*D$7)+(((IF($A$8=Nutrients!$B$79,Nutrients!$ES$79,(IF($A$8=Nutrients!$B$77,Nutrients!$ES$77,Nutrients!$ES$78)))))*D$8))</f>
        <v>1875000</v>
      </c>
      <c r="E328" s="21">
        <f>(SUMPRODUCT(E$9:E$229,Nutrients!$ES$8:$ES$228)+(IF($A$7=Nutrients!$B$8,Nutrients!$ES$8,Nutrients!$ES$9)*E$7)+(((IF($A$8=Nutrients!$B$79,Nutrients!$ES$79,(IF($A$8=Nutrients!$B$77,Nutrients!$ES$77,Nutrients!$ES$78)))))*E$8))</f>
        <v>1500000</v>
      </c>
      <c r="F328" s="21">
        <f>(SUMPRODUCT(F$9:F$229,Nutrients!$ES$8:$ES$228)+(IF($A$7=Nutrients!$B$8,Nutrients!$ES$8,Nutrients!$ES$9)*F$7)+(((IF($A$8=Nutrients!$B$79,Nutrients!$ES$79,(IF($A$8=Nutrients!$B$77,Nutrients!$ES$77,Nutrients!$ES$78)))))*F$8))</f>
        <v>1125000</v>
      </c>
      <c r="G328" s="21">
        <f>(SUMPRODUCT(G$9:G$229,Nutrients!$ES$8:$ES$228)+(IF($A$7=Nutrients!$B$8,Nutrients!$ES$8,Nutrients!$ES$9)*G$7)+(((IF($A$8=Nutrients!$B$79,Nutrients!$ES$79,(IF($A$8=Nutrients!$B$77,Nutrients!$ES$77,Nutrients!$ES$78)))))*G$8))</f>
        <v>1125000</v>
      </c>
      <c r="H328" s="226"/>
      <c r="I328" s="21">
        <f>(SUMPRODUCT(I$9:I$229,Nutrients!$ES$8:$ES$228)+(IF($A$7=Nutrients!$B$8,Nutrients!$ES$8,Nutrients!$ES$9)*I$7)+(((IF($A$8=Nutrients!$B$79,Nutrients!$ES$79,(IF($A$8=Nutrients!$B$77,Nutrients!$ES$77,Nutrients!$ES$78)))))*I$8))</f>
        <v>2250000</v>
      </c>
      <c r="J328" s="21">
        <f>(SUMPRODUCT(J$9:J$229,Nutrients!$ES$8:$ES$228)+(IF($A$7=Nutrients!$B$8,Nutrients!$ES$8,Nutrients!$ES$9)*J$7)+(((IF($A$8=Nutrients!$B$79,Nutrients!$ES$79,(IF($A$8=Nutrients!$B$77,Nutrients!$ES$77,Nutrients!$ES$78)))))*J$8))</f>
        <v>2250000</v>
      </c>
      <c r="K328" s="21">
        <f>(SUMPRODUCT(K$9:K$229,Nutrients!$ES$8:$ES$228)+(IF($A$7=Nutrients!$B$8,Nutrients!$ES$8,Nutrients!$ES$9)*K$7)+(((IF($A$8=Nutrients!$B$79,Nutrients!$ES$79,(IF($A$8=Nutrients!$B$77,Nutrients!$ES$77,Nutrients!$ES$78)))))*K$8))</f>
        <v>1875000</v>
      </c>
      <c r="L328" s="21">
        <f>(SUMPRODUCT(L$9:L$229,Nutrients!$ES$8:$ES$228)+(IF($A$7=Nutrients!$B$8,Nutrients!$ES$8,Nutrients!$ES$9)*L$7)+(((IF($A$8=Nutrients!$B$79,Nutrients!$ES$79,(IF($A$8=Nutrients!$B$77,Nutrients!$ES$77,Nutrients!$ES$78)))))*L$8))</f>
        <v>1500000</v>
      </c>
      <c r="M328" s="21">
        <f>(SUMPRODUCT(M$9:M$229,Nutrients!$ES$8:$ES$228)+(IF($A$7=Nutrients!$B$8,Nutrients!$ES$8,Nutrients!$ES$9)*M$7)+(((IF($A$8=Nutrients!$B$79,Nutrients!$ES$79,(IF($A$8=Nutrients!$B$77,Nutrients!$ES$77,Nutrients!$ES$78)))))*M$8))</f>
        <v>1125000</v>
      </c>
      <c r="N328" s="21">
        <f>(SUMPRODUCT(N$9:N$229,Nutrients!$ES$8:$ES$228)+(IF($A$7=Nutrients!$B$8,Nutrients!$ES$8,Nutrients!$ES$9)*N$7)+(((IF($A$8=Nutrients!$B$79,Nutrients!$ES$79,(IF($A$8=Nutrients!$B$77,Nutrients!$ES$77,Nutrients!$ES$78)))))*N$8))</f>
        <v>1125000</v>
      </c>
      <c r="O328" s="234"/>
      <c r="P328" s="21">
        <f>(SUMPRODUCT(P$9:P$229,Nutrients!$ES$8:$ES$228)+(IF($A$7=Nutrients!$B$8,Nutrients!$ES$8,Nutrients!$ES$9)*P$7)+(((IF($A$8=Nutrients!$B$79,Nutrients!$ES$79,(IF($A$8=Nutrients!$B$77,Nutrients!$ES$77,Nutrients!$ES$78)))))*P$8))</f>
        <v>2250000</v>
      </c>
      <c r="Q328" s="21">
        <f>(SUMPRODUCT(Q$9:Q$229,Nutrients!$ES$8:$ES$228)+(IF($A$7=Nutrients!$B$8,Nutrients!$ES$8,Nutrients!$ES$9)*Q$7)+(((IF($A$8=Nutrients!$B$79,Nutrients!$ES$79,(IF($A$8=Nutrients!$B$77,Nutrients!$ES$77,Nutrients!$ES$78)))))*Q$8))</f>
        <v>2250000</v>
      </c>
      <c r="R328" s="21">
        <f>(SUMPRODUCT(R$9:R$229,Nutrients!$ES$8:$ES$228)+(IF($A$7=Nutrients!$B$8,Nutrients!$ES$8,Nutrients!$ES$9)*R$7)+(((IF($A$8=Nutrients!$B$79,Nutrients!$ES$79,(IF($A$8=Nutrients!$B$77,Nutrients!$ES$77,Nutrients!$ES$78)))))*R$8))</f>
        <v>1875000</v>
      </c>
      <c r="S328" s="21">
        <f>(SUMPRODUCT(S$9:S$229,Nutrients!$ES$8:$ES$228)+(IF($A$7=Nutrients!$B$8,Nutrients!$ES$8,Nutrients!$ES$9)*S$7)+(((IF($A$8=Nutrients!$B$79,Nutrients!$ES$79,(IF($A$8=Nutrients!$B$77,Nutrients!$ES$77,Nutrients!$ES$78)))))*S$8))</f>
        <v>1500000</v>
      </c>
      <c r="T328" s="21">
        <f>(SUMPRODUCT(T$9:T$229,Nutrients!$ES$8:$ES$228)+(IF($A$7=Nutrients!$B$8,Nutrients!$ES$8,Nutrients!$ES$9)*T$7)+(((IF($A$8=Nutrients!$B$79,Nutrients!$ES$79,(IF($A$8=Nutrients!$B$77,Nutrients!$ES$77,Nutrients!$ES$78)))))*T$8))</f>
        <v>1125000</v>
      </c>
      <c r="U328" s="21">
        <f>(SUMPRODUCT(U$9:U$229,Nutrients!$ES$8:$ES$228)+(IF($A$7=Nutrients!$B$8,Nutrients!$ES$8,Nutrients!$ES$9)*U$7)+(((IF($A$8=Nutrients!$B$79,Nutrients!$ES$79,(IF($A$8=Nutrients!$B$77,Nutrients!$ES$77,Nutrients!$ES$78)))))*U$8))</f>
        <v>1125000</v>
      </c>
      <c r="W328" s="21">
        <f>(SUMPRODUCT(W$9:W$229,Nutrients!$ES$8:$ES$228)+(IF($A$7=Nutrients!$B$8,Nutrients!$ES$8,Nutrients!$ES$9)*W$7)+(((IF($A$8=Nutrients!$B$79,Nutrients!$ES$79,(IF($A$8=Nutrients!$B$77,Nutrients!$ES$77,Nutrients!$ES$78)))))*W$8))</f>
        <v>2250000</v>
      </c>
      <c r="X328" s="21">
        <f>(SUMPRODUCT(X$9:X$229,Nutrients!$ES$8:$ES$228)+(IF($A$7=Nutrients!$B$8,Nutrients!$ES$8,Nutrients!$ES$9)*X$7)+(((IF($A$8=Nutrients!$B$79,Nutrients!$ES$79,(IF($A$8=Nutrients!$B$77,Nutrients!$ES$77,Nutrients!$ES$78)))))*X$8))</f>
        <v>2250000</v>
      </c>
      <c r="Y328" s="21">
        <f>(SUMPRODUCT(Y$9:Y$229,Nutrients!$ES$8:$ES$228)+(IF($A$7=Nutrients!$B$8,Nutrients!$ES$8,Nutrients!$ES$9)*Y$7)+(((IF($A$8=Nutrients!$B$79,Nutrients!$ES$79,(IF($A$8=Nutrients!$B$77,Nutrients!$ES$77,Nutrients!$ES$78)))))*Y$8))</f>
        <v>1875000</v>
      </c>
      <c r="Z328" s="21">
        <f>(SUMPRODUCT(Z$9:Z$229,Nutrients!$ES$8:$ES$228)+(IF($A$7=Nutrients!$B$8,Nutrients!$ES$8,Nutrients!$ES$9)*Z$7)+(((IF($A$8=Nutrients!$B$79,Nutrients!$ES$79,(IF($A$8=Nutrients!$B$77,Nutrients!$ES$77,Nutrients!$ES$78)))))*Z$8))</f>
        <v>1500000</v>
      </c>
      <c r="AA328" s="21">
        <f>(SUMPRODUCT(AA$9:AA$229,Nutrients!$ES$8:$ES$228)+(IF($A$7=Nutrients!$B$8,Nutrients!$ES$8,Nutrients!$ES$9)*AA$7)+(((IF($A$8=Nutrients!$B$79,Nutrients!$ES$79,(IF($A$8=Nutrients!$B$77,Nutrients!$ES$77,Nutrients!$ES$78)))))*AA$8))</f>
        <v>1125000</v>
      </c>
      <c r="AB328" s="21">
        <f>(SUMPRODUCT(AB$9:AB$229,Nutrients!$ES$8:$ES$228)+(IF($A$7=Nutrients!$B$8,Nutrients!$ES$8,Nutrients!$ES$9)*AB$7)+(((IF($A$8=Nutrients!$B$79,Nutrients!$ES$79,(IF($A$8=Nutrients!$B$77,Nutrients!$ES$77,Nutrients!$ES$78)))))*AB$8))</f>
        <v>1125000</v>
      </c>
      <c r="AD328" s="21">
        <f>(SUMPRODUCT(AD$9:AD$229,Nutrients!$ES$8:$ES$228)+(IF($A$7=Nutrients!$B$8,Nutrients!$ES$8,Nutrients!$ES$9)*AD$7)+(((IF($A$8=Nutrients!$B$79,Nutrients!$ES$79,(IF($A$8=Nutrients!$B$77,Nutrients!$ES$77,Nutrients!$ES$78)))))*AD$8))</f>
        <v>2250000</v>
      </c>
      <c r="AE328" s="21">
        <f>(SUMPRODUCT(AE$9:AE$229,Nutrients!$ES$8:$ES$228)+(IF($A$7=Nutrients!$B$8,Nutrients!$ES$8,Nutrients!$ES$9)*AE$7)+(((IF($A$8=Nutrients!$B$79,Nutrients!$ES$79,(IF($A$8=Nutrients!$B$77,Nutrients!$ES$77,Nutrients!$ES$78)))))*AE$8))</f>
        <v>2250000</v>
      </c>
      <c r="AF328" s="21">
        <f>(SUMPRODUCT(AF$9:AF$229,Nutrients!$ES$8:$ES$228)+(IF($A$7=Nutrients!$B$8,Nutrients!$ES$8,Nutrients!$ES$9)*AF$7)+(((IF($A$8=Nutrients!$B$79,Nutrients!$ES$79,(IF($A$8=Nutrients!$B$77,Nutrients!$ES$77,Nutrients!$ES$78)))))*AF$8))</f>
        <v>1875000</v>
      </c>
      <c r="AG328" s="21">
        <f>(SUMPRODUCT(AG$9:AG$229,Nutrients!$ES$8:$ES$228)+(IF($A$7=Nutrients!$B$8,Nutrients!$ES$8,Nutrients!$ES$9)*AG$7)+(((IF($A$8=Nutrients!$B$79,Nutrients!$ES$79,(IF($A$8=Nutrients!$B$77,Nutrients!$ES$77,Nutrients!$ES$78)))))*AG$8))</f>
        <v>1500000</v>
      </c>
      <c r="AH328" s="21">
        <f>(SUMPRODUCT(AH$9:AH$229,Nutrients!$ES$8:$ES$228)+(IF($A$7=Nutrients!$B$8,Nutrients!$ES$8,Nutrients!$ES$9)*AH$7)+(((IF($A$8=Nutrients!$B$79,Nutrients!$ES$79,(IF($A$8=Nutrients!$B$77,Nutrients!$ES$77,Nutrients!$ES$78)))))*AH$8))</f>
        <v>1125000</v>
      </c>
      <c r="AI328" s="21">
        <f>(SUMPRODUCT(AI$9:AI$229,Nutrients!$ES$8:$ES$228)+(IF($A$7=Nutrients!$B$8,Nutrients!$ES$8,Nutrients!$ES$9)*AI$7)+(((IF($A$8=Nutrients!$B$79,Nutrients!$ES$79,(IF($A$8=Nutrients!$B$77,Nutrients!$ES$77,Nutrients!$ES$78)))))*AI$8))</f>
        <v>1125000</v>
      </c>
      <c r="AK328" s="21">
        <f>(SUMPRODUCT(AK$9:AK$229,Nutrients!$ES$8:$ES$228)+(IF($A$7=Nutrients!$B$8,Nutrients!$ES$8,Nutrients!$ES$9)*AK$7)+(((IF($A$8=Nutrients!$B$79,Nutrients!$ES$79,(IF($A$8=Nutrients!$B$77,Nutrients!$ES$77,Nutrients!$ES$78)))))*AK$8))</f>
        <v>2250000</v>
      </c>
      <c r="AL328" s="21">
        <f>(SUMPRODUCT(AL$9:AL$229,Nutrients!$ES$8:$ES$228)+(IF($A$7=Nutrients!$B$8,Nutrients!$ES$8,Nutrients!$ES$9)*AL$7)+(((IF($A$8=Nutrients!$B$79,Nutrients!$ES$79,(IF($A$8=Nutrients!$B$77,Nutrients!$ES$77,Nutrients!$ES$78)))))*AL$8))</f>
        <v>2250000</v>
      </c>
      <c r="AM328" s="21">
        <f>(SUMPRODUCT(AM$9:AM$229,Nutrients!$ES$8:$ES$228)+(IF($A$7=Nutrients!$B$8,Nutrients!$ES$8,Nutrients!$ES$9)*AM$7)+(((IF($A$8=Nutrients!$B$79,Nutrients!$ES$79,(IF($A$8=Nutrients!$B$77,Nutrients!$ES$77,Nutrients!$ES$78)))))*AM$8))</f>
        <v>1875000</v>
      </c>
      <c r="AN328" s="21">
        <f>(SUMPRODUCT(AN$9:AN$229,Nutrients!$ES$8:$ES$228)+(IF($A$7=Nutrients!$B$8,Nutrients!$ES$8,Nutrients!$ES$9)*AN$7)+(((IF($A$8=Nutrients!$B$79,Nutrients!$ES$79,(IF($A$8=Nutrients!$B$77,Nutrients!$ES$77,Nutrients!$ES$78)))))*AN$8))</f>
        <v>1500000</v>
      </c>
      <c r="AO328" s="21">
        <f>(SUMPRODUCT(AO$9:AO$229,Nutrients!$ES$8:$ES$228)+(IF($A$7=Nutrients!$B$8,Nutrients!$ES$8,Nutrients!$ES$9)*AO$7)+(((IF($A$8=Nutrients!$B$79,Nutrients!$ES$79,(IF($A$8=Nutrients!$B$77,Nutrients!$ES$77,Nutrients!$ES$78)))))*AO$8))</f>
        <v>1125000</v>
      </c>
      <c r="AP328" s="21">
        <f>(SUMPRODUCT(AP$9:AP$229,Nutrients!$ES$8:$ES$228)+(IF($A$7=Nutrients!$B$8,Nutrients!$ES$8,Nutrients!$ES$9)*AP$7)+(((IF($A$8=Nutrients!$B$79,Nutrients!$ES$79,(IF($A$8=Nutrients!$B$77,Nutrients!$ES$77,Nutrients!$ES$78)))))*AP$8))</f>
        <v>1125000</v>
      </c>
      <c r="AR328" s="21">
        <f>(SUMPRODUCT(AR$9:AR$229,Nutrients!$ES$8:$ES$228)+(IF($A$7=Nutrients!$B$8,Nutrients!$ES$8,Nutrients!$ES$9)*AR$7)+(((IF($A$8=Nutrients!$B$79,Nutrients!$ES$79,(IF($A$8=Nutrients!$B$77,Nutrients!$ES$77,Nutrients!$ES$78)))))*AR$8))</f>
        <v>2250000</v>
      </c>
      <c r="AS328" s="21">
        <f>(SUMPRODUCT(AS$9:AS$229,Nutrients!$ES$8:$ES$228)+(IF($A$7=Nutrients!$B$8,Nutrients!$ES$8,Nutrients!$ES$9)*AS$7)+(((IF($A$8=Nutrients!$B$79,Nutrients!$ES$79,(IF($A$8=Nutrients!$B$77,Nutrients!$ES$77,Nutrients!$ES$78)))))*AS$8))</f>
        <v>2250000</v>
      </c>
      <c r="AT328" s="21">
        <f>(SUMPRODUCT(AT$9:AT$229,Nutrients!$ES$8:$ES$228)+(IF($A$7=Nutrients!$B$8,Nutrients!$ES$8,Nutrients!$ES$9)*AT$7)+(((IF($A$8=Nutrients!$B$79,Nutrients!$ES$79,(IF($A$8=Nutrients!$B$77,Nutrients!$ES$77,Nutrients!$ES$78)))))*AT$8))</f>
        <v>1875000</v>
      </c>
      <c r="AU328" s="21">
        <f>(SUMPRODUCT(AU$9:AU$229,Nutrients!$ES$8:$ES$228)+(IF($A$7=Nutrients!$B$8,Nutrients!$ES$8,Nutrients!$ES$9)*AU$7)+(((IF($A$8=Nutrients!$B$79,Nutrients!$ES$79,(IF($A$8=Nutrients!$B$77,Nutrients!$ES$77,Nutrients!$ES$78)))))*AU$8))</f>
        <v>1500000</v>
      </c>
      <c r="AV328" s="21">
        <f>(SUMPRODUCT(AV$9:AV$229,Nutrients!$ES$8:$ES$228)+(IF($A$7=Nutrients!$B$8,Nutrients!$ES$8,Nutrients!$ES$9)*AV$7)+(((IF($A$8=Nutrients!$B$79,Nutrients!$ES$79,(IF($A$8=Nutrients!$B$77,Nutrients!$ES$77,Nutrients!$ES$78)))))*AV$8))</f>
        <v>1125000</v>
      </c>
      <c r="AW328" s="21">
        <f>(SUMPRODUCT(AW$9:AW$229,Nutrients!$ES$8:$ES$228)+(IF($A$7=Nutrients!$B$8,Nutrients!$ES$8,Nutrients!$ES$9)*AW$7)+(((IF($A$8=Nutrients!$B$79,Nutrients!$ES$79,(IF($A$8=Nutrients!$B$77,Nutrients!$ES$77,Nutrients!$ES$78)))))*AW$8))</f>
        <v>1125000</v>
      </c>
    </row>
    <row r="329" spans="1:49" x14ac:dyDescent="0.25">
      <c r="A329" s="34" t="s">
        <v>122</v>
      </c>
      <c r="B329" s="21">
        <f>(SUMPRODUCT(B$9:B$229,Nutrients!$ET$8:$ET$228)+(IF($A$7=Nutrients!$B$8,Nutrients!$ET$8,Nutrients!$ET$9)*B$7)+(((IF($A$8=Nutrients!$B$79,Nutrients!$ET$79,(IF($A$8=Nutrients!$B$77,Nutrients!$ET$77,Nutrients!$ET$78)))))*B$8))</f>
        <v>900000</v>
      </c>
      <c r="C329" s="21">
        <f>(SUMPRODUCT(C$9:C$229,Nutrients!$ET$8:$ET$228)+(IF($A$7=Nutrients!$B$8,Nutrients!$ET$8,Nutrients!$ET$9)*C$7)+(((IF($A$8=Nutrients!$B$79,Nutrients!$ET$79,(IF($A$8=Nutrients!$B$77,Nutrients!$ET$77,Nutrients!$ET$78)))))*C$8))</f>
        <v>900000</v>
      </c>
      <c r="D329" s="21">
        <f>(SUMPRODUCT(D$9:D$229,Nutrients!$ET$8:$ET$228)+(IF($A$7=Nutrients!$B$8,Nutrients!$ET$8,Nutrients!$ET$9)*D$7)+(((IF($A$8=Nutrients!$B$79,Nutrients!$ET$79,(IF($A$8=Nutrients!$B$77,Nutrients!$ET$77,Nutrients!$ET$78)))))*D$8))</f>
        <v>750000</v>
      </c>
      <c r="E329" s="21">
        <f>(SUMPRODUCT(E$9:E$229,Nutrients!$ET$8:$ET$228)+(IF($A$7=Nutrients!$B$8,Nutrients!$ET$8,Nutrients!$ET$9)*E$7)+(((IF($A$8=Nutrients!$B$79,Nutrients!$ET$79,(IF($A$8=Nutrients!$B$77,Nutrients!$ET$77,Nutrients!$ET$78)))))*E$8))</f>
        <v>600000</v>
      </c>
      <c r="F329" s="21">
        <f>(SUMPRODUCT(F$9:F$229,Nutrients!$ET$8:$ET$228)+(IF($A$7=Nutrients!$B$8,Nutrients!$ET$8,Nutrients!$ET$9)*F$7)+(((IF($A$8=Nutrients!$B$79,Nutrients!$ET$79,(IF($A$8=Nutrients!$B$77,Nutrients!$ET$77,Nutrients!$ET$78)))))*F$8))</f>
        <v>450000</v>
      </c>
      <c r="G329" s="21">
        <f>(SUMPRODUCT(G$9:G$229,Nutrients!$ET$8:$ET$228)+(IF($A$7=Nutrients!$B$8,Nutrients!$ET$8,Nutrients!$ET$9)*G$7)+(((IF($A$8=Nutrients!$B$79,Nutrients!$ET$79,(IF($A$8=Nutrients!$B$77,Nutrients!$ET$77,Nutrients!$ET$78)))))*G$8))</f>
        <v>450000</v>
      </c>
      <c r="H329" s="226"/>
      <c r="I329" s="21">
        <f>(SUMPRODUCT(I$9:I$229,Nutrients!$ET$8:$ET$228)+(IF($A$7=Nutrients!$B$8,Nutrients!$ET$8,Nutrients!$ET$9)*I$7)+(((IF($A$8=Nutrients!$B$79,Nutrients!$ET$79,(IF($A$8=Nutrients!$B$77,Nutrients!$ET$77,Nutrients!$ET$78)))))*I$8))</f>
        <v>900000</v>
      </c>
      <c r="J329" s="21">
        <f>(SUMPRODUCT(J$9:J$229,Nutrients!$ET$8:$ET$228)+(IF($A$7=Nutrients!$B$8,Nutrients!$ET$8,Nutrients!$ET$9)*J$7)+(((IF($A$8=Nutrients!$B$79,Nutrients!$ET$79,(IF($A$8=Nutrients!$B$77,Nutrients!$ET$77,Nutrients!$ET$78)))))*J$8))</f>
        <v>900000</v>
      </c>
      <c r="K329" s="21">
        <f>(SUMPRODUCT(K$9:K$229,Nutrients!$ET$8:$ET$228)+(IF($A$7=Nutrients!$B$8,Nutrients!$ET$8,Nutrients!$ET$9)*K$7)+(((IF($A$8=Nutrients!$B$79,Nutrients!$ET$79,(IF($A$8=Nutrients!$B$77,Nutrients!$ET$77,Nutrients!$ET$78)))))*K$8))</f>
        <v>750000</v>
      </c>
      <c r="L329" s="21">
        <f>(SUMPRODUCT(L$9:L$229,Nutrients!$ET$8:$ET$228)+(IF($A$7=Nutrients!$B$8,Nutrients!$ET$8,Nutrients!$ET$9)*L$7)+(((IF($A$8=Nutrients!$B$79,Nutrients!$ET$79,(IF($A$8=Nutrients!$B$77,Nutrients!$ET$77,Nutrients!$ET$78)))))*L$8))</f>
        <v>600000</v>
      </c>
      <c r="M329" s="21">
        <f>(SUMPRODUCT(M$9:M$229,Nutrients!$ET$8:$ET$228)+(IF($A$7=Nutrients!$B$8,Nutrients!$ET$8,Nutrients!$ET$9)*M$7)+(((IF($A$8=Nutrients!$B$79,Nutrients!$ET$79,(IF($A$8=Nutrients!$B$77,Nutrients!$ET$77,Nutrients!$ET$78)))))*M$8))</f>
        <v>450000</v>
      </c>
      <c r="N329" s="21">
        <f>(SUMPRODUCT(N$9:N$229,Nutrients!$ET$8:$ET$228)+(IF($A$7=Nutrients!$B$8,Nutrients!$ET$8,Nutrients!$ET$9)*N$7)+(((IF($A$8=Nutrients!$B$79,Nutrients!$ET$79,(IF($A$8=Nutrients!$B$77,Nutrients!$ET$77,Nutrients!$ET$78)))))*N$8))</f>
        <v>450000</v>
      </c>
      <c r="O329" s="234"/>
      <c r="P329" s="21">
        <f>(SUMPRODUCT(P$9:P$229,Nutrients!$ET$8:$ET$228)+(IF($A$7=Nutrients!$B$8,Nutrients!$ET$8,Nutrients!$ET$9)*P$7)+(((IF($A$8=Nutrients!$B$79,Nutrients!$ET$79,(IF($A$8=Nutrients!$B$77,Nutrients!$ET$77,Nutrients!$ET$78)))))*P$8))</f>
        <v>900000</v>
      </c>
      <c r="Q329" s="21">
        <f>(SUMPRODUCT(Q$9:Q$229,Nutrients!$ET$8:$ET$228)+(IF($A$7=Nutrients!$B$8,Nutrients!$ET$8,Nutrients!$ET$9)*Q$7)+(((IF($A$8=Nutrients!$B$79,Nutrients!$ET$79,(IF($A$8=Nutrients!$B$77,Nutrients!$ET$77,Nutrients!$ET$78)))))*Q$8))</f>
        <v>900000</v>
      </c>
      <c r="R329" s="21">
        <f>(SUMPRODUCT(R$9:R$229,Nutrients!$ET$8:$ET$228)+(IF($A$7=Nutrients!$B$8,Nutrients!$ET$8,Nutrients!$ET$9)*R$7)+(((IF($A$8=Nutrients!$B$79,Nutrients!$ET$79,(IF($A$8=Nutrients!$B$77,Nutrients!$ET$77,Nutrients!$ET$78)))))*R$8))</f>
        <v>750000</v>
      </c>
      <c r="S329" s="21">
        <f>(SUMPRODUCT(S$9:S$229,Nutrients!$ET$8:$ET$228)+(IF($A$7=Nutrients!$B$8,Nutrients!$ET$8,Nutrients!$ET$9)*S$7)+(((IF($A$8=Nutrients!$B$79,Nutrients!$ET$79,(IF($A$8=Nutrients!$B$77,Nutrients!$ET$77,Nutrients!$ET$78)))))*S$8))</f>
        <v>600000</v>
      </c>
      <c r="T329" s="21">
        <f>(SUMPRODUCT(T$9:T$229,Nutrients!$ET$8:$ET$228)+(IF($A$7=Nutrients!$B$8,Nutrients!$ET$8,Nutrients!$ET$9)*T$7)+(((IF($A$8=Nutrients!$B$79,Nutrients!$ET$79,(IF($A$8=Nutrients!$B$77,Nutrients!$ET$77,Nutrients!$ET$78)))))*T$8))</f>
        <v>450000</v>
      </c>
      <c r="U329" s="21">
        <f>(SUMPRODUCT(U$9:U$229,Nutrients!$ET$8:$ET$228)+(IF($A$7=Nutrients!$B$8,Nutrients!$ET$8,Nutrients!$ET$9)*U$7)+(((IF($A$8=Nutrients!$B$79,Nutrients!$ET$79,(IF($A$8=Nutrients!$B$77,Nutrients!$ET$77,Nutrients!$ET$78)))))*U$8))</f>
        <v>450000</v>
      </c>
      <c r="W329" s="21">
        <f>(SUMPRODUCT(W$9:W$229,Nutrients!$ET$8:$ET$228)+(IF($A$7=Nutrients!$B$8,Nutrients!$ET$8,Nutrients!$ET$9)*W$7)+(((IF($A$8=Nutrients!$B$79,Nutrients!$ET$79,(IF($A$8=Nutrients!$B$77,Nutrients!$ET$77,Nutrients!$ET$78)))))*W$8))</f>
        <v>900000</v>
      </c>
      <c r="X329" s="21">
        <f>(SUMPRODUCT(X$9:X$229,Nutrients!$ET$8:$ET$228)+(IF($A$7=Nutrients!$B$8,Nutrients!$ET$8,Nutrients!$ET$9)*X$7)+(((IF($A$8=Nutrients!$B$79,Nutrients!$ET$79,(IF($A$8=Nutrients!$B$77,Nutrients!$ET$77,Nutrients!$ET$78)))))*X$8))</f>
        <v>900000</v>
      </c>
      <c r="Y329" s="21">
        <f>(SUMPRODUCT(Y$9:Y$229,Nutrients!$ET$8:$ET$228)+(IF($A$7=Nutrients!$B$8,Nutrients!$ET$8,Nutrients!$ET$9)*Y$7)+(((IF($A$8=Nutrients!$B$79,Nutrients!$ET$79,(IF($A$8=Nutrients!$B$77,Nutrients!$ET$77,Nutrients!$ET$78)))))*Y$8))</f>
        <v>750000</v>
      </c>
      <c r="Z329" s="21">
        <f>(SUMPRODUCT(Z$9:Z$229,Nutrients!$ET$8:$ET$228)+(IF($A$7=Nutrients!$B$8,Nutrients!$ET$8,Nutrients!$ET$9)*Z$7)+(((IF($A$8=Nutrients!$B$79,Nutrients!$ET$79,(IF($A$8=Nutrients!$B$77,Nutrients!$ET$77,Nutrients!$ET$78)))))*Z$8))</f>
        <v>600000</v>
      </c>
      <c r="AA329" s="21">
        <f>(SUMPRODUCT(AA$9:AA$229,Nutrients!$ET$8:$ET$228)+(IF($A$7=Nutrients!$B$8,Nutrients!$ET$8,Nutrients!$ET$9)*AA$7)+(((IF($A$8=Nutrients!$B$79,Nutrients!$ET$79,(IF($A$8=Nutrients!$B$77,Nutrients!$ET$77,Nutrients!$ET$78)))))*AA$8))</f>
        <v>450000</v>
      </c>
      <c r="AB329" s="21">
        <f>(SUMPRODUCT(AB$9:AB$229,Nutrients!$ET$8:$ET$228)+(IF($A$7=Nutrients!$B$8,Nutrients!$ET$8,Nutrients!$ET$9)*AB$7)+(((IF($A$8=Nutrients!$B$79,Nutrients!$ET$79,(IF($A$8=Nutrients!$B$77,Nutrients!$ET$77,Nutrients!$ET$78)))))*AB$8))</f>
        <v>450000</v>
      </c>
      <c r="AD329" s="21">
        <f>(SUMPRODUCT(AD$9:AD$229,Nutrients!$ET$8:$ET$228)+(IF($A$7=Nutrients!$B$8,Nutrients!$ET$8,Nutrients!$ET$9)*AD$7)+(((IF($A$8=Nutrients!$B$79,Nutrients!$ET$79,(IF($A$8=Nutrients!$B$77,Nutrients!$ET$77,Nutrients!$ET$78)))))*AD$8))</f>
        <v>900000</v>
      </c>
      <c r="AE329" s="21">
        <f>(SUMPRODUCT(AE$9:AE$229,Nutrients!$ET$8:$ET$228)+(IF($A$7=Nutrients!$B$8,Nutrients!$ET$8,Nutrients!$ET$9)*AE$7)+(((IF($A$8=Nutrients!$B$79,Nutrients!$ET$79,(IF($A$8=Nutrients!$B$77,Nutrients!$ET$77,Nutrients!$ET$78)))))*AE$8))</f>
        <v>900000</v>
      </c>
      <c r="AF329" s="21">
        <f>(SUMPRODUCT(AF$9:AF$229,Nutrients!$ET$8:$ET$228)+(IF($A$7=Nutrients!$B$8,Nutrients!$ET$8,Nutrients!$ET$9)*AF$7)+(((IF($A$8=Nutrients!$B$79,Nutrients!$ET$79,(IF($A$8=Nutrients!$B$77,Nutrients!$ET$77,Nutrients!$ET$78)))))*AF$8))</f>
        <v>750000</v>
      </c>
      <c r="AG329" s="21">
        <f>(SUMPRODUCT(AG$9:AG$229,Nutrients!$ET$8:$ET$228)+(IF($A$7=Nutrients!$B$8,Nutrients!$ET$8,Nutrients!$ET$9)*AG$7)+(((IF($A$8=Nutrients!$B$79,Nutrients!$ET$79,(IF($A$8=Nutrients!$B$77,Nutrients!$ET$77,Nutrients!$ET$78)))))*AG$8))</f>
        <v>600000</v>
      </c>
      <c r="AH329" s="21">
        <f>(SUMPRODUCT(AH$9:AH$229,Nutrients!$ET$8:$ET$228)+(IF($A$7=Nutrients!$B$8,Nutrients!$ET$8,Nutrients!$ET$9)*AH$7)+(((IF($A$8=Nutrients!$B$79,Nutrients!$ET$79,(IF($A$8=Nutrients!$B$77,Nutrients!$ET$77,Nutrients!$ET$78)))))*AH$8))</f>
        <v>450000</v>
      </c>
      <c r="AI329" s="21">
        <f>(SUMPRODUCT(AI$9:AI$229,Nutrients!$ET$8:$ET$228)+(IF($A$7=Nutrients!$B$8,Nutrients!$ET$8,Nutrients!$ET$9)*AI$7)+(((IF($A$8=Nutrients!$B$79,Nutrients!$ET$79,(IF($A$8=Nutrients!$B$77,Nutrients!$ET$77,Nutrients!$ET$78)))))*AI$8))</f>
        <v>450000</v>
      </c>
      <c r="AK329" s="21">
        <f>(SUMPRODUCT(AK$9:AK$229,Nutrients!$ET$8:$ET$228)+(IF($A$7=Nutrients!$B$8,Nutrients!$ET$8,Nutrients!$ET$9)*AK$7)+(((IF($A$8=Nutrients!$B$79,Nutrients!$ET$79,(IF($A$8=Nutrients!$B$77,Nutrients!$ET$77,Nutrients!$ET$78)))))*AK$8))</f>
        <v>900000</v>
      </c>
      <c r="AL329" s="21">
        <f>(SUMPRODUCT(AL$9:AL$229,Nutrients!$ET$8:$ET$228)+(IF($A$7=Nutrients!$B$8,Nutrients!$ET$8,Nutrients!$ET$9)*AL$7)+(((IF($A$8=Nutrients!$B$79,Nutrients!$ET$79,(IF($A$8=Nutrients!$B$77,Nutrients!$ET$77,Nutrients!$ET$78)))))*AL$8))</f>
        <v>900000</v>
      </c>
      <c r="AM329" s="21">
        <f>(SUMPRODUCT(AM$9:AM$229,Nutrients!$ET$8:$ET$228)+(IF($A$7=Nutrients!$B$8,Nutrients!$ET$8,Nutrients!$ET$9)*AM$7)+(((IF($A$8=Nutrients!$B$79,Nutrients!$ET$79,(IF($A$8=Nutrients!$B$77,Nutrients!$ET$77,Nutrients!$ET$78)))))*AM$8))</f>
        <v>750000</v>
      </c>
      <c r="AN329" s="21">
        <f>(SUMPRODUCT(AN$9:AN$229,Nutrients!$ET$8:$ET$228)+(IF($A$7=Nutrients!$B$8,Nutrients!$ET$8,Nutrients!$ET$9)*AN$7)+(((IF($A$8=Nutrients!$B$79,Nutrients!$ET$79,(IF($A$8=Nutrients!$B$77,Nutrients!$ET$77,Nutrients!$ET$78)))))*AN$8))</f>
        <v>600000</v>
      </c>
      <c r="AO329" s="21">
        <f>(SUMPRODUCT(AO$9:AO$229,Nutrients!$ET$8:$ET$228)+(IF($A$7=Nutrients!$B$8,Nutrients!$ET$8,Nutrients!$ET$9)*AO$7)+(((IF($A$8=Nutrients!$B$79,Nutrients!$ET$79,(IF($A$8=Nutrients!$B$77,Nutrients!$ET$77,Nutrients!$ET$78)))))*AO$8))</f>
        <v>450000</v>
      </c>
      <c r="AP329" s="21">
        <f>(SUMPRODUCT(AP$9:AP$229,Nutrients!$ET$8:$ET$228)+(IF($A$7=Nutrients!$B$8,Nutrients!$ET$8,Nutrients!$ET$9)*AP$7)+(((IF($A$8=Nutrients!$B$79,Nutrients!$ET$79,(IF($A$8=Nutrients!$B$77,Nutrients!$ET$77,Nutrients!$ET$78)))))*AP$8))</f>
        <v>450000</v>
      </c>
      <c r="AR329" s="21">
        <f>(SUMPRODUCT(AR$9:AR$229,Nutrients!$ET$8:$ET$228)+(IF($A$7=Nutrients!$B$8,Nutrients!$ET$8,Nutrients!$ET$9)*AR$7)+(((IF($A$8=Nutrients!$B$79,Nutrients!$ET$79,(IF($A$8=Nutrients!$B$77,Nutrients!$ET$77,Nutrients!$ET$78)))))*AR$8))</f>
        <v>900000</v>
      </c>
      <c r="AS329" s="21">
        <f>(SUMPRODUCT(AS$9:AS$229,Nutrients!$ET$8:$ET$228)+(IF($A$7=Nutrients!$B$8,Nutrients!$ET$8,Nutrients!$ET$9)*AS$7)+(((IF($A$8=Nutrients!$B$79,Nutrients!$ET$79,(IF($A$8=Nutrients!$B$77,Nutrients!$ET$77,Nutrients!$ET$78)))))*AS$8))</f>
        <v>900000</v>
      </c>
      <c r="AT329" s="21">
        <f>(SUMPRODUCT(AT$9:AT$229,Nutrients!$ET$8:$ET$228)+(IF($A$7=Nutrients!$B$8,Nutrients!$ET$8,Nutrients!$ET$9)*AT$7)+(((IF($A$8=Nutrients!$B$79,Nutrients!$ET$79,(IF($A$8=Nutrients!$B$77,Nutrients!$ET$77,Nutrients!$ET$78)))))*AT$8))</f>
        <v>750000</v>
      </c>
      <c r="AU329" s="21">
        <f>(SUMPRODUCT(AU$9:AU$229,Nutrients!$ET$8:$ET$228)+(IF($A$7=Nutrients!$B$8,Nutrients!$ET$8,Nutrients!$ET$9)*AU$7)+(((IF($A$8=Nutrients!$B$79,Nutrients!$ET$79,(IF($A$8=Nutrients!$B$77,Nutrients!$ET$77,Nutrients!$ET$78)))))*AU$8))</f>
        <v>600000</v>
      </c>
      <c r="AV329" s="21">
        <f>(SUMPRODUCT(AV$9:AV$229,Nutrients!$ET$8:$ET$228)+(IF($A$7=Nutrients!$B$8,Nutrients!$ET$8,Nutrients!$ET$9)*AV$7)+(((IF($A$8=Nutrients!$B$79,Nutrients!$ET$79,(IF($A$8=Nutrients!$B$77,Nutrients!$ET$77,Nutrients!$ET$78)))))*AV$8))</f>
        <v>450000</v>
      </c>
      <c r="AW329" s="21">
        <f>(SUMPRODUCT(AW$9:AW$229,Nutrients!$ET$8:$ET$228)+(IF($A$7=Nutrients!$B$8,Nutrients!$ET$8,Nutrients!$ET$9)*AW$7)+(((IF($A$8=Nutrients!$B$79,Nutrients!$ET$79,(IF($A$8=Nutrients!$B$77,Nutrients!$ET$77,Nutrients!$ET$78)))))*AW$8))</f>
        <v>450000</v>
      </c>
    </row>
    <row r="330" spans="1:49" x14ac:dyDescent="0.25">
      <c r="A330" s="34" t="s">
        <v>123</v>
      </c>
      <c r="B330" s="21">
        <f>(SUMPRODUCT(B$9:B$229,Nutrients!$EU$8:$EU$228)+(IF($A$7=Nutrients!$B$8,Nutrients!$EU$8,Nutrients!$EU$9)*B$7)+(((IF($A$8=Nutrients!$B$79,Nutrients!$EU$79,(IF($A$8=Nutrients!$B$77,Nutrients!$EU$77,Nutrients!$EU$78)))))*B$8))</f>
        <v>24000</v>
      </c>
      <c r="C330" s="21">
        <f>(SUMPRODUCT(C$9:C$229,Nutrients!$EU$8:$EU$228)+(IF($A$7=Nutrients!$B$8,Nutrients!$EU$8,Nutrients!$EU$9)*C$7)+(((IF($A$8=Nutrients!$B$79,Nutrients!$EU$79,(IF($A$8=Nutrients!$B$77,Nutrients!$EU$77,Nutrients!$EU$78)))))*C$8))</f>
        <v>24000</v>
      </c>
      <c r="D330" s="21">
        <f>(SUMPRODUCT(D$9:D$229,Nutrients!$EU$8:$EU$228)+(IF($A$7=Nutrients!$B$8,Nutrients!$EU$8,Nutrients!$EU$9)*D$7)+(((IF($A$8=Nutrients!$B$79,Nutrients!$EU$79,(IF($A$8=Nutrients!$B$77,Nutrients!$EU$77,Nutrients!$EU$78)))))*D$8))</f>
        <v>20000</v>
      </c>
      <c r="E330" s="21">
        <f>(SUMPRODUCT(E$9:E$229,Nutrients!$EU$8:$EU$228)+(IF($A$7=Nutrients!$B$8,Nutrients!$EU$8,Nutrients!$EU$9)*E$7)+(((IF($A$8=Nutrients!$B$79,Nutrients!$EU$79,(IF($A$8=Nutrients!$B$77,Nutrients!$EU$77,Nutrients!$EU$78)))))*E$8))</f>
        <v>16000</v>
      </c>
      <c r="F330" s="21">
        <f>(SUMPRODUCT(F$9:F$229,Nutrients!$EU$8:$EU$228)+(IF($A$7=Nutrients!$B$8,Nutrients!$EU$8,Nutrients!$EU$9)*F$7)+(((IF($A$8=Nutrients!$B$79,Nutrients!$EU$79,(IF($A$8=Nutrients!$B$77,Nutrients!$EU$77,Nutrients!$EU$78)))))*F$8))</f>
        <v>12000</v>
      </c>
      <c r="G330" s="21">
        <f>(SUMPRODUCT(G$9:G$229,Nutrients!$EU$8:$EU$228)+(IF($A$7=Nutrients!$B$8,Nutrients!$EU$8,Nutrients!$EU$9)*G$7)+(((IF($A$8=Nutrients!$B$79,Nutrients!$EU$79,(IF($A$8=Nutrients!$B$77,Nutrients!$EU$77,Nutrients!$EU$78)))))*G$8))</f>
        <v>12000</v>
      </c>
      <c r="H330" s="226"/>
      <c r="I330" s="21">
        <f>(SUMPRODUCT(I$9:I$229,Nutrients!$EU$8:$EU$228)+(IF($A$7=Nutrients!$B$8,Nutrients!$EU$8,Nutrients!$EU$9)*I$7)+(((IF($A$8=Nutrients!$B$79,Nutrients!$EU$79,(IF($A$8=Nutrients!$B$77,Nutrients!$EU$77,Nutrients!$EU$78)))))*I$8))</f>
        <v>24000</v>
      </c>
      <c r="J330" s="21">
        <f>(SUMPRODUCT(J$9:J$229,Nutrients!$EU$8:$EU$228)+(IF($A$7=Nutrients!$B$8,Nutrients!$EU$8,Nutrients!$EU$9)*J$7)+(((IF($A$8=Nutrients!$B$79,Nutrients!$EU$79,(IF($A$8=Nutrients!$B$77,Nutrients!$EU$77,Nutrients!$EU$78)))))*J$8))</f>
        <v>24000</v>
      </c>
      <c r="K330" s="21">
        <f>(SUMPRODUCT(K$9:K$229,Nutrients!$EU$8:$EU$228)+(IF($A$7=Nutrients!$B$8,Nutrients!$EU$8,Nutrients!$EU$9)*K$7)+(((IF($A$8=Nutrients!$B$79,Nutrients!$EU$79,(IF($A$8=Nutrients!$B$77,Nutrients!$EU$77,Nutrients!$EU$78)))))*K$8))</f>
        <v>20000</v>
      </c>
      <c r="L330" s="21">
        <f>(SUMPRODUCT(L$9:L$229,Nutrients!$EU$8:$EU$228)+(IF($A$7=Nutrients!$B$8,Nutrients!$EU$8,Nutrients!$EU$9)*L$7)+(((IF($A$8=Nutrients!$B$79,Nutrients!$EU$79,(IF($A$8=Nutrients!$B$77,Nutrients!$EU$77,Nutrients!$EU$78)))))*L$8))</f>
        <v>16000</v>
      </c>
      <c r="M330" s="21">
        <f>(SUMPRODUCT(M$9:M$229,Nutrients!$EU$8:$EU$228)+(IF($A$7=Nutrients!$B$8,Nutrients!$EU$8,Nutrients!$EU$9)*M$7)+(((IF($A$8=Nutrients!$B$79,Nutrients!$EU$79,(IF($A$8=Nutrients!$B$77,Nutrients!$EU$77,Nutrients!$EU$78)))))*M$8))</f>
        <v>12000</v>
      </c>
      <c r="N330" s="21">
        <f>(SUMPRODUCT(N$9:N$229,Nutrients!$EU$8:$EU$228)+(IF($A$7=Nutrients!$B$8,Nutrients!$EU$8,Nutrients!$EU$9)*N$7)+(((IF($A$8=Nutrients!$B$79,Nutrients!$EU$79,(IF($A$8=Nutrients!$B$77,Nutrients!$EU$77,Nutrients!$EU$78)))))*N$8))</f>
        <v>12000</v>
      </c>
      <c r="O330" s="234"/>
      <c r="P330" s="21">
        <f>(SUMPRODUCT(P$9:P$229,Nutrients!$EU$8:$EU$228)+(IF($A$7=Nutrients!$B$8,Nutrients!$EU$8,Nutrients!$EU$9)*P$7)+(((IF($A$8=Nutrients!$B$79,Nutrients!$EU$79,(IF($A$8=Nutrients!$B$77,Nutrients!$EU$77,Nutrients!$EU$78)))))*P$8))</f>
        <v>24000</v>
      </c>
      <c r="Q330" s="21">
        <f>(SUMPRODUCT(Q$9:Q$229,Nutrients!$EU$8:$EU$228)+(IF($A$7=Nutrients!$B$8,Nutrients!$EU$8,Nutrients!$EU$9)*Q$7)+(((IF($A$8=Nutrients!$B$79,Nutrients!$EU$79,(IF($A$8=Nutrients!$B$77,Nutrients!$EU$77,Nutrients!$EU$78)))))*Q$8))</f>
        <v>24000</v>
      </c>
      <c r="R330" s="21">
        <f>(SUMPRODUCT(R$9:R$229,Nutrients!$EU$8:$EU$228)+(IF($A$7=Nutrients!$B$8,Nutrients!$EU$8,Nutrients!$EU$9)*R$7)+(((IF($A$8=Nutrients!$B$79,Nutrients!$EU$79,(IF($A$8=Nutrients!$B$77,Nutrients!$EU$77,Nutrients!$EU$78)))))*R$8))</f>
        <v>20000</v>
      </c>
      <c r="S330" s="21">
        <f>(SUMPRODUCT(S$9:S$229,Nutrients!$EU$8:$EU$228)+(IF($A$7=Nutrients!$B$8,Nutrients!$EU$8,Nutrients!$EU$9)*S$7)+(((IF($A$8=Nutrients!$B$79,Nutrients!$EU$79,(IF($A$8=Nutrients!$B$77,Nutrients!$EU$77,Nutrients!$EU$78)))))*S$8))</f>
        <v>16000</v>
      </c>
      <c r="T330" s="21">
        <f>(SUMPRODUCT(T$9:T$229,Nutrients!$EU$8:$EU$228)+(IF($A$7=Nutrients!$B$8,Nutrients!$EU$8,Nutrients!$EU$9)*T$7)+(((IF($A$8=Nutrients!$B$79,Nutrients!$EU$79,(IF($A$8=Nutrients!$B$77,Nutrients!$EU$77,Nutrients!$EU$78)))))*T$8))</f>
        <v>12000</v>
      </c>
      <c r="U330" s="21">
        <f>(SUMPRODUCT(U$9:U$229,Nutrients!$EU$8:$EU$228)+(IF($A$7=Nutrients!$B$8,Nutrients!$EU$8,Nutrients!$EU$9)*U$7)+(((IF($A$8=Nutrients!$B$79,Nutrients!$EU$79,(IF($A$8=Nutrients!$B$77,Nutrients!$EU$77,Nutrients!$EU$78)))))*U$8))</f>
        <v>12000</v>
      </c>
      <c r="W330" s="21">
        <f>(SUMPRODUCT(W$9:W$229,Nutrients!$EU$8:$EU$228)+(IF($A$7=Nutrients!$B$8,Nutrients!$EU$8,Nutrients!$EU$9)*W$7)+(((IF($A$8=Nutrients!$B$79,Nutrients!$EU$79,(IF($A$8=Nutrients!$B$77,Nutrients!$EU$77,Nutrients!$EU$78)))))*W$8))</f>
        <v>24000</v>
      </c>
      <c r="X330" s="21">
        <f>(SUMPRODUCT(X$9:X$229,Nutrients!$EU$8:$EU$228)+(IF($A$7=Nutrients!$B$8,Nutrients!$EU$8,Nutrients!$EU$9)*X$7)+(((IF($A$8=Nutrients!$B$79,Nutrients!$EU$79,(IF($A$8=Nutrients!$B$77,Nutrients!$EU$77,Nutrients!$EU$78)))))*X$8))</f>
        <v>24000</v>
      </c>
      <c r="Y330" s="21">
        <f>(SUMPRODUCT(Y$9:Y$229,Nutrients!$EU$8:$EU$228)+(IF($A$7=Nutrients!$B$8,Nutrients!$EU$8,Nutrients!$EU$9)*Y$7)+(((IF($A$8=Nutrients!$B$79,Nutrients!$EU$79,(IF($A$8=Nutrients!$B$77,Nutrients!$EU$77,Nutrients!$EU$78)))))*Y$8))</f>
        <v>20000</v>
      </c>
      <c r="Z330" s="21">
        <f>(SUMPRODUCT(Z$9:Z$229,Nutrients!$EU$8:$EU$228)+(IF($A$7=Nutrients!$B$8,Nutrients!$EU$8,Nutrients!$EU$9)*Z$7)+(((IF($A$8=Nutrients!$B$79,Nutrients!$EU$79,(IF($A$8=Nutrients!$B$77,Nutrients!$EU$77,Nutrients!$EU$78)))))*Z$8))</f>
        <v>16000</v>
      </c>
      <c r="AA330" s="21">
        <f>(SUMPRODUCT(AA$9:AA$229,Nutrients!$EU$8:$EU$228)+(IF($A$7=Nutrients!$B$8,Nutrients!$EU$8,Nutrients!$EU$9)*AA$7)+(((IF($A$8=Nutrients!$B$79,Nutrients!$EU$79,(IF($A$8=Nutrients!$B$77,Nutrients!$EU$77,Nutrients!$EU$78)))))*AA$8))</f>
        <v>12000</v>
      </c>
      <c r="AB330" s="21">
        <f>(SUMPRODUCT(AB$9:AB$229,Nutrients!$EU$8:$EU$228)+(IF($A$7=Nutrients!$B$8,Nutrients!$EU$8,Nutrients!$EU$9)*AB$7)+(((IF($A$8=Nutrients!$B$79,Nutrients!$EU$79,(IF($A$8=Nutrients!$B$77,Nutrients!$EU$77,Nutrients!$EU$78)))))*AB$8))</f>
        <v>12000</v>
      </c>
      <c r="AD330" s="21">
        <f>(SUMPRODUCT(AD$9:AD$229,Nutrients!$EU$8:$EU$228)+(IF($A$7=Nutrients!$B$8,Nutrients!$EU$8,Nutrients!$EU$9)*AD$7)+(((IF($A$8=Nutrients!$B$79,Nutrients!$EU$79,(IF($A$8=Nutrients!$B$77,Nutrients!$EU$77,Nutrients!$EU$78)))))*AD$8))</f>
        <v>24000</v>
      </c>
      <c r="AE330" s="21">
        <f>(SUMPRODUCT(AE$9:AE$229,Nutrients!$EU$8:$EU$228)+(IF($A$7=Nutrients!$B$8,Nutrients!$EU$8,Nutrients!$EU$9)*AE$7)+(((IF($A$8=Nutrients!$B$79,Nutrients!$EU$79,(IF($A$8=Nutrients!$B$77,Nutrients!$EU$77,Nutrients!$EU$78)))))*AE$8))</f>
        <v>24000</v>
      </c>
      <c r="AF330" s="21">
        <f>(SUMPRODUCT(AF$9:AF$229,Nutrients!$EU$8:$EU$228)+(IF($A$7=Nutrients!$B$8,Nutrients!$EU$8,Nutrients!$EU$9)*AF$7)+(((IF($A$8=Nutrients!$B$79,Nutrients!$EU$79,(IF($A$8=Nutrients!$B$77,Nutrients!$EU$77,Nutrients!$EU$78)))))*AF$8))</f>
        <v>20000</v>
      </c>
      <c r="AG330" s="21">
        <f>(SUMPRODUCT(AG$9:AG$229,Nutrients!$EU$8:$EU$228)+(IF($A$7=Nutrients!$B$8,Nutrients!$EU$8,Nutrients!$EU$9)*AG$7)+(((IF($A$8=Nutrients!$B$79,Nutrients!$EU$79,(IF($A$8=Nutrients!$B$77,Nutrients!$EU$77,Nutrients!$EU$78)))))*AG$8))</f>
        <v>16000</v>
      </c>
      <c r="AH330" s="21">
        <f>(SUMPRODUCT(AH$9:AH$229,Nutrients!$EU$8:$EU$228)+(IF($A$7=Nutrients!$B$8,Nutrients!$EU$8,Nutrients!$EU$9)*AH$7)+(((IF($A$8=Nutrients!$B$79,Nutrients!$EU$79,(IF($A$8=Nutrients!$B$77,Nutrients!$EU$77,Nutrients!$EU$78)))))*AH$8))</f>
        <v>12000</v>
      </c>
      <c r="AI330" s="21">
        <f>(SUMPRODUCT(AI$9:AI$229,Nutrients!$EU$8:$EU$228)+(IF($A$7=Nutrients!$B$8,Nutrients!$EU$8,Nutrients!$EU$9)*AI$7)+(((IF($A$8=Nutrients!$B$79,Nutrients!$EU$79,(IF($A$8=Nutrients!$B$77,Nutrients!$EU$77,Nutrients!$EU$78)))))*AI$8))</f>
        <v>12000</v>
      </c>
      <c r="AK330" s="21">
        <f>(SUMPRODUCT(AK$9:AK$229,Nutrients!$EU$8:$EU$228)+(IF($A$7=Nutrients!$B$8,Nutrients!$EU$8,Nutrients!$EU$9)*AK$7)+(((IF($A$8=Nutrients!$B$79,Nutrients!$EU$79,(IF($A$8=Nutrients!$B$77,Nutrients!$EU$77,Nutrients!$EU$78)))))*AK$8))</f>
        <v>24000</v>
      </c>
      <c r="AL330" s="21">
        <f>(SUMPRODUCT(AL$9:AL$229,Nutrients!$EU$8:$EU$228)+(IF($A$7=Nutrients!$B$8,Nutrients!$EU$8,Nutrients!$EU$9)*AL$7)+(((IF($A$8=Nutrients!$B$79,Nutrients!$EU$79,(IF($A$8=Nutrients!$B$77,Nutrients!$EU$77,Nutrients!$EU$78)))))*AL$8))</f>
        <v>24000</v>
      </c>
      <c r="AM330" s="21">
        <f>(SUMPRODUCT(AM$9:AM$229,Nutrients!$EU$8:$EU$228)+(IF($A$7=Nutrients!$B$8,Nutrients!$EU$8,Nutrients!$EU$9)*AM$7)+(((IF($A$8=Nutrients!$B$79,Nutrients!$EU$79,(IF($A$8=Nutrients!$B$77,Nutrients!$EU$77,Nutrients!$EU$78)))))*AM$8))</f>
        <v>20000</v>
      </c>
      <c r="AN330" s="21">
        <f>(SUMPRODUCT(AN$9:AN$229,Nutrients!$EU$8:$EU$228)+(IF($A$7=Nutrients!$B$8,Nutrients!$EU$8,Nutrients!$EU$9)*AN$7)+(((IF($A$8=Nutrients!$B$79,Nutrients!$EU$79,(IF($A$8=Nutrients!$B$77,Nutrients!$EU$77,Nutrients!$EU$78)))))*AN$8))</f>
        <v>16000</v>
      </c>
      <c r="AO330" s="21">
        <f>(SUMPRODUCT(AO$9:AO$229,Nutrients!$EU$8:$EU$228)+(IF($A$7=Nutrients!$B$8,Nutrients!$EU$8,Nutrients!$EU$9)*AO$7)+(((IF($A$8=Nutrients!$B$79,Nutrients!$EU$79,(IF($A$8=Nutrients!$B$77,Nutrients!$EU$77,Nutrients!$EU$78)))))*AO$8))</f>
        <v>12000</v>
      </c>
      <c r="AP330" s="21">
        <f>(SUMPRODUCT(AP$9:AP$229,Nutrients!$EU$8:$EU$228)+(IF($A$7=Nutrients!$B$8,Nutrients!$EU$8,Nutrients!$EU$9)*AP$7)+(((IF($A$8=Nutrients!$B$79,Nutrients!$EU$79,(IF($A$8=Nutrients!$B$77,Nutrients!$EU$77,Nutrients!$EU$78)))))*AP$8))</f>
        <v>12000</v>
      </c>
      <c r="AR330" s="21">
        <f>(SUMPRODUCT(AR$9:AR$229,Nutrients!$EU$8:$EU$228)+(IF($A$7=Nutrients!$B$8,Nutrients!$EU$8,Nutrients!$EU$9)*AR$7)+(((IF($A$8=Nutrients!$B$79,Nutrients!$EU$79,(IF($A$8=Nutrients!$B$77,Nutrients!$EU$77,Nutrients!$EU$78)))))*AR$8))</f>
        <v>24000</v>
      </c>
      <c r="AS330" s="21">
        <f>(SUMPRODUCT(AS$9:AS$229,Nutrients!$EU$8:$EU$228)+(IF($A$7=Nutrients!$B$8,Nutrients!$EU$8,Nutrients!$EU$9)*AS$7)+(((IF($A$8=Nutrients!$B$79,Nutrients!$EU$79,(IF($A$8=Nutrients!$B$77,Nutrients!$EU$77,Nutrients!$EU$78)))))*AS$8))</f>
        <v>24000</v>
      </c>
      <c r="AT330" s="21">
        <f>(SUMPRODUCT(AT$9:AT$229,Nutrients!$EU$8:$EU$228)+(IF($A$7=Nutrients!$B$8,Nutrients!$EU$8,Nutrients!$EU$9)*AT$7)+(((IF($A$8=Nutrients!$B$79,Nutrients!$EU$79,(IF($A$8=Nutrients!$B$77,Nutrients!$EU$77,Nutrients!$EU$78)))))*AT$8))</f>
        <v>20000</v>
      </c>
      <c r="AU330" s="21">
        <f>(SUMPRODUCT(AU$9:AU$229,Nutrients!$EU$8:$EU$228)+(IF($A$7=Nutrients!$B$8,Nutrients!$EU$8,Nutrients!$EU$9)*AU$7)+(((IF($A$8=Nutrients!$B$79,Nutrients!$EU$79,(IF($A$8=Nutrients!$B$77,Nutrients!$EU$77,Nutrients!$EU$78)))))*AU$8))</f>
        <v>16000</v>
      </c>
      <c r="AV330" s="21">
        <f>(SUMPRODUCT(AV$9:AV$229,Nutrients!$EU$8:$EU$228)+(IF($A$7=Nutrients!$B$8,Nutrients!$EU$8,Nutrients!$EU$9)*AV$7)+(((IF($A$8=Nutrients!$B$79,Nutrients!$EU$79,(IF($A$8=Nutrients!$B$77,Nutrients!$EU$77,Nutrients!$EU$78)))))*AV$8))</f>
        <v>12000</v>
      </c>
      <c r="AW330" s="21">
        <f>(SUMPRODUCT(AW$9:AW$229,Nutrients!$EU$8:$EU$228)+(IF($A$7=Nutrients!$B$8,Nutrients!$EU$8,Nutrients!$EU$9)*AW$7)+(((IF($A$8=Nutrients!$B$79,Nutrients!$EU$79,(IF($A$8=Nutrients!$B$77,Nutrients!$EU$77,Nutrients!$EU$78)))))*AW$8))</f>
        <v>12000</v>
      </c>
    </row>
    <row r="331" spans="1:49" x14ac:dyDescent="0.25">
      <c r="A331" s="34" t="s">
        <v>124</v>
      </c>
      <c r="B331" s="21">
        <f>(SUMPRODUCT(B$9:B$229,Nutrients!$EV$8:$EV$228)+(IF($A$7=Nutrients!$B$8,Nutrients!$EV$8,Nutrients!$EV$9)*B$7)+(((IF($A$8=Nutrients!$B$79,Nutrients!$EV$79,(IF($A$8=Nutrients!$B$77,Nutrients!$EV$77,Nutrients!$EV$78)))))*B$8))</f>
        <v>1800</v>
      </c>
      <c r="C331" s="21">
        <f>(SUMPRODUCT(C$9:C$229,Nutrients!$EV$8:$EV$228)+(IF($A$7=Nutrients!$B$8,Nutrients!$EV$8,Nutrients!$EV$9)*C$7)+(((IF($A$8=Nutrients!$B$79,Nutrients!$EV$79,(IF($A$8=Nutrients!$B$77,Nutrients!$EV$77,Nutrients!$EV$78)))))*C$8))</f>
        <v>1800</v>
      </c>
      <c r="D331" s="21">
        <f>(SUMPRODUCT(D$9:D$229,Nutrients!$EV$8:$EV$228)+(IF($A$7=Nutrients!$B$8,Nutrients!$EV$8,Nutrients!$EV$9)*D$7)+(((IF($A$8=Nutrients!$B$79,Nutrients!$EV$79,(IF($A$8=Nutrients!$B$77,Nutrients!$EV$77,Nutrients!$EV$78)))))*D$8))</f>
        <v>1500</v>
      </c>
      <c r="E331" s="21">
        <f>(SUMPRODUCT(E$9:E$229,Nutrients!$EV$8:$EV$228)+(IF($A$7=Nutrients!$B$8,Nutrients!$EV$8,Nutrients!$EV$9)*E$7)+(((IF($A$8=Nutrients!$B$79,Nutrients!$EV$79,(IF($A$8=Nutrients!$B$77,Nutrients!$EV$77,Nutrients!$EV$78)))))*E$8))</f>
        <v>1200</v>
      </c>
      <c r="F331" s="21">
        <f>(SUMPRODUCT(F$9:F$229,Nutrients!$EV$8:$EV$228)+(IF($A$7=Nutrients!$B$8,Nutrients!$EV$8,Nutrients!$EV$9)*F$7)+(((IF($A$8=Nutrients!$B$79,Nutrients!$EV$79,(IF($A$8=Nutrients!$B$77,Nutrients!$EV$77,Nutrients!$EV$78)))))*F$8))</f>
        <v>900</v>
      </c>
      <c r="G331" s="21">
        <f>(SUMPRODUCT(G$9:G$229,Nutrients!$EV$8:$EV$228)+(IF($A$7=Nutrients!$B$8,Nutrients!$EV$8,Nutrients!$EV$9)*G$7)+(((IF($A$8=Nutrients!$B$79,Nutrients!$EV$79,(IF($A$8=Nutrients!$B$77,Nutrients!$EV$77,Nutrients!$EV$78)))))*G$8))</f>
        <v>900</v>
      </c>
      <c r="H331" s="226"/>
      <c r="I331" s="21">
        <f>(SUMPRODUCT(I$9:I$229,Nutrients!$EV$8:$EV$228)+(IF($A$7=Nutrients!$B$8,Nutrients!$EV$8,Nutrients!$EV$9)*I$7)+(((IF($A$8=Nutrients!$B$79,Nutrients!$EV$79,(IF($A$8=Nutrients!$B$77,Nutrients!$EV$77,Nutrients!$EV$78)))))*I$8))</f>
        <v>1800</v>
      </c>
      <c r="J331" s="21">
        <f>(SUMPRODUCT(J$9:J$229,Nutrients!$EV$8:$EV$228)+(IF($A$7=Nutrients!$B$8,Nutrients!$EV$8,Nutrients!$EV$9)*J$7)+(((IF($A$8=Nutrients!$B$79,Nutrients!$EV$79,(IF($A$8=Nutrients!$B$77,Nutrients!$EV$77,Nutrients!$EV$78)))))*J$8))</f>
        <v>1800</v>
      </c>
      <c r="K331" s="21">
        <f>(SUMPRODUCT(K$9:K$229,Nutrients!$EV$8:$EV$228)+(IF($A$7=Nutrients!$B$8,Nutrients!$EV$8,Nutrients!$EV$9)*K$7)+(((IF($A$8=Nutrients!$B$79,Nutrients!$EV$79,(IF($A$8=Nutrients!$B$77,Nutrients!$EV$77,Nutrients!$EV$78)))))*K$8))</f>
        <v>1500</v>
      </c>
      <c r="L331" s="21">
        <f>(SUMPRODUCT(L$9:L$229,Nutrients!$EV$8:$EV$228)+(IF($A$7=Nutrients!$B$8,Nutrients!$EV$8,Nutrients!$EV$9)*L$7)+(((IF($A$8=Nutrients!$B$79,Nutrients!$EV$79,(IF($A$8=Nutrients!$B$77,Nutrients!$EV$77,Nutrients!$EV$78)))))*L$8))</f>
        <v>1200</v>
      </c>
      <c r="M331" s="21">
        <f>(SUMPRODUCT(M$9:M$229,Nutrients!$EV$8:$EV$228)+(IF($A$7=Nutrients!$B$8,Nutrients!$EV$8,Nutrients!$EV$9)*M$7)+(((IF($A$8=Nutrients!$B$79,Nutrients!$EV$79,(IF($A$8=Nutrients!$B$77,Nutrients!$EV$77,Nutrients!$EV$78)))))*M$8))</f>
        <v>900</v>
      </c>
      <c r="N331" s="21">
        <f>(SUMPRODUCT(N$9:N$229,Nutrients!$EV$8:$EV$228)+(IF($A$7=Nutrients!$B$8,Nutrients!$EV$8,Nutrients!$EV$9)*N$7)+(((IF($A$8=Nutrients!$B$79,Nutrients!$EV$79,(IF($A$8=Nutrients!$B$77,Nutrients!$EV$77,Nutrients!$EV$78)))))*N$8))</f>
        <v>900</v>
      </c>
      <c r="O331" s="234"/>
      <c r="P331" s="21">
        <f>(SUMPRODUCT(P$9:P$229,Nutrients!$EV$8:$EV$228)+(IF($A$7=Nutrients!$B$8,Nutrients!$EV$8,Nutrients!$EV$9)*P$7)+(((IF($A$8=Nutrients!$B$79,Nutrients!$EV$79,(IF($A$8=Nutrients!$B$77,Nutrients!$EV$77,Nutrients!$EV$78)))))*P$8))</f>
        <v>1800</v>
      </c>
      <c r="Q331" s="21">
        <f>(SUMPRODUCT(Q$9:Q$229,Nutrients!$EV$8:$EV$228)+(IF($A$7=Nutrients!$B$8,Nutrients!$EV$8,Nutrients!$EV$9)*Q$7)+(((IF($A$8=Nutrients!$B$79,Nutrients!$EV$79,(IF($A$8=Nutrients!$B$77,Nutrients!$EV$77,Nutrients!$EV$78)))))*Q$8))</f>
        <v>1800</v>
      </c>
      <c r="R331" s="21">
        <f>(SUMPRODUCT(R$9:R$229,Nutrients!$EV$8:$EV$228)+(IF($A$7=Nutrients!$B$8,Nutrients!$EV$8,Nutrients!$EV$9)*R$7)+(((IF($A$8=Nutrients!$B$79,Nutrients!$EV$79,(IF($A$8=Nutrients!$B$77,Nutrients!$EV$77,Nutrients!$EV$78)))))*R$8))</f>
        <v>1500</v>
      </c>
      <c r="S331" s="21">
        <f>(SUMPRODUCT(S$9:S$229,Nutrients!$EV$8:$EV$228)+(IF($A$7=Nutrients!$B$8,Nutrients!$EV$8,Nutrients!$EV$9)*S$7)+(((IF($A$8=Nutrients!$B$79,Nutrients!$EV$79,(IF($A$8=Nutrients!$B$77,Nutrients!$EV$77,Nutrients!$EV$78)))))*S$8))</f>
        <v>1200</v>
      </c>
      <c r="T331" s="21">
        <f>(SUMPRODUCT(T$9:T$229,Nutrients!$EV$8:$EV$228)+(IF($A$7=Nutrients!$B$8,Nutrients!$EV$8,Nutrients!$EV$9)*T$7)+(((IF($A$8=Nutrients!$B$79,Nutrients!$EV$79,(IF($A$8=Nutrients!$B$77,Nutrients!$EV$77,Nutrients!$EV$78)))))*T$8))</f>
        <v>900</v>
      </c>
      <c r="U331" s="21">
        <f>(SUMPRODUCT(U$9:U$229,Nutrients!$EV$8:$EV$228)+(IF($A$7=Nutrients!$B$8,Nutrients!$EV$8,Nutrients!$EV$9)*U$7)+(((IF($A$8=Nutrients!$B$79,Nutrients!$EV$79,(IF($A$8=Nutrients!$B$77,Nutrients!$EV$77,Nutrients!$EV$78)))))*U$8))</f>
        <v>900</v>
      </c>
      <c r="W331" s="21">
        <f>(SUMPRODUCT(W$9:W$229,Nutrients!$EV$8:$EV$228)+(IF($A$7=Nutrients!$B$8,Nutrients!$EV$8,Nutrients!$EV$9)*W$7)+(((IF($A$8=Nutrients!$B$79,Nutrients!$EV$79,(IF($A$8=Nutrients!$B$77,Nutrients!$EV$77,Nutrients!$EV$78)))))*W$8))</f>
        <v>1800</v>
      </c>
      <c r="X331" s="21">
        <f>(SUMPRODUCT(X$9:X$229,Nutrients!$EV$8:$EV$228)+(IF($A$7=Nutrients!$B$8,Nutrients!$EV$8,Nutrients!$EV$9)*X$7)+(((IF($A$8=Nutrients!$B$79,Nutrients!$EV$79,(IF($A$8=Nutrients!$B$77,Nutrients!$EV$77,Nutrients!$EV$78)))))*X$8))</f>
        <v>1800</v>
      </c>
      <c r="Y331" s="21">
        <f>(SUMPRODUCT(Y$9:Y$229,Nutrients!$EV$8:$EV$228)+(IF($A$7=Nutrients!$B$8,Nutrients!$EV$8,Nutrients!$EV$9)*Y$7)+(((IF($A$8=Nutrients!$B$79,Nutrients!$EV$79,(IF($A$8=Nutrients!$B$77,Nutrients!$EV$77,Nutrients!$EV$78)))))*Y$8))</f>
        <v>1500</v>
      </c>
      <c r="Z331" s="21">
        <f>(SUMPRODUCT(Z$9:Z$229,Nutrients!$EV$8:$EV$228)+(IF($A$7=Nutrients!$B$8,Nutrients!$EV$8,Nutrients!$EV$9)*Z$7)+(((IF($A$8=Nutrients!$B$79,Nutrients!$EV$79,(IF($A$8=Nutrients!$B$77,Nutrients!$EV$77,Nutrients!$EV$78)))))*Z$8))</f>
        <v>1200</v>
      </c>
      <c r="AA331" s="21">
        <f>(SUMPRODUCT(AA$9:AA$229,Nutrients!$EV$8:$EV$228)+(IF($A$7=Nutrients!$B$8,Nutrients!$EV$8,Nutrients!$EV$9)*AA$7)+(((IF($A$8=Nutrients!$B$79,Nutrients!$EV$79,(IF($A$8=Nutrients!$B$77,Nutrients!$EV$77,Nutrients!$EV$78)))))*AA$8))</f>
        <v>900</v>
      </c>
      <c r="AB331" s="21">
        <f>(SUMPRODUCT(AB$9:AB$229,Nutrients!$EV$8:$EV$228)+(IF($A$7=Nutrients!$B$8,Nutrients!$EV$8,Nutrients!$EV$9)*AB$7)+(((IF($A$8=Nutrients!$B$79,Nutrients!$EV$79,(IF($A$8=Nutrients!$B$77,Nutrients!$EV$77,Nutrients!$EV$78)))))*AB$8))</f>
        <v>900</v>
      </c>
      <c r="AD331" s="21">
        <f>(SUMPRODUCT(AD$9:AD$229,Nutrients!$EV$8:$EV$228)+(IF($A$7=Nutrients!$B$8,Nutrients!$EV$8,Nutrients!$EV$9)*AD$7)+(((IF($A$8=Nutrients!$B$79,Nutrients!$EV$79,(IF($A$8=Nutrients!$B$77,Nutrients!$EV$77,Nutrients!$EV$78)))))*AD$8))</f>
        <v>1800</v>
      </c>
      <c r="AE331" s="21">
        <f>(SUMPRODUCT(AE$9:AE$229,Nutrients!$EV$8:$EV$228)+(IF($A$7=Nutrients!$B$8,Nutrients!$EV$8,Nutrients!$EV$9)*AE$7)+(((IF($A$8=Nutrients!$B$79,Nutrients!$EV$79,(IF($A$8=Nutrients!$B$77,Nutrients!$EV$77,Nutrients!$EV$78)))))*AE$8))</f>
        <v>1800</v>
      </c>
      <c r="AF331" s="21">
        <f>(SUMPRODUCT(AF$9:AF$229,Nutrients!$EV$8:$EV$228)+(IF($A$7=Nutrients!$B$8,Nutrients!$EV$8,Nutrients!$EV$9)*AF$7)+(((IF($A$8=Nutrients!$B$79,Nutrients!$EV$79,(IF($A$8=Nutrients!$B$77,Nutrients!$EV$77,Nutrients!$EV$78)))))*AF$8))</f>
        <v>1500</v>
      </c>
      <c r="AG331" s="21">
        <f>(SUMPRODUCT(AG$9:AG$229,Nutrients!$EV$8:$EV$228)+(IF($A$7=Nutrients!$B$8,Nutrients!$EV$8,Nutrients!$EV$9)*AG$7)+(((IF($A$8=Nutrients!$B$79,Nutrients!$EV$79,(IF($A$8=Nutrients!$B$77,Nutrients!$EV$77,Nutrients!$EV$78)))))*AG$8))</f>
        <v>1200</v>
      </c>
      <c r="AH331" s="21">
        <f>(SUMPRODUCT(AH$9:AH$229,Nutrients!$EV$8:$EV$228)+(IF($A$7=Nutrients!$B$8,Nutrients!$EV$8,Nutrients!$EV$9)*AH$7)+(((IF($A$8=Nutrients!$B$79,Nutrients!$EV$79,(IF($A$8=Nutrients!$B$77,Nutrients!$EV$77,Nutrients!$EV$78)))))*AH$8))</f>
        <v>900</v>
      </c>
      <c r="AI331" s="21">
        <f>(SUMPRODUCT(AI$9:AI$229,Nutrients!$EV$8:$EV$228)+(IF($A$7=Nutrients!$B$8,Nutrients!$EV$8,Nutrients!$EV$9)*AI$7)+(((IF($A$8=Nutrients!$B$79,Nutrients!$EV$79,(IF($A$8=Nutrients!$B$77,Nutrients!$EV$77,Nutrients!$EV$78)))))*AI$8))</f>
        <v>900</v>
      </c>
      <c r="AK331" s="21">
        <f>(SUMPRODUCT(AK$9:AK$229,Nutrients!$EV$8:$EV$228)+(IF($A$7=Nutrients!$B$8,Nutrients!$EV$8,Nutrients!$EV$9)*AK$7)+(((IF($A$8=Nutrients!$B$79,Nutrients!$EV$79,(IF($A$8=Nutrients!$B$77,Nutrients!$EV$77,Nutrients!$EV$78)))))*AK$8))</f>
        <v>1800</v>
      </c>
      <c r="AL331" s="21">
        <f>(SUMPRODUCT(AL$9:AL$229,Nutrients!$EV$8:$EV$228)+(IF($A$7=Nutrients!$B$8,Nutrients!$EV$8,Nutrients!$EV$9)*AL$7)+(((IF($A$8=Nutrients!$B$79,Nutrients!$EV$79,(IF($A$8=Nutrients!$B$77,Nutrients!$EV$77,Nutrients!$EV$78)))))*AL$8))</f>
        <v>1800</v>
      </c>
      <c r="AM331" s="21">
        <f>(SUMPRODUCT(AM$9:AM$229,Nutrients!$EV$8:$EV$228)+(IF($A$7=Nutrients!$B$8,Nutrients!$EV$8,Nutrients!$EV$9)*AM$7)+(((IF($A$8=Nutrients!$B$79,Nutrients!$EV$79,(IF($A$8=Nutrients!$B$77,Nutrients!$EV$77,Nutrients!$EV$78)))))*AM$8))</f>
        <v>1500</v>
      </c>
      <c r="AN331" s="21">
        <f>(SUMPRODUCT(AN$9:AN$229,Nutrients!$EV$8:$EV$228)+(IF($A$7=Nutrients!$B$8,Nutrients!$EV$8,Nutrients!$EV$9)*AN$7)+(((IF($A$8=Nutrients!$B$79,Nutrients!$EV$79,(IF($A$8=Nutrients!$B$77,Nutrients!$EV$77,Nutrients!$EV$78)))))*AN$8))</f>
        <v>1200</v>
      </c>
      <c r="AO331" s="21">
        <f>(SUMPRODUCT(AO$9:AO$229,Nutrients!$EV$8:$EV$228)+(IF($A$7=Nutrients!$B$8,Nutrients!$EV$8,Nutrients!$EV$9)*AO$7)+(((IF($A$8=Nutrients!$B$79,Nutrients!$EV$79,(IF($A$8=Nutrients!$B$77,Nutrients!$EV$77,Nutrients!$EV$78)))))*AO$8))</f>
        <v>900</v>
      </c>
      <c r="AP331" s="21">
        <f>(SUMPRODUCT(AP$9:AP$229,Nutrients!$EV$8:$EV$228)+(IF($A$7=Nutrients!$B$8,Nutrients!$EV$8,Nutrients!$EV$9)*AP$7)+(((IF($A$8=Nutrients!$B$79,Nutrients!$EV$79,(IF($A$8=Nutrients!$B$77,Nutrients!$EV$77,Nutrients!$EV$78)))))*AP$8))</f>
        <v>900</v>
      </c>
      <c r="AR331" s="21">
        <f>(SUMPRODUCT(AR$9:AR$229,Nutrients!$EV$8:$EV$228)+(IF($A$7=Nutrients!$B$8,Nutrients!$EV$8,Nutrients!$EV$9)*AR$7)+(((IF($A$8=Nutrients!$B$79,Nutrients!$EV$79,(IF($A$8=Nutrients!$B$77,Nutrients!$EV$77,Nutrients!$EV$78)))))*AR$8))</f>
        <v>1800</v>
      </c>
      <c r="AS331" s="21">
        <f>(SUMPRODUCT(AS$9:AS$229,Nutrients!$EV$8:$EV$228)+(IF($A$7=Nutrients!$B$8,Nutrients!$EV$8,Nutrients!$EV$9)*AS$7)+(((IF($A$8=Nutrients!$B$79,Nutrients!$EV$79,(IF($A$8=Nutrients!$B$77,Nutrients!$EV$77,Nutrients!$EV$78)))))*AS$8))</f>
        <v>1800</v>
      </c>
      <c r="AT331" s="21">
        <f>(SUMPRODUCT(AT$9:AT$229,Nutrients!$EV$8:$EV$228)+(IF($A$7=Nutrients!$B$8,Nutrients!$EV$8,Nutrients!$EV$9)*AT$7)+(((IF($A$8=Nutrients!$B$79,Nutrients!$EV$79,(IF($A$8=Nutrients!$B$77,Nutrients!$EV$77,Nutrients!$EV$78)))))*AT$8))</f>
        <v>1500</v>
      </c>
      <c r="AU331" s="21">
        <f>(SUMPRODUCT(AU$9:AU$229,Nutrients!$EV$8:$EV$228)+(IF($A$7=Nutrients!$B$8,Nutrients!$EV$8,Nutrients!$EV$9)*AU$7)+(((IF($A$8=Nutrients!$B$79,Nutrients!$EV$79,(IF($A$8=Nutrients!$B$77,Nutrients!$EV$77,Nutrients!$EV$78)))))*AU$8))</f>
        <v>1200</v>
      </c>
      <c r="AV331" s="21">
        <f>(SUMPRODUCT(AV$9:AV$229,Nutrients!$EV$8:$EV$228)+(IF($A$7=Nutrients!$B$8,Nutrients!$EV$8,Nutrients!$EV$9)*AV$7)+(((IF($A$8=Nutrients!$B$79,Nutrients!$EV$79,(IF($A$8=Nutrients!$B$77,Nutrients!$EV$77,Nutrients!$EV$78)))))*AV$8))</f>
        <v>900</v>
      </c>
      <c r="AW331" s="21">
        <f>(SUMPRODUCT(AW$9:AW$229,Nutrients!$EV$8:$EV$228)+(IF($A$7=Nutrients!$B$8,Nutrients!$EV$8,Nutrients!$EV$9)*AW$7)+(((IF($A$8=Nutrients!$B$79,Nutrients!$EV$79,(IF($A$8=Nutrients!$B$77,Nutrients!$EV$77,Nutrients!$EV$78)))))*AW$8))</f>
        <v>900</v>
      </c>
    </row>
    <row r="332" spans="1:49" x14ac:dyDescent="0.25">
      <c r="A332" s="34" t="s">
        <v>125</v>
      </c>
      <c r="B332" s="21">
        <f>(SUMPRODUCT(B$9:B$229,Nutrients!$EW$8:$EW$228)+(IF($A$7=Nutrients!$B$8,Nutrients!$EW$8,Nutrients!$EW$9)*B$7)+(((IF($A$8=Nutrients!$B$79,Nutrients!$EW$79,(IF($A$8=Nutrients!$B$77,Nutrients!$EW$77,Nutrients!$EW$78)))))*B$8))</f>
        <v>18</v>
      </c>
      <c r="C332" s="21">
        <f>(SUMPRODUCT(C$9:C$229,Nutrients!$EW$8:$EW$228)+(IF($A$7=Nutrients!$B$8,Nutrients!$EW$8,Nutrients!$EW$9)*C$7)+(((IF($A$8=Nutrients!$B$79,Nutrients!$EW$79,(IF($A$8=Nutrients!$B$77,Nutrients!$EW$77,Nutrients!$EW$78)))))*C$8))</f>
        <v>18</v>
      </c>
      <c r="D332" s="21">
        <f>(SUMPRODUCT(D$9:D$229,Nutrients!$EW$8:$EW$228)+(IF($A$7=Nutrients!$B$8,Nutrients!$EW$8,Nutrients!$EW$9)*D$7)+(((IF($A$8=Nutrients!$B$79,Nutrients!$EW$79,(IF($A$8=Nutrients!$B$77,Nutrients!$EW$77,Nutrients!$EW$78)))))*D$8))</f>
        <v>15</v>
      </c>
      <c r="E332" s="21">
        <f>(SUMPRODUCT(E$9:E$229,Nutrients!$EW$8:$EW$228)+(IF($A$7=Nutrients!$B$8,Nutrients!$EW$8,Nutrients!$EW$9)*E$7)+(((IF($A$8=Nutrients!$B$79,Nutrients!$EW$79,(IF($A$8=Nutrients!$B$77,Nutrients!$EW$77,Nutrients!$EW$78)))))*E$8))</f>
        <v>12</v>
      </c>
      <c r="F332" s="21">
        <f>(SUMPRODUCT(F$9:F$229,Nutrients!$EW$8:$EW$228)+(IF($A$7=Nutrients!$B$8,Nutrients!$EW$8,Nutrients!$EW$9)*F$7)+(((IF($A$8=Nutrients!$B$79,Nutrients!$EW$79,(IF($A$8=Nutrients!$B$77,Nutrients!$EW$77,Nutrients!$EW$78)))))*F$8))</f>
        <v>9</v>
      </c>
      <c r="G332" s="21">
        <f>(SUMPRODUCT(G$9:G$229,Nutrients!$EW$8:$EW$228)+(IF($A$7=Nutrients!$B$8,Nutrients!$EW$8,Nutrients!$EW$9)*G$7)+(((IF($A$8=Nutrients!$B$79,Nutrients!$EW$79,(IF($A$8=Nutrients!$B$77,Nutrients!$EW$77,Nutrients!$EW$78)))))*G$8))</f>
        <v>9</v>
      </c>
      <c r="H332" s="226"/>
      <c r="I332" s="21">
        <f>(SUMPRODUCT(I$9:I$229,Nutrients!$EW$8:$EW$228)+(IF($A$7=Nutrients!$B$8,Nutrients!$EW$8,Nutrients!$EW$9)*I$7)+(((IF($A$8=Nutrients!$B$79,Nutrients!$EW$79,(IF($A$8=Nutrients!$B$77,Nutrients!$EW$77,Nutrients!$EW$78)))))*I$8))</f>
        <v>18</v>
      </c>
      <c r="J332" s="21">
        <f>(SUMPRODUCT(J$9:J$229,Nutrients!$EW$8:$EW$228)+(IF($A$7=Nutrients!$B$8,Nutrients!$EW$8,Nutrients!$EW$9)*J$7)+(((IF($A$8=Nutrients!$B$79,Nutrients!$EW$79,(IF($A$8=Nutrients!$B$77,Nutrients!$EW$77,Nutrients!$EW$78)))))*J$8))</f>
        <v>18</v>
      </c>
      <c r="K332" s="21">
        <f>(SUMPRODUCT(K$9:K$229,Nutrients!$EW$8:$EW$228)+(IF($A$7=Nutrients!$B$8,Nutrients!$EW$8,Nutrients!$EW$9)*K$7)+(((IF($A$8=Nutrients!$B$79,Nutrients!$EW$79,(IF($A$8=Nutrients!$B$77,Nutrients!$EW$77,Nutrients!$EW$78)))))*K$8))</f>
        <v>15</v>
      </c>
      <c r="L332" s="21">
        <f>(SUMPRODUCT(L$9:L$229,Nutrients!$EW$8:$EW$228)+(IF($A$7=Nutrients!$B$8,Nutrients!$EW$8,Nutrients!$EW$9)*L$7)+(((IF($A$8=Nutrients!$B$79,Nutrients!$EW$79,(IF($A$8=Nutrients!$B$77,Nutrients!$EW$77,Nutrients!$EW$78)))))*L$8))</f>
        <v>12</v>
      </c>
      <c r="M332" s="21">
        <f>(SUMPRODUCT(M$9:M$229,Nutrients!$EW$8:$EW$228)+(IF($A$7=Nutrients!$B$8,Nutrients!$EW$8,Nutrients!$EW$9)*M$7)+(((IF($A$8=Nutrients!$B$79,Nutrients!$EW$79,(IF($A$8=Nutrients!$B$77,Nutrients!$EW$77,Nutrients!$EW$78)))))*M$8))</f>
        <v>9</v>
      </c>
      <c r="N332" s="21">
        <f>(SUMPRODUCT(N$9:N$229,Nutrients!$EW$8:$EW$228)+(IF($A$7=Nutrients!$B$8,Nutrients!$EW$8,Nutrients!$EW$9)*N$7)+(((IF($A$8=Nutrients!$B$79,Nutrients!$EW$79,(IF($A$8=Nutrients!$B$77,Nutrients!$EW$77,Nutrients!$EW$78)))))*N$8))</f>
        <v>9</v>
      </c>
      <c r="O332" s="234"/>
      <c r="P332" s="21">
        <f>(SUMPRODUCT(P$9:P$229,Nutrients!$EW$8:$EW$228)+(IF($A$7=Nutrients!$B$8,Nutrients!$EW$8,Nutrients!$EW$9)*P$7)+(((IF($A$8=Nutrients!$B$79,Nutrients!$EW$79,(IF($A$8=Nutrients!$B$77,Nutrients!$EW$77,Nutrients!$EW$78)))))*P$8))</f>
        <v>18</v>
      </c>
      <c r="Q332" s="21">
        <f>(SUMPRODUCT(Q$9:Q$229,Nutrients!$EW$8:$EW$228)+(IF($A$7=Nutrients!$B$8,Nutrients!$EW$8,Nutrients!$EW$9)*Q$7)+(((IF($A$8=Nutrients!$B$79,Nutrients!$EW$79,(IF($A$8=Nutrients!$B$77,Nutrients!$EW$77,Nutrients!$EW$78)))))*Q$8))</f>
        <v>18</v>
      </c>
      <c r="R332" s="21">
        <f>(SUMPRODUCT(R$9:R$229,Nutrients!$EW$8:$EW$228)+(IF($A$7=Nutrients!$B$8,Nutrients!$EW$8,Nutrients!$EW$9)*R$7)+(((IF($A$8=Nutrients!$B$79,Nutrients!$EW$79,(IF($A$8=Nutrients!$B$77,Nutrients!$EW$77,Nutrients!$EW$78)))))*R$8))</f>
        <v>15</v>
      </c>
      <c r="S332" s="21">
        <f>(SUMPRODUCT(S$9:S$229,Nutrients!$EW$8:$EW$228)+(IF($A$7=Nutrients!$B$8,Nutrients!$EW$8,Nutrients!$EW$9)*S$7)+(((IF($A$8=Nutrients!$B$79,Nutrients!$EW$79,(IF($A$8=Nutrients!$B$77,Nutrients!$EW$77,Nutrients!$EW$78)))))*S$8))</f>
        <v>12</v>
      </c>
      <c r="T332" s="21">
        <f>(SUMPRODUCT(T$9:T$229,Nutrients!$EW$8:$EW$228)+(IF($A$7=Nutrients!$B$8,Nutrients!$EW$8,Nutrients!$EW$9)*T$7)+(((IF($A$8=Nutrients!$B$79,Nutrients!$EW$79,(IF($A$8=Nutrients!$B$77,Nutrients!$EW$77,Nutrients!$EW$78)))))*T$8))</f>
        <v>9</v>
      </c>
      <c r="U332" s="21">
        <f>(SUMPRODUCT(U$9:U$229,Nutrients!$EW$8:$EW$228)+(IF($A$7=Nutrients!$B$8,Nutrients!$EW$8,Nutrients!$EW$9)*U$7)+(((IF($A$8=Nutrients!$B$79,Nutrients!$EW$79,(IF($A$8=Nutrients!$B$77,Nutrients!$EW$77,Nutrients!$EW$78)))))*U$8))</f>
        <v>9</v>
      </c>
      <c r="W332" s="21">
        <f>(SUMPRODUCT(W$9:W$229,Nutrients!$EW$8:$EW$228)+(IF($A$7=Nutrients!$B$8,Nutrients!$EW$8,Nutrients!$EW$9)*W$7)+(((IF($A$8=Nutrients!$B$79,Nutrients!$EW$79,(IF($A$8=Nutrients!$B$77,Nutrients!$EW$77,Nutrients!$EW$78)))))*W$8))</f>
        <v>18</v>
      </c>
      <c r="X332" s="21">
        <f>(SUMPRODUCT(X$9:X$229,Nutrients!$EW$8:$EW$228)+(IF($A$7=Nutrients!$B$8,Nutrients!$EW$8,Nutrients!$EW$9)*X$7)+(((IF($A$8=Nutrients!$B$79,Nutrients!$EW$79,(IF($A$8=Nutrients!$B$77,Nutrients!$EW$77,Nutrients!$EW$78)))))*X$8))</f>
        <v>18</v>
      </c>
      <c r="Y332" s="21">
        <f>(SUMPRODUCT(Y$9:Y$229,Nutrients!$EW$8:$EW$228)+(IF($A$7=Nutrients!$B$8,Nutrients!$EW$8,Nutrients!$EW$9)*Y$7)+(((IF($A$8=Nutrients!$B$79,Nutrients!$EW$79,(IF($A$8=Nutrients!$B$77,Nutrients!$EW$77,Nutrients!$EW$78)))))*Y$8))</f>
        <v>15</v>
      </c>
      <c r="Z332" s="21">
        <f>(SUMPRODUCT(Z$9:Z$229,Nutrients!$EW$8:$EW$228)+(IF($A$7=Nutrients!$B$8,Nutrients!$EW$8,Nutrients!$EW$9)*Z$7)+(((IF($A$8=Nutrients!$B$79,Nutrients!$EW$79,(IF($A$8=Nutrients!$B$77,Nutrients!$EW$77,Nutrients!$EW$78)))))*Z$8))</f>
        <v>12</v>
      </c>
      <c r="AA332" s="21">
        <f>(SUMPRODUCT(AA$9:AA$229,Nutrients!$EW$8:$EW$228)+(IF($A$7=Nutrients!$B$8,Nutrients!$EW$8,Nutrients!$EW$9)*AA$7)+(((IF($A$8=Nutrients!$B$79,Nutrients!$EW$79,(IF($A$8=Nutrients!$B$77,Nutrients!$EW$77,Nutrients!$EW$78)))))*AA$8))</f>
        <v>9</v>
      </c>
      <c r="AB332" s="21">
        <f>(SUMPRODUCT(AB$9:AB$229,Nutrients!$EW$8:$EW$228)+(IF($A$7=Nutrients!$B$8,Nutrients!$EW$8,Nutrients!$EW$9)*AB$7)+(((IF($A$8=Nutrients!$B$79,Nutrients!$EW$79,(IF($A$8=Nutrients!$B$77,Nutrients!$EW$77,Nutrients!$EW$78)))))*AB$8))</f>
        <v>9</v>
      </c>
      <c r="AD332" s="21">
        <f>(SUMPRODUCT(AD$9:AD$229,Nutrients!$EW$8:$EW$228)+(IF($A$7=Nutrients!$B$8,Nutrients!$EW$8,Nutrients!$EW$9)*AD$7)+(((IF($A$8=Nutrients!$B$79,Nutrients!$EW$79,(IF($A$8=Nutrients!$B$77,Nutrients!$EW$77,Nutrients!$EW$78)))))*AD$8))</f>
        <v>18</v>
      </c>
      <c r="AE332" s="21">
        <f>(SUMPRODUCT(AE$9:AE$229,Nutrients!$EW$8:$EW$228)+(IF($A$7=Nutrients!$B$8,Nutrients!$EW$8,Nutrients!$EW$9)*AE$7)+(((IF($A$8=Nutrients!$B$79,Nutrients!$EW$79,(IF($A$8=Nutrients!$B$77,Nutrients!$EW$77,Nutrients!$EW$78)))))*AE$8))</f>
        <v>18</v>
      </c>
      <c r="AF332" s="21">
        <f>(SUMPRODUCT(AF$9:AF$229,Nutrients!$EW$8:$EW$228)+(IF($A$7=Nutrients!$B$8,Nutrients!$EW$8,Nutrients!$EW$9)*AF$7)+(((IF($A$8=Nutrients!$B$79,Nutrients!$EW$79,(IF($A$8=Nutrients!$B$77,Nutrients!$EW$77,Nutrients!$EW$78)))))*AF$8))</f>
        <v>15</v>
      </c>
      <c r="AG332" s="21">
        <f>(SUMPRODUCT(AG$9:AG$229,Nutrients!$EW$8:$EW$228)+(IF($A$7=Nutrients!$B$8,Nutrients!$EW$8,Nutrients!$EW$9)*AG$7)+(((IF($A$8=Nutrients!$B$79,Nutrients!$EW$79,(IF($A$8=Nutrients!$B$77,Nutrients!$EW$77,Nutrients!$EW$78)))))*AG$8))</f>
        <v>12</v>
      </c>
      <c r="AH332" s="21">
        <f>(SUMPRODUCT(AH$9:AH$229,Nutrients!$EW$8:$EW$228)+(IF($A$7=Nutrients!$B$8,Nutrients!$EW$8,Nutrients!$EW$9)*AH$7)+(((IF($A$8=Nutrients!$B$79,Nutrients!$EW$79,(IF($A$8=Nutrients!$B$77,Nutrients!$EW$77,Nutrients!$EW$78)))))*AH$8))</f>
        <v>9</v>
      </c>
      <c r="AI332" s="21">
        <f>(SUMPRODUCT(AI$9:AI$229,Nutrients!$EW$8:$EW$228)+(IF($A$7=Nutrients!$B$8,Nutrients!$EW$8,Nutrients!$EW$9)*AI$7)+(((IF($A$8=Nutrients!$B$79,Nutrients!$EW$79,(IF($A$8=Nutrients!$B$77,Nutrients!$EW$77,Nutrients!$EW$78)))))*AI$8))</f>
        <v>9</v>
      </c>
      <c r="AK332" s="21">
        <f>(SUMPRODUCT(AK$9:AK$229,Nutrients!$EW$8:$EW$228)+(IF($A$7=Nutrients!$B$8,Nutrients!$EW$8,Nutrients!$EW$9)*AK$7)+(((IF($A$8=Nutrients!$B$79,Nutrients!$EW$79,(IF($A$8=Nutrients!$B$77,Nutrients!$EW$77,Nutrients!$EW$78)))))*AK$8))</f>
        <v>18</v>
      </c>
      <c r="AL332" s="21">
        <f>(SUMPRODUCT(AL$9:AL$229,Nutrients!$EW$8:$EW$228)+(IF($A$7=Nutrients!$B$8,Nutrients!$EW$8,Nutrients!$EW$9)*AL$7)+(((IF($A$8=Nutrients!$B$79,Nutrients!$EW$79,(IF($A$8=Nutrients!$B$77,Nutrients!$EW$77,Nutrients!$EW$78)))))*AL$8))</f>
        <v>18</v>
      </c>
      <c r="AM332" s="21">
        <f>(SUMPRODUCT(AM$9:AM$229,Nutrients!$EW$8:$EW$228)+(IF($A$7=Nutrients!$B$8,Nutrients!$EW$8,Nutrients!$EW$9)*AM$7)+(((IF($A$8=Nutrients!$B$79,Nutrients!$EW$79,(IF($A$8=Nutrients!$B$77,Nutrients!$EW$77,Nutrients!$EW$78)))))*AM$8))</f>
        <v>15</v>
      </c>
      <c r="AN332" s="21">
        <f>(SUMPRODUCT(AN$9:AN$229,Nutrients!$EW$8:$EW$228)+(IF($A$7=Nutrients!$B$8,Nutrients!$EW$8,Nutrients!$EW$9)*AN$7)+(((IF($A$8=Nutrients!$B$79,Nutrients!$EW$79,(IF($A$8=Nutrients!$B$77,Nutrients!$EW$77,Nutrients!$EW$78)))))*AN$8))</f>
        <v>12</v>
      </c>
      <c r="AO332" s="21">
        <f>(SUMPRODUCT(AO$9:AO$229,Nutrients!$EW$8:$EW$228)+(IF($A$7=Nutrients!$B$8,Nutrients!$EW$8,Nutrients!$EW$9)*AO$7)+(((IF($A$8=Nutrients!$B$79,Nutrients!$EW$79,(IF($A$8=Nutrients!$B$77,Nutrients!$EW$77,Nutrients!$EW$78)))))*AO$8))</f>
        <v>9</v>
      </c>
      <c r="AP332" s="21">
        <f>(SUMPRODUCT(AP$9:AP$229,Nutrients!$EW$8:$EW$228)+(IF($A$7=Nutrients!$B$8,Nutrients!$EW$8,Nutrients!$EW$9)*AP$7)+(((IF($A$8=Nutrients!$B$79,Nutrients!$EW$79,(IF($A$8=Nutrients!$B$77,Nutrients!$EW$77,Nutrients!$EW$78)))))*AP$8))</f>
        <v>9</v>
      </c>
      <c r="AR332" s="21">
        <f>(SUMPRODUCT(AR$9:AR$229,Nutrients!$EW$8:$EW$228)+(IF($A$7=Nutrients!$B$8,Nutrients!$EW$8,Nutrients!$EW$9)*AR$7)+(((IF($A$8=Nutrients!$B$79,Nutrients!$EW$79,(IF($A$8=Nutrients!$B$77,Nutrients!$EW$77,Nutrients!$EW$78)))))*AR$8))</f>
        <v>18</v>
      </c>
      <c r="AS332" s="21">
        <f>(SUMPRODUCT(AS$9:AS$229,Nutrients!$EW$8:$EW$228)+(IF($A$7=Nutrients!$B$8,Nutrients!$EW$8,Nutrients!$EW$9)*AS$7)+(((IF($A$8=Nutrients!$B$79,Nutrients!$EW$79,(IF($A$8=Nutrients!$B$77,Nutrients!$EW$77,Nutrients!$EW$78)))))*AS$8))</f>
        <v>18</v>
      </c>
      <c r="AT332" s="21">
        <f>(SUMPRODUCT(AT$9:AT$229,Nutrients!$EW$8:$EW$228)+(IF($A$7=Nutrients!$B$8,Nutrients!$EW$8,Nutrients!$EW$9)*AT$7)+(((IF($A$8=Nutrients!$B$79,Nutrients!$EW$79,(IF($A$8=Nutrients!$B$77,Nutrients!$EW$77,Nutrients!$EW$78)))))*AT$8))</f>
        <v>15</v>
      </c>
      <c r="AU332" s="21">
        <f>(SUMPRODUCT(AU$9:AU$229,Nutrients!$EW$8:$EW$228)+(IF($A$7=Nutrients!$B$8,Nutrients!$EW$8,Nutrients!$EW$9)*AU$7)+(((IF($A$8=Nutrients!$B$79,Nutrients!$EW$79,(IF($A$8=Nutrients!$B$77,Nutrients!$EW$77,Nutrients!$EW$78)))))*AU$8))</f>
        <v>12</v>
      </c>
      <c r="AV332" s="21">
        <f>(SUMPRODUCT(AV$9:AV$229,Nutrients!$EW$8:$EW$228)+(IF($A$7=Nutrients!$B$8,Nutrients!$EW$8,Nutrients!$EW$9)*AV$7)+(((IF($A$8=Nutrients!$B$79,Nutrients!$EW$79,(IF($A$8=Nutrients!$B$77,Nutrients!$EW$77,Nutrients!$EW$78)))))*AV$8))</f>
        <v>9</v>
      </c>
      <c r="AW332" s="21">
        <f>(SUMPRODUCT(AW$9:AW$229,Nutrients!$EW$8:$EW$228)+(IF($A$7=Nutrients!$B$8,Nutrients!$EW$8,Nutrients!$EW$9)*AW$7)+(((IF($A$8=Nutrients!$B$79,Nutrients!$EW$79,(IF($A$8=Nutrients!$B$77,Nutrients!$EW$77,Nutrients!$EW$78)))))*AW$8))</f>
        <v>9</v>
      </c>
    </row>
    <row r="333" spans="1:49" x14ac:dyDescent="0.25">
      <c r="A333" s="34" t="s">
        <v>126</v>
      </c>
      <c r="B333" s="21">
        <f>(SUMPRODUCT(B$9:B$229,Nutrients!$EX$8:$EX$228)+(IF($A$7=Nutrients!$B$8,Nutrients!$EX$8,Nutrients!$EX$9)*B$7)+(((IF($A$8=Nutrients!$B$79,Nutrients!$EX$79,(IF($A$8=Nutrients!$B$77,Nutrients!$EX$77,Nutrients!$EX$78)))))*B$8))</f>
        <v>27000</v>
      </c>
      <c r="C333" s="21">
        <f>(SUMPRODUCT(C$9:C$229,Nutrients!$EX$8:$EX$228)+(IF($A$7=Nutrients!$B$8,Nutrients!$EX$8,Nutrients!$EX$9)*C$7)+(((IF($A$8=Nutrients!$B$79,Nutrients!$EX$79,(IF($A$8=Nutrients!$B$77,Nutrients!$EX$77,Nutrients!$EX$78)))))*C$8))</f>
        <v>27000</v>
      </c>
      <c r="D333" s="21">
        <f>(SUMPRODUCT(D$9:D$229,Nutrients!$EX$8:$EX$228)+(IF($A$7=Nutrients!$B$8,Nutrients!$EX$8,Nutrients!$EX$9)*D$7)+(((IF($A$8=Nutrients!$B$79,Nutrients!$EX$79,(IF($A$8=Nutrients!$B$77,Nutrients!$EX$77,Nutrients!$EX$78)))))*D$8))</f>
        <v>22500</v>
      </c>
      <c r="E333" s="21">
        <f>(SUMPRODUCT(E$9:E$229,Nutrients!$EX$8:$EX$228)+(IF($A$7=Nutrients!$B$8,Nutrients!$EX$8,Nutrients!$EX$9)*E$7)+(((IF($A$8=Nutrients!$B$79,Nutrients!$EX$79,(IF($A$8=Nutrients!$B$77,Nutrients!$EX$77,Nutrients!$EX$78)))))*E$8))</f>
        <v>18000</v>
      </c>
      <c r="F333" s="21">
        <f>(SUMPRODUCT(F$9:F$229,Nutrients!$EX$8:$EX$228)+(IF($A$7=Nutrients!$B$8,Nutrients!$EX$8,Nutrients!$EX$9)*F$7)+(((IF($A$8=Nutrients!$B$79,Nutrients!$EX$79,(IF($A$8=Nutrients!$B$77,Nutrients!$EX$77,Nutrients!$EX$78)))))*F$8))</f>
        <v>13500</v>
      </c>
      <c r="G333" s="21">
        <f>(SUMPRODUCT(G$9:G$229,Nutrients!$EX$8:$EX$228)+(IF($A$7=Nutrients!$B$8,Nutrients!$EX$8,Nutrients!$EX$9)*G$7)+(((IF($A$8=Nutrients!$B$79,Nutrients!$EX$79,(IF($A$8=Nutrients!$B$77,Nutrients!$EX$77,Nutrients!$EX$78)))))*G$8))</f>
        <v>13500</v>
      </c>
      <c r="H333" s="226"/>
      <c r="I333" s="21">
        <f>(SUMPRODUCT(I$9:I$229,Nutrients!$EX$8:$EX$228)+(IF($A$7=Nutrients!$B$8,Nutrients!$EX$8,Nutrients!$EX$9)*I$7)+(((IF($A$8=Nutrients!$B$79,Nutrients!$EX$79,(IF($A$8=Nutrients!$B$77,Nutrients!$EX$77,Nutrients!$EX$78)))))*I$8))</f>
        <v>27000</v>
      </c>
      <c r="J333" s="21">
        <f>(SUMPRODUCT(J$9:J$229,Nutrients!$EX$8:$EX$228)+(IF($A$7=Nutrients!$B$8,Nutrients!$EX$8,Nutrients!$EX$9)*J$7)+(((IF($A$8=Nutrients!$B$79,Nutrients!$EX$79,(IF($A$8=Nutrients!$B$77,Nutrients!$EX$77,Nutrients!$EX$78)))))*J$8))</f>
        <v>27000</v>
      </c>
      <c r="K333" s="21">
        <f>(SUMPRODUCT(K$9:K$229,Nutrients!$EX$8:$EX$228)+(IF($A$7=Nutrients!$B$8,Nutrients!$EX$8,Nutrients!$EX$9)*K$7)+(((IF($A$8=Nutrients!$B$79,Nutrients!$EX$79,(IF($A$8=Nutrients!$B$77,Nutrients!$EX$77,Nutrients!$EX$78)))))*K$8))</f>
        <v>22500</v>
      </c>
      <c r="L333" s="21">
        <f>(SUMPRODUCT(L$9:L$229,Nutrients!$EX$8:$EX$228)+(IF($A$7=Nutrients!$B$8,Nutrients!$EX$8,Nutrients!$EX$9)*L$7)+(((IF($A$8=Nutrients!$B$79,Nutrients!$EX$79,(IF($A$8=Nutrients!$B$77,Nutrients!$EX$77,Nutrients!$EX$78)))))*L$8))</f>
        <v>18000</v>
      </c>
      <c r="M333" s="21">
        <f>(SUMPRODUCT(M$9:M$229,Nutrients!$EX$8:$EX$228)+(IF($A$7=Nutrients!$B$8,Nutrients!$EX$8,Nutrients!$EX$9)*M$7)+(((IF($A$8=Nutrients!$B$79,Nutrients!$EX$79,(IF($A$8=Nutrients!$B$77,Nutrients!$EX$77,Nutrients!$EX$78)))))*M$8))</f>
        <v>13500</v>
      </c>
      <c r="N333" s="21">
        <f>(SUMPRODUCT(N$9:N$229,Nutrients!$EX$8:$EX$228)+(IF($A$7=Nutrients!$B$8,Nutrients!$EX$8,Nutrients!$EX$9)*N$7)+(((IF($A$8=Nutrients!$B$79,Nutrients!$EX$79,(IF($A$8=Nutrients!$B$77,Nutrients!$EX$77,Nutrients!$EX$78)))))*N$8))</f>
        <v>13500</v>
      </c>
      <c r="O333" s="234"/>
      <c r="P333" s="21">
        <f>(SUMPRODUCT(P$9:P$229,Nutrients!$EX$8:$EX$228)+(IF($A$7=Nutrients!$B$8,Nutrients!$EX$8,Nutrients!$EX$9)*P$7)+(((IF($A$8=Nutrients!$B$79,Nutrients!$EX$79,(IF($A$8=Nutrients!$B$77,Nutrients!$EX$77,Nutrients!$EX$78)))))*P$8))</f>
        <v>27000</v>
      </c>
      <c r="Q333" s="21">
        <f>(SUMPRODUCT(Q$9:Q$229,Nutrients!$EX$8:$EX$228)+(IF($A$7=Nutrients!$B$8,Nutrients!$EX$8,Nutrients!$EX$9)*Q$7)+(((IF($A$8=Nutrients!$B$79,Nutrients!$EX$79,(IF($A$8=Nutrients!$B$77,Nutrients!$EX$77,Nutrients!$EX$78)))))*Q$8))</f>
        <v>27000</v>
      </c>
      <c r="R333" s="21">
        <f>(SUMPRODUCT(R$9:R$229,Nutrients!$EX$8:$EX$228)+(IF($A$7=Nutrients!$B$8,Nutrients!$EX$8,Nutrients!$EX$9)*R$7)+(((IF($A$8=Nutrients!$B$79,Nutrients!$EX$79,(IF($A$8=Nutrients!$B$77,Nutrients!$EX$77,Nutrients!$EX$78)))))*R$8))</f>
        <v>22500</v>
      </c>
      <c r="S333" s="21">
        <f>(SUMPRODUCT(S$9:S$229,Nutrients!$EX$8:$EX$228)+(IF($A$7=Nutrients!$B$8,Nutrients!$EX$8,Nutrients!$EX$9)*S$7)+(((IF($A$8=Nutrients!$B$79,Nutrients!$EX$79,(IF($A$8=Nutrients!$B$77,Nutrients!$EX$77,Nutrients!$EX$78)))))*S$8))</f>
        <v>18000</v>
      </c>
      <c r="T333" s="21">
        <f>(SUMPRODUCT(T$9:T$229,Nutrients!$EX$8:$EX$228)+(IF($A$7=Nutrients!$B$8,Nutrients!$EX$8,Nutrients!$EX$9)*T$7)+(((IF($A$8=Nutrients!$B$79,Nutrients!$EX$79,(IF($A$8=Nutrients!$B$77,Nutrients!$EX$77,Nutrients!$EX$78)))))*T$8))</f>
        <v>13500</v>
      </c>
      <c r="U333" s="21">
        <f>(SUMPRODUCT(U$9:U$229,Nutrients!$EX$8:$EX$228)+(IF($A$7=Nutrients!$B$8,Nutrients!$EX$8,Nutrients!$EX$9)*U$7)+(((IF($A$8=Nutrients!$B$79,Nutrients!$EX$79,(IF($A$8=Nutrients!$B$77,Nutrients!$EX$77,Nutrients!$EX$78)))))*U$8))</f>
        <v>13500</v>
      </c>
      <c r="W333" s="21">
        <f>(SUMPRODUCT(W$9:W$229,Nutrients!$EX$8:$EX$228)+(IF($A$7=Nutrients!$B$8,Nutrients!$EX$8,Nutrients!$EX$9)*W$7)+(((IF($A$8=Nutrients!$B$79,Nutrients!$EX$79,(IF($A$8=Nutrients!$B$77,Nutrients!$EX$77,Nutrients!$EX$78)))))*W$8))</f>
        <v>27000</v>
      </c>
      <c r="X333" s="21">
        <f>(SUMPRODUCT(X$9:X$229,Nutrients!$EX$8:$EX$228)+(IF($A$7=Nutrients!$B$8,Nutrients!$EX$8,Nutrients!$EX$9)*X$7)+(((IF($A$8=Nutrients!$B$79,Nutrients!$EX$79,(IF($A$8=Nutrients!$B$77,Nutrients!$EX$77,Nutrients!$EX$78)))))*X$8))</f>
        <v>27000</v>
      </c>
      <c r="Y333" s="21">
        <f>(SUMPRODUCT(Y$9:Y$229,Nutrients!$EX$8:$EX$228)+(IF($A$7=Nutrients!$B$8,Nutrients!$EX$8,Nutrients!$EX$9)*Y$7)+(((IF($A$8=Nutrients!$B$79,Nutrients!$EX$79,(IF($A$8=Nutrients!$B$77,Nutrients!$EX$77,Nutrients!$EX$78)))))*Y$8))</f>
        <v>22500</v>
      </c>
      <c r="Z333" s="21">
        <f>(SUMPRODUCT(Z$9:Z$229,Nutrients!$EX$8:$EX$228)+(IF($A$7=Nutrients!$B$8,Nutrients!$EX$8,Nutrients!$EX$9)*Z$7)+(((IF($A$8=Nutrients!$B$79,Nutrients!$EX$79,(IF($A$8=Nutrients!$B$77,Nutrients!$EX$77,Nutrients!$EX$78)))))*Z$8))</f>
        <v>18000</v>
      </c>
      <c r="AA333" s="21">
        <f>(SUMPRODUCT(AA$9:AA$229,Nutrients!$EX$8:$EX$228)+(IF($A$7=Nutrients!$B$8,Nutrients!$EX$8,Nutrients!$EX$9)*AA$7)+(((IF($A$8=Nutrients!$B$79,Nutrients!$EX$79,(IF($A$8=Nutrients!$B$77,Nutrients!$EX$77,Nutrients!$EX$78)))))*AA$8))</f>
        <v>13500</v>
      </c>
      <c r="AB333" s="21">
        <f>(SUMPRODUCT(AB$9:AB$229,Nutrients!$EX$8:$EX$228)+(IF($A$7=Nutrients!$B$8,Nutrients!$EX$8,Nutrients!$EX$9)*AB$7)+(((IF($A$8=Nutrients!$B$79,Nutrients!$EX$79,(IF($A$8=Nutrients!$B$77,Nutrients!$EX$77,Nutrients!$EX$78)))))*AB$8))</f>
        <v>13500</v>
      </c>
      <c r="AD333" s="21">
        <f>(SUMPRODUCT(AD$9:AD$229,Nutrients!$EX$8:$EX$228)+(IF($A$7=Nutrients!$B$8,Nutrients!$EX$8,Nutrients!$EX$9)*AD$7)+(((IF($A$8=Nutrients!$B$79,Nutrients!$EX$79,(IF($A$8=Nutrients!$B$77,Nutrients!$EX$77,Nutrients!$EX$78)))))*AD$8))</f>
        <v>27000</v>
      </c>
      <c r="AE333" s="21">
        <f>(SUMPRODUCT(AE$9:AE$229,Nutrients!$EX$8:$EX$228)+(IF($A$7=Nutrients!$B$8,Nutrients!$EX$8,Nutrients!$EX$9)*AE$7)+(((IF($A$8=Nutrients!$B$79,Nutrients!$EX$79,(IF($A$8=Nutrients!$B$77,Nutrients!$EX$77,Nutrients!$EX$78)))))*AE$8))</f>
        <v>27000</v>
      </c>
      <c r="AF333" s="21">
        <f>(SUMPRODUCT(AF$9:AF$229,Nutrients!$EX$8:$EX$228)+(IF($A$7=Nutrients!$B$8,Nutrients!$EX$8,Nutrients!$EX$9)*AF$7)+(((IF($A$8=Nutrients!$B$79,Nutrients!$EX$79,(IF($A$8=Nutrients!$B$77,Nutrients!$EX$77,Nutrients!$EX$78)))))*AF$8))</f>
        <v>22500</v>
      </c>
      <c r="AG333" s="21">
        <f>(SUMPRODUCT(AG$9:AG$229,Nutrients!$EX$8:$EX$228)+(IF($A$7=Nutrients!$B$8,Nutrients!$EX$8,Nutrients!$EX$9)*AG$7)+(((IF($A$8=Nutrients!$B$79,Nutrients!$EX$79,(IF($A$8=Nutrients!$B$77,Nutrients!$EX$77,Nutrients!$EX$78)))))*AG$8))</f>
        <v>18000</v>
      </c>
      <c r="AH333" s="21">
        <f>(SUMPRODUCT(AH$9:AH$229,Nutrients!$EX$8:$EX$228)+(IF($A$7=Nutrients!$B$8,Nutrients!$EX$8,Nutrients!$EX$9)*AH$7)+(((IF($A$8=Nutrients!$B$79,Nutrients!$EX$79,(IF($A$8=Nutrients!$B$77,Nutrients!$EX$77,Nutrients!$EX$78)))))*AH$8))</f>
        <v>13500</v>
      </c>
      <c r="AI333" s="21">
        <f>(SUMPRODUCT(AI$9:AI$229,Nutrients!$EX$8:$EX$228)+(IF($A$7=Nutrients!$B$8,Nutrients!$EX$8,Nutrients!$EX$9)*AI$7)+(((IF($A$8=Nutrients!$B$79,Nutrients!$EX$79,(IF($A$8=Nutrients!$B$77,Nutrients!$EX$77,Nutrients!$EX$78)))))*AI$8))</f>
        <v>13500</v>
      </c>
      <c r="AK333" s="21">
        <f>(SUMPRODUCT(AK$9:AK$229,Nutrients!$EX$8:$EX$228)+(IF($A$7=Nutrients!$B$8,Nutrients!$EX$8,Nutrients!$EX$9)*AK$7)+(((IF($A$8=Nutrients!$B$79,Nutrients!$EX$79,(IF($A$8=Nutrients!$B$77,Nutrients!$EX$77,Nutrients!$EX$78)))))*AK$8))</f>
        <v>27000</v>
      </c>
      <c r="AL333" s="21">
        <f>(SUMPRODUCT(AL$9:AL$229,Nutrients!$EX$8:$EX$228)+(IF($A$7=Nutrients!$B$8,Nutrients!$EX$8,Nutrients!$EX$9)*AL$7)+(((IF($A$8=Nutrients!$B$79,Nutrients!$EX$79,(IF($A$8=Nutrients!$B$77,Nutrients!$EX$77,Nutrients!$EX$78)))))*AL$8))</f>
        <v>27000</v>
      </c>
      <c r="AM333" s="21">
        <f>(SUMPRODUCT(AM$9:AM$229,Nutrients!$EX$8:$EX$228)+(IF($A$7=Nutrients!$B$8,Nutrients!$EX$8,Nutrients!$EX$9)*AM$7)+(((IF($A$8=Nutrients!$B$79,Nutrients!$EX$79,(IF($A$8=Nutrients!$B$77,Nutrients!$EX$77,Nutrients!$EX$78)))))*AM$8))</f>
        <v>22500</v>
      </c>
      <c r="AN333" s="21">
        <f>(SUMPRODUCT(AN$9:AN$229,Nutrients!$EX$8:$EX$228)+(IF($A$7=Nutrients!$B$8,Nutrients!$EX$8,Nutrients!$EX$9)*AN$7)+(((IF($A$8=Nutrients!$B$79,Nutrients!$EX$79,(IF($A$8=Nutrients!$B$77,Nutrients!$EX$77,Nutrients!$EX$78)))))*AN$8))</f>
        <v>18000</v>
      </c>
      <c r="AO333" s="21">
        <f>(SUMPRODUCT(AO$9:AO$229,Nutrients!$EX$8:$EX$228)+(IF($A$7=Nutrients!$B$8,Nutrients!$EX$8,Nutrients!$EX$9)*AO$7)+(((IF($A$8=Nutrients!$B$79,Nutrients!$EX$79,(IF($A$8=Nutrients!$B$77,Nutrients!$EX$77,Nutrients!$EX$78)))))*AO$8))</f>
        <v>13500</v>
      </c>
      <c r="AP333" s="21">
        <f>(SUMPRODUCT(AP$9:AP$229,Nutrients!$EX$8:$EX$228)+(IF($A$7=Nutrients!$B$8,Nutrients!$EX$8,Nutrients!$EX$9)*AP$7)+(((IF($A$8=Nutrients!$B$79,Nutrients!$EX$79,(IF($A$8=Nutrients!$B$77,Nutrients!$EX$77,Nutrients!$EX$78)))))*AP$8))</f>
        <v>13500</v>
      </c>
      <c r="AR333" s="21">
        <f>(SUMPRODUCT(AR$9:AR$229,Nutrients!$EX$8:$EX$228)+(IF($A$7=Nutrients!$B$8,Nutrients!$EX$8,Nutrients!$EX$9)*AR$7)+(((IF($A$8=Nutrients!$B$79,Nutrients!$EX$79,(IF($A$8=Nutrients!$B$77,Nutrients!$EX$77,Nutrients!$EX$78)))))*AR$8))</f>
        <v>27000</v>
      </c>
      <c r="AS333" s="21">
        <f>(SUMPRODUCT(AS$9:AS$229,Nutrients!$EX$8:$EX$228)+(IF($A$7=Nutrients!$B$8,Nutrients!$EX$8,Nutrients!$EX$9)*AS$7)+(((IF($A$8=Nutrients!$B$79,Nutrients!$EX$79,(IF($A$8=Nutrients!$B$77,Nutrients!$EX$77,Nutrients!$EX$78)))))*AS$8))</f>
        <v>27000</v>
      </c>
      <c r="AT333" s="21">
        <f>(SUMPRODUCT(AT$9:AT$229,Nutrients!$EX$8:$EX$228)+(IF($A$7=Nutrients!$B$8,Nutrients!$EX$8,Nutrients!$EX$9)*AT$7)+(((IF($A$8=Nutrients!$B$79,Nutrients!$EX$79,(IF($A$8=Nutrients!$B$77,Nutrients!$EX$77,Nutrients!$EX$78)))))*AT$8))</f>
        <v>22500</v>
      </c>
      <c r="AU333" s="21">
        <f>(SUMPRODUCT(AU$9:AU$229,Nutrients!$EX$8:$EX$228)+(IF($A$7=Nutrients!$B$8,Nutrients!$EX$8,Nutrients!$EX$9)*AU$7)+(((IF($A$8=Nutrients!$B$79,Nutrients!$EX$79,(IF($A$8=Nutrients!$B$77,Nutrients!$EX$77,Nutrients!$EX$78)))))*AU$8))</f>
        <v>18000</v>
      </c>
      <c r="AV333" s="21">
        <f>(SUMPRODUCT(AV$9:AV$229,Nutrients!$EX$8:$EX$228)+(IF($A$7=Nutrients!$B$8,Nutrients!$EX$8,Nutrients!$EX$9)*AV$7)+(((IF($A$8=Nutrients!$B$79,Nutrients!$EX$79,(IF($A$8=Nutrients!$B$77,Nutrients!$EX$77,Nutrients!$EX$78)))))*AV$8))</f>
        <v>13500</v>
      </c>
      <c r="AW333" s="21">
        <f>(SUMPRODUCT(AW$9:AW$229,Nutrients!$EX$8:$EX$228)+(IF($A$7=Nutrients!$B$8,Nutrients!$EX$8,Nutrients!$EX$9)*AW$7)+(((IF($A$8=Nutrients!$B$79,Nutrients!$EX$79,(IF($A$8=Nutrients!$B$77,Nutrients!$EX$77,Nutrients!$EX$78)))))*AW$8))</f>
        <v>13500</v>
      </c>
    </row>
    <row r="334" spans="1:49" x14ac:dyDescent="0.25">
      <c r="A334" s="34" t="s">
        <v>127</v>
      </c>
      <c r="B334" s="21">
        <f>(SUMPRODUCT(B$9:B$229,Nutrients!$EY$8:$EY$228)+(IF($A$7=Nutrients!$B$8,Nutrients!$EY$8,Nutrients!$EY$9)*B$7)+(((IF($A$8=Nutrients!$B$79,Nutrients!$EY$79,(IF($A$8=Nutrients!$B$77,Nutrients!$EY$77,Nutrients!$EY$78)))))*B$8))</f>
        <v>15000</v>
      </c>
      <c r="C334" s="21">
        <f>(SUMPRODUCT(C$9:C$229,Nutrients!$EY$8:$EY$228)+(IF($A$7=Nutrients!$B$8,Nutrients!$EY$8,Nutrients!$EY$9)*C$7)+(((IF($A$8=Nutrients!$B$79,Nutrients!$EY$79,(IF($A$8=Nutrients!$B$77,Nutrients!$EY$77,Nutrients!$EY$78)))))*C$8))</f>
        <v>15000</v>
      </c>
      <c r="D334" s="21">
        <f>(SUMPRODUCT(D$9:D$229,Nutrients!$EY$8:$EY$228)+(IF($A$7=Nutrients!$B$8,Nutrients!$EY$8,Nutrients!$EY$9)*D$7)+(((IF($A$8=Nutrients!$B$79,Nutrients!$EY$79,(IF($A$8=Nutrients!$B$77,Nutrients!$EY$77,Nutrients!$EY$78)))))*D$8))</f>
        <v>12500</v>
      </c>
      <c r="E334" s="21">
        <f>(SUMPRODUCT(E$9:E$229,Nutrients!$EY$8:$EY$228)+(IF($A$7=Nutrients!$B$8,Nutrients!$EY$8,Nutrients!$EY$9)*E$7)+(((IF($A$8=Nutrients!$B$79,Nutrients!$EY$79,(IF($A$8=Nutrients!$B$77,Nutrients!$EY$77,Nutrients!$EY$78)))))*E$8))</f>
        <v>10000</v>
      </c>
      <c r="F334" s="21">
        <f>(SUMPRODUCT(F$9:F$229,Nutrients!$EY$8:$EY$228)+(IF($A$7=Nutrients!$B$8,Nutrients!$EY$8,Nutrients!$EY$9)*F$7)+(((IF($A$8=Nutrients!$B$79,Nutrients!$EY$79,(IF($A$8=Nutrients!$B$77,Nutrients!$EY$77,Nutrients!$EY$78)))))*F$8))</f>
        <v>7500</v>
      </c>
      <c r="G334" s="21">
        <f>(SUMPRODUCT(G$9:G$229,Nutrients!$EY$8:$EY$228)+(IF($A$7=Nutrients!$B$8,Nutrients!$EY$8,Nutrients!$EY$9)*G$7)+(((IF($A$8=Nutrients!$B$79,Nutrients!$EY$79,(IF($A$8=Nutrients!$B$77,Nutrients!$EY$77,Nutrients!$EY$78)))))*G$8))</f>
        <v>7500</v>
      </c>
      <c r="H334" s="226"/>
      <c r="I334" s="21">
        <f>(SUMPRODUCT(I$9:I$229,Nutrients!$EY$8:$EY$228)+(IF($A$7=Nutrients!$B$8,Nutrients!$EY$8,Nutrients!$EY$9)*I$7)+(((IF($A$8=Nutrients!$B$79,Nutrients!$EY$79,(IF($A$8=Nutrients!$B$77,Nutrients!$EY$77,Nutrients!$EY$78)))))*I$8))</f>
        <v>15000</v>
      </c>
      <c r="J334" s="21">
        <f>(SUMPRODUCT(J$9:J$229,Nutrients!$EY$8:$EY$228)+(IF($A$7=Nutrients!$B$8,Nutrients!$EY$8,Nutrients!$EY$9)*J$7)+(((IF($A$8=Nutrients!$B$79,Nutrients!$EY$79,(IF($A$8=Nutrients!$B$77,Nutrients!$EY$77,Nutrients!$EY$78)))))*J$8))</f>
        <v>15000</v>
      </c>
      <c r="K334" s="21">
        <f>(SUMPRODUCT(K$9:K$229,Nutrients!$EY$8:$EY$228)+(IF($A$7=Nutrients!$B$8,Nutrients!$EY$8,Nutrients!$EY$9)*K$7)+(((IF($A$8=Nutrients!$B$79,Nutrients!$EY$79,(IF($A$8=Nutrients!$B$77,Nutrients!$EY$77,Nutrients!$EY$78)))))*K$8))</f>
        <v>12500</v>
      </c>
      <c r="L334" s="21">
        <f>(SUMPRODUCT(L$9:L$229,Nutrients!$EY$8:$EY$228)+(IF($A$7=Nutrients!$B$8,Nutrients!$EY$8,Nutrients!$EY$9)*L$7)+(((IF($A$8=Nutrients!$B$79,Nutrients!$EY$79,(IF($A$8=Nutrients!$B$77,Nutrients!$EY$77,Nutrients!$EY$78)))))*L$8))</f>
        <v>10000</v>
      </c>
      <c r="M334" s="21">
        <f>(SUMPRODUCT(M$9:M$229,Nutrients!$EY$8:$EY$228)+(IF($A$7=Nutrients!$B$8,Nutrients!$EY$8,Nutrients!$EY$9)*M$7)+(((IF($A$8=Nutrients!$B$79,Nutrients!$EY$79,(IF($A$8=Nutrients!$B$77,Nutrients!$EY$77,Nutrients!$EY$78)))))*M$8))</f>
        <v>7500</v>
      </c>
      <c r="N334" s="21">
        <f>(SUMPRODUCT(N$9:N$229,Nutrients!$EY$8:$EY$228)+(IF($A$7=Nutrients!$B$8,Nutrients!$EY$8,Nutrients!$EY$9)*N$7)+(((IF($A$8=Nutrients!$B$79,Nutrients!$EY$79,(IF($A$8=Nutrients!$B$77,Nutrients!$EY$77,Nutrients!$EY$78)))))*N$8))</f>
        <v>7500</v>
      </c>
      <c r="O334" s="234"/>
      <c r="P334" s="21">
        <f>(SUMPRODUCT(P$9:P$229,Nutrients!$EY$8:$EY$228)+(IF($A$7=Nutrients!$B$8,Nutrients!$EY$8,Nutrients!$EY$9)*P$7)+(((IF($A$8=Nutrients!$B$79,Nutrients!$EY$79,(IF($A$8=Nutrients!$B$77,Nutrients!$EY$77,Nutrients!$EY$78)))))*P$8))</f>
        <v>15000</v>
      </c>
      <c r="Q334" s="21">
        <f>(SUMPRODUCT(Q$9:Q$229,Nutrients!$EY$8:$EY$228)+(IF($A$7=Nutrients!$B$8,Nutrients!$EY$8,Nutrients!$EY$9)*Q$7)+(((IF($A$8=Nutrients!$B$79,Nutrients!$EY$79,(IF($A$8=Nutrients!$B$77,Nutrients!$EY$77,Nutrients!$EY$78)))))*Q$8))</f>
        <v>15000</v>
      </c>
      <c r="R334" s="21">
        <f>(SUMPRODUCT(R$9:R$229,Nutrients!$EY$8:$EY$228)+(IF($A$7=Nutrients!$B$8,Nutrients!$EY$8,Nutrients!$EY$9)*R$7)+(((IF($A$8=Nutrients!$B$79,Nutrients!$EY$79,(IF($A$8=Nutrients!$B$77,Nutrients!$EY$77,Nutrients!$EY$78)))))*R$8))</f>
        <v>12500</v>
      </c>
      <c r="S334" s="21">
        <f>(SUMPRODUCT(S$9:S$229,Nutrients!$EY$8:$EY$228)+(IF($A$7=Nutrients!$B$8,Nutrients!$EY$8,Nutrients!$EY$9)*S$7)+(((IF($A$8=Nutrients!$B$79,Nutrients!$EY$79,(IF($A$8=Nutrients!$B$77,Nutrients!$EY$77,Nutrients!$EY$78)))))*S$8))</f>
        <v>10000</v>
      </c>
      <c r="T334" s="21">
        <f>(SUMPRODUCT(T$9:T$229,Nutrients!$EY$8:$EY$228)+(IF($A$7=Nutrients!$B$8,Nutrients!$EY$8,Nutrients!$EY$9)*T$7)+(((IF($A$8=Nutrients!$B$79,Nutrients!$EY$79,(IF($A$8=Nutrients!$B$77,Nutrients!$EY$77,Nutrients!$EY$78)))))*T$8))</f>
        <v>7500</v>
      </c>
      <c r="U334" s="21">
        <f>(SUMPRODUCT(U$9:U$229,Nutrients!$EY$8:$EY$228)+(IF($A$7=Nutrients!$B$8,Nutrients!$EY$8,Nutrients!$EY$9)*U$7)+(((IF($A$8=Nutrients!$B$79,Nutrients!$EY$79,(IF($A$8=Nutrients!$B$77,Nutrients!$EY$77,Nutrients!$EY$78)))))*U$8))</f>
        <v>7500</v>
      </c>
      <c r="W334" s="21">
        <f>(SUMPRODUCT(W$9:W$229,Nutrients!$EY$8:$EY$228)+(IF($A$7=Nutrients!$B$8,Nutrients!$EY$8,Nutrients!$EY$9)*W$7)+(((IF($A$8=Nutrients!$B$79,Nutrients!$EY$79,(IF($A$8=Nutrients!$B$77,Nutrients!$EY$77,Nutrients!$EY$78)))))*W$8))</f>
        <v>15000</v>
      </c>
      <c r="X334" s="21">
        <f>(SUMPRODUCT(X$9:X$229,Nutrients!$EY$8:$EY$228)+(IF($A$7=Nutrients!$B$8,Nutrients!$EY$8,Nutrients!$EY$9)*X$7)+(((IF($A$8=Nutrients!$B$79,Nutrients!$EY$79,(IF($A$8=Nutrients!$B$77,Nutrients!$EY$77,Nutrients!$EY$78)))))*X$8))</f>
        <v>15000</v>
      </c>
      <c r="Y334" s="21">
        <f>(SUMPRODUCT(Y$9:Y$229,Nutrients!$EY$8:$EY$228)+(IF($A$7=Nutrients!$B$8,Nutrients!$EY$8,Nutrients!$EY$9)*Y$7)+(((IF($A$8=Nutrients!$B$79,Nutrients!$EY$79,(IF($A$8=Nutrients!$B$77,Nutrients!$EY$77,Nutrients!$EY$78)))))*Y$8))</f>
        <v>12500</v>
      </c>
      <c r="Z334" s="21">
        <f>(SUMPRODUCT(Z$9:Z$229,Nutrients!$EY$8:$EY$228)+(IF($A$7=Nutrients!$B$8,Nutrients!$EY$8,Nutrients!$EY$9)*Z$7)+(((IF($A$8=Nutrients!$B$79,Nutrients!$EY$79,(IF($A$8=Nutrients!$B$77,Nutrients!$EY$77,Nutrients!$EY$78)))))*Z$8))</f>
        <v>10000</v>
      </c>
      <c r="AA334" s="21">
        <f>(SUMPRODUCT(AA$9:AA$229,Nutrients!$EY$8:$EY$228)+(IF($A$7=Nutrients!$B$8,Nutrients!$EY$8,Nutrients!$EY$9)*AA$7)+(((IF($A$8=Nutrients!$B$79,Nutrients!$EY$79,(IF($A$8=Nutrients!$B$77,Nutrients!$EY$77,Nutrients!$EY$78)))))*AA$8))</f>
        <v>7500</v>
      </c>
      <c r="AB334" s="21">
        <f>(SUMPRODUCT(AB$9:AB$229,Nutrients!$EY$8:$EY$228)+(IF($A$7=Nutrients!$B$8,Nutrients!$EY$8,Nutrients!$EY$9)*AB$7)+(((IF($A$8=Nutrients!$B$79,Nutrients!$EY$79,(IF($A$8=Nutrients!$B$77,Nutrients!$EY$77,Nutrients!$EY$78)))))*AB$8))</f>
        <v>7500</v>
      </c>
      <c r="AD334" s="21">
        <f>(SUMPRODUCT(AD$9:AD$229,Nutrients!$EY$8:$EY$228)+(IF($A$7=Nutrients!$B$8,Nutrients!$EY$8,Nutrients!$EY$9)*AD$7)+(((IF($A$8=Nutrients!$B$79,Nutrients!$EY$79,(IF($A$8=Nutrients!$B$77,Nutrients!$EY$77,Nutrients!$EY$78)))))*AD$8))</f>
        <v>15000</v>
      </c>
      <c r="AE334" s="21">
        <f>(SUMPRODUCT(AE$9:AE$229,Nutrients!$EY$8:$EY$228)+(IF($A$7=Nutrients!$B$8,Nutrients!$EY$8,Nutrients!$EY$9)*AE$7)+(((IF($A$8=Nutrients!$B$79,Nutrients!$EY$79,(IF($A$8=Nutrients!$B$77,Nutrients!$EY$77,Nutrients!$EY$78)))))*AE$8))</f>
        <v>15000</v>
      </c>
      <c r="AF334" s="21">
        <f>(SUMPRODUCT(AF$9:AF$229,Nutrients!$EY$8:$EY$228)+(IF($A$7=Nutrients!$B$8,Nutrients!$EY$8,Nutrients!$EY$9)*AF$7)+(((IF($A$8=Nutrients!$B$79,Nutrients!$EY$79,(IF($A$8=Nutrients!$B$77,Nutrients!$EY$77,Nutrients!$EY$78)))))*AF$8))</f>
        <v>12500</v>
      </c>
      <c r="AG334" s="21">
        <f>(SUMPRODUCT(AG$9:AG$229,Nutrients!$EY$8:$EY$228)+(IF($A$7=Nutrients!$B$8,Nutrients!$EY$8,Nutrients!$EY$9)*AG$7)+(((IF($A$8=Nutrients!$B$79,Nutrients!$EY$79,(IF($A$8=Nutrients!$B$77,Nutrients!$EY$77,Nutrients!$EY$78)))))*AG$8))</f>
        <v>10000</v>
      </c>
      <c r="AH334" s="21">
        <f>(SUMPRODUCT(AH$9:AH$229,Nutrients!$EY$8:$EY$228)+(IF($A$7=Nutrients!$B$8,Nutrients!$EY$8,Nutrients!$EY$9)*AH$7)+(((IF($A$8=Nutrients!$B$79,Nutrients!$EY$79,(IF($A$8=Nutrients!$B$77,Nutrients!$EY$77,Nutrients!$EY$78)))))*AH$8))</f>
        <v>7500</v>
      </c>
      <c r="AI334" s="21">
        <f>(SUMPRODUCT(AI$9:AI$229,Nutrients!$EY$8:$EY$228)+(IF($A$7=Nutrients!$B$8,Nutrients!$EY$8,Nutrients!$EY$9)*AI$7)+(((IF($A$8=Nutrients!$B$79,Nutrients!$EY$79,(IF($A$8=Nutrients!$B$77,Nutrients!$EY$77,Nutrients!$EY$78)))))*AI$8))</f>
        <v>7500</v>
      </c>
      <c r="AK334" s="21">
        <f>(SUMPRODUCT(AK$9:AK$229,Nutrients!$EY$8:$EY$228)+(IF($A$7=Nutrients!$B$8,Nutrients!$EY$8,Nutrients!$EY$9)*AK$7)+(((IF($A$8=Nutrients!$B$79,Nutrients!$EY$79,(IF($A$8=Nutrients!$B$77,Nutrients!$EY$77,Nutrients!$EY$78)))))*AK$8))</f>
        <v>15000</v>
      </c>
      <c r="AL334" s="21">
        <f>(SUMPRODUCT(AL$9:AL$229,Nutrients!$EY$8:$EY$228)+(IF($A$7=Nutrients!$B$8,Nutrients!$EY$8,Nutrients!$EY$9)*AL$7)+(((IF($A$8=Nutrients!$B$79,Nutrients!$EY$79,(IF($A$8=Nutrients!$B$77,Nutrients!$EY$77,Nutrients!$EY$78)))))*AL$8))</f>
        <v>15000</v>
      </c>
      <c r="AM334" s="21">
        <f>(SUMPRODUCT(AM$9:AM$229,Nutrients!$EY$8:$EY$228)+(IF($A$7=Nutrients!$B$8,Nutrients!$EY$8,Nutrients!$EY$9)*AM$7)+(((IF($A$8=Nutrients!$B$79,Nutrients!$EY$79,(IF($A$8=Nutrients!$B$77,Nutrients!$EY$77,Nutrients!$EY$78)))))*AM$8))</f>
        <v>12500</v>
      </c>
      <c r="AN334" s="21">
        <f>(SUMPRODUCT(AN$9:AN$229,Nutrients!$EY$8:$EY$228)+(IF($A$7=Nutrients!$B$8,Nutrients!$EY$8,Nutrients!$EY$9)*AN$7)+(((IF($A$8=Nutrients!$B$79,Nutrients!$EY$79,(IF($A$8=Nutrients!$B$77,Nutrients!$EY$77,Nutrients!$EY$78)))))*AN$8))</f>
        <v>10000</v>
      </c>
      <c r="AO334" s="21">
        <f>(SUMPRODUCT(AO$9:AO$229,Nutrients!$EY$8:$EY$228)+(IF($A$7=Nutrients!$B$8,Nutrients!$EY$8,Nutrients!$EY$9)*AO$7)+(((IF($A$8=Nutrients!$B$79,Nutrients!$EY$79,(IF($A$8=Nutrients!$B$77,Nutrients!$EY$77,Nutrients!$EY$78)))))*AO$8))</f>
        <v>7500</v>
      </c>
      <c r="AP334" s="21">
        <f>(SUMPRODUCT(AP$9:AP$229,Nutrients!$EY$8:$EY$228)+(IF($A$7=Nutrients!$B$8,Nutrients!$EY$8,Nutrients!$EY$9)*AP$7)+(((IF($A$8=Nutrients!$B$79,Nutrients!$EY$79,(IF($A$8=Nutrients!$B$77,Nutrients!$EY$77,Nutrients!$EY$78)))))*AP$8))</f>
        <v>7500</v>
      </c>
      <c r="AR334" s="21">
        <f>(SUMPRODUCT(AR$9:AR$229,Nutrients!$EY$8:$EY$228)+(IF($A$7=Nutrients!$B$8,Nutrients!$EY$8,Nutrients!$EY$9)*AR$7)+(((IF($A$8=Nutrients!$B$79,Nutrients!$EY$79,(IF($A$8=Nutrients!$B$77,Nutrients!$EY$77,Nutrients!$EY$78)))))*AR$8))</f>
        <v>15000</v>
      </c>
      <c r="AS334" s="21">
        <f>(SUMPRODUCT(AS$9:AS$229,Nutrients!$EY$8:$EY$228)+(IF($A$7=Nutrients!$B$8,Nutrients!$EY$8,Nutrients!$EY$9)*AS$7)+(((IF($A$8=Nutrients!$B$79,Nutrients!$EY$79,(IF($A$8=Nutrients!$B$77,Nutrients!$EY$77,Nutrients!$EY$78)))))*AS$8))</f>
        <v>15000</v>
      </c>
      <c r="AT334" s="21">
        <f>(SUMPRODUCT(AT$9:AT$229,Nutrients!$EY$8:$EY$228)+(IF($A$7=Nutrients!$B$8,Nutrients!$EY$8,Nutrients!$EY$9)*AT$7)+(((IF($A$8=Nutrients!$B$79,Nutrients!$EY$79,(IF($A$8=Nutrients!$B$77,Nutrients!$EY$77,Nutrients!$EY$78)))))*AT$8))</f>
        <v>12500</v>
      </c>
      <c r="AU334" s="21">
        <f>(SUMPRODUCT(AU$9:AU$229,Nutrients!$EY$8:$EY$228)+(IF($A$7=Nutrients!$B$8,Nutrients!$EY$8,Nutrients!$EY$9)*AU$7)+(((IF($A$8=Nutrients!$B$79,Nutrients!$EY$79,(IF($A$8=Nutrients!$B$77,Nutrients!$EY$77,Nutrients!$EY$78)))))*AU$8))</f>
        <v>10000</v>
      </c>
      <c r="AV334" s="21">
        <f>(SUMPRODUCT(AV$9:AV$229,Nutrients!$EY$8:$EY$228)+(IF($A$7=Nutrients!$B$8,Nutrients!$EY$8,Nutrients!$EY$9)*AV$7)+(((IF($A$8=Nutrients!$B$79,Nutrients!$EY$79,(IF($A$8=Nutrients!$B$77,Nutrients!$EY$77,Nutrients!$EY$78)))))*AV$8))</f>
        <v>7500</v>
      </c>
      <c r="AW334" s="21">
        <f>(SUMPRODUCT(AW$9:AW$229,Nutrients!$EY$8:$EY$228)+(IF($A$7=Nutrients!$B$8,Nutrients!$EY$8,Nutrients!$EY$9)*AW$7)+(((IF($A$8=Nutrients!$B$79,Nutrients!$EY$79,(IF($A$8=Nutrients!$B$77,Nutrients!$EY$77,Nutrients!$EY$78)))))*AW$8))</f>
        <v>7500</v>
      </c>
    </row>
    <row r="335" spans="1:49" x14ac:dyDescent="0.25">
      <c r="A335" s="34" t="s">
        <v>128</v>
      </c>
      <c r="B335" s="21">
        <f>(SUMPRODUCT(B$9:B$229,Nutrients!$EZ$8:$EZ$228)+(IF($A$7=Nutrients!$B$8,Nutrients!$EZ$8,Nutrients!$EZ$9)*B$7)+(((IF($A$8=Nutrients!$B$79,Nutrients!$EZ$79,(IF($A$8=Nutrients!$B$77,Nutrients!$EZ$77,Nutrients!$EZ$78)))))*B$8))</f>
        <v>4500</v>
      </c>
      <c r="C335" s="21">
        <f>(SUMPRODUCT(C$9:C$229,Nutrients!$EZ$8:$EZ$228)+(IF($A$7=Nutrients!$B$8,Nutrients!$EZ$8,Nutrients!$EZ$9)*C$7)+(((IF($A$8=Nutrients!$B$79,Nutrients!$EZ$79,(IF($A$8=Nutrients!$B$77,Nutrients!$EZ$77,Nutrients!$EZ$78)))))*C$8))</f>
        <v>4500</v>
      </c>
      <c r="D335" s="21">
        <f>(SUMPRODUCT(D$9:D$229,Nutrients!$EZ$8:$EZ$228)+(IF($A$7=Nutrients!$B$8,Nutrients!$EZ$8,Nutrients!$EZ$9)*D$7)+(((IF($A$8=Nutrients!$B$79,Nutrients!$EZ$79,(IF($A$8=Nutrients!$B$77,Nutrients!$EZ$77,Nutrients!$EZ$78)))))*D$8))</f>
        <v>3750</v>
      </c>
      <c r="E335" s="21">
        <f>(SUMPRODUCT(E$9:E$229,Nutrients!$EZ$8:$EZ$228)+(IF($A$7=Nutrients!$B$8,Nutrients!$EZ$8,Nutrients!$EZ$9)*E$7)+(((IF($A$8=Nutrients!$B$79,Nutrients!$EZ$79,(IF($A$8=Nutrients!$B$77,Nutrients!$EZ$77,Nutrients!$EZ$78)))))*E$8))</f>
        <v>3000</v>
      </c>
      <c r="F335" s="21">
        <f>(SUMPRODUCT(F$9:F$229,Nutrients!$EZ$8:$EZ$228)+(IF($A$7=Nutrients!$B$8,Nutrients!$EZ$8,Nutrients!$EZ$9)*F$7)+(((IF($A$8=Nutrients!$B$79,Nutrients!$EZ$79,(IF($A$8=Nutrients!$B$77,Nutrients!$EZ$77,Nutrients!$EZ$78)))))*F$8))</f>
        <v>2250</v>
      </c>
      <c r="G335" s="21">
        <f>(SUMPRODUCT(G$9:G$229,Nutrients!$EZ$8:$EZ$228)+(IF($A$7=Nutrients!$B$8,Nutrients!$EZ$8,Nutrients!$EZ$9)*G$7)+(((IF($A$8=Nutrients!$B$79,Nutrients!$EZ$79,(IF($A$8=Nutrients!$B$77,Nutrients!$EZ$77,Nutrients!$EZ$78)))))*G$8))</f>
        <v>2250</v>
      </c>
      <c r="H335" s="226"/>
      <c r="I335" s="21">
        <f>(SUMPRODUCT(I$9:I$229,Nutrients!$EZ$8:$EZ$228)+(IF($A$7=Nutrients!$B$8,Nutrients!$EZ$8,Nutrients!$EZ$9)*I$7)+(((IF($A$8=Nutrients!$B$79,Nutrients!$EZ$79,(IF($A$8=Nutrients!$B$77,Nutrients!$EZ$77,Nutrients!$EZ$78)))))*I$8))</f>
        <v>4500</v>
      </c>
      <c r="J335" s="21">
        <f>(SUMPRODUCT(J$9:J$229,Nutrients!$EZ$8:$EZ$228)+(IF($A$7=Nutrients!$B$8,Nutrients!$EZ$8,Nutrients!$EZ$9)*J$7)+(((IF($A$8=Nutrients!$B$79,Nutrients!$EZ$79,(IF($A$8=Nutrients!$B$77,Nutrients!$EZ$77,Nutrients!$EZ$78)))))*J$8))</f>
        <v>4500</v>
      </c>
      <c r="K335" s="21">
        <f>(SUMPRODUCT(K$9:K$229,Nutrients!$EZ$8:$EZ$228)+(IF($A$7=Nutrients!$B$8,Nutrients!$EZ$8,Nutrients!$EZ$9)*K$7)+(((IF($A$8=Nutrients!$B$79,Nutrients!$EZ$79,(IF($A$8=Nutrients!$B$77,Nutrients!$EZ$77,Nutrients!$EZ$78)))))*K$8))</f>
        <v>3750</v>
      </c>
      <c r="L335" s="21">
        <f>(SUMPRODUCT(L$9:L$229,Nutrients!$EZ$8:$EZ$228)+(IF($A$7=Nutrients!$B$8,Nutrients!$EZ$8,Nutrients!$EZ$9)*L$7)+(((IF($A$8=Nutrients!$B$79,Nutrients!$EZ$79,(IF($A$8=Nutrients!$B$77,Nutrients!$EZ$77,Nutrients!$EZ$78)))))*L$8))</f>
        <v>3000</v>
      </c>
      <c r="M335" s="21">
        <f>(SUMPRODUCT(M$9:M$229,Nutrients!$EZ$8:$EZ$228)+(IF($A$7=Nutrients!$B$8,Nutrients!$EZ$8,Nutrients!$EZ$9)*M$7)+(((IF($A$8=Nutrients!$B$79,Nutrients!$EZ$79,(IF($A$8=Nutrients!$B$77,Nutrients!$EZ$77,Nutrients!$EZ$78)))))*M$8))</f>
        <v>2250</v>
      </c>
      <c r="N335" s="21">
        <f>(SUMPRODUCT(N$9:N$229,Nutrients!$EZ$8:$EZ$228)+(IF($A$7=Nutrients!$B$8,Nutrients!$EZ$8,Nutrients!$EZ$9)*N$7)+(((IF($A$8=Nutrients!$B$79,Nutrients!$EZ$79,(IF($A$8=Nutrients!$B$77,Nutrients!$EZ$77,Nutrients!$EZ$78)))))*N$8))</f>
        <v>2250</v>
      </c>
      <c r="O335" s="234"/>
      <c r="P335" s="21">
        <f>(SUMPRODUCT(P$9:P$229,Nutrients!$EZ$8:$EZ$228)+(IF($A$7=Nutrients!$B$8,Nutrients!$EZ$8,Nutrients!$EZ$9)*P$7)+(((IF($A$8=Nutrients!$B$79,Nutrients!$EZ$79,(IF($A$8=Nutrients!$B$77,Nutrients!$EZ$77,Nutrients!$EZ$78)))))*P$8))</f>
        <v>4500</v>
      </c>
      <c r="Q335" s="21">
        <f>(SUMPRODUCT(Q$9:Q$229,Nutrients!$EZ$8:$EZ$228)+(IF($A$7=Nutrients!$B$8,Nutrients!$EZ$8,Nutrients!$EZ$9)*Q$7)+(((IF($A$8=Nutrients!$B$79,Nutrients!$EZ$79,(IF($A$8=Nutrients!$B$77,Nutrients!$EZ$77,Nutrients!$EZ$78)))))*Q$8))</f>
        <v>4500</v>
      </c>
      <c r="R335" s="21">
        <f>(SUMPRODUCT(R$9:R$229,Nutrients!$EZ$8:$EZ$228)+(IF($A$7=Nutrients!$B$8,Nutrients!$EZ$8,Nutrients!$EZ$9)*R$7)+(((IF($A$8=Nutrients!$B$79,Nutrients!$EZ$79,(IF($A$8=Nutrients!$B$77,Nutrients!$EZ$77,Nutrients!$EZ$78)))))*R$8))</f>
        <v>3750</v>
      </c>
      <c r="S335" s="21">
        <f>(SUMPRODUCT(S$9:S$229,Nutrients!$EZ$8:$EZ$228)+(IF($A$7=Nutrients!$B$8,Nutrients!$EZ$8,Nutrients!$EZ$9)*S$7)+(((IF($A$8=Nutrients!$B$79,Nutrients!$EZ$79,(IF($A$8=Nutrients!$B$77,Nutrients!$EZ$77,Nutrients!$EZ$78)))))*S$8))</f>
        <v>3000</v>
      </c>
      <c r="T335" s="21">
        <f>(SUMPRODUCT(T$9:T$229,Nutrients!$EZ$8:$EZ$228)+(IF($A$7=Nutrients!$B$8,Nutrients!$EZ$8,Nutrients!$EZ$9)*T$7)+(((IF($A$8=Nutrients!$B$79,Nutrients!$EZ$79,(IF($A$8=Nutrients!$B$77,Nutrients!$EZ$77,Nutrients!$EZ$78)))))*T$8))</f>
        <v>2250</v>
      </c>
      <c r="U335" s="21">
        <f>(SUMPRODUCT(U$9:U$229,Nutrients!$EZ$8:$EZ$228)+(IF($A$7=Nutrients!$B$8,Nutrients!$EZ$8,Nutrients!$EZ$9)*U$7)+(((IF($A$8=Nutrients!$B$79,Nutrients!$EZ$79,(IF($A$8=Nutrients!$B$77,Nutrients!$EZ$77,Nutrients!$EZ$78)))))*U$8))</f>
        <v>2250</v>
      </c>
      <c r="W335" s="21">
        <f>(SUMPRODUCT(W$9:W$229,Nutrients!$EZ$8:$EZ$228)+(IF($A$7=Nutrients!$B$8,Nutrients!$EZ$8,Nutrients!$EZ$9)*W$7)+(((IF($A$8=Nutrients!$B$79,Nutrients!$EZ$79,(IF($A$8=Nutrients!$B$77,Nutrients!$EZ$77,Nutrients!$EZ$78)))))*W$8))</f>
        <v>4500</v>
      </c>
      <c r="X335" s="21">
        <f>(SUMPRODUCT(X$9:X$229,Nutrients!$EZ$8:$EZ$228)+(IF($A$7=Nutrients!$B$8,Nutrients!$EZ$8,Nutrients!$EZ$9)*X$7)+(((IF($A$8=Nutrients!$B$79,Nutrients!$EZ$79,(IF($A$8=Nutrients!$B$77,Nutrients!$EZ$77,Nutrients!$EZ$78)))))*X$8))</f>
        <v>4500</v>
      </c>
      <c r="Y335" s="21">
        <f>(SUMPRODUCT(Y$9:Y$229,Nutrients!$EZ$8:$EZ$228)+(IF($A$7=Nutrients!$B$8,Nutrients!$EZ$8,Nutrients!$EZ$9)*Y$7)+(((IF($A$8=Nutrients!$B$79,Nutrients!$EZ$79,(IF($A$8=Nutrients!$B$77,Nutrients!$EZ$77,Nutrients!$EZ$78)))))*Y$8))</f>
        <v>3750</v>
      </c>
      <c r="Z335" s="21">
        <f>(SUMPRODUCT(Z$9:Z$229,Nutrients!$EZ$8:$EZ$228)+(IF($A$7=Nutrients!$B$8,Nutrients!$EZ$8,Nutrients!$EZ$9)*Z$7)+(((IF($A$8=Nutrients!$B$79,Nutrients!$EZ$79,(IF($A$8=Nutrients!$B$77,Nutrients!$EZ$77,Nutrients!$EZ$78)))))*Z$8))</f>
        <v>3000</v>
      </c>
      <c r="AA335" s="21">
        <f>(SUMPRODUCT(AA$9:AA$229,Nutrients!$EZ$8:$EZ$228)+(IF($A$7=Nutrients!$B$8,Nutrients!$EZ$8,Nutrients!$EZ$9)*AA$7)+(((IF($A$8=Nutrients!$B$79,Nutrients!$EZ$79,(IF($A$8=Nutrients!$B$77,Nutrients!$EZ$77,Nutrients!$EZ$78)))))*AA$8))</f>
        <v>2250</v>
      </c>
      <c r="AB335" s="21">
        <f>(SUMPRODUCT(AB$9:AB$229,Nutrients!$EZ$8:$EZ$228)+(IF($A$7=Nutrients!$B$8,Nutrients!$EZ$8,Nutrients!$EZ$9)*AB$7)+(((IF($A$8=Nutrients!$B$79,Nutrients!$EZ$79,(IF($A$8=Nutrients!$B$77,Nutrients!$EZ$77,Nutrients!$EZ$78)))))*AB$8))</f>
        <v>2250</v>
      </c>
      <c r="AD335" s="21">
        <f>(SUMPRODUCT(AD$9:AD$229,Nutrients!$EZ$8:$EZ$228)+(IF($A$7=Nutrients!$B$8,Nutrients!$EZ$8,Nutrients!$EZ$9)*AD$7)+(((IF($A$8=Nutrients!$B$79,Nutrients!$EZ$79,(IF($A$8=Nutrients!$B$77,Nutrients!$EZ$77,Nutrients!$EZ$78)))))*AD$8))</f>
        <v>4500</v>
      </c>
      <c r="AE335" s="21">
        <f>(SUMPRODUCT(AE$9:AE$229,Nutrients!$EZ$8:$EZ$228)+(IF($A$7=Nutrients!$B$8,Nutrients!$EZ$8,Nutrients!$EZ$9)*AE$7)+(((IF($A$8=Nutrients!$B$79,Nutrients!$EZ$79,(IF($A$8=Nutrients!$B$77,Nutrients!$EZ$77,Nutrients!$EZ$78)))))*AE$8))</f>
        <v>4500</v>
      </c>
      <c r="AF335" s="21">
        <f>(SUMPRODUCT(AF$9:AF$229,Nutrients!$EZ$8:$EZ$228)+(IF($A$7=Nutrients!$B$8,Nutrients!$EZ$8,Nutrients!$EZ$9)*AF$7)+(((IF($A$8=Nutrients!$B$79,Nutrients!$EZ$79,(IF($A$8=Nutrients!$B$77,Nutrients!$EZ$77,Nutrients!$EZ$78)))))*AF$8))</f>
        <v>3750</v>
      </c>
      <c r="AG335" s="21">
        <f>(SUMPRODUCT(AG$9:AG$229,Nutrients!$EZ$8:$EZ$228)+(IF($A$7=Nutrients!$B$8,Nutrients!$EZ$8,Nutrients!$EZ$9)*AG$7)+(((IF($A$8=Nutrients!$B$79,Nutrients!$EZ$79,(IF($A$8=Nutrients!$B$77,Nutrients!$EZ$77,Nutrients!$EZ$78)))))*AG$8))</f>
        <v>3000</v>
      </c>
      <c r="AH335" s="21">
        <f>(SUMPRODUCT(AH$9:AH$229,Nutrients!$EZ$8:$EZ$228)+(IF($A$7=Nutrients!$B$8,Nutrients!$EZ$8,Nutrients!$EZ$9)*AH$7)+(((IF($A$8=Nutrients!$B$79,Nutrients!$EZ$79,(IF($A$8=Nutrients!$B$77,Nutrients!$EZ$77,Nutrients!$EZ$78)))))*AH$8))</f>
        <v>2250</v>
      </c>
      <c r="AI335" s="21">
        <f>(SUMPRODUCT(AI$9:AI$229,Nutrients!$EZ$8:$EZ$228)+(IF($A$7=Nutrients!$B$8,Nutrients!$EZ$8,Nutrients!$EZ$9)*AI$7)+(((IF($A$8=Nutrients!$B$79,Nutrients!$EZ$79,(IF($A$8=Nutrients!$B$77,Nutrients!$EZ$77,Nutrients!$EZ$78)))))*AI$8))</f>
        <v>2250</v>
      </c>
      <c r="AK335" s="21">
        <f>(SUMPRODUCT(AK$9:AK$229,Nutrients!$EZ$8:$EZ$228)+(IF($A$7=Nutrients!$B$8,Nutrients!$EZ$8,Nutrients!$EZ$9)*AK$7)+(((IF($A$8=Nutrients!$B$79,Nutrients!$EZ$79,(IF($A$8=Nutrients!$B$77,Nutrients!$EZ$77,Nutrients!$EZ$78)))))*AK$8))</f>
        <v>4500</v>
      </c>
      <c r="AL335" s="21">
        <f>(SUMPRODUCT(AL$9:AL$229,Nutrients!$EZ$8:$EZ$228)+(IF($A$7=Nutrients!$B$8,Nutrients!$EZ$8,Nutrients!$EZ$9)*AL$7)+(((IF($A$8=Nutrients!$B$79,Nutrients!$EZ$79,(IF($A$8=Nutrients!$B$77,Nutrients!$EZ$77,Nutrients!$EZ$78)))))*AL$8))</f>
        <v>4500</v>
      </c>
      <c r="AM335" s="21">
        <f>(SUMPRODUCT(AM$9:AM$229,Nutrients!$EZ$8:$EZ$228)+(IF($A$7=Nutrients!$B$8,Nutrients!$EZ$8,Nutrients!$EZ$9)*AM$7)+(((IF($A$8=Nutrients!$B$79,Nutrients!$EZ$79,(IF($A$8=Nutrients!$B$77,Nutrients!$EZ$77,Nutrients!$EZ$78)))))*AM$8))</f>
        <v>3750</v>
      </c>
      <c r="AN335" s="21">
        <f>(SUMPRODUCT(AN$9:AN$229,Nutrients!$EZ$8:$EZ$228)+(IF($A$7=Nutrients!$B$8,Nutrients!$EZ$8,Nutrients!$EZ$9)*AN$7)+(((IF($A$8=Nutrients!$B$79,Nutrients!$EZ$79,(IF($A$8=Nutrients!$B$77,Nutrients!$EZ$77,Nutrients!$EZ$78)))))*AN$8))</f>
        <v>3000</v>
      </c>
      <c r="AO335" s="21">
        <f>(SUMPRODUCT(AO$9:AO$229,Nutrients!$EZ$8:$EZ$228)+(IF($A$7=Nutrients!$B$8,Nutrients!$EZ$8,Nutrients!$EZ$9)*AO$7)+(((IF($A$8=Nutrients!$B$79,Nutrients!$EZ$79,(IF($A$8=Nutrients!$B$77,Nutrients!$EZ$77,Nutrients!$EZ$78)))))*AO$8))</f>
        <v>2250</v>
      </c>
      <c r="AP335" s="21">
        <f>(SUMPRODUCT(AP$9:AP$229,Nutrients!$EZ$8:$EZ$228)+(IF($A$7=Nutrients!$B$8,Nutrients!$EZ$8,Nutrients!$EZ$9)*AP$7)+(((IF($A$8=Nutrients!$B$79,Nutrients!$EZ$79,(IF($A$8=Nutrients!$B$77,Nutrients!$EZ$77,Nutrients!$EZ$78)))))*AP$8))</f>
        <v>2250</v>
      </c>
      <c r="AR335" s="21">
        <f>(SUMPRODUCT(AR$9:AR$229,Nutrients!$EZ$8:$EZ$228)+(IF($A$7=Nutrients!$B$8,Nutrients!$EZ$8,Nutrients!$EZ$9)*AR$7)+(((IF($A$8=Nutrients!$B$79,Nutrients!$EZ$79,(IF($A$8=Nutrients!$B$77,Nutrients!$EZ$77,Nutrients!$EZ$78)))))*AR$8))</f>
        <v>4500</v>
      </c>
      <c r="AS335" s="21">
        <f>(SUMPRODUCT(AS$9:AS$229,Nutrients!$EZ$8:$EZ$228)+(IF($A$7=Nutrients!$B$8,Nutrients!$EZ$8,Nutrients!$EZ$9)*AS$7)+(((IF($A$8=Nutrients!$B$79,Nutrients!$EZ$79,(IF($A$8=Nutrients!$B$77,Nutrients!$EZ$77,Nutrients!$EZ$78)))))*AS$8))</f>
        <v>4500</v>
      </c>
      <c r="AT335" s="21">
        <f>(SUMPRODUCT(AT$9:AT$229,Nutrients!$EZ$8:$EZ$228)+(IF($A$7=Nutrients!$B$8,Nutrients!$EZ$8,Nutrients!$EZ$9)*AT$7)+(((IF($A$8=Nutrients!$B$79,Nutrients!$EZ$79,(IF($A$8=Nutrients!$B$77,Nutrients!$EZ$77,Nutrients!$EZ$78)))))*AT$8))</f>
        <v>3750</v>
      </c>
      <c r="AU335" s="21">
        <f>(SUMPRODUCT(AU$9:AU$229,Nutrients!$EZ$8:$EZ$228)+(IF($A$7=Nutrients!$B$8,Nutrients!$EZ$8,Nutrients!$EZ$9)*AU$7)+(((IF($A$8=Nutrients!$B$79,Nutrients!$EZ$79,(IF($A$8=Nutrients!$B$77,Nutrients!$EZ$77,Nutrients!$EZ$78)))))*AU$8))</f>
        <v>3000</v>
      </c>
      <c r="AV335" s="21">
        <f>(SUMPRODUCT(AV$9:AV$229,Nutrients!$EZ$8:$EZ$228)+(IF($A$7=Nutrients!$B$8,Nutrients!$EZ$8,Nutrients!$EZ$9)*AV$7)+(((IF($A$8=Nutrients!$B$79,Nutrients!$EZ$79,(IF($A$8=Nutrients!$B$77,Nutrients!$EZ$77,Nutrients!$EZ$78)))))*AV$8))</f>
        <v>2250</v>
      </c>
      <c r="AW335" s="21">
        <f>(SUMPRODUCT(AW$9:AW$229,Nutrients!$EZ$8:$EZ$228)+(IF($A$7=Nutrients!$B$8,Nutrients!$EZ$8,Nutrients!$EZ$9)*AW$7)+(((IF($A$8=Nutrients!$B$79,Nutrients!$EZ$79,(IF($A$8=Nutrients!$B$77,Nutrients!$EZ$77,Nutrients!$EZ$78)))))*AW$8))</f>
        <v>2250</v>
      </c>
    </row>
    <row r="336" spans="1:49" x14ac:dyDescent="0.25">
      <c r="A336" s="34" t="s">
        <v>129</v>
      </c>
      <c r="B336" s="21">
        <f>(SUMPRODUCT(B$9:B$229,Nutrients!$FA$8:$FA$228)+(IF($A$7=Nutrients!$B$8,Nutrients!$FA$8,Nutrients!$FA$9)*B$7)+(((IF($A$8=Nutrients!$B$79,Nutrients!$FA$79,(IF($A$8=Nutrients!$B$77,Nutrients!$FA$77,Nutrients!$FA$78)))))*B$8))</f>
        <v>0</v>
      </c>
      <c r="C336" s="21">
        <f>(SUMPRODUCT(C$9:C$229,Nutrients!$FA$8:$FA$228)+(IF($A$7=Nutrients!$B$8,Nutrients!$FA$8,Nutrients!$FA$9)*C$7)+(((IF($A$8=Nutrients!$B$79,Nutrients!$FA$79,(IF($A$8=Nutrients!$B$77,Nutrients!$FA$77,Nutrients!$FA$78)))))*C$8))</f>
        <v>0</v>
      </c>
      <c r="D336" s="21">
        <f>(SUMPRODUCT(D$9:D$229,Nutrients!$FA$8:$FA$228)+(IF($A$7=Nutrients!$B$8,Nutrients!$FA$8,Nutrients!$FA$9)*D$7)+(((IF($A$8=Nutrients!$B$79,Nutrients!$FA$79,(IF($A$8=Nutrients!$B$77,Nutrients!$FA$77,Nutrients!$FA$78)))))*D$8))</f>
        <v>0</v>
      </c>
      <c r="E336" s="21">
        <f>(SUMPRODUCT(E$9:E$229,Nutrients!$FA$8:$FA$228)+(IF($A$7=Nutrients!$B$8,Nutrients!$FA$8,Nutrients!$FA$9)*E$7)+(((IF($A$8=Nutrients!$B$79,Nutrients!$FA$79,(IF($A$8=Nutrients!$B$77,Nutrients!$FA$77,Nutrients!$FA$78)))))*E$8))</f>
        <v>0</v>
      </c>
      <c r="F336" s="21">
        <f>(SUMPRODUCT(F$9:F$229,Nutrients!$FA$8:$FA$228)+(IF($A$7=Nutrients!$B$8,Nutrients!$FA$8,Nutrients!$FA$9)*F$7)+(((IF($A$8=Nutrients!$B$79,Nutrients!$FA$79,(IF($A$8=Nutrients!$B$77,Nutrients!$FA$77,Nutrients!$FA$78)))))*F$8))</f>
        <v>0</v>
      </c>
      <c r="G336" s="21">
        <f>(SUMPRODUCT(G$9:G$229,Nutrients!$FA$8:$FA$228)+(IF($A$7=Nutrients!$B$8,Nutrients!$FA$8,Nutrients!$FA$9)*G$7)+(((IF($A$8=Nutrients!$B$79,Nutrients!$FA$79,(IF($A$8=Nutrients!$B$77,Nutrients!$FA$77,Nutrients!$FA$78)))))*G$8))</f>
        <v>0</v>
      </c>
      <c r="H336" s="226"/>
      <c r="I336" s="21">
        <f>(SUMPRODUCT(I$9:I$229,Nutrients!$FA$8:$FA$228)+(IF($A$7=Nutrients!$B$8,Nutrients!$FA$8,Nutrients!$FA$9)*I$7)+(((IF($A$8=Nutrients!$B$79,Nutrients!$FA$79,(IF($A$8=Nutrients!$B$77,Nutrients!$FA$77,Nutrients!$FA$78)))))*I$8))</f>
        <v>0</v>
      </c>
      <c r="J336" s="21">
        <f>(SUMPRODUCT(J$9:J$229,Nutrients!$FA$8:$FA$228)+(IF($A$7=Nutrients!$B$8,Nutrients!$FA$8,Nutrients!$FA$9)*J$7)+(((IF($A$8=Nutrients!$B$79,Nutrients!$FA$79,(IF($A$8=Nutrients!$B$77,Nutrients!$FA$77,Nutrients!$FA$78)))))*J$8))</f>
        <v>0</v>
      </c>
      <c r="K336" s="21">
        <f>(SUMPRODUCT(K$9:K$229,Nutrients!$FA$8:$FA$228)+(IF($A$7=Nutrients!$B$8,Nutrients!$FA$8,Nutrients!$FA$9)*K$7)+(((IF($A$8=Nutrients!$B$79,Nutrients!$FA$79,(IF($A$8=Nutrients!$B$77,Nutrients!$FA$77,Nutrients!$FA$78)))))*K$8))</f>
        <v>0</v>
      </c>
      <c r="L336" s="21">
        <f>(SUMPRODUCT(L$9:L$229,Nutrients!$FA$8:$FA$228)+(IF($A$7=Nutrients!$B$8,Nutrients!$FA$8,Nutrients!$FA$9)*L$7)+(((IF($A$8=Nutrients!$B$79,Nutrients!$FA$79,(IF($A$8=Nutrients!$B$77,Nutrients!$FA$77,Nutrients!$FA$78)))))*L$8))</f>
        <v>0</v>
      </c>
      <c r="M336" s="21">
        <f>(SUMPRODUCT(M$9:M$229,Nutrients!$FA$8:$FA$228)+(IF($A$7=Nutrients!$B$8,Nutrients!$FA$8,Nutrients!$FA$9)*M$7)+(((IF($A$8=Nutrients!$B$79,Nutrients!$FA$79,(IF($A$8=Nutrients!$B$77,Nutrients!$FA$77,Nutrients!$FA$78)))))*M$8))</f>
        <v>0</v>
      </c>
      <c r="N336" s="21">
        <f>(SUMPRODUCT(N$9:N$229,Nutrients!$FA$8:$FA$228)+(IF($A$7=Nutrients!$B$8,Nutrients!$FA$8,Nutrients!$FA$9)*N$7)+(((IF($A$8=Nutrients!$B$79,Nutrients!$FA$79,(IF($A$8=Nutrients!$B$77,Nutrients!$FA$77,Nutrients!$FA$78)))))*N$8))</f>
        <v>0</v>
      </c>
      <c r="O336" s="234"/>
      <c r="P336" s="21">
        <f>(SUMPRODUCT(P$9:P$229,Nutrients!$FA$8:$FA$228)+(IF($A$7=Nutrients!$B$8,Nutrients!$FA$8,Nutrients!$FA$9)*P$7)+(((IF($A$8=Nutrients!$B$79,Nutrients!$FA$79,(IF($A$8=Nutrients!$B$77,Nutrients!$FA$77,Nutrients!$FA$78)))))*P$8))</f>
        <v>0</v>
      </c>
      <c r="Q336" s="21">
        <f>(SUMPRODUCT(Q$9:Q$229,Nutrients!$FA$8:$FA$228)+(IF($A$7=Nutrients!$B$8,Nutrients!$FA$8,Nutrients!$FA$9)*Q$7)+(((IF($A$8=Nutrients!$B$79,Nutrients!$FA$79,(IF($A$8=Nutrients!$B$77,Nutrients!$FA$77,Nutrients!$FA$78)))))*Q$8))</f>
        <v>0</v>
      </c>
      <c r="R336" s="21">
        <f>(SUMPRODUCT(R$9:R$229,Nutrients!$FA$8:$FA$228)+(IF($A$7=Nutrients!$B$8,Nutrients!$FA$8,Nutrients!$FA$9)*R$7)+(((IF($A$8=Nutrients!$B$79,Nutrients!$FA$79,(IF($A$8=Nutrients!$B$77,Nutrients!$FA$77,Nutrients!$FA$78)))))*R$8))</f>
        <v>0</v>
      </c>
      <c r="S336" s="21">
        <f>(SUMPRODUCT(S$9:S$229,Nutrients!$FA$8:$FA$228)+(IF($A$7=Nutrients!$B$8,Nutrients!$FA$8,Nutrients!$FA$9)*S$7)+(((IF($A$8=Nutrients!$B$79,Nutrients!$FA$79,(IF($A$8=Nutrients!$B$77,Nutrients!$FA$77,Nutrients!$FA$78)))))*S$8))</f>
        <v>0</v>
      </c>
      <c r="T336" s="21">
        <f>(SUMPRODUCT(T$9:T$229,Nutrients!$FA$8:$FA$228)+(IF($A$7=Nutrients!$B$8,Nutrients!$FA$8,Nutrients!$FA$9)*T$7)+(((IF($A$8=Nutrients!$B$79,Nutrients!$FA$79,(IF($A$8=Nutrients!$B$77,Nutrients!$FA$77,Nutrients!$FA$78)))))*T$8))</f>
        <v>0</v>
      </c>
      <c r="U336" s="21">
        <f>(SUMPRODUCT(U$9:U$229,Nutrients!$FA$8:$FA$228)+(IF($A$7=Nutrients!$B$8,Nutrients!$FA$8,Nutrients!$FA$9)*U$7)+(((IF($A$8=Nutrients!$B$79,Nutrients!$FA$79,(IF($A$8=Nutrients!$B$77,Nutrients!$FA$77,Nutrients!$FA$78)))))*U$8))</f>
        <v>0</v>
      </c>
      <c r="W336" s="21">
        <f>(SUMPRODUCT(W$9:W$229,Nutrients!$FA$8:$FA$228)+(IF($A$7=Nutrients!$B$8,Nutrients!$FA$8,Nutrients!$FA$9)*W$7)+(((IF($A$8=Nutrients!$B$79,Nutrients!$FA$79,(IF($A$8=Nutrients!$B$77,Nutrients!$FA$77,Nutrients!$FA$78)))))*W$8))</f>
        <v>0</v>
      </c>
      <c r="X336" s="21">
        <f>(SUMPRODUCT(X$9:X$229,Nutrients!$FA$8:$FA$228)+(IF($A$7=Nutrients!$B$8,Nutrients!$FA$8,Nutrients!$FA$9)*X$7)+(((IF($A$8=Nutrients!$B$79,Nutrients!$FA$79,(IF($A$8=Nutrients!$B$77,Nutrients!$FA$77,Nutrients!$FA$78)))))*X$8))</f>
        <v>0</v>
      </c>
      <c r="Y336" s="21">
        <f>(SUMPRODUCT(Y$9:Y$229,Nutrients!$FA$8:$FA$228)+(IF($A$7=Nutrients!$B$8,Nutrients!$FA$8,Nutrients!$FA$9)*Y$7)+(((IF($A$8=Nutrients!$B$79,Nutrients!$FA$79,(IF($A$8=Nutrients!$B$77,Nutrients!$FA$77,Nutrients!$FA$78)))))*Y$8))</f>
        <v>0</v>
      </c>
      <c r="Z336" s="21">
        <f>(SUMPRODUCT(Z$9:Z$229,Nutrients!$FA$8:$FA$228)+(IF($A$7=Nutrients!$B$8,Nutrients!$FA$8,Nutrients!$FA$9)*Z$7)+(((IF($A$8=Nutrients!$B$79,Nutrients!$FA$79,(IF($A$8=Nutrients!$B$77,Nutrients!$FA$77,Nutrients!$FA$78)))))*Z$8))</f>
        <v>0</v>
      </c>
      <c r="AA336" s="21">
        <f>(SUMPRODUCT(AA$9:AA$229,Nutrients!$FA$8:$FA$228)+(IF($A$7=Nutrients!$B$8,Nutrients!$FA$8,Nutrients!$FA$9)*AA$7)+(((IF($A$8=Nutrients!$B$79,Nutrients!$FA$79,(IF($A$8=Nutrients!$B$77,Nutrients!$FA$77,Nutrients!$FA$78)))))*AA$8))</f>
        <v>0</v>
      </c>
      <c r="AB336" s="21">
        <f>(SUMPRODUCT(AB$9:AB$229,Nutrients!$FA$8:$FA$228)+(IF($A$7=Nutrients!$B$8,Nutrients!$FA$8,Nutrients!$FA$9)*AB$7)+(((IF($A$8=Nutrients!$B$79,Nutrients!$FA$79,(IF($A$8=Nutrients!$B$77,Nutrients!$FA$77,Nutrients!$FA$78)))))*AB$8))</f>
        <v>0</v>
      </c>
      <c r="AD336" s="21">
        <f>(SUMPRODUCT(AD$9:AD$229,Nutrients!$FA$8:$FA$228)+(IF($A$7=Nutrients!$B$8,Nutrients!$FA$8,Nutrients!$FA$9)*AD$7)+(((IF($A$8=Nutrients!$B$79,Nutrients!$FA$79,(IF($A$8=Nutrients!$B$77,Nutrients!$FA$77,Nutrients!$FA$78)))))*AD$8))</f>
        <v>0</v>
      </c>
      <c r="AE336" s="21">
        <f>(SUMPRODUCT(AE$9:AE$229,Nutrients!$FA$8:$FA$228)+(IF($A$7=Nutrients!$B$8,Nutrients!$FA$8,Nutrients!$FA$9)*AE$7)+(((IF($A$8=Nutrients!$B$79,Nutrients!$FA$79,(IF($A$8=Nutrients!$B$77,Nutrients!$FA$77,Nutrients!$FA$78)))))*AE$8))</f>
        <v>0</v>
      </c>
      <c r="AF336" s="21">
        <f>(SUMPRODUCT(AF$9:AF$229,Nutrients!$FA$8:$FA$228)+(IF($A$7=Nutrients!$B$8,Nutrients!$FA$8,Nutrients!$FA$9)*AF$7)+(((IF($A$8=Nutrients!$B$79,Nutrients!$FA$79,(IF($A$8=Nutrients!$B$77,Nutrients!$FA$77,Nutrients!$FA$78)))))*AF$8))</f>
        <v>0</v>
      </c>
      <c r="AG336" s="21">
        <f>(SUMPRODUCT(AG$9:AG$229,Nutrients!$FA$8:$FA$228)+(IF($A$7=Nutrients!$B$8,Nutrients!$FA$8,Nutrients!$FA$9)*AG$7)+(((IF($A$8=Nutrients!$B$79,Nutrients!$FA$79,(IF($A$8=Nutrients!$B$77,Nutrients!$FA$77,Nutrients!$FA$78)))))*AG$8))</f>
        <v>0</v>
      </c>
      <c r="AH336" s="21">
        <f>(SUMPRODUCT(AH$9:AH$229,Nutrients!$FA$8:$FA$228)+(IF($A$7=Nutrients!$B$8,Nutrients!$FA$8,Nutrients!$FA$9)*AH$7)+(((IF($A$8=Nutrients!$B$79,Nutrients!$FA$79,(IF($A$8=Nutrients!$B$77,Nutrients!$FA$77,Nutrients!$FA$78)))))*AH$8))</f>
        <v>0</v>
      </c>
      <c r="AI336" s="21">
        <f>(SUMPRODUCT(AI$9:AI$229,Nutrients!$FA$8:$FA$228)+(IF($A$7=Nutrients!$B$8,Nutrients!$FA$8,Nutrients!$FA$9)*AI$7)+(((IF($A$8=Nutrients!$B$79,Nutrients!$FA$79,(IF($A$8=Nutrients!$B$77,Nutrients!$FA$77,Nutrients!$FA$78)))))*AI$8))</f>
        <v>0</v>
      </c>
      <c r="AK336" s="21">
        <f>(SUMPRODUCT(AK$9:AK$229,Nutrients!$FA$8:$FA$228)+(IF($A$7=Nutrients!$B$8,Nutrients!$FA$8,Nutrients!$FA$9)*AK$7)+(((IF($A$8=Nutrients!$B$79,Nutrients!$FA$79,(IF($A$8=Nutrients!$B$77,Nutrients!$FA$77,Nutrients!$FA$78)))))*AK$8))</f>
        <v>0</v>
      </c>
      <c r="AL336" s="21">
        <f>(SUMPRODUCT(AL$9:AL$229,Nutrients!$FA$8:$FA$228)+(IF($A$7=Nutrients!$B$8,Nutrients!$FA$8,Nutrients!$FA$9)*AL$7)+(((IF($A$8=Nutrients!$B$79,Nutrients!$FA$79,(IF($A$8=Nutrients!$B$77,Nutrients!$FA$77,Nutrients!$FA$78)))))*AL$8))</f>
        <v>0</v>
      </c>
      <c r="AM336" s="21">
        <f>(SUMPRODUCT(AM$9:AM$229,Nutrients!$FA$8:$FA$228)+(IF($A$7=Nutrients!$B$8,Nutrients!$FA$8,Nutrients!$FA$9)*AM$7)+(((IF($A$8=Nutrients!$B$79,Nutrients!$FA$79,(IF($A$8=Nutrients!$B$77,Nutrients!$FA$77,Nutrients!$FA$78)))))*AM$8))</f>
        <v>0</v>
      </c>
      <c r="AN336" s="21">
        <f>(SUMPRODUCT(AN$9:AN$229,Nutrients!$FA$8:$FA$228)+(IF($A$7=Nutrients!$B$8,Nutrients!$FA$8,Nutrients!$FA$9)*AN$7)+(((IF($A$8=Nutrients!$B$79,Nutrients!$FA$79,(IF($A$8=Nutrients!$B$77,Nutrients!$FA$77,Nutrients!$FA$78)))))*AN$8))</f>
        <v>0</v>
      </c>
      <c r="AO336" s="21">
        <f>(SUMPRODUCT(AO$9:AO$229,Nutrients!$FA$8:$FA$228)+(IF($A$7=Nutrients!$B$8,Nutrients!$FA$8,Nutrients!$FA$9)*AO$7)+(((IF($A$8=Nutrients!$B$79,Nutrients!$FA$79,(IF($A$8=Nutrients!$B$77,Nutrients!$FA$77,Nutrients!$FA$78)))))*AO$8))</f>
        <v>0</v>
      </c>
      <c r="AP336" s="21">
        <f>(SUMPRODUCT(AP$9:AP$229,Nutrients!$FA$8:$FA$228)+(IF($A$7=Nutrients!$B$8,Nutrients!$FA$8,Nutrients!$FA$9)*AP$7)+(((IF($A$8=Nutrients!$B$79,Nutrients!$FA$79,(IF($A$8=Nutrients!$B$77,Nutrients!$FA$77,Nutrients!$FA$78)))))*AP$8))</f>
        <v>0</v>
      </c>
      <c r="AR336" s="21">
        <f>(SUMPRODUCT(AR$9:AR$229,Nutrients!$FA$8:$FA$228)+(IF($A$7=Nutrients!$B$8,Nutrients!$FA$8,Nutrients!$FA$9)*AR$7)+(((IF($A$8=Nutrients!$B$79,Nutrients!$FA$79,(IF($A$8=Nutrients!$B$77,Nutrients!$FA$77,Nutrients!$FA$78)))))*AR$8))</f>
        <v>0</v>
      </c>
      <c r="AS336" s="21">
        <f>(SUMPRODUCT(AS$9:AS$229,Nutrients!$FA$8:$FA$228)+(IF($A$7=Nutrients!$B$8,Nutrients!$FA$8,Nutrients!$FA$9)*AS$7)+(((IF($A$8=Nutrients!$B$79,Nutrients!$FA$79,(IF($A$8=Nutrients!$B$77,Nutrients!$FA$77,Nutrients!$FA$78)))))*AS$8))</f>
        <v>0</v>
      </c>
      <c r="AT336" s="21">
        <f>(SUMPRODUCT(AT$9:AT$229,Nutrients!$FA$8:$FA$228)+(IF($A$7=Nutrients!$B$8,Nutrients!$FA$8,Nutrients!$FA$9)*AT$7)+(((IF($A$8=Nutrients!$B$79,Nutrients!$FA$79,(IF($A$8=Nutrients!$B$77,Nutrients!$FA$77,Nutrients!$FA$78)))))*AT$8))</f>
        <v>0</v>
      </c>
      <c r="AU336" s="21">
        <f>(SUMPRODUCT(AU$9:AU$229,Nutrients!$FA$8:$FA$228)+(IF($A$7=Nutrients!$B$8,Nutrients!$FA$8,Nutrients!$FA$9)*AU$7)+(((IF($A$8=Nutrients!$B$79,Nutrients!$FA$79,(IF($A$8=Nutrients!$B$77,Nutrients!$FA$77,Nutrients!$FA$78)))))*AU$8))</f>
        <v>0</v>
      </c>
      <c r="AV336" s="21">
        <f>(SUMPRODUCT(AV$9:AV$229,Nutrients!$FA$8:$FA$228)+(IF($A$7=Nutrients!$B$8,Nutrients!$FA$8,Nutrients!$FA$9)*AV$7)+(((IF($A$8=Nutrients!$B$79,Nutrients!$FA$79,(IF($A$8=Nutrients!$B$77,Nutrients!$FA$77,Nutrients!$FA$78)))))*AV$8))</f>
        <v>0</v>
      </c>
      <c r="AW336" s="21">
        <f>(SUMPRODUCT(AW$9:AW$229,Nutrients!$FA$8:$FA$228)+(IF($A$7=Nutrients!$B$8,Nutrients!$FA$8,Nutrients!$FA$9)*AW$7)+(((IF($A$8=Nutrients!$B$79,Nutrients!$FA$79,(IF($A$8=Nutrients!$B$77,Nutrients!$FA$77,Nutrients!$FA$78)))))*AW$8))</f>
        <v>0</v>
      </c>
    </row>
    <row r="337" spans="1:52" x14ac:dyDescent="0.25">
      <c r="A337" s="34" t="s">
        <v>130</v>
      </c>
      <c r="B337" s="21">
        <f>(SUMPRODUCT(B$9:B$229,Nutrients!$FB$8:$FB$228)+(IF($A$7=Nutrients!$B$8,Nutrients!$FB$8,Nutrients!$FB$9)*B$7)+(((IF($A$8=Nutrients!$B$79,Nutrients!$FB$79,(IF($A$8=Nutrients!$B$77,Nutrients!$FB$77,Nutrients!$FB$78)))))*B$8))</f>
        <v>0</v>
      </c>
      <c r="C337" s="21">
        <f>(SUMPRODUCT(C$9:C$229,Nutrients!$FB$8:$FB$228)+(IF($A$7=Nutrients!$B$8,Nutrients!$FB$8,Nutrients!$FB$9)*C$7)+(((IF($A$8=Nutrients!$B$79,Nutrients!$FB$79,(IF($A$8=Nutrients!$B$77,Nutrients!$FB$77,Nutrients!$FB$78)))))*C$8))</f>
        <v>0</v>
      </c>
      <c r="D337" s="21">
        <f>(SUMPRODUCT(D$9:D$229,Nutrients!$FB$8:$FB$228)+(IF($A$7=Nutrients!$B$8,Nutrients!$FB$8,Nutrients!$FB$9)*D$7)+(((IF($A$8=Nutrients!$B$79,Nutrients!$FB$79,(IF($A$8=Nutrients!$B$77,Nutrients!$FB$77,Nutrients!$FB$78)))))*D$8))</f>
        <v>0</v>
      </c>
      <c r="E337" s="21">
        <f>(SUMPRODUCT(E$9:E$229,Nutrients!$FB$8:$FB$228)+(IF($A$7=Nutrients!$B$8,Nutrients!$FB$8,Nutrients!$FB$9)*E$7)+(((IF($A$8=Nutrients!$B$79,Nutrients!$FB$79,(IF($A$8=Nutrients!$B$77,Nutrients!$FB$77,Nutrients!$FB$78)))))*E$8))</f>
        <v>0</v>
      </c>
      <c r="F337" s="21">
        <f>(SUMPRODUCT(F$9:F$229,Nutrients!$FB$8:$FB$228)+(IF($A$7=Nutrients!$B$8,Nutrients!$FB$8,Nutrients!$FB$9)*F$7)+(((IF($A$8=Nutrients!$B$79,Nutrients!$FB$79,(IF($A$8=Nutrients!$B$77,Nutrients!$FB$77,Nutrients!$FB$78)))))*F$8))</f>
        <v>0</v>
      </c>
      <c r="G337" s="21">
        <f>(SUMPRODUCT(G$9:G$229,Nutrients!$FB$8:$FB$228)+(IF($A$7=Nutrients!$B$8,Nutrients!$FB$8,Nutrients!$FB$9)*G$7)+(((IF($A$8=Nutrients!$B$79,Nutrients!$FB$79,(IF($A$8=Nutrients!$B$77,Nutrients!$FB$77,Nutrients!$FB$78)))))*G$8))</f>
        <v>0</v>
      </c>
      <c r="H337" s="226"/>
      <c r="I337" s="21">
        <f>(SUMPRODUCT(I$9:I$229,Nutrients!$FB$8:$FB$228)+(IF($A$7=Nutrients!$B$8,Nutrients!$FB$8,Nutrients!$FB$9)*I$7)+(((IF($A$8=Nutrients!$B$79,Nutrients!$FB$79,(IF($A$8=Nutrients!$B$77,Nutrients!$FB$77,Nutrients!$FB$78)))))*I$8))</f>
        <v>0</v>
      </c>
      <c r="J337" s="21">
        <f>(SUMPRODUCT(J$9:J$229,Nutrients!$FB$8:$FB$228)+(IF($A$7=Nutrients!$B$8,Nutrients!$FB$8,Nutrients!$FB$9)*J$7)+(((IF($A$8=Nutrients!$B$79,Nutrients!$FB$79,(IF($A$8=Nutrients!$B$77,Nutrients!$FB$77,Nutrients!$FB$78)))))*J$8))</f>
        <v>0</v>
      </c>
      <c r="K337" s="21">
        <f>(SUMPRODUCT(K$9:K$229,Nutrients!$FB$8:$FB$228)+(IF($A$7=Nutrients!$B$8,Nutrients!$FB$8,Nutrients!$FB$9)*K$7)+(((IF($A$8=Nutrients!$B$79,Nutrients!$FB$79,(IF($A$8=Nutrients!$B$77,Nutrients!$FB$77,Nutrients!$FB$78)))))*K$8))</f>
        <v>0</v>
      </c>
      <c r="L337" s="21">
        <f>(SUMPRODUCT(L$9:L$229,Nutrients!$FB$8:$FB$228)+(IF($A$7=Nutrients!$B$8,Nutrients!$FB$8,Nutrients!$FB$9)*L$7)+(((IF($A$8=Nutrients!$B$79,Nutrients!$FB$79,(IF($A$8=Nutrients!$B$77,Nutrients!$FB$77,Nutrients!$FB$78)))))*L$8))</f>
        <v>0</v>
      </c>
      <c r="M337" s="21">
        <f>(SUMPRODUCT(M$9:M$229,Nutrients!$FB$8:$FB$228)+(IF($A$7=Nutrients!$B$8,Nutrients!$FB$8,Nutrients!$FB$9)*M$7)+(((IF($A$8=Nutrients!$B$79,Nutrients!$FB$79,(IF($A$8=Nutrients!$B$77,Nutrients!$FB$77,Nutrients!$FB$78)))))*M$8))</f>
        <v>0</v>
      </c>
      <c r="N337" s="21">
        <f>(SUMPRODUCT(N$9:N$229,Nutrients!$FB$8:$FB$228)+(IF($A$7=Nutrients!$B$8,Nutrients!$FB$8,Nutrients!$FB$9)*N$7)+(((IF($A$8=Nutrients!$B$79,Nutrients!$FB$79,(IF($A$8=Nutrients!$B$77,Nutrients!$FB$77,Nutrients!$FB$78)))))*N$8))</f>
        <v>0</v>
      </c>
      <c r="O337" s="234"/>
      <c r="P337" s="21">
        <f>(SUMPRODUCT(P$9:P$229,Nutrients!$FB$8:$FB$228)+(IF($A$7=Nutrients!$B$8,Nutrients!$FB$8,Nutrients!$FB$9)*P$7)+(((IF($A$8=Nutrients!$B$79,Nutrients!$FB$79,(IF($A$8=Nutrients!$B$77,Nutrients!$FB$77,Nutrients!$FB$78)))))*P$8))</f>
        <v>0</v>
      </c>
      <c r="Q337" s="21">
        <f>(SUMPRODUCT(Q$9:Q$229,Nutrients!$FB$8:$FB$228)+(IF($A$7=Nutrients!$B$8,Nutrients!$FB$8,Nutrients!$FB$9)*Q$7)+(((IF($A$8=Nutrients!$B$79,Nutrients!$FB$79,(IF($A$8=Nutrients!$B$77,Nutrients!$FB$77,Nutrients!$FB$78)))))*Q$8))</f>
        <v>0</v>
      </c>
      <c r="R337" s="21">
        <f>(SUMPRODUCT(R$9:R$229,Nutrients!$FB$8:$FB$228)+(IF($A$7=Nutrients!$B$8,Nutrients!$FB$8,Nutrients!$FB$9)*R$7)+(((IF($A$8=Nutrients!$B$79,Nutrients!$FB$79,(IF($A$8=Nutrients!$B$77,Nutrients!$FB$77,Nutrients!$FB$78)))))*R$8))</f>
        <v>0</v>
      </c>
      <c r="S337" s="21">
        <f>(SUMPRODUCT(S$9:S$229,Nutrients!$FB$8:$FB$228)+(IF($A$7=Nutrients!$B$8,Nutrients!$FB$8,Nutrients!$FB$9)*S$7)+(((IF($A$8=Nutrients!$B$79,Nutrients!$FB$79,(IF($A$8=Nutrients!$B$77,Nutrients!$FB$77,Nutrients!$FB$78)))))*S$8))</f>
        <v>0</v>
      </c>
      <c r="T337" s="21">
        <f>(SUMPRODUCT(T$9:T$229,Nutrients!$FB$8:$FB$228)+(IF($A$7=Nutrients!$B$8,Nutrients!$FB$8,Nutrients!$FB$9)*T$7)+(((IF($A$8=Nutrients!$B$79,Nutrients!$FB$79,(IF($A$8=Nutrients!$B$77,Nutrients!$FB$77,Nutrients!$FB$78)))))*T$8))</f>
        <v>0</v>
      </c>
      <c r="U337" s="21">
        <f>(SUMPRODUCT(U$9:U$229,Nutrients!$FB$8:$FB$228)+(IF($A$7=Nutrients!$B$8,Nutrients!$FB$8,Nutrients!$FB$9)*U$7)+(((IF($A$8=Nutrients!$B$79,Nutrients!$FB$79,(IF($A$8=Nutrients!$B$77,Nutrients!$FB$77,Nutrients!$FB$78)))))*U$8))</f>
        <v>0</v>
      </c>
      <c r="W337" s="21">
        <f>(SUMPRODUCT(W$9:W$229,Nutrients!$FB$8:$FB$228)+(IF($A$7=Nutrients!$B$8,Nutrients!$FB$8,Nutrients!$FB$9)*W$7)+(((IF($A$8=Nutrients!$B$79,Nutrients!$FB$79,(IF($A$8=Nutrients!$B$77,Nutrients!$FB$77,Nutrients!$FB$78)))))*W$8))</f>
        <v>0</v>
      </c>
      <c r="X337" s="21">
        <f>(SUMPRODUCT(X$9:X$229,Nutrients!$FB$8:$FB$228)+(IF($A$7=Nutrients!$B$8,Nutrients!$FB$8,Nutrients!$FB$9)*X$7)+(((IF($A$8=Nutrients!$B$79,Nutrients!$FB$79,(IF($A$8=Nutrients!$B$77,Nutrients!$FB$77,Nutrients!$FB$78)))))*X$8))</f>
        <v>0</v>
      </c>
      <c r="Y337" s="21">
        <f>(SUMPRODUCT(Y$9:Y$229,Nutrients!$FB$8:$FB$228)+(IF($A$7=Nutrients!$B$8,Nutrients!$FB$8,Nutrients!$FB$9)*Y$7)+(((IF($A$8=Nutrients!$B$79,Nutrients!$FB$79,(IF($A$8=Nutrients!$B$77,Nutrients!$FB$77,Nutrients!$FB$78)))))*Y$8))</f>
        <v>0</v>
      </c>
      <c r="Z337" s="21">
        <f>(SUMPRODUCT(Z$9:Z$229,Nutrients!$FB$8:$FB$228)+(IF($A$7=Nutrients!$B$8,Nutrients!$FB$8,Nutrients!$FB$9)*Z$7)+(((IF($A$8=Nutrients!$B$79,Nutrients!$FB$79,(IF($A$8=Nutrients!$B$77,Nutrients!$FB$77,Nutrients!$FB$78)))))*Z$8))</f>
        <v>0</v>
      </c>
      <c r="AA337" s="21">
        <f>(SUMPRODUCT(AA$9:AA$229,Nutrients!$FB$8:$FB$228)+(IF($A$7=Nutrients!$B$8,Nutrients!$FB$8,Nutrients!$FB$9)*AA$7)+(((IF($A$8=Nutrients!$B$79,Nutrients!$FB$79,(IF($A$8=Nutrients!$B$77,Nutrients!$FB$77,Nutrients!$FB$78)))))*AA$8))</f>
        <v>0</v>
      </c>
      <c r="AB337" s="21">
        <f>(SUMPRODUCT(AB$9:AB$229,Nutrients!$FB$8:$FB$228)+(IF($A$7=Nutrients!$B$8,Nutrients!$FB$8,Nutrients!$FB$9)*AB$7)+(((IF($A$8=Nutrients!$B$79,Nutrients!$FB$79,(IF($A$8=Nutrients!$B$77,Nutrients!$FB$77,Nutrients!$FB$78)))))*AB$8))</f>
        <v>0</v>
      </c>
      <c r="AD337" s="21">
        <f>(SUMPRODUCT(AD$9:AD$229,Nutrients!$FB$8:$FB$228)+(IF($A$7=Nutrients!$B$8,Nutrients!$FB$8,Nutrients!$FB$9)*AD$7)+(((IF($A$8=Nutrients!$B$79,Nutrients!$FB$79,(IF($A$8=Nutrients!$B$77,Nutrients!$FB$77,Nutrients!$FB$78)))))*AD$8))</f>
        <v>0</v>
      </c>
      <c r="AE337" s="21">
        <f>(SUMPRODUCT(AE$9:AE$229,Nutrients!$FB$8:$FB$228)+(IF($A$7=Nutrients!$B$8,Nutrients!$FB$8,Nutrients!$FB$9)*AE$7)+(((IF($A$8=Nutrients!$B$79,Nutrients!$FB$79,(IF($A$8=Nutrients!$B$77,Nutrients!$FB$77,Nutrients!$FB$78)))))*AE$8))</f>
        <v>0</v>
      </c>
      <c r="AF337" s="21">
        <f>(SUMPRODUCT(AF$9:AF$229,Nutrients!$FB$8:$FB$228)+(IF($A$7=Nutrients!$B$8,Nutrients!$FB$8,Nutrients!$FB$9)*AF$7)+(((IF($A$8=Nutrients!$B$79,Nutrients!$FB$79,(IF($A$8=Nutrients!$B$77,Nutrients!$FB$77,Nutrients!$FB$78)))))*AF$8))</f>
        <v>0</v>
      </c>
      <c r="AG337" s="21">
        <f>(SUMPRODUCT(AG$9:AG$229,Nutrients!$FB$8:$FB$228)+(IF($A$7=Nutrients!$B$8,Nutrients!$FB$8,Nutrients!$FB$9)*AG$7)+(((IF($A$8=Nutrients!$B$79,Nutrients!$FB$79,(IF($A$8=Nutrients!$B$77,Nutrients!$FB$77,Nutrients!$FB$78)))))*AG$8))</f>
        <v>0</v>
      </c>
      <c r="AH337" s="21">
        <f>(SUMPRODUCT(AH$9:AH$229,Nutrients!$FB$8:$FB$228)+(IF($A$7=Nutrients!$B$8,Nutrients!$FB$8,Nutrients!$FB$9)*AH$7)+(((IF($A$8=Nutrients!$B$79,Nutrients!$FB$79,(IF($A$8=Nutrients!$B$77,Nutrients!$FB$77,Nutrients!$FB$78)))))*AH$8))</f>
        <v>0</v>
      </c>
      <c r="AI337" s="21">
        <f>(SUMPRODUCT(AI$9:AI$229,Nutrients!$FB$8:$FB$228)+(IF($A$7=Nutrients!$B$8,Nutrients!$FB$8,Nutrients!$FB$9)*AI$7)+(((IF($A$8=Nutrients!$B$79,Nutrients!$FB$79,(IF($A$8=Nutrients!$B$77,Nutrients!$FB$77,Nutrients!$FB$78)))))*AI$8))</f>
        <v>0</v>
      </c>
      <c r="AK337" s="21">
        <f>(SUMPRODUCT(AK$9:AK$229,Nutrients!$FB$8:$FB$228)+(IF($A$7=Nutrients!$B$8,Nutrients!$FB$8,Nutrients!$FB$9)*AK$7)+(((IF($A$8=Nutrients!$B$79,Nutrients!$FB$79,(IF($A$8=Nutrients!$B$77,Nutrients!$FB$77,Nutrients!$FB$78)))))*AK$8))</f>
        <v>0</v>
      </c>
      <c r="AL337" s="21">
        <f>(SUMPRODUCT(AL$9:AL$229,Nutrients!$FB$8:$FB$228)+(IF($A$7=Nutrients!$B$8,Nutrients!$FB$8,Nutrients!$FB$9)*AL$7)+(((IF($A$8=Nutrients!$B$79,Nutrients!$FB$79,(IF($A$8=Nutrients!$B$77,Nutrients!$FB$77,Nutrients!$FB$78)))))*AL$8))</f>
        <v>0</v>
      </c>
      <c r="AM337" s="21">
        <f>(SUMPRODUCT(AM$9:AM$229,Nutrients!$FB$8:$FB$228)+(IF($A$7=Nutrients!$B$8,Nutrients!$FB$8,Nutrients!$FB$9)*AM$7)+(((IF($A$8=Nutrients!$B$79,Nutrients!$FB$79,(IF($A$8=Nutrients!$B$77,Nutrients!$FB$77,Nutrients!$FB$78)))))*AM$8))</f>
        <v>0</v>
      </c>
      <c r="AN337" s="21">
        <f>(SUMPRODUCT(AN$9:AN$229,Nutrients!$FB$8:$FB$228)+(IF($A$7=Nutrients!$B$8,Nutrients!$FB$8,Nutrients!$FB$9)*AN$7)+(((IF($A$8=Nutrients!$B$79,Nutrients!$FB$79,(IF($A$8=Nutrients!$B$77,Nutrients!$FB$77,Nutrients!$FB$78)))))*AN$8))</f>
        <v>0</v>
      </c>
      <c r="AO337" s="21">
        <f>(SUMPRODUCT(AO$9:AO$229,Nutrients!$FB$8:$FB$228)+(IF($A$7=Nutrients!$B$8,Nutrients!$FB$8,Nutrients!$FB$9)*AO$7)+(((IF($A$8=Nutrients!$B$79,Nutrients!$FB$79,(IF($A$8=Nutrients!$B$77,Nutrients!$FB$77,Nutrients!$FB$78)))))*AO$8))</f>
        <v>0</v>
      </c>
      <c r="AP337" s="21">
        <f>(SUMPRODUCT(AP$9:AP$229,Nutrients!$FB$8:$FB$228)+(IF($A$7=Nutrients!$B$8,Nutrients!$FB$8,Nutrients!$FB$9)*AP$7)+(((IF($A$8=Nutrients!$B$79,Nutrients!$FB$79,(IF($A$8=Nutrients!$B$77,Nutrients!$FB$77,Nutrients!$FB$78)))))*AP$8))</f>
        <v>0</v>
      </c>
      <c r="AR337" s="21">
        <f>(SUMPRODUCT(AR$9:AR$229,Nutrients!$FB$8:$FB$228)+(IF($A$7=Nutrients!$B$8,Nutrients!$FB$8,Nutrients!$FB$9)*AR$7)+(((IF($A$8=Nutrients!$B$79,Nutrients!$FB$79,(IF($A$8=Nutrients!$B$77,Nutrients!$FB$77,Nutrients!$FB$78)))))*AR$8))</f>
        <v>0</v>
      </c>
      <c r="AS337" s="21">
        <f>(SUMPRODUCT(AS$9:AS$229,Nutrients!$FB$8:$FB$228)+(IF($A$7=Nutrients!$B$8,Nutrients!$FB$8,Nutrients!$FB$9)*AS$7)+(((IF($A$8=Nutrients!$B$79,Nutrients!$FB$79,(IF($A$8=Nutrients!$B$77,Nutrients!$FB$77,Nutrients!$FB$78)))))*AS$8))</f>
        <v>0</v>
      </c>
      <c r="AT337" s="21">
        <f>(SUMPRODUCT(AT$9:AT$229,Nutrients!$FB$8:$FB$228)+(IF($A$7=Nutrients!$B$8,Nutrients!$FB$8,Nutrients!$FB$9)*AT$7)+(((IF($A$8=Nutrients!$B$79,Nutrients!$FB$79,(IF($A$8=Nutrients!$B$77,Nutrients!$FB$77,Nutrients!$FB$78)))))*AT$8))</f>
        <v>0</v>
      </c>
      <c r="AU337" s="21">
        <f>(SUMPRODUCT(AU$9:AU$229,Nutrients!$FB$8:$FB$228)+(IF($A$7=Nutrients!$B$8,Nutrients!$FB$8,Nutrients!$FB$9)*AU$7)+(((IF($A$8=Nutrients!$B$79,Nutrients!$FB$79,(IF($A$8=Nutrients!$B$77,Nutrients!$FB$77,Nutrients!$FB$78)))))*AU$8))</f>
        <v>0</v>
      </c>
      <c r="AV337" s="21">
        <f>(SUMPRODUCT(AV$9:AV$229,Nutrients!$FB$8:$FB$228)+(IF($A$7=Nutrients!$B$8,Nutrients!$FB$8,Nutrients!$FB$9)*AV$7)+(((IF($A$8=Nutrients!$B$79,Nutrients!$FB$79,(IF($A$8=Nutrients!$B$77,Nutrients!$FB$77,Nutrients!$FB$78)))))*AV$8))</f>
        <v>0</v>
      </c>
      <c r="AW337" s="21">
        <f>(SUMPRODUCT(AW$9:AW$229,Nutrients!$FB$8:$FB$228)+(IF($A$7=Nutrients!$B$8,Nutrients!$FB$8,Nutrients!$FB$9)*AW$7)+(((IF($A$8=Nutrients!$B$79,Nutrients!$FB$79,(IF($A$8=Nutrients!$B$77,Nutrients!$FB$77,Nutrients!$FB$78)))))*AW$8))</f>
        <v>0</v>
      </c>
    </row>
    <row r="338" spans="1:52" x14ac:dyDescent="0.25">
      <c r="A338" s="34" t="s">
        <v>131</v>
      </c>
      <c r="B338" s="21">
        <f>(SUMPRODUCT(B$9:B$229,Nutrients!$FC$8:$FC$228)+(IF($A$7=Nutrients!$B$8,Nutrients!$FC$8,Nutrients!$FC$9)*B$7)+(((IF($A$8=Nutrients!$B$79,Nutrients!$FC$79,(IF($A$8=Nutrients!$B$77,Nutrients!$FC$77,Nutrients!$FC$78)))))*B$8))</f>
        <v>0</v>
      </c>
      <c r="C338" s="21">
        <f>(SUMPRODUCT(C$9:C$229,Nutrients!$FC$8:$FC$228)+(IF($A$7=Nutrients!$B$8,Nutrients!$FC$8,Nutrients!$FC$9)*C$7)+(((IF($A$8=Nutrients!$B$79,Nutrients!$FC$79,(IF($A$8=Nutrients!$B$77,Nutrients!$FC$77,Nutrients!$FC$78)))))*C$8))</f>
        <v>0</v>
      </c>
      <c r="D338" s="21">
        <f>(SUMPRODUCT(D$9:D$229,Nutrients!$FC$8:$FC$228)+(IF($A$7=Nutrients!$B$8,Nutrients!$FC$8,Nutrients!$FC$9)*D$7)+(((IF($A$8=Nutrients!$B$79,Nutrients!$FC$79,(IF($A$8=Nutrients!$B$77,Nutrients!$FC$77,Nutrients!$FC$78)))))*D$8))</f>
        <v>0</v>
      </c>
      <c r="E338" s="21">
        <f>(SUMPRODUCT(E$9:E$229,Nutrients!$FC$8:$FC$228)+(IF($A$7=Nutrients!$B$8,Nutrients!$FC$8,Nutrients!$FC$9)*E$7)+(((IF($A$8=Nutrients!$B$79,Nutrients!$FC$79,(IF($A$8=Nutrients!$B$77,Nutrients!$FC$77,Nutrients!$FC$78)))))*E$8))</f>
        <v>0</v>
      </c>
      <c r="F338" s="21">
        <f>(SUMPRODUCT(F$9:F$229,Nutrients!$FC$8:$FC$228)+(IF($A$7=Nutrients!$B$8,Nutrients!$FC$8,Nutrients!$FC$9)*F$7)+(((IF($A$8=Nutrients!$B$79,Nutrients!$FC$79,(IF($A$8=Nutrients!$B$77,Nutrients!$FC$77,Nutrients!$FC$78)))))*F$8))</f>
        <v>0</v>
      </c>
      <c r="G338" s="21">
        <f>(SUMPRODUCT(G$9:G$229,Nutrients!$FC$8:$FC$228)+(IF($A$7=Nutrients!$B$8,Nutrients!$FC$8,Nutrients!$FC$9)*G$7)+(((IF($A$8=Nutrients!$B$79,Nutrients!$FC$79,(IF($A$8=Nutrients!$B$77,Nutrients!$FC$77,Nutrients!$FC$78)))))*G$8))</f>
        <v>0</v>
      </c>
      <c r="H338" s="226"/>
      <c r="I338" s="21">
        <f>(SUMPRODUCT(I$9:I$229,Nutrients!$FC$8:$FC$228)+(IF($A$7=Nutrients!$B$8,Nutrients!$FC$8,Nutrients!$FC$9)*I$7)+(((IF($A$8=Nutrients!$B$79,Nutrients!$FC$79,(IF($A$8=Nutrients!$B$77,Nutrients!$FC$77,Nutrients!$FC$78)))))*I$8))</f>
        <v>0</v>
      </c>
      <c r="J338" s="21">
        <f>(SUMPRODUCT(J$9:J$229,Nutrients!$FC$8:$FC$228)+(IF($A$7=Nutrients!$B$8,Nutrients!$FC$8,Nutrients!$FC$9)*J$7)+(((IF($A$8=Nutrients!$B$79,Nutrients!$FC$79,(IF($A$8=Nutrients!$B$77,Nutrients!$FC$77,Nutrients!$FC$78)))))*J$8))</f>
        <v>0</v>
      </c>
      <c r="K338" s="21">
        <f>(SUMPRODUCT(K$9:K$229,Nutrients!$FC$8:$FC$228)+(IF($A$7=Nutrients!$B$8,Nutrients!$FC$8,Nutrients!$FC$9)*K$7)+(((IF($A$8=Nutrients!$B$79,Nutrients!$FC$79,(IF($A$8=Nutrients!$B$77,Nutrients!$FC$77,Nutrients!$FC$78)))))*K$8))</f>
        <v>0</v>
      </c>
      <c r="L338" s="21">
        <f>(SUMPRODUCT(L$9:L$229,Nutrients!$FC$8:$FC$228)+(IF($A$7=Nutrients!$B$8,Nutrients!$FC$8,Nutrients!$FC$9)*L$7)+(((IF($A$8=Nutrients!$B$79,Nutrients!$FC$79,(IF($A$8=Nutrients!$B$77,Nutrients!$FC$77,Nutrients!$FC$78)))))*L$8))</f>
        <v>0</v>
      </c>
      <c r="M338" s="21">
        <f>(SUMPRODUCT(M$9:M$229,Nutrients!$FC$8:$FC$228)+(IF($A$7=Nutrients!$B$8,Nutrients!$FC$8,Nutrients!$FC$9)*M$7)+(((IF($A$8=Nutrients!$B$79,Nutrients!$FC$79,(IF($A$8=Nutrients!$B$77,Nutrients!$FC$77,Nutrients!$FC$78)))))*M$8))</f>
        <v>0</v>
      </c>
      <c r="N338" s="21">
        <f>(SUMPRODUCT(N$9:N$229,Nutrients!$FC$8:$FC$228)+(IF($A$7=Nutrients!$B$8,Nutrients!$FC$8,Nutrients!$FC$9)*N$7)+(((IF($A$8=Nutrients!$B$79,Nutrients!$FC$79,(IF($A$8=Nutrients!$B$77,Nutrients!$FC$77,Nutrients!$FC$78)))))*N$8))</f>
        <v>0</v>
      </c>
      <c r="O338" s="234"/>
      <c r="P338" s="21">
        <f>(SUMPRODUCT(P$9:P$229,Nutrients!$FC$8:$FC$228)+(IF($A$7=Nutrients!$B$8,Nutrients!$FC$8,Nutrients!$FC$9)*P$7)+(((IF($A$8=Nutrients!$B$79,Nutrients!$FC$79,(IF($A$8=Nutrients!$B$77,Nutrients!$FC$77,Nutrients!$FC$78)))))*P$8))</f>
        <v>0</v>
      </c>
      <c r="Q338" s="21">
        <f>(SUMPRODUCT(Q$9:Q$229,Nutrients!$FC$8:$FC$228)+(IF($A$7=Nutrients!$B$8,Nutrients!$FC$8,Nutrients!$FC$9)*Q$7)+(((IF($A$8=Nutrients!$B$79,Nutrients!$FC$79,(IF($A$8=Nutrients!$B$77,Nutrients!$FC$77,Nutrients!$FC$78)))))*Q$8))</f>
        <v>0</v>
      </c>
      <c r="R338" s="21">
        <f>(SUMPRODUCT(R$9:R$229,Nutrients!$FC$8:$FC$228)+(IF($A$7=Nutrients!$B$8,Nutrients!$FC$8,Nutrients!$FC$9)*R$7)+(((IF($A$8=Nutrients!$B$79,Nutrients!$FC$79,(IF($A$8=Nutrients!$B$77,Nutrients!$FC$77,Nutrients!$FC$78)))))*R$8))</f>
        <v>0</v>
      </c>
      <c r="S338" s="21">
        <f>(SUMPRODUCT(S$9:S$229,Nutrients!$FC$8:$FC$228)+(IF($A$7=Nutrients!$B$8,Nutrients!$FC$8,Nutrients!$FC$9)*S$7)+(((IF($A$8=Nutrients!$B$79,Nutrients!$FC$79,(IF($A$8=Nutrients!$B$77,Nutrients!$FC$77,Nutrients!$FC$78)))))*S$8))</f>
        <v>0</v>
      </c>
      <c r="T338" s="21">
        <f>(SUMPRODUCT(T$9:T$229,Nutrients!$FC$8:$FC$228)+(IF($A$7=Nutrients!$B$8,Nutrients!$FC$8,Nutrients!$FC$9)*T$7)+(((IF($A$8=Nutrients!$B$79,Nutrients!$FC$79,(IF($A$8=Nutrients!$B$77,Nutrients!$FC$77,Nutrients!$FC$78)))))*T$8))</f>
        <v>0</v>
      </c>
      <c r="U338" s="21">
        <f>(SUMPRODUCT(U$9:U$229,Nutrients!$FC$8:$FC$228)+(IF($A$7=Nutrients!$B$8,Nutrients!$FC$8,Nutrients!$FC$9)*U$7)+(((IF($A$8=Nutrients!$B$79,Nutrients!$FC$79,(IF($A$8=Nutrients!$B$77,Nutrients!$FC$77,Nutrients!$FC$78)))))*U$8))</f>
        <v>0</v>
      </c>
      <c r="W338" s="21">
        <f>(SUMPRODUCT(W$9:W$229,Nutrients!$FC$8:$FC$228)+(IF($A$7=Nutrients!$B$8,Nutrients!$FC$8,Nutrients!$FC$9)*W$7)+(((IF($A$8=Nutrients!$B$79,Nutrients!$FC$79,(IF($A$8=Nutrients!$B$77,Nutrients!$FC$77,Nutrients!$FC$78)))))*W$8))</f>
        <v>0</v>
      </c>
      <c r="X338" s="21">
        <f>(SUMPRODUCT(X$9:X$229,Nutrients!$FC$8:$FC$228)+(IF($A$7=Nutrients!$B$8,Nutrients!$FC$8,Nutrients!$FC$9)*X$7)+(((IF($A$8=Nutrients!$B$79,Nutrients!$FC$79,(IF($A$8=Nutrients!$B$77,Nutrients!$FC$77,Nutrients!$FC$78)))))*X$8))</f>
        <v>0</v>
      </c>
      <c r="Y338" s="21">
        <f>(SUMPRODUCT(Y$9:Y$229,Nutrients!$FC$8:$FC$228)+(IF($A$7=Nutrients!$B$8,Nutrients!$FC$8,Nutrients!$FC$9)*Y$7)+(((IF($A$8=Nutrients!$B$79,Nutrients!$FC$79,(IF($A$8=Nutrients!$B$77,Nutrients!$FC$77,Nutrients!$FC$78)))))*Y$8))</f>
        <v>0</v>
      </c>
      <c r="Z338" s="21">
        <f>(SUMPRODUCT(Z$9:Z$229,Nutrients!$FC$8:$FC$228)+(IF($A$7=Nutrients!$B$8,Nutrients!$FC$8,Nutrients!$FC$9)*Z$7)+(((IF($A$8=Nutrients!$B$79,Nutrients!$FC$79,(IF($A$8=Nutrients!$B$77,Nutrients!$FC$77,Nutrients!$FC$78)))))*Z$8))</f>
        <v>0</v>
      </c>
      <c r="AA338" s="21">
        <f>(SUMPRODUCT(AA$9:AA$229,Nutrients!$FC$8:$FC$228)+(IF($A$7=Nutrients!$B$8,Nutrients!$FC$8,Nutrients!$FC$9)*AA$7)+(((IF($A$8=Nutrients!$B$79,Nutrients!$FC$79,(IF($A$8=Nutrients!$B$77,Nutrients!$FC$77,Nutrients!$FC$78)))))*AA$8))</f>
        <v>0</v>
      </c>
      <c r="AB338" s="21">
        <f>(SUMPRODUCT(AB$9:AB$229,Nutrients!$FC$8:$FC$228)+(IF($A$7=Nutrients!$B$8,Nutrients!$FC$8,Nutrients!$FC$9)*AB$7)+(((IF($A$8=Nutrients!$B$79,Nutrients!$FC$79,(IF($A$8=Nutrients!$B$77,Nutrients!$FC$77,Nutrients!$FC$78)))))*AB$8))</f>
        <v>0</v>
      </c>
      <c r="AD338" s="21">
        <f>(SUMPRODUCT(AD$9:AD$229,Nutrients!$FC$8:$FC$228)+(IF($A$7=Nutrients!$B$8,Nutrients!$FC$8,Nutrients!$FC$9)*AD$7)+(((IF($A$8=Nutrients!$B$79,Nutrients!$FC$79,(IF($A$8=Nutrients!$B$77,Nutrients!$FC$77,Nutrients!$FC$78)))))*AD$8))</f>
        <v>0</v>
      </c>
      <c r="AE338" s="21">
        <f>(SUMPRODUCT(AE$9:AE$229,Nutrients!$FC$8:$FC$228)+(IF($A$7=Nutrients!$B$8,Nutrients!$FC$8,Nutrients!$FC$9)*AE$7)+(((IF($A$8=Nutrients!$B$79,Nutrients!$FC$79,(IF($A$8=Nutrients!$B$77,Nutrients!$FC$77,Nutrients!$FC$78)))))*AE$8))</f>
        <v>0</v>
      </c>
      <c r="AF338" s="21">
        <f>(SUMPRODUCT(AF$9:AF$229,Nutrients!$FC$8:$FC$228)+(IF($A$7=Nutrients!$B$8,Nutrients!$FC$8,Nutrients!$FC$9)*AF$7)+(((IF($A$8=Nutrients!$B$79,Nutrients!$FC$79,(IF($A$8=Nutrients!$B$77,Nutrients!$FC$77,Nutrients!$FC$78)))))*AF$8))</f>
        <v>0</v>
      </c>
      <c r="AG338" s="21">
        <f>(SUMPRODUCT(AG$9:AG$229,Nutrients!$FC$8:$FC$228)+(IF($A$7=Nutrients!$B$8,Nutrients!$FC$8,Nutrients!$FC$9)*AG$7)+(((IF($A$8=Nutrients!$B$79,Nutrients!$FC$79,(IF($A$8=Nutrients!$B$77,Nutrients!$FC$77,Nutrients!$FC$78)))))*AG$8))</f>
        <v>0</v>
      </c>
      <c r="AH338" s="21">
        <f>(SUMPRODUCT(AH$9:AH$229,Nutrients!$FC$8:$FC$228)+(IF($A$7=Nutrients!$B$8,Nutrients!$FC$8,Nutrients!$FC$9)*AH$7)+(((IF($A$8=Nutrients!$B$79,Nutrients!$FC$79,(IF($A$8=Nutrients!$B$77,Nutrients!$FC$77,Nutrients!$FC$78)))))*AH$8))</f>
        <v>0</v>
      </c>
      <c r="AI338" s="21">
        <f>(SUMPRODUCT(AI$9:AI$229,Nutrients!$FC$8:$FC$228)+(IF($A$7=Nutrients!$B$8,Nutrients!$FC$8,Nutrients!$FC$9)*AI$7)+(((IF($A$8=Nutrients!$B$79,Nutrients!$FC$79,(IF($A$8=Nutrients!$B$77,Nutrients!$FC$77,Nutrients!$FC$78)))))*AI$8))</f>
        <v>0</v>
      </c>
      <c r="AK338" s="21">
        <f>(SUMPRODUCT(AK$9:AK$229,Nutrients!$FC$8:$FC$228)+(IF($A$7=Nutrients!$B$8,Nutrients!$FC$8,Nutrients!$FC$9)*AK$7)+(((IF($A$8=Nutrients!$B$79,Nutrients!$FC$79,(IF($A$8=Nutrients!$B$77,Nutrients!$FC$77,Nutrients!$FC$78)))))*AK$8))</f>
        <v>0</v>
      </c>
      <c r="AL338" s="21">
        <f>(SUMPRODUCT(AL$9:AL$229,Nutrients!$FC$8:$FC$228)+(IF($A$7=Nutrients!$B$8,Nutrients!$FC$8,Nutrients!$FC$9)*AL$7)+(((IF($A$8=Nutrients!$B$79,Nutrients!$FC$79,(IF($A$8=Nutrients!$B$77,Nutrients!$FC$77,Nutrients!$FC$78)))))*AL$8))</f>
        <v>0</v>
      </c>
      <c r="AM338" s="21">
        <f>(SUMPRODUCT(AM$9:AM$229,Nutrients!$FC$8:$FC$228)+(IF($A$7=Nutrients!$B$8,Nutrients!$FC$8,Nutrients!$FC$9)*AM$7)+(((IF($A$8=Nutrients!$B$79,Nutrients!$FC$79,(IF($A$8=Nutrients!$B$77,Nutrients!$FC$77,Nutrients!$FC$78)))))*AM$8))</f>
        <v>0</v>
      </c>
      <c r="AN338" s="21">
        <f>(SUMPRODUCT(AN$9:AN$229,Nutrients!$FC$8:$FC$228)+(IF($A$7=Nutrients!$B$8,Nutrients!$FC$8,Nutrients!$FC$9)*AN$7)+(((IF($A$8=Nutrients!$B$79,Nutrients!$FC$79,(IF($A$8=Nutrients!$B$77,Nutrients!$FC$77,Nutrients!$FC$78)))))*AN$8))</f>
        <v>0</v>
      </c>
      <c r="AO338" s="21">
        <f>(SUMPRODUCT(AO$9:AO$229,Nutrients!$FC$8:$FC$228)+(IF($A$7=Nutrients!$B$8,Nutrients!$FC$8,Nutrients!$FC$9)*AO$7)+(((IF($A$8=Nutrients!$B$79,Nutrients!$FC$79,(IF($A$8=Nutrients!$B$77,Nutrients!$FC$77,Nutrients!$FC$78)))))*AO$8))</f>
        <v>0</v>
      </c>
      <c r="AP338" s="21">
        <f>(SUMPRODUCT(AP$9:AP$229,Nutrients!$FC$8:$FC$228)+(IF($A$7=Nutrients!$B$8,Nutrients!$FC$8,Nutrients!$FC$9)*AP$7)+(((IF($A$8=Nutrients!$B$79,Nutrients!$FC$79,(IF($A$8=Nutrients!$B$77,Nutrients!$FC$77,Nutrients!$FC$78)))))*AP$8))</f>
        <v>0</v>
      </c>
      <c r="AR338" s="21">
        <f>(SUMPRODUCT(AR$9:AR$229,Nutrients!$FC$8:$FC$228)+(IF($A$7=Nutrients!$B$8,Nutrients!$FC$8,Nutrients!$FC$9)*AR$7)+(((IF($A$8=Nutrients!$B$79,Nutrients!$FC$79,(IF($A$8=Nutrients!$B$77,Nutrients!$FC$77,Nutrients!$FC$78)))))*AR$8))</f>
        <v>0</v>
      </c>
      <c r="AS338" s="21">
        <f>(SUMPRODUCT(AS$9:AS$229,Nutrients!$FC$8:$FC$228)+(IF($A$7=Nutrients!$B$8,Nutrients!$FC$8,Nutrients!$FC$9)*AS$7)+(((IF($A$8=Nutrients!$B$79,Nutrients!$FC$79,(IF($A$8=Nutrients!$B$77,Nutrients!$FC$77,Nutrients!$FC$78)))))*AS$8))</f>
        <v>0</v>
      </c>
      <c r="AT338" s="21">
        <f>(SUMPRODUCT(AT$9:AT$229,Nutrients!$FC$8:$FC$228)+(IF($A$7=Nutrients!$B$8,Nutrients!$FC$8,Nutrients!$FC$9)*AT$7)+(((IF($A$8=Nutrients!$B$79,Nutrients!$FC$79,(IF($A$8=Nutrients!$B$77,Nutrients!$FC$77,Nutrients!$FC$78)))))*AT$8))</f>
        <v>0</v>
      </c>
      <c r="AU338" s="21">
        <f>(SUMPRODUCT(AU$9:AU$229,Nutrients!$FC$8:$FC$228)+(IF($A$7=Nutrients!$B$8,Nutrients!$FC$8,Nutrients!$FC$9)*AU$7)+(((IF($A$8=Nutrients!$B$79,Nutrients!$FC$79,(IF($A$8=Nutrients!$B$77,Nutrients!$FC$77,Nutrients!$FC$78)))))*AU$8))</f>
        <v>0</v>
      </c>
      <c r="AV338" s="21">
        <f>(SUMPRODUCT(AV$9:AV$229,Nutrients!$FC$8:$FC$228)+(IF($A$7=Nutrients!$B$8,Nutrients!$FC$8,Nutrients!$FC$9)*AV$7)+(((IF($A$8=Nutrients!$B$79,Nutrients!$FC$79,(IF($A$8=Nutrients!$B$77,Nutrients!$FC$77,Nutrients!$FC$78)))))*AV$8))</f>
        <v>0</v>
      </c>
      <c r="AW338" s="21">
        <f>(SUMPRODUCT(AW$9:AW$229,Nutrients!$FC$8:$FC$228)+(IF($A$7=Nutrients!$B$8,Nutrients!$FC$8,Nutrients!$FC$9)*AW$7)+(((IF($A$8=Nutrients!$B$79,Nutrients!$FC$79,(IF($A$8=Nutrients!$B$77,Nutrients!$FC$77,Nutrients!$FC$78)))))*AW$8))</f>
        <v>0</v>
      </c>
    </row>
    <row r="339" spans="1:52" x14ac:dyDescent="0.25">
      <c r="A339" s="34" t="s">
        <v>132</v>
      </c>
      <c r="B339" s="21">
        <f>(SUMPRODUCT(B$9:B$229,Nutrients!$FD$8:$FD$228)+(IF($A$7=Nutrients!$B$8,Nutrients!$FD$8,Nutrients!$FD$9)*B$7)+(((IF($A$8=Nutrients!$B$79,Nutrients!$FD$79,(IF($A$8=Nutrients!$B$77,Nutrients!$FD$77,Nutrients!$FD$78)))))*B$8))</f>
        <v>0</v>
      </c>
      <c r="C339" s="21">
        <f>(SUMPRODUCT(C$9:C$229,Nutrients!$FD$8:$FD$228)+(IF($A$7=Nutrients!$B$8,Nutrients!$FD$8,Nutrients!$FD$9)*C$7)+(((IF($A$8=Nutrients!$B$79,Nutrients!$FD$79,(IF($A$8=Nutrients!$B$77,Nutrients!$FD$77,Nutrients!$FD$78)))))*C$8))</f>
        <v>0</v>
      </c>
      <c r="D339" s="21">
        <f>(SUMPRODUCT(D$9:D$229,Nutrients!$FD$8:$FD$228)+(IF($A$7=Nutrients!$B$8,Nutrients!$FD$8,Nutrients!$FD$9)*D$7)+(((IF($A$8=Nutrients!$B$79,Nutrients!$FD$79,(IF($A$8=Nutrients!$B$77,Nutrients!$FD$77,Nutrients!$FD$78)))))*D$8))</f>
        <v>0</v>
      </c>
      <c r="E339" s="21">
        <f>(SUMPRODUCT(E$9:E$229,Nutrients!$FD$8:$FD$228)+(IF($A$7=Nutrients!$B$8,Nutrients!$FD$8,Nutrients!$FD$9)*E$7)+(((IF($A$8=Nutrients!$B$79,Nutrients!$FD$79,(IF($A$8=Nutrients!$B$77,Nutrients!$FD$77,Nutrients!$FD$78)))))*E$8))</f>
        <v>0</v>
      </c>
      <c r="F339" s="21">
        <f>(SUMPRODUCT(F$9:F$229,Nutrients!$FD$8:$FD$228)+(IF($A$7=Nutrients!$B$8,Nutrients!$FD$8,Nutrients!$FD$9)*F$7)+(((IF($A$8=Nutrients!$B$79,Nutrients!$FD$79,(IF($A$8=Nutrients!$B$77,Nutrients!$FD$77,Nutrients!$FD$78)))))*F$8))</f>
        <v>0</v>
      </c>
      <c r="G339" s="21">
        <f>(SUMPRODUCT(G$9:G$229,Nutrients!$FD$8:$FD$228)+(IF($A$7=Nutrients!$B$8,Nutrients!$FD$8,Nutrients!$FD$9)*G$7)+(((IF($A$8=Nutrients!$B$79,Nutrients!$FD$79,(IF($A$8=Nutrients!$B$77,Nutrients!$FD$77,Nutrients!$FD$78)))))*G$8))</f>
        <v>0</v>
      </c>
      <c r="H339" s="226"/>
      <c r="I339" s="21">
        <f>(SUMPRODUCT(I$9:I$229,Nutrients!$FD$8:$FD$228)+(IF($A$7=Nutrients!$B$8,Nutrients!$FD$8,Nutrients!$FD$9)*I$7)+(((IF($A$8=Nutrients!$B$79,Nutrients!$FD$79,(IF($A$8=Nutrients!$B$77,Nutrients!$FD$77,Nutrients!$FD$78)))))*I$8))</f>
        <v>0</v>
      </c>
      <c r="J339" s="21">
        <f>(SUMPRODUCT(J$9:J$229,Nutrients!$FD$8:$FD$228)+(IF($A$7=Nutrients!$B$8,Nutrients!$FD$8,Nutrients!$FD$9)*J$7)+(((IF($A$8=Nutrients!$B$79,Nutrients!$FD$79,(IF($A$8=Nutrients!$B$77,Nutrients!$FD$77,Nutrients!$FD$78)))))*J$8))</f>
        <v>0</v>
      </c>
      <c r="K339" s="21">
        <f>(SUMPRODUCT(K$9:K$229,Nutrients!$FD$8:$FD$228)+(IF($A$7=Nutrients!$B$8,Nutrients!$FD$8,Nutrients!$FD$9)*K$7)+(((IF($A$8=Nutrients!$B$79,Nutrients!$FD$79,(IF($A$8=Nutrients!$B$77,Nutrients!$FD$77,Nutrients!$FD$78)))))*K$8))</f>
        <v>0</v>
      </c>
      <c r="L339" s="21">
        <f>(SUMPRODUCT(L$9:L$229,Nutrients!$FD$8:$FD$228)+(IF($A$7=Nutrients!$B$8,Nutrients!$FD$8,Nutrients!$FD$9)*L$7)+(((IF($A$8=Nutrients!$B$79,Nutrients!$FD$79,(IF($A$8=Nutrients!$B$77,Nutrients!$FD$77,Nutrients!$FD$78)))))*L$8))</f>
        <v>0</v>
      </c>
      <c r="M339" s="21">
        <f>(SUMPRODUCT(M$9:M$229,Nutrients!$FD$8:$FD$228)+(IF($A$7=Nutrients!$B$8,Nutrients!$FD$8,Nutrients!$FD$9)*M$7)+(((IF($A$8=Nutrients!$B$79,Nutrients!$FD$79,(IF($A$8=Nutrients!$B$77,Nutrients!$FD$77,Nutrients!$FD$78)))))*M$8))</f>
        <v>0</v>
      </c>
      <c r="N339" s="21">
        <f>(SUMPRODUCT(N$9:N$229,Nutrients!$FD$8:$FD$228)+(IF($A$7=Nutrients!$B$8,Nutrients!$FD$8,Nutrients!$FD$9)*N$7)+(((IF($A$8=Nutrients!$B$79,Nutrients!$FD$79,(IF($A$8=Nutrients!$B$77,Nutrients!$FD$77,Nutrients!$FD$78)))))*N$8))</f>
        <v>0</v>
      </c>
      <c r="O339" s="234"/>
      <c r="P339" s="21">
        <f>(SUMPRODUCT(P$9:P$229,Nutrients!$FD$8:$FD$228)+(IF($A$7=Nutrients!$B$8,Nutrients!$FD$8,Nutrients!$FD$9)*P$7)+(((IF($A$8=Nutrients!$B$79,Nutrients!$FD$79,(IF($A$8=Nutrients!$B$77,Nutrients!$FD$77,Nutrients!$FD$78)))))*P$8))</f>
        <v>0</v>
      </c>
      <c r="Q339" s="21">
        <f>(SUMPRODUCT(Q$9:Q$229,Nutrients!$FD$8:$FD$228)+(IF($A$7=Nutrients!$B$8,Nutrients!$FD$8,Nutrients!$FD$9)*Q$7)+(((IF($A$8=Nutrients!$B$79,Nutrients!$FD$79,(IF($A$8=Nutrients!$B$77,Nutrients!$FD$77,Nutrients!$FD$78)))))*Q$8))</f>
        <v>0</v>
      </c>
      <c r="R339" s="21">
        <f>(SUMPRODUCT(R$9:R$229,Nutrients!$FD$8:$FD$228)+(IF($A$7=Nutrients!$B$8,Nutrients!$FD$8,Nutrients!$FD$9)*R$7)+(((IF($A$8=Nutrients!$B$79,Nutrients!$FD$79,(IF($A$8=Nutrients!$B$77,Nutrients!$FD$77,Nutrients!$FD$78)))))*R$8))</f>
        <v>0</v>
      </c>
      <c r="S339" s="21">
        <f>(SUMPRODUCT(S$9:S$229,Nutrients!$FD$8:$FD$228)+(IF($A$7=Nutrients!$B$8,Nutrients!$FD$8,Nutrients!$FD$9)*S$7)+(((IF($A$8=Nutrients!$B$79,Nutrients!$FD$79,(IF($A$8=Nutrients!$B$77,Nutrients!$FD$77,Nutrients!$FD$78)))))*S$8))</f>
        <v>0</v>
      </c>
      <c r="T339" s="21">
        <f>(SUMPRODUCT(T$9:T$229,Nutrients!$FD$8:$FD$228)+(IF($A$7=Nutrients!$B$8,Nutrients!$FD$8,Nutrients!$FD$9)*T$7)+(((IF($A$8=Nutrients!$B$79,Nutrients!$FD$79,(IF($A$8=Nutrients!$B$77,Nutrients!$FD$77,Nutrients!$FD$78)))))*T$8))</f>
        <v>0</v>
      </c>
      <c r="U339" s="21">
        <f>(SUMPRODUCT(U$9:U$229,Nutrients!$FD$8:$FD$228)+(IF($A$7=Nutrients!$B$8,Nutrients!$FD$8,Nutrients!$FD$9)*U$7)+(((IF($A$8=Nutrients!$B$79,Nutrients!$FD$79,(IF($A$8=Nutrients!$B$77,Nutrients!$FD$77,Nutrients!$FD$78)))))*U$8))</f>
        <v>0</v>
      </c>
      <c r="W339" s="21">
        <f>(SUMPRODUCT(W$9:W$229,Nutrients!$FD$8:$FD$228)+(IF($A$7=Nutrients!$B$8,Nutrients!$FD$8,Nutrients!$FD$9)*W$7)+(((IF($A$8=Nutrients!$B$79,Nutrients!$FD$79,(IF($A$8=Nutrients!$B$77,Nutrients!$FD$77,Nutrients!$FD$78)))))*W$8))</f>
        <v>0</v>
      </c>
      <c r="X339" s="21">
        <f>(SUMPRODUCT(X$9:X$229,Nutrients!$FD$8:$FD$228)+(IF($A$7=Nutrients!$B$8,Nutrients!$FD$8,Nutrients!$FD$9)*X$7)+(((IF($A$8=Nutrients!$B$79,Nutrients!$FD$79,(IF($A$8=Nutrients!$B$77,Nutrients!$FD$77,Nutrients!$FD$78)))))*X$8))</f>
        <v>0</v>
      </c>
      <c r="Y339" s="21">
        <f>(SUMPRODUCT(Y$9:Y$229,Nutrients!$FD$8:$FD$228)+(IF($A$7=Nutrients!$B$8,Nutrients!$FD$8,Nutrients!$FD$9)*Y$7)+(((IF($A$8=Nutrients!$B$79,Nutrients!$FD$79,(IF($A$8=Nutrients!$B$77,Nutrients!$FD$77,Nutrients!$FD$78)))))*Y$8))</f>
        <v>0</v>
      </c>
      <c r="Z339" s="21">
        <f>(SUMPRODUCT(Z$9:Z$229,Nutrients!$FD$8:$FD$228)+(IF($A$7=Nutrients!$B$8,Nutrients!$FD$8,Nutrients!$FD$9)*Z$7)+(((IF($A$8=Nutrients!$B$79,Nutrients!$FD$79,(IF($A$8=Nutrients!$B$77,Nutrients!$FD$77,Nutrients!$FD$78)))))*Z$8))</f>
        <v>0</v>
      </c>
      <c r="AA339" s="21">
        <f>(SUMPRODUCT(AA$9:AA$229,Nutrients!$FD$8:$FD$228)+(IF($A$7=Nutrients!$B$8,Nutrients!$FD$8,Nutrients!$FD$9)*AA$7)+(((IF($A$8=Nutrients!$B$79,Nutrients!$FD$79,(IF($A$8=Nutrients!$B$77,Nutrients!$FD$77,Nutrients!$FD$78)))))*AA$8))</f>
        <v>0</v>
      </c>
      <c r="AB339" s="21">
        <f>(SUMPRODUCT(AB$9:AB$229,Nutrients!$FD$8:$FD$228)+(IF($A$7=Nutrients!$B$8,Nutrients!$FD$8,Nutrients!$FD$9)*AB$7)+(((IF($A$8=Nutrients!$B$79,Nutrients!$FD$79,(IF($A$8=Nutrients!$B$77,Nutrients!$FD$77,Nutrients!$FD$78)))))*AB$8))</f>
        <v>0</v>
      </c>
      <c r="AD339" s="21">
        <f>(SUMPRODUCT(AD$9:AD$229,Nutrients!$FD$8:$FD$228)+(IF($A$7=Nutrients!$B$8,Nutrients!$FD$8,Nutrients!$FD$9)*AD$7)+(((IF($A$8=Nutrients!$B$79,Nutrients!$FD$79,(IF($A$8=Nutrients!$B$77,Nutrients!$FD$77,Nutrients!$FD$78)))))*AD$8))</f>
        <v>0</v>
      </c>
      <c r="AE339" s="21">
        <f>(SUMPRODUCT(AE$9:AE$229,Nutrients!$FD$8:$FD$228)+(IF($A$7=Nutrients!$B$8,Nutrients!$FD$8,Nutrients!$FD$9)*AE$7)+(((IF($A$8=Nutrients!$B$79,Nutrients!$FD$79,(IF($A$8=Nutrients!$B$77,Nutrients!$FD$77,Nutrients!$FD$78)))))*AE$8))</f>
        <v>0</v>
      </c>
      <c r="AF339" s="21">
        <f>(SUMPRODUCT(AF$9:AF$229,Nutrients!$FD$8:$FD$228)+(IF($A$7=Nutrients!$B$8,Nutrients!$FD$8,Nutrients!$FD$9)*AF$7)+(((IF($A$8=Nutrients!$B$79,Nutrients!$FD$79,(IF($A$8=Nutrients!$B$77,Nutrients!$FD$77,Nutrients!$FD$78)))))*AF$8))</f>
        <v>0</v>
      </c>
      <c r="AG339" s="21">
        <f>(SUMPRODUCT(AG$9:AG$229,Nutrients!$FD$8:$FD$228)+(IF($A$7=Nutrients!$B$8,Nutrients!$FD$8,Nutrients!$FD$9)*AG$7)+(((IF($A$8=Nutrients!$B$79,Nutrients!$FD$79,(IF($A$8=Nutrients!$B$77,Nutrients!$FD$77,Nutrients!$FD$78)))))*AG$8))</f>
        <v>0</v>
      </c>
      <c r="AH339" s="21">
        <f>(SUMPRODUCT(AH$9:AH$229,Nutrients!$FD$8:$FD$228)+(IF($A$7=Nutrients!$B$8,Nutrients!$FD$8,Nutrients!$FD$9)*AH$7)+(((IF($A$8=Nutrients!$B$79,Nutrients!$FD$79,(IF($A$8=Nutrients!$B$77,Nutrients!$FD$77,Nutrients!$FD$78)))))*AH$8))</f>
        <v>0</v>
      </c>
      <c r="AI339" s="21">
        <f>(SUMPRODUCT(AI$9:AI$229,Nutrients!$FD$8:$FD$228)+(IF($A$7=Nutrients!$B$8,Nutrients!$FD$8,Nutrients!$FD$9)*AI$7)+(((IF($A$8=Nutrients!$B$79,Nutrients!$FD$79,(IF($A$8=Nutrients!$B$77,Nutrients!$FD$77,Nutrients!$FD$78)))))*AI$8))</f>
        <v>0</v>
      </c>
      <c r="AK339" s="21">
        <f>(SUMPRODUCT(AK$9:AK$229,Nutrients!$FD$8:$FD$228)+(IF($A$7=Nutrients!$B$8,Nutrients!$FD$8,Nutrients!$FD$9)*AK$7)+(((IF($A$8=Nutrients!$B$79,Nutrients!$FD$79,(IF($A$8=Nutrients!$B$77,Nutrients!$FD$77,Nutrients!$FD$78)))))*AK$8))</f>
        <v>0</v>
      </c>
      <c r="AL339" s="21">
        <f>(SUMPRODUCT(AL$9:AL$229,Nutrients!$FD$8:$FD$228)+(IF($A$7=Nutrients!$B$8,Nutrients!$FD$8,Nutrients!$FD$9)*AL$7)+(((IF($A$8=Nutrients!$B$79,Nutrients!$FD$79,(IF($A$8=Nutrients!$B$77,Nutrients!$FD$77,Nutrients!$FD$78)))))*AL$8))</f>
        <v>0</v>
      </c>
      <c r="AM339" s="21">
        <f>(SUMPRODUCT(AM$9:AM$229,Nutrients!$FD$8:$FD$228)+(IF($A$7=Nutrients!$B$8,Nutrients!$FD$8,Nutrients!$FD$9)*AM$7)+(((IF($A$8=Nutrients!$B$79,Nutrients!$FD$79,(IF($A$8=Nutrients!$B$77,Nutrients!$FD$77,Nutrients!$FD$78)))))*AM$8))</f>
        <v>0</v>
      </c>
      <c r="AN339" s="21">
        <f>(SUMPRODUCT(AN$9:AN$229,Nutrients!$FD$8:$FD$228)+(IF($A$7=Nutrients!$B$8,Nutrients!$FD$8,Nutrients!$FD$9)*AN$7)+(((IF($A$8=Nutrients!$B$79,Nutrients!$FD$79,(IF($A$8=Nutrients!$B$77,Nutrients!$FD$77,Nutrients!$FD$78)))))*AN$8))</f>
        <v>0</v>
      </c>
      <c r="AO339" s="21">
        <f>(SUMPRODUCT(AO$9:AO$229,Nutrients!$FD$8:$FD$228)+(IF($A$7=Nutrients!$B$8,Nutrients!$FD$8,Nutrients!$FD$9)*AO$7)+(((IF($A$8=Nutrients!$B$79,Nutrients!$FD$79,(IF($A$8=Nutrients!$B$77,Nutrients!$FD$77,Nutrients!$FD$78)))))*AO$8))</f>
        <v>0</v>
      </c>
      <c r="AP339" s="21">
        <f>(SUMPRODUCT(AP$9:AP$229,Nutrients!$FD$8:$FD$228)+(IF($A$7=Nutrients!$B$8,Nutrients!$FD$8,Nutrients!$FD$9)*AP$7)+(((IF($A$8=Nutrients!$B$79,Nutrients!$FD$79,(IF($A$8=Nutrients!$B$77,Nutrients!$FD$77,Nutrients!$FD$78)))))*AP$8))</f>
        <v>0</v>
      </c>
      <c r="AR339" s="21">
        <f>(SUMPRODUCT(AR$9:AR$229,Nutrients!$FD$8:$FD$228)+(IF($A$7=Nutrients!$B$8,Nutrients!$FD$8,Nutrients!$FD$9)*AR$7)+(((IF($A$8=Nutrients!$B$79,Nutrients!$FD$79,(IF($A$8=Nutrients!$B$77,Nutrients!$FD$77,Nutrients!$FD$78)))))*AR$8))</f>
        <v>0</v>
      </c>
      <c r="AS339" s="21">
        <f>(SUMPRODUCT(AS$9:AS$229,Nutrients!$FD$8:$FD$228)+(IF($A$7=Nutrients!$B$8,Nutrients!$FD$8,Nutrients!$FD$9)*AS$7)+(((IF($A$8=Nutrients!$B$79,Nutrients!$FD$79,(IF($A$8=Nutrients!$B$77,Nutrients!$FD$77,Nutrients!$FD$78)))))*AS$8))</f>
        <v>0</v>
      </c>
      <c r="AT339" s="21">
        <f>(SUMPRODUCT(AT$9:AT$229,Nutrients!$FD$8:$FD$228)+(IF($A$7=Nutrients!$B$8,Nutrients!$FD$8,Nutrients!$FD$9)*AT$7)+(((IF($A$8=Nutrients!$B$79,Nutrients!$FD$79,(IF($A$8=Nutrients!$B$77,Nutrients!$FD$77,Nutrients!$FD$78)))))*AT$8))</f>
        <v>0</v>
      </c>
      <c r="AU339" s="21">
        <f>(SUMPRODUCT(AU$9:AU$229,Nutrients!$FD$8:$FD$228)+(IF($A$7=Nutrients!$B$8,Nutrients!$FD$8,Nutrients!$FD$9)*AU$7)+(((IF($A$8=Nutrients!$B$79,Nutrients!$FD$79,(IF($A$8=Nutrients!$B$77,Nutrients!$FD$77,Nutrients!$FD$78)))))*AU$8))</f>
        <v>0</v>
      </c>
      <c r="AV339" s="21">
        <f>(SUMPRODUCT(AV$9:AV$229,Nutrients!$FD$8:$FD$228)+(IF($A$7=Nutrients!$B$8,Nutrients!$FD$8,Nutrients!$FD$9)*AV$7)+(((IF($A$8=Nutrients!$B$79,Nutrients!$FD$79,(IF($A$8=Nutrients!$B$77,Nutrients!$FD$77,Nutrients!$FD$78)))))*AV$8))</f>
        <v>0</v>
      </c>
      <c r="AW339" s="21">
        <f>(SUMPRODUCT(AW$9:AW$229,Nutrients!$FD$8:$FD$228)+(IF($A$7=Nutrients!$B$8,Nutrients!$FD$8,Nutrients!$FD$9)*AW$7)+(((IF($A$8=Nutrients!$B$79,Nutrients!$FD$79,(IF($A$8=Nutrients!$B$77,Nutrients!$FD$77,Nutrients!$FD$78)))))*AW$8))</f>
        <v>0</v>
      </c>
    </row>
    <row r="340" spans="1:52" x14ac:dyDescent="0.25">
      <c r="A340" s="34" t="s">
        <v>133</v>
      </c>
      <c r="B340" s="21">
        <f>(SUMPRODUCT(B$9:B$229,Nutrients!$FE$8:$FE$228)+(IF($A$7=Nutrients!$B$8,Nutrients!$FE$8,Nutrients!$FE$9)*B$7)+(((IF($A$8=Nutrients!$B$79,Nutrients!$FE$79,(IF($A$8=Nutrients!$B$77,Nutrients!$FE$77,Nutrients!$FE$78)))))*B$8))</f>
        <v>0</v>
      </c>
      <c r="C340" s="21">
        <f>(SUMPRODUCT(C$9:C$229,Nutrients!$FE$8:$FE$228)+(IF($A$7=Nutrients!$B$8,Nutrients!$FE$8,Nutrients!$FE$9)*C$7)+(((IF($A$8=Nutrients!$B$79,Nutrients!$FE$79,(IF($A$8=Nutrients!$B$77,Nutrients!$FE$77,Nutrients!$FE$78)))))*C$8))</f>
        <v>0</v>
      </c>
      <c r="D340" s="21">
        <f>(SUMPRODUCT(D$9:D$229,Nutrients!$FE$8:$FE$228)+(IF($A$7=Nutrients!$B$8,Nutrients!$FE$8,Nutrients!$FE$9)*D$7)+(((IF($A$8=Nutrients!$B$79,Nutrients!$FE$79,(IF($A$8=Nutrients!$B$77,Nutrients!$FE$77,Nutrients!$FE$78)))))*D$8))</f>
        <v>0</v>
      </c>
      <c r="E340" s="21">
        <f>(SUMPRODUCT(E$9:E$229,Nutrients!$FE$8:$FE$228)+(IF($A$7=Nutrients!$B$8,Nutrients!$FE$8,Nutrients!$FE$9)*E$7)+(((IF($A$8=Nutrients!$B$79,Nutrients!$FE$79,(IF($A$8=Nutrients!$B$77,Nutrients!$FE$77,Nutrients!$FE$78)))))*E$8))</f>
        <v>0</v>
      </c>
      <c r="F340" s="21">
        <f>(SUMPRODUCT(F$9:F$229,Nutrients!$FE$8:$FE$228)+(IF($A$7=Nutrients!$B$8,Nutrients!$FE$8,Nutrients!$FE$9)*F$7)+(((IF($A$8=Nutrients!$B$79,Nutrients!$FE$79,(IF($A$8=Nutrients!$B$77,Nutrients!$FE$77,Nutrients!$FE$78)))))*F$8))</f>
        <v>0</v>
      </c>
      <c r="G340" s="21">
        <f>(SUMPRODUCT(G$9:G$229,Nutrients!$FE$8:$FE$228)+(IF($A$7=Nutrients!$B$8,Nutrients!$FE$8,Nutrients!$FE$9)*G$7)+(((IF($A$8=Nutrients!$B$79,Nutrients!$FE$79,(IF($A$8=Nutrients!$B$77,Nutrients!$FE$77,Nutrients!$FE$78)))))*G$8))</f>
        <v>0</v>
      </c>
      <c r="H340" s="226"/>
      <c r="I340" s="21">
        <f>(SUMPRODUCT(I$9:I$229,Nutrients!$FE$8:$FE$228)+(IF($A$7=Nutrients!$B$8,Nutrients!$FE$8,Nutrients!$FE$9)*I$7)+(((IF($A$8=Nutrients!$B$79,Nutrients!$FE$79,(IF($A$8=Nutrients!$B$77,Nutrients!$FE$77,Nutrients!$FE$78)))))*I$8))</f>
        <v>0</v>
      </c>
      <c r="J340" s="21">
        <f>(SUMPRODUCT(J$9:J$229,Nutrients!$FE$8:$FE$228)+(IF($A$7=Nutrients!$B$8,Nutrients!$FE$8,Nutrients!$FE$9)*J$7)+(((IF($A$8=Nutrients!$B$79,Nutrients!$FE$79,(IF($A$8=Nutrients!$B$77,Nutrients!$FE$77,Nutrients!$FE$78)))))*J$8))</f>
        <v>0</v>
      </c>
      <c r="K340" s="21">
        <f>(SUMPRODUCT(K$9:K$229,Nutrients!$FE$8:$FE$228)+(IF($A$7=Nutrients!$B$8,Nutrients!$FE$8,Nutrients!$FE$9)*K$7)+(((IF($A$8=Nutrients!$B$79,Nutrients!$FE$79,(IF($A$8=Nutrients!$B$77,Nutrients!$FE$77,Nutrients!$FE$78)))))*K$8))</f>
        <v>0</v>
      </c>
      <c r="L340" s="21">
        <f>(SUMPRODUCT(L$9:L$229,Nutrients!$FE$8:$FE$228)+(IF($A$7=Nutrients!$B$8,Nutrients!$FE$8,Nutrients!$FE$9)*L$7)+(((IF($A$8=Nutrients!$B$79,Nutrients!$FE$79,(IF($A$8=Nutrients!$B$77,Nutrients!$FE$77,Nutrients!$FE$78)))))*L$8))</f>
        <v>0</v>
      </c>
      <c r="M340" s="21">
        <f>(SUMPRODUCT(M$9:M$229,Nutrients!$FE$8:$FE$228)+(IF($A$7=Nutrients!$B$8,Nutrients!$FE$8,Nutrients!$FE$9)*M$7)+(((IF($A$8=Nutrients!$B$79,Nutrients!$FE$79,(IF($A$8=Nutrients!$B$77,Nutrients!$FE$77,Nutrients!$FE$78)))))*M$8))</f>
        <v>0</v>
      </c>
      <c r="N340" s="21">
        <f>(SUMPRODUCT(N$9:N$229,Nutrients!$FE$8:$FE$228)+(IF($A$7=Nutrients!$B$8,Nutrients!$FE$8,Nutrients!$FE$9)*N$7)+(((IF($A$8=Nutrients!$B$79,Nutrients!$FE$79,(IF($A$8=Nutrients!$B$77,Nutrients!$FE$77,Nutrients!$FE$78)))))*N$8))</f>
        <v>0</v>
      </c>
      <c r="O340" s="234"/>
      <c r="P340" s="21">
        <f>(SUMPRODUCT(P$9:P$229,Nutrients!$FE$8:$FE$228)+(IF($A$7=Nutrients!$B$8,Nutrients!$FE$8,Nutrients!$FE$9)*P$7)+(((IF($A$8=Nutrients!$B$79,Nutrients!$FE$79,(IF($A$8=Nutrients!$B$77,Nutrients!$FE$77,Nutrients!$FE$78)))))*P$8))</f>
        <v>0</v>
      </c>
      <c r="Q340" s="21">
        <f>(SUMPRODUCT(Q$9:Q$229,Nutrients!$FE$8:$FE$228)+(IF($A$7=Nutrients!$B$8,Nutrients!$FE$8,Nutrients!$FE$9)*Q$7)+(((IF($A$8=Nutrients!$B$79,Nutrients!$FE$79,(IF($A$8=Nutrients!$B$77,Nutrients!$FE$77,Nutrients!$FE$78)))))*Q$8))</f>
        <v>0</v>
      </c>
      <c r="R340" s="21">
        <f>(SUMPRODUCT(R$9:R$229,Nutrients!$FE$8:$FE$228)+(IF($A$7=Nutrients!$B$8,Nutrients!$FE$8,Nutrients!$FE$9)*R$7)+(((IF($A$8=Nutrients!$B$79,Nutrients!$FE$79,(IF($A$8=Nutrients!$B$77,Nutrients!$FE$77,Nutrients!$FE$78)))))*R$8))</f>
        <v>0</v>
      </c>
      <c r="S340" s="21">
        <f>(SUMPRODUCT(S$9:S$229,Nutrients!$FE$8:$FE$228)+(IF($A$7=Nutrients!$B$8,Nutrients!$FE$8,Nutrients!$FE$9)*S$7)+(((IF($A$8=Nutrients!$B$79,Nutrients!$FE$79,(IF($A$8=Nutrients!$B$77,Nutrients!$FE$77,Nutrients!$FE$78)))))*S$8))</f>
        <v>0</v>
      </c>
      <c r="T340" s="21">
        <f>(SUMPRODUCT(T$9:T$229,Nutrients!$FE$8:$FE$228)+(IF($A$7=Nutrients!$B$8,Nutrients!$FE$8,Nutrients!$FE$9)*T$7)+(((IF($A$8=Nutrients!$B$79,Nutrients!$FE$79,(IF($A$8=Nutrients!$B$77,Nutrients!$FE$77,Nutrients!$FE$78)))))*T$8))</f>
        <v>0</v>
      </c>
      <c r="U340" s="21">
        <f>(SUMPRODUCT(U$9:U$229,Nutrients!$FE$8:$FE$228)+(IF($A$7=Nutrients!$B$8,Nutrients!$FE$8,Nutrients!$FE$9)*U$7)+(((IF($A$8=Nutrients!$B$79,Nutrients!$FE$79,(IF($A$8=Nutrients!$B$77,Nutrients!$FE$77,Nutrients!$FE$78)))))*U$8))</f>
        <v>0</v>
      </c>
      <c r="W340" s="21">
        <f>(SUMPRODUCT(W$9:W$229,Nutrients!$FE$8:$FE$228)+(IF($A$7=Nutrients!$B$8,Nutrients!$FE$8,Nutrients!$FE$9)*W$7)+(((IF($A$8=Nutrients!$B$79,Nutrients!$FE$79,(IF($A$8=Nutrients!$B$77,Nutrients!$FE$77,Nutrients!$FE$78)))))*W$8))</f>
        <v>0</v>
      </c>
      <c r="X340" s="21">
        <f>(SUMPRODUCT(X$9:X$229,Nutrients!$FE$8:$FE$228)+(IF($A$7=Nutrients!$B$8,Nutrients!$FE$8,Nutrients!$FE$9)*X$7)+(((IF($A$8=Nutrients!$B$79,Nutrients!$FE$79,(IF($A$8=Nutrients!$B$77,Nutrients!$FE$77,Nutrients!$FE$78)))))*X$8))</f>
        <v>0</v>
      </c>
      <c r="Y340" s="21">
        <f>(SUMPRODUCT(Y$9:Y$229,Nutrients!$FE$8:$FE$228)+(IF($A$7=Nutrients!$B$8,Nutrients!$FE$8,Nutrients!$FE$9)*Y$7)+(((IF($A$8=Nutrients!$B$79,Nutrients!$FE$79,(IF($A$8=Nutrients!$B$77,Nutrients!$FE$77,Nutrients!$FE$78)))))*Y$8))</f>
        <v>0</v>
      </c>
      <c r="Z340" s="21">
        <f>(SUMPRODUCT(Z$9:Z$229,Nutrients!$FE$8:$FE$228)+(IF($A$7=Nutrients!$B$8,Nutrients!$FE$8,Nutrients!$FE$9)*Z$7)+(((IF($A$8=Nutrients!$B$79,Nutrients!$FE$79,(IF($A$8=Nutrients!$B$77,Nutrients!$FE$77,Nutrients!$FE$78)))))*Z$8))</f>
        <v>0</v>
      </c>
      <c r="AA340" s="21">
        <f>(SUMPRODUCT(AA$9:AA$229,Nutrients!$FE$8:$FE$228)+(IF($A$7=Nutrients!$B$8,Nutrients!$FE$8,Nutrients!$FE$9)*AA$7)+(((IF($A$8=Nutrients!$B$79,Nutrients!$FE$79,(IF($A$8=Nutrients!$B$77,Nutrients!$FE$77,Nutrients!$FE$78)))))*AA$8))</f>
        <v>0</v>
      </c>
      <c r="AB340" s="21">
        <f>(SUMPRODUCT(AB$9:AB$229,Nutrients!$FE$8:$FE$228)+(IF($A$7=Nutrients!$B$8,Nutrients!$FE$8,Nutrients!$FE$9)*AB$7)+(((IF($A$8=Nutrients!$B$79,Nutrients!$FE$79,(IF($A$8=Nutrients!$B$77,Nutrients!$FE$77,Nutrients!$FE$78)))))*AB$8))</f>
        <v>0</v>
      </c>
      <c r="AD340" s="21">
        <f>(SUMPRODUCT(AD$9:AD$229,Nutrients!$FE$8:$FE$228)+(IF($A$7=Nutrients!$B$8,Nutrients!$FE$8,Nutrients!$FE$9)*AD$7)+(((IF($A$8=Nutrients!$B$79,Nutrients!$FE$79,(IF($A$8=Nutrients!$B$77,Nutrients!$FE$77,Nutrients!$FE$78)))))*AD$8))</f>
        <v>0</v>
      </c>
      <c r="AE340" s="21">
        <f>(SUMPRODUCT(AE$9:AE$229,Nutrients!$FE$8:$FE$228)+(IF($A$7=Nutrients!$B$8,Nutrients!$FE$8,Nutrients!$FE$9)*AE$7)+(((IF($A$8=Nutrients!$B$79,Nutrients!$FE$79,(IF($A$8=Nutrients!$B$77,Nutrients!$FE$77,Nutrients!$FE$78)))))*AE$8))</f>
        <v>0</v>
      </c>
      <c r="AF340" s="21">
        <f>(SUMPRODUCT(AF$9:AF$229,Nutrients!$FE$8:$FE$228)+(IF($A$7=Nutrients!$B$8,Nutrients!$FE$8,Nutrients!$FE$9)*AF$7)+(((IF($A$8=Nutrients!$B$79,Nutrients!$FE$79,(IF($A$8=Nutrients!$B$77,Nutrients!$FE$77,Nutrients!$FE$78)))))*AF$8))</f>
        <v>0</v>
      </c>
      <c r="AG340" s="21">
        <f>(SUMPRODUCT(AG$9:AG$229,Nutrients!$FE$8:$FE$228)+(IF($A$7=Nutrients!$B$8,Nutrients!$FE$8,Nutrients!$FE$9)*AG$7)+(((IF($A$8=Nutrients!$B$79,Nutrients!$FE$79,(IF($A$8=Nutrients!$B$77,Nutrients!$FE$77,Nutrients!$FE$78)))))*AG$8))</f>
        <v>0</v>
      </c>
      <c r="AH340" s="21">
        <f>(SUMPRODUCT(AH$9:AH$229,Nutrients!$FE$8:$FE$228)+(IF($A$7=Nutrients!$B$8,Nutrients!$FE$8,Nutrients!$FE$9)*AH$7)+(((IF($A$8=Nutrients!$B$79,Nutrients!$FE$79,(IF($A$8=Nutrients!$B$77,Nutrients!$FE$77,Nutrients!$FE$78)))))*AH$8))</f>
        <v>0</v>
      </c>
      <c r="AI340" s="21">
        <f>(SUMPRODUCT(AI$9:AI$229,Nutrients!$FE$8:$FE$228)+(IF($A$7=Nutrients!$B$8,Nutrients!$FE$8,Nutrients!$FE$9)*AI$7)+(((IF($A$8=Nutrients!$B$79,Nutrients!$FE$79,(IF($A$8=Nutrients!$B$77,Nutrients!$FE$77,Nutrients!$FE$78)))))*AI$8))</f>
        <v>0</v>
      </c>
      <c r="AK340" s="21">
        <f>(SUMPRODUCT(AK$9:AK$229,Nutrients!$FE$8:$FE$228)+(IF($A$7=Nutrients!$B$8,Nutrients!$FE$8,Nutrients!$FE$9)*AK$7)+(((IF($A$8=Nutrients!$B$79,Nutrients!$FE$79,(IF($A$8=Nutrients!$B$77,Nutrients!$FE$77,Nutrients!$FE$78)))))*AK$8))</f>
        <v>0</v>
      </c>
      <c r="AL340" s="21">
        <f>(SUMPRODUCT(AL$9:AL$229,Nutrients!$FE$8:$FE$228)+(IF($A$7=Nutrients!$B$8,Nutrients!$FE$8,Nutrients!$FE$9)*AL$7)+(((IF($A$8=Nutrients!$B$79,Nutrients!$FE$79,(IF($A$8=Nutrients!$B$77,Nutrients!$FE$77,Nutrients!$FE$78)))))*AL$8))</f>
        <v>0</v>
      </c>
      <c r="AM340" s="21">
        <f>(SUMPRODUCT(AM$9:AM$229,Nutrients!$FE$8:$FE$228)+(IF($A$7=Nutrients!$B$8,Nutrients!$FE$8,Nutrients!$FE$9)*AM$7)+(((IF($A$8=Nutrients!$B$79,Nutrients!$FE$79,(IF($A$8=Nutrients!$B$77,Nutrients!$FE$77,Nutrients!$FE$78)))))*AM$8))</f>
        <v>0</v>
      </c>
      <c r="AN340" s="21">
        <f>(SUMPRODUCT(AN$9:AN$229,Nutrients!$FE$8:$FE$228)+(IF($A$7=Nutrients!$B$8,Nutrients!$FE$8,Nutrients!$FE$9)*AN$7)+(((IF($A$8=Nutrients!$B$79,Nutrients!$FE$79,(IF($A$8=Nutrients!$B$77,Nutrients!$FE$77,Nutrients!$FE$78)))))*AN$8))</f>
        <v>0</v>
      </c>
      <c r="AO340" s="21">
        <f>(SUMPRODUCT(AO$9:AO$229,Nutrients!$FE$8:$FE$228)+(IF($A$7=Nutrients!$B$8,Nutrients!$FE$8,Nutrients!$FE$9)*AO$7)+(((IF($A$8=Nutrients!$B$79,Nutrients!$FE$79,(IF($A$8=Nutrients!$B$77,Nutrients!$FE$77,Nutrients!$FE$78)))))*AO$8))</f>
        <v>0</v>
      </c>
      <c r="AP340" s="21">
        <f>(SUMPRODUCT(AP$9:AP$229,Nutrients!$FE$8:$FE$228)+(IF($A$7=Nutrients!$B$8,Nutrients!$FE$8,Nutrients!$FE$9)*AP$7)+(((IF($A$8=Nutrients!$B$79,Nutrients!$FE$79,(IF($A$8=Nutrients!$B$77,Nutrients!$FE$77,Nutrients!$FE$78)))))*AP$8))</f>
        <v>0</v>
      </c>
      <c r="AR340" s="21">
        <f>(SUMPRODUCT(AR$9:AR$229,Nutrients!$FE$8:$FE$228)+(IF($A$7=Nutrients!$B$8,Nutrients!$FE$8,Nutrients!$FE$9)*AR$7)+(((IF($A$8=Nutrients!$B$79,Nutrients!$FE$79,(IF($A$8=Nutrients!$B$77,Nutrients!$FE$77,Nutrients!$FE$78)))))*AR$8))</f>
        <v>0</v>
      </c>
      <c r="AS340" s="21">
        <f>(SUMPRODUCT(AS$9:AS$229,Nutrients!$FE$8:$FE$228)+(IF($A$7=Nutrients!$B$8,Nutrients!$FE$8,Nutrients!$FE$9)*AS$7)+(((IF($A$8=Nutrients!$B$79,Nutrients!$FE$79,(IF($A$8=Nutrients!$B$77,Nutrients!$FE$77,Nutrients!$FE$78)))))*AS$8))</f>
        <v>0</v>
      </c>
      <c r="AT340" s="21">
        <f>(SUMPRODUCT(AT$9:AT$229,Nutrients!$FE$8:$FE$228)+(IF($A$7=Nutrients!$B$8,Nutrients!$FE$8,Nutrients!$FE$9)*AT$7)+(((IF($A$8=Nutrients!$B$79,Nutrients!$FE$79,(IF($A$8=Nutrients!$B$77,Nutrients!$FE$77,Nutrients!$FE$78)))))*AT$8))</f>
        <v>0</v>
      </c>
      <c r="AU340" s="21">
        <f>(SUMPRODUCT(AU$9:AU$229,Nutrients!$FE$8:$FE$228)+(IF($A$7=Nutrients!$B$8,Nutrients!$FE$8,Nutrients!$FE$9)*AU$7)+(((IF($A$8=Nutrients!$B$79,Nutrients!$FE$79,(IF($A$8=Nutrients!$B$77,Nutrients!$FE$77,Nutrients!$FE$78)))))*AU$8))</f>
        <v>0</v>
      </c>
      <c r="AV340" s="21">
        <f>(SUMPRODUCT(AV$9:AV$229,Nutrients!$FE$8:$FE$228)+(IF($A$7=Nutrients!$B$8,Nutrients!$FE$8,Nutrients!$FE$9)*AV$7)+(((IF($A$8=Nutrients!$B$79,Nutrients!$FE$79,(IF($A$8=Nutrients!$B$77,Nutrients!$FE$77,Nutrients!$FE$78)))))*AV$8))</f>
        <v>0</v>
      </c>
      <c r="AW340" s="21">
        <f>(SUMPRODUCT(AW$9:AW$229,Nutrients!$FE$8:$FE$228)+(IF($A$7=Nutrients!$B$8,Nutrients!$FE$8,Nutrients!$FE$9)*AW$7)+(((IF($A$8=Nutrients!$B$79,Nutrients!$FE$79,(IF($A$8=Nutrients!$B$77,Nutrients!$FE$77,Nutrients!$FE$78)))))*AW$8))</f>
        <v>0</v>
      </c>
    </row>
    <row r="342" spans="1:52" x14ac:dyDescent="0.25">
      <c r="A342" s="298" t="s">
        <v>478</v>
      </c>
      <c r="B342" s="299">
        <f xml:space="preserve"> (-1619.2980797296 + 25.9248064834 * (B251/1000) - 2657.6209162609 * B236 +
123.0469725298 * B253 - 9.2854579989 * B316 + 872.0182830582 * B252 + 26.664395965 * (AVERAGE(B5:B6)*0.453592) +
2599.7646012325 * B236 * B236- 0.1016237102 *  (AVERAGE(B5:B6)*0.453592) *  (AVERAGE(B5:B6)*0.453592) - 71.8618465276 * B236 * B253 -
607.1294449572 * B236 * B252 + 25.6463076451 * B236 * (AVERAGE(B5:B6)*0.453592) - 0.8399854508 * B253 * (AVERAGE(B5:B6)*0.453592) +
0.0967347393 * B316 * (AVERAGE(B5:B6)*0.453592) - 5.2553838048 * B252 * (AVERAGE(B5:B6)*0.453592))</f>
        <v>740.32616660444182</v>
      </c>
      <c r="C342" s="299">
        <f xml:space="preserve"> -1619.2980797296 + 25.9248064834 * (C251/1000) - 2657.6209162609 * C236 +
123.0469725298 * C253 - 9.2854579989 * C316 + 872.0182830582 * C252 + 26.664395965 * (AVERAGE(C5:C6)*0.453592) +
2599.7646012325 * C236 * C236- 0.1016237102 *  (AVERAGE(C5:C6)*0.453592) *  (AVERAGE(C5:C6)*0.453592) - 71.8618465276 * C236 * C253 -
607.1294449572 * C236 * C252 + 25.6463076451 * C236 * (AVERAGE(C5:C6)*0.453592) - 0.8399854508 * C253 * (AVERAGE(C5:C6)*0.453592) +
0.0967347393 * C316 * (AVERAGE(C5:C6)*0.453592) - 5.2553838048 * C252 * (AVERAGE(C5:C6)*0.453592)</f>
        <v>862.50756659214221</v>
      </c>
      <c r="D342" s="299">
        <f xml:space="preserve"> -1619.2980797296 + 25.9248064834 * (D251/1000) - 2657.6209162609 * D236 +
123.0469725298 * D253 - 9.2854579989 * D316 + 872.0182830582 * D252 + 26.664395965 * (AVERAGE(D5:D6)*0.453592) +
2599.7646012325 * D236 * D236- 0.1016237102 *  (AVERAGE(D5:D6)*0.453592) *  (AVERAGE(D5:D6)*0.453592) - 71.8618465276 * D236 * D253 -
607.1294449572 * D236 * D252 + 25.6463076451 * D236 * (AVERAGE(D5:D6)*0.453592) - 0.8399854508 * D253 * (AVERAGE(D5:D6)*0.453592) +
0.0967347393 * D316 * (AVERAGE(D5:D6)*0.453592) - 5.2553838048 * D252 * (AVERAGE(D5:D6)*0.453592)</f>
        <v>944.95636803551065</v>
      </c>
      <c r="E342" s="299">
        <f xml:space="preserve"> -1619.2980797296 + 25.9248064834 * (E251/1000) - 2657.6209162609 * E236 +
123.0469725298 * E253 - 9.2854579989 * E316 + 872.0182830582 * E252 + 26.664395965 * (AVERAGE(E5:E6)*0.453592) +
2599.7646012325 * E236 * E236- 0.1016237102 *  (AVERAGE(E5:E6)*0.453592) *  (AVERAGE(E5:E6)*0.453592) - 71.8618465276 * E236 * E253 -
607.1294449572 * E236 * E252 + 25.6463076451 * E236 * (AVERAGE(E5:E6)*0.453592) - 0.8399854508 * E253 * (AVERAGE(E5:E6)*0.453592) +
0.0967347393 * E316 * (AVERAGE(E5:E6)*0.453592) - 5.2553838048 * E252 * (AVERAGE(E5:E6)*0.453592)</f>
        <v>984.20180073567008</v>
      </c>
      <c r="F342" s="299">
        <f xml:space="preserve"> -1619.2980797296 + 25.9248064834 * (F251/1000) - 2657.6209162609 * F236 +
123.0469725298 * F253 - 9.2854579989 * F316 + 872.0182830582 * F252 + 26.664395965 * (AVERAGE(F5:F6)*0.453592) +
2599.7646012325 * F236 * F236- 0.1016237102 *  (AVERAGE(F5:F6)*0.453592) *  (AVERAGE(F5:F6)*0.453592) - 71.8618465276 * F236 * F253 -
607.1294449572 * F236 * F252 + 25.6463076451 * F236 * (AVERAGE(F5:F6)*0.453592) - 0.8399854508 * F253 * (AVERAGE(F5:F6)*0.453592) +
0.0967347393 * F316 * (AVERAGE(F5:F6)*0.453592) - 5.2553838048 * F252 * (AVERAGE(F5:F6)*0.453592)</f>
        <v>982.04258582759257</v>
      </c>
      <c r="G342" s="299">
        <f xml:space="preserve"> -1619.2980797296 + 25.9248064834 * (G251/1000) - 2657.6209162609 * G236 +
123.0469725298 * G253 - 9.2854579989 * G316 + 872.0182830582 * G252 + 26.664395965 * (AVERAGE(G5:G6)*0.453592) +
2599.7646012325 * G236 * G236- 0.1016237102 *  (AVERAGE(G5:G6)*0.453592) *  (AVERAGE(G5:G6)*0.453592) - 71.8618465276 * G236 * G253 -
607.1294449572 * G236 * G252 + 25.6463076451 * G236 * (AVERAGE(G5:G6)*0.453592) - 0.8399854508 * G253 * (AVERAGE(G5:G6)*0.453592) +
0.0967347393 * G316 * (AVERAGE(G5:G6)*0.453592) - 5.2553838048 * G252 * (AVERAGE(G5:G6)*0.453592)</f>
        <v>932.08406418687355</v>
      </c>
      <c r="I342" s="299">
        <f xml:space="preserve"> (-1619.2980797296 + 25.9248064834 * (I251/1000) - 2657.6209162609 * I236 +
123.0469725298 * I253 - 9.2854579989 * I316 + 872.0182830582 * I252 + 26.664395965 * (AVERAGE(I5:I6)*0.453592) +
2599.7646012325 * I236 * I236- 0.1016237102 *  (AVERAGE(I5:I6)*0.453592) *  (AVERAGE(I5:I6)*0.453592) - 71.8618465276 * I236 * I253 -
607.1294449572 * I236 * I252 + 25.6463076451 * I236 * (AVERAGE(I5:I6)*0.453592) - 0.8399854508 * I253 * (AVERAGE(I5:I6)*0.453592) +
0.0967347393 * I316 * (AVERAGE(I5:I6)*0.453592) - 5.2553838048 * I252 * (AVERAGE(I5:I6)*0.453592))</f>
        <v>737.82281291393463</v>
      </c>
      <c r="J342" s="299">
        <f xml:space="preserve"> -1619.2980797296 + 25.9248064834 * (J251/1000) - 2657.6209162609 * J236 +
123.0469725298 * J253 - 9.2854579989 * J316 + 872.0182830582 * J252 + 26.664395965 * (AVERAGE(J5:J6)*0.453592) +
2599.7646012325 * J236 * J236- 0.1016237102 *  (AVERAGE(J5:J6)*0.453592) *  (AVERAGE(J5:J6)*0.453592) - 71.8618465276 * J236 * J253 -
607.1294449572 * J236 * J252 + 25.6463076451 * J236 * (AVERAGE(J5:J6)*0.453592) - 0.8399854508 * J253 * (AVERAGE(J5:J6)*0.453592) +
0.0967347393 * J316 * (AVERAGE(J5:J6)*0.453592) - 5.2553838048 * J252 * (AVERAGE(J5:J6)*0.453592)</f>
        <v>860.42380070965544</v>
      </c>
      <c r="K342" s="299">
        <f xml:space="preserve"> -1619.2980797296 + 25.9248064834 * (K251/1000) - 2657.6209162609 * K236 +
123.0469725298 * K253 - 9.2854579989 * K316 + 872.0182830582 * K252 + 26.664395965 * (AVERAGE(K5:K6)*0.453592) +
2599.7646012325 * K236 * K236- 0.1016237102 *  (AVERAGE(K5:K6)*0.453592) *  (AVERAGE(K5:K6)*0.453592) - 71.8618465276 * K236 * K253 -
607.1294449572 * K236 * K252 + 25.6463076451 * K236 * (AVERAGE(K5:K6)*0.453592) - 0.8399854508 * K253 * (AVERAGE(K5:K6)*0.453592) +
0.0967347393 * K316 * (AVERAGE(K5:K6)*0.453592) - 5.2553838048 * K252 * (AVERAGE(K5:K6)*0.453592)</f>
        <v>942.56282888497708</v>
      </c>
      <c r="L342" s="299">
        <f xml:space="preserve"> -1619.2980797296 + 25.9248064834 * (L251/1000) - 2657.6209162609 * L236 +
123.0469725298 * L253 - 9.2854579989 * L316 + 872.0182830582 * L252 + 26.664395965 * (AVERAGE(L5:L6)*0.453592) +
2599.7646012325 * L236 * L236- 0.1016237102 *  (AVERAGE(L5:L6)*0.453592) *  (AVERAGE(L5:L6)*0.453592) - 71.8618465276 * L236 * L253 -
607.1294449572 * L236 * L252 + 25.6463076451 * L236 * (AVERAGE(L5:L6)*0.453592) - 0.8399854508 * L253 * (AVERAGE(L5:L6)*0.453592) +
0.0967347393 * L316 * (AVERAGE(L5:L6)*0.453592) - 5.2553838048 * L252 * (AVERAGE(L5:L6)*0.453592)</f>
        <v>980.60177466022901</v>
      </c>
      <c r="M342" s="299">
        <f xml:space="preserve"> -1619.2980797296 + 25.9248064834 * (M251/1000) - 2657.6209162609 * M236 +
123.0469725298 * M253 - 9.2854579989 * M316 + 872.0182830582 * M252 + 26.664395965 * (AVERAGE(M5:M6)*0.453592) +
2599.7646012325 * M236 * M236- 0.1016237102 *  (AVERAGE(M5:M6)*0.453592) *  (AVERAGE(M5:M6)*0.453592) - 71.8618465276 * M236 * M253 -
607.1294449572 * M236 * M252 + 25.6463076451 * M236 * (AVERAGE(M5:M6)*0.453592) - 0.8399854508 * M253 * (AVERAGE(M5:M6)*0.453592) +
0.0967347393 * M316 * (AVERAGE(M5:M6)*0.453592) - 5.2553838048 * M252 * (AVERAGE(M5:M6)*0.453592)</f>
        <v>976.35154973514977</v>
      </c>
      <c r="N342" s="299">
        <f xml:space="preserve"> -1619.2980797296 + 25.9248064834 * (N251/1000) - 2657.6209162609 * N236 +
123.0469725298 * N253 - 9.2854579989 * N316 + 872.0182830582 * N252 + 26.664395965 * (AVERAGE(N5:N6)*0.453592) +
2599.7646012325 * N236 * N236- 0.1016237102 *  (AVERAGE(N5:N6)*0.453592) *  (AVERAGE(N5:N6)*0.453592) - 71.8618465276 * N236 * N253 -
607.1294449572 * N236 * N252 + 25.6463076451 * N236 * (AVERAGE(N5:N6)*0.453592) - 0.8399854508 * N253 * (AVERAGE(N5:N6)*0.453592) +
0.0967347393 * N316 * (AVERAGE(N5:N6)*0.453592) - 5.2553838048 * N252 * (AVERAGE(N5:N6)*0.453592)</f>
        <v>932.08406418687355</v>
      </c>
      <c r="P342" s="299">
        <f xml:space="preserve"> (-1619.2980797296 + 25.9248064834 * (P251/1000) - 2657.6209162609 * P236 +
123.0469725298 * P253 - 9.2854579989 * P316 + 872.0182830582 * P252 + 26.664395965 * (AVERAGE(P5:P6)*0.453592) +
2599.7646012325 * P236 * P236- 0.1016237102 *  (AVERAGE(P5:P6)*0.453592) *  (AVERAGE(P5:P6)*0.453592) - 71.8618465276 * P236 * P253 -
607.1294449572 * P236 * P252 + 25.6463076451 * P236 * (AVERAGE(P5:P6)*0.453592) - 0.8399854508 * P253 * (AVERAGE(P5:P6)*0.453592) +
0.0967347393 * P316 * (AVERAGE(P5:P6)*0.453592) - 5.2553838048 * P252 * (AVERAGE(P5:P6)*0.453592))</f>
        <v>735.36391234255655</v>
      </c>
      <c r="Q342" s="299">
        <f xml:space="preserve"> -1619.2980797296 + 25.9248064834 * (Q251/1000) - 2657.6209162609 * Q236 +
123.0469725298 * Q253 - 9.2854579989 * Q316 + 872.0182830582 * Q252 + 26.664395965 * (AVERAGE(Q5:Q6)*0.453592) +
2599.7646012325 * Q236 * Q236- 0.1016237102 *  (AVERAGE(Q5:Q6)*0.453592) *  (AVERAGE(Q5:Q6)*0.453592) - 71.8618465276 * Q236 * Q253 -
607.1294449572 * Q236 * Q252 + 25.6463076451 * Q236 * (AVERAGE(Q5:Q6)*0.453592) - 0.8399854508 * Q253 * (AVERAGE(Q5:Q6)*0.453592) +
0.0967347393 * Q316 * (AVERAGE(Q5:Q6)*0.453592) - 5.2553838048 * Q252 * (AVERAGE(Q5:Q6)*0.453592)</f>
        <v>858.36844770368066</v>
      </c>
      <c r="R342" s="299">
        <f xml:space="preserve"> -1619.2980797296 + 25.9248064834 * (R251/1000) - 2657.6209162609 * R236 +
123.0469725298 * R253 - 9.2854579989 * R316 + 872.0182830582 * R252 + 26.664395965 * (AVERAGE(R5:R6)*0.453592) +
2599.7646012325 * R236 * R236- 0.1016237102 *  (AVERAGE(R5:R6)*0.453592) *  (AVERAGE(R5:R6)*0.453592) - 71.8618465276 * R236 * R253 -
607.1294449572 * R236 * R252 + 25.6463076451 * R236 * (AVERAGE(R5:R6)*0.453592) - 0.8399854508 * R253 * (AVERAGE(R5:R6)*0.453592) +
0.0967347393 * R316 * (AVERAGE(R5:R6)*0.453592) - 5.2553838048 * R252 * (AVERAGE(R5:R6)*0.453592)</f>
        <v>940.18058238231538</v>
      </c>
      <c r="S342" s="299">
        <f xml:space="preserve"> -1619.2980797296 + 25.9248064834 * (S251/1000) - 2657.6209162609 * S236 +
123.0469725298 * S253 - 9.2854579989 * S316 + 872.0182830582 * S252 + 26.664395965 * (AVERAGE(S5:S6)*0.453592) +
2599.7646012325 * S236 * S236- 0.1016237102 *  (AVERAGE(S5:S6)*0.453592) *  (AVERAGE(S5:S6)*0.453592) - 71.8618465276 * S236 * S253 -
607.1294449572 * S236 * S252 + 25.6463076451 * S236 * (AVERAGE(S5:S6)*0.453592) - 0.8399854508 * S253 * (AVERAGE(S5:S6)*0.453592) +
0.0967347393 * S316 * (AVERAGE(S5:S6)*0.453592) - 5.2553838048 * S252 * (AVERAGE(S5:S6)*0.453592)</f>
        <v>976.98421807826821</v>
      </c>
      <c r="T342" s="299">
        <f xml:space="preserve"> -1619.2980797296 + 25.9248064834 * (T251/1000) - 2657.6209162609 * T236 +
123.0469725298 * T253 - 9.2854579989 * T316 + 872.0182830582 * T252 + 26.664395965 * (AVERAGE(T5:T6)*0.453592) +
2599.7646012325 * T236 * T236- 0.1016237102 *  (AVERAGE(T5:T6)*0.453592) *  (AVERAGE(T5:T6)*0.453592) - 71.8618465276 * T236 * T253 -
607.1294449572 * T236 * T252 + 25.6463076451 * T236 * (AVERAGE(T5:T6)*0.453592) - 0.8399854508 * T253 * (AVERAGE(T5:T6)*0.453592) +
0.0967347393 * T316 * (AVERAGE(T5:T6)*0.453592) - 5.2553838048 * T252 * (AVERAGE(T5:T6)*0.453592)</f>
        <v>970.61642674660789</v>
      </c>
      <c r="U342" s="299">
        <f xml:space="preserve"> -1619.2980797296 + 25.9248064834 * (U251/1000) - 2657.6209162609 * U236 +
123.0469725298 * U253 - 9.2854579989 * U316 + 872.0182830582 * U252 + 26.664395965 * (AVERAGE(U5:U6)*0.453592) +
2599.7646012325 * U236 * U236- 0.1016237102 *  (AVERAGE(U5:U6)*0.453592) *  (AVERAGE(U5:U6)*0.453592) - 71.8618465276 * U236 * U253 -
607.1294449572 * U236 * U252 + 25.6463076451 * U236 * (AVERAGE(U5:U6)*0.453592) - 0.8399854508 * U253 * (AVERAGE(U5:U6)*0.453592) +
0.0967347393 * U316 * (AVERAGE(U5:U6)*0.453592) - 5.2553838048 * U252 * (AVERAGE(U5:U6)*0.453592)</f>
        <v>932.08406418687355</v>
      </c>
      <c r="W342" s="299">
        <f xml:space="preserve"> (-1619.2980797296 + 25.9248064834 * (W251/1000) - 2657.6209162609 * W236 +
123.0469725298 * W253 - 9.2854579989 * W316 + 872.0182830582 * W252 + 26.664395965 * (AVERAGE(W5:W6)*0.453592) +
2599.7646012325 * W236 * W236- 0.1016237102 *  (AVERAGE(W5:W6)*0.453592) *  (AVERAGE(W5:W6)*0.453592) - 71.8618465276 * W236 * W253 -
607.1294449572 * W236 * W252 + 25.6463076451 * W236 * (AVERAGE(W5:W6)*0.453592) - 0.8399854508 * W253 * (AVERAGE(W5:W6)*0.453592) +
0.0967347393 * W316 * (AVERAGE(W5:W6)*0.453592) - 5.2553838048 * W252 * (AVERAGE(W5:W6)*0.453592))</f>
        <v>732.9152560783665</v>
      </c>
      <c r="X342" s="299">
        <f xml:space="preserve"> -1619.2980797296 + 25.9248064834 * (X251/1000) - 2657.6209162609 * X236 +
123.0469725298 * X253 - 9.2854579989 * X316 + 872.0182830582 * X252 + 26.664395965 * (AVERAGE(X5:X6)*0.453592) +
2599.7646012325 * X236 * X236- 0.1016237102 *  (AVERAGE(X5:X6)*0.453592) *  (AVERAGE(X5:X6)*0.453592) - 71.8618465276 * X236 * X253 -
607.1294449572 * X236 * X252 + 25.6463076451 * X236 * (AVERAGE(X5:X6)*0.453592) - 0.8399854508 * X253 * (AVERAGE(X5:X6)*0.453592) +
0.0967347393 * X316 * (AVERAGE(X5:X6)*0.453592) - 5.2553838048 * X252 * (AVERAGE(X5:X6)*0.453592)</f>
        <v>856.3384518252584</v>
      </c>
      <c r="Y342" s="299">
        <f xml:space="preserve"> -1619.2980797296 + 25.9248064834 * (Y251/1000) - 2657.6209162609 * Y236 +
123.0469725298 * Y253 - 9.2854579989 * Y316 + 872.0182830582 * Y252 + 26.664395965 * (AVERAGE(Y5:Y6)*0.453592) +
2599.7646012325 * Y236 * Y236- 0.1016237102 *  (AVERAGE(Y5:Y6)*0.453592) *  (AVERAGE(Y5:Y6)*0.453592) - 71.8618465276 * Y236 * Y253 -
607.1294449572 * Y236 * Y252 + 25.6463076451 * Y236 * (AVERAGE(Y5:Y6)*0.453592) - 0.8399854508 * Y253 * (AVERAGE(Y5:Y6)*0.453592) +
0.0967347393 * Y316 * (AVERAGE(Y5:Y6)*0.453592) - 5.2553838048 * Y252 * (AVERAGE(Y5:Y6)*0.453592)</f>
        <v>937.80263712373403</v>
      </c>
      <c r="Z342" s="299">
        <f xml:space="preserve"> -1619.2980797296 + 25.9248064834 * (Z251/1000) - 2657.6209162609 * Z236 +
123.0469725298 * Z253 - 9.2854579989 * Z316 + 872.0182830582 * Z252 + 26.664395965 * (AVERAGE(Z5:Z6)*0.453592) +
2599.7646012325 * Z236 * Z236- 0.1016237102 *  (AVERAGE(Z5:Z6)*0.453592) *  (AVERAGE(Z5:Z6)*0.453592) - 71.8618465276 * Z236 * Z253 -
607.1294449572 * Z236 * Z252 + 25.6463076451 * Z236 * (AVERAGE(Z5:Z6)*0.453592) - 0.8399854508 * Z253 * (AVERAGE(Z5:Z6)*0.453592) +
0.0967347393 * Z316 * (AVERAGE(Z5:Z6)*0.453592) - 5.2553838048 * Z252 * (AVERAGE(Z5:Z6)*0.453592)</f>
        <v>973.37564760546206</v>
      </c>
      <c r="AA342" s="299">
        <f xml:space="preserve"> -1619.2980797296 + 25.9248064834 * (AA251/1000) - 2657.6209162609 * AA236 +
123.0469725298 * AA253 - 9.2854579989 * AA316 + 872.0182830582 * AA252 + 26.664395965 * (AVERAGE(AA5:AA6)*0.453592) +
2599.7646012325 * AA236 * AA236- 0.1016237102 *  (AVERAGE(AA5:AA6)*0.453592) *  (AVERAGE(AA5:AA6)*0.453592) - 71.8618465276 * AA236 * AA253 -
607.1294449572 * AA236 * AA252 + 25.6463076451 * AA236 * (AVERAGE(AA5:AA6)*0.453592) - 0.8399854508 * AA253 * (AVERAGE(AA5:AA6)*0.453592) +
0.0967347393 * AA316 * (AVERAGE(AA5:AA6)*0.453592) - 5.2553838048 * AA252 * (AVERAGE(AA5:AA6)*0.453592)</f>
        <v>964.7436980632217</v>
      </c>
      <c r="AB342" s="299">
        <f xml:space="preserve"> -1619.2980797296 + 25.9248064834 * (AB251/1000) - 2657.6209162609 * AB236 +
123.0469725298 * AB253 - 9.2854579989 * AB316 + 872.0182830582 * AB252 + 26.664395965 * (AVERAGE(AB5:AB6)*0.453592) +
2599.7646012325 * AB236 * AB236- 0.1016237102 *  (AVERAGE(AB5:AB6)*0.453592) *  (AVERAGE(AB5:AB6)*0.453592) - 71.8618465276 * AB236 * AB253 -
607.1294449572 * AB236 * AB252 + 25.6463076451 * AB236 * (AVERAGE(AB5:AB6)*0.453592) - 0.8399854508 * AB253 * (AVERAGE(AB5:AB6)*0.453592) +
0.0967347393 * AB316 * (AVERAGE(AB5:AB6)*0.453592) - 5.2553838048 * AB252 * (AVERAGE(AB5:AB6)*0.453592)</f>
        <v>932.08406418687355</v>
      </c>
      <c r="AD342" s="299">
        <f xml:space="preserve"> (-1619.2980797296 + 25.9248064834 * (AD251/1000) - 2657.6209162609 * AD236 +
123.0469725298 * AD253 - 9.2854579989 * AD316 + 872.0182830582 * AD252 + 26.664395965 * (AVERAGE(AD5:AD6)*0.453592) +
2599.7646012325 * AD236 * AD236- 0.1016237102 *  (AVERAGE(AD5:AD6)*0.453592) *  (AVERAGE(AD5:AD6)*0.453592) - 71.8618465276 * AD236 * AD253 -
607.1294449572 * AD236 * AD252 + 25.6463076451 * AD236 * (AVERAGE(AD5:AD6)*0.453592) - 0.8399854508 * AD253 * (AVERAGE(AD5:AD6)*0.453592) +
0.0967347393 * AD316 * (AVERAGE(AD5:AD6)*0.453592) - 5.2553838048 * AD252 * (AVERAGE(AD5:AD6)*0.453592))</f>
        <v>730.51508162544155</v>
      </c>
      <c r="AE342" s="299">
        <f xml:space="preserve"> -1619.2980797296 + 25.9248064834 * (AE251/1000) - 2657.6209162609 * AE236 +
123.0469725298 * AE253 - 9.2854579989 * AE316 + 872.0182830582 * AE252 + 26.664395965 * (AVERAGE(AE5:AE6)*0.453592) +
2599.7646012325 * AE236 * AE236- 0.1016237102 *  (AVERAGE(AE5:AE6)*0.453592) *  (AVERAGE(AE5:AE6)*0.453592) - 71.8618465276 * AE236 * AE253 -
607.1294449572 * AE236 * AE252 + 25.6463076451 * AE236 * (AVERAGE(AE5:AE6)*0.453592) - 0.8399854508 * AE253 * (AVERAGE(AE5:AE6)*0.453592) +
0.0967347393 * AE316 * (AVERAGE(AE5:AE6)*0.453592) - 5.2553838048 * AE252 * (AVERAGE(AE5:AE6)*0.453592)</f>
        <v>854.29804278316578</v>
      </c>
      <c r="AF342" s="299">
        <f xml:space="preserve"> -1619.2980797296 + 25.9248064834 * (AF251/1000) - 2657.6209162609 * AF236 +
123.0469725298 * AF253 - 9.2854579989 * AF316 + 872.0182830582 * AF252 + 26.664395965 * (AVERAGE(AF5:AF6)*0.453592) +
2599.7646012325 * AF236 * AF236- 0.1016237102 *  (AVERAGE(AF5:AF6)*0.453592) *  (AVERAGE(AF5:AF6)*0.453592) - 71.8618465276 * AF236 * AF253 -
607.1294449572 * AF236 * AF252 + 25.6463076451 * AF236 * (AVERAGE(AF5:AF6)*0.453592) - 0.8399854508 * AF253 * (AVERAGE(AF5:AF6)*0.453592) +
0.0967347393 * AF316 * (AVERAGE(AF5:AF6)*0.453592) - 5.2553838048 * AF252 * (AVERAGE(AF5:AF6)*0.453592)</f>
        <v>935.44765961534085</v>
      </c>
      <c r="AG342" s="299">
        <f xml:space="preserve"> -1619.2980797296 + 25.9248064834 * (AG251/1000) - 2657.6209162609 * AG236 +
123.0469725298 * AG253 - 9.2854579989 * AG316 + 872.0182830582 * AG252 + 26.664395965 * (AVERAGE(AG5:AG6)*0.453592) +
2599.7646012325 * AG236 * AG236- 0.1016237102 *  (AVERAGE(AG5:AG6)*0.453592) *  (AVERAGE(AG5:AG6)*0.453592) - 71.8618465276 * AG236 * AG253 -
607.1294449572 * AG236 * AG252 + 25.6463076451 * AG236 * (AVERAGE(AG5:AG6)*0.453592) - 0.8399854508 * AG253 * (AVERAGE(AG5:AG6)*0.453592) +
0.0967347393 * AG316 * (AVERAGE(AG5:AG6)*0.453592) - 5.2553838048 * AG252 * (AVERAGE(AG5:AG6)*0.453592)</f>
        <v>969.75471744288711</v>
      </c>
      <c r="AH342" s="299">
        <f xml:space="preserve"> -1619.2980797296 + 25.9248064834 * (AH251/1000) - 2657.6209162609 * AH236 +
123.0469725298 * AH253 - 9.2854579989 * AH316 + 872.0182830582 * AH252 + 26.664395965 * (AVERAGE(AH5:AH6)*0.453592) +
2599.7646012325 * AH236 * AH236- 0.1016237102 *  (AVERAGE(AH5:AH6)*0.453592) *  (AVERAGE(AH5:AH6)*0.453592) - 71.8618465276 * AH236 * AH253 -
607.1294449572 * AH236 * AH252 + 25.6463076451 * AH236 * (AVERAGE(AH5:AH6)*0.453592) - 0.8399854508 * AH253 * (AVERAGE(AH5:AH6)*0.453592) +
0.0967347393 * AH316 * (AVERAGE(AH5:AH6)*0.453592) - 5.2553838048 * AH252 * (AVERAGE(AH5:AH6)*0.453592)</f>
        <v>958.93141742963121</v>
      </c>
      <c r="AI342" s="299">
        <f xml:space="preserve"> -1619.2980797296 + 25.9248064834 * (AI251/1000) - 2657.6209162609 * AI236 +
123.0469725298 * AI253 - 9.2854579989 * AI316 + 872.0182830582 * AI252 + 26.664395965 * (AVERAGE(AI5:AI6)*0.453592) +
2599.7646012325 * AI236 * AI236- 0.1016237102 *  (AVERAGE(AI5:AI6)*0.453592) *  (AVERAGE(AI5:AI6)*0.453592) - 71.8618465276 * AI236 * AI253 -
607.1294449572 * AI236 * AI252 + 25.6463076451 * AI236 * (AVERAGE(AI5:AI6)*0.453592) - 0.8399854508 * AI253 * (AVERAGE(AI5:AI6)*0.453592) +
0.0967347393 * AI316 * (AVERAGE(AI5:AI6)*0.453592) - 5.2553838048 * AI252 * (AVERAGE(AI5:AI6)*0.453592)</f>
        <v>932.08406418687355</v>
      </c>
      <c r="AK342" s="299">
        <f xml:space="preserve"> (-1619.2980797296 + 25.9248064834 * (AK251/1000) - 2657.6209162609 * AK236 +
123.0469725298 * AK253 - 9.2854579989 * AK316 + 872.0182830582 * AK252 + 26.664395965 * (AVERAGE(AK5:AK6)*0.453592) +
2599.7646012325 * AK236 * AK236- 0.1016237102 *  (AVERAGE(AK5:AK6)*0.453592) *  (AVERAGE(AK5:AK6)*0.453592) - 71.8618465276 * AK236 * AK253 -
607.1294449572 * AK236 * AK252 + 25.6463076451 * AK236 * (AVERAGE(AK5:AK6)*0.453592) - 0.8399854508 * AK253 * (AVERAGE(AK5:AK6)*0.453592) +
0.0967347393 * AK316 * (AVERAGE(AK5:AK6)*0.453592) - 5.2553838048 * AK252 * (AVERAGE(AK5:AK6)*0.453592))</f>
        <v>728.10045668103191</v>
      </c>
      <c r="AL342" s="299">
        <f xml:space="preserve"> -1619.2980797296 + 25.9248064834 * (AL251/1000) - 2657.6209162609 * AL236 +
123.0469725298 * AL253 - 9.2854579989 * AL316 + 872.0182830582 * AL252 + 26.664395965 * (AVERAGE(AL5:AL6)*0.453592) +
2599.7646012325 * AL236 * AL236- 0.1016237102 *  (AVERAGE(AL5:AL6)*0.453592) *  (AVERAGE(AL5:AL6)*0.453592) - 71.8618465276 * AL236 * AL253 -
607.1294449572 * AL236 * AL252 + 25.6463076451 * AL236 * (AVERAGE(AL5:AL6)*0.453592) - 0.8399854508 * AL253 * (AVERAGE(AL5:AL6)*0.453592) +
0.0967347393 * AL316 * (AVERAGE(AL5:AL6)*0.453592) - 5.2553838048 * AL252 * (AVERAGE(AL5:AL6)*0.453592)</f>
        <v>852.26887422429309</v>
      </c>
      <c r="AM342" s="299">
        <f xml:space="preserve"> -1619.2980797296 + 25.9248064834 * (AM251/1000) - 2657.6209162609 * AM236 +
123.0469725298 * AM253 - 9.2854579989 * AM316 + 872.0182830582 * AM252 + 26.664395965 * (AVERAGE(AM5:AM6)*0.453592) +
2599.7646012325 * AM236 * AM236- 0.1016237102 *  (AVERAGE(AM5:AM6)*0.453592) *  (AVERAGE(AM5:AM6)*0.453592) - 71.8618465276 * AM236 * AM253 -
607.1294449572 * AM236 * AM252 + 25.6463076451 * AM236 * (AVERAGE(AM5:AM6)*0.453592) - 0.8399854508 * AM253 * (AVERAGE(AM5:AM6)*0.453592) +
0.0967347393 * AM316 * (AVERAGE(AM5:AM6)*0.453592) - 5.2553838048 * AM252 * (AVERAGE(AM5:AM6)*0.453592)</f>
        <v>933.06299604687842</v>
      </c>
      <c r="AN342" s="299">
        <f xml:space="preserve"> -1619.2980797296 + 25.9248064834 * (AN251/1000) - 2657.6209162609 * AN236 +
123.0469725298 * AN253 - 9.2854579989 * AN316 + 872.0182830582 * AN252 + 26.664395965 * (AVERAGE(AN5:AN6)*0.453592) +
2599.7646012325 * AN236 * AN236- 0.1016237102 *  (AVERAGE(AN5:AN6)*0.453592) *  (AVERAGE(AN5:AN6)*0.453592) - 71.8618465276 * AN236 * AN253 -
607.1294449572 * AN236 * AN252 + 25.6463076451 * AN236 * (AVERAGE(AN5:AN6)*0.453592) - 0.8399854508 * AN253 * (AVERAGE(AN5:AN6)*0.453592) +
0.0967347393 * AN316 * (AVERAGE(AN5:AN6)*0.453592) - 5.2553838048 * AN252 * (AVERAGE(AN5:AN6)*0.453592)</f>
        <v>966.12397518923876</v>
      </c>
      <c r="AO342" s="299">
        <f xml:space="preserve"> -1619.2980797296 + 25.9248064834 * (AO251/1000) - 2657.6209162609 * AO236 +
123.0469725298 * AO253 - 9.2854579989 * AO316 + 872.0182830582 * AO252 + 26.664395965 * (AVERAGE(AO5:AO6)*0.453592) +
2599.7646012325 * AO236 * AO236- 0.1016237102 *  (AVERAGE(AO5:AO6)*0.453592) *  (AVERAGE(AO5:AO6)*0.453592) - 71.8618465276 * AO236 * AO253 -
607.1294449572 * AO236 * AO252 + 25.6463076451 * AO236 * (AVERAGE(AO5:AO6)*0.453592) - 0.8399854508 * AO253 * (AVERAGE(AO5:AO6)*0.453592) +
0.0967347393 * AO316 * (AVERAGE(AO5:AO6)*0.453592) - 5.2553838048 * AO252 * (AVERAGE(AO5:AO6)*0.453592)</f>
        <v>953.16426326229521</v>
      </c>
      <c r="AP342" s="299">
        <f xml:space="preserve"> -1619.2980797296 + 25.9248064834 * (AP251/1000) - 2657.6209162609 * AP236 +
123.0469725298 * AP253 - 9.2854579989 * AP316 + 872.0182830582 * AP252 + 26.664395965 * (AVERAGE(AP5:AP6)*0.453592) +
2599.7646012325 * AP236 * AP236- 0.1016237102 *  (AVERAGE(AP5:AP6)*0.453592) *  (AVERAGE(AP5:AP6)*0.453592) - 71.8618465276 * AP236 * AP253 -
607.1294449572 * AP236 * AP252 + 25.6463076451 * AP236 * (AVERAGE(AP5:AP6)*0.453592) - 0.8399854508 * AP253 * (AVERAGE(AP5:AP6)*0.453592) +
0.0967347393 * AP316 * (AVERAGE(AP5:AP6)*0.453592) - 5.2553838048 * AP252 * (AVERAGE(AP5:AP6)*0.453592)</f>
        <v>932.08406418687355</v>
      </c>
      <c r="AR342" s="299">
        <f xml:space="preserve"> (-1619.2980797296 + 25.9248064834 * (AR251/1000) - 2657.6209162609 * AR236 +
123.0469725298 * AR253 - 9.2854579989 * AR316 + 872.0182830582 * AR252 + 26.664395965 * (AVERAGE(AR5:AR6)*0.453592) +
2599.7646012325 * AR236 * AR236- 0.1016237102 *  (AVERAGE(AR5:AR6)*0.453592) *  (AVERAGE(AR5:AR6)*0.453592) - 71.8618465276 * AR236 * AR253 -
607.1294449572 * AR236 * AR252 + 25.6463076451 * AR236 * (AVERAGE(AR5:AR6)*0.453592) - 0.8399854508 * AR253 * (AVERAGE(AR5:AR6)*0.453592) +
0.0967347393 * AR316 * (AVERAGE(AR5:AR6)*0.453592) - 5.2553838048 * AR252 * (AVERAGE(AR5:AR6)*0.453592))</f>
        <v>725.70833548714313</v>
      </c>
      <c r="AS342" s="299">
        <f xml:space="preserve"> -1619.2980797296 + 25.9248064834 * (AS251/1000) - 2657.6209162609 * AS236 +
123.0469725298 * AS253 - 9.2854579989 * AS316 + 872.0182830582 * AS252 + 26.664395965 * (AVERAGE(AS5:AS6)*0.453592) +
2599.7646012325 * AS236 * AS236- 0.1016237102 *  (AVERAGE(AS5:AS6)*0.453592) *  (AVERAGE(AS5:AS6)*0.453592) - 71.8618465276 * AS236 * AS253 -
607.1294449572 * AS236 * AS252 + 25.6463076451 * AS236 * (AVERAGE(AS5:AS6)*0.453592) - 0.8399854508 * AS253 * (AVERAGE(AS5:AS6)*0.453592) +
0.0967347393 * AS316 * (AVERAGE(AS5:AS6)*0.453592) - 5.2553838048 * AS252 * (AVERAGE(AS5:AS6)*0.453592)</f>
        <v>850.26358207143301</v>
      </c>
      <c r="AT342" s="299">
        <f xml:space="preserve"> -1619.2980797296 + 25.9248064834 * (AT251/1000) - 2657.6209162609 * AT236 +
123.0469725298 * AT253 - 9.2854579989 * AT316 + 872.0182830582 * AT252 + 26.664395965 * (AVERAGE(AT5:AT6)*0.453592) +
2599.7646012325 * AT236 * AT236- 0.1016237102 *  (AVERAGE(AT5:AT6)*0.453592) *  (AVERAGE(AT5:AT6)*0.453592) - 71.8618465276 * AT236 * AT253 -
607.1294449572 * AT236 * AT252 + 25.6463076451 * AT236 * (AVERAGE(AT5:AT6)*0.453592) - 0.8399854508 * AT253 * (AVERAGE(AT5:AT6)*0.453592) +
0.0967347393 * AT316 * (AVERAGE(AT5:AT6)*0.453592) - 5.2553838048 * AT252 * (AVERAGE(AT5:AT6)*0.453592)</f>
        <v>930.71636813888495</v>
      </c>
      <c r="AU342" s="299">
        <f xml:space="preserve"> -1619.2980797296 + 25.9248064834 * (AU251/1000) - 2657.6209162609 * AU236 +
123.0469725298 * AU253 - 9.2854579989 * AU316 + 872.0182830582 * AU252 + 26.664395965 * (AVERAGE(AU5:AU6)*0.453592) +
2599.7646012325 * AU236 * AU236- 0.1016237102 *  (AVERAGE(AU5:AU6)*0.453592) *  (AVERAGE(AU5:AU6)*0.453592) - 71.8618465276 * AU236 * AU253 -
607.1294449572 * AU236 * AU252 + 25.6463076451 * AU236 * (AVERAGE(AU5:AU6)*0.453592) - 0.8399854508 * AU253 * (AVERAGE(AU5:AU6)*0.453592) +
0.0967347393 * AU316 * (AVERAGE(AU5:AU6)*0.453592) - 5.2553838048 * AU252 * (AVERAGE(AU5:AU6)*0.453592)</f>
        <v>962.53800879494202</v>
      </c>
      <c r="AV342" s="299">
        <f xml:space="preserve"> -1619.2980797296 + 25.9248064834 * (AV251/1000) - 2657.6209162609 * AV236 +
123.0469725298 * AV253 - 9.2854579989 * AV316 + 872.0182830582 * AV252 + 26.664395965 * (AVERAGE(AV5:AV6)*0.453592) +
2599.7646012325 * AV236 * AV236- 0.1016237102 *  (AVERAGE(AV5:AV6)*0.453592) *  (AVERAGE(AV5:AV6)*0.453592) - 71.8618465276 * AV236 * AV253 -
607.1294449572 * AV236 * AV252 + 25.6463076451 * AV236 * (AVERAGE(AV5:AV6)*0.453592) - 0.8399854508 * AV253 * (AVERAGE(AV5:AV6)*0.453592) +
0.0967347393 * AV316 * (AVERAGE(AV5:AV6)*0.453592) - 5.2553838048 * AV252 * (AVERAGE(AV5:AV6)*0.453592)</f>
        <v>947.39723970899036</v>
      </c>
      <c r="AW342" s="299">
        <f xml:space="preserve"> -1619.2980797296 + 25.9248064834 * (AW251/1000) - 2657.6209162609 * AW236 +
123.0469725298 * AW253 - 9.2854579989 * AW316 + 872.0182830582 * AW252 + 26.664395965 * (AVERAGE(AW5:AW6)*0.453592) +
2599.7646012325 * AW236 * AW236- 0.1016237102 *  (AVERAGE(AW5:AW6)*0.453592) *  (AVERAGE(AW5:AW6)*0.453592) - 71.8618465276 * AW236 * AW253 -
607.1294449572 * AW236 * AW252 + 25.6463076451 * AW236 * (AVERAGE(AW5:AW6)*0.453592) - 0.8399854508 * AW253 * (AVERAGE(AW5:AW6)*0.453592) +
0.0967347393 * AW316 * (AVERAGE(AW5:AW6)*0.453592) - 5.2553838048 * AW252 * (AVERAGE(AW5:AW6)*0.453592)</f>
        <v>932.08406418687355</v>
      </c>
    </row>
    <row r="343" spans="1:52" x14ac:dyDescent="0.25">
      <c r="A343" s="298" t="s">
        <v>479</v>
      </c>
      <c r="B343" s="300">
        <f t="shared" ref="B343:G343" si="230">B342/B344*1000</f>
        <v>1359.5480024980595</v>
      </c>
      <c r="C343" s="300">
        <f t="shared" si="230"/>
        <v>1828.292464469157</v>
      </c>
      <c r="D343" s="300">
        <f t="shared" si="230"/>
        <v>2305.5922105887325</v>
      </c>
      <c r="E343" s="300">
        <f t="shared" si="230"/>
        <v>2729.415034120711</v>
      </c>
      <c r="F343" s="300">
        <f t="shared" si="230"/>
        <v>3011.820185199786</v>
      </c>
      <c r="G343" s="300">
        <f t="shared" si="230"/>
        <v>3094.1334754619566</v>
      </c>
      <c r="I343" s="300">
        <f t="shared" ref="I343:N343" si="231">I342/I344*1000</f>
        <v>1346.0575235344752</v>
      </c>
      <c r="J343" s="300">
        <f t="shared" si="231"/>
        <v>1808.595311865093</v>
      </c>
      <c r="K343" s="300">
        <f t="shared" si="231"/>
        <v>2279.5083502226785</v>
      </c>
      <c r="L343" s="300">
        <f t="shared" si="231"/>
        <v>2700.3612615711422</v>
      </c>
      <c r="M343" s="300">
        <f t="shared" si="231"/>
        <v>2987.6315457739638</v>
      </c>
      <c r="N343" s="300">
        <f t="shared" si="231"/>
        <v>3094.1334754619566</v>
      </c>
      <c r="P343" s="300">
        <f t="shared" ref="P343:U343" si="232">P342/P344*1000</f>
        <v>1332.8624926290099</v>
      </c>
      <c r="Q343" s="300">
        <f t="shared" si="232"/>
        <v>1789.3098606339688</v>
      </c>
      <c r="R343" s="300">
        <f t="shared" si="232"/>
        <v>2253.8731748737682</v>
      </c>
      <c r="S343" s="300">
        <f t="shared" si="232"/>
        <v>2671.6841291230453</v>
      </c>
      <c r="T343" s="300">
        <f t="shared" si="232"/>
        <v>2963.4336848946218</v>
      </c>
      <c r="U343" s="300">
        <f t="shared" si="232"/>
        <v>3094.1334754619566</v>
      </c>
      <c r="W343" s="300">
        <f t="shared" ref="W343:AB343" si="233">W342/W344*1000</f>
        <v>1319.8294826778078</v>
      </c>
      <c r="X343" s="300">
        <f t="shared" si="233"/>
        <v>1770.2488848051646</v>
      </c>
      <c r="Y343" s="300">
        <f t="shared" si="233"/>
        <v>2228.656365811431</v>
      </c>
      <c r="Z343" s="300">
        <f t="shared" si="233"/>
        <v>2643.1093688582519</v>
      </c>
      <c r="AA343" s="300">
        <f t="shared" si="233"/>
        <v>2938.4405548250534</v>
      </c>
      <c r="AB343" s="300">
        <f t="shared" si="233"/>
        <v>3094.1334754619566</v>
      </c>
      <c r="AD343" s="300">
        <f t="shared" ref="AD343:AI343" si="234">AD342/AD344*1000</f>
        <v>1307.0315999535521</v>
      </c>
      <c r="AE343" s="300">
        <f t="shared" si="234"/>
        <v>1751.5617488331043</v>
      </c>
      <c r="AF343" s="300">
        <f t="shared" si="234"/>
        <v>2203.7708364174064</v>
      </c>
      <c r="AG343" s="300">
        <f t="shared" si="234"/>
        <v>2614.9114448239866</v>
      </c>
      <c r="AH343" s="300">
        <f t="shared" si="234"/>
        <v>2914.0973596218037</v>
      </c>
      <c r="AI343" s="300">
        <f t="shared" si="234"/>
        <v>3094.1334754619566</v>
      </c>
      <c r="AK343" s="300">
        <f t="shared" ref="AK343:AP343" si="235">AK342/AK344*1000</f>
        <v>1294.4478777057961</v>
      </c>
      <c r="AL343" s="300">
        <f t="shared" si="235"/>
        <v>1733.2355395153918</v>
      </c>
      <c r="AM343" s="300">
        <f t="shared" si="235"/>
        <v>2179.5789117240365</v>
      </c>
      <c r="AN343" s="300">
        <f t="shared" si="235"/>
        <v>2587.6226674441846</v>
      </c>
      <c r="AO343" s="300">
        <f t="shared" si="235"/>
        <v>2889.870798769618</v>
      </c>
      <c r="AP343" s="300">
        <f t="shared" si="235"/>
        <v>3094.1334754619566</v>
      </c>
      <c r="AR343" s="300">
        <f t="shared" ref="AR343:AW343" si="236">AR342/AR344*1000</f>
        <v>1281.8816657962336</v>
      </c>
      <c r="AS343" s="300">
        <f t="shared" si="236"/>
        <v>1715.3369667994261</v>
      </c>
      <c r="AT343" s="300">
        <f t="shared" si="236"/>
        <v>2155.7875605878421</v>
      </c>
      <c r="AU343" s="300">
        <f t="shared" si="236"/>
        <v>2560.602748390314</v>
      </c>
      <c r="AV343" s="300">
        <f t="shared" si="236"/>
        <v>2865.7517354761844</v>
      </c>
      <c r="AW343" s="300">
        <f t="shared" si="236"/>
        <v>3094.1334754619566</v>
      </c>
      <c r="AZ343" s="373"/>
    </row>
    <row r="344" spans="1:52" x14ac:dyDescent="0.25">
      <c r="A344" s="298" t="s">
        <v>480</v>
      </c>
      <c r="B344" s="299">
        <f t="shared" ref="B344:G344" si="237" xml:space="preserve"> -232.8670000513 - (102.0339177026 * (B251/1000)) + (1386.8135453223 * B236) - (3.1583174866 * B253) + (80.3303777865 * B316) - (115.1570451563 * B252) + (4.1836503117 * (AVERAGE(B5:B6)*0.453592)) + (2553.6417073224 * B236 * B236) + (228.757399518 * B252 * B252) + (12.736240264 *  (B251/1000) * B253) - (24.4502664605 *  (B251/1000) * B316) - (23.0415882284 * B236 * B253) + (101.5847297779 * B236 * B316) - (1559.9331198689 * B236 *B252) - (3.9239483753 * B236 * (AVERAGE(B5:B6)*0.453592)) - (0.1078600966 * B253 * (AVERAGE(B5:B6)*0.453592)) - (28.1879330488 * B316 * B252) - (0.1153929924 * B316 * (AVERAGE(B5:B6)*0.453592))</f>
        <v>544.53845340080113</v>
      </c>
      <c r="C344" s="299">
        <f t="shared" si="237"/>
        <v>471.75579583355693</v>
      </c>
      <c r="D344" s="299">
        <f t="shared" si="237"/>
        <v>409.85407727163351</v>
      </c>
      <c r="E344" s="299">
        <f t="shared" si="237"/>
        <v>360.59074506150858</v>
      </c>
      <c r="F344" s="299">
        <f t="shared" si="237"/>
        <v>326.06282096567122</v>
      </c>
      <c r="G344" s="299">
        <f t="shared" si="237"/>
        <v>301.24235802326291</v>
      </c>
      <c r="I344" s="299">
        <f t="shared" ref="I344:N344" si="238" xml:space="preserve"> -232.8670000513 - (102.0339177026 * (I251/1000)) + (1386.8135453223 * I236) - (3.1583174866 * I253) + (80.3303777865 * I316) - (115.1570451563 * I252) + (4.1836503117 * (AVERAGE(I5:I6)*0.453592)) + (2553.6417073224 * I236 * I236) + (228.757399518 * I252 * I252) + (12.736240264 *  (I251/1000) * I253) - (24.4502664605 *  (I251/1000) * I316) - (23.0415882284 * I236 * I253) + (101.5847297779 * I236 * I316) - (1559.9331198689 * I236 *I252) - (3.9239483753 * I236 * (AVERAGE(I5:I6)*0.453592)) - (0.1078600966 * I253 * (AVERAGE(I5:I6)*0.453592)) - (28.1879330488 * I316 * I252) - (0.1153929924 * I316 * (AVERAGE(I5:I6)*0.453592))</f>
        <v>548.13616804173489</v>
      </c>
      <c r="J344" s="299">
        <f t="shared" si="238"/>
        <v>475.74147464882753</v>
      </c>
      <c r="K344" s="299">
        <f t="shared" si="238"/>
        <v>413.49391362962149</v>
      </c>
      <c r="L344" s="299">
        <f t="shared" si="238"/>
        <v>363.13725449078942</v>
      </c>
      <c r="M344" s="299">
        <f t="shared" si="238"/>
        <v>326.79784463924585</v>
      </c>
      <c r="N344" s="299">
        <f t="shared" si="238"/>
        <v>301.24235802326291</v>
      </c>
      <c r="P344" s="299">
        <f t="shared" ref="P344:U344" si="239" xml:space="preserve"> -232.8670000513 - (102.0339177026 * (P251/1000)) + (1386.8135453223 * P236) - (3.1583174866 * P253) + (80.3303777865 * P316) - (115.1570451563 * P252) + (4.1836503117 * (AVERAGE(P5:P6)*0.453592)) + (2553.6417073224 * P236 * P236) + (228.757399518 * P252 * P252) + (12.736240264 *  (P251/1000) * P253) - (24.4502664605 *  (P251/1000) * P316) - (23.0415882284 * P236 * P253) + (101.5847297779 * P236 * P316) - (1559.9331198689 * P236 *P252) - (3.9239483753 * P236 * (AVERAGE(P5:P6)*0.453592)) - (0.1078600966 * P253 * (AVERAGE(P5:P6)*0.453592)) - (28.1879330488 * P316 * P252) - (0.1153929924 * P316 * (AVERAGE(P5:P6)*0.453592))</f>
        <v>551.71776264187986</v>
      </c>
      <c r="Q344" s="299">
        <f t="shared" si="239"/>
        <v>479.72040315004631</v>
      </c>
      <c r="R344" s="299">
        <f t="shared" si="239"/>
        <v>417.13996726322972</v>
      </c>
      <c r="S344" s="299">
        <f t="shared" si="239"/>
        <v>365.68103520491923</v>
      </c>
      <c r="T344" s="299">
        <f t="shared" si="239"/>
        <v>327.53100961701546</v>
      </c>
      <c r="U344" s="299">
        <f t="shared" si="239"/>
        <v>301.24235802326291</v>
      </c>
      <c r="W344" s="299">
        <f t="shared" ref="W344:AB344" si="240" xml:space="preserve"> -232.8670000513 - (102.0339177026 * (W251/1000)) + (1386.8135453223 * W236) - (3.1583174866 * W253) + (80.3303777865 * W316) - (115.1570451563 * W252) + (4.1836503117 * (AVERAGE(W5:W6)*0.453592)) + (2553.6417073224 * W236 * W236) + (228.757399518 * W252 * W252) + (12.736240264 *  (W251/1000) * W253) - (24.4502664605 *  (W251/1000) * W316) - (23.0415882284 * W236 * W253) + (101.5847297779 * W236 * W316) - (1559.9331198689 * W236 *W252) - (3.9239483753 * W236 * (AVERAGE(W5:W6)*0.453592)) - (0.1078600966 * W253 * (AVERAGE(W5:W6)*0.453592)) - (28.1879330488 * W316 * W252) - (0.1153929924 * W316 * (AVERAGE(W5:W6)*0.453592))</f>
        <v>555.31056526434872</v>
      </c>
      <c r="X344" s="299">
        <f t="shared" si="240"/>
        <v>483.73901499139083</v>
      </c>
      <c r="Y344" s="299">
        <f t="shared" si="240"/>
        <v>420.79283801219384</v>
      </c>
      <c r="Z344" s="299">
        <f t="shared" si="240"/>
        <v>368.26915264044965</v>
      </c>
      <c r="AA344" s="299">
        <f t="shared" si="240"/>
        <v>328.31826271900195</v>
      </c>
      <c r="AB344" s="299">
        <f t="shared" si="240"/>
        <v>301.24235802326291</v>
      </c>
      <c r="AD344" s="299">
        <f t="shared" ref="AD344:AI344" si="241" xml:space="preserve"> -232.8670000513 - (102.0339177026 * (AD251/1000)) + (1386.8135453223 * AD236) - (3.1583174866 * AD253) + (80.3303777865 * AD316) - (115.1570451563 * AD252) + (4.1836503117 * (AVERAGE(AD5:AD6)*0.453592)) + (2553.6417073224 * AD236 * AD236) + (228.757399518 * AD252 * AD252) + (12.736240264 *  (AD251/1000) * AD253) - (24.4502664605 *  (AD251/1000) * AD316) - (23.0415882284 * AD236 * AD253) + (101.5847297779 * AD236 * AD316) - (1559.9331198689 * AD236 *AD252) - (3.9239483753 * AD236 * (AVERAGE(AD5:AD6)*0.453592)) - (0.1078600966 * AD253 * (AVERAGE(AD5:AD6)*0.453592)) - (28.1879330488 * AD316 * AD252) - (0.1153929924 * AD316 * (AVERAGE(AD5:AD6)*0.453592))</f>
        <v>558.91156851249946</v>
      </c>
      <c r="AE344" s="299">
        <f t="shared" si="241"/>
        <v>487.73504180043989</v>
      </c>
      <c r="AF344" s="299">
        <f t="shared" si="241"/>
        <v>424.4759228850063</v>
      </c>
      <c r="AG344" s="299">
        <f t="shared" si="241"/>
        <v>370.85566295655667</v>
      </c>
      <c r="AH344" s="299">
        <f t="shared" si="241"/>
        <v>329.06636226940708</v>
      </c>
      <c r="AI344" s="299">
        <f t="shared" si="241"/>
        <v>301.24235802326291</v>
      </c>
      <c r="AK344" s="299">
        <f t="shared" ref="AK344:AP344" si="242" xml:space="preserve"> -232.8670000513 - (102.0339177026 * (AK251/1000)) + (1386.8135453223 * AK236) - (3.1583174866 * AK253) + (80.3303777865 * AK316) - (115.1570451563 * AK252) + (4.1836503117 * (AVERAGE(AK5:AK6)*0.453592)) + (2553.6417073224 * AK236 * AK236) + (228.757399518 * AK252 * AK252) + (12.736240264 *  (AK251/1000) * AK253) - (24.4502664605 *  (AK251/1000) * AK316) - (23.0415882284 * AK236 * AK253) + (101.5847297779 * AK236 * AK316) - (1559.9331198689 * AK236 *AK252) - (3.9239483753 * AK236 * (AVERAGE(AK5:AK6)*0.453592)) - (0.1078600966 * AK253 * (AVERAGE(AK5:AK6)*0.453592)) - (28.1879330488 * AK316 * AK252) - (0.1153929924 * AK316 * (AVERAGE(AK5:AK6)*0.453592))</f>
        <v>562.47954762881193</v>
      </c>
      <c r="AL344" s="299">
        <f t="shared" si="242"/>
        <v>491.72132395957289</v>
      </c>
      <c r="AM344" s="299">
        <f t="shared" si="242"/>
        <v>428.09323903250197</v>
      </c>
      <c r="AN344" s="299">
        <f t="shared" si="242"/>
        <v>373.36354614001243</v>
      </c>
      <c r="AO344" s="299">
        <f t="shared" si="242"/>
        <v>329.82936941959872</v>
      </c>
      <c r="AP344" s="299">
        <f t="shared" si="242"/>
        <v>301.24235802326291</v>
      </c>
      <c r="AR344" s="299">
        <f t="shared" ref="AR344:AW344" si="243" xml:space="preserve"> -232.8670000513 - (102.0339177026 * (AR251/1000)) + (1386.8135453223 * AR236) - (3.1583174866 * AR253) + (80.3303777865 * AR316) - (115.1570451563 * AR252) + (4.1836503117 * (AVERAGE(AR5:AR6)*0.453592)) + (2553.6417073224 * AR236 * AR236) + (228.757399518 * AR252 * AR252) + (12.736240264 *  (AR251/1000) * AR253) - (24.4502664605 *  (AR251/1000) * AR316) - (23.0415882284 * AR236 * AR253) + (101.5847297779 * AR236 * AR316) - (1559.9331198689 * AR236 *AR252) - (3.9239483753 * AR236 * (AVERAGE(AR5:AR6)*0.453592)) - (0.1078600966 * AR253 * (AVERAGE(AR5:AR6)*0.453592)) - (28.1879330488 * AR316 * AR252) - (0.1153929924 * AR316 * (AVERAGE(AR5:AR6)*0.453592))</f>
        <v>566.12740071945211</v>
      </c>
      <c r="AS344" s="299">
        <f t="shared" si="243"/>
        <v>495.68312146732518</v>
      </c>
      <c r="AT344" s="299">
        <f t="shared" si="243"/>
        <v>431.72916717503296</v>
      </c>
      <c r="AU344" s="299">
        <f t="shared" si="243"/>
        <v>375.90290387684212</v>
      </c>
      <c r="AV344" s="299">
        <f t="shared" si="243"/>
        <v>330.59292191323306</v>
      </c>
      <c r="AW344" s="299">
        <f t="shared" si="243"/>
        <v>301.24235802326291</v>
      </c>
      <c r="AZ344" s="2"/>
    </row>
    <row r="345" spans="1:52" x14ac:dyDescent="0.25">
      <c r="A345" s="298" t="s">
        <v>134</v>
      </c>
      <c r="B345" s="301">
        <f t="shared" ref="B345:G345" si="244">IF(B323="","0",1/B344*1000)</f>
        <v>1.8364176005472321</v>
      </c>
      <c r="C345" s="301">
        <f t="shared" si="244"/>
        <v>2.1197407829045858</v>
      </c>
      <c r="D345" s="301">
        <f t="shared" si="244"/>
        <v>2.4398927702681932</v>
      </c>
      <c r="E345" s="301">
        <f t="shared" si="244"/>
        <v>2.7732270273032733</v>
      </c>
      <c r="F345" s="301">
        <f t="shared" si="244"/>
        <v>3.0668936649642822</v>
      </c>
      <c r="G345" s="301">
        <f t="shared" si="244"/>
        <v>3.319586284485188</v>
      </c>
      <c r="I345" s="301">
        <f t="shared" ref="I345:N345" si="245">IF(I323="","0",1/I344*1000)</f>
        <v>1.8243641968976225</v>
      </c>
      <c r="J345" s="301">
        <f t="shared" si="245"/>
        <v>2.1019819656004519</v>
      </c>
      <c r="K345" s="301">
        <f t="shared" si="245"/>
        <v>2.4184152826387888</v>
      </c>
      <c r="L345" s="301">
        <f t="shared" si="245"/>
        <v>2.7537797007422267</v>
      </c>
      <c r="M345" s="301">
        <f t="shared" si="245"/>
        <v>3.0599957019419946</v>
      </c>
      <c r="N345" s="301">
        <f t="shared" si="245"/>
        <v>3.319586284485188</v>
      </c>
      <c r="P345" s="301">
        <f t="shared" ref="P345:U345" si="246">IF(P323="","0",1/P344*1000)</f>
        <v>1.812520944063025</v>
      </c>
      <c r="Q345" s="301">
        <f t="shared" si="246"/>
        <v>2.0845475686120052</v>
      </c>
      <c r="R345" s="301">
        <f t="shared" si="246"/>
        <v>2.3972768818121075</v>
      </c>
      <c r="S345" s="301">
        <f t="shared" si="246"/>
        <v>2.7346236302345375</v>
      </c>
      <c r="T345" s="301">
        <f t="shared" si="246"/>
        <v>3.0531460247666558</v>
      </c>
      <c r="U345" s="301">
        <f t="shared" si="246"/>
        <v>3.319586284485188</v>
      </c>
      <c r="W345" s="301">
        <f t="shared" ref="W345:AB345" si="247">IF(W323="","0",1/W344*1000)</f>
        <v>1.8007941187359948</v>
      </c>
      <c r="X345" s="301">
        <f t="shared" si="247"/>
        <v>2.0672304052584987</v>
      </c>
      <c r="Y345" s="301">
        <f t="shared" si="247"/>
        <v>2.3764663028105573</v>
      </c>
      <c r="Z345" s="301">
        <f t="shared" si="247"/>
        <v>2.7154052758155522</v>
      </c>
      <c r="AA345" s="301">
        <f t="shared" si="247"/>
        <v>3.0458250836197647</v>
      </c>
      <c r="AB345" s="301">
        <f t="shared" si="247"/>
        <v>3.319586284485188</v>
      </c>
      <c r="AD345" s="301">
        <f t="shared" ref="AD345:AI345" si="248">IF(AD323="","0",1/AD344*1000)</f>
        <v>1.7891918083954208</v>
      </c>
      <c r="AE345" s="301">
        <f t="shared" si="248"/>
        <v>2.050293528856507</v>
      </c>
      <c r="AF345" s="301">
        <f t="shared" si="248"/>
        <v>2.3558462237466116</v>
      </c>
      <c r="AG345" s="301">
        <f t="shared" si="248"/>
        <v>2.6964668465023371</v>
      </c>
      <c r="AH345" s="301">
        <f t="shared" si="248"/>
        <v>3.0389007041117702</v>
      </c>
      <c r="AI345" s="301">
        <f t="shared" si="248"/>
        <v>3.319586284485188</v>
      </c>
      <c r="AK345" s="301">
        <f t="shared" ref="AK345:AP345" si="249">IF(AK323="","0",1/AK344*1000)</f>
        <v>1.7778424197210347</v>
      </c>
      <c r="AL345" s="301">
        <f t="shared" si="249"/>
        <v>2.0336722270808321</v>
      </c>
      <c r="AM345" s="301">
        <f t="shared" si="249"/>
        <v>2.3359397178521601</v>
      </c>
      <c r="AN345" s="301">
        <f t="shared" si="249"/>
        <v>2.6783546769319493</v>
      </c>
      <c r="AO345" s="301">
        <f t="shared" si="249"/>
        <v>3.0318706965353077</v>
      </c>
      <c r="AP345" s="301">
        <f t="shared" si="249"/>
        <v>3.319586284485188</v>
      </c>
      <c r="AR345" s="301">
        <f t="shared" ref="AR345:AW345" si="250">IF(AR323="","0",1/AR344*1000)</f>
        <v>1.7663868569674763</v>
      </c>
      <c r="AS345" s="301">
        <f t="shared" si="250"/>
        <v>2.0174178960134692</v>
      </c>
      <c r="AT345" s="301">
        <f t="shared" si="250"/>
        <v>2.3162669470385282</v>
      </c>
      <c r="AU345" s="301">
        <f t="shared" si="250"/>
        <v>2.6602614390221158</v>
      </c>
      <c r="AV345" s="301">
        <f t="shared" si="250"/>
        <v>3.0248681496649179</v>
      </c>
      <c r="AW345" s="301">
        <f t="shared" si="250"/>
        <v>3.319586284485188</v>
      </c>
      <c r="AZ345" s="180"/>
    </row>
    <row r="346" spans="1:52" x14ac:dyDescent="0.25">
      <c r="A346" s="298" t="s">
        <v>481</v>
      </c>
      <c r="B346" s="301">
        <f t="shared" ref="B346:G346" si="251">(B6-B5)*0.453592/(B342/1000)</f>
        <v>21.444223797755399</v>
      </c>
      <c r="C346" s="301">
        <f t="shared" si="251"/>
        <v>18.406470406661629</v>
      </c>
      <c r="D346" s="301">
        <f t="shared" si="251"/>
        <v>19.20054789166538</v>
      </c>
      <c r="E346" s="301">
        <f t="shared" si="251"/>
        <v>18.43491851613966</v>
      </c>
      <c r="F346" s="301">
        <f t="shared" si="251"/>
        <v>18.475451331583397</v>
      </c>
      <c r="G346" s="301">
        <f t="shared" si="251"/>
        <v>21.898926056424528</v>
      </c>
      <c r="I346" s="301">
        <f>(I351-I5)*0.453592/(I342/1000)</f>
        <v>21.444180657067676</v>
      </c>
      <c r="J346" s="301">
        <f>(J351-I351)*0.453592/(J342/1000)</f>
        <v>18.468861145667098</v>
      </c>
      <c r="K346" s="301">
        <f>(K351-J351)*0.453592/(K342/1000)</f>
        <v>19.241235076334746</v>
      </c>
      <c r="L346" s="301">
        <f>(L351-K351)*0.453592/(L342/1000)</f>
        <v>18.481784903982295</v>
      </c>
      <c r="M346" s="301">
        <f>(M351-L351)*0.453592/(M342/1000)</f>
        <v>18.543424990635529</v>
      </c>
      <c r="N346" s="301">
        <f>(N351-M351)*0.453592/(N342/1000)</f>
        <v>22.011726947699138</v>
      </c>
      <c r="P346" s="301">
        <f>(P351-P5)*0.453592/(P342/1000)</f>
        <v>21.444180512814388</v>
      </c>
      <c r="Q346" s="301">
        <f>(Q351-P351)*0.453592/(Q342/1000)</f>
        <v>18.5304401206206</v>
      </c>
      <c r="R346" s="301">
        <f>(R351-Q351)*0.453592/(R342/1000)</f>
        <v>19.281577029672029</v>
      </c>
      <c r="S346" s="301">
        <f>(S351-R351)*0.453592/(S342/1000)</f>
        <v>18.528776430584667</v>
      </c>
      <c r="T346" s="301">
        <f>(T351-S351)*0.453592/(T342/1000)</f>
        <v>18.612534884371275</v>
      </c>
      <c r="U346" s="301">
        <f>(U351-T351)*0.453592/(U342/1000)</f>
        <v>22.125406592837031</v>
      </c>
      <c r="W346" s="301">
        <f>(W351-W5)*0.453592/(W342/1000)</f>
        <v>21.444180368200207</v>
      </c>
      <c r="X346" s="301">
        <f>(X351-W351)*0.453592/(X342/1000)</f>
        <v>18.592052665087088</v>
      </c>
      <c r="Y346" s="301">
        <f>(Y351-X351)*0.453592/(Y342/1000)</f>
        <v>19.321625692823108</v>
      </c>
      <c r="Z346" s="301">
        <f>(Z351-Y351)*0.453592/(Z342/1000)</f>
        <v>18.576031100282854</v>
      </c>
      <c r="AA346" s="301">
        <f>(AA351-Z351)*0.453592/(AA342/1000)</f>
        <v>18.68232415303773</v>
      </c>
      <c r="AB346" s="301">
        <f>(AB351-AA351)*0.453592/(AB342/1000)</f>
        <v>22.241813810965095</v>
      </c>
      <c r="AD346" s="301">
        <f>(AD351-AD5)*0.453592/(AD342/1000)</f>
        <v>21.444180225508411</v>
      </c>
      <c r="AE346" s="301">
        <f>(AE351-AD351)*0.453592/(AE342/1000)</f>
        <v>18.652744062285436</v>
      </c>
      <c r="AF346" s="301">
        <f>(AF351-AE351)*0.453592/(AF342/1000)</f>
        <v>19.362078906597588</v>
      </c>
      <c r="AG346" s="301">
        <f>(AG351-AF351)*0.453592/(AG342/1000)</f>
        <v>18.623185103685412</v>
      </c>
      <c r="AH346" s="301">
        <f>(AH351-AG351)*0.453592/(AH342/1000)</f>
        <v>18.753188402720575</v>
      </c>
      <c r="AI346" s="301">
        <f>(AI351-AH351)*0.453592/(AI342/1000)</f>
        <v>22.357022848537344</v>
      </c>
      <c r="AK346" s="301">
        <f>(AK351-AK5)*0.453592/(AK342/1000)</f>
        <v>21.444180081008241</v>
      </c>
      <c r="AL346" s="301">
        <f>(AL351-AK351)*0.453592/(AL342/1000)</f>
        <v>18.714085606058251</v>
      </c>
      <c r="AM346" s="301">
        <f>(AM351-AL351)*0.453592/(AM342/1000)</f>
        <v>19.402521007844101</v>
      </c>
      <c r="AN346" s="301">
        <f>(AN351-AM351)*0.453592/(AN342/1000)</f>
        <v>18.671284929069639</v>
      </c>
      <c r="AO346" s="301">
        <f>(AO351-AN351)*0.453592/(AO342/1000)</f>
        <v>18.825090164827966</v>
      </c>
      <c r="AP346" s="301">
        <f>(AP351-AO351)*0.453592/(AP342/1000)</f>
        <v>22.471337404739206</v>
      </c>
      <c r="AR346" s="301">
        <f>(AR351-AR5)*0.453592/(AR342/1000)</f>
        <v>21.444179936906615</v>
      </c>
      <c r="AS346" s="301">
        <f>(AS351-AR351)*0.453592/(AS342/1000)</f>
        <v>18.775142014533465</v>
      </c>
      <c r="AT346" s="301">
        <f>(AT351-AS351)*0.453592/(AT342/1000)</f>
        <v>19.442688246434916</v>
      </c>
      <c r="AU346" s="301">
        <f>(AU351-AT351)*0.453592/(AU342/1000)</f>
        <v>18.718975662448919</v>
      </c>
      <c r="AV346" s="301">
        <f>(AV351-AU351)*0.453592/(AV342/1000)</f>
        <v>18.896995983012399</v>
      </c>
      <c r="AW346" s="301">
        <f>(AW351-AV351)*0.453592/(AW342/1000)</f>
        <v>22.58564937195445</v>
      </c>
    </row>
    <row r="347" spans="1:52" x14ac:dyDescent="0.25">
      <c r="A347" s="298" t="s">
        <v>482</v>
      </c>
      <c r="B347" s="299">
        <f t="shared" ref="B347:G347" si="252" xml:space="preserve"> 51.6684755267 + 7.1030096064 * (B251/1000) + 54.0870565413 * B236 + 1.6439820046 * B253 + 0.4039153805 * B316 - 20.5375389219 * B252 + 0.2869358688 *(AVERAGE(B5:B6)*0.453592) - 0.016597667 * B316 * B316 - 0.1531408962 * (B251/1000) * (AVERAGE(B5:B6)*0.453592) - 4.8153797375 * B236 * B253 + 0.5304361357 * B236 * (AVERAGE(B5:B6)*0.453592) + 0.9830652207 * B253 * B252 - 0.0127129553 * B253 *(AVERAGE(B5:B6)*0.453592)</f>
        <v>58.926946242378264</v>
      </c>
      <c r="C347" s="299">
        <f t="shared" si="252"/>
        <v>66.189194917789251</v>
      </c>
      <c r="D347" s="299">
        <f t="shared" si="252"/>
        <v>71.395755678401272</v>
      </c>
      <c r="E347" s="299">
        <f t="shared" si="252"/>
        <v>74.83136084114436</v>
      </c>
      <c r="F347" s="299">
        <f t="shared" si="252"/>
        <v>76.96558226351317</v>
      </c>
      <c r="G347" s="299">
        <f t="shared" si="252"/>
        <v>78.664524560378098</v>
      </c>
      <c r="I347" s="299">
        <f t="shared" ref="I347:N347" si="253" xml:space="preserve"> 51.6684755267 + 7.1030096064 * (I251/1000) + 54.0870565413 * I236 + 1.6439820046 * I253 + 0.4039153805 * I316 - 20.5375389219 * I252 + 0.2869358688 *(AVERAGE(I5:I6)*0.453592) - 0.016597667 * I316 * I316 - 0.1531408962 * (I251/1000) * (AVERAGE(I5:I6)*0.453592) - 4.8153797375 * I236 * I253 + 0.5304361357 * I236 * (AVERAGE(I5:I6)*0.453592) + 0.9830652207 * I253 * I252 - 0.0127129553 * I253 *(AVERAGE(I5:I6)*0.453592)</f>
        <v>59.09139613138931</v>
      </c>
      <c r="J347" s="299">
        <f t="shared" si="253"/>
        <v>66.313420302963252</v>
      </c>
      <c r="K347" s="299">
        <f t="shared" si="253"/>
        <v>71.471346393132137</v>
      </c>
      <c r="L347" s="299">
        <f t="shared" si="253"/>
        <v>74.84636152949102</v>
      </c>
      <c r="M347" s="299">
        <f t="shared" si="253"/>
        <v>76.910352430709082</v>
      </c>
      <c r="N347" s="299">
        <f t="shared" si="253"/>
        <v>78.664524560378098</v>
      </c>
      <c r="P347" s="299">
        <f t="shared" ref="P347:U347" si="254" xml:space="preserve"> 51.6684755267 + 7.1030096064 * (P251/1000) + 54.0870565413 * P236 + 1.6439820046 * P253 + 0.4039153805 * P316 - 20.5375389219 * P252 + 0.2869358688 *(AVERAGE(P5:P6)*0.453592) - 0.016597667 * P316 * P316 - 0.1531408962 * (P251/1000) * (AVERAGE(P5:P6)*0.453592) - 4.8153797375 * P236 * P253 + 0.5304361357 * P236 * (AVERAGE(P5:P6)*0.453592) + 0.9830652207 * P253 * P252 - 0.0127129553 * P253 *(AVERAGE(P5:P6)*0.453592)</f>
        <v>59.213405696969289</v>
      </c>
      <c r="Q347" s="299">
        <f t="shared" si="254"/>
        <v>66.394267678839796</v>
      </c>
      <c r="R347" s="299">
        <f t="shared" si="254"/>
        <v>71.503229001911293</v>
      </c>
      <c r="S347" s="299">
        <f t="shared" si="254"/>
        <v>74.816417617610782</v>
      </c>
      <c r="T347" s="299">
        <f t="shared" si="254"/>
        <v>76.809839826814795</v>
      </c>
      <c r="U347" s="299">
        <f t="shared" si="254"/>
        <v>78.664524560378098</v>
      </c>
      <c r="W347" s="299">
        <f t="shared" ref="W347:AB347" si="255" xml:space="preserve"> 51.6684755267 + 7.1030096064 * (W251/1000) + 54.0870565413 * W236 + 1.6439820046 * W253 + 0.4039153805 * W316 - 20.5375389219 * W252 + 0.2869358688 *(AVERAGE(W5:W6)*0.453592) - 0.016597667 * W316 * W316 - 0.1531408962 * (W251/1000) * (AVERAGE(W5:W6)*0.453592) - 4.8153797375 * W236 * W253 + 0.5304361357 * W236 * (AVERAGE(W5:W6)*0.453592) + 0.9830652207 * W253 * W252 - 0.0127129553 * W253 *(AVERAGE(W5:W6)*0.453592)</f>
        <v>59.292236558404859</v>
      </c>
      <c r="X347" s="299">
        <f t="shared" si="255"/>
        <v>66.432213572130166</v>
      </c>
      <c r="Y347" s="299">
        <f t="shared" si="255"/>
        <v>71.491030740073782</v>
      </c>
      <c r="Z347" s="299">
        <f t="shared" si="255"/>
        <v>74.741625292437405</v>
      </c>
      <c r="AA347" s="299">
        <f t="shared" si="255"/>
        <v>76.659885906926505</v>
      </c>
      <c r="AB347" s="299">
        <f t="shared" si="255"/>
        <v>78.664524560378098</v>
      </c>
      <c r="AD347" s="299">
        <f t="shared" ref="AD347:AI347" si="256" xml:space="preserve"> 51.6684755267 + 7.1030096064 * (AD251/1000) + 54.0870565413 * AD236 + 1.6439820046 * AD253 + 0.4039153805 * AD316 - 20.5375389219 * AD252 + 0.2869358688 *(AVERAGE(AD5:AD6)*0.453592) - 0.016597667 * AD316 * AD316 - 0.1531408962 * (AD251/1000) * (AVERAGE(AD5:AD6)*0.453592) - 4.8153797375 * AD236 * AD253 + 0.5304361357 * AD236 * (AVERAGE(AD5:AD6)*0.453592) + 0.9830652207 * AD253 * AD252 - 0.0127129553 * AD253 *(AVERAGE(AD5:AD6)*0.453592)</f>
        <v>59.327622154748106</v>
      </c>
      <c r="AE347" s="299">
        <f t="shared" si="256"/>
        <v>66.425476727488331</v>
      </c>
      <c r="AF347" s="299">
        <f t="shared" si="256"/>
        <v>71.434541791076924</v>
      </c>
      <c r="AG347" s="299">
        <f t="shared" si="256"/>
        <v>74.622045819313882</v>
      </c>
      <c r="AH347" s="299">
        <f t="shared" si="256"/>
        <v>76.469002554340079</v>
      </c>
      <c r="AI347" s="299">
        <f t="shared" si="256"/>
        <v>78.664524560378098</v>
      </c>
      <c r="AK347" s="299">
        <f t="shared" ref="AK347:AP347" si="257" xml:space="preserve"> 51.6684755267 + 7.1030096064 * (AK251/1000) + 54.0870565413 * AK236 + 1.6439820046 * AK253 + 0.4039153805 * AK316 - 20.5375389219 * AK252 + 0.2869358688 *(AVERAGE(AK5:AK6)*0.453592) - 0.016597667 * AK316 * AK316 - 0.1531408962 * (AK251/1000) * (AVERAGE(AK5:AK6)*0.453592) - 4.8153797375 * AK236 * AK253 + 0.5304361357 * AK236 * (AVERAGE(AK5:AK6)*0.453592) + 0.9830652207 * AK253 * AK252 - 0.0127129553 * AK253 *(AVERAGE(AK5:AK6)*0.453592)</f>
        <v>59.318356467807462</v>
      </c>
      <c r="AL347" s="299">
        <f t="shared" si="257"/>
        <v>66.374582841623081</v>
      </c>
      <c r="AM347" s="299">
        <f t="shared" si="257"/>
        <v>71.333617885657461</v>
      </c>
      <c r="AN347" s="299">
        <f t="shared" si="257"/>
        <v>74.459439202728745</v>
      </c>
      <c r="AO347" s="299">
        <f t="shared" si="257"/>
        <v>76.23542246748292</v>
      </c>
      <c r="AP347" s="299">
        <f t="shared" si="257"/>
        <v>78.664524560378098</v>
      </c>
      <c r="AR347" s="299">
        <f t="shared" ref="AR347:AW347" si="258" xml:space="preserve"> 51.6684755267 + 7.1030096064 * (AR251/1000) + 54.0870565413 * AR236 + 1.6439820046 * AR253 + 0.4039153805 * AR316 - 20.5375389219 * AR252 + 0.2869358688 *(AVERAGE(AR5:AR6)*0.453592) - 0.016597667 * AR316 * AR316 - 0.1531408962 * (AR251/1000) * (AVERAGE(AR5:AR6)*0.453592) - 4.8153797375 * AR236 * AR253 + 0.5304361357 * AR236 * (AVERAGE(AR5:AR6)*0.453592) + 0.9830652207 * AR253 * AR252 - 0.0127129553 * AR253 *(AVERAGE(AR5:AR6)*0.453592)</f>
        <v>59.265466489103638</v>
      </c>
      <c r="AS347" s="299">
        <f t="shared" si="258"/>
        <v>66.279535537836878</v>
      </c>
      <c r="AT347" s="299">
        <f t="shared" si="258"/>
        <v>71.188164550840597</v>
      </c>
      <c r="AU347" s="299">
        <f t="shared" si="258"/>
        <v>74.254493489462334</v>
      </c>
      <c r="AV347" s="299">
        <f t="shared" si="258"/>
        <v>75.958637070765008</v>
      </c>
      <c r="AW347" s="299">
        <f t="shared" si="258"/>
        <v>78.664524560378098</v>
      </c>
    </row>
    <row r="348" spans="1:52" x14ac:dyDescent="0.25">
      <c r="A348" s="298" t="s">
        <v>474</v>
      </c>
      <c r="B348" s="299">
        <f t="shared" ref="B348:G348" si="259" xml:space="preserve"> 41.4410513954 + (14.8656283053 * B236) - (0.6326892081 * B253) - (12.1380129342 * B252) -
(0.0133880688 * (B253^2)) + (1.1112817574 * (B252^2))</f>
        <v>9.5560371255009784</v>
      </c>
      <c r="C348" s="299">
        <f t="shared" si="259"/>
        <v>10.757396605242121</v>
      </c>
      <c r="D348" s="299">
        <f t="shared" si="259"/>
        <v>12.259709285644082</v>
      </c>
      <c r="E348" s="299">
        <f t="shared" si="259"/>
        <v>14.049104759357949</v>
      </c>
      <c r="F348" s="299">
        <f t="shared" si="259"/>
        <v>15.652515990358797</v>
      </c>
      <c r="G348" s="299">
        <f t="shared" si="259"/>
        <v>16.585997021003028</v>
      </c>
      <c r="I348" s="299">
        <f t="shared" ref="I348:N348" si="260" xml:space="preserve"> 41.4410513954 + (14.8656283053 * I236) - (0.6326892081 * I253) - (12.1380129342 * I252) -
(0.0133880688 * (I253^2)) + (1.1112817574 * (I252^2))</f>
        <v>9.0933048618120118</v>
      </c>
      <c r="J348" s="299">
        <f t="shared" si="260"/>
        <v>10.311012862634842</v>
      </c>
      <c r="K348" s="299">
        <f t="shared" si="260"/>
        <v>11.823664253738526</v>
      </c>
      <c r="L348" s="299">
        <f t="shared" si="260"/>
        <v>13.630979852848109</v>
      </c>
      <c r="M348" s="299">
        <f t="shared" si="260"/>
        <v>15.248496810138954</v>
      </c>
      <c r="N348" s="299">
        <f t="shared" si="260"/>
        <v>16.585997021003028</v>
      </c>
      <c r="P348" s="299">
        <f t="shared" ref="P348:U348" si="261" xml:space="preserve"> 41.4410513954 + (14.8656283053 * P236) - (0.6326892081 * P253) - (12.1380129342 * P252) -
(0.0133880688 * (P253^2)) + (1.1112817574 * (P252^2))</f>
        <v>8.6242264868095067</v>
      </c>
      <c r="Q348" s="299">
        <f t="shared" si="261"/>
        <v>9.8574304209795365</v>
      </c>
      <c r="R348" s="299">
        <f t="shared" si="261"/>
        <v>11.384026026423545</v>
      </c>
      <c r="S348" s="299">
        <f t="shared" si="261"/>
        <v>13.204884468312088</v>
      </c>
      <c r="T348" s="299">
        <f t="shared" si="261"/>
        <v>14.837241706198098</v>
      </c>
      <c r="U348" s="299">
        <f t="shared" si="261"/>
        <v>16.585997021003028</v>
      </c>
      <c r="W348" s="299">
        <f t="shared" ref="W348:AB348" si="262" xml:space="preserve"> 41.4410513954 + (14.8656283053 * W236) - (0.6326892081 * W253) - (12.1380129342 * W252) -
(0.0133880688 * (W253^2)) + (1.1112817574 * (W252^2))</f>
        <v>8.1510930677487536</v>
      </c>
      <c r="X348" s="299">
        <f t="shared" si="262"/>
        <v>9.3991090791810272</v>
      </c>
      <c r="Y348" s="299">
        <f t="shared" si="262"/>
        <v>10.939436909321465</v>
      </c>
      <c r="Z348" s="299">
        <f t="shared" si="262"/>
        <v>12.771966731073549</v>
      </c>
      <c r="AA348" s="299">
        <f t="shared" si="262"/>
        <v>14.411122606313359</v>
      </c>
      <c r="AB348" s="299">
        <f t="shared" si="262"/>
        <v>16.585997021003028</v>
      </c>
      <c r="AD348" s="299">
        <f t="shared" ref="AD348:AI348" si="263" xml:space="preserve"> 41.4410513954 + (14.8656283053 * AD236) - (0.6326892081 * AD253) - (12.1380129342 * AD252) -
(0.0133880688 * (AD253^2)) + (1.1112817574 * (AD252^2))</f>
        <v>7.6700654777157986</v>
      </c>
      <c r="AE348" s="299">
        <f t="shared" si="263"/>
        <v>8.9364822664303851</v>
      </c>
      <c r="AF348" s="299">
        <f t="shared" si="263"/>
        <v>10.487077634288781</v>
      </c>
      <c r="AG348" s="299">
        <f t="shared" si="263"/>
        <v>12.33234149436136</v>
      </c>
      <c r="AH348" s="299">
        <f t="shared" si="263"/>
        <v>13.985626544785905</v>
      </c>
      <c r="AI348" s="299">
        <f t="shared" si="263"/>
        <v>16.585997021003028</v>
      </c>
      <c r="AK348" s="299">
        <f t="shared" ref="AK348:AP348" si="264" xml:space="preserve"> 41.4410513954 + (14.8656283053 * AK236) - (0.6326892081 * AK253) - (12.1380129342 * AK252) -
(0.0133880688 * (AK253^2)) + (1.1112817574 * (AK252^2))</f>
        <v>7.1853653926390351</v>
      </c>
      <c r="AL348" s="299">
        <f t="shared" si="264"/>
        <v>8.4684247652800657</v>
      </c>
      <c r="AM348" s="299">
        <f t="shared" si="264"/>
        <v>10.032696964274615</v>
      </c>
      <c r="AN348" s="299">
        <f t="shared" si="264"/>
        <v>11.887990957422288</v>
      </c>
      <c r="AO348" s="299">
        <f t="shared" si="264"/>
        <v>13.558286189646102</v>
      </c>
      <c r="AP348" s="299">
        <f t="shared" si="264"/>
        <v>16.585997021003028</v>
      </c>
      <c r="AR348" s="299">
        <f t="shared" ref="AR348:AW348" si="265" xml:space="preserve"> 41.4410513954 + (14.8656283053 * AR236) - (0.6326892081 * AR253) - (12.1380129342 * AR252) -
(0.0133880688 * (AR253^2)) + (1.1112817574 * (AR252^2))</f>
        <v>6.6969433924295458</v>
      </c>
      <c r="AS348" s="299">
        <f t="shared" si="265"/>
        <v>7.9920964947221336</v>
      </c>
      <c r="AT348" s="299">
        <f t="shared" si="265"/>
        <v>9.5645988475590684</v>
      </c>
      <c r="AU348" s="299">
        <f t="shared" si="265"/>
        <v>11.44361850021634</v>
      </c>
      <c r="AV348" s="299">
        <f t="shared" si="265"/>
        <v>13.126486599606135</v>
      </c>
      <c r="AW348" s="299">
        <f t="shared" si="265"/>
        <v>16.585997021003028</v>
      </c>
    </row>
    <row r="349" spans="1:52" x14ac:dyDescent="0.25">
      <c r="A349" s="298" t="s">
        <v>483</v>
      </c>
      <c r="B349" s="299">
        <f t="shared" ref="B349:G349" si="266" xml:space="preserve"> -16.7992454106 + 17.2658536059 * (B251/1000) - 106.6634904715 * B236 + 0.1550376119 * B253 - 0.0727312562 * B316 + 48.6541457906 * B252 - 0.1535643762 * B253 * B253 - 0.0358142801 * B316 * B316 - 5.4618633046 * B252 * B252 + 4.2267870055 * B236 * B253 - 2.0313848595 * B236 * B316 + 0.1484978883 * B253 * B316</f>
        <v>51.865570489059841</v>
      </c>
      <c r="C349" s="299">
        <f t="shared" si="266"/>
        <v>57.191564116130472</v>
      </c>
      <c r="D349" s="299">
        <f t="shared" si="266"/>
        <v>59.985859623399051</v>
      </c>
      <c r="E349" s="299">
        <f t="shared" si="266"/>
        <v>60.902879894464405</v>
      </c>
      <c r="F349" s="299">
        <f t="shared" si="266"/>
        <v>60.770621726469166</v>
      </c>
      <c r="G349" s="299">
        <f t="shared" si="266"/>
        <v>60.466263275736296</v>
      </c>
      <c r="I349" s="299">
        <f t="shared" ref="I349:N349" si="267" xml:space="preserve"> -16.7992454106 + 17.2658536059 * (I251/1000) - 106.6634904715 * I236 + 0.1550376119 * I253 - 0.0727312562 * I316 + 48.6541457906 * I252 - 0.1535643762 * I253 * I253 - 0.0358142801 * I316 * I316 - 5.4618633046 * I252 * I252 + 4.2267870055 * I236 * I253 - 2.0313848595 * I236 * I316 + 0.1484978883 * I253 * I316</f>
        <v>51.783866857205012</v>
      </c>
      <c r="J349" s="299">
        <f t="shared" si="267"/>
        <v>57.125618094797098</v>
      </c>
      <c r="K349" s="299">
        <f t="shared" si="267"/>
        <v>59.934030001518721</v>
      </c>
      <c r="L349" s="299">
        <f t="shared" si="267"/>
        <v>60.850116086046441</v>
      </c>
      <c r="M349" s="299">
        <f t="shared" si="267"/>
        <v>60.707554439258523</v>
      </c>
      <c r="N349" s="299">
        <f t="shared" si="267"/>
        <v>60.466263275736296</v>
      </c>
      <c r="P349" s="299">
        <f t="shared" ref="P349:U349" si="268" xml:space="preserve"> -16.7992454106 + 17.2658536059 * (P251/1000) - 106.6634904715 * P236 + 0.1550376119 * P253 - 0.0727312562 * P316 + 48.6541457906 * P252 - 0.1535643762 * P253 * P253 - 0.0358142801 * P316 * P316 - 5.4618633046 * P252 * P252 + 4.2267870055 * P236 * P253 - 2.0313848595 * P236 * P316 + 0.1484978883 * P253 * P316</f>
        <v>51.701273375053937</v>
      </c>
      <c r="Q349" s="299">
        <f t="shared" si="268"/>
        <v>57.054991340604431</v>
      </c>
      <c r="R349" s="299">
        <f t="shared" si="268"/>
        <v>59.876062262285146</v>
      </c>
      <c r="S349" s="299">
        <f t="shared" si="268"/>
        <v>60.791961352377797</v>
      </c>
      <c r="T349" s="299">
        <f t="shared" si="268"/>
        <v>60.638737841734908</v>
      </c>
      <c r="U349" s="299">
        <f t="shared" si="268"/>
        <v>60.466263275736296</v>
      </c>
      <c r="W349" s="299">
        <f t="shared" ref="W349:AB349" si="269" xml:space="preserve"> -16.7992454106 + 17.2658536059 * (W251/1000) - 106.6634904715 * W236 + 0.1550376119 * W253 - 0.0727312562 * W316 + 48.6541457906 * W252 - 0.1535643762 * W253 * W253 - 0.0358142801 * W316 * W316 - 5.4618633046 * W252 * W252 + 4.2267870055 * W236 * W253 - 2.0313848595 * W236 * W316 + 0.1484978883 * W253 * W316</f>
        <v>51.615797751803427</v>
      </c>
      <c r="X349" s="299">
        <f t="shared" si="269"/>
        <v>56.981560306091339</v>
      </c>
      <c r="Y349" s="299">
        <f t="shared" si="269"/>
        <v>59.811755077100386</v>
      </c>
      <c r="Z349" s="299">
        <f t="shared" si="269"/>
        <v>60.729286038228253</v>
      </c>
      <c r="AA349" s="299">
        <f t="shared" si="269"/>
        <v>60.570057420500376</v>
      </c>
      <c r="AB349" s="299">
        <f t="shared" si="269"/>
        <v>60.466263275736296</v>
      </c>
      <c r="AD349" s="299">
        <f t="shared" ref="AD349:AI349" si="270" xml:space="preserve"> -16.7992454106 + 17.2658536059 * (AD251/1000) - 106.6634904715 * AD236 + 0.1550376119 * AD253 - 0.0727312562 * AD316 + 48.6541457906 * AD252 - 0.1535643762 * AD253 * AD253 - 0.0358142801 * AD316 * AD316 - 5.4618633046 * AD252 * AD252 + 4.2267870055 * AD236 * AD253 - 2.0313848595 * AD236 * AD316 + 0.1484978883 * AD253 * AD316</f>
        <v>51.528196427835837</v>
      </c>
      <c r="AE349" s="299">
        <f t="shared" si="270"/>
        <v>56.899524710044396</v>
      </c>
      <c r="AF349" s="299">
        <f t="shared" si="270"/>
        <v>59.743742974388688</v>
      </c>
      <c r="AG349" s="299">
        <f t="shared" si="270"/>
        <v>60.661311299934667</v>
      </c>
      <c r="AH349" s="299">
        <f t="shared" si="270"/>
        <v>60.494952417231694</v>
      </c>
      <c r="AI349" s="299">
        <f t="shared" si="270"/>
        <v>60.466263275736296</v>
      </c>
      <c r="AK349" s="299">
        <f t="shared" ref="AK349:AP349" si="271" xml:space="preserve"> -16.7992454106 + 17.2658536059 * (AK251/1000) - 106.6634904715 * AK236 + 0.1550376119 * AK253 - 0.0727312562 * AK316 + 48.6541457906 * AK252 - 0.1535643762 * AK253 * AK253 - 0.0358142801 * AK316 * AK316 - 5.4618633046 * AK252 * AK252 + 4.2267870055 * AK236 * AK253 - 2.0313848595 * AK236 * AK316 + 0.1484978883 * AK253 * AK316</f>
        <v>51.430326388055704</v>
      </c>
      <c r="AL349" s="299">
        <f t="shared" si="271"/>
        <v>56.811336359911465</v>
      </c>
      <c r="AM349" s="299">
        <f t="shared" si="271"/>
        <v>59.665516320557913</v>
      </c>
      <c r="AN349" s="299">
        <f t="shared" si="271"/>
        <v>60.588758520318819</v>
      </c>
      <c r="AO349" s="299">
        <f t="shared" si="271"/>
        <v>60.413356563780425</v>
      </c>
      <c r="AP349" s="299">
        <f t="shared" si="271"/>
        <v>60.466263275736296</v>
      </c>
      <c r="AR349" s="299">
        <f t="shared" ref="AR349:AW349" si="272" xml:space="preserve"> -16.7992454106 + 17.2658536059 * (AR251/1000) - 106.6634904715 * AR236 + 0.1550376119 * AR253 - 0.0727312562 * AR316 + 48.6541457906 * AR252 - 0.1535643762 * AR253 * AR253 - 0.0358142801 * AR316 * AR316 - 5.4618633046 * AR252 * AR252 + 4.2267870055 * AR236 * AR253 - 2.0313848595 * AR236 * AR316 + 0.1484978883 * AR253 * AR316</f>
        <v>51.333048683753852</v>
      </c>
      <c r="AS349" s="299">
        <f t="shared" si="272"/>
        <v>56.717888089032421</v>
      </c>
      <c r="AT349" s="299">
        <f t="shared" si="272"/>
        <v>59.587513468898166</v>
      </c>
      <c r="AU349" s="299">
        <f t="shared" si="272"/>
        <v>60.509888062978689</v>
      </c>
      <c r="AV349" s="299">
        <f t="shared" si="272"/>
        <v>60.325688480526559</v>
      </c>
      <c r="AW349" s="299">
        <f t="shared" si="272"/>
        <v>60.466263275736296</v>
      </c>
    </row>
    <row r="350" spans="1:52" x14ac:dyDescent="0.25">
      <c r="A350" s="298" t="s">
        <v>484</v>
      </c>
      <c r="B350" s="299">
        <f t="shared" ref="B350:G350" si="273" xml:space="preserve"> 49.3215904687 - 4.5564383267 * (B251/1000) + 31.3355706686 * B236 + 0.0864922401 * B253 - 16.201377828 * B236 * B236</f>
        <v>53.767985207144591</v>
      </c>
      <c r="C350" s="299">
        <f t="shared" si="273"/>
        <v>54.221957863966054</v>
      </c>
      <c r="D350" s="299">
        <f t="shared" si="273"/>
        <v>54.11985087991409</v>
      </c>
      <c r="E350" s="299">
        <f t="shared" si="273"/>
        <v>53.644786108848308</v>
      </c>
      <c r="F350" s="299">
        <f t="shared" si="273"/>
        <v>53.100859923606755</v>
      </c>
      <c r="G350" s="299">
        <f t="shared" si="273"/>
        <v>52.737723960313936</v>
      </c>
      <c r="I350" s="299">
        <f t="shared" ref="I350:N350" si="274" xml:space="preserve"> 49.3215904687 - 4.5564383267 * (I251/1000) + 31.3355706686 * I236 + 0.0864922401 * I253 - 16.201377828 * I236 * I236</f>
        <v>53.805166262959759</v>
      </c>
      <c r="J350" s="299">
        <f t="shared" si="274"/>
        <v>54.258441790395381</v>
      </c>
      <c r="K350" s="299">
        <f t="shared" si="274"/>
        <v>54.15629245890738</v>
      </c>
      <c r="L350" s="299">
        <f t="shared" si="274"/>
        <v>53.680605208877083</v>
      </c>
      <c r="M350" s="299">
        <f t="shared" si="274"/>
        <v>53.13647582019366</v>
      </c>
      <c r="N350" s="299">
        <f t="shared" si="274"/>
        <v>52.737723960313936</v>
      </c>
      <c r="P350" s="299">
        <f t="shared" ref="P350:U350" si="275" xml:space="preserve"> 49.3215904687 - 4.5564383267 * (P251/1000) + 31.3355706686 * P236 + 0.0864922401 * P253 - 16.201377828 * P236 * P236</f>
        <v>53.841518926567701</v>
      </c>
      <c r="Q350" s="299">
        <f t="shared" si="275"/>
        <v>54.294770838288713</v>
      </c>
      <c r="R350" s="299">
        <f t="shared" si="275"/>
        <v>54.192099907268307</v>
      </c>
      <c r="S350" s="299">
        <f t="shared" si="275"/>
        <v>53.71678061833218</v>
      </c>
      <c r="T350" s="299">
        <f t="shared" si="275"/>
        <v>53.172389210444507</v>
      </c>
      <c r="U350" s="299">
        <f t="shared" si="275"/>
        <v>52.737723960313936</v>
      </c>
      <c r="W350" s="299">
        <f t="shared" ref="W350:AB350" si="276" xml:space="preserve"> 49.3215904687 - 4.5564383267 * (W251/1000) + 31.3355706686 * W236 + 0.0864922401 * W253 - 16.201377828 * W236 * W236</f>
        <v>53.876986269149981</v>
      </c>
      <c r="X350" s="299">
        <f t="shared" si="276"/>
        <v>54.329875823844006</v>
      </c>
      <c r="Y350" s="299">
        <f t="shared" si="276"/>
        <v>54.227702421462745</v>
      </c>
      <c r="Z350" s="299">
        <f t="shared" si="276"/>
        <v>53.752001372059084</v>
      </c>
      <c r="AA350" s="299">
        <f t="shared" si="276"/>
        <v>53.207999642879145</v>
      </c>
      <c r="AB350" s="299">
        <f t="shared" si="276"/>
        <v>52.737723960313936</v>
      </c>
      <c r="AD350" s="299">
        <f t="shared" ref="AD350:AI350" si="277" xml:space="preserve"> 49.3215904687 - 4.5564383267 * (AD251/1000) + 31.3355706686 * AD236 + 0.0864922401 * AD253 - 16.201377828 * AD236 * AD236</f>
        <v>53.912202855978791</v>
      </c>
      <c r="AE350" s="299">
        <f t="shared" si="277"/>
        <v>54.365427030546286</v>
      </c>
      <c r="AF350" s="299">
        <f t="shared" si="277"/>
        <v>54.262941392447466</v>
      </c>
      <c r="AG350" s="299">
        <f t="shared" si="277"/>
        <v>53.787562202865587</v>
      </c>
      <c r="AH350" s="299">
        <f t="shared" si="277"/>
        <v>53.24400192484616</v>
      </c>
      <c r="AI350" s="299">
        <f t="shared" si="277"/>
        <v>52.737723960313936</v>
      </c>
      <c r="AK350" s="299">
        <f t="shared" ref="AK350:AP350" si="278" xml:space="preserve"> 49.3215904687 - 4.5564383267 * (AK251/1000) + 31.3355706686 * AK236 + 0.0864922401 * AK253 - 16.201377828 * AK236 * AK236</f>
        <v>53.947911308244883</v>
      </c>
      <c r="AL350" s="299">
        <f t="shared" si="278"/>
        <v>54.401073506997619</v>
      </c>
      <c r="AM350" s="299">
        <f t="shared" si="278"/>
        <v>54.299168914933411</v>
      </c>
      <c r="AN350" s="299">
        <f t="shared" si="278"/>
        <v>53.82444110636915</v>
      </c>
      <c r="AO350" s="299">
        <f t="shared" si="278"/>
        <v>53.27925127638818</v>
      </c>
      <c r="AP350" s="299">
        <f t="shared" si="278"/>
        <v>52.737723960313936</v>
      </c>
      <c r="AR350" s="299">
        <f t="shared" ref="AR350:AW350" si="279" xml:space="preserve"> 49.3215904687 - 4.5564383267 * (AR251/1000) + 31.3355706686 * AR236 + 0.0864922401 * AR253 - 16.201377828 * AR236 * AR236</f>
        <v>53.982152599471874</v>
      </c>
      <c r="AS350" s="299">
        <f t="shared" si="279"/>
        <v>54.437287075775657</v>
      </c>
      <c r="AT350" s="299">
        <f t="shared" si="279"/>
        <v>54.335745198265236</v>
      </c>
      <c r="AU350" s="299">
        <f t="shared" si="279"/>
        <v>53.859914486004556</v>
      </c>
      <c r="AV350" s="299">
        <f t="shared" si="279"/>
        <v>53.314497122032883</v>
      </c>
      <c r="AW350" s="299">
        <f t="shared" si="279"/>
        <v>52.737723960313936</v>
      </c>
    </row>
    <row r="351" spans="1:52" x14ac:dyDescent="0.25">
      <c r="A351" s="298" t="s">
        <v>513</v>
      </c>
      <c r="B351" s="364">
        <f t="shared" ref="B351:G351" si="280">B5+(B342*0.00220462*B346)</f>
        <v>84.999929826400006</v>
      </c>
      <c r="C351" s="364">
        <f t="shared" si="280"/>
        <v>119.99992982640001</v>
      </c>
      <c r="D351" s="364">
        <f t="shared" si="280"/>
        <v>159.99991980159999</v>
      </c>
      <c r="E351" s="364">
        <f t="shared" si="280"/>
        <v>199.99991980160002</v>
      </c>
      <c r="F351" s="364">
        <f t="shared" si="280"/>
        <v>239.99991980159999</v>
      </c>
      <c r="G351" s="364">
        <f t="shared" si="280"/>
        <v>284.9999097768</v>
      </c>
      <c r="H351" s="7"/>
      <c r="I351" s="364">
        <f>$B$351-I268</f>
        <v>84.881580127145668</v>
      </c>
      <c r="J351" s="364">
        <f>$C$351-J268</f>
        <v>119.91537195269322</v>
      </c>
      <c r="K351" s="364">
        <f>$D$351-K268</f>
        <v>159.8986012971061</v>
      </c>
      <c r="L351" s="364">
        <f>$E$351-L268</f>
        <v>199.85360728427887</v>
      </c>
      <c r="M351" s="364">
        <f>$F$351-M268</f>
        <v>239.76811575666045</v>
      </c>
      <c r="N351" s="364">
        <f>$G$351-N268</f>
        <v>284.9999097768</v>
      </c>
      <c r="O351" s="2"/>
      <c r="P351" s="364">
        <f>$B$351-P268</f>
        <v>84.765332013975552</v>
      </c>
      <c r="Q351" s="364">
        <f>$C$351-Q268</f>
        <v>119.8319670551648</v>
      </c>
      <c r="R351" s="364">
        <f>$D$351-R268</f>
        <v>159.79776081036005</v>
      </c>
      <c r="S351" s="364">
        <f>$E$351-S268</f>
        <v>199.70658229085751</v>
      </c>
      <c r="T351" s="364">
        <f>$F$351-T268</f>
        <v>239.53451598934654</v>
      </c>
      <c r="U351" s="364">
        <f>$G$351-U268</f>
        <v>284.9999097768</v>
      </c>
      <c r="V351" s="2"/>
      <c r="W351" s="364">
        <f>$B$351-W268</f>
        <v>84.649568215378878</v>
      </c>
      <c r="X351" s="364">
        <f>$C$351-X268</f>
        <v>119.74959113349549</v>
      </c>
      <c r="Y351" s="364">
        <f>$D$351-Y268</f>
        <v>159.69710239526202</v>
      </c>
      <c r="Z351" s="364">
        <f>$E$351-Z268</f>
        <v>199.55992251152736</v>
      </c>
      <c r="AA351" s="364">
        <f>$F$351-AA268</f>
        <v>239.29531134514318</v>
      </c>
      <c r="AB351" s="364">
        <f>$G$351-AB268</f>
        <v>284.9999097768</v>
      </c>
      <c r="AC351" s="2"/>
      <c r="AD351" s="364">
        <f>$B$351-AD268</f>
        <v>84.536096465166835</v>
      </c>
      <c r="AE351" s="364">
        <f>$C$351-AE268</f>
        <v>119.66679265236979</v>
      </c>
      <c r="AF351" s="364">
        <f>$D$351-AF268</f>
        <v>159.5974162049551</v>
      </c>
      <c r="AG351" s="364">
        <f>$E$351-AG268</f>
        <v>199.41276040880135</v>
      </c>
      <c r="AH351" s="364">
        <f>$F$351-AH268</f>
        <v>239.05856883652001</v>
      </c>
      <c r="AI351" s="364">
        <f>$G$351-AI268</f>
        <v>284.9999097768</v>
      </c>
      <c r="AJ351" s="2"/>
      <c r="AK351" s="364">
        <f>$B$351-AK268</f>
        <v>84.421941546879992</v>
      </c>
      <c r="AL351" s="364">
        <f>$C$351-AL268</f>
        <v>119.58445030279348</v>
      </c>
      <c r="AM351" s="364">
        <f>$D$351-AM268</f>
        <v>159.49647340382154</v>
      </c>
      <c r="AN351" s="364">
        <f>$E$351-AN268</f>
        <v>199.26519952236791</v>
      </c>
      <c r="AO351" s="364">
        <f>$F$351-AO268</f>
        <v>238.82366439345145</v>
      </c>
      <c r="AP351" s="364">
        <f>$G$351-AP268</f>
        <v>284.9999097768</v>
      </c>
      <c r="AQ351" s="2"/>
      <c r="AR351" s="364">
        <f>$B$351-AR268</f>
        <v>84.308850526242281</v>
      </c>
      <c r="AS351" s="364">
        <f>$C$351-AS268</f>
        <v>119.50307684235254</v>
      </c>
      <c r="AT351" s="364">
        <f>$D$351-AT268</f>
        <v>159.39714065207249</v>
      </c>
      <c r="AU351" s="364">
        <f>$E$351-AU268</f>
        <v>199.11945841961372</v>
      </c>
      <c r="AV351" s="364">
        <f>$F$351-AV268</f>
        <v>238.58876527047931</v>
      </c>
      <c r="AW351" s="364">
        <f>$G$351-AW268</f>
        <v>284.9999097768</v>
      </c>
      <c r="AX351" s="2"/>
      <c r="AY351" s="7"/>
      <c r="AZ351" s="2"/>
    </row>
    <row r="352" spans="1:52" x14ac:dyDescent="0.25">
      <c r="A352" s="298" t="s">
        <v>514</v>
      </c>
      <c r="B352" s="364">
        <v>0</v>
      </c>
      <c r="C352" s="364">
        <v>0</v>
      </c>
      <c r="D352" s="364">
        <v>0</v>
      </c>
      <c r="E352" s="364">
        <v>0</v>
      </c>
      <c r="F352" s="364">
        <v>0</v>
      </c>
      <c r="G352" s="364">
        <v>0</v>
      </c>
      <c r="H352" s="7"/>
      <c r="I352" s="364">
        <v>0</v>
      </c>
      <c r="J352" s="364">
        <v>0</v>
      </c>
      <c r="K352" s="364">
        <v>0</v>
      </c>
      <c r="L352" s="364">
        <v>0</v>
      </c>
      <c r="M352" s="364">
        <v>0</v>
      </c>
      <c r="N352" s="364">
        <v>0</v>
      </c>
      <c r="O352" s="2"/>
      <c r="P352" s="364">
        <v>0</v>
      </c>
      <c r="Q352" s="364">
        <v>0</v>
      </c>
      <c r="R352" s="364">
        <v>0</v>
      </c>
      <c r="S352" s="364">
        <v>0</v>
      </c>
      <c r="T352" s="364">
        <v>0</v>
      </c>
      <c r="U352" s="364">
        <v>0</v>
      </c>
      <c r="V352" s="2"/>
      <c r="W352" s="364">
        <v>0</v>
      </c>
      <c r="X352" s="364">
        <v>0</v>
      </c>
      <c r="Y352" s="364">
        <v>0</v>
      </c>
      <c r="Z352" s="364">
        <v>0</v>
      </c>
      <c r="AA352" s="364">
        <v>0</v>
      </c>
      <c r="AB352" s="364">
        <v>0</v>
      </c>
      <c r="AC352" s="2"/>
      <c r="AD352" s="364">
        <v>0</v>
      </c>
      <c r="AE352" s="364">
        <v>0</v>
      </c>
      <c r="AF352" s="364">
        <v>0</v>
      </c>
      <c r="AG352" s="364">
        <v>0</v>
      </c>
      <c r="AH352" s="364">
        <v>0</v>
      </c>
      <c r="AI352" s="364">
        <v>0</v>
      </c>
      <c r="AJ352" s="2"/>
      <c r="AK352" s="364">
        <v>0</v>
      </c>
      <c r="AL352" s="364">
        <v>0</v>
      </c>
      <c r="AM352" s="364">
        <v>0</v>
      </c>
      <c r="AN352" s="364">
        <v>0</v>
      </c>
      <c r="AO352" s="364">
        <v>0</v>
      </c>
      <c r="AP352" s="364">
        <v>0</v>
      </c>
      <c r="AQ352" s="2"/>
      <c r="AR352" s="364">
        <v>0</v>
      </c>
      <c r="AS352" s="364">
        <v>0</v>
      </c>
      <c r="AT352" s="364">
        <v>0</v>
      </c>
      <c r="AU352" s="364">
        <v>0</v>
      </c>
      <c r="AV352" s="364">
        <v>0</v>
      </c>
      <c r="AW352" s="364">
        <v>0</v>
      </c>
      <c r="AX352" s="2"/>
    </row>
    <row r="353" spans="1:57" ht="14.4" x14ac:dyDescent="0.3">
      <c r="A353" s="365" t="s">
        <v>515</v>
      </c>
      <c r="B353" s="462">
        <f xml:space="preserve"> 0.03492* B352 - 0.05092 * B316 - 0.06897 * B316 - 0.00289 * (B316 * B352) + 'DDGS Calculator'!$G$9</f>
        <v>73.972551185589822</v>
      </c>
      <c r="C353" s="462">
        <f xml:space="preserve"> 0.03492* C352 - 0.05092 * B316- 0.06897 * C316 - 0.00289 * (C316 * C352) + 'DDGS Calculator'!$G$9</f>
        <v>73.967590114943533</v>
      </c>
      <c r="D353" s="462">
        <f xml:space="preserve"> 0.03492* D352 - 0.05092 * C316- 0.06897 * D316 - 0.00289 * (D316 * D352) + 'DDGS Calculator'!$G$9</f>
        <v>73.959502824315024</v>
      </c>
      <c r="E353" s="462">
        <f xml:space="preserve"> 0.03492* E352 - 0.05092 * D316- 0.06897 * E316 - 0.00289 * (E316 * E352) + 'DDGS Calculator'!$G$9</f>
        <v>73.952564091992727</v>
      </c>
      <c r="F353" s="462">
        <f xml:space="preserve"> 0.03492* F352 - 0.05092 * E316- 0.06897 * F316 - 0.00289 * (F316 * F352) + 'DDGS Calculator'!$G$9</f>
        <v>73.947050097444134</v>
      </c>
      <c r="G353" s="462">
        <f xml:space="preserve"> 0.03492* G352 - 0.05092 * F316- 0.06897 * G316 - 0.00289 * (G316 * G352) + 'DDGS Calculator'!$G$9</f>
        <v>73.9437035156581</v>
      </c>
      <c r="H353" s="7"/>
      <c r="I353" s="462">
        <f xml:space="preserve"> 0.03492* I352 - 0.05092 * I316 - 0.06897 * I316 - 0.00289 * (I316 * I352) + 'DDGS Calculator'!$G$9</f>
        <v>73.833828602114693</v>
      </c>
      <c r="J353" s="462">
        <f xml:space="preserve"> 0.03492* J352 - 0.05092 * I316- 0.06897 * J316 - 0.00289 * (J316 * J352) + 'DDGS Calculator'!$G$9</f>
        <v>73.82896646785872</v>
      </c>
      <c r="K353" s="462">
        <f xml:space="preserve"> 0.03492* K352 - 0.05092 * J316- 0.06897 * K316 - 0.00289 * (K316 * K352) + 'DDGS Calculator'!$G$9</f>
        <v>73.820901308605059</v>
      </c>
      <c r="L353" s="462">
        <f xml:space="preserve"> 0.03492* L352 - 0.05092 * K316- 0.06897 * L316 - 0.00289 * (L316 * L352) + 'DDGS Calculator'!$G$9</f>
        <v>73.813967835662069</v>
      </c>
      <c r="M353" s="462">
        <f xml:space="preserve"> 0.03492* M352 - 0.05092 * L316- 0.06897 * M316 - 0.00289 * (M316 * M352) + 'DDGS Calculator'!$G$9</f>
        <v>73.80848570379834</v>
      </c>
      <c r="N353" s="462">
        <f xml:space="preserve"> 0.03492* N352 - 0.05092 * M316- 0.06897 * N316 - 0.00289 * (N316 * N352) + 'DDGS Calculator'!$G$9</f>
        <v>73.884852149136393</v>
      </c>
      <c r="O353" s="7"/>
      <c r="P353" s="462">
        <f xml:space="preserve"> 0.03492* P352 - 0.05092 * P316 - 0.06897 * P316 - 0.00289 * (P316 * P352) + 'DDGS Calculator'!$G$9</f>
        <v>73.695216362414754</v>
      </c>
      <c r="Q353" s="462">
        <f xml:space="preserve"> 0.03492* Q352 - 0.05092 * P316- 0.06897 * Q316 - 0.00289 * (Q316 * Q352) + 'DDGS Calculator'!$G$9</f>
        <v>73.690379186489054</v>
      </c>
      <c r="R353" s="462">
        <f xml:space="preserve"> 0.03492* R352 - 0.05092 * Q316- 0.06897 * R316 - 0.00289 * (R316 * R352) + 'DDGS Calculator'!$G$9</f>
        <v>73.682358120126025</v>
      </c>
      <c r="S353" s="462">
        <f xml:space="preserve"> 0.03492* S352 - 0.05092 * R316- 0.06897 * S316 - 0.00289 * (S316 * S352) + 'DDGS Calculator'!$G$9</f>
        <v>73.675436479325697</v>
      </c>
      <c r="T353" s="462">
        <f xml:space="preserve"> 0.03492* T352 - 0.05092 * S316- 0.06897 * T316 - 0.00289 * (T316 * T352) + 'DDGS Calculator'!$G$9</f>
        <v>73.669932944937557</v>
      </c>
      <c r="U353" s="462">
        <f xml:space="preserve"> 0.03492* U352 - 0.05092 * T316- 0.06897 * U316 - 0.00289 * (U316 * U352) + 'DDGS Calculator'!$G$9</f>
        <v>73.826000588983575</v>
      </c>
      <c r="V353" s="7"/>
      <c r="W353" s="462">
        <f xml:space="preserve"> 0.03492* W352 - 0.05092 * W316 - 0.06897 * W316 - 0.00289 * (W316 * W352) + 'DDGS Calculator'!$G$9</f>
        <v>73.556565520002735</v>
      </c>
      <c r="X353" s="462">
        <f xml:space="preserve"> 0.03492* X352 - 0.05092 * W316- 0.06897 * X316 - 0.00289 * (X316 * X352) + 'DDGS Calculator'!$G$9</f>
        <v>73.551768592790381</v>
      </c>
      <c r="Y353" s="462">
        <f xml:space="preserve"> 0.03492* Y352 - 0.05092 * X316- 0.06897 * Y316 - 0.00289 * (Y316 * Y352) + 'DDGS Calculator'!$G$9</f>
        <v>73.543770232630337</v>
      </c>
      <c r="Z353" s="462">
        <f xml:space="preserve"> 0.03492* Z352 - 0.05092 * Y316- 0.06897 * Z316 - 0.00289 * (Z316 * Z352) + 'DDGS Calculator'!$G$9</f>
        <v>73.536888779859581</v>
      </c>
      <c r="AA353" s="462">
        <f xml:space="preserve"> 0.03492* AA352 - 0.05092 * Z316- 0.06897 * AA316 - 0.00289 * (AA316 * AA352) + 'DDGS Calculator'!$G$9</f>
        <v>73.531464202881949</v>
      </c>
      <c r="AB353" s="462">
        <f xml:space="preserve"> 0.03492* AB352 - 0.05092 * AA316- 0.06897 * AB316 - 0.00289 * (AB316 * AB352) + 'DDGS Calculator'!$G$9</f>
        <v>73.767204033069618</v>
      </c>
      <c r="AC353" s="7"/>
      <c r="AD353" s="462">
        <f xml:space="preserve"> 0.03492* AD352 - 0.05092 * AD316 - 0.06897 * AD316 - 0.00289 * (AD316 * AD352) + 'DDGS Calculator'!$G$9</f>
        <v>73.41798122197018</v>
      </c>
      <c r="AE353" s="462">
        <f xml:space="preserve"> 0.03492* AE352 - 0.05092 * AD316- 0.06897 * AE316 - 0.00289 * (AE316 * AE352) + 'DDGS Calculator'!$G$9</f>
        <v>73.413168348660989</v>
      </c>
      <c r="AF353" s="462">
        <f xml:space="preserve"> 0.03492* AF352 - 0.05092 * AE316- 0.06897 * AF316 - 0.00289 * (AF316 * AF352) + 'DDGS Calculator'!$G$9</f>
        <v>73.405213927237838</v>
      </c>
      <c r="AG353" s="462">
        <f xml:space="preserve"> 0.03492* AG352 - 0.05092 * AF316- 0.06897 * AG316 - 0.00289 * (AG316 * AG352) + 'DDGS Calculator'!$G$9</f>
        <v>73.398396856199682</v>
      </c>
      <c r="AH353" s="462">
        <f xml:space="preserve"> 0.03492* AH352 - 0.05092 * AG316- 0.06897 * AH316 - 0.00289 * (AH316 * AH352) + 'DDGS Calculator'!$G$9</f>
        <v>73.393772270364721</v>
      </c>
      <c r="AI353" s="462">
        <f xml:space="preserve"> 0.03492* AI352 - 0.05092 * AH316- 0.06897 * AI316 - 0.00289 * (AI316 * AI352) + 'DDGS Calculator'!$G$9</f>
        <v>73.708968619019174</v>
      </c>
      <c r="AJ353" s="7"/>
      <c r="AK353" s="462">
        <f xml:space="preserve"> 0.03492* AK352 - 0.05092 * AK316 - 0.06897 * AK316 - 0.00289 * (AK316 * AK352) + 'DDGS Calculator'!$G$9</f>
        <v>73.279444508857026</v>
      </c>
      <c r="AL353" s="462">
        <f xml:space="preserve"> 0.03492* AL352 - 0.05092 * AK316- 0.06897 * AL316 - 0.00289 * (AL316 * AL352) + 'DDGS Calculator'!$G$9</f>
        <v>73.274644497285777</v>
      </c>
      <c r="AM353" s="462">
        <f xml:space="preserve"> 0.03492* AM352 - 0.05092 * AL316- 0.06897 * AM316 - 0.00289 * (AM316 * AM352) + 'DDGS Calculator'!$G$9</f>
        <v>73.266680746605687</v>
      </c>
      <c r="AN353" s="462">
        <f xml:space="preserve"> 0.03492* AN352 - 0.05092 * AM316- 0.06897 * AN316 - 0.00289 * (AN316 * AN352) + 'DDGS Calculator'!$G$9</f>
        <v>73.260562176703147</v>
      </c>
      <c r="AO353" s="462">
        <f xml:space="preserve"> 0.03492* AO352 - 0.05092 * AN316- 0.06897 * AO316 - 0.00289 * (AO316 * AO352) + 'DDGS Calculator'!$G$9</f>
        <v>73.256783538804285</v>
      </c>
      <c r="AP353" s="462">
        <f xml:space="preserve"> 0.03492* AP352 - 0.05092 * AO316- 0.06897 * AP316 - 0.00289 * (AP316 * AP352) + 'DDGS Calculator'!$G$9</f>
        <v>73.650886739000981</v>
      </c>
      <c r="AQ353" s="7"/>
      <c r="AR353" s="462">
        <f xml:space="preserve"> 0.03492* AR352 - 0.05092 * AR316 - 0.06897 * AR316 - 0.00289 * (AR316 * AR352) + 'DDGS Calculator'!$G$9</f>
        <v>73.140996015976725</v>
      </c>
      <c r="AS353" s="462">
        <f xml:space="preserve"> 0.03492* AS352 - 0.05092 * AR316- 0.06897 * AS316 - 0.00289 * (AS316 * AS352) + 'DDGS Calculator'!$G$9</f>
        <v>73.136165723946505</v>
      </c>
      <c r="AT353" s="462">
        <f xml:space="preserve"> 0.03492* AT352 - 0.05092 * AS316- 0.06897 * AT316 - 0.00289 * (AT316 * AT352) + 'DDGS Calculator'!$G$9</f>
        <v>73.128282983890799</v>
      </c>
      <c r="AU353" s="462">
        <f xml:space="preserve"> 0.03492* AU352 - 0.05092 * AT316- 0.06897 * AU316 - 0.00289 * (AU316 * AU352) + 'DDGS Calculator'!$G$9</f>
        <v>73.123142129510427</v>
      </c>
      <c r="AV353" s="462">
        <f xml:space="preserve"> 0.03492* AV352 - 0.05092 * AU316- 0.06897 * AV316 - 0.00289 * (AV316 * AV352) + 'DDGS Calculator'!$G$9</f>
        <v>73.120030322064324</v>
      </c>
      <c r="AW353" s="462">
        <f xml:space="preserve"> 0.03492* AW352 - 0.05092 * AV316- 0.06897 * AW316 - 0.00289 * (AW316 * AW352) + 'DDGS Calculator'!$G$9</f>
        <v>73.592804966793381</v>
      </c>
      <c r="AX353" s="7"/>
    </row>
    <row r="355" spans="1:57" x14ac:dyDescent="0.25">
      <c r="I355" s="7"/>
      <c r="J355" s="7"/>
      <c r="K355" s="7"/>
      <c r="L355" s="7"/>
      <c r="M355" s="7"/>
      <c r="N355" s="7"/>
      <c r="P355" s="7"/>
      <c r="Q355" s="7"/>
      <c r="R355" s="7"/>
      <c r="S355" s="7"/>
      <c r="T355" s="7"/>
      <c r="U355" s="7"/>
      <c r="W355" s="7"/>
      <c r="X355" s="7"/>
      <c r="Y355" s="7"/>
      <c r="Z355" s="7"/>
      <c r="AA355" s="7"/>
      <c r="AB355" s="7"/>
      <c r="AC355" s="6"/>
      <c r="AD355" s="7"/>
      <c r="AE355" s="7"/>
      <c r="AF355" s="7"/>
      <c r="AG355" s="7"/>
      <c r="AH355" s="7"/>
      <c r="AI355" s="7"/>
      <c r="AK355" s="7"/>
      <c r="AL355" s="7"/>
      <c r="AM355" s="7"/>
      <c r="AN355" s="7"/>
      <c r="AO355" s="7"/>
      <c r="AP355" s="7"/>
      <c r="AR355" s="7"/>
      <c r="AS355" s="7"/>
      <c r="AT355" s="7"/>
      <c r="AU355" s="7"/>
      <c r="AV355" s="7"/>
      <c r="AW355" s="7"/>
      <c r="AX355" s="6"/>
      <c r="AZ355" s="7"/>
      <c r="BA355" s="7"/>
      <c r="BB355" s="7"/>
      <c r="BC355" s="7"/>
      <c r="BD355" s="7"/>
      <c r="BE355" s="7"/>
    </row>
    <row r="356" spans="1:57" x14ac:dyDescent="0.25">
      <c r="A356" s="71"/>
      <c r="B356" s="7"/>
      <c r="C356" s="7"/>
      <c r="D356" s="7"/>
      <c r="E356" s="7"/>
      <c r="F356" s="7"/>
      <c r="G356" s="7"/>
      <c r="I356" s="7"/>
      <c r="J356" s="7"/>
      <c r="K356" s="7"/>
      <c r="L356" s="7"/>
      <c r="M356" s="7"/>
      <c r="N356" s="7"/>
      <c r="P356" s="7"/>
      <c r="Q356" s="7"/>
      <c r="R356" s="7"/>
      <c r="S356" s="7"/>
      <c r="T356" s="7"/>
      <c r="U356" s="7"/>
      <c r="W356" s="7"/>
      <c r="X356" s="7"/>
      <c r="Y356" s="7"/>
      <c r="Z356" s="7"/>
      <c r="AA356" s="7"/>
      <c r="AB356" s="7"/>
      <c r="AC356" s="6"/>
      <c r="AD356" s="7"/>
      <c r="AE356" s="7"/>
      <c r="AF356" s="7"/>
      <c r="AG356" s="7"/>
      <c r="AH356" s="7"/>
      <c r="AI356" s="7"/>
      <c r="AK356" s="7"/>
      <c r="AL356" s="7"/>
      <c r="AM356" s="7"/>
      <c r="AN356" s="7"/>
      <c r="AO356" s="7"/>
      <c r="AP356" s="7"/>
      <c r="AR356" s="7"/>
      <c r="AS356" s="7"/>
      <c r="AT356" s="7"/>
      <c r="AU356" s="7"/>
      <c r="AV356" s="7"/>
      <c r="AW356" s="7"/>
      <c r="AX356" s="6"/>
      <c r="AZ356" s="7"/>
      <c r="BA356" s="7"/>
      <c r="BB356" s="7"/>
      <c r="BC356" s="7"/>
      <c r="BD356" s="7"/>
      <c r="BE356" s="7"/>
    </row>
    <row r="357" spans="1:57" x14ac:dyDescent="0.25">
      <c r="A357" s="71"/>
      <c r="B357" s="7"/>
      <c r="C357" s="7"/>
      <c r="D357" s="7"/>
      <c r="E357" s="7"/>
      <c r="F357" s="7"/>
      <c r="G357" s="7"/>
      <c r="I357" s="7"/>
      <c r="J357" s="7"/>
      <c r="K357" s="7"/>
      <c r="L357" s="7"/>
      <c r="M357" s="7"/>
      <c r="N357" s="7"/>
      <c r="P357" s="7"/>
      <c r="Q357" s="7"/>
      <c r="R357" s="7"/>
      <c r="S357" s="7"/>
      <c r="T357" s="7"/>
      <c r="U357" s="7"/>
      <c r="W357" s="7"/>
      <c r="X357" s="7"/>
      <c r="Y357" s="7"/>
      <c r="Z357" s="7"/>
      <c r="AA357" s="7"/>
      <c r="AB357" s="7"/>
      <c r="AC357" s="6"/>
      <c r="AD357" s="7"/>
      <c r="AE357" s="7"/>
      <c r="AF357" s="7"/>
      <c r="AG357" s="7"/>
      <c r="AH357" s="7"/>
      <c r="AI357" s="7"/>
      <c r="AK357" s="7"/>
      <c r="AL357" s="7"/>
      <c r="AM357" s="7"/>
      <c r="AN357" s="7"/>
      <c r="AO357" s="7"/>
      <c r="AP357" s="7"/>
      <c r="AR357" s="7"/>
      <c r="AS357" s="7"/>
      <c r="AT357" s="7"/>
      <c r="AU357" s="7"/>
      <c r="AV357" s="7"/>
      <c r="AW357" s="7"/>
      <c r="AX357" s="6"/>
      <c r="AZ357" s="7"/>
      <c r="BA357" s="7"/>
      <c r="BB357" s="7"/>
      <c r="BC357" s="7"/>
      <c r="BD357" s="7"/>
      <c r="BE357" s="7"/>
    </row>
    <row r="358" spans="1:57" x14ac:dyDescent="0.25">
      <c r="A358" s="34"/>
      <c r="B358" s="7"/>
      <c r="C358" s="7"/>
      <c r="D358" s="7"/>
      <c r="E358" s="7"/>
      <c r="F358" s="7"/>
      <c r="G358" s="7"/>
      <c r="I358" s="7"/>
      <c r="J358" s="7"/>
      <c r="K358" s="7"/>
      <c r="L358" s="7"/>
      <c r="M358" s="7"/>
      <c r="N358" s="7"/>
      <c r="P358" s="7"/>
      <c r="Q358" s="7"/>
      <c r="R358" s="7"/>
      <c r="S358" s="7"/>
      <c r="T358" s="7"/>
      <c r="U358" s="7"/>
      <c r="W358" s="7"/>
      <c r="X358" s="7"/>
      <c r="Y358" s="7"/>
      <c r="Z358" s="7"/>
      <c r="AA358" s="7"/>
      <c r="AB358" s="7"/>
      <c r="AC358" s="6"/>
      <c r="AD358" s="7"/>
      <c r="AE358" s="7"/>
      <c r="AF358" s="7"/>
      <c r="AG358" s="7"/>
      <c r="AH358" s="7"/>
      <c r="AI358" s="7"/>
      <c r="AK358" s="7"/>
      <c r="AL358" s="7"/>
      <c r="AM358" s="7"/>
      <c r="AN358" s="7"/>
      <c r="AO358" s="7"/>
      <c r="AP358" s="7"/>
      <c r="AR358" s="7"/>
      <c r="AS358" s="7"/>
      <c r="AT358" s="7"/>
      <c r="AU358" s="7"/>
      <c r="AV358" s="7"/>
      <c r="AW358" s="7"/>
      <c r="AX358" s="6"/>
      <c r="AZ358" s="7"/>
      <c r="BA358" s="7"/>
      <c r="BB358" s="7"/>
      <c r="BC358" s="7"/>
      <c r="BD358" s="7"/>
      <c r="BE358" s="7"/>
    </row>
    <row r="359" spans="1:57" x14ac:dyDescent="0.25">
      <c r="A359" s="71"/>
      <c r="B359" s="7"/>
      <c r="C359" s="7"/>
      <c r="D359" s="7"/>
      <c r="E359" s="7"/>
      <c r="F359" s="7"/>
      <c r="G359" s="7"/>
      <c r="N359" s="381"/>
      <c r="U359" s="381"/>
      <c r="AB359" s="381"/>
      <c r="AI359" s="381"/>
      <c r="AP359" s="381"/>
      <c r="AW359" s="381"/>
    </row>
    <row r="360" spans="1:57" x14ac:dyDescent="0.25">
      <c r="A360" s="71"/>
      <c r="B360" s="7"/>
      <c r="C360" s="7"/>
      <c r="D360" s="7"/>
      <c r="E360" s="7"/>
      <c r="F360" s="7"/>
      <c r="G360" s="7"/>
      <c r="AD360" s="451"/>
      <c r="AE360" s="451"/>
      <c r="AF360" s="451"/>
      <c r="AG360" s="451"/>
      <c r="AH360" s="451"/>
      <c r="AI360" s="451"/>
    </row>
    <row r="361" spans="1:57" x14ac:dyDescent="0.25">
      <c r="A361" s="34"/>
      <c r="B361" s="7"/>
      <c r="C361" s="7"/>
      <c r="D361" s="7"/>
      <c r="E361" s="7"/>
      <c r="F361" s="7"/>
      <c r="G361" s="7"/>
      <c r="AD361" s="451"/>
      <c r="AE361" s="451"/>
      <c r="AF361" s="451"/>
      <c r="AG361" s="451"/>
      <c r="AH361" s="451"/>
      <c r="AI361" s="451"/>
    </row>
    <row r="362" spans="1:57" x14ac:dyDescent="0.25">
      <c r="A362" s="71"/>
      <c r="B362" s="7"/>
      <c r="C362" s="7"/>
      <c r="D362" s="7"/>
      <c r="E362" s="7"/>
      <c r="F362" s="7"/>
      <c r="G362" s="7"/>
      <c r="AD362" s="451"/>
      <c r="AE362" s="451"/>
      <c r="AF362" s="451"/>
      <c r="AG362" s="451"/>
      <c r="AH362" s="451"/>
      <c r="AI362" s="451"/>
    </row>
    <row r="363" spans="1:57" x14ac:dyDescent="0.25">
      <c r="B363" s="7"/>
      <c r="C363" s="7"/>
      <c r="D363" s="7"/>
      <c r="E363" s="7"/>
      <c r="F363" s="7"/>
      <c r="G363" s="7"/>
      <c r="AD363" s="225"/>
      <c r="AE363" s="225"/>
      <c r="AF363" s="225"/>
      <c r="AG363" s="225"/>
      <c r="AH363" s="225"/>
      <c r="AI363" s="225"/>
    </row>
    <row r="364" spans="1:57" x14ac:dyDescent="0.25">
      <c r="A364" s="71"/>
      <c r="AD364" s="225"/>
      <c r="AE364" s="225"/>
      <c r="AF364" s="225"/>
      <c r="AG364" s="225"/>
      <c r="AH364" s="225"/>
      <c r="AI364" s="225"/>
    </row>
    <row r="365" spans="1:57" x14ac:dyDescent="0.25">
      <c r="A365" s="71"/>
      <c r="B365" s="7"/>
      <c r="C365" s="7"/>
      <c r="D365" s="7"/>
      <c r="E365" s="7"/>
      <c r="F365" s="7"/>
      <c r="G365" s="7"/>
      <c r="AD365" s="225"/>
      <c r="AE365" s="225"/>
      <c r="AF365" s="225"/>
      <c r="AG365" s="225"/>
      <c r="AH365" s="225"/>
      <c r="AI365" s="225"/>
    </row>
    <row r="366" spans="1:57" x14ac:dyDescent="0.25">
      <c r="A366" s="34"/>
      <c r="B366" s="7"/>
      <c r="C366" s="7"/>
      <c r="D366" s="7"/>
      <c r="E366" s="7"/>
      <c r="F366" s="7"/>
      <c r="G366" s="7"/>
      <c r="AD366" s="225"/>
      <c r="AE366" s="225"/>
      <c r="AF366" s="225"/>
      <c r="AG366" s="225"/>
      <c r="AH366" s="225"/>
      <c r="AI366" s="225"/>
    </row>
    <row r="367" spans="1:57" x14ac:dyDescent="0.25">
      <c r="A367" s="71"/>
      <c r="B367" s="7"/>
      <c r="C367" s="7"/>
      <c r="D367" s="7"/>
      <c r="E367" s="7"/>
      <c r="F367" s="7"/>
      <c r="G367" s="7"/>
      <c r="AD367" s="451"/>
      <c r="AE367" s="451"/>
      <c r="AF367" s="451"/>
      <c r="AG367" s="451"/>
      <c r="AH367" s="451"/>
      <c r="AI367" s="451"/>
    </row>
    <row r="368" spans="1:57" x14ac:dyDescent="0.25">
      <c r="A368" s="71"/>
      <c r="B368" s="7"/>
      <c r="C368" s="7"/>
      <c r="D368" s="7"/>
      <c r="E368" s="7"/>
      <c r="F368" s="7"/>
      <c r="G368" s="7"/>
    </row>
    <row r="369" spans="1:35" x14ac:dyDescent="0.25">
      <c r="A369" s="34"/>
      <c r="B369" s="7"/>
      <c r="C369" s="7"/>
      <c r="D369" s="7"/>
      <c r="E369" s="7"/>
      <c r="F369" s="7"/>
      <c r="G369" s="7"/>
      <c r="AD369" s="117"/>
      <c r="AE369" s="117"/>
      <c r="AF369" s="117"/>
      <c r="AG369" s="117"/>
      <c r="AH369" s="117"/>
      <c r="AI369" s="117"/>
    </row>
    <row r="370" spans="1:35" x14ac:dyDescent="0.25">
      <c r="A370" s="71"/>
      <c r="B370" s="7"/>
      <c r="C370" s="7"/>
      <c r="D370" s="7"/>
      <c r="E370" s="7"/>
      <c r="F370" s="7"/>
      <c r="G370" s="7"/>
      <c r="AD370" s="117"/>
      <c r="AE370" s="117"/>
      <c r="AF370" s="117"/>
      <c r="AG370" s="117"/>
      <c r="AH370" s="117"/>
      <c r="AI370" s="117"/>
    </row>
    <row r="371" spans="1:35" x14ac:dyDescent="0.25">
      <c r="AD371" s="117"/>
      <c r="AE371" s="117"/>
      <c r="AF371" s="117"/>
      <c r="AG371" s="117"/>
      <c r="AH371" s="117"/>
      <c r="AI371" s="117"/>
    </row>
    <row r="372" spans="1:35" x14ac:dyDescent="0.25">
      <c r="AD372" s="117"/>
      <c r="AE372" s="117"/>
      <c r="AF372" s="117"/>
      <c r="AG372" s="117"/>
      <c r="AH372" s="117"/>
      <c r="AI372" s="117"/>
    </row>
    <row r="373" spans="1:35" x14ac:dyDescent="0.25">
      <c r="B373" s="7"/>
      <c r="C373" s="7"/>
      <c r="D373" s="7"/>
      <c r="E373" s="7"/>
      <c r="F373" s="7"/>
      <c r="G373" s="7"/>
      <c r="AD373" s="117"/>
      <c r="AE373" s="117"/>
      <c r="AF373" s="117"/>
      <c r="AG373" s="117"/>
      <c r="AH373" s="117"/>
      <c r="AI373" s="117"/>
    </row>
    <row r="374" spans="1:35" x14ac:dyDescent="0.25">
      <c r="B374" s="7"/>
      <c r="C374" s="7"/>
      <c r="D374" s="7"/>
      <c r="E374" s="7"/>
      <c r="F374" s="7"/>
      <c r="G374" s="7"/>
      <c r="AD374" s="117"/>
      <c r="AE374" s="117"/>
      <c r="AF374" s="117"/>
      <c r="AG374" s="117"/>
      <c r="AH374" s="117"/>
      <c r="AI374" s="117"/>
    </row>
    <row r="375" spans="1:35" x14ac:dyDescent="0.25">
      <c r="B375" s="7"/>
      <c r="C375" s="7"/>
      <c r="D375" s="7"/>
      <c r="E375" s="7"/>
      <c r="F375" s="7"/>
      <c r="G375" s="7"/>
      <c r="AD375" s="117"/>
      <c r="AE375" s="117"/>
      <c r="AF375" s="117"/>
      <c r="AG375" s="117"/>
      <c r="AH375" s="117"/>
      <c r="AI375" s="117"/>
    </row>
    <row r="376" spans="1:35" x14ac:dyDescent="0.25">
      <c r="B376" s="7"/>
      <c r="C376" s="7"/>
      <c r="D376" s="7"/>
      <c r="E376" s="7"/>
      <c r="F376" s="7"/>
      <c r="G376" s="7"/>
      <c r="AD376" s="117"/>
      <c r="AE376" s="117"/>
      <c r="AF376" s="117"/>
      <c r="AG376" s="117"/>
      <c r="AH376" s="117"/>
      <c r="AI376" s="117"/>
    </row>
    <row r="377" spans="1:35" x14ac:dyDescent="0.25">
      <c r="B377" s="7"/>
      <c r="C377" s="7"/>
      <c r="D377" s="7"/>
      <c r="E377" s="7"/>
      <c r="F377" s="7"/>
      <c r="G377" s="7"/>
      <c r="AD377" s="117"/>
      <c r="AE377" s="117"/>
      <c r="AF377" s="117"/>
      <c r="AG377" s="117"/>
      <c r="AH377" s="117"/>
      <c r="AI377" s="117"/>
    </row>
    <row r="378" spans="1:35" x14ac:dyDescent="0.25">
      <c r="B378" s="7"/>
      <c r="C378" s="7"/>
      <c r="D378" s="7"/>
      <c r="E378" s="7"/>
      <c r="F378" s="7"/>
      <c r="G378" s="7"/>
    </row>
  </sheetData>
  <mergeCells count="7">
    <mergeCell ref="AK4:AO4"/>
    <mergeCell ref="AR4:AV4"/>
    <mergeCell ref="B4:F4"/>
    <mergeCell ref="I4:M4"/>
    <mergeCell ref="P4:T4"/>
    <mergeCell ref="W4:AA4"/>
    <mergeCell ref="AD4:AH4"/>
  </mergeCells>
  <conditionalFormatting sqref="B273:N280 P273:U280 W273:AB280 AD273:AI280 AK273:AP280 AR273:AW280 O274:O281">
    <cfRule type="cellIs" dxfId="30" priority="31" stopIfTrue="1" operator="greaterThan">
      <formula>B237/100</formula>
    </cfRule>
  </conditionalFormatting>
  <conditionalFormatting sqref="B281:N281 P281:U281 O282">
    <cfRule type="cellIs" dxfId="29" priority="30" stopIfTrue="1" operator="greaterThan">
      <formula>B258</formula>
    </cfRule>
  </conditionalFormatting>
  <conditionalFormatting sqref="B283:N283 P283:U283 O284">
    <cfRule type="cellIs" dxfId="28" priority="29" stopIfTrue="1" operator="greaterThan">
      <formula>B257</formula>
    </cfRule>
  </conditionalFormatting>
  <conditionalFormatting sqref="B284:N284 P284:U284 O285">
    <cfRule type="cellIs" dxfId="27" priority="25" stopIfTrue="1" operator="greaterThan">
      <formula>B254</formula>
    </cfRule>
  </conditionalFormatting>
  <conditionalFormatting sqref="B285:N285 P285:U285 O286">
    <cfRule type="cellIs" dxfId="26" priority="28" stopIfTrue="1" operator="greaterThan">
      <formula>B254/B255</formula>
    </cfRule>
  </conditionalFormatting>
  <conditionalFormatting sqref="B286:N286 P286:U286 O287">
    <cfRule type="cellIs" dxfId="25" priority="27" stopIfTrue="1" operator="lessThan">
      <formula>B254/B255</formula>
    </cfRule>
  </conditionalFormatting>
  <conditionalFormatting sqref="B290:N290 P290:U290">
    <cfRule type="cellIs" dxfId="24" priority="26" stopIfTrue="1" operator="lessThan">
      <formula>B300</formula>
    </cfRule>
  </conditionalFormatting>
  <conditionalFormatting sqref="W281:AB281">
    <cfRule type="cellIs" dxfId="23" priority="23" stopIfTrue="1" operator="greaterThan">
      <formula>W258</formula>
    </cfRule>
  </conditionalFormatting>
  <conditionalFormatting sqref="W283:AB283">
    <cfRule type="cellIs" dxfId="22" priority="22" stopIfTrue="1" operator="greaterThan">
      <formula>W257</formula>
    </cfRule>
  </conditionalFormatting>
  <conditionalFormatting sqref="W284:AB284">
    <cfRule type="cellIs" dxfId="21" priority="19" stopIfTrue="1" operator="greaterThan">
      <formula>W254</formula>
    </cfRule>
  </conditionalFormatting>
  <conditionalFormatting sqref="W285:AB285">
    <cfRule type="cellIs" dxfId="20" priority="21" stopIfTrue="1" operator="greaterThan">
      <formula>W254/W255</formula>
    </cfRule>
  </conditionalFormatting>
  <conditionalFormatting sqref="W286:AB286">
    <cfRule type="cellIs" dxfId="19" priority="20" stopIfTrue="1" operator="lessThan">
      <formula>W254/W255</formula>
    </cfRule>
  </conditionalFormatting>
  <conditionalFormatting sqref="W290:AB290">
    <cfRule type="cellIs" dxfId="18" priority="24" stopIfTrue="1" operator="lessThan">
      <formula>W300</formula>
    </cfRule>
  </conditionalFormatting>
  <conditionalFormatting sqref="AD281:AI281">
    <cfRule type="cellIs" dxfId="17" priority="17" stopIfTrue="1" operator="greaterThan">
      <formula>AD258</formula>
    </cfRule>
  </conditionalFormatting>
  <conditionalFormatting sqref="AD283:AI283">
    <cfRule type="cellIs" dxfId="16" priority="16" stopIfTrue="1" operator="greaterThan">
      <formula>AD257</formula>
    </cfRule>
  </conditionalFormatting>
  <conditionalFormatting sqref="AD284:AI284">
    <cfRule type="cellIs" dxfId="15" priority="13" stopIfTrue="1" operator="greaterThan">
      <formula>AD254</formula>
    </cfRule>
  </conditionalFormatting>
  <conditionalFormatting sqref="AD285:AI285">
    <cfRule type="cellIs" dxfId="14" priority="15" stopIfTrue="1" operator="greaterThan">
      <formula>AD254/AD255</formula>
    </cfRule>
  </conditionalFormatting>
  <conditionalFormatting sqref="AD286:AI286">
    <cfRule type="cellIs" dxfId="13" priority="14" stopIfTrue="1" operator="lessThan">
      <formula>AD254/AD255</formula>
    </cfRule>
  </conditionalFormatting>
  <conditionalFormatting sqref="AD290:AI290">
    <cfRule type="cellIs" dxfId="12" priority="18" stopIfTrue="1" operator="lessThan">
      <formula>AD300</formula>
    </cfRule>
  </conditionalFormatting>
  <conditionalFormatting sqref="AK281:AP281">
    <cfRule type="cellIs" dxfId="11" priority="11" stopIfTrue="1" operator="greaterThan">
      <formula>AK258</formula>
    </cfRule>
  </conditionalFormatting>
  <conditionalFormatting sqref="AK283:AP283">
    <cfRule type="cellIs" dxfId="10" priority="10" stopIfTrue="1" operator="greaterThan">
      <formula>AK257</formula>
    </cfRule>
  </conditionalFormatting>
  <conditionalFormatting sqref="AK284:AP284">
    <cfRule type="cellIs" dxfId="9" priority="7" stopIfTrue="1" operator="greaterThan">
      <formula>AK254</formula>
    </cfRule>
  </conditionalFormatting>
  <conditionalFormatting sqref="AK285:AP285">
    <cfRule type="cellIs" dxfId="8" priority="9" stopIfTrue="1" operator="greaterThan">
      <formula>AK254/AK255</formula>
    </cfRule>
  </conditionalFormatting>
  <conditionalFormatting sqref="AK286:AP286">
    <cfRule type="cellIs" dxfId="7" priority="8" stopIfTrue="1" operator="lessThan">
      <formula>AK254/AK255</formula>
    </cfRule>
  </conditionalFormatting>
  <conditionalFormatting sqref="AK290:AP290">
    <cfRule type="cellIs" dxfId="6" priority="12" stopIfTrue="1" operator="lessThan">
      <formula>AK300</formula>
    </cfRule>
  </conditionalFormatting>
  <conditionalFormatting sqref="AR281:AW281">
    <cfRule type="cellIs" dxfId="5" priority="5" stopIfTrue="1" operator="greaterThan">
      <formula>AR258</formula>
    </cfRule>
  </conditionalFormatting>
  <conditionalFormatting sqref="AR283:AW283">
    <cfRule type="cellIs" dxfId="4" priority="4" stopIfTrue="1" operator="greaterThan">
      <formula>AR257</formula>
    </cfRule>
  </conditionalFormatting>
  <conditionalFormatting sqref="AR284:AW284">
    <cfRule type="cellIs" dxfId="3" priority="1" stopIfTrue="1" operator="greaterThan">
      <formula>AR254</formula>
    </cfRule>
  </conditionalFormatting>
  <conditionalFormatting sqref="AR285:AW285">
    <cfRule type="cellIs" dxfId="2" priority="3" stopIfTrue="1" operator="greaterThan">
      <formula>AR254/AR255</formula>
    </cfRule>
  </conditionalFormatting>
  <conditionalFormatting sqref="AR286:AW286">
    <cfRule type="cellIs" dxfId="1" priority="2" stopIfTrue="1" operator="lessThan">
      <formula>AR254/AR255</formula>
    </cfRule>
  </conditionalFormatting>
  <conditionalFormatting sqref="AR290:AW290">
    <cfRule type="cellIs" dxfId="0" priority="6" stopIfTrue="1" operator="lessThan">
      <formula>AR300</formula>
    </cfRule>
  </conditionalFormatting>
  <dataValidations count="2">
    <dataValidation type="list" allowBlank="1" showInputMessage="1" showErrorMessage="1" sqref="A8" xr:uid="{85083F61-1537-45C4-A227-DC14CE9EDC0B}">
      <formula1>$A$78:$A$80</formula1>
    </dataValidation>
    <dataValidation type="list" allowBlank="1" showInputMessage="1" showErrorMessage="1" sqref="A7" xr:uid="{F530ECD1-3B93-426E-A148-10F97ED1EC0C}">
      <formula1>$A$9:$A$10</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E007F-9E8C-294B-9633-47BA97B7BEED}">
  <sheetPr codeName="Sheet9">
    <tabColor theme="7" tint="-0.249977111117893"/>
    <pageSetUpPr fitToPage="1"/>
  </sheetPr>
  <dimension ref="A1:AD81"/>
  <sheetViews>
    <sheetView tabSelected="1" topLeftCell="B1" zoomScale="80" zoomScaleNormal="80" workbookViewId="0">
      <selection activeCell="B1" sqref="B1"/>
    </sheetView>
  </sheetViews>
  <sheetFormatPr defaultColWidth="10.77734375" defaultRowHeight="15" x14ac:dyDescent="0.25"/>
  <cols>
    <col min="1" max="1" width="6.33203125" style="290" hidden="1" customWidth="1"/>
    <col min="2" max="2" width="78.21875" style="383" bestFit="1" customWidth="1"/>
    <col min="3" max="6" width="23.77734375" style="383" customWidth="1"/>
    <col min="7" max="7" width="21.21875" style="383" customWidth="1"/>
    <col min="8" max="10" width="23.77734375" style="383" customWidth="1"/>
    <col min="11" max="11" width="68.77734375" style="290" hidden="1" customWidth="1"/>
    <col min="12" max="12" width="10.77734375" style="290" hidden="1" customWidth="1"/>
    <col min="13" max="13" width="11.5546875" style="290" hidden="1" customWidth="1"/>
    <col min="14" max="14" width="10.77734375" style="290" hidden="1" customWidth="1"/>
    <col min="15" max="15" width="16.6640625" style="423" hidden="1" customWidth="1"/>
    <col min="16" max="18" width="11.5546875" style="423" hidden="1" customWidth="1"/>
    <col min="19" max="20" width="9.77734375" style="423" hidden="1" customWidth="1"/>
    <col min="21" max="21" width="9.44140625" style="423" hidden="1" customWidth="1"/>
    <col min="22" max="22" width="7.77734375" style="423" hidden="1" customWidth="1"/>
    <col min="23" max="23" width="13" style="384" bestFit="1" customWidth="1"/>
    <col min="24" max="16384" width="10.77734375" style="383"/>
  </cols>
  <sheetData>
    <row r="1" spans="2:23" ht="24" thickBot="1" x14ac:dyDescent="0.5">
      <c r="B1" s="413"/>
      <c r="C1" s="533" t="s">
        <v>493</v>
      </c>
      <c r="D1" s="533"/>
      <c r="E1" s="533"/>
      <c r="F1" s="533"/>
      <c r="G1" s="533"/>
      <c r="H1" s="411"/>
      <c r="I1" s="408"/>
      <c r="J1" s="408"/>
    </row>
    <row r="2" spans="2:23" ht="18" customHeight="1" thickBot="1" x14ac:dyDescent="0.3">
      <c r="B2" s="469"/>
      <c r="C2" s="538" t="s">
        <v>539</v>
      </c>
      <c r="D2" s="538"/>
      <c r="E2" s="538"/>
      <c r="F2" s="538"/>
      <c r="G2" s="538"/>
      <c r="H2" s="469"/>
      <c r="I2" s="469"/>
      <c r="J2" s="469"/>
    </row>
    <row r="3" spans="2:23" ht="15" customHeight="1" thickBot="1" x14ac:dyDescent="0.3">
      <c r="B3" s="412" t="s">
        <v>526</v>
      </c>
      <c r="C3" s="410"/>
      <c r="D3" s="410"/>
      <c r="E3" s="410"/>
      <c r="F3" s="410"/>
      <c r="G3" s="410"/>
      <c r="H3" s="410"/>
      <c r="I3" s="410"/>
      <c r="J3" s="410"/>
      <c r="P3" s="423" t="s">
        <v>516</v>
      </c>
      <c r="Q3" s="423" t="s">
        <v>68</v>
      </c>
      <c r="R3" s="423" t="s">
        <v>69</v>
      </c>
      <c r="S3" s="423" t="s">
        <v>158</v>
      </c>
      <c r="T3" s="423" t="s">
        <v>473</v>
      </c>
      <c r="U3" s="423" t="s">
        <v>475</v>
      </c>
      <c r="V3" s="423" t="s">
        <v>485</v>
      </c>
    </row>
    <row r="4" spans="2:23" ht="15" customHeight="1" x14ac:dyDescent="0.3">
      <c r="C4" s="534" t="s">
        <v>537</v>
      </c>
      <c r="D4" s="535"/>
      <c r="E4" s="445"/>
      <c r="F4" s="534" t="s">
        <v>538</v>
      </c>
      <c r="G4" s="535"/>
      <c r="H4" s="493">
        <f>IF(D5="","",D7/((D5/56)*2000))</f>
        <v>1.1199999999999999</v>
      </c>
      <c r="I4" s="494" t="s">
        <v>576</v>
      </c>
      <c r="J4" s="396"/>
      <c r="L4" s="433">
        <v>0</v>
      </c>
      <c r="O4" s="423" t="s">
        <v>548</v>
      </c>
      <c r="P4" s="367">
        <v>22.87</v>
      </c>
      <c r="Q4" s="367">
        <v>18.254561941555032</v>
      </c>
      <c r="R4" s="367">
        <v>19.186255948622634</v>
      </c>
      <c r="S4" s="367">
        <v>18.432143672279327</v>
      </c>
      <c r="T4" s="367">
        <v>18.45672238956185</v>
      </c>
      <c r="U4" s="367">
        <v>21.893135561949876</v>
      </c>
      <c r="V4" s="367">
        <f>SUM(P4:U4)</f>
        <v>119.09281951396871</v>
      </c>
      <c r="W4" s="434"/>
    </row>
    <row r="5" spans="2:23" ht="15" customHeight="1" x14ac:dyDescent="0.25">
      <c r="C5" s="437" t="s">
        <v>463</v>
      </c>
      <c r="D5" s="464">
        <v>4.5</v>
      </c>
      <c r="E5" s="459"/>
      <c r="F5" s="441"/>
      <c r="G5" s="442" t="s">
        <v>555</v>
      </c>
      <c r="L5" s="433">
        <v>0.05</v>
      </c>
      <c r="Q5" s="425"/>
    </row>
    <row r="6" spans="2:23" ht="15" customHeight="1" x14ac:dyDescent="0.3">
      <c r="C6" s="437" t="s">
        <v>464</v>
      </c>
      <c r="D6" s="464">
        <v>300</v>
      </c>
      <c r="E6" s="440"/>
      <c r="F6" s="439"/>
      <c r="G6" s="527" t="s">
        <v>555</v>
      </c>
      <c r="L6" s="433">
        <v>0.1</v>
      </c>
      <c r="Q6" s="425"/>
      <c r="T6" s="426"/>
      <c r="U6" s="427"/>
      <c r="V6" s="427"/>
    </row>
    <row r="7" spans="2:23" ht="15" customHeight="1" x14ac:dyDescent="0.25">
      <c r="C7" s="437" t="s">
        <v>470</v>
      </c>
      <c r="D7" s="464">
        <v>180</v>
      </c>
      <c r="F7" s="441"/>
      <c r="G7" s="527" t="s">
        <v>555</v>
      </c>
      <c r="L7" s="433">
        <v>0.15</v>
      </c>
      <c r="Q7" s="425"/>
      <c r="T7" s="338"/>
      <c r="U7" s="428"/>
      <c r="V7" s="429"/>
    </row>
    <row r="8" spans="2:23" ht="15" customHeight="1" x14ac:dyDescent="0.3">
      <c r="C8" s="437" t="s">
        <v>466</v>
      </c>
      <c r="D8" s="464">
        <v>87</v>
      </c>
      <c r="E8" s="460"/>
      <c r="F8" s="437"/>
      <c r="G8" s="457">
        <v>0.9</v>
      </c>
      <c r="L8" s="433">
        <v>0.2</v>
      </c>
      <c r="Q8" s="425"/>
      <c r="T8" s="392"/>
      <c r="U8" s="427"/>
    </row>
    <row r="9" spans="2:23" ht="15" customHeight="1" x14ac:dyDescent="0.3">
      <c r="C9" s="437" t="s">
        <v>465</v>
      </c>
      <c r="D9" s="464">
        <v>640</v>
      </c>
      <c r="E9" s="405"/>
      <c r="F9" s="437"/>
      <c r="G9" s="443">
        <v>75</v>
      </c>
      <c r="L9" s="433">
        <v>0.25</v>
      </c>
      <c r="Q9" s="425"/>
      <c r="T9" s="392"/>
      <c r="V9" s="430"/>
    </row>
    <row r="10" spans="2:23" ht="15" customHeight="1" x14ac:dyDescent="0.3">
      <c r="C10" s="437" t="s">
        <v>469</v>
      </c>
      <c r="D10" s="465">
        <v>0.4</v>
      </c>
      <c r="E10" s="490"/>
      <c r="F10" s="404"/>
      <c r="G10" s="397"/>
      <c r="L10" s="433">
        <v>0.3</v>
      </c>
      <c r="Q10" s="425"/>
      <c r="R10" s="392"/>
    </row>
    <row r="11" spans="2:23" ht="15" customHeight="1" x14ac:dyDescent="0.3">
      <c r="C11" s="437" t="s">
        <v>547</v>
      </c>
      <c r="D11" s="464">
        <v>0.9</v>
      </c>
      <c r="E11" s="405"/>
      <c r="F11" s="536" t="s">
        <v>531</v>
      </c>
      <c r="G11" s="537"/>
      <c r="L11" s="433"/>
      <c r="Q11" s="425"/>
    </row>
    <row r="12" spans="2:23" ht="15" customHeight="1" x14ac:dyDescent="0.25">
      <c r="C12" s="437" t="s">
        <v>467</v>
      </c>
      <c r="D12" s="464">
        <v>1.25</v>
      </c>
      <c r="E12" s="406"/>
      <c r="F12" s="437" t="s">
        <v>551</v>
      </c>
      <c r="G12" s="438" t="s">
        <v>552</v>
      </c>
      <c r="I12" s="384"/>
      <c r="L12" s="433"/>
      <c r="Q12" s="425"/>
    </row>
    <row r="13" spans="2:23" ht="15" customHeight="1" x14ac:dyDescent="0.25">
      <c r="C13" s="437" t="s">
        <v>546</v>
      </c>
      <c r="D13" s="464">
        <v>0.8</v>
      </c>
      <c r="F13" s="437" t="s">
        <v>559</v>
      </c>
      <c r="G13" s="466">
        <f>IF(G12="","",IF(G12="% of corn NE",(Nutrients!F24/2.20462)*('DDGS Calculator'!G14/100),(1952.929+(39.307*G14)-(1.429*G15))*0.453592))</f>
        <v>969.6002032096236</v>
      </c>
      <c r="H13" s="384" t="str">
        <f>IF(G13="","",IF(G12="% of corn NE","","DDGS NE, % of corn:"))</f>
        <v/>
      </c>
      <c r="I13" s="491" t="str">
        <f>IF(H13="","",IF(G12="% of corn","",(G13*2.20462)/Nutrients!F24))</f>
        <v/>
      </c>
      <c r="K13" s="456"/>
      <c r="Q13" s="425"/>
    </row>
    <row r="14" spans="2:23" ht="15" customHeight="1" x14ac:dyDescent="0.25">
      <c r="C14" s="437" t="s">
        <v>468</v>
      </c>
      <c r="D14" s="464">
        <v>3.8</v>
      </c>
      <c r="F14" s="383" t="str">
        <f>IF(G12="","",IF(G12="% of corn NE","NE as % of corn","Oil, %"))</f>
        <v>NE as % of corn</v>
      </c>
      <c r="G14" s="528">
        <v>80</v>
      </c>
      <c r="H14" s="530" t="str">
        <f>IF(AND(G12="Oil and ADF content", G14&gt;13), "Check Oil, %", IF(AND(G12="% of corn NE", G14&lt;60), "Check NE as % or corn value", ""))</f>
        <v/>
      </c>
      <c r="L14" s="290" t="s">
        <v>552</v>
      </c>
      <c r="Q14" s="425"/>
    </row>
    <row r="15" spans="2:23" ht="15" customHeight="1" x14ac:dyDescent="0.25">
      <c r="C15" s="437" t="s">
        <v>471</v>
      </c>
      <c r="D15" s="465">
        <v>1.5</v>
      </c>
      <c r="F15" s="383" t="str">
        <f>IF(G12="","",IF(G12="% of corn NE","","ADF, %"))</f>
        <v/>
      </c>
      <c r="G15" s="528"/>
      <c r="L15" s="290" t="s">
        <v>558</v>
      </c>
      <c r="O15" s="425"/>
      <c r="P15" s="425"/>
      <c r="Q15" s="425"/>
    </row>
    <row r="16" spans="2:23" ht="12" customHeight="1" thickBot="1" x14ac:dyDescent="0.3">
      <c r="B16" s="408"/>
      <c r="C16" s="407"/>
      <c r="D16" s="529"/>
      <c r="E16" s="408"/>
      <c r="F16" s="409"/>
      <c r="G16" s="408"/>
      <c r="H16" s="408"/>
      <c r="I16" s="408"/>
      <c r="J16" s="408"/>
      <c r="O16" s="425"/>
      <c r="P16" s="425"/>
      <c r="Q16" s="425"/>
    </row>
    <row r="17" spans="2:18" ht="18" customHeight="1" thickBot="1" x14ac:dyDescent="0.3">
      <c r="B17" s="469"/>
      <c r="C17" s="538" t="s">
        <v>540</v>
      </c>
      <c r="D17" s="538"/>
      <c r="E17" s="538"/>
      <c r="F17" s="538"/>
      <c r="G17" s="538"/>
      <c r="H17" s="469"/>
      <c r="I17" s="469"/>
      <c r="J17" s="469"/>
    </row>
    <row r="18" spans="2:18" ht="7.5" customHeight="1" x14ac:dyDescent="0.25">
      <c r="G18" s="385"/>
    </row>
    <row r="19" spans="2:18" x14ac:dyDescent="0.25">
      <c r="B19" s="390" t="s">
        <v>549</v>
      </c>
      <c r="C19" s="384">
        <v>50</v>
      </c>
      <c r="D19" s="384">
        <v>85</v>
      </c>
      <c r="E19" s="384">
        <v>120</v>
      </c>
      <c r="F19" s="384">
        <v>160</v>
      </c>
      <c r="G19" s="385">
        <v>200</v>
      </c>
      <c r="H19" s="384">
        <v>240</v>
      </c>
    </row>
    <row r="20" spans="2:18" x14ac:dyDescent="0.25">
      <c r="B20" s="390" t="s">
        <v>550</v>
      </c>
      <c r="C20" s="384">
        <v>85</v>
      </c>
      <c r="D20" s="384">
        <v>120</v>
      </c>
      <c r="E20" s="384">
        <v>160</v>
      </c>
      <c r="F20" s="384">
        <v>200</v>
      </c>
      <c r="G20" s="385">
        <v>240</v>
      </c>
      <c r="H20" s="384">
        <v>285</v>
      </c>
    </row>
    <row r="21" spans="2:18" ht="7.5" customHeight="1" thickBot="1" x14ac:dyDescent="0.3">
      <c r="G21" s="385"/>
    </row>
    <row r="22" spans="2:18" ht="16.2" thickBot="1" x14ac:dyDescent="0.35">
      <c r="B22" s="477" t="s">
        <v>575</v>
      </c>
      <c r="C22" s="399" t="s">
        <v>472</v>
      </c>
      <c r="D22" s="399" t="s">
        <v>68</v>
      </c>
      <c r="E22" s="399" t="s">
        <v>69</v>
      </c>
      <c r="F22" s="399" t="s">
        <v>158</v>
      </c>
      <c r="G22" s="399" t="s">
        <v>473</v>
      </c>
      <c r="H22" s="399" t="s">
        <v>475</v>
      </c>
      <c r="I22" s="478" t="s">
        <v>527</v>
      </c>
    </row>
    <row r="23" spans="2:18" x14ac:dyDescent="0.25">
      <c r="B23" s="479" t="s">
        <v>585</v>
      </c>
      <c r="C23" s="480" cm="1">
        <f t="array" ref="C23">IF(MAX(IF(C44:C49&gt;0.005,C44:C49))=C49,0.3,
IF(MAX(IF(C44:C49&gt;0.005,C44:C49))=C48,0.25,
IF(MAX(IF(C44:C49&gt;0.005,C44:C49))=C47,0.2,
IF(MAX(IF(C44:C49&gt;0.005,C44:C49))=C46,0.15,
IF(MAX(IF(C44:C49&gt;0.005,C44:C49))=C45,0.1,
IF(AND(C44&gt;0.005,MAX(C44:C49)=C44),0.05,"No DDGS"))))))</f>
        <v>0.2</v>
      </c>
      <c r="D23" s="480" cm="1">
        <f t="array" ref="D23">IF(MAX(IF(D44:D49&gt;0.005,D44:D49))=D49,0.3,
IF(MAX(IF(D44:D49&gt;0.005,D44:D49))=D48,0.25,
IF(MAX(IF(D44:D49&gt;0.005,D44:D49))=D47,0.2,
IF(MAX(IF(D44:D49&gt;0.005,D44:D49))=D46,0.15,
IF(MAX(IF(D44:D49&gt;0.005,D44:D49))=D45,0.1,
IF(AND(D44&gt;0.005,MAX(D44:D49)=D44),0.05,"No DDGS"))))))</f>
        <v>0.3</v>
      </c>
      <c r="E23" s="480" cm="1">
        <f t="array" ref="E23">IF(MAX(IF(E44:E49&gt;0.005,E44:E49))=E49,0.3,
IF(MAX(IF(E44:E49&gt;0.005,E44:E49))=E48,0.25,
IF(MAX(IF(E44:E49&gt;0.005,E44:E49))=E47,0.2,
IF(MAX(IF(E44:E49&gt;0.005,E44:E49))=E46,0.15,
IF(MAX(IF(E44:E49&gt;0.005,E44:E49))=E45,0.1,
IF(AND(E44&gt;0.005,MAX(E44:E49)=E44),0.05,"No DDGS"))))))</f>
        <v>0.3</v>
      </c>
      <c r="F23" s="480" cm="1">
        <f t="array" ref="F23">IF(MAX(IF(F44:F49&gt;0.005,F44:F49))=F49,0.3,
IF(MAX(IF(F44:F49&gt;0.005,F44:F49))=F48,0.25,
IF(MAX(IF(F44:F49&gt;0.005,F44:F49))=F47,0.2,
IF(MAX(IF(F44:F49&gt;0.005,F44:F49))=F46,0.15,
IF(MAX(IF(F44:F49&gt;0.005,F44:F49))=F45,0.1,
IF(AND(F44&gt;0.005,MAX(F44:F49)=F44),0.05,"No DDGS"))))))</f>
        <v>0.3</v>
      </c>
      <c r="G23" s="480" cm="1">
        <f t="array" ref="G23">IF(MAX(IF(G44:G49&gt;0.005,G44:G49))=G49,0.3,
IF(MAX(IF(G44:G49&gt;0.005,G44:G49))=G48,0.25,
IF(MAX(IF(G44:G49&gt;0.005,G44:G49))=G47,0.2,
IF(MAX(IF(G44:G49&gt;0.005,G44:G49))=G46,0.15,
IF(MAX(IF(G44:G49&gt;0.005,G44:G49))=G45,0.1,
IF(AND(G44&gt;0.005,MAX(G44:G49)=G44),0.05,"No DDGS"))))))</f>
        <v>0.3</v>
      </c>
      <c r="H23" s="480" cm="1">
        <f t="array" ref="H23">IF(G6="Yes","No DDGS",
IF(MAX(IF(H44:H49&gt;0.005,H44:H49))=H49,0.3,
IF(MAX(IF(H44:H49&gt;0.005,H44:H49))=H48,0.25,
IF(MAX(IF(H44:H49&gt;0.005,H44:H49))=H47,0.2,
IF(MAX(IF(H44:H49&gt;0.005,H44:H49))=H46,0.15,
IF(MAX(IF(H44:H49&gt;0.005,H44:H49))=H45,0.1,
IF(AND(H44&gt;0.005,MAX(H44:H49)=H44),0.05,"No DDGS")))))))</f>
        <v>0.3</v>
      </c>
      <c r="I23" s="481"/>
      <c r="L23" s="367"/>
      <c r="M23" s="367"/>
      <c r="N23" s="367"/>
      <c r="O23" s="367"/>
      <c r="P23" s="367"/>
      <c r="Q23" s="367"/>
    </row>
    <row r="24" spans="2:18" ht="16.2" thickBot="1" x14ac:dyDescent="0.35">
      <c r="B24" s="482" t="s">
        <v>553</v>
      </c>
      <c r="C24" s="483">
        <f>IF(C23="No DDGS",0,VLOOKUP(C23,$A$44:$H$49,3,FALSE))</f>
        <v>9.9018579497420767E-2</v>
      </c>
      <c r="D24" s="483">
        <f>IF(D23="No DDGS",0,VLOOKUP(D23,$A$44:$H$49,4,FALSE))</f>
        <v>0.13488214483955119</v>
      </c>
      <c r="E24" s="483">
        <f>IF(E23="No DDGS",0,VLOOKUP(E23,A44:H49,5,FALSE))</f>
        <v>0.20360894250297434</v>
      </c>
      <c r="F24" s="483">
        <f>IF(F23="No DDGS",0,VLOOKUP(F23,$A$44:$H$49,6,FALSE))</f>
        <v>0.30102115603801671</v>
      </c>
      <c r="G24" s="483">
        <f>IF(G23="No DDGS",0,VLOOKUP(G23,$A$44:$H$49,7,FALSE))</f>
        <v>0.48813736476942715</v>
      </c>
      <c r="H24" s="483">
        <f>IF(H23="No DDGS",0,VLOOKUP(H23,$A$44:$H$49,8,FALSE))</f>
        <v>1.0188582101080073</v>
      </c>
      <c r="I24" s="484">
        <f>SUM(C24:H24)</f>
        <v>2.2455263977553974</v>
      </c>
      <c r="L24" s="367"/>
      <c r="M24" s="367"/>
      <c r="N24" s="367"/>
      <c r="O24" s="367"/>
      <c r="P24" s="367"/>
      <c r="Q24" s="367"/>
    </row>
    <row r="25" spans="2:18" ht="15.6" x14ac:dyDescent="0.3">
      <c r="B25" s="479" t="s">
        <v>582</v>
      </c>
      <c r="C25" s="480" t="str" cm="1">
        <f t="array" ref="C25">IF(MAX(IF(C60:C65&gt;0.005,C60:C65))=C65,0.3,
IF(MAX(IF(C60:C65&gt;0.005,C60:C65))=C64,0.25,
IF(MAX(IF(C60:C65&gt;0.005,C60:C65))=C63,0.2,
IF(MAX(IF(C60:C65&gt;0.005,C60:C65))=C62,0.15,
IF(MAX(IF(C60:C65&gt;0.005,C60:C65))=C61,0.1,
IF(AND(C60&gt;0.005,MAX(C60:C65)=C60),0.05,"No DDGS"))))))</f>
        <v>No DDGS</v>
      </c>
      <c r="D25" s="480" t="str" cm="1">
        <f t="array" ref="D25">IF(MAX(IF(D60:D65&gt;0.005,D60:D65))=D65,0.3,
IF(MAX(IF(D60:D65&gt;0.005,D60:D65))=D64,0.25,
IF(MAX(IF(D60:D65&gt;0.005,D60:D65))=D63,0.2,
IF(MAX(IF(D60:D65&gt;0.005,D60:D65))=D62,0.15,
IF(MAX(IF(D60:D65&gt;0.005,D60:D65))=D61,0.1,
IF(AND(D60&gt;0.005,MAX(D60:D65)=D60),0.05,"No DDGS"))))))</f>
        <v>No DDGS</v>
      </c>
      <c r="E25" s="480" t="str" cm="1">
        <f t="array" ref="E25">IF(MAX(IF(E60:E65&gt;0.005,E60:E65))=E65,0.3,
IF(MAX(IF(E60:E65&gt;0.005,E60:E65))=E64,0.25,
IF(MAX(IF(E60:E65&gt;0.005,E60:E65))=E63,0.2,
IF(MAX(IF(E60:E65&gt;0.005,E60:E65))=E62,0.15,
IF(MAX(IF(E60:E65&gt;0.005,E60:E65))=E61,0.1,
IF(AND(E60&gt;0.005,MAX(E60:E65)=E60),0.05,"No DDGS"))))))</f>
        <v>No DDGS</v>
      </c>
      <c r="F25" s="480" t="str" cm="1">
        <f t="array" ref="F25">IF(MAX(IF(F60:F65&gt;0.005,F60:F65))=F65,0.3,
IF(MAX(IF(F60:F65&gt;0.005,F60:F65))=F64,0.25,
IF(MAX(IF(F60:F65&gt;0.005,F60:F65))=F63,0.2,
IF(MAX(IF(F60:F65&gt;0.005,F60:F65))=F62,0.15,
IF(MAX(IF(F60:F65&gt;0.005,F60:F65))=F61,0.1,
IF(AND(F60&gt;0.005,MAX(F60:F65)=F60),0.05,"No DDGS"))))))</f>
        <v>No DDGS</v>
      </c>
      <c r="G25" s="480" t="str" cm="1">
        <f t="array" ref="G25">IF(MAX(IF(G60:G65&gt;0.005,G60:G65))=G65,0.3,
IF(MAX(IF(G60:G65&gt;0.005,G60:G65))=G64,0.25,
IF(MAX(IF(G60:G65&gt;0.005,G60:G65))=G63,0.2,
IF(MAX(IF(G60:G65&gt;0.005,G60:G65))=G62,0.15,
IF(MAX(IF(G60:G65&gt;0.005,G60:G65))=G61,0.1,
IF(AND(G60&gt;0.005,MAX(G60:G65)=G60),0.05,"No DDGS"))))))</f>
        <v>No DDGS</v>
      </c>
      <c r="H25" s="480" t="str" cm="1">
        <f t="array" ref="H25">IF(G6="Yes","No DDGS",IF(MAX(IF(H60:H65&gt;0.005,H60:H65))=H65,0.3,
IF(MAX(IF(H60:H65&gt;0.005,H60:H65))=H64,0.25,
IF(MAX(IF(H60:H65&gt;0.005,H60:H65))=H63,0.2,
IF(MAX(IF(H60:H65&gt;0.005,H60:H65))=H62,0.15,
IF(MAX(IF(H60:H65&gt;0.005,H60:H65))=H61,0.1,
IF(AND(H60&gt;0.005,MAX(H60:H65)=H60),0.05,"No DDGS")))))))</f>
        <v>No DDGS</v>
      </c>
      <c r="I25" s="485"/>
    </row>
    <row r="26" spans="2:18" ht="16.2" thickBot="1" x14ac:dyDescent="0.35">
      <c r="B26" s="482" t="s">
        <v>554</v>
      </c>
      <c r="C26" s="486" t="str">
        <f>IF(C25="No DDGS","- - -",VLOOKUP(C25,$A$60:$H$65,3,FALSE))</f>
        <v>- - -</v>
      </c>
      <c r="D26" s="486" t="str">
        <f>IF(D25="No DDGS","- - -",VLOOKUP(D25,$A$60:$H$65,4,FALSE))</f>
        <v>- - -</v>
      </c>
      <c r="E26" s="486" t="str">
        <f>IF(E25="No DDGS","- - -",VLOOKUP(E25,$A$60:$H$65,5,FALSE))</f>
        <v>- - -</v>
      </c>
      <c r="F26" s="486" t="str">
        <f>IF(F25="No DDGS","- - -",VLOOKUP(F25,$A$60:$H$65,6,FALSE))</f>
        <v>- - -</v>
      </c>
      <c r="G26" s="486" t="str">
        <f>IF(G25="No DDGS","- - -",VLOOKUP(G25,$A$60:$H$65,7,FALSE))</f>
        <v>- - -</v>
      </c>
      <c r="H26" s="486" t="str">
        <f>IF(H25="No DDGS","- - -",VLOOKUP(H25,$A$60:$H$65,8,FALSE))</f>
        <v>- - -</v>
      </c>
      <c r="I26" s="484">
        <f>SUM(C26:H26)</f>
        <v>0</v>
      </c>
    </row>
    <row r="27" spans="2:18" ht="15.6" x14ac:dyDescent="0.3">
      <c r="B27" s="479" t="s">
        <v>568</v>
      </c>
      <c r="C27" s="480" t="str" cm="1">
        <f t="array" ref="C27">IF(MAX(IF(C68:C73&gt;0.005,C68:C73))=C73,0.3,
IF(MAX(IF(C68:C73&gt;0.005,C68:C73))=C72,0.25,
IF(MAX(IF(C68:C73&gt;0.005,C68:C73))=C71,0.2,
IF(MAX(IF(C68:C73&gt;0.005,C68:C73))=C70,0.15,
IF(MAX(IF(C68:C73&gt;0.005,C68:C73))=C69,0.1,
IF(AND(C68&gt;0.005,MAX(C68:C73)=C68),0.05,"No DDGS"))))))</f>
        <v>No DDGS</v>
      </c>
      <c r="D27" s="480" t="str" cm="1">
        <f t="array" ref="D27">IF(MAX(IF(D68:D73&gt;0.005,D68:D73))=D73,0.3,
IF(MAX(IF(D68:D73&gt;0.005,D68:D73))=D72,0.25,
IF(MAX(IF(D68:D73&gt;0.005,D68:D73))=D71,0.2,
IF(MAX(IF(D68:D73&gt;0.005,D68:D73))=D70,0.15,
IF(MAX(IF(D68:D73&gt;0.005,D68:D73))=D69,0.1,
IF(AND(D68&gt;0.005,MAX(D68:D73)=D68),0.05,"No DDGS"))))))</f>
        <v>No DDGS</v>
      </c>
      <c r="E27" s="480" t="str" cm="1">
        <f t="array" ref="E27">IF(MAX(IF(E68:E73&gt;0.005,E68:E73))=E73,0.3,
IF(MAX(IF(E68:E73&gt;0.005,E68:E73))=E72,0.25,
IF(MAX(IF(E68:E73&gt;0.005,E68:E73))=E71,0.2,
IF(MAX(IF(E68:E73&gt;0.005,E68:E73))=E70,0.15,
IF(MAX(IF(E68:E73&gt;0.005,E68:E73))=E69,0.1,
IF(AND(E68&gt;0.005,MAX(E68:E73)=E68),0.05,"No DDGS"))))))</f>
        <v>No DDGS</v>
      </c>
      <c r="F27" s="480" t="str" cm="1">
        <f t="array" ref="F27">IF(MAX(IF(F68:F73&gt;0.005,F68:F73))=F73,0.3,
IF(MAX(IF(F68:F73&gt;0.005,F68:F73))=F72,0.25,
IF(MAX(IF(F68:F73&gt;0.005,F68:F73))=F71,0.2,
IF(MAX(IF(F68:F73&gt;0.005,F68:F73))=F70,0.15,
IF(MAX(IF(F68:F73&gt;0.005,F68:F73))=F69,0.1,
IF(AND(F68&gt;0.005,MAX(F68:F73)=F68),0.05,"No DDGS"))))))</f>
        <v>No DDGS</v>
      </c>
      <c r="G27" s="480" t="str" cm="1">
        <f t="array" ref="G27">IF(MAX(IF(G68:G73&gt;0.005,G68:G73))=G73,0.3,
IF(MAX(IF(G68:G73&gt;0.005,G68:G73))=G72,0.25,
IF(MAX(IF(G68:G73&gt;0.005,G68:G73))=G71,0.2,
IF(MAX(IF(G68:G73&gt;0.005,G68:G73))=G70,0.15,
IF(MAX(IF(G68:G73&gt;0.005,G68:G73))=G69,0.1,
IF(AND(G68&gt;0.005,MAX(G68:G73)=G68),0.05,"No DDGS"))))))</f>
        <v>No DDGS</v>
      </c>
      <c r="H27" s="480" t="str" cm="1">
        <f t="array" ref="H27">IF(G6="Yes","No DDGS",IF(MAX(IF(H68:H73&gt;0.005,H68:H73))=H73,0.3,
IF(MAX(IF(H68:H73&gt;0.005,H68:H73))=H72,0.25,
IF(MAX(IF(H68:H73&gt;0.005,H68:H73))=H71,0.2,
IF(MAX(IF(H68:H73&gt;0.005,H68:H73))=H70,0.15,
IF(MAX(IF(H68:H73&gt;0.005,H68:H73))=H69,0.1,
IF(AND(H68&gt;0.005,MAX(H68:H73)=H68),0.05,"No DDGS")))))))</f>
        <v>No DDGS</v>
      </c>
      <c r="I27" s="485"/>
    </row>
    <row r="28" spans="2:18" ht="16.2" thickBot="1" x14ac:dyDescent="0.35">
      <c r="B28" s="482" t="s">
        <v>554</v>
      </c>
      <c r="C28" s="486" t="str">
        <f>IF(C27="No DDGS","- - -",VLOOKUP(C27,$A$68:$H$73,3,FALSE))</f>
        <v>- - -</v>
      </c>
      <c r="D28" s="486" t="str">
        <f>IF(D27="No DDGS","- - -",VLOOKUP(D27,$A$68:$H$73,4,FALSE))</f>
        <v>- - -</v>
      </c>
      <c r="E28" s="486" t="str">
        <f>IF(E27="No DDGS","- - -",VLOOKUP(E27,$A$68:$H$73,5,FALSE))</f>
        <v>- - -</v>
      </c>
      <c r="F28" s="486" t="str">
        <f>IF(F27="No DDGS","- - -",VLOOKUP(F27,$A$68:$H$73,6,FALSE))</f>
        <v>- - -</v>
      </c>
      <c r="G28" s="486" t="str">
        <f>IF(G27="No DDGS","- - -",VLOOKUP(G27,$A$68:$H$73,7,FALSE))</f>
        <v>- - -</v>
      </c>
      <c r="H28" s="486" t="str">
        <f>IF(H27="No DDGS","- - -",VLOOKUP(H27,$A$68:$H$73,8,FALSE))</f>
        <v>- - -</v>
      </c>
      <c r="I28" s="484">
        <f>SUM(C28:H28)</f>
        <v>0</v>
      </c>
    </row>
    <row r="29" spans="2:18" ht="12" customHeight="1" thickBot="1" x14ac:dyDescent="0.3">
      <c r="B29" s="390"/>
      <c r="C29" s="487"/>
      <c r="D29" s="487"/>
      <c r="E29" s="487"/>
      <c r="F29" s="487"/>
      <c r="G29" s="487"/>
      <c r="H29" s="487"/>
      <c r="I29" s="391"/>
    </row>
    <row r="30" spans="2:18" ht="16.2" thickBot="1" x14ac:dyDescent="0.35">
      <c r="C30" s="400" t="s">
        <v>472</v>
      </c>
      <c r="D30" s="399" t="s">
        <v>68</v>
      </c>
      <c r="E30" s="399" t="s">
        <v>69</v>
      </c>
      <c r="F30" s="399" t="s">
        <v>158</v>
      </c>
      <c r="G30" s="399" t="s">
        <v>473</v>
      </c>
      <c r="H30" s="401" t="s">
        <v>475</v>
      </c>
      <c r="I30" s="498" t="s">
        <v>527</v>
      </c>
      <c r="L30" s="455"/>
      <c r="M30" s="455"/>
      <c r="N30" s="455"/>
      <c r="O30" s="454"/>
      <c r="P30" s="454"/>
      <c r="Q30" s="454"/>
      <c r="R30" s="454"/>
    </row>
    <row r="31" spans="2:18" ht="16.2" thickBot="1" x14ac:dyDescent="0.35">
      <c r="B31" s="499" t="s">
        <v>556</v>
      </c>
      <c r="C31" s="526">
        <v>0</v>
      </c>
      <c r="D31" s="526">
        <v>0</v>
      </c>
      <c r="E31" s="526">
        <v>0</v>
      </c>
      <c r="F31" s="526">
        <v>0</v>
      </c>
      <c r="G31" s="526">
        <v>0</v>
      </c>
      <c r="H31" s="526">
        <v>0</v>
      </c>
      <c r="I31" s="498" t="s">
        <v>533</v>
      </c>
      <c r="L31" s="455"/>
      <c r="M31" s="455"/>
      <c r="N31" s="455"/>
      <c r="O31" s="454"/>
      <c r="P31" s="454"/>
      <c r="Q31" s="454"/>
      <c r="R31" s="454"/>
    </row>
    <row r="32" spans="2:18" ht="16.2" thickBot="1" x14ac:dyDescent="0.35">
      <c r="B32" s="500" t="s">
        <v>562</v>
      </c>
      <c r="C32" s="501">
        <f>IF(C31="","",IF(C31=0,0,VLOOKUP(C31,$A$44:$H$49,3,FALSE)))</f>
        <v>0</v>
      </c>
      <c r="D32" s="502">
        <f>IF(D31="","",IF(D31=0,0,VLOOKUP(D31,$A$44:$H$49,4,FALSE)))</f>
        <v>0</v>
      </c>
      <c r="E32" s="502">
        <f>IF(E31="","",IF(E31=0,0,VLOOKUP(E31,$A$44:$H$49,5,FALSE)))</f>
        <v>0</v>
      </c>
      <c r="F32" s="502">
        <f>IF(F31="","",IF(F31=0,0,VLOOKUP(F31,$A$44:$H$49,6,FALSE)))</f>
        <v>0</v>
      </c>
      <c r="G32" s="502">
        <f>IF(G31="","",IF(G31=0,0,VLOOKUP(G31,$A$44:$H$49,7,FALSE)))</f>
        <v>0</v>
      </c>
      <c r="H32" s="503">
        <f>IF(H31="","",IF(G6="Yes",0,IF(H31=0,0,VLOOKUP(H31,$A$44:$H$49,8,FALSE))))</f>
        <v>0</v>
      </c>
      <c r="I32" s="504">
        <f>SUM(C32:H32)</f>
        <v>0</v>
      </c>
    </row>
    <row r="33" spans="1:28" ht="16.2" thickBot="1" x14ac:dyDescent="0.35">
      <c r="B33" s="500" t="s">
        <v>563</v>
      </c>
      <c r="C33" s="505">
        <f>IF(C31="","",IF(C31=0,0,VLOOKUP(C31,$A$60:$H$65,3,FALSE)))</f>
        <v>0</v>
      </c>
      <c r="D33" s="506">
        <f>IF(D31="","",IF(D31=0,0,VLOOKUP(D31,$A$60:$H$65,4,FALSE)))</f>
        <v>0</v>
      </c>
      <c r="E33" s="506">
        <f>IF(E31="","",IF(E31=0,0,VLOOKUP(E31,$A$60:$H$65,5,FALSE)))</f>
        <v>0</v>
      </c>
      <c r="F33" s="506">
        <f>IF(F31="","",IF(F31=0,0,VLOOKUP(F31,$A$60:$H$65,6,FALSE)))</f>
        <v>0</v>
      </c>
      <c r="G33" s="506">
        <f>IF(G31="","",IF(G31=0,0,VLOOKUP(G31,$A$60:$H$65,7,FALSE)))</f>
        <v>0</v>
      </c>
      <c r="H33" s="507">
        <f>IF(H31="","",IF(G6="Yes",0,IF(H31=0,0,VLOOKUP(H31,$A$60:$H$65,8,FALSE))))</f>
        <v>0</v>
      </c>
      <c r="I33" s="504">
        <f>SUM(C33:H33)</f>
        <v>0</v>
      </c>
    </row>
    <row r="34" spans="1:28" ht="16.2" thickBot="1" x14ac:dyDescent="0.35">
      <c r="B34" s="500" t="s">
        <v>564</v>
      </c>
      <c r="C34" s="508">
        <f>IF(C31="","",IF(C31=0,0,VLOOKUP(C31,$A$68:$H$73,3,FALSE)))</f>
        <v>0</v>
      </c>
      <c r="D34" s="509">
        <f>IF(D31="","",IF(D31=0,0,VLOOKUP(D31,$A$68:$H$73,4,FALSE)))</f>
        <v>0</v>
      </c>
      <c r="E34" s="509">
        <f>IF(E31="","",IF(E31=0,0,VLOOKUP(E31,$A$68:$H$73,5,FALSE)))</f>
        <v>0</v>
      </c>
      <c r="F34" s="509">
        <f>IF(F31="","",IF(F31=0,0,VLOOKUP(F31,$A$68:$H$73,6,FALSE)))</f>
        <v>0</v>
      </c>
      <c r="G34" s="509">
        <f>IF(G31="","",IF(G31=0,0,VLOOKUP(G31,$A$68:$H$73,7,FALSE)))</f>
        <v>0</v>
      </c>
      <c r="H34" s="510">
        <f>IF(H31="","",IF(G6="Yes",0,IF(H31=0,0,VLOOKUP(H31,$A$68:$H$73,8,FALSE))))</f>
        <v>0</v>
      </c>
      <c r="I34" s="504">
        <f>SUM(C34:H34)</f>
        <v>0</v>
      </c>
    </row>
    <row r="35" spans="1:28" ht="12" customHeight="1" thickBot="1" x14ac:dyDescent="0.35">
      <c r="B35" s="511"/>
      <c r="C35" s="385"/>
      <c r="D35" s="385"/>
      <c r="E35" s="385"/>
      <c r="F35" s="385"/>
      <c r="G35" s="385"/>
      <c r="H35" s="385"/>
      <c r="I35" s="444"/>
    </row>
    <row r="36" spans="1:28" ht="16.2" thickBot="1" x14ac:dyDescent="0.35">
      <c r="B36" s="512" t="s">
        <v>578</v>
      </c>
      <c r="C36" s="400" t="s">
        <v>472</v>
      </c>
      <c r="D36" s="399" t="s">
        <v>68</v>
      </c>
      <c r="E36" s="399" t="s">
        <v>69</v>
      </c>
      <c r="F36" s="399" t="s">
        <v>158</v>
      </c>
      <c r="G36" s="399" t="s">
        <v>473</v>
      </c>
      <c r="H36" s="401" t="s">
        <v>475</v>
      </c>
      <c r="I36" s="498" t="s">
        <v>532</v>
      </c>
      <c r="X36" s="384"/>
      <c r="Y36" s="384"/>
      <c r="Z36" s="384"/>
      <c r="AA36" s="384"/>
    </row>
    <row r="37" spans="1:28" ht="16.2" thickBot="1" x14ac:dyDescent="0.35">
      <c r="B37" s="500" t="s">
        <v>577</v>
      </c>
      <c r="C37" s="513">
        <f>IF(AND($G$5="No",$G$6="No",$G$7="No"),(VLOOKUP(C31,Performance!$Y$4:$AE$10,2,FALSE)-Performance!Z4)/Performance!Z4,IF(AND($G$5="Yes",$G$6="No",$G$7="No"),(VLOOKUP(C31,Performance!$Y$14:$AE$20,2,FALSE)-Performance!Z14)/Performance!Z14,IF(AND($G$5="No",$G$6="No",$G$7="Yes"),(VLOOKUP(C31,Performance!$Y$24:$AE$30,2,FALSE)-Performance!Z24)/Performance!Z24,IF(AND($G$5="Yes",$G$6="No",$G$7="Yes"),(VLOOKUP(C31,Performance!$Y$34:$AE$40,2,FALSE)-Performance!Z34)/Performance!Z34,IF(AND($G$5="No",$G$6="Yes",$G$7="No"),(VLOOKUP(C31,Performance!$Y$44:$AE$50,2,FALSE)-Performance!Z44)/Performance!Z44,IF(AND($G$5="Yes",$G$6="Yes",$G$7="No"),(VLOOKUP(C31,Performance!$Y$54:$AE$60,2,FALSE)-Performance!Z54)/Performance!Z54,IF(AND($G$5="No",$G$6="Yes",$G$7="Yes"),(VLOOKUP(C31,Performance!$Y$64:$AE$70,2,FALSE)-Performance!Z64)/Performance!Z64,IF(AND($G$5="Yes",$G$6="Yes",$G$7="Yes"),(VLOOKUP(C31,Performance!$Y$74:$AE$80,2,FALSE)-Performance!Z74)/Performance!Z74))))))))</f>
        <v>0</v>
      </c>
      <c r="D37" s="514">
        <f>IF(AND($G$5="No",$G$6="No",$G$7="No"),(VLOOKUP(D31,Performance!$Y$4:$AE$10,3,FALSE)-Performance!AA4)/Performance!AA4,IF(AND($G$5="Yes",$G$6="No",$G$7="No"),(VLOOKUP(D31,Performance!$Y$14:$AE$20,3,FALSE)-Performance!AA14)/Performance!AA14,IF(AND($G$5="No",$G$6="No",$G$7="Yes"),(VLOOKUP(D31,Performance!$Y$24:$AE$30,3,FALSE)-Performance!AA24)/Performance!AA24,IF(AND($G$5="Yes",$G$6="No",$G$7="Yes"),(VLOOKUP(D31,Performance!$Y$34:$AE$40,3,FALSE)-Performance!AA34)/Performance!AA34,IF(AND($G$5="No",$G$6="Yes",$G$7="No"),(VLOOKUP(D31,Performance!$Y$44:$AE$50,3,FALSE)-Performance!AA44)/Performance!AA44,IF(AND($G$5="Yes",$G$6="Yes",$G$7="No"),(VLOOKUP(D31,Performance!$Y$54:$AE$60,3,FALSE)-Performance!AA54)/Performance!AA54,IF(AND($G$5="No",$G$6="Yes",$G$7="Yes"),(VLOOKUP(D31,Performance!$Y$64:$AE$70,3,FALSE)-Performance!AA64)/Performance!AA64,IF(AND($G$5="Yes",$G$6="Yes",$G$7="Yes"),(VLOOKUP(D31,Performance!$Y$74:$AE$80,3,FALSE)-Performance!AA74)/Performance!AA74))))))))</f>
        <v>0</v>
      </c>
      <c r="E37" s="514">
        <f>IF(AND($G$5="No",$G$6="No",$G$7="No"),(VLOOKUP(E31,Performance!$Y$4:$AE$10,4,FALSE)-Performance!AB4)/Performance!AB4,IF(AND($G$5="Yes",$G$6="No",$G$7="No"),(VLOOKUP(E31,Performance!$Y$14:$AE$20,4,FALSE)-Performance!AB14)/Performance!AB14,IF(AND($G$5="No",$G$6="No",$G$7="Yes"),(VLOOKUP(E31,Performance!$Y$24:$AE$30,4,FALSE)-Performance!AB24)/Performance!AB24,IF(AND($G$5="Yes",$G$6="No",$G$7="Yes"),(VLOOKUP(E31,Performance!$Y$34:$AE$40,4,FALSE)-Performance!AB34)/Performance!AB34,IF(AND($G$5="No",$G$6="Yes",$G$7="No"),(VLOOKUP(E31,Performance!$Y$44:$AE$50,4,FALSE)-Performance!AB44)/Performance!AB44,IF(AND($G$5="Yes",$G$6="Yes",$G$7="No"),(VLOOKUP(E31,Performance!$Y$54:$AE$60,4,FALSE)-Performance!AB54)/Performance!AB54,IF(AND($G$5="No",$G$6="Yes",$G$7="Yes"),(VLOOKUP(E31,Performance!$Y$64:$AE$70,4,FALSE)-Performance!AB64)/Performance!AB64,IF(AND($G$5="Yes",$G$6="Yes",$G$7="Yes"),(VLOOKUP(E31,Performance!$Y$74:$AE$80,4,FALSE)-Performance!AB74)/Performance!AB74))))))))</f>
        <v>0</v>
      </c>
      <c r="F37" s="514">
        <f>IF(AND($G$5="No",$G$6="No",$G$7="No"),(VLOOKUP(F31,Performance!$Y$4:$AE$10,5,FALSE)-Performance!AC4)/Performance!AC4,IF(AND($G$5="Yes",$G$6="No",$G$7="No"),(VLOOKUP(F31,Performance!$Y$14:$AE$20,5,FALSE)-Performance!AC14)/Performance!AC14,IF(AND($G$5="No",$G$6="No",$G$7="Yes"),(VLOOKUP(F31,Performance!$Y$24:$AE$30,5,FALSE)-Performance!AC24)/Performance!AC24,IF(AND($G$5="Yes",$G$6="No",$G$7="Yes"),(VLOOKUP(F31,Performance!$Y$34:$AE$40,5,FALSE)-Performance!AC34)/Performance!AC34,IF(AND($G$5="No",$G$6="Yes",$G$7="No"),(VLOOKUP(F31,Performance!$Y$44:$AE$50,5,FALSE)-Performance!AC44)/Performance!AC44,IF(AND($G$5="Yes",$G$6="Yes",$G$7="No"),(VLOOKUP(F31,Performance!$Y$54:$AE$60,5,FALSE)-Performance!AC54)/Performance!AC54,IF(AND($G$5="No",$G$6="Yes",$G$7="Yes"),(VLOOKUP(F31,Performance!$Y$64:$AE$70,5,FALSE)-Performance!AC64)/Performance!AC64,IF(AND($G$5="Yes",$G$6="Yes",$G$7="Yes"),(VLOOKUP(F31,Performance!$Y$74:$AE$80,5,FALSE)-Performance!AC74)/Performance!AC74))))))))</f>
        <v>0</v>
      </c>
      <c r="G37" s="514">
        <f>IF(AND($G$5="No",$G$6="No",$G$7="No"),(VLOOKUP(G31,Performance!$Y$4:$AE$10,6,FALSE)-Performance!AD4)/Performance!AD4,IF(AND($G$5="Yes",$G$6="No",$G$7="No"),(VLOOKUP(G31,Performance!$Y$14:$AE$20,6,FALSE)-Performance!AD14)/Performance!AD14,IF(AND($G$5="No",$G$6="No",$G$7="Yes"),(VLOOKUP(G31,Performance!$Y$24:$AE$30,6,FALSE)-Performance!AD24)/Performance!AD24,IF(AND($G$5="Yes",$G$6="No",$G$7="Yes"),(VLOOKUP(G31,Performance!$Y$34:$AE$40,6,FALSE)-Performance!AD34)/Performance!AD34,IF(AND($G$5="No",$G$6="Yes",$G$7="No"),(VLOOKUP(G31,Performance!$Y$44:$AE$50,6,FALSE)-Performance!AD44)/Performance!AD44,IF(AND($G$5="Yes",$G$6="Yes",$G$7="No"),(VLOOKUP(G31,Performance!$Y$54:$AE$60,6,FALSE)-Performance!AD54)/Performance!AD54,IF(AND($G$5="No",$G$6="Yes",$G$7="Yes"),(VLOOKUP(G31,Performance!$Y$64:$AE$70,6,FALSE)-Performance!AD64)/Performance!AD64,IF(AND($G$5="Yes",$G$6="Yes",$G$7="Yes"),(VLOOKUP(G31,Performance!$Y$74:$AE$80,6,FALSE)-Performance!AD74)/Performance!AD74))))))))</f>
        <v>0</v>
      </c>
      <c r="H37" s="515">
        <f>IF(AND($G$5="No",$G$6="No",$G$7="No"),(VLOOKUP(H31,Performance!$Y$4:$AE$10,7,FALSE)-Performance!AE4)/Performance!AE4,IF(AND($G$5="Yes",$G$6="No",$G$7="No"),(VLOOKUP(H31,Performance!$Y$14:$AE$20,7,FALSE)-Performance!AE14)/Performance!AE14,IF(AND($G$5="No",$G$6="No",$G$7="Yes"),(VLOOKUP(H31,Performance!$Y$24:$AE$30,7,FALSE)-Performance!AE24)/Performance!AE24,IF(AND($G$5="Yes",$G$6="No",$G$7="Yes"),(VLOOKUP(H31,Performance!$Y$34:$AE$40,7,FALSE)-Performance!AE34)/Performance!AE34,IF(AND($G$5="No",$G$6="Yes",$G$7="No"),(VLOOKUP(H31,Performance!$Y$44:$AE$50,7,FALSE)-Performance!AE44)/Performance!AE44,IF(AND($G$5="Yes",$G$6="Yes",$G$7="No"),(VLOOKUP(H31,Performance!$Y$54:$AE$60,7,FALSE)-Performance!AE54)/Performance!AE54,IF(AND($G$5="No",$G$6="Yes",$G$7="Yes"),(VLOOKUP(H31,Performance!$Y$64:$AE$70,7,FALSE)-Performance!AE64)/Performance!AE64,IF(AND($G$5="Yes",$G$6="Yes",$G$7="Yes"),(VLOOKUP(H31,Performance!$Y$74:$AE$80,7,FALSE)-Performance!AE74)/Performance!AE74))))))))</f>
        <v>0</v>
      </c>
      <c r="I37" s="516">
        <f>(C37*($P$4/$V$4))+(D37*($Q$4/$V$4))+(E37*($R$4/$V$4))+(F37*($S$4/$V$4))+(G37*(($T$4/$V$4))+(H37*(($U$4/$V$4))))</f>
        <v>0</v>
      </c>
      <c r="J37" s="393"/>
      <c r="W37" s="434"/>
      <c r="X37" s="434"/>
      <c r="Y37" s="434"/>
      <c r="Z37" s="434"/>
      <c r="AA37" s="434"/>
      <c r="AB37" s="434"/>
    </row>
    <row r="38" spans="1:28" ht="16.2" thickBot="1" x14ac:dyDescent="0.35">
      <c r="B38" s="500" t="s">
        <v>579</v>
      </c>
      <c r="C38" s="517">
        <f>IF(AND($G$5="No",$G$6="No",$G$7="No"),(VLOOKUP(C31,Performance!$AO$4:$AU$10,2,FALSE)-Performance!AP4)/Performance!AP4,IF(AND($G$5="Yes",$G$6="No",$G$7="No"),0,IF(AND($G$5="No",$G$6="No",$G$7="Yes"),(VLOOKUP(C31,Performance!$AO$24:$AU$30,2,FALSE)-Performance!AP24)/Performance!AP24,IF(AND($G$5="Yes",$G$6="No",$G$7="Yes"),0,IF(AND($G$5="No",$G$6="Yes",$G$7="No"),(VLOOKUP(C31,Performance!$AO$44:$AU$50,2,FALSE)-Performance!AP44)/Performance!AP44,IF(AND($G$5="Yes",$G$6="Yes",$G$7="No"),0,IF(AND($G$5="No",$G$6="Yes",$G$7="Yes"),(VLOOKUP(C31,Performance!$AO$64:$AU$70,2,FALSE)-Performance!AP64)/Performance!AP64,IF(AND($G$5="Yes",$G$6="Yes",$G$7="Yes"),0))))))))</f>
        <v>0</v>
      </c>
      <c r="D38" s="518">
        <f>IF(AND($G$5="No",$G$6="No",$G$7="No"),(VLOOKUP(D31,Performance!$AO$4:$AU$10,3,FALSE)-Performance!AQ4)/Performance!AQ4,IF(AND($G$5="Yes",$G$6="No",$G$7="No"),0,IF(AND($G$5="No",$G$6="No",$G$7="Yes"),(VLOOKUP(D31,Performance!$AO$24:$AU$30,3,FALSE)-Performance!AQ24)/Performance!AQ24,IF(AND($G$5="Yes",$G$6="No",$G$7="Yes"),0,IF(AND($G$5="No",$G$6="Yes",$G$7="No"),(VLOOKUP(D31,Performance!$AO$44:$AU$50,3,FALSE)-Performance!AQ44)/Performance!AQ44,IF(AND($G$5="Yes",$G$6="Yes",$G$7="No"),0,IF(AND($G$5="No",$G$6="Yes",$G$7="Yes"),(VLOOKUP(D31,Performance!$AO$64:$AU$70,3,FALSE)-Performance!AQ64)/Performance!AQ64,IF(AND($G$5="Yes",$G$6="Yes",$G$7="Yes"),0))))))))</f>
        <v>0</v>
      </c>
      <c r="E38" s="518">
        <f>IF(AND($G$5="No",$G$6="No",$G$7="No"),(VLOOKUP(E31,Performance!$AO$4:$AU$10,4,FALSE)-Performance!AR4)/Performance!AR4,IF(AND($G$5="Yes",$G$6="No",$G$7="No"),0,IF(AND($G$5="No",$G$6="No",$G$7="Yes"),(VLOOKUP(E31,Performance!$AO$24:$AU$30,4,FALSE)-Performance!AR24)/Performance!AR24,IF(AND($G$5="Yes",$G$6="No",$G$7="Yes"),0,IF(AND($G$5="No",$G$6="Yes",$G$7="No"),(VLOOKUP(E31,Performance!$AO$44:$AU$50,4,FALSE)-Performance!AR44)/Performance!AR44,IF(AND($G$5="Yes",$G$6="Yes",$G$7="No"),0,IF(AND($G$5="No",$G$6="Yes",$G$7="Yes"),(VLOOKUP(E31,Performance!$AO$64:$AU$70,4,FALSE)-Performance!AR64)/Performance!AR64,IF(AND($G$5="Yes",$G$6="Yes",$G$7="Yes"),0))))))))</f>
        <v>0</v>
      </c>
      <c r="F38" s="518">
        <f>IF(AND($G$5="No",$G$6="No",$G$7="No"),(VLOOKUP(F31,Performance!$AO$4:$AU$10,5,FALSE)-Performance!AS4)/Performance!AS4,IF(AND($G$5="Yes",$G$6="No",$G$7="No"),0,IF(AND($G$5="No",$G$6="No",$G$7="Yes"),(VLOOKUP(F31,Performance!$AO$24:$AU$30,5,FALSE)-Performance!AS24)/Performance!AS24,IF(AND($G$5="Yes",$G$6="No",$G$7="Yes"),0,IF(AND($G$5="No",$G$6="Yes",$G$7="No"),(VLOOKUP(F31,Performance!$AO$44:$AU$50,5,FALSE)-Performance!AS44)/Performance!AS44,IF(AND($G$5="Yes",$G$6="Yes",$G$7="No"),0,IF(AND($G$5="No",$G$6="Yes",$G$7="Yes"),(VLOOKUP(F31,Performance!$AO$64:$AU$70,5,FALSE)-Performance!AS64)/Performance!AS64,IF(AND($G$5="Yes",$G$6="Yes",$G$7="Yes"),0))))))))</f>
        <v>0</v>
      </c>
      <c r="G38" s="518">
        <f>IF(AND($G$5="No",$G$6="No",$G$7="No"),(VLOOKUP(G31,Performance!$AO$4:$AU$10,6,FALSE)-Performance!AT4)/Performance!AT4,IF(AND($G$5="Yes",$G$6="No",$G$7="No"),0,IF(AND($G$5="No",$G$6="No",$G$7="Yes"),(VLOOKUP(G31,Performance!$AO$24:$AU$30,6,FALSE)-Performance!AT24)/Performance!AT24,IF(AND($G$5="Yes",$G$6="No",$G$7="Yes"),0,IF(AND($G$5="No",$G$6="Yes",$G$7="No"),(VLOOKUP(G31,Performance!$AO$44:$AU$50,6,FALSE)-Performance!AT44)/Performance!AT44,IF(AND($G$5="Yes",$G$6="Yes",$G$7="No"),0,IF(AND($G$5="No",$G$6="Yes",$G$7="Yes"),(VLOOKUP(G31,Performance!$AO$64:$AU$70,6,FALSE)-Performance!AT64)/Performance!AT64,IF(AND($G$5="Yes",$G$6="Yes",$G$7="Yes"),0))))))))</f>
        <v>0</v>
      </c>
      <c r="H38" s="519">
        <f>IF(AND($G$5="No",$G$6="No",$G$7="No"),(VLOOKUP(H31,Performance!$AO$4:$AU$10,7,FALSE)-Performance!AU4)/Performance!AU4,IF(AND($G$5="Yes",$G$6="No",$G$7="No"),0,IF(AND($G$5="No",$G$6="No",$G$7="Yes"),(VLOOKUP(H31,Performance!$AO$24:$AU$30,7,FALSE)-Performance!AU24)/Performance!AU24,IF(AND($G$5="Yes",$G$6="No",$G$7="Yes"),0,IF(AND($G$5="No",$G$6="Yes",$G$7="No"),(VLOOKUP(H31,Performance!$AO$44:$AU$50,7,FALSE)-Performance!AU44)/Performance!AU44,IF(AND($G$5="Yes",$G$6="Yes",$G$7="No"),0,IF(AND($G$5="No",$G$6="Yes",$G$7="Yes"),(VLOOKUP(H31,Performance!$AO$64:$AU$70,7,FALSE)-Performance!AU64)/Performance!AU64,IF(AND($G$5="Yes",$G$6="Yes",$G$7="Yes"),0))))))))</f>
        <v>0</v>
      </c>
      <c r="I38" s="516">
        <f>(C38*($P$4/$V$4))+(D38*($Q$4/$V$4))+(E38*($R$4/$V$4))+(F38*($S$4/$V$4))+(G38*(($T$4/$V$4))+(H38*(($U$4/$V$4))))</f>
        <v>0</v>
      </c>
      <c r="J38" s="384"/>
      <c r="W38" s="434"/>
      <c r="X38" s="434"/>
      <c r="Y38" s="434"/>
      <c r="Z38" s="434"/>
      <c r="AA38" s="434"/>
      <c r="AB38" s="434"/>
    </row>
    <row r="39" spans="1:28" ht="16.2" thickBot="1" x14ac:dyDescent="0.35">
      <c r="B39" s="390"/>
      <c r="C39" s="520"/>
      <c r="D39" s="520"/>
      <c r="E39" s="520"/>
      <c r="F39" s="520"/>
      <c r="G39" s="520"/>
      <c r="H39" s="521" t="s">
        <v>580</v>
      </c>
      <c r="I39" s="522">
        <f>IF(AND($G$5="No",$G$6="No",$G$7="No"),(Performance!BT4-Performance!BC4),IF(AND($G$5="Yes",$G$6="No",$G$7="No"),(Performance!BT14-Performance!BC14),IF(AND($G$5="No",$G$6="No",$G$7="Yes"),(Performance!BT24-Performance!BC24),IF(AND($G$5="Yes",$G$6="No",$G$7="Yes"),(Performance!BT34-Performance!BC34),IF(AND($G$5="No",$G$6="Yes",$G$7="No"),(Performance!BT44-Performance!BC44),IF(AND($G$5="Yes",$G$6="Yes",$G$7="No"),(Performance!BT54-Performance!BC54),IF(AND($G$5="No",$G$6="Yes",$G$7="Yes"),(Performance!BT64-Performance!BC64),IF(AND($G$5="Yes",$G$6="Yes",$G$7="Yes"),(Performance!BT74-Performance!BC74)))))))))</f>
        <v>-3.1076879997726792E-4</v>
      </c>
      <c r="J39" s="424"/>
    </row>
    <row r="40" spans="1:28" ht="16.2" thickBot="1" x14ac:dyDescent="0.35">
      <c r="B40" s="390"/>
      <c r="C40" s="520"/>
      <c r="D40" s="520"/>
      <c r="E40" s="520"/>
      <c r="F40" s="520"/>
      <c r="G40" s="520"/>
      <c r="H40" s="482" t="s">
        <v>574</v>
      </c>
      <c r="I40" s="523">
        <f>IF(AND($G$5="No",$G$6="No",$G$7="No"),(Performance!BT5-Performance!G4),IF(AND($G$5="Yes",$G$6="No",$G$7="No"),(Performance!BT15-Performance!G14),IF(AND($G$5="No",$G$6="No",$G$7="Yes"),(Performance!BT25-Performance!G24),IF(AND($G$5="Yes",$G$6="No",$G$7="Yes"),(Performance!BT35-Performance!G34),IF(AND($G$5="No",$G$6="Yes",$G$7="No"),(Performance!BT45-Performance!G44),IF(AND($G$5="Yes",$G$6="Yes",$G$7="No"),(Performance!BT55-Performance!G54),IF(AND($G$5="No",$G$6="Yes",$G$7="Yes"),(Performance!BT65-Performance!G64),IF(AND($G$5="Yes",$G$6="Yes",$G$7="Yes"),(Performance!BT75-Performance!G74)))))))))</f>
        <v>0</v>
      </c>
      <c r="J40" s="424"/>
      <c r="X40" s="497"/>
      <c r="AA40" s="496"/>
    </row>
    <row r="41" spans="1:28" ht="16.2" thickBot="1" x14ac:dyDescent="0.35">
      <c r="B41" s="390"/>
      <c r="C41" s="524"/>
      <c r="D41" s="524"/>
      <c r="G41" s="525"/>
      <c r="H41" s="521" t="s">
        <v>581</v>
      </c>
      <c r="I41" s="522">
        <f>IF(AND($G$5="No",$G$6="No",$G$7="No"),(Performance!BT6-Performance!W4),IF(AND($G$5="Yes",$G$6="No",$G$7="No"),(Performance!BT16-Performance!W14),IF(AND($G$5="No",$G$6="No",$G$7="Yes"),(Performance!BT26-Performance!W24),IF(AND($G$5="Yes",$G$6="No",$G$7="Yes"),(Performance!BT36-Performance!W34),IF(AND($G$5="No",$G$6="Yes",$G$7="No"),(Performance!BT46-Performance!W44),IF(AND($G$5="Yes",$G$6="Yes",$G$7="No"),(Performance!BT56-Performance!W54),IF(AND($G$5="No",$G$6="Yes",$G$7="Yes"),(Performance!BT66-Performance!W64),IF(AND($G$5="Yes",$G$6="Yes",$G$7="Yes"),(Performance!BT76-Performance!W74)))))))))</f>
        <v>-2.2979491302521637E-4</v>
      </c>
    </row>
    <row r="42" spans="1:28" ht="12" customHeight="1" thickBot="1" x14ac:dyDescent="0.3">
      <c r="C42" s="386"/>
      <c r="D42" s="386"/>
      <c r="K42" s="449"/>
    </row>
    <row r="43" spans="1:28" ht="16.2" thickBot="1" x14ac:dyDescent="0.35">
      <c r="B43" s="394" t="s">
        <v>583</v>
      </c>
      <c r="C43" s="400" t="s">
        <v>472</v>
      </c>
      <c r="D43" s="399" t="s">
        <v>68</v>
      </c>
      <c r="E43" s="399" t="s">
        <v>69</v>
      </c>
      <c r="F43" s="399" t="s">
        <v>158</v>
      </c>
      <c r="G43" s="399" t="s">
        <v>473</v>
      </c>
      <c r="H43" s="401" t="s">
        <v>475</v>
      </c>
      <c r="I43" s="395" t="s">
        <v>485</v>
      </c>
      <c r="J43" s="402" t="s">
        <v>486</v>
      </c>
    </row>
    <row r="44" spans="1:28" ht="15.6" x14ac:dyDescent="0.3">
      <c r="A44" s="290">
        <v>0.05</v>
      </c>
      <c r="B44" s="387" t="s">
        <v>487</v>
      </c>
      <c r="C44" s="468">
        <f>IF(AND($G$5="No",$G$6="No",$G$7="No"),'GF diets No L-Val'!I$266-'GF diets No L-Val'!B$266,
IF(AND($G$5="Yes",$G$6="No",$G$7="No"),'GF diets No L-Val + Fat'!I$266-'GF diets No L-Val + Fat'!B$266,
IF(AND($G$5="No",$G$6="No",$G$7="Yes"),'GF diets L-Val'!I$266-'GF diets L-Val'!B$266,
IF(AND($G$5="Yes",$G$6="No",$G$7="Yes"),'GF diets L-Val + Fat'!I$266-'GF diets L-Val + Fat'!B$266,
IF(AND($G$5="No",$G$6="Yes",$G$7="No"),'GF diets No L-Val + WD'!I$266-'GF diets No L-Val + WD'!B$266,
IF(AND($G$5="Yes",$G$6="Yes",$G$7="No"),'GF diets No L-Val + Fat + WD'!I$266-'GF diets No L-Val + Fat + WD'!B$266,
IF(AND($G$5="No",$G$6="Yes",$G$7="Yes"),'GF diets L-Val + WD'!I$266-'GF diets L-Val + WD'!B$266,
IF(AND($G$5="Yes",$G$6="Yes",$G$7="Yes"),'GF diets L-Val + Fat + WD'!I$266-'GF diets L-Val + Fat + WD'!B$266))))))))*-1</f>
        <v>4.0826780857778466E-2</v>
      </c>
      <c r="D44" s="468">
        <f>IF(AND($G$5="No",$G$6="No",$G$7="No"),'GF diets No L-Val'!J$266-'GF diets No L-Val'!C$266,
IF(AND($G$5="Yes",$G$6="No",$G$7="No"),'GF diets No L-Val + Fat'!J$266-'GF diets No L-Val + Fat'!C$266,
IF(AND($G$5="No",$G$6="No",$G$7="Yes"),'GF diets L-Val'!J$266-'GF diets L-Val'!C$266,
IF(AND($G$5="Yes",$G$6="No",$G$7="Yes"),'GF diets L-Val + Fat'!J$266-'GF diets L-Val + Fat'!C$266,
IF(AND($G$5="No",$G$6="Yes",$G$7="No"),'GF diets No L-Val + WD'!J$266-'GF diets No L-Val + WD'!C$266,
IF(AND($G$5="Yes",$G$6="Yes",$G$7="No"),'GF diets No L-Val + Fat + WD'!J$266-'GF diets No L-Val + Fat + WD'!C$266,
IF(AND($G$5="No",$G$6="Yes",$G$7="Yes"),'GF diets L-Val + WD'!J$266-'GF diets L-Val + WD'!C$266,
IF(AND($G$5="Yes",$G$6="Yes",$G$7="Yes"),'GF diets L-Val + Fat + WD'!J$266-'GF diets L-Val + Fat + WD'!C$266))))))))*-1</f>
        <v>4.142984482154155E-2</v>
      </c>
      <c r="E44" s="468">
        <f>IF(AND($G$5="No",$G$6="No",$G$7="No"),'GF diets No L-Val'!K$266-'GF diets No L-Val'!D$266,
IF(AND($G$5="Yes",$G$6="No",$G$7="No"),'GF diets No L-Val + Fat'!K$266-'GF diets No L-Val + Fat'!D$266,
IF(AND($G$5="No",$G$6="No",$G$7="Yes"),'GF diets L-Val'!K$266-'GF diets L-Val'!D$266,
IF(AND($G$5="Yes",$G$6="No",$G$7="Yes"),'GF diets L-Val + Fat'!K$266-'GF diets L-Val + Fat'!D$266,
IF(AND($G$5="No",$G$6="Yes",$G$7="No"),'GF diets No L-Val + WD'!K$266-'GF diets No L-Val + WD'!D$266,
IF(AND($G$5="Yes",$G$6="Yes",$G$7="No"),'GF diets No L-Val + Fat + WD'!K$266-'GF diets No L-Val + Fat + WD'!D$266,
IF(AND($G$5="No",$G$6="Yes",$G$7="Yes"),'GF diets L-Val + WD'!K$266-'GF diets L-Val + WD'!D$266,
IF(AND($G$5="Yes",$G$6="Yes",$G$7="Yes"),'GF diets L-Val + Fat + WD'!K$266-'GF diets L-Val + Fat + WD'!D$266))))))))*-1</f>
        <v>5.485569115141864E-2</v>
      </c>
      <c r="F44" s="468">
        <f>IF(AND($G$5="No",$G$6="No",$G$7="No"),'GF diets No L-Val'!L$266-'GF diets No L-Val'!E$266,
IF(AND($G$5="Yes",$G$6="No",$G$7="No"),'GF diets No L-Val + Fat'!L$266-'GF diets No L-Val + Fat'!E$266,
IF(AND($G$5="No",$G$6="No",$G$7="Yes"),'GF diets L-Val'!L$266-'GF diets L-Val'!E$266,
IF(AND($G$5="Yes",$G$6="No",$G$7="Yes"),'GF diets L-Val + Fat'!L$266-'GF diets L-Val + Fat'!E$266,
IF(AND($G$5="No",$G$6="Yes",$G$7="No"),'GF diets No L-Val + WD'!L$266-'GF diets No L-Val + WD'!E$266,
IF(AND($G$5="Yes",$G$6="Yes",$G$7="No"),'GF diets No L-Val + Fat + WD'!L$266-'GF diets No L-Val + Fat + WD'!E$266,
IF(AND($G$5="No",$G$6="Yes",$G$7="Yes"),'GF diets L-Val + WD'!L$266-'GF diets L-Val + WD'!E$266,
IF(AND($G$5="Yes",$G$6="Yes",$G$7="Yes"),'GF diets L-Val + Fat + WD'!L$266-'GF diets L-Val + Fat + WD'!E$266))))))))*-1</f>
        <v>8.0992595420287472E-2</v>
      </c>
      <c r="G44" s="468">
        <f>IF(AND($G$5="No",$G$6="No",$G$7="No"),'GF diets No L-Val'!M$266-'GF diets No L-Val'!F$266,
IF(AND($G$5="Yes",$G$6="No",$G$7="No"),'GF diets No L-Val + Fat'!M$266-'GF diets No L-Val + Fat'!F$266,
IF(AND($G$5="No",$G$6="No",$G$7="Yes"),'GF diets L-Val'!M$266-'GF diets L-Val'!F$266,
IF(AND($G$5="Yes",$G$6="No",$G$7="Yes"),'GF diets L-Val + Fat'!M$266-'GF diets L-Val + Fat'!F$266,
IF(AND($G$5="No",$G$6="Yes",$G$7="No"),'GF diets No L-Val + WD'!M$266-'GF diets No L-Val + WD'!F$266,
IF(AND($G$5="Yes",$G$6="Yes",$G$7="No"),'GF diets No L-Val + Fat + WD'!M$266-'GF diets No L-Val + Fat + WD'!F$266,
IF(AND($G$5="No",$G$6="Yes",$G$7="Yes"),'GF diets L-Val + WD'!M$266-'GF diets L-Val + WD'!F$266,
IF(AND($G$5="Yes",$G$6="Yes",$G$7="Yes"),'GF diets L-Val + Fat + WD'!M$266-'GF diets L-Val + Fat + WD'!F$266))))))))*-1</f>
        <v>0.12255625698930928</v>
      </c>
      <c r="H44" s="468">
        <f>IF(AND($G$5="No",$G$6="No",$G$7="No"),'GF diets No L-Val'!N$266-'GF diets No L-Val'!G$266,
IF(AND($G$5="Yes",$G$6="No",$G$7="No"),'GF diets No L-Val + Fat'!N$266-'GF diets No L-Val + Fat'!G$266,
IF(AND($G$5="No",$G$6="No",$G$7="Yes"),'GF diets L-Val'!N$266-'GF diets L-Val'!G$266,
IF(AND($G$5="Yes",$G$6="No",$G$7="Yes"),'GF diets L-Val + Fat'!N$266-'GF diets L-Val + Fat'!G$266,
IF(AND($G$5="No",$G$6="Yes",$G$7="No"),'GF diets No L-Val + WD'!N$266-'GF diets No L-Val + WD'!G$266,
IF(AND($G$5="Yes",$G$6="Yes",$G$7="No"),'GF diets No L-Val + Fat + WD'!N$266-'GF diets No L-Val + Fat + WD'!G$266,
IF(AND($G$5="No",$G$6="Yes",$G$7="Yes"),'GF diets L-Val + WD'!N$266-'GF diets L-Val + WD'!G$266,
IF(AND($G$5="Yes",$G$6="Yes",$G$7="Yes"),'GF diets L-Val + Fat + WD'!N$266-'GF diets L-Val + Fat + WD'!G$266))))))))*-1</f>
        <v>0.21952876694196632</v>
      </c>
      <c r="I44" s="468">
        <f t="shared" ref="I44:I49" si="0">SUM(C44:H44)</f>
        <v>0.56018993618230173</v>
      </c>
      <c r="J44" s="468"/>
      <c r="L44" s="367"/>
      <c r="M44" s="367"/>
      <c r="N44" s="367"/>
      <c r="O44" s="367"/>
      <c r="P44" s="367"/>
      <c r="Q44" s="367"/>
      <c r="R44" s="367"/>
    </row>
    <row r="45" spans="1:28" ht="15.6" x14ac:dyDescent="0.3">
      <c r="A45" s="290">
        <v>0.1</v>
      </c>
      <c r="B45" s="387" t="s">
        <v>488</v>
      </c>
      <c r="C45" s="468">
        <f>IF(AND($G$5="No",$G$6="No",$G$7="No"),'GF diets No L-Val'!P$266-'GF diets No L-Val'!B$266,
IF(AND($G$5="Yes",$G$6="No",$G$7="No"),'GF diets No L-Val + Fat'!P$266-'GF diets No L-Val + Fat'!B$266,
IF(AND($G$5="No",$G$6="No",$G$7="Yes"),'GF diets L-Val'!P$266-'GF diets L-Val'!B$266,
IF(AND($G$5="Yes",$G$6="No",$G$7="Yes"),'GF diets L-Val + Fat'!P$266-'GF diets L-Val + Fat'!B$266,
IF(AND($G$5="No",$G$6="Yes",$G$7="No"),'GF diets No L-Val + WD'!P$266-'GF diets No L-Val + WD'!B$266,
IF(AND($G$5="Yes",$G$6="Yes",$G$7="No"),'GF diets No L-Val + Fat + WD'!P$266-'GF diets No L-Val + Fat + WD'!B$266,
IF(AND($G$5="No",$G$6="Yes",$G$7="Yes"),'GF diets L-Val + WD'!P$266-'GF diets L-Val + WD'!B$266,
IF(AND($G$5="Yes",$G$6="Yes",$G$7="Yes"),'GF diets L-Val + Fat + WD'!P$266-'GF diets L-Val + Fat + WD'!B$266))))))))*-1</f>
        <v>6.6858571351159135E-2</v>
      </c>
      <c r="D45" s="468">
        <f>IF(AND($G$5="No",$G$6="No",$G$7="No"),'GF diets No L-Val'!Q$266-'GF diets No L-Val'!C$266,
IF(AND($G$5="Yes",$G$6="No",$G$7="No"),'GF diets No L-Val + Fat'!Q$266-'GF diets No L-Val + Fat'!C$266,
IF(AND($G$5="No",$G$6="No",$G$7="Yes"),'GF diets L-Val'!Q$266-'GF diets L-Val'!C$266,
IF(AND($G$5="Yes",$G$6="No",$G$7="Yes"),'GF diets L-Val + Fat'!Q$266-'GF diets L-Val + Fat'!C$266,
IF(AND($G$5="No",$G$6="Yes",$G$7="No"),'GF diets No L-Val + WD'!Q$266-'GF diets No L-Val + WD'!C$266,
IF(AND($G$5="Yes",$G$6="Yes",$G$7="No"),'GF diets No L-Val + Fat + WD'!Q$266-'GF diets No L-Val + Fat + WD'!C$266,
IF(AND($G$5="No",$G$6="Yes",$G$7="Yes"),'GF diets L-Val + WD'!Q$266-'GF diets L-Val + WD'!C$266,
IF(AND($G$5="Yes",$G$6="Yes",$G$7="Yes"),'GF diets L-Val + Fat + WD'!Q$266-'GF diets L-Val + Fat + WD'!C$266))))))))*-1</f>
        <v>6.8530775691828083E-2</v>
      </c>
      <c r="E45" s="468">
        <f>IF(AND($G$5="No",$G$6="No",$G$7="No"),'GF diets No L-Val'!R$266-'GF diets No L-Val'!D$266,
IF(AND($G$5="Yes",$G$6="No",$G$7="No"),'GF diets No L-Val + Fat'!R$266-'GF diets No L-Val + Fat'!D$266,
IF(AND($G$5="No",$G$6="No",$G$7="Yes"),'GF diets L-Val'!R$266-'GF diets L-Val'!D$266,
IF(AND($G$5="Yes",$G$6="No",$G$7="Yes"),'GF diets L-Val + Fat'!R$266-'GF diets L-Val + Fat'!D$266,
IF(AND($G$5="No",$G$6="Yes",$G$7="No"),'GF diets No L-Val + WD'!R$266-'GF diets No L-Val + WD'!D$266,
IF(AND($G$5="Yes",$G$6="Yes",$G$7="No"),'GF diets No L-Val + Fat + WD'!R$266-'GF diets No L-Val + Fat + WD'!D$266,
IF(AND($G$5="No",$G$6="Yes",$G$7="Yes"),'GF diets L-Val + WD'!R$266-'GF diets L-Val + WD'!D$266,
IF(AND($G$5="Yes",$G$6="Yes",$G$7="Yes"),'GF diets L-Val + Fat + WD'!R$266-'GF diets L-Val + Fat + WD'!D$266))))))))*-1</f>
        <v>9.5657158360857863E-2</v>
      </c>
      <c r="F45" s="468">
        <f>IF(AND($G$5="No",$G$6="No",$G$7="No"),'GF diets No L-Val'!S$266-'GF diets No L-Val'!E$266,
IF(AND($G$5="Yes",$G$6="No",$G$7="No"),'GF diets No L-Val + Fat'!S$266-'GF diets No L-Val + Fat'!E$266,
IF(AND($G$5="No",$G$6="No",$G$7="Yes"),'GF diets L-Val'!S$266-'GF diets L-Val'!E$266,
IF(AND($G$5="Yes",$G$6="No",$G$7="Yes"),'GF diets L-Val + Fat'!S$266-'GF diets L-Val + Fat'!E$266,
IF(AND($G$5="No",$G$6="Yes",$G$7="No"),'GF diets No L-Val + WD'!S$266-'GF diets No L-Val + WD'!E$266,
IF(AND($G$5="Yes",$G$6="Yes",$G$7="No"),'GF diets No L-Val + Fat + WD'!S$266-'GF diets No L-Val + Fat + WD'!E$266,
IF(AND($G$5="No",$G$6="Yes",$G$7="Yes"),'GF diets L-Val + WD'!S$266-'GF diets L-Val + WD'!E$266,
IF(AND($G$5="Yes",$G$6="Yes",$G$7="Yes"),'GF diets L-Val + Fat + WD'!S$266-'GF diets L-Val + Fat + WD'!E$266))))))))*-1</f>
        <v>0.15153760762760271</v>
      </c>
      <c r="G45" s="468">
        <f>IF(AND($G$5="No",$G$6="No",$G$7="No"),'GF diets No L-Val'!T$266-'GF diets No L-Val'!F$266,
IF(AND($G$5="Yes",$G$6="No",$G$7="No"),'GF diets No L-Val + Fat'!T$266-'GF diets No L-Val + Fat'!F$266,
IF(AND($G$5="No",$G$6="No",$G$7="Yes"),'GF diets L-Val'!T$266-'GF diets L-Val'!F$266,
IF(AND($G$5="Yes",$G$6="No",$G$7="Yes"),'GF diets L-Val + Fat'!T$266-'GF diets L-Val + Fat'!F$266,
IF(AND($G$5="No",$G$6="Yes",$G$7="No"),'GF diets No L-Val + WD'!T$266-'GF diets No L-Val + WD'!F$266,
IF(AND($G$5="Yes",$G$6="Yes",$G$7="No"),'GF diets No L-Val + Fat + WD'!T$266-'GF diets No L-Val + Fat + WD'!F$266,
IF(AND($G$5="No",$G$6="Yes",$G$7="Yes"),'GF diets L-Val + WD'!T$266-'GF diets L-Val + WD'!F$266,
IF(AND($G$5="Yes",$G$6="Yes",$G$7="Yes"),'GF diets L-Val + Fat + WD'!T$266-'GF diets L-Val + Fat + WD'!F$266))))))))*-1</f>
        <v>0.21849499553169593</v>
      </c>
      <c r="H45" s="468">
        <f>IF(AND($G$5="No",$G$6="No",$G$7="No"),'GF diets No L-Val'!U$266-'GF diets No L-Val'!G$266,
IF(AND($G$5="Yes",$G$6="No",$G$7="No"),'GF diets No L-Val + Fat'!U$266-'GF diets No L-Val + Fat'!G$266,
IF(AND($G$5="No",$G$6="No",$G$7="Yes"),'GF diets L-Val'!U$266-'GF diets L-Val'!G$266,
IF(AND($G$5="Yes",$G$6="No",$G$7="Yes"),'GF diets L-Val + Fat'!U$266-'GF diets L-Val + Fat'!G$266,
IF(AND($G$5="No",$G$6="Yes",$G$7="No"),'GF diets No L-Val + WD'!U$266-'GF diets No L-Val + WD'!G$266,
IF(AND($G$5="Yes",$G$6="Yes",$G$7="No"),'GF diets No L-Val + Fat + WD'!U$266-'GF diets No L-Val + Fat + WD'!G$266,
IF(AND($G$5="No",$G$6="Yes",$G$7="Yes"),'GF diets L-Val + WD'!U$266-'GF diets L-Val + WD'!G$266,
IF(AND($G$5="Yes",$G$6="Yes",$G$7="Yes"),'GF diets L-Val + Fat + WD'!U$266-'GF diets L-Val + Fat + WD'!G$266))))))))*-1</f>
        <v>0.4048610727608537</v>
      </c>
      <c r="I45" s="468">
        <f t="shared" si="0"/>
        <v>1.0059401813239974</v>
      </c>
      <c r="J45" s="468">
        <f>I45-I44</f>
        <v>0.4457502451416957</v>
      </c>
      <c r="L45" s="367"/>
      <c r="M45" s="367"/>
      <c r="N45" s="367"/>
      <c r="O45" s="367"/>
      <c r="P45" s="367"/>
      <c r="Q45" s="367"/>
      <c r="R45" s="367"/>
    </row>
    <row r="46" spans="1:28" ht="15.6" x14ac:dyDescent="0.3">
      <c r="A46" s="290">
        <v>0.15</v>
      </c>
      <c r="B46" s="387" t="s">
        <v>489</v>
      </c>
      <c r="C46" s="468">
        <f>IF(AND($G$5="No",$G$6="No",$G$7="No"),'GF diets No L-Val'!W$266-'GF diets No L-Val'!B$266,
IF(AND($G$5="Yes",$G$6="No",$G$7="No"),'GF diets No L-Val + Fat'!W$266-'GF diets No L-Val + Fat'!B$266,
IF(AND($G$5="No",$G$6="No",$G$7="Yes"),'GF diets L-Val'!W$266-'GF diets L-Val'!B$266,
IF(AND($G$5="Yes",$G$6="No",$G$7="Yes"),'GF diets L-Val + Fat'!W$266-'GF diets L-Val + Fat'!B$266,
IF(AND($G$5="No",$G$6="Yes",$G$7="No"),'GF diets No L-Val + WD'!W$266-'GF diets No L-Val + WD'!B$266,
IF(AND($G$5="Yes",$G$6="Yes",$G$7="No"),'GF diets No L-Val + Fat + WD'!W$266-'GF diets No L-Val + Fat + WD'!B$266,
IF(AND($G$5="No",$G$6="Yes",$G$7="Yes"),'GF diets L-Val + WD'!W$266-'GF diets L-Val + WD'!B$266,
IF(AND($G$5="Yes",$G$6="Yes",$G$7="Yes"),'GF diets L-Val + Fat + WD'!W$266-'GF diets L-Val + Fat + WD'!B$266))))))))*-1</f>
        <v>8.6246918062932387E-2</v>
      </c>
      <c r="D46" s="468">
        <f>IF(AND($G$5="No",$G$6="No",$G$7="No"),'GF diets No L-Val'!X$266-'GF diets No L-Val'!C$266,
IF(AND($G$5="Yes",$G$6="No",$G$7="No"),'GF diets No L-Val + Fat'!X$266-'GF diets No L-Val + Fat'!C$266,
IF(AND($G$5="No",$G$6="No",$G$7="Yes"),'GF diets L-Val'!X$266-'GF diets L-Val'!C$266,
IF(AND($G$5="Yes",$G$6="No",$G$7="Yes"),'GF diets L-Val + Fat'!X$266-'GF diets L-Val + Fat'!C$266,
IF(AND($G$5="No",$G$6="Yes",$G$7="No"),'GF diets No L-Val + WD'!X$266-'GF diets No L-Val + WD'!C$266,
IF(AND($G$5="Yes",$G$6="Yes",$G$7="No"),'GF diets No L-Val + Fat + WD'!X$266-'GF diets No L-Val + Fat + WD'!C$266,
IF(AND($G$5="No",$G$6="Yes",$G$7="Yes"),'GF diets L-Val + WD'!X$266-'GF diets L-Val + WD'!C$266,
IF(AND($G$5="Yes",$G$6="Yes",$G$7="Yes"),'GF diets L-Val + Fat + WD'!X$266-'GF diets L-Val + Fat + WD'!C$266))))))))*-1</f>
        <v>9.0826926934409968E-2</v>
      </c>
      <c r="E46" s="468">
        <f>IF(AND($G$5="No",$G$6="No",$G$7="No"),'GF diets No L-Val'!Y$266-'GF diets No L-Val'!D$266,
IF(AND($G$5="Yes",$G$6="No",$G$7="No"),'GF diets No L-Val + Fat'!Y$266-'GF diets No L-Val + Fat'!D$266,
IF(AND($G$5="No",$G$6="No",$G$7="Yes"),'GF diets L-Val'!Y$266-'GF diets L-Val'!D$266,
IF(AND($G$5="Yes",$G$6="No",$G$7="Yes"),'GF diets L-Val + Fat'!Y$266-'GF diets L-Val + Fat'!D$266,
IF(AND($G$5="No",$G$6="Yes",$G$7="No"),'GF diets No L-Val + WD'!Y$266-'GF diets No L-Val + WD'!D$266,
IF(AND($G$5="Yes",$G$6="Yes",$G$7="No"),'GF diets No L-Val + Fat + WD'!Y$266-'GF diets No L-Val + Fat + WD'!D$266,
IF(AND($G$5="No",$G$6="Yes",$G$7="Yes"),'GF diets L-Val + WD'!Y$266-'GF diets L-Val + WD'!D$266,
IF(AND($G$5="Yes",$G$6="Yes",$G$7="Yes"),'GF diets L-Val + Fat + WD'!Y$266-'GF diets L-Val + Fat + WD'!D$266))))))))*-1</f>
        <v>0.13902436661296136</v>
      </c>
      <c r="F46" s="468">
        <f>IF(AND($G$5="No",$G$6="No",$G$7="No"),'GF diets No L-Val'!Z$266-'GF diets No L-Val'!E$266,
IF(AND($G$5="Yes",$G$6="No",$G$7="No"),'GF diets No L-Val + Fat'!Z$266-'GF diets No L-Val + Fat'!E$266,
IF(AND($G$5="No",$G$6="No",$G$7="Yes"),'GF diets L-Val'!Z$266-'GF diets L-Val'!E$266,
IF(AND($G$5="Yes",$G$6="No",$G$7="Yes"),'GF diets L-Val + Fat'!Z$266-'GF diets L-Val + Fat'!E$266,
IF(AND($G$5="No",$G$6="Yes",$G$7="No"),'GF diets No L-Val + WD'!Z$266-'GF diets No L-Val + WD'!E$266,
IF(AND($G$5="Yes",$G$6="Yes",$G$7="No"),'GF diets No L-Val + Fat + WD'!Z$266-'GF diets No L-Val + Fat + WD'!E$266,
IF(AND($G$5="No",$G$6="Yes",$G$7="Yes"),'GF diets L-Val + WD'!Z$266-'GF diets L-Val + WD'!E$266,
IF(AND($G$5="Yes",$G$6="Yes",$G$7="Yes"),'GF diets L-Val + Fat + WD'!Z$266-'GF diets L-Val + Fat + WD'!E$266))))))))*-1</f>
        <v>0.21093935700601207</v>
      </c>
      <c r="G46" s="468">
        <f>IF(AND($G$5="No",$G$6="No",$G$7="No"),'GF diets No L-Val'!AA$266-'GF diets No L-Val'!F$266,
IF(AND($G$5="Yes",$G$6="No",$G$7="No"),'GF diets No L-Val + Fat'!AA$266-'GF diets No L-Val + Fat'!F$266,
IF(AND($G$5="No",$G$6="No",$G$7="Yes"),'GF diets L-Val'!AA$266-'GF diets L-Val'!F$266,
IF(AND($G$5="Yes",$G$6="No",$G$7="Yes"),'GF diets L-Val + Fat'!AA$266-'GF diets L-Val + Fat'!F$266,
IF(AND($G$5="No",$G$6="Yes",$G$7="No"),'GF diets No L-Val + WD'!AA$266-'GF diets No L-Val + WD'!F$266,
IF(AND($G$5="Yes",$G$6="Yes",$G$7="No"),'GF diets No L-Val + Fat + WD'!AA$266-'GF diets No L-Val + Fat + WD'!F$266,
IF(AND($G$5="No",$G$6="Yes",$G$7="Yes"),'GF diets L-Val + WD'!AA$266-'GF diets L-Val + WD'!F$266,
IF(AND($G$5="Yes",$G$6="Yes",$G$7="Yes"),'GF diets L-Val + Fat + WD'!AA$266-'GF diets L-Val + Fat + WD'!F$266))))))))*-1</f>
        <v>0.3058368246038814</v>
      </c>
      <c r="H46" s="468">
        <f>IF(AND($G$5="No",$G$6="No",$G$7="No"),'GF diets No L-Val'!AB$266-'GF diets No L-Val'!G$266,
IF(AND($G$5="Yes",$G$6="No",$G$7="No"),'GF diets No L-Val + Fat'!AB$266-'GF diets No L-Val + Fat'!G$266,
IF(AND($G$5="No",$G$6="No",$G$7="Yes"),'GF diets L-Val'!AB$266-'GF diets L-Val'!G$266,
IF(AND($G$5="Yes",$G$6="No",$G$7="Yes"),'GF diets L-Val + Fat'!AB$266-'GF diets L-Val + Fat'!G$266,
IF(AND($G$5="No",$G$6="Yes",$G$7="No"),'GF diets No L-Val + WD'!AB$266-'GF diets No L-Val + WD'!G$266,
IF(AND($G$5="Yes",$G$6="Yes",$G$7="No"),'GF diets No L-Val + Fat + WD'!AB$266-'GF diets No L-Val + Fat + WD'!G$266,
IF(AND($G$5="No",$G$6="Yes",$G$7="Yes"),'GF diets L-Val + WD'!AB$266-'GF diets L-Val + WD'!G$266,
IF(AND($G$5="Yes",$G$6="Yes",$G$7="Yes"),'GF diets L-Val + Fat + WD'!AB$266-'GF diets L-Val + Fat + WD'!G$266))))))))*-1</f>
        <v>0.57929778916270358</v>
      </c>
      <c r="I46" s="468">
        <f t="shared" si="0"/>
        <v>1.4121721823829008</v>
      </c>
      <c r="J46" s="468">
        <f>I46-I45</f>
        <v>0.40623200105890334</v>
      </c>
      <c r="L46" s="367"/>
      <c r="M46" s="367"/>
      <c r="N46" s="367"/>
      <c r="O46" s="367"/>
      <c r="P46" s="367"/>
      <c r="Q46" s="367"/>
      <c r="R46" s="367"/>
    </row>
    <row r="47" spans="1:28" ht="15.6" x14ac:dyDescent="0.3">
      <c r="A47" s="290">
        <v>0.2</v>
      </c>
      <c r="B47" s="387" t="s">
        <v>490</v>
      </c>
      <c r="C47" s="468">
        <f>IF(AND($G$5="No",$G$6="No",$G$7="No"),'GF diets No L-Val'!AD$266-'GF diets No L-Val'!B$266,
IF(AND($G$5="Yes",$G$6="No",$G$7="No"),'GF diets No L-Val + Fat'!AD$266-'GF diets No L-Val + Fat'!B$266,
IF(AND($G$5="No",$G$6="No",$G$7="Yes"),'GF diets L-Val'!AD$266-'GF diets L-Val'!B$266,
IF(AND($G$5="Yes",$G$6="No",$G$7="Yes"),'GF diets L-Val + Fat'!AD$266-'GF diets L-Val + Fat'!B$266,
IF(AND($G$5="No",$G$6="Yes",$G$7="No"),'GF diets No L-Val + WD'!AD$266-'GF diets No L-Val + WD'!B$266,
IF(AND($G$5="Yes",$G$6="Yes",$G$7="No"),'GF diets No L-Val + Fat + WD'!AD$266-'GF diets No L-Val + Fat + WD'!B$266,
IF(AND($G$5="No",$G$6="Yes",$G$7="Yes"),'GF diets L-Val + WD'!AD$266-'GF diets L-Val + WD'!B$266,
IF(AND($G$5="Yes",$G$6="Yes",$G$7="Yes"),'GF diets L-Val + Fat + WD'!AD$266-'GF diets L-Val + Fat + WD'!B$266))))))))*-1</f>
        <v>9.9018579497420767E-2</v>
      </c>
      <c r="D47" s="468">
        <f>IF(AND($G$5="No",$G$6="No",$G$7="No"),'GF diets No L-Val'!AE$266-'GF diets No L-Val'!C$266,
IF(AND($G$5="Yes",$G$6="No",$G$7="No"),'GF diets No L-Val + Fat'!AE$266-'GF diets No L-Val + Fat'!C$266,
IF(AND($G$5="No",$G$6="No",$G$7="Yes"),'GF diets L-Val'!AE$266-'GF diets L-Val'!C$266,
IF(AND($G$5="Yes",$G$6="No",$G$7="Yes"),'GF diets L-Val + Fat'!AE$266-'GF diets L-Val + Fat'!C$266,
IF(AND($G$5="No",$G$6="Yes",$G$7="No"),'GF diets No L-Val + WD'!AE$266-'GF diets No L-Val + WD'!C$266,
IF(AND($G$5="Yes",$G$6="Yes",$G$7="No"),'GF diets No L-Val + Fat + WD'!AE$266-'GF diets No L-Val + Fat + WD'!C$266,
IF(AND($G$5="No",$G$6="Yes",$G$7="Yes"),'GF diets L-Val + WD'!AE$266-'GF diets L-Val + WD'!C$266,
IF(AND($G$5="Yes",$G$6="Yes",$G$7="Yes"),'GF diets L-Val + Fat + WD'!AE$266-'GF diets L-Val + Fat + WD'!C$266))))))))*-1</f>
        <v>0.1126460778817151</v>
      </c>
      <c r="E47" s="468">
        <f>IF(AND($G$5="No",$G$6="No",$G$7="No"),'GF diets No L-Val'!AF$266-'GF diets No L-Val'!D$266,
IF(AND($G$5="Yes",$G$6="No",$G$7="No"),'GF diets No L-Val + Fat'!AF$266-'GF diets No L-Val + Fat'!D$266,
IF(AND($G$5="No",$G$6="No",$G$7="Yes"),'GF diets L-Val'!AF$266-'GF diets L-Val'!D$266,
IF(AND($G$5="Yes",$G$6="No",$G$7="Yes"),'GF diets L-Val + Fat'!AF$266-'GF diets L-Val + Fat'!D$266,
IF(AND($G$5="No",$G$6="Yes",$G$7="No"),'GF diets No L-Val + WD'!AF$266-'GF diets No L-Val + WD'!D$266,
IF(AND($G$5="Yes",$G$6="Yes",$G$7="No"),'GF diets No L-Val + Fat + WD'!AF$266-'GF diets No L-Val + Fat + WD'!D$266,
IF(AND($G$5="No",$G$6="Yes",$G$7="Yes"),'GF diets L-Val + WD'!AF$266-'GF diets L-Val + WD'!D$266,
IF(AND($G$5="Yes",$G$6="Yes",$G$7="Yes"),'GF diets L-Val + Fat + WD'!AF$266-'GF diets L-Val + Fat + WD'!D$266))))))))*-1</f>
        <v>0.17732606730722189</v>
      </c>
      <c r="F47" s="468">
        <f>IF(AND($G$5="No",$G$6="No",$G$7="No"),'GF diets No L-Val'!AG$266-'GF diets No L-Val'!E$266,
IF(AND($G$5="Yes",$G$6="No",$G$7="No"),'GF diets No L-Val + Fat'!AG$266-'GF diets No L-Val + Fat'!E$266,
IF(AND($G$5="No",$G$6="No",$G$7="Yes"),'GF diets L-Val'!AG$266-'GF diets L-Val'!E$266,
IF(AND($G$5="Yes",$G$6="No",$G$7="Yes"),'GF diets L-Val + Fat'!AG$266-'GF diets L-Val + Fat'!E$266,
IF(AND($G$5="No",$G$6="Yes",$G$7="No"),'GF diets No L-Val + WD'!AG$266-'GF diets No L-Val + WD'!E$266,
IF(AND($G$5="Yes",$G$6="Yes",$G$7="No"),'GF diets No L-Val + Fat + WD'!AG$266-'GF diets No L-Val + Fat + WD'!E$266,
IF(AND($G$5="No",$G$6="Yes",$G$7="Yes"),'GF diets L-Val + WD'!AG$266-'GF diets L-Val + WD'!E$266,
IF(AND($G$5="Yes",$G$6="Yes",$G$7="Yes"),'GF diets L-Val + Fat + WD'!AG$266-'GF diets L-Val + Fat + WD'!E$266))))))))*-1</f>
        <v>0.25547600077796417</v>
      </c>
      <c r="G47" s="468">
        <f>IF(AND($G$5="No",$G$6="No",$G$7="No"),'GF diets No L-Val'!AH$266-'GF diets No L-Val'!F$266,
IF(AND($G$5="Yes",$G$6="No",$G$7="No"),'GF diets No L-Val + Fat'!AH$266-'GF diets No L-Val + Fat'!F$266,
IF(AND($G$5="No",$G$6="No",$G$7="Yes"),'GF diets L-Val'!AH$266-'GF diets L-Val'!F$266,
IF(AND($G$5="Yes",$G$6="No",$G$7="Yes"),'GF diets L-Val + Fat'!AH$266-'GF diets L-Val + Fat'!F$266,
IF(AND($G$5="No",$G$6="Yes",$G$7="No"),'GF diets No L-Val + WD'!AH$266-'GF diets No L-Val + WD'!F$266,
IF(AND($G$5="Yes",$G$6="Yes",$G$7="No"),'GF diets No L-Val + Fat + WD'!AH$266-'GF diets No L-Val + Fat + WD'!F$266,
IF(AND($G$5="No",$G$6="Yes",$G$7="Yes"),'GF diets L-Val + WD'!AH$266-'GF diets L-Val + WD'!F$266,
IF(AND($G$5="Yes",$G$6="Yes",$G$7="Yes"),'GF diets L-Val + Fat + WD'!AH$266-'GF diets L-Val + Fat + WD'!F$266))))))))*-1</f>
        <v>0.37743624664408415</v>
      </c>
      <c r="H47" s="468">
        <f>IF(AND($G$5="No",$G$6="No",$G$7="No"),'GF diets No L-Val'!AI$266-'GF diets No L-Val'!G$266,
IF(AND($G$5="Yes",$G$6="No",$G$7="No"),'GF diets No L-Val + Fat'!AI$266-'GF diets No L-Val + Fat'!G$266,
IF(AND($G$5="No",$G$6="No",$G$7="Yes"),'GF diets L-Val'!AI$266-'GF diets L-Val'!G$266,
IF(AND($G$5="Yes",$G$6="No",$G$7="Yes"),'GF diets L-Val + Fat'!AI$266-'GF diets L-Val + Fat'!G$266,
IF(AND($G$5="No",$G$6="Yes",$G$7="No"),'GF diets No L-Val + WD'!AI$266-'GF diets No L-Val + WD'!G$266,
IF(AND($G$5="Yes",$G$6="Yes",$G$7="No"),'GF diets No L-Val + Fat + WD'!AI$266-'GF diets No L-Val + Fat + WD'!G$266,
IF(AND($G$5="No",$G$6="Yes",$G$7="Yes"),'GF diets L-Val + WD'!AI$266-'GF diets L-Val + WD'!G$266,
IF(AND($G$5="Yes",$G$6="Yes",$G$7="Yes"),'GF diets L-Val + Fat + WD'!AI$266-'GF diets L-Val + Fat + WD'!G$266))))))))*-1</f>
        <v>0.73274861716237716</v>
      </c>
      <c r="I47" s="468">
        <f t="shared" si="0"/>
        <v>1.7546515892707832</v>
      </c>
      <c r="J47" s="468">
        <f>I47-I46</f>
        <v>0.34247940688788248</v>
      </c>
      <c r="L47" s="367"/>
      <c r="M47" s="367"/>
      <c r="N47" s="367"/>
      <c r="O47" s="367"/>
      <c r="P47" s="367"/>
      <c r="Q47" s="367"/>
      <c r="R47" s="367"/>
    </row>
    <row r="48" spans="1:28" ht="15.6" x14ac:dyDescent="0.3">
      <c r="A48" s="290">
        <v>0.25</v>
      </c>
      <c r="B48" s="387" t="s">
        <v>491</v>
      </c>
      <c r="C48" s="468">
        <f>IF(AND($G$5="No",$G$6="No",$G$7="No"),'GF diets No L-Val'!AK$266-'GF diets No L-Val'!B$266,
IF(AND($G$5="Yes",$G$6="No",$G$7="No"),'GF diets No L-Val + Fat'!AK$266-'GF diets No L-Val + Fat'!B$266,
IF(AND($G$5="No",$G$6="No",$G$7="Yes"),'GF diets L-Val'!AK$266-'GF diets L-Val'!B$266,
IF(AND($G$5="Yes",$G$6="No",$G$7="Yes"),'GF diets L-Val + Fat'!AK$266-'GF diets L-Val + Fat'!B$266,
IF(AND($G$5="No",$G$6="Yes",$G$7="No"),'GF diets No L-Val + WD'!AK$266-'GF diets No L-Val + WD'!B$266,
IF(AND($G$5="Yes",$G$6="Yes",$G$7="No"),'GF diets No L-Val + Fat + WD'!AK$266-'GF diets No L-Val + Fat + WD'!B$266,
IF(AND($G$5="No",$G$6="Yes",$G$7="Yes"),'GF diets L-Val + WD'!AK$266-'GF diets L-Val + WD'!B$266,
IF(AND($G$5="Yes",$G$6="Yes",$G$7="Yes"),'GF diets L-Val + Fat + WD'!AK$266-'GF diets L-Val + Fat + WD'!B$266))))))))*-1</f>
        <v>9.554778667628927E-2</v>
      </c>
      <c r="D48" s="468">
        <f>IF(AND($G$5="No",$G$6="No",$G$7="No"),'GF diets No L-Val'!AL$266-'GF diets No L-Val'!C$266,
IF(AND($G$5="Yes",$G$6="No",$G$7="No"),'GF diets No L-Val + Fat'!AL$266-'GF diets No L-Val + Fat'!C$266,
IF(AND($G$5="No",$G$6="No",$G$7="Yes"),'GF diets L-Val'!AL$266-'GF diets L-Val'!C$266,
IF(AND($G$5="Yes",$G$6="No",$G$7="Yes"),'GF diets L-Val + Fat'!AL$266-'GF diets L-Val + Fat'!C$266,
IF(AND($G$5="No",$G$6="Yes",$G$7="No"),'GF diets No L-Val + WD'!AL$266-'GF diets No L-Val + WD'!C$266,
IF(AND($G$5="Yes",$G$6="Yes",$G$7="No"),'GF diets No L-Val + Fat + WD'!AL$266-'GF diets No L-Val + Fat + WD'!C$266,
IF(AND($G$5="No",$G$6="Yes",$G$7="Yes"),'GF diets L-Val + WD'!AL$266-'GF diets L-Val + WD'!C$266,
IF(AND($G$5="Yes",$G$6="Yes",$G$7="Yes"),'GF diets L-Val + Fat + WD'!AL$266-'GF diets L-Val + Fat + WD'!C$266))))))))*-1</f>
        <v>0.12686879392083661</v>
      </c>
      <c r="E48" s="468">
        <f>IF(AND($G$5="No",$G$6="No",$G$7="No"),'GF diets No L-Val'!AM$266-'GF diets No L-Val'!D$266,
IF(AND($G$5="Yes",$G$6="No",$G$7="No"),'GF diets No L-Val + Fat'!AM$266-'GF diets No L-Val + Fat'!D$266,
IF(AND($G$5="No",$G$6="No",$G$7="Yes"),'GF diets L-Val'!AM$266-'GF diets L-Val'!D$266,
IF(AND($G$5="Yes",$G$6="No",$G$7="Yes"),'GF diets L-Val + Fat'!AM$266-'GF diets L-Val + Fat'!D$266,
IF(AND($G$5="No",$G$6="Yes",$G$7="No"),'GF diets No L-Val + WD'!AM$266-'GF diets No L-Val + WD'!D$266,
IF(AND($G$5="Yes",$G$6="Yes",$G$7="No"),'GF diets No L-Val + Fat + WD'!AM$266-'GF diets No L-Val + Fat + WD'!D$266,
IF(AND($G$5="No",$G$6="Yes",$G$7="Yes"),'GF diets L-Val + WD'!AM$266-'GF diets L-Val + WD'!D$266,
IF(AND($G$5="Yes",$G$6="Yes",$G$7="Yes"),'GF diets L-Val + Fat + WD'!AM$266-'GF diets L-Val + Fat + WD'!D$266))))))))*-1</f>
        <v>0.1941874828836081</v>
      </c>
      <c r="F48" s="468">
        <f>IF(AND($G$5="No",$G$6="No",$G$7="No"),'GF diets No L-Val'!AN$266-'GF diets No L-Val'!E$266,
IF(AND($G$5="Yes",$G$6="No",$G$7="No"),'GF diets No L-Val + Fat'!AN$266-'GF diets No L-Val + Fat'!E$266,
IF(AND($G$5="No",$G$6="No",$G$7="Yes"),'GF diets L-Val'!AN$266-'GF diets L-Val'!E$266,
IF(AND($G$5="Yes",$G$6="No",$G$7="Yes"),'GF diets L-Val + Fat'!AN$266-'GF diets L-Val + Fat'!E$266,
IF(AND($G$5="No",$G$6="Yes",$G$7="No"),'GF diets No L-Val + WD'!AN$266-'GF diets No L-Val + WD'!E$266,
IF(AND($G$5="Yes",$G$6="Yes",$G$7="No"),'GF diets No L-Val + Fat + WD'!AN$266-'GF diets No L-Val + Fat + WD'!E$266,
IF(AND($G$5="No",$G$6="Yes",$G$7="Yes"),'GF diets L-Val + WD'!AN$266-'GF diets L-Val + WD'!E$266,
IF(AND($G$5="Yes",$G$6="Yes",$G$7="Yes"),'GF diets L-Val + Fat + WD'!AN$266-'GF diets L-Val + Fat + WD'!E$266))))))))*-1</f>
        <v>0.28761207424227031</v>
      </c>
      <c r="G48" s="468">
        <f>IF(AND($G$5="No",$G$6="No",$G$7="No"),'GF diets No L-Val'!AO$266-'GF diets No L-Val'!F$266,
IF(AND($G$5="Yes",$G$6="No",$G$7="No"),'GF diets No L-Val + Fat'!AO$266-'GF diets No L-Val + Fat'!F$266,
IF(AND($G$5="No",$G$6="No",$G$7="Yes"),'GF diets L-Val'!AO$266-'GF diets L-Val'!F$266,
IF(AND($G$5="Yes",$G$6="No",$G$7="Yes"),'GF diets L-Val + Fat'!AO$266-'GF diets L-Val + Fat'!F$266,
IF(AND($G$5="No",$G$6="Yes",$G$7="No"),'GF diets No L-Val + WD'!AO$266-'GF diets No L-Val + WD'!F$266,
IF(AND($G$5="Yes",$G$6="Yes",$G$7="No"),'GF diets No L-Val + Fat + WD'!AO$266-'GF diets No L-Val + Fat + WD'!F$266,
IF(AND($G$5="No",$G$6="Yes",$G$7="Yes"),'GF diets L-Val + WD'!AO$266-'GF diets L-Val + WD'!F$266,
IF(AND($G$5="Yes",$G$6="Yes",$G$7="Yes"),'GF diets L-Val + Fat + WD'!AO$266-'GF diets L-Val + Fat + WD'!F$266))))))))*-1</f>
        <v>0.43478449374459949</v>
      </c>
      <c r="H48" s="468">
        <f>IF(AND($G$5="No",$G$6="No",$G$7="No"),'GF diets No L-Val'!AP$266-'GF diets No L-Val'!G$266,
IF(AND($G$5="Yes",$G$6="No",$G$7="No"),'GF diets No L-Val + Fat'!AP$266-'GF diets No L-Val + Fat'!G$266,
IF(AND($G$5="No",$G$6="No",$G$7="Yes"),'GF diets L-Val'!AP$266-'GF diets L-Val'!G$266,
IF(AND($G$5="Yes",$G$6="No",$G$7="Yes"),'GF diets L-Val + Fat'!AP$266-'GF diets L-Val + Fat'!G$266,
IF(AND($G$5="No",$G$6="Yes",$G$7="No"),'GF diets No L-Val + WD'!AP$266-'GF diets No L-Val + WD'!G$266,
IF(AND($G$5="Yes",$G$6="Yes",$G$7="No"),'GF diets No L-Val + Fat + WD'!AP$266-'GF diets No L-Val + Fat + WD'!G$266,
IF(AND($G$5="No",$G$6="Yes",$G$7="Yes"),'GF diets L-Val + WD'!AP$266-'GF diets L-Val + WD'!G$266,
IF(AND($G$5="Yes",$G$6="Yes",$G$7="Yes"),'GF diets L-Val + Fat + WD'!AP$266-'GF diets L-Val + Fat + WD'!G$266))))))))*-1</f>
        <v>0.87782128432011142</v>
      </c>
      <c r="I48" s="468">
        <f t="shared" si="0"/>
        <v>2.0168219157877152</v>
      </c>
      <c r="J48" s="468">
        <f>I48-I47</f>
        <v>0.26217032651693195</v>
      </c>
      <c r="L48" s="367"/>
      <c r="M48" s="367"/>
      <c r="N48" s="367"/>
      <c r="O48" s="367"/>
      <c r="P48" s="367"/>
      <c r="Q48" s="367"/>
      <c r="R48" s="367"/>
    </row>
    <row r="49" spans="1:30" ht="15.6" x14ac:dyDescent="0.3">
      <c r="A49" s="290">
        <v>0.3</v>
      </c>
      <c r="B49" s="387" t="s">
        <v>492</v>
      </c>
      <c r="C49" s="468">
        <f>IF(AND($G$5="No",$G$6="No",$G$7="No"),'GF diets No L-Val'!AR$266-'GF diets No L-Val'!B$266,
IF(AND($G$5="Yes",$G$6="No",$G$7="No"),'GF diets No L-Val + Fat'!AR$266-'GF diets No L-Val + Fat'!B$266,
IF(AND($G$5="No",$G$6="No",$G$7="Yes"),'GF diets L-Val'!AR$266-'GF diets L-Val'!B$266,
IF(AND($G$5="Yes",$G$6="No",$G$7="Yes"),'GF diets L-Val + Fat'!AR$266-'GF diets L-Val + Fat'!B$266,
IF(AND($G$5="No",$G$6="Yes",$G$7="No"),'GF diets No L-Val + WD'!AR$266-'GF diets No L-Val + WD'!B$266,
IF(AND($G$5="Yes",$G$6="Yes",$G$7="No"),'GF diets No L-Val + Fat + WD'!AR$266-'GF diets No L-Val + Fat + WD'!B$266,
IF(AND($G$5="No",$G$6="Yes",$G$7="Yes"),'GF diets L-Val + WD'!AR$266-'GF diets L-Val + WD'!B$266,
IF(AND($G$5="Yes",$G$6="Yes",$G$7="Yes"),'GF diets L-Val + Fat + WD'!AR$266-'GF diets L-Val + Fat + WD'!B$266))))))))*-1</f>
        <v>9.8930042537966223E-2</v>
      </c>
      <c r="D49" s="468">
        <f>IF(AND($G$5="No",$G$6="No",$G$7="No"),'GF diets No L-Val'!AS$266-'GF diets No L-Val'!C$266,
IF(AND($G$5="Yes",$G$6="No",$G$7="No"),'GF diets No L-Val + Fat'!AS$266-'GF diets No L-Val + Fat'!C$266,
IF(AND($G$5="No",$G$6="No",$G$7="Yes"),'GF diets L-Val'!AS$266-'GF diets L-Val'!C$266,
IF(AND($G$5="Yes",$G$6="No",$G$7="Yes"),'GF diets L-Val + Fat'!AS$266-'GF diets L-Val + Fat'!C$266,
IF(AND($G$5="No",$G$6="Yes",$G$7="No"),'GF diets No L-Val + WD'!AS$266-'GF diets No L-Val + WD'!C$266,
IF(AND($G$5="Yes",$G$6="Yes",$G$7="No"),'GF diets No L-Val + Fat + WD'!AS$266-'GF diets No L-Val + Fat + WD'!C$266,
IF(AND($G$5="No",$G$6="Yes",$G$7="Yes"),'GF diets L-Val + WD'!AS$266-'GF diets L-Val + WD'!C$266,
IF(AND($G$5="Yes",$G$6="Yes",$G$7="Yes"),'GF diets L-Val + Fat + WD'!AS$266-'GF diets L-Val + Fat + WD'!C$266))))))))*-1</f>
        <v>0.13488214483955119</v>
      </c>
      <c r="E49" s="468">
        <f>IF(AND($G$5="No",$G$6="No",$G$7="No"),'GF diets No L-Val'!AT$266-'GF diets No L-Val'!D$266,
IF(AND($G$5="Yes",$G$6="No",$G$7="No"),'GF diets No L-Val + Fat'!AT$266-'GF diets No L-Val + Fat'!D$266,
IF(AND($G$5="No",$G$6="No",$G$7="Yes"),'GF diets L-Val'!AT$266-'GF diets L-Val'!D$266,
IF(AND($G$5="Yes",$G$6="No",$G$7="Yes"),'GF diets L-Val + Fat'!AT$266-'GF diets L-Val + Fat'!D$266,
IF(AND($G$5="No",$G$6="Yes",$G$7="No"),'GF diets No L-Val + WD'!AT$266-'GF diets No L-Val + WD'!D$266,
IF(AND($G$5="Yes",$G$6="Yes",$G$7="No"),'GF diets No L-Val + Fat + WD'!AT$266-'GF diets No L-Val + Fat + WD'!D$266,
IF(AND($G$5="No",$G$6="Yes",$G$7="Yes"),'GF diets L-Val + WD'!AT$266-'GF diets L-Val + WD'!D$266,
IF(AND($G$5="Yes",$G$6="Yes",$G$7="Yes"),'GF diets L-Val + Fat + WD'!AT$266-'GF diets L-Val + Fat + WD'!D$266))))))))*-1</f>
        <v>0.20360894250297434</v>
      </c>
      <c r="F49" s="468">
        <f>IF(AND($G$5="No",$G$6="No",$G$7="No"),'GF diets No L-Val'!AU$266-'GF diets No L-Val'!E$266,
IF(AND($G$5="Yes",$G$6="No",$G$7="No"),'GF diets No L-Val + Fat'!AU$266-'GF diets No L-Val + Fat'!E$266,
IF(AND($G$5="No",$G$6="No",$G$7="Yes"),'GF diets L-Val'!AU$266-'GF diets L-Val'!E$266,
IF(AND($G$5="Yes",$G$6="No",$G$7="Yes"),'GF diets L-Val + Fat'!AU$266-'GF diets L-Val + Fat'!E$266,
IF(AND($G$5="No",$G$6="Yes",$G$7="No"),'GF diets No L-Val + WD'!AU$266-'GF diets No L-Val + WD'!E$266,
IF(AND($G$5="Yes",$G$6="Yes",$G$7="No"),'GF diets No L-Val + Fat + WD'!AU$266-'GF diets No L-Val + Fat + WD'!E$266,
IF(AND($G$5="No",$G$6="Yes",$G$7="Yes"),'GF diets L-Val + WD'!AU$266-'GF diets L-Val + WD'!E$266,
IF(AND($G$5="Yes",$G$6="Yes",$G$7="Yes"),'GF diets L-Val + Fat + WD'!AU$266-'GF diets L-Val + Fat + WD'!E$266))))))))*-1</f>
        <v>0.30102115603801671</v>
      </c>
      <c r="G49" s="468">
        <f>IF(AND($G$5="No",$G$6="No",$G$7="No"),'GF diets No L-Val'!AV$266-'GF diets No L-Val'!F$266,
IF(AND($G$5="Yes",$G$6="No",$G$7="No"),'GF diets No L-Val + Fat'!AV$266-'GF diets No L-Val + Fat'!F$266,
IF(AND($G$5="No",$G$6="No",$G$7="Yes"),'GF diets L-Val'!AV$266-'GF diets L-Val'!F$266,
IF(AND($G$5="Yes",$G$6="No",$G$7="Yes"),'GF diets L-Val + Fat'!AV$266-'GF diets L-Val + Fat'!F$266,
IF(AND($G$5="No",$G$6="Yes",$G$7="No"),'GF diets No L-Val + WD'!AV$266-'GF diets No L-Val + WD'!F$266,
IF(AND($G$5="Yes",$G$6="Yes",$G$7="No"),'GF diets No L-Val + Fat + WD'!AV$266-'GF diets No L-Val + Fat + WD'!F$266,
IF(AND($G$5="No",$G$6="Yes",$G$7="Yes"),'GF diets L-Val + WD'!AV$266-'GF diets L-Val + WD'!F$266,
IF(AND($G$5="Yes",$G$6="Yes",$G$7="Yes"),'GF diets L-Val + Fat + WD'!AV$266-'GF diets L-Val + Fat + WD'!F$266))))))))*-1</f>
        <v>0.48813736476942715</v>
      </c>
      <c r="H49" s="468">
        <f>IF(AND($G$5="No",$G$6="No",$G$7="No"),'GF diets No L-Val'!AW$266-'GF diets No L-Val'!G$266,
IF(AND($G$5="Yes",$G$6="No",$G$7="No"),'GF diets No L-Val + Fat'!AW$266-'GF diets No L-Val + Fat'!G$266,
IF(AND($G$5="No",$G$6="No",$G$7="Yes"),'GF diets L-Val'!AW$266-'GF diets L-Val'!G$266,
IF(AND($G$5="Yes",$G$6="No",$G$7="Yes"),'GF diets L-Val + Fat'!AW$266-'GF diets L-Val + Fat'!G$266,
IF(AND($G$5="No",$G$6="Yes",$G$7="No"),'GF diets No L-Val + WD'!AW$266-'GF diets No L-Val + WD'!G$266,
IF(AND($G$5="Yes",$G$6="Yes",$G$7="No"),'GF diets No L-Val + Fat + WD'!AW$266-'GF diets No L-Val + Fat + WD'!G$266,
IF(AND($G$5="No",$G$6="Yes",$G$7="Yes"),'GF diets L-Val + WD'!AW$266-'GF diets L-Val + WD'!G$266,
IF(AND($G$5="Yes",$G$6="Yes",$G$7="Yes"),'GF diets L-Val + Fat + WD'!AW$266-'GF diets L-Val + Fat + WD'!G$266))))))))*-1</f>
        <v>1.0188582101080073</v>
      </c>
      <c r="I49" s="468">
        <f t="shared" si="0"/>
        <v>2.2454378607959429</v>
      </c>
      <c r="J49" s="468">
        <f>I49-I48</f>
        <v>0.22861594500822768</v>
      </c>
      <c r="L49" s="367"/>
      <c r="M49" s="367"/>
      <c r="N49" s="367"/>
      <c r="O49" s="367"/>
      <c r="P49" s="367"/>
      <c r="Q49" s="367"/>
      <c r="R49" s="367"/>
    </row>
    <row r="50" spans="1:30" ht="12" customHeight="1" thickBot="1" x14ac:dyDescent="0.3">
      <c r="C50" s="384"/>
      <c r="D50" s="384"/>
      <c r="E50" s="384"/>
      <c r="F50" s="384"/>
      <c r="G50" s="384"/>
      <c r="H50" s="384"/>
      <c r="I50" s="384"/>
      <c r="J50" s="384"/>
    </row>
    <row r="51" spans="1:30" ht="16.2" customHeight="1" thickBot="1" x14ac:dyDescent="0.35">
      <c r="B51" s="492" t="s">
        <v>565</v>
      </c>
      <c r="C51" s="400" t="s">
        <v>472</v>
      </c>
      <c r="D51" s="399" t="s">
        <v>68</v>
      </c>
      <c r="E51" s="399" t="s">
        <v>69</v>
      </c>
      <c r="F51" s="399" t="s">
        <v>158</v>
      </c>
      <c r="G51" s="399" t="s">
        <v>473</v>
      </c>
      <c r="H51" s="401" t="s">
        <v>475</v>
      </c>
      <c r="I51" s="395" t="s">
        <v>485</v>
      </c>
      <c r="J51" s="402" t="s">
        <v>486</v>
      </c>
    </row>
    <row r="52" spans="1:30" ht="15.6" x14ac:dyDescent="0.3">
      <c r="A52" s="290">
        <v>0.05</v>
      </c>
      <c r="B52" s="387" t="s">
        <v>487</v>
      </c>
      <c r="C52" s="468">
        <f>IF(AND($G$5="No",$G$6="No",$G$7="No"),'GF diets No L-Val'!I$268*($G$8*$G$9/100),IF(AND($G$5="Yes",$G$6="No",$G$7="No"),'GF diets No L-Val + Fat'!I$268*($G$8*$G$9/100),IF(AND($G$5="No",$G$6="No",$G$7="Yes"),'GF diets L-Val'!I$268*($G$8*$G$9/100),IF(AND($G$5="Yes",$G$6="No",$G$7="Yes"),'GF diets L-Val + Fat'!I$268*($G$8*$G$9/100),IF(AND($G$5="No",$G$6="Yes",$G$7="No"),'GF diets No L-Val + WD'!I$268*($G$8*$G$9/100),IF(AND($G$5="Yes",$G$6="Yes",$G$7="No"),'GF diets No L-Val + Fat + WD'!I$268*($G$8*$G$9/100),IF(AND($G$5="No",$G$6="Yes",$G$7="Yes"),'GF diets L-Val + WD'!I$268*($G$8*$G$9/100),IF(AND($G$5="Yes",$G$6="Yes",$G$7="Yes"),'GF diets L-Val + Fat + WD'!I$268*($G$8*$G$9/100)))))))))*-1</f>
        <v>-0.15204703592217295</v>
      </c>
      <c r="D52" s="468">
        <f>IF(AND($G$5="No",$G$6="No",$G$7="No"),'GF diets No L-Val'!J$268*($G$8*$G$9/100),IF(AND($G$5="Yes",$G$6="No",$G$7="No"),'GF diets No L-Val + Fat'!J$268*($G$8*$G$9/100),IF(AND($G$5="No",$G$6="No",$G$7="Yes"),'GF diets L-Val'!J$268*($G$8*$G$9/100),IF(AND($G$5="Yes",$G$6="No",$G$7="Yes"),'GF diets L-Val + Fat'!J$268*($G$8*$G$9/100),IF(AND($G$5="No",$G$6="Yes",$G$7="No"),'GF diets No L-Val + WD'!J$268*($G$8*$G$9/100),IF(AND($G$5="Yes",$G$6="Yes",$G$7="No"),'GF diets No L-Val + Fat + WD'!J$268*($G$8*$G$9/100),IF(AND($G$5="No",$G$6="Yes",$G$7="Yes"),'GF diets L-Val + WD'!J$268*($G$8*$G$9/100),IF(AND($G$5="Yes",$G$6="Yes",$G$7="Yes"),'GF diets L-Val + Fat + WD'!J$268*($G$8*$G$9/100)))))))))*-1</f>
        <v>-0.14482295753534694</v>
      </c>
      <c r="E52" s="468">
        <f>IF(AND($G$5="No",$G$6="No",$G$7="No"),'GF diets No L-Val'!K$268*($G$8*$G$9/100),IF(AND($G$5="Yes",$G$6="No",$G$7="No"),'GF diets No L-Val + Fat'!K$268*($G$8*$G$9/100),IF(AND($G$5="No",$G$6="No",$G$7="Yes"),'GF diets L-Val'!K$268*($G$8*$G$9/100),IF(AND($G$5="Yes",$G$6="No",$G$7="Yes"),'GF diets L-Val + Fat'!K$268*($G$8*$G$9/100),IF(AND($G$5="No",$G$6="Yes",$G$7="No"),'GF diets No L-Val + WD'!K$268*($G$8*$G$9/100),IF(AND($G$5="Yes",$G$6="Yes",$G$7="No"),'GF diets No L-Val + Fat + WD'!K$268*($G$8*$G$9/100),IF(AND($G$5="No",$G$6="Yes",$G$7="Yes"),'GF diets L-Val + WD'!K$268*($G$8*$G$9/100),IF(AND($G$5="Yes",$G$6="Yes",$G$7="Yes"),'GF diets L-Val + Fat + WD'!K$268*($G$8*$G$9/100)))))))))*-1</f>
        <v>-0.17718479706332266</v>
      </c>
      <c r="F52" s="468">
        <f>IF(AND($G$5="No",$G$6="No",$G$7="No"),'GF diets No L-Val'!L$268*($G$8*$G$9/100),IF(AND($G$5="Yes",$G$6="No",$G$7="No"),'GF diets No L-Val + Fat'!L$268*($G$8*$G$9/100),IF(AND($G$5="No",$G$6="No",$G$7="Yes"),'GF diets L-Val'!L$268*($G$8*$G$9/100),IF(AND($G$5="Yes",$G$6="No",$G$7="Yes"),'GF diets L-Val + Fat'!L$268*($G$8*$G$9/100),IF(AND($G$5="No",$G$6="Yes",$G$7="No"),'GF diets No L-Val + WD'!L$268*($G$8*$G$9/100),IF(AND($G$5="Yes",$G$6="Yes",$G$7="No"),'GF diets No L-Val + Fat + WD'!L$268*($G$8*$G$9/100),IF(AND($G$5="No",$G$6="Yes",$G$7="Yes"),'GF diets L-Val + WD'!L$268*($G$8*$G$9/100),IF(AND($G$5="Yes",$G$6="Yes",$G$7="Yes"),'GF diets L-Val + Fat + WD'!L$268*($G$8*$G$9/100)))))))))*-1</f>
        <v>-0.21486818335742283</v>
      </c>
      <c r="G52" s="468">
        <f>IF(AND($G$5="No",$G$6="No",$G$7="No"),'GF diets No L-Val'!M$268*($G$8*$G$9/100),IF(AND($G$5="Yes",$G$6="No",$G$7="No"),'GF diets No L-Val + Fat'!M$268*($G$8*$G$9/100),IF(AND($G$5="No",$G$6="No",$G$7="Yes"),'GF diets L-Val'!M$268*($G$8*$G$9/100),IF(AND($G$5="Yes",$G$6="No",$G$7="Yes"),'GF diets L-Val + Fat'!M$268*($G$8*$G$9/100),IF(AND($G$5="No",$G$6="Yes",$G$7="No"),'GF diets No L-Val + WD'!M$268*($G$8*$G$9/100),IF(AND($G$5="Yes",$G$6="Yes",$G$7="No"),'GF diets No L-Val + Fat + WD'!M$268*($G$8*$G$9/100),IF(AND($G$5="No",$G$6="Yes",$G$7="Yes"),'GF diets L-Val + WD'!M$268*($G$8*$G$9/100),IF(AND($G$5="Yes",$G$6="Yes",$G$7="Yes"),'GF diets L-Val + Fat + WD'!M$268*($G$8*$G$9/100)))))))))*-1</f>
        <v>-0.29042640873070147</v>
      </c>
      <c r="H52" s="468">
        <f>IF(AND($G$5="No",$G$6="No",$G$7="No"),'GF diets No L-Val'!N$268*($G$8*$G$9/100),IF(AND($G$5="Yes",$G$6="No",$G$7="No"),'GF diets No L-Val + Fat'!N$268*($G$8*$G$9/100),IF(AND($G$5="No",$G$6="No",$G$7="Yes"),'GF diets L-Val'!N$268*($G$8*$G$9/100),IF(AND($G$5="Yes",$G$6="No",$G$7="Yes"),'GF diets L-Val + Fat'!N$268*($G$8*$G$9/100),IF(AND($G$5="No",$G$6="Yes",$G$7="No"),'GF diets No L-Val + WD'!N$268*($G$8*$G$9/100),IF(AND($G$5="Yes",$G$6="Yes",$G$7="No"),'GF diets No L-Val + Fat + WD'!N$268*($G$8*$G$9/100),IF(AND($G$5="No",$G$6="Yes",$G$7="Yes"),'GF diets L-Val + WD'!N$268*($G$8*$G$9/100),IF(AND($G$5="Yes",$G$6="Yes",$G$7="Yes"),'GF diets L-Val + Fat + WD'!N$268*($G$8*$G$9/100)))))))))*-1</f>
        <v>-0.46534153329271982</v>
      </c>
      <c r="I52" s="468">
        <f t="shared" ref="I52:I57" si="1">SUM(C52:H52)</f>
        <v>-1.4446909159016867</v>
      </c>
      <c r="J52" s="468"/>
    </row>
    <row r="53" spans="1:30" ht="15.6" x14ac:dyDescent="0.3">
      <c r="A53" s="290">
        <v>0.1</v>
      </c>
      <c r="B53" s="387" t="s">
        <v>488</v>
      </c>
      <c r="C53" s="468">
        <f>IF(AND($G$5="No",$G$6="No",$G$7="No"),'GF diets No L-Val'!P$268*($G$8*$G$9/100),IF(AND($G$5="Yes",$G$6="No",$G$7="No"),'GF diets No L-Val + Fat'!P$268*($G$8*$G$9/100),IF(AND($G$5="No",$G$6="No",$G$7="Yes"),'GF diets L-Val'!P$268*($G$8*$G$9/100),IF(AND($G$5="Yes",$G$6="No",$G$7="Yes"),'GF diets L-Val + Fat'!P$268*($G$8*$G$9/100),IF(AND($G$5="No",$G$6="Yes",$G$7="No"),'GF diets No L-Val + WD'!P$268*($G$8*$G$9/100),IF(AND($G$5="Yes",$G$6="Yes",$G$7="No"),'GF diets No L-Val + Fat + WD'!P$268*($G$8*$G$9/100),IF(AND($G$5="No",$G$6="Yes",$G$7="Yes"),'GF diets L-Val + WD'!P$268*($G$8*$G$9/100),IF(AND($G$5="Yes",$G$6="Yes",$G$7="Yes"),'GF diets L-Val + Fat + WD'!P$268*($G$8*$G$9/100)))))))))*-1</f>
        <v>-0.27587818015106208</v>
      </c>
      <c r="D53" s="468">
        <f>IF(AND($G$5="No",$G$6="No",$G$7="No"),'GF diets No L-Val'!Q$268*($G$8*$G$9/100),IF(AND($G$5="Yes",$G$6="No",$G$7="No"),'GF diets No L-Val + Fat'!Q$268*($G$8*$G$9/100),IF(AND($G$5="No",$G$6="No",$G$7="Yes"),'GF diets L-Val'!Q$268*($G$8*$G$9/100),IF(AND($G$5="Yes",$G$6="No",$G$7="Yes"),'GF diets L-Val + Fat'!Q$268*($G$8*$G$9/100),IF(AND($G$5="No",$G$6="Yes",$G$7="No"),'GF diets No L-Val + WD'!Q$268*($G$8*$G$9/100),IF(AND($G$5="Yes",$G$6="Yes",$G$7="No"),'GF diets No L-Val + Fat + WD'!Q$268*($G$8*$G$9/100),IF(AND($G$5="No",$G$6="Yes",$G$7="Yes"),'GF diets L-Val + WD'!Q$268*($G$8*$G$9/100),IF(AND($G$5="Yes",$G$6="Yes",$G$7="Yes"),'GF diets L-Val + Fat + WD'!Q$268*($G$8*$G$9/100)))))))))*-1</f>
        <v>-0.26465542052659236</v>
      </c>
      <c r="E53" s="468">
        <f>IF(AND($G$5="No",$G$6="No",$G$7="No"),'GF diets No L-Val'!R$268*($G$8*$G$9/100),IF(AND($G$5="Yes",$G$6="No",$G$7="No"),'GF diets No L-Val + Fat'!R$268*($G$8*$G$9/100),IF(AND($G$5="No",$G$6="No",$G$7="Yes"),'GF diets L-Val'!R$268*($G$8*$G$9/100),IF(AND($G$5="Yes",$G$6="No",$G$7="Yes"),'GF diets L-Val + Fat'!R$268*($G$8*$G$9/100),IF(AND($G$5="No",$G$6="Yes",$G$7="No"),'GF diets No L-Val + WD'!R$268*($G$8*$G$9/100),IF(AND($G$5="Yes",$G$6="Yes",$G$7="No"),'GF diets No L-Val + Fat + WD'!R$268*($G$8*$G$9/100),IF(AND($G$5="No",$G$6="Yes",$G$7="Yes"),'GF diets L-Val + WD'!R$268*($G$8*$G$9/100),IF(AND($G$5="Yes",$G$6="Yes",$G$7="Yes"),'GF diets L-Val + Fat + WD'!R$268*($G$8*$G$9/100)))))))))*-1</f>
        <v>-0.33033889772810654</v>
      </c>
      <c r="F53" s="468">
        <f>IF(AND($G$5="No",$G$6="No",$G$7="No"),'GF diets No L-Val'!S$268*($G$8*$G$9/100),IF(AND($G$5="Yes",$G$6="No",$G$7="No"),'GF diets No L-Val + Fat'!S$268*($G$8*$G$9/100),IF(AND($G$5="No",$G$6="No",$G$7="Yes"),'GF diets L-Val'!S$268*($G$8*$G$9/100),IF(AND($G$5="Yes",$G$6="No",$G$7="Yes"),'GF diets L-Val + Fat'!S$268*($G$8*$G$9/100),IF(AND($G$5="No",$G$6="Yes",$G$7="No"),'GF diets No L-Val + WD'!S$268*($G$8*$G$9/100),IF(AND($G$5="Yes",$G$6="Yes",$G$7="No"),'GF diets No L-Val + Fat + WD'!S$268*($G$8*$G$9/100),IF(AND($G$5="No",$G$6="Yes",$G$7="Yes"),'GF diets L-Val + WD'!S$268*($G$8*$G$9/100),IF(AND($G$5="Yes",$G$6="Yes",$G$7="Yes"),'GF diets L-Val + Fat + WD'!S$268*($G$8*$G$9/100)))))))))*-1</f>
        <v>-0.42020659958543799</v>
      </c>
      <c r="G53" s="468">
        <f>IF(AND($G$5="No",$G$6="No",$G$7="No"),'GF diets No L-Val'!T$268*($G$8*$G$9/100),IF(AND($G$5="Yes",$G$6="No",$G$7="No"),'GF diets No L-Val + Fat'!T$268*($G$8*$G$9/100),IF(AND($G$5="No",$G$6="No",$G$7="Yes"),'GF diets L-Val'!T$268*($G$8*$G$9/100),IF(AND($G$5="Yes",$G$6="No",$G$7="Yes"),'GF diets L-Val + Fat'!T$268*($G$8*$G$9/100),IF(AND($G$5="No",$G$6="Yes",$G$7="No"),'GF diets No L-Val + WD'!T$268*($G$8*$G$9/100),IF(AND($G$5="Yes",$G$6="Yes",$G$7="No"),'GF diets No L-Val + Fat + WD'!T$268*($G$8*$G$9/100),IF(AND($G$5="No",$G$6="Yes",$G$7="Yes"),'GF diets L-Val + WD'!T$268*($G$8*$G$9/100),IF(AND($G$5="Yes",$G$6="Yes",$G$7="Yes"),'GF diets L-Val + Fat + WD'!T$268*($G$8*$G$9/100)))))))))*-1</f>
        <v>-0.56583407901958638</v>
      </c>
      <c r="H53" s="468">
        <f>IF(AND($G$5="No",$G$6="No",$G$7="No"),'GF diets No L-Val'!U$268*($G$8*$G$9/100),IF(AND($G$5="Yes",$G$6="No",$G$7="No"),'GF diets No L-Val + Fat'!U$268*($G$8*$G$9/100),IF(AND($G$5="No",$G$6="No",$G$7="Yes"),'GF diets L-Val'!U$268*($G$8*$G$9/100),IF(AND($G$5="Yes",$G$6="No",$G$7="Yes"),'GF diets L-Val + Fat'!U$268*($G$8*$G$9/100),IF(AND($G$5="No",$G$6="Yes",$G$7="No"),'GF diets No L-Val + WD'!U$268*($G$8*$G$9/100),IF(AND($G$5="Yes",$G$6="Yes",$G$7="No"),'GF diets No L-Val + Fat + WD'!U$268*($G$8*$G$9/100),IF(AND($G$5="No",$G$6="Yes",$G$7="Yes"),'GF diets L-Val + WD'!U$268*($G$8*$G$9/100),IF(AND($G$5="Yes",$G$6="Yes",$G$7="Yes"),'GF diets L-Val + Fat + WD'!U$268*($G$8*$G$9/100)))))))))*-1</f>
        <v>-0.92092276242062632</v>
      </c>
      <c r="I53" s="468">
        <f t="shared" si="1"/>
        <v>-2.7778359394314118</v>
      </c>
      <c r="J53" s="468">
        <f>I53-I52</f>
        <v>-1.3331450235297251</v>
      </c>
    </row>
    <row r="54" spans="1:30" ht="15.6" x14ac:dyDescent="0.3">
      <c r="A54" s="290">
        <v>0.15</v>
      </c>
      <c r="B54" s="387" t="s">
        <v>489</v>
      </c>
      <c r="C54" s="468">
        <f>IF(AND($G$5="No",$G$6="No",$G$7="No"),'GF diets No L-Val'!W$268*($G$8*$G$9/100),IF(AND($G$5="Yes",$G$6="No",$G$7="No"),'GF diets No L-Val + Fat'!W$268*($G$8*$G$9/100),IF(AND($G$5="No",$G$6="No",$G$7="Yes"),'GF diets L-Val'!W$268*($G$8*$G$9/100),IF(AND($G$5="Yes",$G$6="No",$G$7="Yes"),'GF diets L-Val + Fat'!W$268*($G$8*$G$9/100),IF(AND($G$5="No",$G$6="Yes",$G$7="No"),'GF diets No L-Val + WD'!W$268*($G$8*$G$9/100),IF(AND($G$5="Yes",$G$6="Yes",$G$7="No"),'GF diets No L-Val + Fat + WD'!W$268*($G$8*$G$9/100),IF(AND($G$5="No",$G$6="Yes",$G$7="Yes"),'GF diets L-Val + WD'!W$268*($G$8*$G$9/100),IF(AND($G$5="Yes",$G$6="Yes",$G$7="Yes"),'GF diets L-Val + Fat + WD'!W$268*($G$8*$G$9/100)))))))))*-1</f>
        <v>-0.37882367159877117</v>
      </c>
      <c r="D54" s="468">
        <f>IF(AND($G$5="No",$G$6="No",$G$7="No"),'GF diets No L-Val'!X$268*($G$8*$G$9/100),IF(AND($G$5="Yes",$G$6="No",$G$7="No"),'GF diets No L-Val + Fat'!X$268*($G$8*$G$9/100),IF(AND($G$5="No",$G$6="No",$G$7="Yes"),'GF diets L-Val'!X$268*($G$8*$G$9/100),IF(AND($G$5="Yes",$G$6="No",$G$7="Yes"),'GF diets L-Val + Fat'!X$268*($G$8*$G$9/100),IF(AND($G$5="No",$G$6="Yes",$G$7="No"),'GF diets No L-Val + WD'!X$268*($G$8*$G$9/100),IF(AND($G$5="Yes",$G$6="Yes",$G$7="No"),'GF diets No L-Val + Fat + WD'!X$268*($G$8*$G$9/100),IF(AND($G$5="No",$G$6="Yes",$G$7="Yes"),'GF diets L-Val + WD'!X$268*($G$8*$G$9/100),IF(AND($G$5="Yes",$G$6="Yes",$G$7="Yes"),'GF diets L-Val + Fat + WD'!X$268*($G$8*$G$9/100)))))))))*-1</f>
        <v>-0.36919238094416723</v>
      </c>
      <c r="E54" s="468">
        <f>IF(AND($G$5="No",$G$6="No",$G$7="No"),'GF diets No L-Val'!Y$268*($G$8*$G$9/100),IF(AND($G$5="Yes",$G$6="No",$G$7="No"),'GF diets No L-Val + Fat'!Y$268*($G$8*$G$9/100),IF(AND($G$5="No",$G$6="No",$G$7="Yes"),'GF diets L-Val'!Y$268*($G$8*$G$9/100),IF(AND($G$5="Yes",$G$6="No",$G$7="Yes"),'GF diets L-Val + Fat'!Y$268*($G$8*$G$9/100),IF(AND($G$5="No",$G$6="Yes",$G$7="No"),'GF diets No L-Val + WD'!Y$268*($G$8*$G$9/100),IF(AND($G$5="Yes",$G$6="Yes",$G$7="No"),'GF diets No L-Val + Fat + WD'!Y$268*($G$8*$G$9/100),IF(AND($G$5="No",$G$6="Yes",$G$7="Yes"),'GF diets L-Val + WD'!Y$268*($G$8*$G$9/100),IF(AND($G$5="Yes",$G$6="Yes",$G$7="Yes"),'GF diets L-Val + Fat + WD'!Y$268*($G$8*$G$9/100)))))))))*-1</f>
        <v>-0.48011307945799248</v>
      </c>
      <c r="F54" s="468">
        <f>IF(AND($G$5="No",$G$6="No",$G$7="No"),'GF diets No L-Val'!Z$268*($G$8*$G$9/100),IF(AND($G$5="Yes",$G$6="No",$G$7="No"),'GF diets No L-Val + Fat'!Z$268*($G$8*$G$9/100),IF(AND($G$5="No",$G$6="No",$G$7="Yes"),'GF diets L-Val'!Z$268*($G$8*$G$9/100),IF(AND($G$5="Yes",$G$6="No",$G$7="Yes"),'GF diets L-Val + Fat'!Z$268*($G$8*$G$9/100),IF(AND($G$5="No",$G$6="Yes",$G$7="No"),'GF diets No L-Val + WD'!Z$268*($G$8*$G$9/100),IF(AND($G$5="Yes",$G$6="Yes",$G$7="No"),'GF diets No L-Val + Fat + WD'!Z$268*($G$8*$G$9/100),IF(AND($G$5="No",$G$6="Yes",$G$7="Yes"),'GF diets L-Val + WD'!Z$268*($G$8*$G$9/100),IF(AND($G$5="Yes",$G$6="Yes",$G$7="Yes"),'GF diets L-Val + Fat + WD'!Z$268*($G$8*$G$9/100)))))))))*-1</f>
        <v>-0.60967065982806545</v>
      </c>
      <c r="G54" s="468">
        <f>IF(AND($G$5="No",$G$6="No",$G$7="No"),'GF diets No L-Val'!AA$268*($G$8*$G$9/100),IF(AND($G$5="Yes",$G$6="No",$G$7="No"),'GF diets No L-Val + Fat'!AA$268*($G$8*$G$9/100),IF(AND($G$5="No",$G$6="No",$G$7="Yes"),'GF diets L-Val'!AA$268*($G$8*$G$9/100),IF(AND($G$5="Yes",$G$6="No",$G$7="Yes"),'GF diets L-Val + Fat'!AA$268*($G$8*$G$9/100),IF(AND($G$5="No",$G$6="Yes",$G$7="No"),'GF diets No L-Val + WD'!AA$268*($G$8*$G$9/100),IF(AND($G$5="Yes",$G$6="Yes",$G$7="No"),'GF diets No L-Val + Fat + WD'!AA$268*($G$8*$G$9/100),IF(AND($G$5="No",$G$6="Yes",$G$7="Yes"),'GF diets L-Val + WD'!AA$268*($G$8*$G$9/100),IF(AND($G$5="Yes",$G$6="Yes",$G$7="Yes"),'GF diets L-Val + Fat + WD'!AA$268*($G$8*$G$9/100)))))))))*-1</f>
        <v>-0.82946685733716208</v>
      </c>
      <c r="H54" s="468">
        <f>IF(AND($G$5="No",$G$6="No",$G$7="No"),'GF diets No L-Val'!AB$268*($G$8*$G$9/100),IF(AND($G$5="Yes",$G$6="No",$G$7="No"),'GF diets No L-Val + Fat'!AB$268*($G$8*$G$9/100),IF(AND($G$5="No",$G$6="No",$G$7="Yes"),'GF diets L-Val'!AB$268*($G$8*$G$9/100),IF(AND($G$5="Yes",$G$6="No",$G$7="Yes"),'GF diets L-Val + Fat'!AB$268*($G$8*$G$9/100),IF(AND($G$5="No",$G$6="Yes",$G$7="No"),'GF diets No L-Val + WD'!AB$268*($G$8*$G$9/100),IF(AND($G$5="Yes",$G$6="Yes",$G$7="No"),'GF diets No L-Val + Fat + WD'!AB$268*($G$8*$G$9/100),IF(AND($G$5="No",$G$6="Yes",$G$7="Yes"),'GF diets L-Val + WD'!AB$268*($G$8*$G$9/100),IF(AND($G$5="Yes",$G$6="Yes",$G$7="Yes"),'GF diets L-Val + Fat + WD'!AB$268*($G$8*$G$9/100)))))))))*-1</f>
        <v>-1.3678046808376598</v>
      </c>
      <c r="I54" s="468">
        <f t="shared" si="1"/>
        <v>-4.0350713300038183</v>
      </c>
      <c r="J54" s="468">
        <f>I54-I53</f>
        <v>-1.2572353905724065</v>
      </c>
    </row>
    <row r="55" spans="1:30" ht="15.6" x14ac:dyDescent="0.3">
      <c r="A55" s="290">
        <v>0.2</v>
      </c>
      <c r="B55" s="387" t="s">
        <v>490</v>
      </c>
      <c r="C55" s="468">
        <f>IF(AND($G$5="No",$G$6="No",$G$7="No"),'GF diets No L-Val'!AD$268*($G$8*$G$9/100),IF(AND($G$5="Yes",$G$6="No",$G$7="No"),'GF diets No L-Val + Fat'!AD$268*($G$8*$G$9/100),IF(AND($G$5="No",$G$6="No",$G$7="Yes"),'GF diets L-Val'!AD$268*($G$8*$G$9/100),IF(AND($G$5="Yes",$G$6="No",$G$7="Yes"),'GF diets L-Val + Fat'!AD$268*($G$8*$G$9/100),IF(AND($G$5="No",$G$6="Yes",$G$7="No"),'GF diets No L-Val + WD'!AD$268*($G$8*$G$9/100),IF(AND($G$5="Yes",$G$6="Yes",$G$7="No"),'GF diets No L-Val + Fat + WD'!AD$268*($G$8*$G$9/100),IF(AND($G$5="No",$G$6="Yes",$G$7="Yes"),'GF diets L-Val + WD'!AD$268*($G$8*$G$9/100),IF(AND($G$5="Yes",$G$6="Yes",$G$7="Yes"),'GF diets L-Val + Fat + WD'!AD$268*($G$8*$G$9/100)))))))))*-1</f>
        <v>-0.46085003249804585</v>
      </c>
      <c r="D55" s="468">
        <f>IF(AND($G$5="No",$G$6="No",$G$7="No"),'GF diets No L-Val'!AE$268*($G$8*$G$9/100),IF(AND($G$5="Yes",$G$6="No",$G$7="No"),'GF diets No L-Val + Fat'!AE$268*($G$8*$G$9/100),IF(AND($G$5="No",$G$6="No",$G$7="Yes"),'GF diets L-Val'!AE$268*($G$8*$G$9/100),IF(AND($G$5="Yes",$G$6="No",$G$7="Yes"),'GF diets L-Val + Fat'!AE$268*($G$8*$G$9/100),IF(AND($G$5="No",$G$6="Yes",$G$7="No"),'GF diets No L-Val + WD'!AE$268*($G$8*$G$9/100),IF(AND($G$5="Yes",$G$6="Yes",$G$7="No"),'GF diets No L-Val + Fat + WD'!AE$268*($G$8*$G$9/100),IF(AND($G$5="No",$G$6="Yes",$G$7="Yes"),'GF diets L-Val + WD'!AE$268*($G$8*$G$9/100),IF(AND($G$5="Yes",$G$6="Yes",$G$7="Yes"),'GF diets L-Val + Fat + WD'!AE$268*($G$8*$G$9/100)))))))))*-1</f>
        <v>-0.46335257356860821</v>
      </c>
      <c r="E55" s="468">
        <f>IF(AND($G$5="No",$G$6="No",$G$7="No"),'GF diets No L-Val'!AF$268*($G$8*$G$9/100),IF(AND($G$5="Yes",$G$6="No",$G$7="No"),'GF diets No L-Val + Fat'!AF$268*($G$8*$G$9/100),IF(AND($G$5="No",$G$6="No",$G$7="Yes"),'GF diets L-Val'!AF$268*($G$8*$G$9/100),IF(AND($G$5="Yes",$G$6="No",$G$7="Yes"),'GF diets L-Val + Fat'!AF$268*($G$8*$G$9/100),IF(AND($G$5="No",$G$6="Yes",$G$7="No"),'GF diets No L-Val + WD'!AF$268*($G$8*$G$9/100),IF(AND($G$5="Yes",$G$6="Yes",$G$7="No"),'GF diets No L-Val + Fat + WD'!AF$268*($G$8*$G$9/100),IF(AND($G$5="No",$G$6="Yes",$G$7="Yes"),'GF diets L-Val + WD'!AF$268*($G$8*$G$9/100),IF(AND($G$5="Yes",$G$6="Yes",$G$7="Yes"),'GF diets L-Val + Fat + WD'!AF$268*($G$8*$G$9/100)))))))))*-1</f>
        <v>-0.61210902079112572</v>
      </c>
      <c r="F55" s="468">
        <f>IF(AND($G$5="No",$G$6="No",$G$7="No"),'GF diets No L-Val'!AG$268*($G$8*$G$9/100),IF(AND($G$5="Yes",$G$6="No",$G$7="No"),'GF diets No L-Val + Fat'!AG$268*($G$8*$G$9/100),IF(AND($G$5="No",$G$6="No",$G$7="Yes"),'GF diets L-Val'!AG$268*($G$8*$G$9/100),IF(AND($G$5="Yes",$G$6="No",$G$7="Yes"),'GF diets L-Val + Fat'!AG$268*($G$8*$G$9/100),IF(AND($G$5="No",$G$6="Yes",$G$7="No"),'GF diets No L-Val + WD'!AG$268*($G$8*$G$9/100),IF(AND($G$5="Yes",$G$6="Yes",$G$7="No"),'GF diets No L-Val + Fat + WD'!AG$268*($G$8*$G$9/100),IF(AND($G$5="No",$G$6="Yes",$G$7="Yes"),'GF diets L-Val + WD'!AG$268*($G$8*$G$9/100),IF(AND($G$5="Yes",$G$6="Yes",$G$7="Yes"),'GF diets L-Val + Fat + WD'!AG$268*($G$8*$G$9/100)))))))))*-1</f>
        <v>-0.78710911591868771</v>
      </c>
      <c r="G55" s="468">
        <f>IF(AND($G$5="No",$G$6="No",$G$7="No"),'GF diets No L-Val'!AH$268*($G$8*$G$9/100),IF(AND($G$5="Yes",$G$6="No",$G$7="No"),'GF diets No L-Val + Fat'!AH$268*($G$8*$G$9/100),IF(AND($G$5="No",$G$6="No",$G$7="Yes"),'GF diets L-Val'!AH$268*($G$8*$G$9/100),IF(AND($G$5="Yes",$G$6="No",$G$7="Yes"),'GF diets L-Val + Fat'!AH$268*($G$8*$G$9/100),IF(AND($G$5="No",$G$6="Yes",$G$7="No"),'GF diets No L-Val + WD'!AH$268*($G$8*$G$9/100),IF(AND($G$5="Yes",$G$6="Yes",$G$7="No"),'GF diets No L-Val + Fat + WD'!AH$268*($G$8*$G$9/100),IF(AND($G$5="No",$G$6="Yes",$G$7="Yes"),'GF diets L-Val + WD'!AH$268*($G$8*$G$9/100),IF(AND($G$5="Yes",$G$6="Yes",$G$7="Yes"),'GF diets L-Val + Fat + WD'!AH$268*($G$8*$G$9/100)))))))))*-1</f>
        <v>-1.0902314023652464</v>
      </c>
      <c r="H55" s="468">
        <f>IF(AND($G$5="No",$G$6="No",$G$7="No"),'GF diets No L-Val'!AI$268*($G$8*$G$9/100),IF(AND($G$5="Yes",$G$6="No",$G$7="No"),'GF diets No L-Val + Fat'!AI$268*($G$8*$G$9/100),IF(AND($G$5="No",$G$6="No",$G$7="Yes"),'GF diets L-Val'!AI$268*($G$8*$G$9/100),IF(AND($G$5="Yes",$G$6="No",$G$7="Yes"),'GF diets L-Val + Fat'!AI$268*($G$8*$G$9/100),IF(AND($G$5="No",$G$6="Yes",$G$7="No"),'GF diets No L-Val + WD'!AI$268*($G$8*$G$9/100),IF(AND($G$5="Yes",$G$6="Yes",$G$7="No"),'GF diets No L-Val + Fat + WD'!AI$268*($G$8*$G$9/100),IF(AND($G$5="No",$G$6="Yes",$G$7="Yes"),'GF diets L-Val + WD'!AI$268*($G$8*$G$9/100),IF(AND($G$5="Yes",$G$6="Yes",$G$7="Yes"),'GF diets L-Val + Fat + WD'!AI$268*($G$8*$G$9/100)))))))))*-1</f>
        <v>-1.8134342434383202</v>
      </c>
      <c r="I55" s="468">
        <f t="shared" si="1"/>
        <v>-5.2270863885800338</v>
      </c>
      <c r="J55" s="468">
        <f>I55-I54</f>
        <v>-1.1920150585762155</v>
      </c>
    </row>
    <row r="56" spans="1:30" ht="15.6" x14ac:dyDescent="0.3">
      <c r="A56" s="290">
        <v>0.25</v>
      </c>
      <c r="B56" s="387" t="s">
        <v>491</v>
      </c>
      <c r="C56" s="468">
        <f>IF(AND($G$5="No",$G$6="No",$G$7="No"),'GF diets No L-Val'!AK$268*($G$8*$G$9/100),IF(AND($G$5="Yes",$G$6="No",$G$7="No"),'GF diets No L-Val + Fat'!AK$268*($G$8*$G$9/100),IF(AND($G$5="No",$G$6="No",$G$7="Yes"),'GF diets L-Val'!AK$268*($G$8*$G$9/100),IF(AND($G$5="Yes",$G$6="No",$G$7="Yes"),'GF diets L-Val + Fat'!AK$268*($G$8*$G$9/100),IF(AND($G$5="No",$G$6="Yes",$G$7="No"),'GF diets No L-Val + WD'!AK$268*($G$8*$G$9/100),IF(AND($G$5="Yes",$G$6="Yes",$G$7="No"),'GF diets No L-Val + Fat + WD'!AK$268*($G$8*$G$9/100),IF(AND($G$5="No",$G$6="Yes",$G$7="Yes"),'GF diets L-Val + WD'!AK$268*($G$8*$G$9/100),IF(AND($G$5="Yes",$G$6="Yes",$G$7="Yes"),'GF diets L-Val + Fat + WD'!AK$268*($G$8*$G$9/100)))))))))*-1</f>
        <v>-0.52963721075385772</v>
      </c>
      <c r="D56" s="468">
        <f>IF(AND($G$5="No",$G$6="No",$G$7="No"),'GF diets No L-Val'!AL$268*($G$8*$G$9/100),IF(AND($G$5="Yes",$G$6="No",$G$7="No"),'GF diets No L-Val + Fat'!AL$268*($G$8*$G$9/100),IF(AND($G$5="No",$G$6="No",$G$7="Yes"),'GF diets L-Val'!AL$268*($G$8*$G$9/100),IF(AND($G$5="Yes",$G$6="No",$G$7="Yes"),'GF diets L-Val + Fat'!AL$268*($G$8*$G$9/100),IF(AND($G$5="No",$G$6="Yes",$G$7="No"),'GF diets No L-Val + WD'!AL$268*($G$8*$G$9/100),IF(AND($G$5="Yes",$G$6="Yes",$G$7="No"),'GF diets No L-Val + Fat + WD'!AL$268*($G$8*$G$9/100),IF(AND($G$5="No",$G$6="Yes",$G$7="Yes"),'GF diets L-Val + WD'!AL$268*($G$8*$G$9/100),IF(AND($G$5="Yes",$G$6="Yes",$G$7="Yes"),'GF diets L-Val + Fat + WD'!AL$268*($G$8*$G$9/100)))))))))*-1</f>
        <v>-0.53870402240619775</v>
      </c>
      <c r="E56" s="468">
        <f>IF(AND($G$5="No",$G$6="No",$G$7="No"),'GF diets No L-Val'!AM$268*($G$8*$G$9/100),IF(AND($G$5="Yes",$G$6="No",$G$7="No"),'GF diets No L-Val + Fat'!AM$268*($G$8*$G$9/100),IF(AND($G$5="No",$G$6="No",$G$7="Yes"),'GF diets L-Val'!AM$268*($G$8*$G$9/100),IF(AND($G$5="Yes",$G$6="No",$G$7="Yes"),'GF diets L-Val + Fat'!AM$268*($G$8*$G$9/100),IF(AND($G$5="No",$G$6="Yes",$G$7="No"),'GF diets No L-Val + WD'!AM$268*($G$8*$G$9/100),IF(AND($G$5="Yes",$G$6="Yes",$G$7="No"),'GF diets No L-Val + Fat + WD'!AM$268*($G$8*$G$9/100),IF(AND($G$5="No",$G$6="Yes",$G$7="Yes"),'GF diets L-Val + WD'!AM$268*($G$8*$G$9/100),IF(AND($G$5="Yes",$G$6="Yes",$G$7="Yes"),'GF diets L-Val + Fat + WD'!AM$268*($G$8*$G$9/100)))))))))*-1</f>
        <v>-0.72661471120075916</v>
      </c>
      <c r="F56" s="468">
        <f>IF(AND($G$5="No",$G$6="No",$G$7="No"),'GF diets No L-Val'!AN$268*($G$8*$G$9/100),IF(AND($G$5="Yes",$G$6="No",$G$7="No"),'GF diets No L-Val + Fat'!AN$268*($G$8*$G$9/100),IF(AND($G$5="No",$G$6="No",$G$7="Yes"),'GF diets L-Val'!AN$268*($G$8*$G$9/100),IF(AND($G$5="Yes",$G$6="No",$G$7="Yes"),'GF diets L-Val + Fat'!AN$268*($G$8*$G$9/100),IF(AND($G$5="No",$G$6="Yes",$G$7="No"),'GF diets No L-Val + WD'!AN$268*($G$8*$G$9/100),IF(AND($G$5="Yes",$G$6="Yes",$G$7="No"),'GF diets No L-Val + Fat + WD'!AN$268*($G$8*$G$9/100),IF(AND($G$5="No",$G$6="Yes",$G$7="Yes"),'GF diets L-Val + WD'!AN$268*($G$8*$G$9/100),IF(AND($G$5="Yes",$G$6="Yes",$G$7="Yes"),'GF diets L-Val + Fat + WD'!AN$268*($G$8*$G$9/100)))))))))*-1</f>
        <v>-0.95680472143922968</v>
      </c>
      <c r="G56" s="468">
        <f>IF(AND($G$5="No",$G$6="No",$G$7="No"),'GF diets No L-Val'!AO$268*($G$8*$G$9/100),IF(AND($G$5="Yes",$G$6="No",$G$7="No"),'GF diets No L-Val + Fat'!AO$268*($G$8*$G$9/100),IF(AND($G$5="No",$G$6="No",$G$7="Yes"),'GF diets L-Val'!AO$268*($G$8*$G$9/100),IF(AND($G$5="Yes",$G$6="No",$G$7="Yes"),'GF diets L-Val + Fat'!AO$268*($G$8*$G$9/100),IF(AND($G$5="No",$G$6="Yes",$G$7="No"),'GF diets No L-Val + WD'!AO$268*($G$8*$G$9/100),IF(AND($G$5="Yes",$G$6="Yes",$G$7="No"),'GF diets No L-Val + Fat + WD'!AO$268*($G$8*$G$9/100),IF(AND($G$5="No",$G$6="Yes",$G$7="Yes"),'GF diets L-Val + WD'!AO$268*($G$8*$G$9/100),IF(AND($G$5="Yes",$G$6="Yes",$G$7="Yes"),'GF diets L-Val + Fat + WD'!AO$268*($G$8*$G$9/100)))))))))*-1</f>
        <v>-1.3421155681177688</v>
      </c>
      <c r="H56" s="468">
        <f>IF(AND($G$5="No",$G$6="No",$G$7="No"),'GF diets No L-Val'!AP$268*($G$8*$G$9/100),IF(AND($G$5="Yes",$G$6="No",$G$7="No"),'GF diets No L-Val + Fat'!AP$268*($G$8*$G$9/100),IF(AND($G$5="No",$G$6="No",$G$7="Yes"),'GF diets L-Val'!AP$268*($G$8*$G$9/100),IF(AND($G$5="Yes",$G$6="No",$G$7="Yes"),'GF diets L-Val + Fat'!AP$268*($G$8*$G$9/100),IF(AND($G$5="No",$G$6="Yes",$G$7="No"),'GF diets No L-Val + WD'!AP$268*($G$8*$G$9/100),IF(AND($G$5="Yes",$G$6="Yes",$G$7="No"),'GF diets No L-Val + Fat + WD'!AP$268*($G$8*$G$9/100),IF(AND($G$5="No",$G$6="Yes",$G$7="Yes"),'GF diets L-Val + WD'!AP$268*($G$8*$G$9/100),IF(AND($G$5="Yes",$G$6="Yes",$G$7="Yes"),'GF diets L-Val + Fat + WD'!AP$268*($G$8*$G$9/100)))))))))*-1</f>
        <v>-2.2452093956750643</v>
      </c>
      <c r="I56" s="468">
        <f t="shared" si="1"/>
        <v>-6.3390856295928772</v>
      </c>
      <c r="J56" s="468">
        <f>I56-I55</f>
        <v>-1.1119992410128434</v>
      </c>
    </row>
    <row r="57" spans="1:30" ht="15.6" x14ac:dyDescent="0.3">
      <c r="A57" s="290">
        <v>0.3</v>
      </c>
      <c r="B57" s="387" t="s">
        <v>492</v>
      </c>
      <c r="C57" s="468">
        <f>IF(AND($G$5="No",$G$6="No",$G$7="No"),'GF diets No L-Val'!AR$268*($G$8*$G$9/100),IF(AND($G$5="Yes",$G$6="No",$G$7="No"),'GF diets No L-Val + Fat'!AR$268*($G$8*$G$9/100),IF(AND($G$5="No",$G$6="No",$G$7="Yes"),'GF diets L-Val'!AR$268*($G$8*$G$9/100),IF(AND($G$5="Yes",$G$6="No",$G$7="Yes"),'GF diets L-Val + Fat'!AR$268*($G$8*$G$9/100),IF(AND($G$5="No",$G$6="Yes",$G$7="No"),'GF diets No L-Val + WD'!AR$268*($G$8*$G$9/100),IF(AND($G$5="Yes",$G$6="Yes",$G$7="No"),'GF diets No L-Val + Fat + WD'!AR$268*($G$8*$G$9/100),IF(AND($G$5="No",$G$6="Yes",$G$7="Yes"),'GF diets L-Val + WD'!AR$268*($G$8*$G$9/100),IF(AND($G$5="Yes",$G$6="Yes",$G$7="Yes"),'GF diets L-Val + Fat + WD'!AR$268*($G$8*$G$9/100)))))))))*-1</f>
        <v>-0.56933827050369235</v>
      </c>
      <c r="D57" s="468">
        <f>IF(AND($G$5="No",$G$6="No",$G$7="No"),'GF diets No L-Val'!AS$268*($G$8*$G$9/100),IF(AND($G$5="Yes",$G$6="No",$G$7="No"),'GF diets No L-Val + Fat'!AS$268*($G$8*$G$9/100),IF(AND($G$5="No",$G$6="No",$G$7="Yes"),'GF diets L-Val'!AS$268*($G$8*$G$9/100),IF(AND($G$5="Yes",$G$6="No",$G$7="Yes"),'GF diets L-Val + Fat'!AS$268*($G$8*$G$9/100),IF(AND($G$5="No",$G$6="Yes",$G$7="No"),'GF diets No L-Val + WD'!AS$268*($G$8*$G$9/100),IF(AND($G$5="Yes",$G$6="Yes",$G$7="No"),'GF diets No L-Val + Fat + WD'!AS$268*($G$8*$G$9/100),IF(AND($G$5="No",$G$6="Yes",$G$7="Yes"),'GF diets L-Val + WD'!AS$268*($G$8*$G$9/100),IF(AND($G$5="Yes",$G$6="Yes",$G$7="Yes"),'GF diets L-Val + Fat + WD'!AS$268*($G$8*$G$9/100)))))))))*-1</f>
        <v>-0.59699580152155418</v>
      </c>
      <c r="E57" s="468">
        <f>IF(AND($G$5="No",$G$6="No",$G$7="No"),'GF diets No L-Val'!AT$268*($G$8*$G$9/100),IF(AND($G$5="Yes",$G$6="No",$G$7="No"),'GF diets No L-Val + Fat'!AT$268*($G$8*$G$9/100),IF(AND($G$5="No",$G$6="No",$G$7="Yes"),'GF diets L-Val'!AT$268*($G$8*$G$9/100),IF(AND($G$5="Yes",$G$6="No",$G$7="Yes"),'GF diets L-Val + Fat'!AT$268*($G$8*$G$9/100),IF(AND($G$5="No",$G$6="Yes",$G$7="No"),'GF diets No L-Val + WD'!AT$268*($G$8*$G$9/100),IF(AND($G$5="Yes",$G$6="Yes",$G$7="No"),'GF diets No L-Val + Fat + WD'!AT$268*($G$8*$G$9/100),IF(AND($G$5="No",$G$6="Yes",$G$7="Yes"),'GF diets L-Val + WD'!AT$268*($G$8*$G$9/100),IF(AND($G$5="Yes",$G$6="Yes",$G$7="Yes"),'GF diets L-Val + Fat + WD'!AT$268*($G$8*$G$9/100)))))))))*-1</f>
        <v>-0.82474004560244285</v>
      </c>
      <c r="F57" s="468">
        <f>IF(AND($G$5="No",$G$6="No",$G$7="No"),'GF diets No L-Val'!AU$268*($G$8*$G$9/100),IF(AND($G$5="Yes",$G$6="No",$G$7="No"),'GF diets No L-Val + Fat'!AU$268*($G$8*$G$9/100),IF(AND($G$5="No",$G$6="No",$G$7="Yes"),'GF diets L-Val'!AU$268*($G$8*$G$9/100),IF(AND($G$5="Yes",$G$6="No",$G$7="Yes"),'GF diets L-Val + Fat'!AU$268*($G$8*$G$9/100),IF(AND($G$5="No",$G$6="Yes",$G$7="No"),'GF diets No L-Val + WD'!AU$268*($G$8*$G$9/100),IF(AND($G$5="Yes",$G$6="Yes",$G$7="No"),'GF diets No L-Val + Fat + WD'!AU$268*($G$8*$G$9/100),IF(AND($G$5="No",$G$6="Yes",$G$7="Yes"),'GF diets L-Val + WD'!AU$268*($G$8*$G$9/100),IF(AND($G$5="Yes",$G$6="Yes",$G$7="Yes"),'GF diets L-Val + Fat + WD'!AU$268*($G$8*$G$9/100)))))))))*-1</f>
        <v>-1.1161838265010775</v>
      </c>
      <c r="G57" s="468">
        <f>IF(AND($G$5="No",$G$6="No",$G$7="No"),'GF diets No L-Val'!AV$268*($G$8*$G$9/100),IF(AND($G$5="Yes",$G$6="No",$G$7="No"),'GF diets No L-Val + Fat'!AV$268*($G$8*$G$9/100),IF(AND($G$5="No",$G$6="No",$G$7="Yes"),'GF diets L-Val'!AV$268*($G$8*$G$9/100),IF(AND($G$5="Yes",$G$6="No",$G$7="Yes"),'GF diets L-Val + Fat'!AV$268*($G$8*$G$9/100),IF(AND($G$5="No",$G$6="Yes",$G$7="No"),'GF diets No L-Val + WD'!AV$268*($G$8*$G$9/100),IF(AND($G$5="Yes",$G$6="Yes",$G$7="No"),'GF diets No L-Val + Fat + WD'!AV$268*($G$8*$G$9/100),IF(AND($G$5="No",$G$6="Yes",$G$7="Yes"),'GF diets L-Val + WD'!AV$268*($G$8*$G$9/100),IF(AND($G$5="Yes",$G$6="Yes",$G$7="Yes"),'GF diets L-Val + Fat + WD'!AV$268*($G$8*$G$9/100)))))))))*-1</f>
        <v>-1.581141555536679</v>
      </c>
      <c r="H57" s="468">
        <f>IF(AND($G$5="No",$G$6="No",$G$7="No"),'GF diets No L-Val'!AW$268*($G$8*$G$9/100),IF(AND($G$5="Yes",$G$6="No",$G$7="No"),'GF diets No L-Val + Fat'!AW$268*($G$8*$G$9/100),IF(AND($G$5="No",$G$6="No",$G$7="Yes"),'GF diets L-Val'!AW$268*($G$8*$G$9/100),IF(AND($G$5="Yes",$G$6="No",$G$7="Yes"),'GF diets L-Val + Fat'!AW$268*($G$8*$G$9/100),IF(AND($G$5="No",$G$6="Yes",$G$7="No"),'GF diets No L-Val + WD'!AW$268*($G$8*$G$9/100),IF(AND($G$5="Yes",$G$6="Yes",$G$7="No"),'GF diets No L-Val + Fat + WD'!AW$268*($G$8*$G$9/100),IF(AND($G$5="No",$G$6="Yes",$G$7="Yes"),'GF diets L-Val + WD'!AW$268*($G$8*$G$9/100),IF(AND($G$5="Yes",$G$6="Yes",$G$7="Yes"),'GF diets L-Val + Fat + WD'!AW$268*($G$8*$G$9/100)))))))))*-1</f>
        <v>-2.6625848770444609</v>
      </c>
      <c r="I57" s="468">
        <f t="shared" si="1"/>
        <v>-7.3509843767099063</v>
      </c>
      <c r="J57" s="468">
        <f>I57-I56</f>
        <v>-1.0118987471170291</v>
      </c>
    </row>
    <row r="58" spans="1:30" ht="12" customHeight="1" thickBot="1" x14ac:dyDescent="0.3">
      <c r="C58" s="384"/>
      <c r="D58" s="384"/>
      <c r="E58" s="384"/>
      <c r="F58" s="384"/>
      <c r="G58" s="384"/>
      <c r="H58" s="384"/>
      <c r="I58" s="384"/>
      <c r="J58" s="384"/>
      <c r="O58" s="290"/>
      <c r="P58" s="290"/>
      <c r="Q58" s="290"/>
    </row>
    <row r="59" spans="1:30" ht="16.2" thickBot="1" x14ac:dyDescent="0.35">
      <c r="B59" s="394" t="s">
        <v>566</v>
      </c>
      <c r="C59" s="400" t="s">
        <v>472</v>
      </c>
      <c r="D59" s="399" t="s">
        <v>68</v>
      </c>
      <c r="E59" s="399" t="s">
        <v>69</v>
      </c>
      <c r="F59" s="399" t="s">
        <v>158</v>
      </c>
      <c r="G59" s="399" t="s">
        <v>473</v>
      </c>
      <c r="H59" s="401" t="s">
        <v>475</v>
      </c>
      <c r="I59" s="395" t="s">
        <v>485</v>
      </c>
      <c r="J59" s="402" t="s">
        <v>486</v>
      </c>
      <c r="K59" s="450"/>
      <c r="L59" s="444"/>
      <c r="M59" s="444"/>
      <c r="N59" s="444"/>
      <c r="O59" s="444"/>
      <c r="P59" s="444"/>
      <c r="Q59" s="444"/>
    </row>
    <row r="60" spans="1:30" ht="15.6" x14ac:dyDescent="0.3">
      <c r="A60" s="290">
        <v>0.05</v>
      </c>
      <c r="B60" s="387" t="s">
        <v>487</v>
      </c>
      <c r="C60" s="468">
        <f>IF(AND($G$5="No",$G$6="No",$G$7="No"),
(('GF diets No L-Val'!I351-'GF diets No L-Val'!I5)*($G$8*$G$9/100)-'GF diets No L-Val'!I$266)-
(('GF diets No L-Val'!B351-'GF diets No L-Val'!B5)*($G$8*$G$9/100)-'GF diets No L-Val'!B$266),
IF(AND($G$5="Yes",$G$6="No",$G$7="No"),
(('GF diets No L-Val + Fat'!I$351-'GF diets No L-Val + Fat'!I5)*($G$8*$G$9/100)-'GF diets No L-Val + Fat'!I$266)-
(('GF diets No L-Val + Fat'!B351-'GF diets No L-Val + Fat'!B5)*($G$8*$G$9/100)-'GF diets No L-Val + Fat'!B$266),
IF(AND($G$5="No",$G$6="No",$G$7="Yes"),
(('GF diets L-Val'!I$351-'GF diets L-Val'!I5)*($G$8*$G$9/100)-'GF diets L-Val'!I$266)-
(('GF diets L-Val'!B351-'GF diets L-Val'!B5)*($G$8*$G$9/100)-'GF diets L-Val'!B$266),
IF(AND($G$5="Yes",$G$6="No",$G$7="Yes"),
(('GF diets L-Val + Fat'!I$351-'GF diets L-Val + Fat'!I5)*($G$8*$G$9/100)-'GF diets L-Val + Fat'!I$266)-
(('GF diets L-Val + Fat'!B$351-'GF diets L-Val + Fat'!B5)*($G$8*$G$9/100)-'GF diets L-Val + Fat'!B$266),
IF(AND($G$5="No",$G$6="Yes",$G$7="No"),
(('GF diets No L-Val + WD'!I$351-'GF diets No L-Val + WD'!I5)*($G$8*$G$9/100)-'GF diets No L-Val + WD'!I$266)-
(('GF diets No L-Val + WD'!B$351-'GF diets No L-Val + WD'!B5)*($G$8*$G$9/100)-'GF diets No L-Val + WD'!B$266),
IF(AND($G$5="Yes",$G$6="Yes",$G$7="No"),
(('GF diets No L-Val + Fat + WD'!I$351-'GF diets No L-Val + Fat + WD'!I5)*($G$8*$G$9/100)-'GF diets No L-Val + Fat + WD'!I$266)-
(('GF diets No L-Val + Fat + WD'!B$351-'GF diets No L-Val + Fat + WD'!B5)*($G$8*$G$9/100)-'GF diets No L-Val + Fat + WD'!B$266),
IF(AND($G$5="No",$G$6="Yes",$G$7="Yes"),
(('GF diets L-Val + WD'!I$351-'GF diets L-Val + WD'!I5)*($G$8*$G$9/100)-'GF diets L-Val + WD'!I$266)-
(('GF diets L-Val + WD'!B$351-'GF diets L-Val + WD'!B5)*($G$8*$G$9/100)-'GF diets L-Val + WD'!B$266),
IF(AND($G$5="Yes",$G$6="Yes",$G$7="Yes"),
(('GF diets L-Val + Fat + WD'!I$351-'GF diets L-Val + Fat + WD'!I5)*($G$8*$G$9/100)-'GF diets L-Val + Fat + WD'!I$266)-
(('GF diets L-Val + Fat + WD'!B$351-'GF diets L-Val + Fat + WD'!B5)*($G$8*$G$9/100)-'GF diets L-Val + Fat + WD'!B$266)
))))))))</f>
        <v>-0.1112202550643957</v>
      </c>
      <c r="D60" s="468">
        <f>IF(AND($G$5="No",$G$6="No",$G$7="No"),
(('GF diets No L-Val'!J351-'GF diets No L-Val'!J5)*($G$8*$G$9/100)-'GF diets No L-Val'!J$266)-
(('GF diets No L-Val'!C351-'GF diets No L-Val'!C5)*($G$8*$G$9/100)-'GF diets No L-Val'!C$266),
IF(AND($G$5="Yes",$G$6="No",$G$7="No"),
(('GF diets No L-Val + Fat'!J$351-'GF diets No L-Val + Fat'!J5)*($G$8*$G$9/100)-'GF diets No L-Val + Fat'!J$266)-
(('GF diets No L-Val + Fat'!C351-'GF diets No L-Val + Fat'!C5)*($G$8*$G$9/100)-'GF diets No L-Val + Fat'!C$266),
IF(AND($G$5="No",$G$6="No",$G$7="Yes"),
(('GF diets L-Val'!J$351-'GF diets L-Val'!J5)*($G$8*$G$9/100)-'GF diets L-Val'!J$266)-
(('GF diets L-Val'!C351-'GF diets L-Val'!C5)*($G$8*$G$9/100)-'GF diets L-Val'!C$266),
IF(AND($G$5="Yes",$G$6="No",$G$7="Yes"),
(('GF diets L-Val + Fat'!J$351-'GF diets L-Val + Fat'!J5)*($G$8*$G$9/100)-'GF diets L-Val + Fat'!J$266)-
(('GF diets L-Val + Fat'!C$351-'GF diets L-Val + Fat'!C5)*($G$8*$G$9/100)-'GF diets L-Val + Fat'!C$266),
IF(AND($G$5="No",$G$6="Yes",$G$7="No"),
(('GF diets No L-Val + WD'!J$351-'GF diets No L-Val + WD'!J5)*($G$8*$G$9/100)-'GF diets No L-Val + WD'!J$266)-
(('GF diets No L-Val + WD'!C$351-'GF diets No L-Val + WD'!C5)*($G$8*$G$9/100)-'GF diets No L-Val + WD'!C$266),
IF(AND($G$5="Yes",$G$6="Yes",$G$7="No"),
(('GF diets No L-Val + Fat + WD'!J$351-'GF diets No L-Val + Fat + WD'!J5)*($G$8*$G$9/100)-'GF diets No L-Val + Fat + WD'!J$266)-
(('GF diets No L-Val + Fat + WD'!C$351-'GF diets No L-Val + Fat + WD'!C5)*($G$8*$G$9/100)-'GF diets No L-Val + Fat + WD'!C$266),
IF(AND($G$5="No",$G$6="Yes",$G$7="Yes"),
(('GF diets L-Val + WD'!J$351-'GF diets L-Val + WD'!J5)*($G$8*$G$9/100)-'GF diets L-Val + WD'!J$266)-
(('GF diets L-Val + WD'!C$351-'GF diets L-Val + WD'!C5)*($G$8*$G$9/100)-'GF diets L-Val + WD'!C$266),
IF(AND($G$5="Yes",$G$6="Yes",$G$7="Yes"),
(('GF diets L-Val + Fat + WD'!J$351-'GF diets L-Val + Fat + WD'!J5)*($G$8*$G$9/100)-'GF diets L-Val + Fat + WD'!J$266)-
(('GF diets L-Val + Fat + WD'!C$351-'GF diets L-Val + Fat + WD'!C5)*($G$8*$G$9/100)-'GF diets L-Val + Fat + WD'!C$266)
))))))))</f>
        <v>-0.10339311271380502</v>
      </c>
      <c r="E60" s="468">
        <f>IF(AND($G$5="No",$G$6="No",$G$7="No"),
(('GF diets No L-Val'!K351-'GF diets No L-Val'!K5)*($G$8*$G$9/100)-'GF diets No L-Val'!K$266)-
(('GF diets No L-Val'!D351-'GF diets No L-Val'!D5)*($G$8*$G$9/100)-'GF diets No L-Val'!D$266),
IF(AND($G$5="Yes",$G$6="No",$G$7="No"),
(('GF diets No L-Val + Fat'!K$351-'GF diets No L-Val + Fat'!K5)*($G$8*$G$9/100)-'GF diets No L-Val + Fat'!K$266)-
(('GF diets No L-Val + Fat'!D351-'GF diets No L-Val + Fat'!D5)*($G$8*$G$9/100)-'GF diets No L-Val + Fat'!D$266),
IF(AND($G$5="No",$G$6="No",$G$7="Yes"),
(('GF diets L-Val'!K$351-'GF diets L-Val'!K5)*($G$8*$G$9/100)-'GF diets L-Val'!K$266)-
(('GF diets L-Val'!D351-'GF diets L-Val'!D5)*($G$8*$G$9/100)-'GF diets L-Val'!D$266),
IF(AND($G$5="Yes",$G$6="No",$G$7="Yes"),
(('GF diets L-Val + Fat'!K$351-'GF diets L-Val + Fat'!K5)*($G$8*$G$9/100)-'GF diets L-Val + Fat'!K$266)-
(('GF diets L-Val + Fat'!D$351-'GF diets L-Val + Fat'!D5)*($G$8*$G$9/100)-'GF diets L-Val + Fat'!D$266),
IF(AND($G$5="No",$G$6="Yes",$G$7="No"),
(('GF diets No L-Val + WD'!K$351-'GF diets No L-Val + WD'!K5)*($G$8*$G$9/100)-'GF diets No L-Val + WD'!K$266)-
(('GF diets No L-Val + WD'!D$351-'GF diets No L-Val + WD'!D5)*($G$8*$G$9/100)-'GF diets No L-Val + WD'!D$266),
IF(AND($G$5="Yes",$G$6="Yes",$G$7="No"),
(('GF diets No L-Val + Fat + WD'!K$351-'GF diets No L-Val + Fat + WD'!K5)*($G$8*$G$9/100)-'GF diets No L-Val + Fat + WD'!K$266)-
(('GF diets No L-Val + Fat + WD'!D$351-'GF diets No L-Val + Fat + WD'!D5)*($G$8*$G$9/100)-'GF diets No L-Val + Fat + WD'!D$266),
IF(AND($G$5="No",$G$6="Yes",$G$7="Yes"),
(('GF diets L-Val + WD'!K$351-'GF diets L-Val + WD'!K5)*($G$8*$G$9/100)-'GF diets L-Val + WD'!K$266)-
(('GF diets L-Val + WD'!D$351-'GF diets L-Val + WD'!D5)*($G$8*$G$9/100)-'GF diets L-Val + WD'!D$266),
IF(AND($G$5="Yes",$G$6="Yes",$G$7="Yes"),
(('GF diets L-Val + Fat + WD'!K$351-'GF diets L-Val + Fat + WD'!K5)*($G$8*$G$9/100)-'GF diets L-Val + Fat + WD'!K$266)-
(('GF diets L-Val + Fat + WD'!D$351-'GF diets L-Val + Fat + WD'!D5)*($G$8*$G$9/100)-'GF diets L-Val + Fat + WD'!D$266)
))))))))</f>
        <v>-0.1223291059119056</v>
      </c>
      <c r="F60" s="468">
        <f>IF(AND($G$5="No",$G$6="No",$G$7="No"),
(('GF diets No L-Val'!L351-'GF diets No L-Val'!L5)*($G$8*$G$9/100)-'GF diets No L-Val'!L$266)-
(('GF diets No L-Val'!E351-'GF diets No L-Val'!E5)*($G$8*$G$9/100)-'GF diets No L-Val'!E$266),
IF(AND($G$5="Yes",$G$6="No",$G$7="No"),
(('GF diets No L-Val + Fat'!L$351-'GF diets No L-Val + Fat'!L5)*($G$8*$G$9/100)-'GF diets No L-Val + Fat'!L$266)-
(('GF diets No L-Val + Fat'!E351-'GF diets No L-Val + Fat'!E5)*($G$8*$G$9/100)-'GF diets No L-Val + Fat'!E$266),
IF(AND($G$5="No",$G$6="No",$G$7="Yes"),
(('GF diets L-Val'!L$351-'GF diets L-Val'!L5)*($G$8*$G$9/100)-'GF diets L-Val'!L$266)-
(('GF diets L-Val'!E351-'GF diets L-Val'!E5)*($G$8*$G$9/100)-'GF diets L-Val'!E$266),
IF(AND($G$5="Yes",$G$6="No",$G$7="Yes"),
(('GF diets L-Val + Fat'!L$351-'GF diets L-Val + Fat'!L5)*($G$8*$G$9/100)-'GF diets L-Val + Fat'!L$266)-
(('GF diets L-Val + Fat'!E$351-'GF diets L-Val + Fat'!E5)*($G$8*$G$9/100)-'GF diets L-Val + Fat'!E$266),
IF(AND($G$5="No",$G$6="Yes",$G$7="No"),
(('GF diets No L-Val + WD'!L$351-'GF diets No L-Val + WD'!L5)*($G$8*$G$9/100)-'GF diets No L-Val + WD'!L$266)-
(('GF diets No L-Val + WD'!E$351-'GF diets No L-Val + WD'!E5)*($G$8*$G$9/100)-'GF diets No L-Val + WD'!E$266),
IF(AND($G$5="Yes",$G$6="Yes",$G$7="No"),
(('GF diets No L-Val + Fat + WD'!L$351-'GF diets No L-Val + Fat + WD'!L5)*($G$8*$G$9/100)-'GF diets No L-Val + Fat + WD'!L$266)-
(('GF diets No L-Val + Fat + WD'!E$351-'GF diets No L-Val + Fat + WD'!E5)*($G$8*$G$9/100)-'GF diets No L-Val + Fat + WD'!E$266),
IF(AND($G$5="No",$G$6="Yes",$G$7="Yes"),
(('GF diets L-Val + WD'!L$351-'GF diets L-Val + WD'!L5)*($G$8*$G$9/100)-'GF diets L-Val + WD'!L$266)-
(('GF diets L-Val + WD'!E$351-'GF diets L-Val + WD'!E5)*($G$8*$G$9/100)-'GF diets L-Val + WD'!E$266),
IF(AND($G$5="Yes",$G$6="Yes",$G$7="Yes"),
(('GF diets L-Val + Fat + WD'!L$351-'GF diets L-Val + Fat + WD'!L5)*($G$8*$G$9/100)-'GF diets L-Val + Fat + WD'!L$266)-
(('GF diets L-Val + Fat + WD'!E$351-'GF diets L-Val + Fat + WD'!E5)*($G$8*$G$9/100)-'GF diets L-Val + Fat + WD'!E$266)
))))))))</f>
        <v>-0.13387558793712984</v>
      </c>
      <c r="G60" s="468">
        <f>IF(AND($G$5="No",$G$6="No",$G$7="No"),
(('GF diets No L-Val'!M351-'GF diets No L-Val'!M5)*($G$8*$G$9/100)-'GF diets No L-Val'!M$266)-
(('GF diets No L-Val'!F351-'GF diets No L-Val'!F5)*($G$8*$G$9/100)-'GF diets No L-Val'!F$266),
IF(AND($G$5="Yes",$G$6="No",$G$7="No"),
(('GF diets No L-Val + Fat'!M$351-'GF diets No L-Val + Fat'!M5)*($G$8*$G$9/100)-'GF diets No L-Val + Fat'!M$266)-
(('GF diets No L-Val + Fat'!F351-'GF diets No L-Val + Fat'!F5)*($G$8*$G$9/100)-'GF diets No L-Val + Fat'!F$266),
IF(AND($G$5="No",$G$6="No",$G$7="Yes"),
(('GF diets L-Val'!M$351-'GF diets L-Val'!M5)*($G$8*$G$9/100)-'GF diets L-Val'!M$266)-
(('GF diets L-Val'!F351-'GF diets L-Val'!F5)*($G$8*$G$9/100)-'GF diets L-Val'!F$266),
IF(AND($G$5="Yes",$G$6="No",$G$7="Yes"),
(('GF diets L-Val + Fat'!M$351-'GF diets L-Val + Fat'!M5)*($G$8*$G$9/100)-'GF diets L-Val + Fat'!M$266)-
(('GF diets L-Val + Fat'!F$351-'GF diets L-Val + Fat'!F5)*($G$8*$G$9/100)-'GF diets L-Val + Fat'!F$266),
IF(AND($G$5="No",$G$6="Yes",$G$7="No"),
(('GF diets No L-Val + WD'!M$351-'GF diets No L-Val + WD'!M5)*($G$8*$G$9/100)-'GF diets No L-Val + WD'!M$266)-
(('GF diets No L-Val + WD'!F$351-'GF diets No L-Val + WD'!F5)*($G$8*$G$9/100)-'GF diets No L-Val + WD'!F$266),
IF(AND($G$5="Yes",$G$6="Yes",$G$7="No"),
(('GF diets No L-Val + Fat + WD'!M$351-'GF diets No L-Val + Fat + WD'!M5)*($G$8*$G$9/100)-'GF diets No L-Val + Fat + WD'!M$266)-
(('GF diets No L-Val + Fat + WD'!F$351-'GF diets No L-Val + Fat + WD'!F5)*($G$8*$G$9/100)-'GF diets No L-Val + Fat + WD'!F$266),
IF(AND($G$5="No",$G$6="Yes",$G$7="Yes"),
(('GF diets L-Val + WD'!M$351-'GF diets L-Val + WD'!M5)*($G$8*$G$9/100)-'GF diets L-Val + WD'!M$266)-
(('GF diets L-Val + WD'!F$351-'GF diets L-Val + WD'!F5)*($G$8*$G$9/100)-'GF diets L-Val + WD'!F$266),
IF(AND($G$5="Yes",$G$6="Yes",$G$7="Yes"),
(('GF diets L-Val + Fat + WD'!M$351-'GF diets L-Val + Fat + WD'!M5)*($G$8*$G$9/100)-'GF diets L-Val + Fat + WD'!M$266)-
(('GF diets L-Val + Fat + WD'!F$351-'GF diets L-Val + Fat + WD'!F5)*($G$8*$G$9/100)-'GF diets L-Val + Fat + WD'!F$266)
))))))))</f>
        <v>-0.16787015174139697</v>
      </c>
      <c r="H60" s="468">
        <f>IF(AND($G$5="No",$G$6="No",$G$7="No"),
(('GF diets No L-Val'!N351-'GF diets No L-Val'!N5)*($G$8*$G$9/100)-'GF diets No L-Val'!N$266)-
(('GF diets No L-Val'!G351-'GF diets No L-Val'!G5)*($G$8*$G$9/100)-'GF diets No L-Val'!G$266),
IF(AND($G$5="Yes",$G$6="No",$G$7="No"),
(('GF diets No L-Val + Fat'!N$351-'GF diets No L-Val + Fat'!N5)*($G$8*$G$9/100)-'GF diets No L-Val + Fat'!N$266)-
(('GF diets No L-Val + Fat'!G351-'GF diets No L-Val + Fat'!G5)*($G$8*$G$9/100)-'GF diets No L-Val + Fat'!G$266),
IF(AND($G$5="No",$G$6="No",$G$7="Yes"),
(('GF diets L-Val'!N$351-'GF diets L-Val'!N5)*($G$8*$G$9/100)-'GF diets L-Val'!N$266)-
(('GF diets L-Val'!G351-'GF diets L-Val'!G5)*($G$8*$G$9/100)-'GF diets L-Val'!G$266),
IF(AND($G$5="Yes",$G$6="No",$G$7="Yes"),
(('GF diets L-Val + Fat'!N$351-'GF diets L-Val + Fat'!N5)*($G$8*$G$9/100)-'GF diets L-Val + Fat'!N$266)-
(('GF diets L-Val + Fat'!G$351-'GF diets L-Val + Fat'!G5)*($G$8*$G$9/100)-'GF diets L-Val + Fat'!G$266),
IF(AND($G$5="No",$G$6="Yes",$G$7="No"),
(('GF diets No L-Val + WD'!N$351-'GF diets No L-Val + WD'!N5)*($G$8*$G$9/100)-'GF diets No L-Val + WD'!N$266)-
(('GF diets No L-Val + WD'!G$351-'GF diets No L-Val + WD'!G5)*($G$8*$G$9/100)-'GF diets No L-Val + WD'!G$266),
IF(AND($G$5="Yes",$G$6="Yes",$G$7="No"),
(('GF diets No L-Val + Fat + WD'!N$351-'GF diets No L-Val + Fat + WD'!N5)*($G$8*$G$9/100)-'GF diets No L-Val + Fat + WD'!N$266)-
(('GF diets No L-Val + Fat + WD'!G$351-'GF diets No L-Val + Fat + WD'!G5)*($G$8*$G$9/100)-'GF diets No L-Val + Fat + WD'!G$266),
IF(AND($G$5="No",$G$6="Yes",$G$7="Yes"),
(('GF diets L-Val + WD'!N$351-'GF diets L-Val + WD'!N5)*($G$8*$G$9/100)-'GF diets L-Val + WD'!N$266)-
(('GF diets L-Val + WD'!G$351-'GF diets L-Val + WD'!G5)*($G$8*$G$9/100)-'GF diets L-Val + WD'!G$266),
IF(AND($G$5="Yes",$G$6="Yes",$G$7="Yes"),
(('GF diets L-Val + Fat + WD'!N$351-'GF diets L-Val + Fat + WD'!N5)*($G$8*$G$9/100)-'GF diets L-Val + Fat + WD'!N$266)-
(('GF diets L-Val + Fat + WD'!G$351-'GF diets L-Val + Fat + WD'!G5)*($G$8*$G$9/100)-'GF diets L-Val + Fat + WD'!G$266)
))))))))</f>
        <v>-0.2458127663507419</v>
      </c>
      <c r="I60" s="468">
        <f t="shared" ref="I60:I65" si="2">SUM(C60:H60)</f>
        <v>-0.88450097971937502</v>
      </c>
      <c r="J60" s="468"/>
      <c r="K60" s="450"/>
      <c r="L60" s="388"/>
      <c r="M60" s="388"/>
      <c r="N60" s="388"/>
      <c r="O60" s="388"/>
      <c r="P60" s="388"/>
      <c r="Q60" s="388"/>
      <c r="S60" s="454"/>
      <c r="T60" s="454"/>
      <c r="U60" s="454"/>
      <c r="V60" s="454"/>
      <c r="W60" s="391"/>
      <c r="X60" s="391"/>
      <c r="Y60" s="391"/>
      <c r="Z60" s="391"/>
      <c r="AA60" s="391"/>
      <c r="AB60" s="391"/>
      <c r="AC60" s="391"/>
      <c r="AD60" s="391"/>
    </row>
    <row r="61" spans="1:30" ht="15.6" x14ac:dyDescent="0.3">
      <c r="A61" s="290">
        <v>0.1</v>
      </c>
      <c r="B61" s="387" t="s">
        <v>488</v>
      </c>
      <c r="C61" s="468">
        <f>IF(AND($G$5="No",$G$6="No",$G$7="No"),
(('GF diets No L-Val'!P351-'GF diets No L-Val'!P5)*($G$8*$G$9/100)-'GF diets No L-Val'!P$266)-
(('GF diets No L-Val'!B351-'GF diets No L-Val'!B5)*($G$8*$G$9/100)-'GF diets No L-Val'!B$266),
IF(AND($G$5="Yes",$G$6="No",$G$7="No"),
(('GF diets No L-Val + Fat'!P$351-'GF diets No L-Val + Fat'!P5)*($G$8*$G$9/100)-'GF diets No L-Val + Fat'!P$266)-
(('GF diets No L-Val + Fat'!B351-'GF diets No L-Val + Fat'!B5)*($G$8*$G$9/100)-'GF diets No L-Val + Fat'!B$266),
IF(AND($G$5="No",$G$6="No",$G$7="Yes"),
(('GF diets L-Val'!P$351-'GF diets L-Val'!P5)*($G$8*$G$9/100)-'GF diets L-Val'!P$266)-
(('GF diets L-Val'!B351-'GF diets L-Val'!B5)*($G$8*$G$9/100)-'GF diets L-Val'!B$266),
IF(AND($G$5="Yes",$G$6="No",$G$7="Yes"),
(('GF diets L-Val + Fat'!P$351-'GF diets L-Val + Fat'!P5)*($G$8*$G$9/100)-'GF diets L-Val + Fat'!P$266)-
(('GF diets L-Val + Fat'!B$351-'GF diets L-Val + Fat'!B5)*($G$8*$G$9/100)-'GF diets L-Val + Fat'!B$266),
IF(AND($G$5="No",$G$6="Yes",$G$7="No"),
(('GF diets No L-Val + WD'!P$351-'GF diets No L-Val + WD'!P5)*($G$8*$G$9/100)-'GF diets No L-Val + WD'!P$266)-
(('GF diets No L-Val + WD'!B$351-'GF diets No L-Val + WD'!B5)*($G$8*$G$9/100)-'GF diets No L-Val + WD'!B$266),
IF(AND($G$5="Yes",$G$6="Yes",$G$7="No"),
(('GF diets No L-Val + Fat + WD'!P$351-'GF diets No L-Val + Fat + WD'!P5)*($G$8*$G$9/100)-'GF diets No L-Val + Fat + WD'!P$266)-
(('GF diets No L-Val + Fat + WD'!B$351-'GF diets No L-Val + Fat + WD'!B5)*($G$8*$G$9/100)-'GF diets No L-Val + Fat + WD'!B$266),
IF(AND($G$5="No",$G$6="Yes",$G$7="Yes"),
(('GF diets L-Val + WD'!P$351-'GF diets L-Val + WD'!P5)*($G$8*$G$9/100)-'GF diets L-Val + WD'!P$266)-
(('GF diets L-Val + WD'!B$351-'GF diets L-Val + WD'!B5)*($G$8*$G$9/100)-'GF diets L-Val + WD'!B$266),
IF(AND($G$5="Yes",$G$6="Yes",$G$7="Yes"),
(('GF diets L-Val + Fat + WD'!P$351-'GF diets L-Val + Fat + WD'!P5)*($G$8*$G$9/100)-'GF diets L-Val + Fat + WD'!P$266)-
(('GF diets L-Val + Fat + WD'!B$351-'GF diets L-Val + Fat + WD'!B5)*($G$8*$G$9/100)-'GF diets L-Val + Fat + WD'!B$266)
))))))))</f>
        <v>-0.20901960879989723</v>
      </c>
      <c r="D61" s="468">
        <f>IF(AND($G$5="No",$G$6="No",$G$7="No"),
(('GF diets No L-Val'!Q351-'GF diets No L-Val'!Q5)*($G$8*$G$9/100)-'GF diets No L-Val'!Q$266)-
(('GF diets No L-Val'!C351-'GF diets No L-Val'!C5)*($G$8*$G$9/100)-'GF diets No L-Val'!C$266),
IF(AND($G$5="Yes",$G$6="No",$G$7="No"),
(('GF diets No L-Val + Fat'!Q$351-'GF diets No L-Val + Fat'!Q5)*($G$8*$G$9/100)-'GF diets No L-Val + Fat'!Q$266)-
(('GF diets No L-Val + Fat'!C351-'GF diets No L-Val + Fat'!C5)*($G$8*$G$9/100)-'GF diets No L-Val + Fat'!C$266),
IF(AND($G$5="No",$G$6="No",$G$7="Yes"),
(('GF diets L-Val'!Q$351-'GF diets L-Val'!Q5)*($G$8*$G$9/100)-'GF diets L-Val'!Q$266)-
(('GF diets L-Val'!C351-'GF diets L-Val'!C5)*($G$8*$G$9/100)-'GF diets L-Val'!C$266),
IF(AND($G$5="Yes",$G$6="No",$G$7="Yes"),
(('GF diets L-Val + Fat'!Q$351-'GF diets L-Val + Fat'!Q5)*($G$8*$G$9/100)-'GF diets L-Val + Fat'!Q$266)-
(('GF diets L-Val + Fat'!C$351-'GF diets L-Val + Fat'!C5)*($G$8*$G$9/100)-'GF diets L-Val + Fat'!C$266),
IF(AND($G$5="No",$G$6="Yes",$G$7="No"),
(('GF diets No L-Val + WD'!Q$351-'GF diets No L-Val + WD'!Q5)*($G$8*$G$9/100)-'GF diets No L-Val + WD'!Q$266)-
(('GF diets No L-Val + WD'!C$351-'GF diets No L-Val + WD'!C5)*($G$8*$G$9/100)-'GF diets No L-Val + WD'!C$266),
IF(AND($G$5="Yes",$G$6="Yes",$G$7="No"),
(('GF diets No L-Val + Fat + WD'!Q$351-'GF diets No L-Val + Fat + WD'!Q5)*($G$8*$G$9/100)-'GF diets No L-Val + Fat + WD'!Q$266)-
(('GF diets No L-Val + Fat + WD'!C$351-'GF diets No L-Val + Fat + WD'!C5)*($G$8*$G$9/100)-'GF diets No L-Val + Fat + WD'!C$266),
IF(AND($G$5="No",$G$6="Yes",$G$7="Yes"),
(('GF diets L-Val + WD'!Q$351-'GF diets L-Val + WD'!Q5)*($G$8*$G$9/100)-'GF diets L-Val + WD'!Q$266)-
(('GF diets L-Val + WD'!C$351-'GF diets L-Val + WD'!C5)*($G$8*$G$9/100)-'GF diets L-Val + WD'!C$266),
IF(AND($G$5="Yes",$G$6="Yes",$G$7="Yes"),
(('GF diets L-Val + Fat + WD'!Q$351-'GF diets L-Val + Fat + WD'!Q5)*($G$8*$G$9/100)-'GF diets L-Val + Fat + WD'!Q$266)-
(('GF diets L-Val + Fat + WD'!C$351-'GF diets L-Val + Fat + WD'!C5)*($G$8*$G$9/100)-'GF diets L-Val + Fat + WD'!C$266)
))))))))</f>
        <v>-0.19612464483476977</v>
      </c>
      <c r="E61" s="468">
        <f>IF(AND($G$5="No",$G$6="No",$G$7="No"),
(('GF diets No L-Val'!R351-'GF diets No L-Val'!R5)*($G$8*$G$9/100)-'GF diets No L-Val'!R$266)-
(('GF diets No L-Val'!D351-'GF diets No L-Val'!D5)*($G$8*$G$9/100)-'GF diets No L-Val'!D$266),
IF(AND($G$5="Yes",$G$6="No",$G$7="No"),
(('GF diets No L-Val + Fat'!R$351-'GF diets No L-Val + Fat'!R5)*($G$8*$G$9/100)-'GF diets No L-Val + Fat'!R$266)-
(('GF diets No L-Val + Fat'!D351-'GF diets No L-Val + Fat'!D5)*($G$8*$G$9/100)-'GF diets No L-Val + Fat'!D$266),
IF(AND($G$5="No",$G$6="No",$G$7="Yes"),
(('GF diets L-Val'!R$351-'GF diets L-Val'!R5)*($G$8*$G$9/100)-'GF diets L-Val'!R$266)-
(('GF diets L-Val'!D351-'GF diets L-Val'!D5)*($G$8*$G$9/100)-'GF diets L-Val'!D$266),
IF(AND($G$5="Yes",$G$6="No",$G$7="Yes"),
(('GF diets L-Val + Fat'!R$351-'GF diets L-Val + Fat'!R5)*($G$8*$G$9/100)-'GF diets L-Val + Fat'!R$266)-
(('GF diets L-Val + Fat'!D$351-'GF diets L-Val + Fat'!D5)*($G$8*$G$9/100)-'GF diets L-Val + Fat'!D$266),
IF(AND($G$5="No",$G$6="Yes",$G$7="No"),
(('GF diets No L-Val + WD'!R$351-'GF diets No L-Val + WD'!R5)*($G$8*$G$9/100)-'GF diets No L-Val + WD'!R$266)-
(('GF diets No L-Val + WD'!D$351-'GF diets No L-Val + WD'!D5)*($G$8*$G$9/100)-'GF diets No L-Val + WD'!D$266),
IF(AND($G$5="Yes",$G$6="Yes",$G$7="No"),
(('GF diets No L-Val + Fat + WD'!R$351-'GF diets No L-Val + Fat + WD'!R5)*($G$8*$G$9/100)-'GF diets No L-Val + Fat + WD'!R$266)-
(('GF diets No L-Val + Fat + WD'!D$351-'GF diets No L-Val + Fat + WD'!D5)*($G$8*$G$9/100)-'GF diets No L-Val + Fat + WD'!D$266),
IF(AND($G$5="No",$G$6="Yes",$G$7="Yes"),
(('GF diets L-Val + WD'!R$351-'GF diets L-Val + WD'!R5)*($G$8*$G$9/100)-'GF diets L-Val + WD'!R$266)-
(('GF diets L-Val + WD'!D$351-'GF diets L-Val + WD'!D5)*($G$8*$G$9/100)-'GF diets L-Val + WD'!D$266),
IF(AND($G$5="Yes",$G$6="Yes",$G$7="Yes"),
(('GF diets L-Val + Fat + WD'!R$351-'GF diets L-Val + Fat + WD'!R5)*($G$8*$G$9/100)-'GF diets L-Val + Fat + WD'!R$266)-
(('GF diets L-Val + Fat + WD'!D$351-'GF diets L-Val + Fat + WD'!D5)*($G$8*$G$9/100)-'GF diets L-Val + Fat + WD'!D$266)
))))))))</f>
        <v>-0.23468173936723957</v>
      </c>
      <c r="F61" s="468">
        <f>IF(AND($G$5="No",$G$6="No",$G$7="No"),
(('GF diets No L-Val'!S351-'GF diets No L-Val'!S5)*($G$8*$G$9/100)-'GF diets No L-Val'!S$266)-
(('GF diets No L-Val'!E351-'GF diets No L-Val'!E5)*($G$8*$G$9/100)-'GF diets No L-Val'!E$266),
IF(AND($G$5="Yes",$G$6="No",$G$7="No"),
(('GF diets No L-Val + Fat'!S$351-'GF diets No L-Val + Fat'!S5)*($G$8*$G$9/100)-'GF diets No L-Val + Fat'!S$266)-
(('GF diets No L-Val + Fat'!E351-'GF diets No L-Val + Fat'!E5)*($G$8*$G$9/100)-'GF diets No L-Val + Fat'!E$266),
IF(AND($G$5="No",$G$6="No",$G$7="Yes"),
(('GF diets L-Val'!S$351-'GF diets L-Val'!S5)*($G$8*$G$9/100)-'GF diets L-Val'!S$266)-
(('GF diets L-Val'!E351-'GF diets L-Val'!E5)*($G$8*$G$9/100)-'GF diets L-Val'!E$266),
IF(AND($G$5="Yes",$G$6="No",$G$7="Yes"),
(('GF diets L-Val + Fat'!S$351-'GF diets L-Val + Fat'!S5)*($G$8*$G$9/100)-'GF diets L-Val + Fat'!S$266)-
(('GF diets L-Val + Fat'!E$351-'GF diets L-Val + Fat'!E5)*($G$8*$G$9/100)-'GF diets L-Val + Fat'!E$266),
IF(AND($G$5="No",$G$6="Yes",$G$7="No"),
(('GF diets No L-Val + WD'!S$351-'GF diets No L-Val + WD'!S5)*($G$8*$G$9/100)-'GF diets No L-Val + WD'!S$266)-
(('GF diets No L-Val + WD'!E$351-'GF diets No L-Val + WD'!E5)*($G$8*$G$9/100)-'GF diets No L-Val + WD'!E$266),
IF(AND($G$5="Yes",$G$6="Yes",$G$7="No"),
(('GF diets No L-Val + Fat + WD'!S$351-'GF diets No L-Val + Fat + WD'!S5)*($G$8*$G$9/100)-'GF diets No L-Val + Fat + WD'!S$266)-
(('GF diets No L-Val + Fat + WD'!E$351-'GF diets No L-Val + Fat + WD'!E5)*($G$8*$G$9/100)-'GF diets No L-Val + Fat + WD'!E$266),
IF(AND($G$5="No",$G$6="Yes",$G$7="Yes"),
(('GF diets L-Val + WD'!S$351-'GF diets L-Val + WD'!S5)*($G$8*$G$9/100)-'GF diets L-Val + WD'!S$266)-
(('GF diets L-Val + WD'!E$351-'GF diets L-Val + WD'!E5)*($G$8*$G$9/100)-'GF diets L-Val + WD'!E$266),
IF(AND($G$5="Yes",$G$6="Yes",$G$7="Yes"),
(('GF diets L-Val + Fat + WD'!S$351-'GF diets L-Val + Fat + WD'!S5)*($G$8*$G$9/100)-'GF diets L-Val + Fat + WD'!S$266)-
(('GF diets L-Val + Fat + WD'!E$351-'GF diets L-Val + Fat + WD'!E5)*($G$8*$G$9/100)-'GF diets L-Val + Fat + WD'!E$266)
))))))))</f>
        <v>-0.26866899195782423</v>
      </c>
      <c r="G61" s="468">
        <f>IF(AND($G$5="No",$G$6="No",$G$7="No"),
(('GF diets No L-Val'!T351-'GF diets No L-Val'!T5)*($G$8*$G$9/100)-'GF diets No L-Val'!T$266)-
(('GF diets No L-Val'!F351-'GF diets No L-Val'!F5)*($G$8*$G$9/100)-'GF diets No L-Val'!F$266),
IF(AND($G$5="Yes",$G$6="No",$G$7="No"),
(('GF diets No L-Val + Fat'!T$351-'GF diets No L-Val + Fat'!T5)*($G$8*$G$9/100)-'GF diets No L-Val + Fat'!T$266)-
(('GF diets No L-Val + Fat'!F351-'GF diets No L-Val + Fat'!F5)*($G$8*$G$9/100)-'GF diets No L-Val + Fat'!F$266),
IF(AND($G$5="No",$G$6="No",$G$7="Yes"),
(('GF diets L-Val'!T$351-'GF diets L-Val'!T5)*($G$8*$G$9/100)-'GF diets L-Val'!T$266)-
(('GF diets L-Val'!F351-'GF diets L-Val'!F5)*($G$8*$G$9/100)-'GF diets L-Val'!F$266),
IF(AND($G$5="Yes",$G$6="No",$G$7="Yes"),
(('GF diets L-Val + Fat'!T$351-'GF diets L-Val + Fat'!T5)*($G$8*$G$9/100)-'GF diets L-Val + Fat'!T$266)-
(('GF diets L-Val + Fat'!F$351-'GF diets L-Val + Fat'!F5)*($G$8*$G$9/100)-'GF diets L-Val + Fat'!F$266),
IF(AND($G$5="No",$G$6="Yes",$G$7="No"),
(('GF diets No L-Val + WD'!T$351-'GF diets No L-Val + WD'!T5)*($G$8*$G$9/100)-'GF diets No L-Val + WD'!T$266)-
(('GF diets No L-Val + WD'!F$351-'GF diets No L-Val + WD'!F5)*($G$8*$G$9/100)-'GF diets No L-Val + WD'!F$266),
IF(AND($G$5="Yes",$G$6="Yes",$G$7="No"),
(('GF diets No L-Val + Fat + WD'!T$351-'GF diets No L-Val + Fat + WD'!T5)*($G$8*$G$9/100)-'GF diets No L-Val + Fat + WD'!T$266)-
(('GF diets No L-Val + Fat + WD'!F$351-'GF diets No L-Val + Fat + WD'!F5)*($G$8*$G$9/100)-'GF diets No L-Val + Fat + WD'!F$266),
IF(AND($G$5="No",$G$6="Yes",$G$7="Yes"),
(('GF diets L-Val + WD'!T$351-'GF diets L-Val + WD'!T5)*($G$8*$G$9/100)-'GF diets L-Val + WD'!T$266)-
(('GF diets L-Val + WD'!F$351-'GF diets L-Val + WD'!F5)*($G$8*$G$9/100)-'GF diets L-Val + WD'!F$266),
IF(AND($G$5="Yes",$G$6="Yes",$G$7="Yes"),
(('GF diets L-Val + Fat + WD'!T$351-'GF diets L-Val + Fat + WD'!T5)*($G$8*$G$9/100)-'GF diets L-Val + Fat + WD'!T$266)-
(('GF diets L-Val + Fat + WD'!F$351-'GF diets L-Val + Fat + WD'!F5)*($G$8*$G$9/100)-'GF diets L-Val + Fat + WD'!F$266)
))))))))</f>
        <v>-0.34733908348788489</v>
      </c>
      <c r="H61" s="468">
        <f>IF(AND($G$5="No",$G$6="No",$G$7="No"),
(('GF diets No L-Val'!U351-'GF diets No L-Val'!U5)*($G$8*$G$9/100)-'GF diets No L-Val'!U$266)-
(('GF diets No L-Val'!G351-'GF diets No L-Val'!G5)*($G$8*$G$9/100)-'GF diets No L-Val'!G$266),
IF(AND($G$5="Yes",$G$6="No",$G$7="No"),
(('GF diets No L-Val + Fat'!U$351-'GF diets No L-Val + Fat'!U5)*($G$8*$G$9/100)-'GF diets No L-Val + Fat'!U$266)-
(('GF diets No L-Val + Fat'!G351-'GF diets No L-Val + Fat'!G5)*($G$8*$G$9/100)-'GF diets No L-Val + Fat'!G$266),
IF(AND($G$5="No",$G$6="No",$G$7="Yes"),
(('GF diets L-Val'!U$351-'GF diets L-Val'!U5)*($G$8*$G$9/100)-'GF diets L-Val'!U$266)-
(('GF diets L-Val'!G351-'GF diets L-Val'!G5)*($G$8*$G$9/100)-'GF diets L-Val'!G$266),
IF(AND($G$5="Yes",$G$6="No",$G$7="Yes"),
(('GF diets L-Val + Fat'!U$351-'GF diets L-Val + Fat'!U5)*($G$8*$G$9/100)-'GF diets L-Val + Fat'!U$266)-
(('GF diets L-Val + Fat'!G$351-'GF diets L-Val + Fat'!G5)*($G$8*$G$9/100)-'GF diets L-Val + Fat'!G$266),
IF(AND($G$5="No",$G$6="Yes",$G$7="No"),
(('GF diets No L-Val + WD'!U$351-'GF diets No L-Val + WD'!U5)*($G$8*$G$9/100)-'GF diets No L-Val + WD'!U$266)-
(('GF diets No L-Val + WD'!G$351-'GF diets No L-Val + WD'!G5)*($G$8*$G$9/100)-'GF diets No L-Val + WD'!G$266),
IF(AND($G$5="Yes",$G$6="Yes",$G$7="No"),
(('GF diets No L-Val + Fat + WD'!U$351-'GF diets No L-Val + Fat + WD'!U5)*($G$8*$G$9/100)-'GF diets No L-Val + Fat + WD'!U$266)-
(('GF diets No L-Val + Fat + WD'!G$351-'GF diets No L-Val + Fat + WD'!G5)*($G$8*$G$9/100)-'GF diets No L-Val + Fat + WD'!G$266),
IF(AND($G$5="No",$G$6="Yes",$G$7="Yes"),
(('GF diets L-Val + WD'!U$351-'GF diets L-Val + WD'!U5)*($G$8*$G$9/100)-'GF diets L-Val + WD'!U$266)-
(('GF diets L-Val + WD'!G$351-'GF diets L-Val + WD'!G5)*($G$8*$G$9/100)-'GF diets L-Val + WD'!G$266),
IF(AND($G$5="Yes",$G$6="Yes",$G$7="Yes"),
(('GF diets L-Val + Fat + WD'!U$351-'GF diets L-Val + Fat + WD'!U5)*($G$8*$G$9/100)-'GF diets L-Val + Fat + WD'!U$266)-
(('GF diets L-Val + Fat + WD'!G$351-'GF diets L-Val + Fat + WD'!G5)*($G$8*$G$9/100)-'GF diets L-Val + Fat + WD'!G$266)
))))))))</f>
        <v>-0.5160616896597876</v>
      </c>
      <c r="I61" s="468">
        <f t="shared" si="2"/>
        <v>-1.7718957581074033</v>
      </c>
      <c r="J61" s="468">
        <f>I61-I60</f>
        <v>-0.88739477838802827</v>
      </c>
      <c r="K61" s="450"/>
      <c r="L61" s="388"/>
      <c r="M61" s="388"/>
      <c r="N61" s="388"/>
      <c r="O61" s="388"/>
      <c r="P61" s="388"/>
      <c r="Q61" s="388"/>
      <c r="S61" s="454"/>
      <c r="T61" s="454"/>
      <c r="U61" s="454"/>
      <c r="V61" s="454"/>
      <c r="W61" s="391"/>
      <c r="X61" s="391"/>
      <c r="Y61" s="391"/>
      <c r="Z61" s="391"/>
      <c r="AA61" s="391"/>
      <c r="AB61" s="391"/>
      <c r="AC61" s="391"/>
      <c r="AD61" s="391"/>
    </row>
    <row r="62" spans="1:30" ht="15.6" x14ac:dyDescent="0.3">
      <c r="A62" s="290">
        <v>0.15</v>
      </c>
      <c r="B62" s="387" t="s">
        <v>489</v>
      </c>
      <c r="C62" s="468">
        <f>IF(AND($G$5="No",$G$6="No",$G$7="No"),
(('GF diets No L-Val'!W351-'GF diets No L-Val'!W5)*($G$8*$G$9/100)-'GF diets No L-Val'!W$266)-
(('GF diets No L-Val'!B351-'GF diets No L-Val'!B5)*($G$8*$G$9/100)-'GF diets No L-Val'!B$266),
IF(AND($G$5="Yes",$G$6="No",$G$7="No"),
(('GF diets No L-Val + Fat'!W$351-'GF diets No L-Val + Fat'!W5)*($G$8*$G$9/100)-'GF diets No L-Val + Fat'!W$266)-
(('GF diets No L-Val + Fat'!B351-'GF diets No L-Val + Fat'!B5)*($G$8*$G$9/100)-'GF diets No L-Val + Fat'!B$266),
IF(AND($G$5="No",$G$6="No",$G$7="Yes"),
(('GF diets L-Val'!W$351-'GF diets L-Val'!W5)*($G$8*$G$9/100)-'GF diets L-Val'!W$266)-
(('GF diets L-Val'!B351-'GF diets L-Val'!B5)*($G$8*$G$9/100)-'GF diets L-Val'!B$266),
IF(AND($G$5="Yes",$G$6="No",$G$7="Yes"),
(('GF diets L-Val + Fat'!W$351-'GF diets L-Val + Fat'!W5)*($G$8*$G$9/100)-'GF diets L-Val + Fat'!W$266)-
(('GF diets L-Val + Fat'!B$351-'GF diets L-Val + Fat'!B5)*($G$8*$G$9/100)-'GF diets L-Val + Fat'!B$266),
IF(AND($G$5="No",$G$6="Yes",$G$7="No"),
(('GF diets No L-Val + WD'!W$351-'GF diets No L-Val + WD'!W5)*($G$8*$G$9/100)-'GF diets No L-Val + WD'!W$266)-
(('GF diets No L-Val + WD'!B$351-'GF diets No L-Val + WD'!B5)*($G$8*$G$9/100)-'GF diets No L-Val + WD'!B$266),
IF(AND($G$5="Yes",$G$6="Yes",$G$7="No"),
(('GF diets No L-Val + Fat + WD'!W$351-'GF diets No L-Val + Fat + WD'!W5)*($G$8*$G$9/100)-'GF diets No L-Val + Fat + WD'!W$266)-
(('GF diets No L-Val + Fat + WD'!B$351-'GF diets No L-Val + Fat + WD'!B5)*($G$8*$G$9/100)-'GF diets No L-Val + Fat + WD'!B$266),
IF(AND($G$5="No",$G$6="Yes",$G$7="Yes"),
(('GF diets L-Val + WD'!W$351-'GF diets L-Val + WD'!W5)*($G$8*$G$9/100)-'GF diets L-Val + WD'!W$266)-
(('GF diets L-Val + WD'!B$351-'GF diets L-Val + WD'!B5)*($G$8*$G$9/100)-'GF diets L-Val + WD'!B$266),
IF(AND($G$5="Yes",$G$6="Yes",$G$7="Yes"),
(('GF diets L-Val + Fat + WD'!W$351-'GF diets L-Val + Fat + WD'!W5)*($G$8*$G$9/100)-'GF diets L-Val + Fat + WD'!W$266)-
(('GF diets L-Val + Fat + WD'!B$351-'GF diets L-Val + Fat + WD'!B5)*($G$8*$G$9/100)-'GF diets L-Val + Fat + WD'!B$266)
))))))))</f>
        <v>-0.29257675353583679</v>
      </c>
      <c r="D62" s="468">
        <f>IF(AND($G$5="No",$G$6="No",$G$7="No"),
(('GF diets No L-Val'!X351-'GF diets No L-Val'!X5)*($G$8*$G$9/100)-'GF diets No L-Val'!X$266)-
(('GF diets No L-Val'!C351-'GF diets No L-Val'!C5)*($G$8*$G$9/100)-'GF diets No L-Val'!C$266),
IF(AND($G$5="Yes",$G$6="No",$G$7="No"),
(('GF diets No L-Val + Fat'!X$351-'GF diets No L-Val + Fat'!X5)*($G$8*$G$9/100)-'GF diets No L-Val + Fat'!X$266)-
(('GF diets No L-Val + Fat'!C351-'GF diets No L-Val + Fat'!C5)*($G$8*$G$9/100)-'GF diets No L-Val + Fat'!C$266),
IF(AND($G$5="No",$G$6="No",$G$7="Yes"),
(('GF diets L-Val'!X$351-'GF diets L-Val'!X5)*($G$8*$G$9/100)-'GF diets L-Val'!X$266)-
(('GF diets L-Val'!C351-'GF diets L-Val'!C5)*($G$8*$G$9/100)-'GF diets L-Val'!C$266),
IF(AND($G$5="Yes",$G$6="No",$G$7="Yes"),
(('GF diets L-Val + Fat'!X$351-'GF diets L-Val + Fat'!X5)*($G$8*$G$9/100)-'GF diets L-Val + Fat'!X$266)-
(('GF diets L-Val + Fat'!C$351-'GF diets L-Val + Fat'!C5)*($G$8*$G$9/100)-'GF diets L-Val + Fat'!C$266),
IF(AND($G$5="No",$G$6="Yes",$G$7="No"),
(('GF diets No L-Val + WD'!X$351-'GF diets No L-Val + WD'!X5)*($G$8*$G$9/100)-'GF diets No L-Val + WD'!X$266)-
(('GF diets No L-Val + WD'!C$351-'GF diets No L-Val + WD'!C5)*($G$8*$G$9/100)-'GF diets No L-Val + WD'!C$266),
IF(AND($G$5="Yes",$G$6="Yes",$G$7="No"),
(('GF diets No L-Val + Fat + WD'!X$351-'GF diets No L-Val + Fat + WD'!X5)*($G$8*$G$9/100)-'GF diets No L-Val + Fat + WD'!X$266)-
(('GF diets No L-Val + Fat + WD'!C$351-'GF diets No L-Val + Fat + WD'!C5)*($G$8*$G$9/100)-'GF diets No L-Val + Fat + WD'!C$266),
IF(AND($G$5="No",$G$6="Yes",$G$7="Yes"),
(('GF diets L-Val + WD'!X$351-'GF diets L-Val + WD'!X5)*($G$8*$G$9/100)-'GF diets L-Val + WD'!X$266)-
(('GF diets L-Val + WD'!C$351-'GF diets L-Val + WD'!C5)*($G$8*$G$9/100)-'GF diets L-Val + WD'!C$266),
IF(AND($G$5="Yes",$G$6="Yes",$G$7="Yes"),
(('GF diets L-Val + Fat + WD'!X$351-'GF diets L-Val + Fat + WD'!X5)*($G$8*$G$9/100)-'GF diets L-Val + Fat + WD'!X$266)-
(('GF diets L-Val + Fat + WD'!C$351-'GF diets L-Val + Fat + WD'!C5)*($G$8*$G$9/100)-'GF diets L-Val + Fat + WD'!C$266)
))))))))</f>
        <v>-0.27836545400975687</v>
      </c>
      <c r="E62" s="468">
        <f>IF(AND($G$5="No",$G$6="No",$G$7="No"),
(('GF diets No L-Val'!Y351-'GF diets No L-Val'!Y5)*($G$8*$G$9/100)-'GF diets No L-Val'!Y$266)-
(('GF diets No L-Val'!D351-'GF diets No L-Val'!D5)*($G$8*$G$9/100)-'GF diets No L-Val'!D$266),
IF(AND($G$5="Yes",$G$6="No",$G$7="No"),
(('GF diets No L-Val + Fat'!Y$351-'GF diets No L-Val + Fat'!Y5)*($G$8*$G$9/100)-'GF diets No L-Val + Fat'!Y$266)-
(('GF diets No L-Val + Fat'!D351-'GF diets No L-Val + Fat'!D5)*($G$8*$G$9/100)-'GF diets No L-Val + Fat'!D$266),
IF(AND($G$5="No",$G$6="No",$G$7="Yes"),
(('GF diets L-Val'!Y$351-'GF diets L-Val'!Y5)*($G$8*$G$9/100)-'GF diets L-Val'!Y$266)-
(('GF diets L-Val'!D351-'GF diets L-Val'!D5)*($G$8*$G$9/100)-'GF diets L-Val'!D$266),
IF(AND($G$5="Yes",$G$6="No",$G$7="Yes"),
(('GF diets L-Val + Fat'!Y$351-'GF diets L-Val + Fat'!Y5)*($G$8*$G$9/100)-'GF diets L-Val + Fat'!Y$266)-
(('GF diets L-Val + Fat'!D$351-'GF diets L-Val + Fat'!D5)*($G$8*$G$9/100)-'GF diets L-Val + Fat'!D$266),
IF(AND($G$5="No",$G$6="Yes",$G$7="No"),
(('GF diets No L-Val + WD'!Y$351-'GF diets No L-Val + WD'!Y5)*($G$8*$G$9/100)-'GF diets No L-Val + WD'!Y$266)-
(('GF diets No L-Val + WD'!D$351-'GF diets No L-Val + WD'!D5)*($G$8*$G$9/100)-'GF diets No L-Val + WD'!D$266),
IF(AND($G$5="Yes",$G$6="Yes",$G$7="No"),
(('GF diets No L-Val + Fat + WD'!Y$351-'GF diets No L-Val + Fat + WD'!Y5)*($G$8*$G$9/100)-'GF diets No L-Val + Fat + WD'!Y$266)-
(('GF diets No L-Val + Fat + WD'!D$351-'GF diets No L-Val + Fat + WD'!D5)*($G$8*$G$9/100)-'GF diets No L-Val + Fat + WD'!D$266),
IF(AND($G$5="No",$G$6="Yes",$G$7="Yes"),
(('GF diets L-Val + WD'!Y$351-'GF diets L-Val + WD'!Y5)*($G$8*$G$9/100)-'GF diets L-Val + WD'!Y$266)-
(('GF diets L-Val + WD'!D$351-'GF diets L-Val + WD'!D5)*($G$8*$G$9/100)-'GF diets L-Val + WD'!D$266),
IF(AND($G$5="Yes",$G$6="Yes",$G$7="Yes"),
(('GF diets L-Val + Fat + WD'!Y$351-'GF diets L-Val + Fat + WD'!Y5)*($G$8*$G$9/100)-'GF diets L-Val + Fat + WD'!Y$266)-
(('GF diets L-Val + Fat + WD'!D$351-'GF diets L-Val + Fat + WD'!D5)*($G$8*$G$9/100)-'GF diets L-Val + Fat + WD'!D$266)
))))))))</f>
        <v>-0.34108871284502129</v>
      </c>
      <c r="F62" s="468">
        <f>IF(AND($G$5="No",$G$6="No",$G$7="No"),
(('GF diets No L-Val'!Z351-'GF diets No L-Val'!Z5)*($G$8*$G$9/100)-'GF diets No L-Val'!Z$266)-
(('GF diets No L-Val'!E351-'GF diets No L-Val'!E5)*($G$8*$G$9/100)-'GF diets No L-Val'!E$266),
IF(AND($G$5="Yes",$G$6="No",$G$7="No"),
(('GF diets No L-Val + Fat'!Z$351-'GF diets No L-Val + Fat'!Z5)*($G$8*$G$9/100)-'GF diets No L-Val + Fat'!Z$266)-
(('GF diets No L-Val + Fat'!E351-'GF diets No L-Val + Fat'!E5)*($G$8*$G$9/100)-'GF diets No L-Val + Fat'!E$266),
IF(AND($G$5="No",$G$6="No",$G$7="Yes"),
(('GF diets L-Val'!Z$351-'GF diets L-Val'!Z5)*($G$8*$G$9/100)-'GF diets L-Val'!Z$266)-
(('GF diets L-Val'!E351-'GF diets L-Val'!E5)*($G$8*$G$9/100)-'GF diets L-Val'!E$266),
IF(AND($G$5="Yes",$G$6="No",$G$7="Yes"),
(('GF diets L-Val + Fat'!Z$351-'GF diets L-Val + Fat'!Z5)*($G$8*$G$9/100)-'GF diets L-Val + Fat'!Z$266)-
(('GF diets L-Val + Fat'!E$351-'GF diets L-Val + Fat'!E5)*($G$8*$G$9/100)-'GF diets L-Val + Fat'!E$266),
IF(AND($G$5="No",$G$6="Yes",$G$7="No"),
(('GF diets No L-Val + WD'!Z$351-'GF diets No L-Val + WD'!Z5)*($G$8*$G$9/100)-'GF diets No L-Val + WD'!Z$266)-
(('GF diets No L-Val + WD'!E$351-'GF diets No L-Val + WD'!E5)*($G$8*$G$9/100)-'GF diets No L-Val + WD'!E$266),
IF(AND($G$5="Yes",$G$6="Yes",$G$7="No"),
(('GF diets No L-Val + Fat + WD'!Z$351-'GF diets No L-Val + Fat + WD'!Z5)*($G$8*$G$9/100)-'GF diets No L-Val + Fat + WD'!Z$266)-
(('GF diets No L-Val + Fat + WD'!E$351-'GF diets No L-Val + Fat + WD'!E5)*($G$8*$G$9/100)-'GF diets No L-Val + Fat + WD'!E$266),
IF(AND($G$5="No",$G$6="Yes",$G$7="Yes"),
(('GF diets L-Val + WD'!Z$351-'GF diets L-Val + WD'!Z5)*($G$8*$G$9/100)-'GF diets L-Val + WD'!Z$266)-
(('GF diets L-Val + WD'!E$351-'GF diets L-Val + WD'!E5)*($G$8*$G$9/100)-'GF diets L-Val + WD'!E$266),
IF(AND($G$5="Yes",$G$6="Yes",$G$7="Yes"),
(('GF diets L-Val + Fat + WD'!Z$351-'GF diets L-Val + Fat + WD'!Z5)*($G$8*$G$9/100)-'GF diets L-Val + Fat + WD'!Z$266)-
(('GF diets L-Val + Fat + WD'!E$351-'GF diets L-Val + Fat + WD'!E5)*($G$8*$G$9/100)-'GF diets L-Val + Fat + WD'!E$266)
))))))))</f>
        <v>-0.39873130282205338</v>
      </c>
      <c r="G62" s="468">
        <f>IF(AND($G$5="No",$G$6="No",$G$7="No"),
(('GF diets No L-Val'!AA351-'GF diets No L-Val'!AA5)*($G$8*$G$9/100)-'GF diets No L-Val'!AA$266)-
(('GF diets No L-Val'!F351-'GF diets No L-Val'!F5)*($G$8*$G$9/100)-'GF diets No L-Val'!F$266),
IF(AND($G$5="Yes",$G$6="No",$G$7="No"),
(('GF diets No L-Val + Fat'!AA$351-'GF diets No L-Val + Fat'!AA5)*($G$8*$G$9/100)-'GF diets No L-Val + Fat'!AA$266)-
(('GF diets No L-Val + Fat'!F351-'GF diets No L-Val + Fat'!F5)*($G$8*$G$9/100)-'GF diets No L-Val + Fat'!F$266),
IF(AND($G$5="No",$G$6="No",$G$7="Yes"),
(('GF diets L-Val'!AA$351-'GF diets L-Val'!AA5)*($G$8*$G$9/100)-'GF diets L-Val'!AA$266)-
(('GF diets L-Val'!F351-'GF diets L-Val'!F5)*($G$8*$G$9/100)-'GF diets L-Val'!F$266),
IF(AND($G$5="Yes",$G$6="No",$G$7="Yes"),
(('GF diets L-Val + Fat'!AA$351-'GF diets L-Val + Fat'!AA5)*($G$8*$G$9/100)-'GF diets L-Val + Fat'!AA$266)-
(('GF diets L-Val + Fat'!F$351-'GF diets L-Val + Fat'!F5)*($G$8*$G$9/100)-'GF diets L-Val + Fat'!F$266),
IF(AND($G$5="No",$G$6="Yes",$G$7="No"),
(('GF diets No L-Val + WD'!AA$351-'GF diets No L-Val + WD'!AA5)*($G$8*$G$9/100)-'GF diets No L-Val + WD'!AA$266)-
(('GF diets No L-Val + WD'!F$351-'GF diets No L-Val + WD'!F5)*($G$8*$G$9/100)-'GF diets No L-Val + WD'!F$266),
IF(AND($G$5="Yes",$G$6="Yes",$G$7="No"),
(('GF diets No L-Val + Fat + WD'!AA$351-'GF diets No L-Val + Fat + WD'!AA5)*($G$8*$G$9/100)-'GF diets No L-Val + Fat + WD'!AA$266)-
(('GF diets No L-Val + Fat + WD'!F$351-'GF diets No L-Val + Fat + WD'!F5)*($G$8*$G$9/100)-'GF diets No L-Val + Fat + WD'!F$266),
IF(AND($G$5="No",$G$6="Yes",$G$7="Yes"),
(('GF diets L-Val + WD'!AA$351-'GF diets L-Val + WD'!AA5)*($G$8*$G$9/100)-'GF diets L-Val + WD'!AA$266)-
(('GF diets L-Val + WD'!F$351-'GF diets L-Val + WD'!F5)*($G$8*$G$9/100)-'GF diets L-Val + WD'!F$266),
IF(AND($G$5="Yes",$G$6="Yes",$G$7="Yes"),
(('GF diets L-Val + Fat + WD'!AA$351-'GF diets L-Val + Fat + WD'!AA5)*($G$8*$G$9/100)-'GF diets L-Val + Fat + WD'!AA$266)-
(('GF diets L-Val + Fat + WD'!F$351-'GF diets L-Val + Fat + WD'!F5)*($G$8*$G$9/100)-'GF diets L-Val + Fat + WD'!F$266)
))))))))</f>
        <v>-0.52363003273327102</v>
      </c>
      <c r="H62" s="468">
        <f>IF(AND($G$5="No",$G$6="No",$G$7="No"),
(('GF diets No L-Val'!AB351-'GF diets No L-Val'!AB5)*($G$8*$G$9/100)-'GF diets No L-Val'!AB$266)-
(('GF diets No L-Val'!G351-'GF diets No L-Val'!G5)*($G$8*$G$9/100)-'GF diets No L-Val'!G$266),
IF(AND($G$5="Yes",$G$6="No",$G$7="No"),
(('GF diets No L-Val + Fat'!AB$351-'GF diets No L-Val + Fat'!AB5)*($G$8*$G$9/100)-'GF diets No L-Val + Fat'!AB$266)-
(('GF diets No L-Val + Fat'!G351-'GF diets No L-Val + Fat'!G5)*($G$8*$G$9/100)-'GF diets No L-Val + Fat'!G$266),
IF(AND($G$5="No",$G$6="No",$G$7="Yes"),
(('GF diets L-Val'!AB$351-'GF diets L-Val'!AB5)*($G$8*$G$9/100)-'GF diets L-Val'!AB$266)-
(('GF diets L-Val'!G351-'GF diets L-Val'!G5)*($G$8*$G$9/100)-'GF diets L-Val'!G$266),
IF(AND($G$5="Yes",$G$6="No",$G$7="Yes"),
(('GF diets L-Val + Fat'!AB$351-'GF diets L-Val + Fat'!AB5)*($G$8*$G$9/100)-'GF diets L-Val + Fat'!AB$266)-
(('GF diets L-Val + Fat'!G$351-'GF diets L-Val + Fat'!G5)*($G$8*$G$9/100)-'GF diets L-Val + Fat'!G$266),
IF(AND($G$5="No",$G$6="Yes",$G$7="No"),
(('GF diets No L-Val + WD'!AB$351-'GF diets No L-Val + WD'!AB5)*($G$8*$G$9/100)-'GF diets No L-Val + WD'!AB$266)-
(('GF diets No L-Val + WD'!G$351-'GF diets No L-Val + WD'!G5)*($G$8*$G$9/100)-'GF diets No L-Val + WD'!G$266),
IF(AND($G$5="Yes",$G$6="Yes",$G$7="No"),
(('GF diets No L-Val + Fat + WD'!AB$351-'GF diets No L-Val + Fat + WD'!AB5)*($G$8*$G$9/100)-'GF diets No L-Val + Fat + WD'!AB$266)-
(('GF diets No L-Val + Fat + WD'!G$351-'GF diets No L-Val + Fat + WD'!G5)*($G$8*$G$9/100)-'GF diets No L-Val + Fat + WD'!G$266),
IF(AND($G$5="No",$G$6="Yes",$G$7="Yes"),
(('GF diets L-Val + WD'!AB$351-'GF diets L-Val + WD'!AB5)*($G$8*$G$9/100)-'GF diets L-Val + WD'!AB$266)-
(('GF diets L-Val + WD'!G$351-'GF diets L-Val + WD'!G5)*($G$8*$G$9/100)-'GF diets L-Val + WD'!G$266),
IF(AND($G$5="Yes",$G$6="Yes",$G$7="Yes"),
(('GF diets L-Val + Fat + WD'!AB$351-'GF diets L-Val + Fat + WD'!AB5)*($G$8*$G$9/100)-'GF diets L-Val + Fat + WD'!AB$266)-
(('GF diets L-Val + Fat + WD'!G$351-'GF diets L-Val + Fat + WD'!G5)*($G$8*$G$9/100)-'GF diets L-Val + Fat + WD'!G$266)
))))))))</f>
        <v>-0.78850689167495425</v>
      </c>
      <c r="I62" s="468">
        <f t="shared" si="2"/>
        <v>-2.6228991476208936</v>
      </c>
      <c r="J62" s="468">
        <f>I62-I61</f>
        <v>-0.8510033895134903</v>
      </c>
      <c r="K62" s="450"/>
      <c r="L62" s="388"/>
      <c r="M62" s="388"/>
      <c r="N62" s="388"/>
      <c r="O62" s="388"/>
      <c r="P62" s="388"/>
      <c r="Q62" s="388"/>
      <c r="S62" s="454"/>
      <c r="T62" s="454"/>
      <c r="U62" s="454"/>
      <c r="V62" s="454"/>
      <c r="W62" s="391"/>
      <c r="X62" s="391"/>
      <c r="Y62" s="391"/>
      <c r="Z62" s="391"/>
      <c r="AA62" s="391"/>
      <c r="AB62" s="391"/>
      <c r="AC62" s="391"/>
      <c r="AD62" s="391"/>
    </row>
    <row r="63" spans="1:30" ht="15.6" x14ac:dyDescent="0.3">
      <c r="A63" s="290">
        <v>0.2</v>
      </c>
      <c r="B63" s="387" t="s">
        <v>490</v>
      </c>
      <c r="C63" s="468">
        <f>IF(AND($G$5="No",$G$6="No",$G$7="No"),
(('GF diets No L-Val'!AD351-'GF diets No L-Val'!AD5)*($G$8*$G$9/100)-'GF diets No L-Val'!AD$266)-
(('GF diets No L-Val'!B351-'GF diets No L-Val'!B5)*($G$8*$G$9/100)-'GF diets No L-Val'!B$266),
IF(AND($G$5="Yes",$G$6="No",$G$7="No"),
(('GF diets No L-Val + Fat'!AD$351-'GF diets No L-Val + Fat'!AD5)*($G$8*$G$9/100)-'GF diets No L-Val + Fat'!AD$266)-
(('GF diets No L-Val + Fat'!B351-'GF diets No L-Val + Fat'!B5)*($G$8*$G$9/100)-'GF diets No L-Val + Fat'!B$266),
IF(AND($G$5="No",$G$6="No",$G$7="Yes"),
(('GF diets L-Val'!AD$351-'GF diets L-Val'!AD5)*($G$8*$G$9/100)-'GF diets L-Val'!AD$266)-
(('GF diets L-Val'!B351-'GF diets L-Val'!B5)*($G$8*$G$9/100)-'GF diets L-Val'!B$266),
IF(AND($G$5="Yes",$G$6="No",$G$7="Yes"),
(('GF diets L-Val + Fat'!AD$351-'GF diets L-Val + Fat'!AD5)*($G$8*$G$9/100)-'GF diets L-Val + Fat'!AD$266)-
(('GF diets L-Val + Fat'!B$351-'GF diets L-Val + Fat'!B5)*($G$8*$G$9/100)-'GF diets L-Val + Fat'!B$266),
IF(AND($G$5="No",$G$6="Yes",$G$7="No"),
(('GF diets No L-Val + WD'!AD$351-'GF diets No L-Val + WD'!AD5)*($G$8*$G$9/100)-'GF diets No L-Val + WD'!AD$266)-
(('GF diets No L-Val + WD'!B$351-'GF diets No L-Val + WD'!B5)*($G$8*$G$9/100)-'GF diets No L-Val + WD'!B$266),
IF(AND($G$5="Yes",$G$6="Yes",$G$7="No"),
(('GF diets No L-Val + Fat + WD'!AD$351-'GF diets No L-Val + Fat + WD'!AD5)*($G$8*$G$9/100)-'GF diets No L-Val + Fat + WD'!AD$266)-
(('GF diets No L-Val + Fat + WD'!B$351-'GF diets No L-Val + Fat + WD'!B5)*($G$8*$G$9/100)-'GF diets No L-Val + Fat + WD'!B$266),
IF(AND($G$5="No",$G$6="Yes",$G$7="Yes"),
(('GF diets L-Val + WD'!AD$351-'GF diets L-Val + WD'!AD5)*($G$8*$G$9/100)-'GF diets L-Val + WD'!AD$266)-
(('GF diets L-Val + WD'!B$351-'GF diets L-Val + WD'!B5)*($G$8*$G$9/100)-'GF diets L-Val + WD'!B$266),
IF(AND($G$5="Yes",$G$6="Yes",$G$7="Yes"),
(('GF diets L-Val + Fat + WD'!AD$351-'GF diets L-Val + Fat + WD'!AD5)*($G$8*$G$9/100)-'GF diets L-Val + Fat + WD'!AD$266)-
(('GF diets L-Val + Fat + WD'!B$351-'GF diets L-Val + Fat + WD'!B5)*($G$8*$G$9/100)-'GF diets L-Val + Fat + WD'!B$266)
))))))))</f>
        <v>-0.36183145300062236</v>
      </c>
      <c r="D63" s="468">
        <f>IF(AND($G$5="No",$G$6="No",$G$7="No"),
(('GF diets No L-Val'!AE351-'GF diets No L-Val'!AE5)*($G$8*$G$9/100)-'GF diets No L-Val'!AE$266)-
(('GF diets No L-Val'!C351-'GF diets No L-Val'!C5)*($G$8*$G$9/100)-'GF diets No L-Val'!C$266),
IF(AND($G$5="Yes",$G$6="No",$G$7="No"),
(('GF diets No L-Val + Fat'!AE$351-'GF diets No L-Val + Fat'!AE5)*($G$8*$G$9/100)-'GF diets No L-Val + Fat'!AE$266)-
(('GF diets No L-Val + Fat'!C351-'GF diets No L-Val + Fat'!C5)*($G$8*$G$9/100)-'GF diets No L-Val + Fat'!C$266),
IF(AND($G$5="No",$G$6="No",$G$7="Yes"),
(('GF diets L-Val'!AE$351-'GF diets L-Val'!AE5)*($G$8*$G$9/100)-'GF diets L-Val'!AE$266)-
(('GF diets L-Val'!C351-'GF diets L-Val'!C5)*($G$8*$G$9/100)-'GF diets L-Val'!C$266),
IF(AND($G$5="Yes",$G$6="No",$G$7="Yes"),
(('GF diets L-Val + Fat'!AE$351-'GF diets L-Val + Fat'!AE5)*($G$8*$G$9/100)-'GF diets L-Val + Fat'!AE$266)-
(('GF diets L-Val + Fat'!C$351-'GF diets L-Val + Fat'!C5)*($G$8*$G$9/100)-'GF diets L-Val + Fat'!C$266),
IF(AND($G$5="No",$G$6="Yes",$G$7="No"),
(('GF diets No L-Val + WD'!AE$351-'GF diets No L-Val + WD'!AE5)*($G$8*$G$9/100)-'GF diets No L-Val + WD'!AE$266)-
(('GF diets No L-Val + WD'!C$351-'GF diets No L-Val + WD'!C5)*($G$8*$G$9/100)-'GF diets No L-Val + WD'!C$266),
IF(AND($G$5="Yes",$G$6="Yes",$G$7="No"),
(('GF diets No L-Val + Fat + WD'!AE$351-'GF diets No L-Val + Fat + WD'!AE5)*($G$8*$G$9/100)-'GF diets No L-Val + Fat + WD'!AE$266)-
(('GF diets No L-Val + Fat + WD'!C$351-'GF diets No L-Val + Fat + WD'!C5)*($G$8*$G$9/100)-'GF diets No L-Val + Fat + WD'!C$266),
IF(AND($G$5="No",$G$6="Yes",$G$7="Yes"),
(('GF diets L-Val + WD'!AE$351-'GF diets L-Val + WD'!AE5)*($G$8*$G$9/100)-'GF diets L-Val + WD'!AE$266)-
(('GF diets L-Val + WD'!C$351-'GF diets L-Val + WD'!C5)*($G$8*$G$9/100)-'GF diets L-Val + WD'!C$266),
IF(AND($G$5="Yes",$G$6="Yes",$G$7="Yes"),
(('GF diets L-Val + Fat + WD'!AE$351-'GF diets L-Val + Fat + WD'!AE5)*($G$8*$G$9/100)-'GF diets L-Val + Fat + WD'!AE$266)-
(('GF diets L-Val + Fat + WD'!C$351-'GF diets L-Val + Fat + WD'!C5)*($G$8*$G$9/100)-'GF diets L-Val + Fat + WD'!C$266)
))))))))</f>
        <v>-0.35070649568689127</v>
      </c>
      <c r="E63" s="468">
        <f>IF(AND($G$5="No",$G$6="No",$G$7="No"),
(('GF diets No L-Val'!AF351-'GF diets No L-Val'!AF5)*($G$8*$G$9/100)-'GF diets No L-Val'!AF$266)-
(('GF diets No L-Val'!D351-'GF diets No L-Val'!D5)*($G$8*$G$9/100)-'GF diets No L-Val'!D$266),
IF(AND($G$5="Yes",$G$6="No",$G$7="No"),
(('GF diets No L-Val + Fat'!AF$351-'GF diets No L-Val + Fat'!AF5)*($G$8*$G$9/100)-'GF diets No L-Val + Fat'!AF$266)-
(('GF diets No L-Val + Fat'!D351-'GF diets No L-Val + Fat'!D5)*($G$8*$G$9/100)-'GF diets No L-Val + Fat'!D$266),
IF(AND($G$5="No",$G$6="No",$G$7="Yes"),
(('GF diets L-Val'!AF$351-'GF diets L-Val'!AF5)*($G$8*$G$9/100)-'GF diets L-Val'!AF$266)-
(('GF diets L-Val'!D351-'GF diets L-Val'!D5)*($G$8*$G$9/100)-'GF diets L-Val'!D$266),
IF(AND($G$5="Yes",$G$6="No",$G$7="Yes"),
(('GF diets L-Val + Fat'!AF$351-'GF diets L-Val + Fat'!AF5)*($G$8*$G$9/100)-'GF diets L-Val + Fat'!AF$266)-
(('GF diets L-Val + Fat'!D$351-'GF diets L-Val + Fat'!D5)*($G$8*$G$9/100)-'GF diets L-Val + Fat'!D$266),
IF(AND($G$5="No",$G$6="Yes",$G$7="No"),
(('GF diets No L-Val + WD'!AF$351-'GF diets No L-Val + WD'!AF5)*($G$8*$G$9/100)-'GF diets No L-Val + WD'!AF$266)-
(('GF diets No L-Val + WD'!D$351-'GF diets No L-Val + WD'!D5)*($G$8*$G$9/100)-'GF diets No L-Val + WD'!D$266),
IF(AND($G$5="Yes",$G$6="Yes",$G$7="No"),
(('GF diets No L-Val + Fat + WD'!AF$351-'GF diets No L-Val + Fat + WD'!AF5)*($G$8*$G$9/100)-'GF diets No L-Val + Fat + WD'!AF$266)-
(('GF diets No L-Val + Fat + WD'!D$351-'GF diets No L-Val + Fat + WD'!D5)*($G$8*$G$9/100)-'GF diets No L-Val + Fat + WD'!D$266),
IF(AND($G$5="No",$G$6="Yes",$G$7="Yes"),
(('GF diets L-Val + WD'!AF$351-'GF diets L-Val + WD'!AF5)*($G$8*$G$9/100)-'GF diets L-Val + WD'!AF$266)-
(('GF diets L-Val + WD'!D$351-'GF diets L-Val + WD'!D5)*($G$8*$G$9/100)-'GF diets L-Val + WD'!D$266),
IF(AND($G$5="Yes",$G$6="Yes",$G$7="Yes"),
(('GF diets L-Val + Fat + WD'!AF$351-'GF diets L-Val + Fat + WD'!AF5)*($G$8*$G$9/100)-'GF diets L-Val + Fat + WD'!AF$266)-
(('GF diets L-Val + Fat + WD'!D$351-'GF diets L-Val + Fat + WD'!D5)*($G$8*$G$9/100)-'GF diets L-Val + Fat + WD'!D$266)
))))))))</f>
        <v>-0.43478295348389651</v>
      </c>
      <c r="F63" s="468">
        <f>IF(AND($G$5="No",$G$6="No",$G$7="No"),
(('GF diets No L-Val'!AG351-'GF diets No L-Val'!AG5)*($G$8*$G$9/100)-'GF diets No L-Val'!AG$266)-
(('GF diets No L-Val'!E351-'GF diets No L-Val'!E5)*($G$8*$G$9/100)-'GF diets No L-Val'!E$266),
IF(AND($G$5="Yes",$G$6="No",$G$7="No"),
(('GF diets No L-Val + Fat'!AG$351-'GF diets No L-Val + Fat'!AG5)*($G$8*$G$9/100)-'GF diets No L-Val + Fat'!AG$266)-
(('GF diets No L-Val + Fat'!E351-'GF diets No L-Val + Fat'!E5)*($G$8*$G$9/100)-'GF diets No L-Val + Fat'!E$266),
IF(AND($G$5="No",$G$6="No",$G$7="Yes"),
(('GF diets L-Val'!AG$351-'GF diets L-Val'!AG5)*($G$8*$G$9/100)-'GF diets L-Val'!AG$266)-
(('GF diets L-Val'!E351-'GF diets L-Val'!E5)*($G$8*$G$9/100)-'GF diets L-Val'!E$266),
IF(AND($G$5="Yes",$G$6="No",$G$7="Yes"),
(('GF diets L-Val + Fat'!AG$351-'GF diets L-Val + Fat'!AG5)*($G$8*$G$9/100)-'GF diets L-Val + Fat'!AG$266)-
(('GF diets L-Val + Fat'!E$351-'GF diets L-Val + Fat'!E5)*($G$8*$G$9/100)-'GF diets L-Val + Fat'!E$266),
IF(AND($G$5="No",$G$6="Yes",$G$7="No"),
(('GF diets No L-Val + WD'!AG$351-'GF diets No L-Val + WD'!AG5)*($G$8*$G$9/100)-'GF diets No L-Val + WD'!AG$266)-
(('GF diets No L-Val + WD'!E$351-'GF diets No L-Val + WD'!E5)*($G$8*$G$9/100)-'GF diets No L-Val + WD'!E$266),
IF(AND($G$5="Yes",$G$6="Yes",$G$7="No"),
(('GF diets No L-Val + Fat + WD'!AG$351-'GF diets No L-Val + Fat + WD'!AG5)*($G$8*$G$9/100)-'GF diets No L-Val + Fat + WD'!AG$266)-
(('GF diets No L-Val + Fat + WD'!E$351-'GF diets No L-Val + Fat + WD'!E5)*($G$8*$G$9/100)-'GF diets No L-Val + Fat + WD'!E$266),
IF(AND($G$5="No",$G$6="Yes",$G$7="Yes"),
(('GF diets L-Val + WD'!AG$351-'GF diets L-Val + WD'!AG5)*($G$8*$G$9/100)-'GF diets L-Val + WD'!AG$266)-
(('GF diets L-Val + WD'!E$351-'GF diets L-Val + WD'!E5)*($G$8*$G$9/100)-'GF diets L-Val + WD'!E$266),
IF(AND($G$5="Yes",$G$6="Yes",$G$7="Yes"),
(('GF diets L-Val + Fat + WD'!AG$351-'GF diets L-Val + Fat + WD'!AG5)*($G$8*$G$9/100)-'GF diets L-Val + Fat + WD'!AG$266)-
(('GF diets L-Val + Fat + WD'!E$351-'GF diets L-Val + Fat + WD'!E5)*($G$8*$G$9/100)-'GF diets L-Val + Fat + WD'!E$266)
))))))))</f>
        <v>-0.53163311514072831</v>
      </c>
      <c r="G63" s="468">
        <f>IF(AND($G$5="No",$G$6="No",$G$7="No"),
(('GF diets No L-Val'!AH351-'GF diets No L-Val'!AH5)*($G$8*$G$9/100)-'GF diets No L-Val'!AH$266)-
(('GF diets No L-Val'!F351-'GF diets No L-Val'!F5)*($G$8*$G$9/100)-'GF diets No L-Val'!F$266),
IF(AND($G$5="Yes",$G$6="No",$G$7="No"),
(('GF diets No L-Val + Fat'!AH$351-'GF diets No L-Val + Fat'!AH5)*($G$8*$G$9/100)-'GF diets No L-Val + Fat'!AH$266)-
(('GF diets No L-Val + Fat'!F351-'GF diets No L-Val + Fat'!F5)*($G$8*$G$9/100)-'GF diets No L-Val + Fat'!F$266),
IF(AND($G$5="No",$G$6="No",$G$7="Yes"),
(('GF diets L-Val'!AH$351-'GF diets L-Val'!AH5)*($G$8*$G$9/100)-'GF diets L-Val'!AH$266)-
(('GF diets L-Val'!F351-'GF diets L-Val'!F5)*($G$8*$G$9/100)-'GF diets L-Val'!F$266),
IF(AND($G$5="Yes",$G$6="No",$G$7="Yes"),
(('GF diets L-Val + Fat'!AH$351-'GF diets L-Val + Fat'!AH5)*($G$8*$G$9/100)-'GF diets L-Val + Fat'!AH$266)-
(('GF diets L-Val + Fat'!F$351-'GF diets L-Val + Fat'!F5)*($G$8*$G$9/100)-'GF diets L-Val + Fat'!F$266),
IF(AND($G$5="No",$G$6="Yes",$G$7="No"),
(('GF diets No L-Val + WD'!AH$351-'GF diets No L-Val + WD'!AH5)*($G$8*$G$9/100)-'GF diets No L-Val + WD'!AH$266)-
(('GF diets No L-Val + WD'!F$351-'GF diets No L-Val + WD'!F5)*($G$8*$G$9/100)-'GF diets No L-Val + WD'!F$266),
IF(AND($G$5="Yes",$G$6="Yes",$G$7="No"),
(('GF diets No L-Val + Fat + WD'!AH$351-'GF diets No L-Val + Fat + WD'!AH5)*($G$8*$G$9/100)-'GF diets No L-Val + Fat + WD'!AH$266)-
(('GF diets No L-Val + Fat + WD'!F$351-'GF diets No L-Val + Fat + WD'!F5)*($G$8*$G$9/100)-'GF diets No L-Val + Fat + WD'!F$266),
IF(AND($G$5="No",$G$6="Yes",$G$7="Yes"),
(('GF diets L-Val + WD'!AH$351-'GF diets L-Val + WD'!AH5)*($G$8*$G$9/100)-'GF diets L-Val + WD'!AH$266)-
(('GF diets L-Val + WD'!F$351-'GF diets L-Val + WD'!F5)*($G$8*$G$9/100)-'GF diets L-Val + WD'!F$266),
IF(AND($G$5="Yes",$G$6="Yes",$G$7="Yes"),
(('GF diets L-Val + Fat + WD'!AH$351-'GF diets L-Val + Fat + WD'!AH5)*($G$8*$G$9/100)-'GF diets L-Val + Fat + WD'!AH$266)-
(('GF diets L-Val + Fat + WD'!F$351-'GF diets L-Val + Fat + WD'!F5)*($G$8*$G$9/100)-'GF diets L-Val + Fat + WD'!F$266)
))))))))</f>
        <v>-0.7127951557211567</v>
      </c>
      <c r="H63" s="468">
        <f>IF(AND($G$5="No",$G$6="No",$G$7="No"),
(('GF diets No L-Val'!AI351-'GF diets No L-Val'!AI5)*($G$8*$G$9/100)-'GF diets No L-Val'!AI$266)-
(('GF diets No L-Val'!G351-'GF diets No L-Val'!G5)*($G$8*$G$9/100)-'GF diets No L-Val'!G$266),
IF(AND($G$5="Yes",$G$6="No",$G$7="No"),
(('GF diets No L-Val + Fat'!AI$351-'GF diets No L-Val + Fat'!AI5)*($G$8*$G$9/100)-'GF diets No L-Val + Fat'!AI$266)-
(('GF diets No L-Val + Fat'!G351-'GF diets No L-Val + Fat'!G5)*($G$8*$G$9/100)-'GF diets No L-Val + Fat'!G$266),
IF(AND($G$5="No",$G$6="No",$G$7="Yes"),
(('GF diets L-Val'!AI$351-'GF diets L-Val'!AI5)*($G$8*$G$9/100)-'GF diets L-Val'!AI$266)-
(('GF diets L-Val'!G351-'GF diets L-Val'!G5)*($G$8*$G$9/100)-'GF diets L-Val'!G$266),
IF(AND($G$5="Yes",$G$6="No",$G$7="Yes"),
(('GF diets L-Val + Fat'!AI$351-'GF diets L-Val + Fat'!AI5)*($G$8*$G$9/100)-'GF diets L-Val + Fat'!AI$266)-
(('GF diets L-Val + Fat'!G$351-'GF diets L-Val + Fat'!G5)*($G$8*$G$9/100)-'GF diets L-Val + Fat'!G$266),
IF(AND($G$5="No",$G$6="Yes",$G$7="No"),
(('GF diets No L-Val + WD'!AI$351-'GF diets No L-Val + WD'!AI5)*($G$8*$G$9/100)-'GF diets No L-Val + WD'!AI$266)-
(('GF diets No L-Val + WD'!G$351-'GF diets No L-Val + WD'!G5)*($G$8*$G$9/100)-'GF diets No L-Val + WD'!G$266),
IF(AND($G$5="Yes",$G$6="Yes",$G$7="No"),
(('GF diets No L-Val + Fat + WD'!AI$351-'GF diets No L-Val + Fat + WD'!AI5)*($G$8*$G$9/100)-'GF diets No L-Val + Fat + WD'!AI$266)-
(('GF diets No L-Val + Fat + WD'!G$351-'GF diets No L-Val + Fat + WD'!G5)*($G$8*$G$9/100)-'GF diets No L-Val + Fat + WD'!G$266),
IF(AND($G$5="No",$G$6="Yes",$G$7="Yes"),
(('GF diets L-Val + WD'!AI$351-'GF diets L-Val + WD'!AI5)*($G$8*$G$9/100)-'GF diets L-Val + WD'!AI$266)-
(('GF diets L-Val + WD'!G$351-'GF diets L-Val + WD'!G5)*($G$8*$G$9/100)-'GF diets L-Val + WD'!G$266),
IF(AND($G$5="Yes",$G$6="Yes",$G$7="Yes"),
(('GF diets L-Val + Fat + WD'!AI$351-'GF diets L-Val + Fat + WD'!AI5)*($G$8*$G$9/100)-'GF diets L-Val + Fat + WD'!AI$266)-
(('GF diets L-Val + Fat + WD'!G$351-'GF diets L-Val + Fat + WD'!G5)*($G$8*$G$9/100)-'GF diets L-Val + Fat + WD'!G$266)
))))))))</f>
        <v>-1.0806856262759457</v>
      </c>
      <c r="I63" s="468">
        <f t="shared" si="2"/>
        <v>-3.4724347993092408</v>
      </c>
      <c r="J63" s="468">
        <f>I63-I62</f>
        <v>-0.84953565168834722</v>
      </c>
      <c r="K63" s="450"/>
      <c r="L63" s="388"/>
      <c r="M63" s="388"/>
      <c r="N63" s="388"/>
      <c r="O63" s="388"/>
      <c r="P63" s="388"/>
      <c r="Q63" s="388"/>
      <c r="S63" s="454"/>
      <c r="T63" s="454"/>
      <c r="U63" s="454"/>
      <c r="V63" s="454"/>
      <c r="W63" s="391"/>
      <c r="X63" s="391"/>
      <c r="Y63" s="391"/>
      <c r="Z63" s="391"/>
      <c r="AA63" s="391"/>
      <c r="AB63" s="391"/>
      <c r="AC63" s="391"/>
      <c r="AD63" s="391"/>
    </row>
    <row r="64" spans="1:30" ht="15.6" x14ac:dyDescent="0.3">
      <c r="A64" s="290">
        <v>0.25</v>
      </c>
      <c r="B64" s="387" t="s">
        <v>491</v>
      </c>
      <c r="C64" s="468">
        <f>IF(AND($G$5="No",$G$6="No",$G$7="No"),
(('GF diets No L-Val'!AK351-'GF diets No L-Val'!AK5)*($G$8*$G$9/100)-'GF diets No L-Val'!AK$266)-
(('GF diets No L-Val'!B351-'GF diets No L-Val'!B5)*($G$8*$G$9/100)-'GF diets No L-Val'!B$266),
IF(AND($G$5="Yes",$G$6="No",$G$7="No"),
(('GF diets No L-Val + Fat'!AK$351-'GF diets No L-Val + Fat'!AK5)*($G$8*$G$9/100)-'GF diets No L-Val + Fat'!AK$266)-
(('GF diets No L-Val + Fat'!B351-'GF diets No L-Val + Fat'!B5)*($G$8*$G$9/100)-'GF diets No L-Val + Fat'!B$266),
IF(AND($G$5="No",$G$6="No",$G$7="Yes"),
(('GF diets L-Val'!AK$351-'GF diets L-Val'!AK5)*($G$8*$G$9/100)-'GF diets L-Val'!AK$266)-
(('GF diets L-Val'!B351-'GF diets L-Val'!B5)*($G$8*$G$9/100)-'GF diets L-Val'!B$266),
IF(AND($G$5="Yes",$G$6="No",$G$7="Yes"),
(('GF diets L-Val + Fat'!AK$351-'GF diets L-Val + Fat'!AK5)*($G$8*$G$9/100)-'GF diets L-Val + Fat'!AK$266)-
(('GF diets L-Val + Fat'!B$351-'GF diets L-Val + Fat'!B5)*($G$8*$G$9/100)-'GF diets L-Val + Fat'!B$266),
IF(AND($G$5="No",$G$6="Yes",$G$7="No"),
(('GF diets No L-Val + WD'!AK$351-'GF diets No L-Val + WD'!AK5)*($G$8*$G$9/100)-'GF diets No L-Val + WD'!AK$266)-
(('GF diets No L-Val + WD'!B$351-'GF diets No L-Val + WD'!B5)*($G$8*$G$9/100)-'GF diets No L-Val + WD'!B$266),
IF(AND($G$5="Yes",$G$6="Yes",$G$7="No"),
(('GF diets No L-Val + Fat + WD'!AK$351-'GF diets No L-Val + Fat + WD'!AK5)*($G$8*$G$9/100)-'GF diets No L-Val + Fat + WD'!AK$266)-
(('GF diets No L-Val + Fat + WD'!B$351-'GF diets No L-Val + Fat + WD'!B5)*($G$8*$G$9/100)-'GF diets No L-Val + Fat + WD'!B$266),
IF(AND($G$5="No",$G$6="Yes",$G$7="Yes"),
(('GF diets L-Val + WD'!AK$351-'GF diets L-Val + WD'!AK5)*($G$8*$G$9/100)-'GF diets L-Val + WD'!AK$266)-
(('GF diets L-Val + WD'!B$351-'GF diets L-Val + WD'!B5)*($G$8*$G$9/100)-'GF diets L-Val + WD'!B$266),
IF(AND($G$5="Yes",$G$6="Yes",$G$7="Yes"),
(('GF diets L-Val + Fat + WD'!AK$351-'GF diets L-Val + Fat + WD'!AK5)*($G$8*$G$9/100)-'GF diets L-Val + Fat + WD'!AK$266)-
(('GF diets L-Val + Fat + WD'!B$351-'GF diets L-Val + Fat + WD'!B5)*($G$8*$G$9/100)-'GF diets L-Val + Fat + WD'!B$266)
))))))))</f>
        <v>-0.4340894240775679</v>
      </c>
      <c r="D64" s="468">
        <f>IF(AND($G$5="No",$G$6="No",$G$7="No"),
(('GF diets No L-Val'!AL351-'GF diets No L-Val'!AL5)*($G$8*$G$9/100)-'GF diets No L-Val'!AL$266)-
(('GF diets No L-Val'!C351-'GF diets No L-Val'!C5)*($G$8*$G$9/100)-'GF diets No L-Val'!C$266),
IF(AND($G$5="Yes",$G$6="No",$G$7="No"),
(('GF diets No L-Val + Fat'!AL$351-'GF diets No L-Val + Fat'!AL5)*($G$8*$G$9/100)-'GF diets No L-Val + Fat'!AL$266)-
(('GF diets No L-Val + Fat'!C351-'GF diets No L-Val + Fat'!C5)*($G$8*$G$9/100)-'GF diets No L-Val + Fat'!C$266),
IF(AND($G$5="No",$G$6="No",$G$7="Yes"),
(('GF diets L-Val'!AL$351-'GF diets L-Val'!AL5)*($G$8*$G$9/100)-'GF diets L-Val'!AL$266)-
(('GF diets L-Val'!C351-'GF diets L-Val'!C5)*($G$8*$G$9/100)-'GF diets L-Val'!C$266),
IF(AND($G$5="Yes",$G$6="No",$G$7="Yes"),
(('GF diets L-Val + Fat'!AL$351-'GF diets L-Val + Fat'!AL5)*($G$8*$G$9/100)-'GF diets L-Val + Fat'!AL$266)-
(('GF diets L-Val + Fat'!C$351-'GF diets L-Val + Fat'!C5)*($G$8*$G$9/100)-'GF diets L-Val + Fat'!C$266),
IF(AND($G$5="No",$G$6="Yes",$G$7="No"),
(('GF diets No L-Val + WD'!AL$351-'GF diets No L-Val + WD'!AL5)*($G$8*$G$9/100)-'GF diets No L-Val + WD'!AL$266)-
(('GF diets No L-Val + WD'!C$351-'GF diets No L-Val + WD'!C5)*($G$8*$G$9/100)-'GF diets No L-Val + WD'!C$266),
IF(AND($G$5="Yes",$G$6="Yes",$G$7="No"),
(('GF diets No L-Val + Fat + WD'!AL$351-'GF diets No L-Val + Fat + WD'!AL5)*($G$8*$G$9/100)-'GF diets No L-Val + Fat + WD'!AL$266)-
(('GF diets No L-Val + Fat + WD'!C$351-'GF diets No L-Val + Fat + WD'!C5)*($G$8*$G$9/100)-'GF diets No L-Val + Fat + WD'!C$266),
IF(AND($G$5="No",$G$6="Yes",$G$7="Yes"),
(('GF diets L-Val + WD'!AL$351-'GF diets L-Val + WD'!AL5)*($G$8*$G$9/100)-'GF diets L-Val + WD'!AL$266)-
(('GF diets L-Val + WD'!C$351-'GF diets L-Val + WD'!C5)*($G$8*$G$9/100)-'GF diets L-Val + WD'!C$266),
IF(AND($G$5="Yes",$G$6="Yes",$G$7="Yes"),
(('GF diets L-Val + Fat + WD'!AL$351-'GF diets L-Val + Fat + WD'!AL5)*($G$8*$G$9/100)-'GF diets L-Val + Fat + WD'!AL$266)-
(('GF diets L-Val + Fat + WD'!C$351-'GF diets L-Val + Fat + WD'!C5)*($G$8*$G$9/100)-'GF diets L-Val + Fat + WD'!C$266)
))))))))</f>
        <v>-0.41183522848536036</v>
      </c>
      <c r="E64" s="468">
        <f>IF(AND($G$5="No",$G$6="No",$G$7="No"),
(('GF diets No L-Val'!AM351-'GF diets No L-Val'!AM5)*($G$8*$G$9/100)-'GF diets No L-Val'!AM$266)-
(('GF diets No L-Val'!D351-'GF diets No L-Val'!D5)*($G$8*$G$9/100)-'GF diets No L-Val'!D$266),
IF(AND($G$5="Yes",$G$6="No",$G$7="No"),
(('GF diets No L-Val + Fat'!AM$351-'GF diets No L-Val + Fat'!AM5)*($G$8*$G$9/100)-'GF diets No L-Val + Fat'!AM$266)-
(('GF diets No L-Val + Fat'!D351-'GF diets No L-Val + Fat'!D5)*($G$8*$G$9/100)-'GF diets No L-Val + Fat'!D$266),
IF(AND($G$5="No",$G$6="No",$G$7="Yes"),
(('GF diets L-Val'!AM$351-'GF diets L-Val'!AM5)*($G$8*$G$9/100)-'GF diets L-Val'!AM$266)-
(('GF diets L-Val'!D351-'GF diets L-Val'!D5)*($G$8*$G$9/100)-'GF diets L-Val'!D$266),
IF(AND($G$5="Yes",$G$6="No",$G$7="Yes"),
(('GF diets L-Val + Fat'!AM$351-'GF diets L-Val + Fat'!AM5)*($G$8*$G$9/100)-'GF diets L-Val + Fat'!AM$266)-
(('GF diets L-Val + Fat'!D$351-'GF diets L-Val + Fat'!D5)*($G$8*$G$9/100)-'GF diets L-Val + Fat'!D$266),
IF(AND($G$5="No",$G$6="Yes",$G$7="No"),
(('GF diets No L-Val + WD'!AM$351-'GF diets No L-Val + WD'!AM5)*($G$8*$G$9/100)-'GF diets No L-Val + WD'!AM$266)-
(('GF diets No L-Val + WD'!D$351-'GF diets No L-Val + WD'!D5)*($G$8*$G$9/100)-'GF diets No L-Val + WD'!D$266),
IF(AND($G$5="Yes",$G$6="Yes",$G$7="No"),
(('GF diets No L-Val + Fat + WD'!AM$351-'GF diets No L-Val + Fat + WD'!AM5)*($G$8*$G$9/100)-'GF diets No L-Val + Fat + WD'!AM$266)-
(('GF diets No L-Val + Fat + WD'!D$351-'GF diets No L-Val + Fat + WD'!D5)*($G$8*$G$9/100)-'GF diets No L-Val + Fat + WD'!D$266),
IF(AND($G$5="No",$G$6="Yes",$G$7="Yes"),
(('GF diets L-Val + WD'!AM$351-'GF diets L-Val + WD'!AM5)*($G$8*$G$9/100)-'GF diets L-Val + WD'!AM$266)-
(('GF diets L-Val + WD'!D$351-'GF diets L-Val + WD'!D5)*($G$8*$G$9/100)-'GF diets L-Val + WD'!D$266),
IF(AND($G$5="Yes",$G$6="Yes",$G$7="Yes"),
(('GF diets L-Val + Fat + WD'!AM$351-'GF diets L-Val + Fat + WD'!AM5)*($G$8*$G$9/100)-'GF diets L-Val + Fat + WD'!AM$266)-
(('GF diets L-Val + Fat + WD'!D$351-'GF diets L-Val + Fat + WD'!D5)*($G$8*$G$9/100)-'GF diets L-Val + Fat + WD'!D$266)
))))))))</f>
        <v>-0.53242722831715739</v>
      </c>
      <c r="F64" s="468">
        <f>IF(AND($G$5="No",$G$6="No",$G$7="No"),
(('GF diets No L-Val'!AN351-'GF diets No L-Val'!AN5)*($G$8*$G$9/100)-'GF diets No L-Val'!AN$266)-
(('GF diets No L-Val'!E351-'GF diets No L-Val'!E5)*($G$8*$G$9/100)-'GF diets No L-Val'!E$266),
IF(AND($G$5="Yes",$G$6="No",$G$7="No"),
(('GF diets No L-Val + Fat'!AN$351-'GF diets No L-Val + Fat'!AN5)*($G$8*$G$9/100)-'GF diets No L-Val + Fat'!AN$266)-
(('GF diets No L-Val + Fat'!E351-'GF diets No L-Val + Fat'!E5)*($G$8*$G$9/100)-'GF diets No L-Val + Fat'!E$266),
IF(AND($G$5="No",$G$6="No",$G$7="Yes"),
(('GF diets L-Val'!AN$351-'GF diets L-Val'!AN5)*($G$8*$G$9/100)-'GF diets L-Val'!AN$266)-
(('GF diets L-Val'!E351-'GF diets L-Val'!E5)*($G$8*$G$9/100)-'GF diets L-Val'!E$266),
IF(AND($G$5="Yes",$G$6="No",$G$7="Yes"),
(('GF diets L-Val + Fat'!AN$351-'GF diets L-Val + Fat'!AN5)*($G$8*$G$9/100)-'GF diets L-Val + Fat'!AN$266)-
(('GF diets L-Val + Fat'!E$351-'GF diets L-Val + Fat'!E5)*($G$8*$G$9/100)-'GF diets L-Val + Fat'!E$266),
IF(AND($G$5="No",$G$6="Yes",$G$7="No"),
(('GF diets No L-Val + WD'!AN$351-'GF diets No L-Val + WD'!AN5)*($G$8*$G$9/100)-'GF diets No L-Val + WD'!AN$266)-
(('GF diets No L-Val + WD'!E$351-'GF diets No L-Val + WD'!E5)*($G$8*$G$9/100)-'GF diets No L-Val + WD'!E$266),
IF(AND($G$5="Yes",$G$6="Yes",$G$7="No"),
(('GF diets No L-Val + Fat + WD'!AN$351-'GF diets No L-Val + Fat + WD'!AN5)*($G$8*$G$9/100)-'GF diets No L-Val + Fat + WD'!AN$266)-
(('GF diets No L-Val + Fat + WD'!E$351-'GF diets No L-Val + Fat + WD'!E5)*($G$8*$G$9/100)-'GF diets No L-Val + Fat + WD'!E$266),
IF(AND($G$5="No",$G$6="Yes",$G$7="Yes"),
(('GF diets L-Val + WD'!AN$351-'GF diets L-Val + WD'!AN5)*($G$8*$G$9/100)-'GF diets L-Val + WD'!AN$266)-
(('GF diets L-Val + WD'!E$351-'GF diets L-Val + WD'!E5)*($G$8*$G$9/100)-'GF diets L-Val + WD'!E$266),
IF(AND($G$5="Yes",$G$6="Yes",$G$7="Yes"),
(('GF diets L-Val + Fat + WD'!AN$351-'GF diets L-Val + Fat + WD'!AN5)*($G$8*$G$9/100)-'GF diets L-Val + Fat + WD'!AN$266)-
(('GF diets L-Val + Fat + WD'!E$351-'GF diets L-Val + Fat + WD'!E5)*($G$8*$G$9/100)-'GF diets L-Val + Fat + WD'!E$266)
))))))))</f>
        <v>-0.66919264719696336</v>
      </c>
      <c r="G64" s="468">
        <f>IF(AND($G$5="No",$G$6="No",$G$7="No"),
(('GF diets No L-Val'!AO351-'GF diets No L-Val'!AO5)*($G$8*$G$9/100)-'GF diets No L-Val'!AO$266)-
(('GF diets No L-Val'!F351-'GF diets No L-Val'!F5)*($G$8*$G$9/100)-'GF diets No L-Val'!F$266),
IF(AND($G$5="Yes",$G$6="No",$G$7="No"),
(('GF diets No L-Val + Fat'!AO$351-'GF diets No L-Val + Fat'!AO5)*($G$8*$G$9/100)-'GF diets No L-Val + Fat'!AO$266)-
(('GF diets No L-Val + Fat'!F351-'GF diets No L-Val + Fat'!F5)*($G$8*$G$9/100)-'GF diets No L-Val + Fat'!F$266),
IF(AND($G$5="No",$G$6="No",$G$7="Yes"),
(('GF diets L-Val'!AO$351-'GF diets L-Val'!AO5)*($G$8*$G$9/100)-'GF diets L-Val'!AO$266)-
(('GF diets L-Val'!F351-'GF diets L-Val'!F5)*($G$8*$G$9/100)-'GF diets L-Val'!F$266),
IF(AND($G$5="Yes",$G$6="No",$G$7="Yes"),
(('GF diets L-Val + Fat'!AO$351-'GF diets L-Val + Fat'!AO5)*($G$8*$G$9/100)-'GF diets L-Val + Fat'!AO$266)-
(('GF diets L-Val + Fat'!F$351-'GF diets L-Val + Fat'!F5)*($G$8*$G$9/100)-'GF diets L-Val + Fat'!F$266),
IF(AND($G$5="No",$G$6="Yes",$G$7="No"),
(('GF diets No L-Val + WD'!AO$351-'GF diets No L-Val + WD'!AO5)*($G$8*$G$9/100)-'GF diets No L-Val + WD'!AO$266)-
(('GF diets No L-Val + WD'!F$351-'GF diets No L-Val + WD'!F5)*($G$8*$G$9/100)-'GF diets No L-Val + WD'!F$266),
IF(AND($G$5="Yes",$G$6="Yes",$G$7="No"),
(('GF diets No L-Val + Fat + WD'!AO$351-'GF diets No L-Val + Fat + WD'!AO5)*($G$8*$G$9/100)-'GF diets No L-Val + Fat + WD'!AO$266)-
(('GF diets No L-Val + Fat + WD'!F$351-'GF diets No L-Val + Fat + WD'!F5)*($G$8*$G$9/100)-'GF diets No L-Val + Fat + WD'!F$266),
IF(AND($G$5="No",$G$6="Yes",$G$7="Yes"),
(('GF diets L-Val + WD'!AO$351-'GF diets L-Val + WD'!AO5)*($G$8*$G$9/100)-'GF diets L-Val + WD'!AO$266)-
(('GF diets L-Val + WD'!F$351-'GF diets L-Val + WD'!F5)*($G$8*$G$9/100)-'GF diets L-Val + WD'!F$266),
IF(AND($G$5="Yes",$G$6="Yes",$G$7="Yes"),
(('GF diets L-Val + Fat + WD'!AO$351-'GF diets L-Val + Fat + WD'!AO5)*($G$8*$G$9/100)-'GF diets L-Val + Fat + WD'!AO$266)-
(('GF diets L-Val + Fat + WD'!F$351-'GF diets L-Val + Fat + WD'!F5)*($G$8*$G$9/100)-'GF diets L-Val + Fat + WD'!F$266)
))))))))</f>
        <v>-0.90733107437316995</v>
      </c>
      <c r="H64" s="468">
        <f>IF(AND($G$5="No",$G$6="No",$G$7="No"),
(('GF diets No L-Val'!AP351-'GF diets No L-Val'!AP5)*($G$8*$G$9/100)-'GF diets No L-Val'!AP$266)-
(('GF diets No L-Val'!G351-'GF diets No L-Val'!G5)*($G$8*$G$9/100)-'GF diets No L-Val'!G$266),
IF(AND($G$5="Yes",$G$6="No",$G$7="No"),
(('GF diets No L-Val + Fat'!AP$351-'GF diets No L-Val + Fat'!AP5)*($G$8*$G$9/100)-'GF diets No L-Val + Fat'!AP$266)-
(('GF diets No L-Val + Fat'!G351-'GF diets No L-Val + Fat'!G5)*($G$8*$G$9/100)-'GF diets No L-Val + Fat'!G$266),
IF(AND($G$5="No",$G$6="No",$G$7="Yes"),
(('GF diets L-Val'!AP$351-'GF diets L-Val'!AP5)*($G$8*$G$9/100)-'GF diets L-Val'!AP$266)-
(('GF diets L-Val'!G351-'GF diets L-Val'!G5)*($G$8*$G$9/100)-'GF diets L-Val'!G$266),
IF(AND($G$5="Yes",$G$6="No",$G$7="Yes"),
(('GF diets L-Val + Fat'!AP$351-'GF diets L-Val + Fat'!AP5)*($G$8*$G$9/100)-'GF diets L-Val + Fat'!AP$266)-
(('GF diets L-Val + Fat'!G$351-'GF diets L-Val + Fat'!G5)*($G$8*$G$9/100)-'GF diets L-Val + Fat'!G$266),
IF(AND($G$5="No",$G$6="Yes",$G$7="No"),
(('GF diets No L-Val + WD'!AP$351-'GF diets No L-Val + WD'!AP5)*($G$8*$G$9/100)-'GF diets No L-Val + WD'!AP$266)-
(('GF diets No L-Val + WD'!G$351-'GF diets No L-Val + WD'!G5)*($G$8*$G$9/100)-'GF diets No L-Val + WD'!G$266),
IF(AND($G$5="Yes",$G$6="Yes",$G$7="No"),
(('GF diets No L-Val + Fat + WD'!AP$351-'GF diets No L-Val + Fat + WD'!AP5)*($G$8*$G$9/100)-'GF diets No L-Val + Fat + WD'!AP$266)-
(('GF diets No L-Val + Fat + WD'!G$351-'GF diets No L-Val + Fat + WD'!G5)*($G$8*$G$9/100)-'GF diets No L-Val + Fat + WD'!G$266),
IF(AND($G$5="No",$G$6="Yes",$G$7="Yes"),
(('GF diets L-Val + WD'!AP$351-'GF diets L-Val + WD'!AP5)*($G$8*$G$9/100)-'GF diets L-Val + WD'!AP$266)-
(('GF diets L-Val + WD'!G$351-'GF diets L-Val + WD'!G5)*($G$8*$G$9/100)-'GF diets L-Val + WD'!G$266),
IF(AND($G$5="Yes",$G$6="Yes",$G$7="Yes"),
(('GF diets L-Val + Fat + WD'!AP$351-'GF diets L-Val + Fat + WD'!AP5)*($G$8*$G$9/100)-'GF diets L-Val + Fat + WD'!AP$266)-
(('GF diets L-Val + Fat + WD'!G$351-'GF diets L-Val + Fat + WD'!G5)*($G$8*$G$9/100)-'GF diets L-Val + Fat + WD'!G$266)
))))))))</f>
        <v>-1.3673881113549431</v>
      </c>
      <c r="I64" s="468">
        <f t="shared" si="2"/>
        <v>-4.3222637138051621</v>
      </c>
      <c r="J64" s="468">
        <f>I64-I63</f>
        <v>-0.84982891449592124</v>
      </c>
      <c r="K64" s="450"/>
      <c r="L64" s="388"/>
      <c r="M64" s="388"/>
      <c r="N64" s="388"/>
      <c r="O64" s="388"/>
      <c r="P64" s="388"/>
      <c r="Q64" s="388"/>
      <c r="S64" s="454"/>
      <c r="T64" s="454"/>
      <c r="U64" s="454"/>
      <c r="V64" s="454"/>
      <c r="W64" s="391"/>
      <c r="X64" s="391"/>
      <c r="Y64" s="391"/>
      <c r="Z64" s="391"/>
      <c r="AA64" s="391"/>
      <c r="AB64" s="391"/>
      <c r="AC64" s="391"/>
      <c r="AD64" s="391"/>
    </row>
    <row r="65" spans="1:30" ht="15.6" x14ac:dyDescent="0.3">
      <c r="A65" s="290">
        <v>0.3</v>
      </c>
      <c r="B65" s="387" t="s">
        <v>492</v>
      </c>
      <c r="C65" s="468">
        <f>IF(AND($G$5="No",$G$6="No",$G$7="No"),
(('GF diets No L-Val'!AR351-'GF diets No L-Val'!AR5)*($G$8*$G$9/100)-'GF diets No L-Val'!AR$266)-
(('GF diets No L-Val'!B351-'GF diets No L-Val'!B5)*($G$8*$G$9/100)-'GF diets No L-Val'!B$266),
IF(AND($G$5="Yes",$G$6="No",$G$7="No"),
(('GF diets No L-Val + Fat'!AR$351-'GF diets No L-Val + Fat'!AR5)*($G$8*$G$9/100)-'GF diets No L-Val + Fat'!AR$266)-
(('GF diets No L-Val + Fat'!B351-'GF diets No L-Val + Fat'!B5)*($G$8*$G$9/100)-'GF diets No L-Val + Fat'!B$266),
IF(AND($G$5="No",$G$6="No",$G$7="Yes"),
(('GF diets L-Val'!AR$351-'GF diets L-Val'!AR5)*($G$8*$G$9/100)-'GF diets L-Val'!AR$266)-
(('GF diets L-Val'!B351-'GF diets L-Val'!B5)*($G$8*$G$9/100)-'GF diets L-Val'!B$266),
IF(AND($G$5="Yes",$G$6="No",$G$7="Yes"),
(('GF diets L-Val + Fat'!AR$351-'GF diets L-Val + Fat'!AR5)*($G$8*$G$9/100)-'GF diets L-Val + Fat'!AR$266)-
(('GF diets L-Val + Fat'!B$351-'GF diets L-Val + Fat'!B5)*($G$8*$G$9/100)-'GF diets L-Val + Fat'!B$266),
IF(AND($G$5="No",$G$6="Yes",$G$7="No"),
(('GF diets No L-Val + WD'!AR$351-'GF diets No L-Val + WD'!AR5)*($G$8*$G$9/100)-'GF diets No L-Val + WD'!AR$266)-
(('GF diets No L-Val + WD'!B$351-'GF diets No L-Val + WD'!B5)*($G$8*$G$9/100)-'GF diets No L-Val + WD'!B$266),
IF(AND($G$5="Yes",$G$6="Yes",$G$7="No"),
(('GF diets No L-Val + Fat + WD'!AR$351-'GF diets No L-Val + Fat + WD'!AR5)*($G$8*$G$9/100)-'GF diets No L-Val + Fat + WD'!AR$266)-
(('GF diets No L-Val + Fat + WD'!B$351-'GF diets No L-Val + Fat + WD'!B5)*($G$8*$G$9/100)-'GF diets No L-Val + Fat + WD'!B$266),
IF(AND($G$5="No",$G$6="Yes",$G$7="Yes"),
(('GF diets L-Val + WD'!AR$351-'GF diets L-Val + WD'!AR5)*($G$8*$G$9/100)-'GF diets L-Val + WD'!AR$266)-
(('GF diets L-Val + WD'!B$351-'GF diets L-Val + WD'!B5)*($G$8*$G$9/100)-'GF diets L-Val + WD'!B$266),
IF(AND($G$5="Yes",$G$6="Yes",$G$7="Yes"),
(('GF diets L-Val + Fat + WD'!AR$351-'GF diets L-Val + Fat + WD'!AR5)*($G$8*$G$9/100)-'GF diets L-Val + Fat + WD'!AR$266)-
(('GF diets L-Val + Fat + WD'!B$351-'GF diets L-Val + Fat + WD'!B5)*($G$8*$G$9/100)-'GF diets L-Val + Fat + WD'!B$266)
))))))))</f>
        <v>-0.47040822796571824</v>
      </c>
      <c r="D65" s="468">
        <f>IF(AND($G$5="No",$G$6="No",$G$7="No"),
(('GF diets No L-Val'!AS351-'GF diets No L-Val'!AS5)*($G$8*$G$9/100)-'GF diets No L-Val'!AS$266)-
(('GF diets No L-Val'!C351-'GF diets No L-Val'!C5)*($G$8*$G$9/100)-'GF diets No L-Val'!C$266),
IF(AND($G$5="Yes",$G$6="No",$G$7="No"),
(('GF diets No L-Val + Fat'!AS$351-'GF diets No L-Val + Fat'!AS5)*($G$8*$G$9/100)-'GF diets No L-Val + Fat'!AS$266)-
(('GF diets No L-Val + Fat'!C351-'GF diets No L-Val + Fat'!C5)*($G$8*$G$9/100)-'GF diets No L-Val + Fat'!C$266),
IF(AND($G$5="No",$G$6="No",$G$7="Yes"),
(('GF diets L-Val'!AS$351-'GF diets L-Val'!AS5)*($G$8*$G$9/100)-'GF diets L-Val'!AS$266)-
(('GF diets L-Val'!C351-'GF diets L-Val'!C5)*($G$8*$G$9/100)-'GF diets L-Val'!C$266),
IF(AND($G$5="Yes",$G$6="No",$G$7="Yes"),
(('GF diets L-Val + Fat'!AS$351-'GF diets L-Val + Fat'!AS5)*($G$8*$G$9/100)-'GF diets L-Val + Fat'!AS$266)-
(('GF diets L-Val + Fat'!C$351-'GF diets L-Val + Fat'!C5)*($G$8*$G$9/100)-'GF diets L-Val + Fat'!C$266),
IF(AND($G$5="No",$G$6="Yes",$G$7="No"),
(('GF diets No L-Val + WD'!AS$351-'GF diets No L-Val + WD'!AS5)*($G$8*$G$9/100)-'GF diets No L-Val + WD'!AS$266)-
(('GF diets No L-Val + WD'!C$351-'GF diets No L-Val + WD'!C5)*($G$8*$G$9/100)-'GF diets No L-Val + WD'!C$266),
IF(AND($G$5="Yes",$G$6="Yes",$G$7="No"),
(('GF diets No L-Val + Fat + WD'!AS$351-'GF diets No L-Val + Fat + WD'!AS5)*($G$8*$G$9/100)-'GF diets No L-Val + Fat + WD'!AS$266)-
(('GF diets No L-Val + Fat + WD'!C$351-'GF diets No L-Val + Fat + WD'!C5)*($G$8*$G$9/100)-'GF diets No L-Val + Fat + WD'!C$266),
IF(AND($G$5="No",$G$6="Yes",$G$7="Yes"),
(('GF diets L-Val + WD'!AS$351-'GF diets L-Val + WD'!AS5)*($G$8*$G$9/100)-'GF diets L-Val + WD'!AS$266)-
(('GF diets L-Val + WD'!C$351-'GF diets L-Val + WD'!C5)*($G$8*$G$9/100)-'GF diets L-Val + WD'!C$266),
IF(AND($G$5="Yes",$G$6="Yes",$G$7="Yes"),
(('GF diets L-Val + Fat + WD'!AS$351-'GF diets L-Val + Fat + WD'!AS5)*($G$8*$G$9/100)-'GF diets L-Val + Fat + WD'!AS$266)-
(('GF diets L-Val + Fat + WD'!C$351-'GF diets L-Val + Fat + WD'!C5)*($G$8*$G$9/100)-'GF diets L-Val + Fat + WD'!C$266)
))))))))</f>
        <v>-0.46211365668200699</v>
      </c>
      <c r="E65" s="468">
        <f>IF(AND($G$5="No",$G$6="No",$G$7="No"),
(('GF diets No L-Val'!AT351-'GF diets No L-Val'!AT5)*($G$8*$G$9/100)-'GF diets No L-Val'!AT$266)-
(('GF diets No L-Val'!D351-'GF diets No L-Val'!D5)*($G$8*$G$9/100)-'GF diets No L-Val'!D$266),
IF(AND($G$5="Yes",$G$6="No",$G$7="No"),
(('GF diets No L-Val + Fat'!AT$351-'GF diets No L-Val + Fat'!AT5)*($G$8*$G$9/100)-'GF diets No L-Val + Fat'!AT$266)-
(('GF diets No L-Val + Fat'!D351-'GF diets No L-Val + Fat'!D5)*($G$8*$G$9/100)-'GF diets No L-Val + Fat'!D$266),
IF(AND($G$5="No",$G$6="No",$G$7="Yes"),
(('GF diets L-Val'!AT$351-'GF diets L-Val'!AT5)*($G$8*$G$9/100)-'GF diets L-Val'!AT$266)-
(('GF diets L-Val'!D351-'GF diets L-Val'!D5)*($G$8*$G$9/100)-'GF diets L-Val'!D$266),
IF(AND($G$5="Yes",$G$6="No",$G$7="Yes"),
(('GF diets L-Val + Fat'!AT$351-'GF diets L-Val + Fat'!AT5)*($G$8*$G$9/100)-'GF diets L-Val + Fat'!AT$266)-
(('GF diets L-Val + Fat'!D$351-'GF diets L-Val + Fat'!D5)*($G$8*$G$9/100)-'GF diets L-Val + Fat'!D$266),
IF(AND($G$5="No",$G$6="Yes",$G$7="No"),
(('GF diets No L-Val + WD'!AT$351-'GF diets No L-Val + WD'!AT5)*($G$8*$G$9/100)-'GF diets No L-Val + WD'!AT$266)-
(('GF diets No L-Val + WD'!D$351-'GF diets No L-Val + WD'!D5)*($G$8*$G$9/100)-'GF diets No L-Val + WD'!D$266),
IF(AND($G$5="Yes",$G$6="Yes",$G$7="No"),
(('GF diets No L-Val + Fat + WD'!AT$351-'GF diets No L-Val + Fat + WD'!AT5)*($G$8*$G$9/100)-'GF diets No L-Val + Fat + WD'!AT$266)-
(('GF diets No L-Val + Fat + WD'!D$351-'GF diets No L-Val + Fat + WD'!D5)*($G$8*$G$9/100)-'GF diets No L-Val + Fat + WD'!D$266),
IF(AND($G$5="No",$G$6="Yes",$G$7="Yes"),
(('GF diets L-Val + WD'!AT$351-'GF diets L-Val + WD'!AT5)*($G$8*$G$9/100)-'GF diets L-Val + WD'!AT$266)-
(('GF diets L-Val + WD'!D$351-'GF diets L-Val + WD'!D5)*($G$8*$G$9/100)-'GF diets L-Val + WD'!D$266),
IF(AND($G$5="Yes",$G$6="Yes",$G$7="Yes"),
(('GF diets L-Val + Fat + WD'!AT$351-'GF diets L-Val + Fat + WD'!AT5)*($G$8*$G$9/100)-'GF diets L-Val + Fat + WD'!AT$266)-
(('GF diets L-Val + Fat + WD'!D$351-'GF diets L-Val + Fat + WD'!D5)*($G$8*$G$9/100)-'GF diets L-Val + Fat + WD'!D$266)
))))))))</f>
        <v>-0.62113110309946507</v>
      </c>
      <c r="F65" s="468">
        <f>IF(AND($G$5="No",$G$6="No",$G$7="No"),
(('GF diets No L-Val'!AU351-'GF diets No L-Val'!AU5)*($G$8*$G$9/100)-'GF diets No L-Val'!AU$266)-
(('GF diets No L-Val'!E351-'GF diets No L-Val'!E5)*($G$8*$G$9/100)-'GF diets No L-Val'!E$266),
IF(AND($G$5="Yes",$G$6="No",$G$7="No"),
(('GF diets No L-Val + Fat'!AU$351-'GF diets No L-Val + Fat'!AU5)*($G$8*$G$9/100)-'GF diets No L-Val + Fat'!AU$266)-
(('GF diets No L-Val + Fat'!E351-'GF diets No L-Val + Fat'!E5)*($G$8*$G$9/100)-'GF diets No L-Val + Fat'!E$266),
IF(AND($G$5="No",$G$6="No",$G$7="Yes"),
(('GF diets L-Val'!AU$351-'GF diets L-Val'!AU5)*($G$8*$G$9/100)-'GF diets L-Val'!AU$266)-
(('GF diets L-Val'!E351-'GF diets L-Val'!E5)*($G$8*$G$9/100)-'GF diets L-Val'!E$266),
IF(AND($G$5="Yes",$G$6="No",$G$7="Yes"),
(('GF diets L-Val + Fat'!AU$351-'GF diets L-Val + Fat'!AU5)*($G$8*$G$9/100)-'GF diets L-Val + Fat'!AU$266)-
(('GF diets L-Val + Fat'!E$351-'GF diets L-Val + Fat'!E5)*($G$8*$G$9/100)-'GF diets L-Val + Fat'!E$266),
IF(AND($G$5="No",$G$6="Yes",$G$7="No"),
(('GF diets No L-Val + WD'!AU$351-'GF diets No L-Val + WD'!AU5)*($G$8*$G$9/100)-'GF diets No L-Val + WD'!AU$266)-
(('GF diets No L-Val + WD'!E$351-'GF diets No L-Val + WD'!E5)*($G$8*$G$9/100)-'GF diets No L-Val + WD'!E$266),
IF(AND($G$5="Yes",$G$6="Yes",$G$7="No"),
(('GF diets No L-Val + Fat + WD'!AU$351-'GF diets No L-Val + Fat + WD'!AU5)*($G$8*$G$9/100)-'GF diets No L-Val + Fat + WD'!AU$266)-
(('GF diets No L-Val + Fat + WD'!E$351-'GF diets No L-Val + Fat + WD'!E5)*($G$8*$G$9/100)-'GF diets No L-Val + Fat + WD'!E$266),
IF(AND($G$5="No",$G$6="Yes",$G$7="Yes"),
(('GF diets L-Val + WD'!AU$351-'GF diets L-Val + WD'!AU5)*($G$8*$G$9/100)-'GF diets L-Val + WD'!AU$266)-
(('GF diets L-Val + WD'!E$351-'GF diets L-Val + WD'!E5)*($G$8*$G$9/100)-'GF diets L-Val + WD'!E$266),
IF(AND($G$5="Yes",$G$6="Yes",$G$7="Yes"),
(('GF diets L-Val + Fat + WD'!AU$351-'GF diets L-Val + Fat + WD'!AU5)*($G$8*$G$9/100)-'GF diets L-Val + Fat + WD'!AU$266)-
(('GF diets L-Val + Fat + WD'!E$351-'GF diets L-Val + Fat + WD'!E5)*($G$8*$G$9/100)-'GF diets L-Val + Fat + WD'!E$266)
))))))))</f>
        <v>-0.81516267046306545</v>
      </c>
      <c r="G65" s="468">
        <f>IF(AND($G$5="No",$G$6="No",$G$7="No"),
(('GF diets No L-Val'!AV351-'GF diets No L-Val'!AV5)*($G$8*$G$9/100)-'GF diets No L-Val'!AV$266)-
(('GF diets No L-Val'!F351-'GF diets No L-Val'!F5)*($G$8*$G$9/100)-'GF diets No L-Val'!F$266),
IF(AND($G$5="Yes",$G$6="No",$G$7="No"),
(('GF diets No L-Val + Fat'!AV$351-'GF diets No L-Val + Fat'!AV5)*($G$8*$G$9/100)-'GF diets No L-Val + Fat'!AV$266)-
(('GF diets No L-Val + Fat'!F351-'GF diets No L-Val + Fat'!F5)*($G$8*$G$9/100)-'GF diets No L-Val + Fat'!F$266),
IF(AND($G$5="No",$G$6="No",$G$7="Yes"),
(('GF diets L-Val'!AV$351-'GF diets L-Val'!AV5)*($G$8*$G$9/100)-'GF diets L-Val'!AV$266)-
(('GF diets L-Val'!F351-'GF diets L-Val'!F5)*($G$8*$G$9/100)-'GF diets L-Val'!F$266),
IF(AND($G$5="Yes",$G$6="No",$G$7="Yes"),
(('GF diets L-Val + Fat'!AV$351-'GF diets L-Val + Fat'!AV5)*($G$8*$G$9/100)-'GF diets L-Val + Fat'!AV$266)-
(('GF diets L-Val + Fat'!F$351-'GF diets L-Val + Fat'!F5)*($G$8*$G$9/100)-'GF diets L-Val + Fat'!F$266),
IF(AND($G$5="No",$G$6="Yes",$G$7="No"),
(('GF diets No L-Val + WD'!AV$351-'GF diets No L-Val + WD'!AV5)*($G$8*$G$9/100)-'GF diets No L-Val + WD'!AV$266)-
(('GF diets No L-Val + WD'!F$351-'GF diets No L-Val + WD'!F5)*($G$8*$G$9/100)-'GF diets No L-Val + WD'!F$266),
IF(AND($G$5="Yes",$G$6="Yes",$G$7="No"),
(('GF diets No L-Val + Fat + WD'!AV$351-'GF diets No L-Val + Fat + WD'!AV5)*($G$8*$G$9/100)-'GF diets No L-Val + Fat + WD'!AV$266)-
(('GF diets No L-Val + Fat + WD'!F$351-'GF diets No L-Val + Fat + WD'!F5)*($G$8*$G$9/100)-'GF diets No L-Val + Fat + WD'!F$266),
IF(AND($G$5="No",$G$6="Yes",$G$7="Yes"),
(('GF diets L-Val + WD'!AV$351-'GF diets L-Val + WD'!AV5)*($G$8*$G$9/100)-'GF diets L-Val + WD'!AV$266)-
(('GF diets L-Val + WD'!F$351-'GF diets L-Val + WD'!F5)*($G$8*$G$9/100)-'GF diets L-Val + WD'!F$266),
IF(AND($G$5="Yes",$G$6="Yes",$G$7="Yes"),
(('GF diets L-Val + Fat + WD'!AV$351-'GF diets L-Val + Fat + WD'!AV5)*($G$8*$G$9/100)-'GF diets L-Val + Fat + WD'!AV$266)-
(('GF diets L-Val + Fat + WD'!F$351-'GF diets L-Val + Fat + WD'!F5)*($G$8*$G$9/100)-'GF diets L-Val + Fat + WD'!F$266)
))))))))</f>
        <v>-1.0930041907672408</v>
      </c>
      <c r="H65" s="468">
        <f>IF(AND($G$5="No",$G$6="No",$G$7="No"),
(('GF diets No L-Val'!AW351-'GF diets No L-Val'!AW5)*($G$8*$G$9/100)-'GF diets No L-Val'!AW$266)-
(('GF diets No L-Val'!G351-'GF diets No L-Val'!G5)*($G$8*$G$9/100)-'GF diets No L-Val'!G$266),
IF(AND($G$5="Yes",$G$6="No",$G$7="No"),
(('GF diets No L-Val + Fat'!AW$351-'GF diets No L-Val + Fat'!AW5)*($G$8*$G$9/100)-'GF diets No L-Val + Fat'!AW$266)-
(('GF diets No L-Val + Fat'!G351-'GF diets No L-Val + Fat'!G5)*($G$8*$G$9/100)-'GF diets No L-Val + Fat'!G$266),
IF(AND($G$5="No",$G$6="No",$G$7="Yes"),
(('GF diets L-Val'!AW$351-'GF diets L-Val'!AW5)*($G$8*$G$9/100)-'GF diets L-Val'!AW$266)-
(('GF diets L-Val'!G351-'GF diets L-Val'!G5)*($G$8*$G$9/100)-'GF diets L-Val'!G$266),
IF(AND($G$5="Yes",$G$6="No",$G$7="Yes"),
(('GF diets L-Val + Fat'!AW$351-'GF diets L-Val + Fat'!AW5)*($G$8*$G$9/100)-'GF diets L-Val + Fat'!AW$266)-
(('GF diets L-Val + Fat'!G$351-'GF diets L-Val + Fat'!G5)*($G$8*$G$9/100)-'GF diets L-Val + Fat'!G$266),
IF(AND($G$5="No",$G$6="Yes",$G$7="No"),
(('GF diets No L-Val + WD'!AW$351-'GF diets No L-Val + WD'!AW5)*($G$8*$G$9/100)-'GF diets No L-Val + WD'!AW$266)-
(('GF diets No L-Val + WD'!G$351-'GF diets No L-Val + WD'!G5)*($G$8*$G$9/100)-'GF diets No L-Val + WD'!G$266),
IF(AND($G$5="Yes",$G$6="Yes",$G$7="No"),
(('GF diets No L-Val + Fat + WD'!AW$351-'GF diets No L-Val + Fat + WD'!AW5)*($G$8*$G$9/100)-'GF diets No L-Val + Fat + WD'!AW$266)-
(('GF diets No L-Val + Fat + WD'!G$351-'GF diets No L-Val + Fat + WD'!G5)*($G$8*$G$9/100)-'GF diets No L-Val + Fat + WD'!G$266),
IF(AND($G$5="No",$G$6="Yes",$G$7="Yes"),
(('GF diets L-Val + WD'!AW$351-'GF diets L-Val + WD'!AW5)*($G$8*$G$9/100)-'GF diets L-Val + WD'!AW$266)-
(('GF diets L-Val + WD'!G$351-'GF diets L-Val + WD'!G5)*($G$8*$G$9/100)-'GF diets L-Val + WD'!G$266),
IF(AND($G$5="Yes",$G$6="Yes",$G$7="Yes"),
(('GF diets L-Val + Fat + WD'!AW$351-'GF diets L-Val + Fat + WD'!AW5)*($G$8*$G$9/100)-'GF diets L-Val + Fat + WD'!AW$266)-
(('GF diets L-Val + Fat + WD'!G$351-'GF diets L-Val + Fat + WD'!G5)*($G$8*$G$9/100)-'GF diets L-Val + Fat + WD'!G$266)
))))))))</f>
        <v>-1.6437266669364554</v>
      </c>
      <c r="I65" s="468">
        <f t="shared" si="2"/>
        <v>-5.1055465159139519</v>
      </c>
      <c r="J65" s="468">
        <f>I65-I64</f>
        <v>-0.78328280210878987</v>
      </c>
      <c r="K65" s="450"/>
      <c r="L65" s="388"/>
      <c r="M65" s="388"/>
      <c r="N65" s="388"/>
      <c r="O65" s="388"/>
      <c r="P65" s="388"/>
      <c r="Q65" s="388"/>
      <c r="S65" s="454"/>
      <c r="T65" s="454"/>
      <c r="U65" s="454"/>
      <c r="V65" s="454"/>
      <c r="W65" s="391"/>
      <c r="X65" s="391"/>
      <c r="Y65" s="391"/>
      <c r="Z65" s="391"/>
      <c r="AA65" s="391"/>
      <c r="AB65" s="391"/>
      <c r="AC65" s="391"/>
      <c r="AD65" s="391"/>
    </row>
    <row r="66" spans="1:30" ht="12" customHeight="1" thickBot="1" x14ac:dyDescent="0.35">
      <c r="B66" s="387"/>
      <c r="C66" s="389"/>
      <c r="D66" s="388"/>
      <c r="E66" s="388"/>
      <c r="F66" s="388"/>
      <c r="G66" s="388"/>
      <c r="H66" s="388"/>
      <c r="I66" s="388"/>
      <c r="J66" s="388"/>
      <c r="O66" s="290"/>
      <c r="P66" s="290"/>
      <c r="Q66" s="290"/>
    </row>
    <row r="67" spans="1:30" ht="16.2" thickBot="1" x14ac:dyDescent="0.35">
      <c r="B67" s="394" t="s">
        <v>567</v>
      </c>
      <c r="C67" s="400" t="s">
        <v>472</v>
      </c>
      <c r="D67" s="399" t="s">
        <v>68</v>
      </c>
      <c r="E67" s="399" t="s">
        <v>69</v>
      </c>
      <c r="F67" s="399" t="s">
        <v>158</v>
      </c>
      <c r="G67" s="399" t="s">
        <v>473</v>
      </c>
      <c r="H67" s="401" t="s">
        <v>475</v>
      </c>
      <c r="I67" s="395" t="s">
        <v>485</v>
      </c>
      <c r="J67" s="402" t="s">
        <v>486</v>
      </c>
      <c r="K67" s="450"/>
      <c r="L67" s="444"/>
      <c r="M67" s="444"/>
      <c r="N67" s="444"/>
      <c r="O67" s="444"/>
      <c r="P67" s="444"/>
      <c r="Q67" s="444"/>
    </row>
    <row r="68" spans="1:30" ht="15.6" x14ac:dyDescent="0.3">
      <c r="A68" s="290">
        <v>0.05</v>
      </c>
      <c r="B68" s="387" t="s">
        <v>487</v>
      </c>
      <c r="C68" s="468">
        <f>IF(AND($G$5="No",$G$6="No",$G$7="No"),((('GF diets No L-Val'!I$351-'GF diets No L-Val'!I$5)*('GF diets No L-Val'!I$353/100)*'DDGS Calculator'!$G$8)-'GF diets No L-Val'!I$266)-(('GF diets No L-Val'!B$351-'GF diets No L-Val'!B$5)*('GF diets No L-Val'!B$353/100)*'DDGS Calculator'!$G$8-'GF diets No L-Val'!B$266),
IF(AND($G$5="Yes",$G$6="No",$G$7="No"),(('GF diets No L-Val + Fat'!I$351-'GF diets No L-Val + Fat'!I$5)*('GF diets No L-Val + Fat'!I$353/100)*'DDGS Calculator'!$G$8-'GF diets No L-Val + Fat'!I$266)-(('GF diets No L-Val + Fat'!B$351-'GF diets No L-Val + Fat'!B$5)*('GF diets No L-Val + Fat'!B$353/100)*'DDGS Calculator'!$G$8-'GF diets No L-Val + Fat'!B$266),
IF(AND($G$5="No",$G$6="No",$G$7="Yes"),(('GF diets L-Val'!I$351-'GF diets L-Val'!I$5)*('GF diets L-Val'!I$353/100)*'DDGS Calculator'!$G$8-'GF diets L-Val'!I$266)-(('GF diets L-Val'!B$351-'GF diets L-Val'!B$5)*('GF diets L-Val'!B$353/100)*'DDGS Calculator'!$G$8-'GF diets L-Val'!B$266),
IF(AND($G$5="Yes",$G$6="No",$G$7="Yes"),(('GF diets L-Val + Fat'!I$351-'GF diets L-Val + Fat'!I$5)*('GF diets L-Val + Fat'!I$353/100)*'DDGS Calculator'!$G$8-'GF diets L-Val + Fat'!I$266)-(('GF diets L-Val + Fat'!B$351-'GF diets L-Val + Fat'!B$5)*('GF diets L-Val + Fat'!B$353/100)*'DDGS Calculator'!$G$8-'GF diets L-Val + Fat'!B$266),
IF(AND($G$5="No",$G$6="Yes",$G$7="No"),(('GF diets No L-Val + WD'!I$351-'GF diets No L-Val + WD'!I$5)*('GF diets No L-Val + WD'!I$353/100)*'DDGS Calculator'!$G$8-'GF diets No L-Val + WD'!I$266)-(('GF diets No L-Val + WD'!B$351-'GF diets No L-Val + WD'!B$5)*('GF diets No L-Val + WD'!B$353/100)*'DDGS Calculator'!$G$8-'GF diets No L-Val + WD'!B$266),
IF(AND($G$5="Yes",$G$6="Yes",$G$7="No"),(('GF diets No L-Val + Fat + WD'!I$351-'GF diets No L-Val + Fat + WD'!I$5)*('GF diets No L-Val + Fat + WD'!I$353/100)*'DDGS Calculator'!$G$8-'GF diets No L-Val + Fat + WD'!I$266)-(('GF diets No L-Val + Fat + WD'!B$351-'GF diets No L-Val + Fat + WD'!B$5)*('GF diets No L-Val + Fat + WD'!B$353/100)*'DDGS Calculator'!$G$8-'GF diets No L-Val + Fat + WD'!B$266),
IF(AND($G$5="No",$G$6="Yes",$G$7="Yes"),(('GF diets L-Val + WD'!I$351-'GF diets L-Val + WD'!I$5)*('GF diets L-Val + WD'!I$353/100)*'DDGS Calculator'!$G$8-'GF diets L-Val + WD'!I$266)-(('GF diets L-Val + WD'!B$351-'GF diets L-Val + WD'!B$5)*('GF diets L-Val + WD'!B$353/100)*'DDGS Calculator'!$G$8-'GF diets L-Val + WD'!B$266),
IF(AND($G$5="Yes",$G$6="Yes",$G$7="Yes"),(('GF diets L-Val + Fat + WD'!I$351-'GF diets L-Val + Fat + WD'!I$5)*('GF diets L-Val + Fat + WD'!I$353/100)*'DDGS Calculator'!$G$8-'GF diets L-Val + Fat + WD'!I$266)-(('GF diets L-Val + Fat + WD'!B$351-'GF diets L-Val + Fat + WD'!B$5)*('GF diets L-Val + Fat + WD'!B$353/100)*'DDGS Calculator'!$G$8-'GF diets L-Val + Fat + WD'!B$266)))))))))</f>
        <v>-0.15434240273615707</v>
      </c>
      <c r="D68" s="468">
        <f>IF(AND($G$5="No",$G$6="No",$G$7="No"),((('GF diets No L-Val'!J$351-'GF diets No L-Val'!J$5)*('GF diets No L-Val'!J$353/100)*'DDGS Calculator'!$G$8)-'GF diets No L-Val'!J$266)-(('GF diets No L-Val'!C$351-'GF diets No L-Val'!C$5)*('GF diets No L-Val'!C$353/100)*'DDGS Calculator'!$G$8-'GF diets No L-Val'!C$266),
IF(AND($G$5="Yes",$G$6="No",$G$7="No"),(('GF diets No L-Val + Fat'!J$351-'GF diets No L-Val + Fat'!J$5)*('GF diets No L-Val + Fat'!J$353/100)*'DDGS Calculator'!$G$8-'GF diets No L-Val + Fat'!J$266)-(('GF diets No L-Val + Fat'!C$351-'GF diets No L-Val + Fat'!C$5)*('GF diets No L-Val + Fat'!C$353/100)*'DDGS Calculator'!$G$8-'GF diets No L-Val + Fat'!C$266),
IF(AND($G$5="No",$G$6="No",$G$7="Yes"),(('GF diets L-Val'!J$351-'GF diets L-Val'!J$5)*('GF diets L-Val'!J$353/100)*'DDGS Calculator'!$G$8-'GF diets L-Val'!J$266)-(('GF diets L-Val'!C$351-'GF diets L-Val'!C$5)*('GF diets L-Val'!C$353/100)*'DDGS Calculator'!$G$8-'GF diets L-Val'!C$266),
IF(AND($G$5="Yes",$G$6="No",$G$7="Yes"),(('GF diets L-Val + Fat'!J$351-'GF diets L-Val + Fat'!J$5)*('GF diets L-Val + Fat'!J$353/100)*'DDGS Calculator'!$G$8-'GF diets L-Val + Fat'!J$266)-(('GF diets L-Val + Fat'!C$351-'GF diets L-Val + Fat'!C$5)*('GF diets L-Val + Fat'!C$353/100)*'DDGS Calculator'!$G$8-'GF diets L-Val + Fat'!C$266),
IF(AND($G$5="No",$G$6="Yes",$G$7="No"),(('GF diets No L-Val + WD'!J$351-'GF diets No L-Val + WD'!J$5)*('GF diets No L-Val + WD'!J$353/100)*'DDGS Calculator'!$G$8-'GF diets No L-Val + WD'!J$266)-(('GF diets No L-Val + WD'!C$351-'GF diets No L-Val + WD'!C$5)*('GF diets No L-Val + WD'!C$353/100)*'DDGS Calculator'!$G$8-'GF diets No L-Val + WD'!C$266),
IF(AND($G$5="Yes",$G$6="Yes",$G$7="No"),(('GF diets No L-Val + Fat + WD'!J$351-'GF diets No L-Val + Fat + WD'!J$5)*('GF diets No L-Val + Fat + WD'!J$353/100)*'DDGS Calculator'!$G$8-'GF diets No L-Val + Fat + WD'!J$266)-(('GF diets No L-Val + Fat + WD'!C$351-'GF diets No L-Val + Fat + WD'!C$5)*('GF diets No L-Val + Fat + WD'!C$353/100)*'DDGS Calculator'!$G$8-'GF diets No L-Val + Fat + WD'!C$266),
IF(AND($G$5="No",$G$6="Yes",$G$7="Yes"),(('GF diets L-Val + WD'!J$351-'GF diets L-Val + WD'!J$5)*('GF diets L-Val + WD'!J$353/100)*'DDGS Calculator'!$G$8-'GF diets L-Val + WD'!J$266)-(('GF diets L-Val + WD'!C$351-'GF diets L-Val + WD'!C$5)*('GF diets L-Val + WD'!C$353/100)*'DDGS Calculator'!$G$8-'GF diets L-Val + WD'!C$266),
IF(AND($G$5="Yes",$G$6="Yes",$G$7="Yes"),(('GF diets L-Val + Fat + WD'!J$351-'GF diets L-Val + Fat + WD'!J$5)*('GF diets L-Val + Fat + WD'!J$353/100)*'DDGS Calculator'!$G$8-'GF diets L-Val + Fat + WD'!J$266)-(('GF diets L-Val + Fat + WD'!C$351-'GF diets L-Val + Fat + WD'!C$5)*('GF diets L-Val + Fat + WD'!C$353/100)*'DDGS Calculator'!$G$8-'GF diets L-Val + Fat + WD'!C$266)))))))))</f>
        <v>-0.14660314235744387</v>
      </c>
      <c r="E68" s="468">
        <f>IF(AND($G$5="No",$G$6="No",$G$7="No"),((('GF diets No L-Val'!K$351-'GF diets No L-Val'!K$5)*('GF diets No L-Val'!K$353/100)*'DDGS Calculator'!$G$8)-'GF diets No L-Val'!K$266)-(('GF diets No L-Val'!D$351-'GF diets No L-Val'!D$5)*('GF diets No L-Val'!D$353/100)*'DDGS Calculator'!$G$8-'GF diets No L-Val'!D$266),
IF(AND($G$5="Yes",$G$6="No",$G$7="No"),(('GF diets No L-Val + Fat'!K$351-'GF diets No L-Val + Fat'!K$5)*('GF diets No L-Val + Fat'!K$353/100)*'DDGS Calculator'!$G$8-'GF diets No L-Val + Fat'!K$266)-(('GF diets No L-Val + Fat'!D$351-'GF diets No L-Val + Fat'!D$5)*('GF diets No L-Val + Fat'!D$353/100)*'DDGS Calculator'!$G$8-'GF diets No L-Val + Fat'!D$266),
IF(AND($G$5="No",$G$6="No",$G$7="Yes"),(('GF diets L-Val'!K$351-'GF diets L-Val'!K$5)*('GF diets L-Val'!K$353/100)*'DDGS Calculator'!$G$8-'GF diets L-Val'!K$266)-(('GF diets L-Val'!D$351-'GF diets L-Val'!D$5)*('GF diets L-Val'!D$353/100)*'DDGS Calculator'!$G$8-'GF diets L-Val'!D$266),
IF(AND($G$5="Yes",$G$6="No",$G$7="Yes"),(('GF diets L-Val + Fat'!K$351-'GF diets L-Val + Fat'!K$5)*('GF diets L-Val + Fat'!K$353/100)*'DDGS Calculator'!$G$8-'GF diets L-Val + Fat'!K$266)-(('GF diets L-Val + Fat'!D$351-'GF diets L-Val + Fat'!D$5)*('GF diets L-Val + Fat'!D$353/100)*'DDGS Calculator'!$G$8-'GF diets L-Val + Fat'!D$266),
IF(AND($G$5="No",$G$6="Yes",$G$7="No"),(('GF diets No L-Val + WD'!K$351-'GF diets No L-Val + WD'!K$5)*('GF diets No L-Val + WD'!K$353/100)*'DDGS Calculator'!$G$8-'GF diets No L-Val + WD'!K$266)-(('GF diets No L-Val + WD'!D$351-'GF diets No L-Val + WD'!D$5)*('GF diets No L-Val + WD'!D$353/100)*'DDGS Calculator'!$G$8-'GF diets No L-Val + WD'!D$266),
IF(AND($G$5="Yes",$G$6="Yes",$G$7="No"),(('GF diets No L-Val + Fat + WD'!K$351-'GF diets No L-Val + Fat + WD'!K$5)*('GF diets No L-Val + Fat + WD'!K$353/100)*'DDGS Calculator'!$G$8-'GF diets No L-Val + Fat + WD'!K$266)-(('GF diets No L-Val + Fat + WD'!D$351-'GF diets No L-Val + Fat + WD'!D$5)*('GF diets No L-Val + Fat + WD'!D$353/100)*'DDGS Calculator'!$G$8-'GF diets No L-Val + Fat + WD'!D$266),
IF(AND($G$5="No",$G$6="Yes",$G$7="Yes"),(('GF diets L-Val + WD'!K$351-'GF diets L-Val + WD'!K$5)*('GF diets L-Val + WD'!K$353/100)*'DDGS Calculator'!$G$8-'GF diets L-Val + WD'!K$266)-(('GF diets L-Val + WD'!D$351-'GF diets L-Val + WD'!D$5)*('GF diets L-Val + WD'!D$353/100)*'DDGS Calculator'!$G$8-'GF diets L-Val + WD'!D$266),
IF(AND($G$5="Yes",$G$6="Yes",$G$7="Yes"),(('GF diets L-Val + Fat + WD'!K$351-'GF diets L-Val + Fat + WD'!K$5)*('GF diets L-Val + Fat + WD'!K$353/100)*'DDGS Calculator'!$G$8-'GF diets L-Val + Fat + WD'!K$266)-(('GF diets L-Val + Fat + WD'!D$351-'GF diets L-Val + Fat + WD'!D$5)*('GF diets L-Val + Fat + WD'!D$353/100)*'DDGS Calculator'!$G$8-'GF diets L-Val + Fat + WD'!D$266)))))))))</f>
        <v>-0.17148251783947188</v>
      </c>
      <c r="F68" s="468">
        <f>IF(AND($G$5="No",$G$6="No",$G$7="No"),((('GF diets No L-Val'!L$351-'GF diets No L-Val'!L$5)*('GF diets No L-Val'!L$353/100)*'DDGS Calculator'!$G$8)-'GF diets No L-Val'!L$266)-(('GF diets No L-Val'!E$351-'GF diets No L-Val'!E$5)*('GF diets No L-Val'!E$353/100)*'DDGS Calculator'!$G$8-'GF diets No L-Val'!E$266),
IF(AND($G$5="Yes",$G$6="No",$G$7="No"),(('GF diets No L-Val + Fat'!L$351-'GF diets No L-Val + Fat'!L$5)*('GF diets No L-Val + Fat'!L$353/100)*'DDGS Calculator'!$G$8-'GF diets No L-Val + Fat'!L$266)-(('GF diets No L-Val + Fat'!E$351-'GF diets No L-Val + Fat'!E$5)*('GF diets No L-Val + Fat'!E$353/100)*'DDGS Calculator'!$G$8-'GF diets No L-Val + Fat'!E$266),
IF(AND($G$5="No",$G$6="No",$G$7="Yes"),(('GF diets L-Val'!L$351-'GF diets L-Val'!L$5)*('GF diets L-Val'!L$353/100)*'DDGS Calculator'!$G$8-'GF diets L-Val'!L$266)-(('GF diets L-Val'!E$351-'GF diets L-Val'!E$5)*('GF diets L-Val'!E$353/100)*'DDGS Calculator'!$G$8-'GF diets L-Val'!E$266),
IF(AND($G$5="Yes",$G$6="No",$G$7="Yes"),(('GF diets L-Val + Fat'!L$351-'GF diets L-Val + Fat'!L$5)*('GF diets L-Val + Fat'!L$353/100)*'DDGS Calculator'!$G$8-'GF diets L-Val + Fat'!L$266)-(('GF diets L-Val + Fat'!E$351-'GF diets L-Val + Fat'!E$5)*('GF diets L-Val + Fat'!E$353/100)*'DDGS Calculator'!$G$8-'GF diets L-Val + Fat'!E$266),
IF(AND($G$5="No",$G$6="Yes",$G$7="No"),(('GF diets No L-Val + WD'!L$351-'GF diets No L-Val + WD'!L$5)*('GF diets No L-Val + WD'!L$353/100)*'DDGS Calculator'!$G$8-'GF diets No L-Val + WD'!L$266)-(('GF diets No L-Val + WD'!E$351-'GF diets No L-Val + WD'!E$5)*('GF diets No L-Val + WD'!E$353/100)*'DDGS Calculator'!$G$8-'GF diets No L-Val + WD'!E$266),
IF(AND($G$5="Yes",$G$6="Yes",$G$7="No"),(('GF diets No L-Val + Fat + WD'!L$351-'GF diets No L-Val + Fat + WD'!L$5)*('GF diets No L-Val + Fat + WD'!L$353/100)*'DDGS Calculator'!$G$8-'GF diets No L-Val + Fat + WD'!L$266)-(('GF diets No L-Val + Fat + WD'!E$351-'GF diets No L-Val + Fat + WD'!E$5)*('GF diets No L-Val + Fat + WD'!E$353/100)*'DDGS Calculator'!$G$8-'GF diets No L-Val + Fat + WD'!E$266),
IF(AND($G$5="No",$G$6="Yes",$G$7="Yes"),(('GF diets L-Val + WD'!L$351-'GF diets L-Val + WD'!L$5)*('GF diets L-Val + WD'!L$353/100)*'DDGS Calculator'!$G$8-'GF diets L-Val + WD'!L$266)-(('GF diets L-Val + WD'!E$351-'GF diets L-Val + WD'!E$5)*('GF diets L-Val + WD'!E$353/100)*'DDGS Calculator'!$G$8-'GF diets L-Val + WD'!E$266),
IF(AND($G$5="Yes",$G$6="Yes",$G$7="Yes"),(('GF diets L-Val + Fat + WD'!L$351-'GF diets L-Val + Fat + WD'!L$5)*('GF diets L-Val + Fat + WD'!L$353/100)*'DDGS Calculator'!$G$8-'GF diets L-Val + Fat + WD'!L$266)-(('GF diets L-Val + Fat + WD'!E$351-'GF diets L-Val + Fat + WD'!E$5)*('GF diets L-Val + Fat + WD'!E$353/100)*'DDGS Calculator'!$G$8-'GF diets L-Val + Fat + WD'!E$266)))))))))</f>
        <v>-0.18244310938838026</v>
      </c>
      <c r="G68" s="468">
        <f>IF(AND($G$5="No",$G$6="No",$G$7="No"),((('GF diets No L-Val'!M$351-'GF diets No L-Val'!M$5)*('GF diets No L-Val'!M$353/100)*'DDGS Calculator'!$G$8)-'GF diets No L-Val'!M$266)-(('GF diets No L-Val'!F$351-'GF diets No L-Val'!F$5)*('GF diets No L-Val'!F$353/100)*'DDGS Calculator'!$G$8-'GF diets No L-Val'!F$266),
IF(AND($G$5="Yes",$G$6="No",$G$7="No"),(('GF diets No L-Val + Fat'!M$351-'GF diets No L-Val + Fat'!M$5)*('GF diets No L-Val + Fat'!M$353/100)*'DDGS Calculator'!$G$8-'GF diets No L-Val + Fat'!M$266)-(('GF diets No L-Val + Fat'!F$351-'GF diets No L-Val + Fat'!F$5)*('GF diets No L-Val + Fat'!F$353/100)*'DDGS Calculator'!$G$8-'GF diets No L-Val + Fat'!F$266),
IF(AND($G$5="No",$G$6="No",$G$7="Yes"),(('GF diets L-Val'!M$351-'GF diets L-Val'!M$5)*('GF diets L-Val'!M$353/100)*'DDGS Calculator'!$G$8-'GF diets L-Val'!M$266)-(('GF diets L-Val'!F$351-'GF diets L-Val'!F$5)*('GF diets L-Val'!F$353/100)*'DDGS Calculator'!$G$8-'GF diets L-Val'!F$266),
IF(AND($G$5="Yes",$G$6="No",$G$7="Yes"),(('GF diets L-Val + Fat'!M$351-'GF diets L-Val + Fat'!M$5)*('GF diets L-Val + Fat'!M$353/100)*'DDGS Calculator'!$G$8-'GF diets L-Val + Fat'!M$266)-(('GF diets L-Val + Fat'!F$351-'GF diets L-Val + Fat'!F$5)*('GF diets L-Val + Fat'!F$353/100)*'DDGS Calculator'!$G$8-'GF diets L-Val + Fat'!F$266),
IF(AND($G$5="No",$G$6="Yes",$G$7="No"),(('GF diets No L-Val + WD'!M$351-'GF diets No L-Val + WD'!M$5)*('GF diets No L-Val + WD'!M$353/100)*'DDGS Calculator'!$G$8-'GF diets No L-Val + WD'!M$266)-(('GF diets No L-Val + WD'!F$351-'GF diets No L-Val + WD'!F$5)*('GF diets No L-Val + WD'!F$353/100)*'DDGS Calculator'!$G$8-'GF diets No L-Val + WD'!F$266),
IF(AND($G$5="Yes",$G$6="Yes",$G$7="No"),(('GF diets No L-Val + Fat + WD'!M$351-'GF diets No L-Val + Fat + WD'!M$5)*('GF diets No L-Val + Fat + WD'!M$353/100)*'DDGS Calculator'!$G$8-'GF diets No L-Val + Fat + WD'!M$266)-(('GF diets No L-Val + Fat + WD'!F$351-'GF diets No L-Val + Fat + WD'!F$5)*('GF diets No L-Val + Fat + WD'!F$353/100)*'DDGS Calculator'!$G$8-'GF diets No L-Val + Fat + WD'!F$266),
IF(AND($G$5="No",$G$6="Yes",$G$7="Yes"),(('GF diets L-Val + WD'!M$351-'GF diets L-Val + WD'!M$5)*('GF diets L-Val + WD'!M$353/100)*'DDGS Calculator'!$G$8-'GF diets L-Val + WD'!M$266)-(('GF diets L-Val + WD'!F$351-'GF diets L-Val + WD'!F$5)*('GF diets L-Val + WD'!F$353/100)*'DDGS Calculator'!$G$8-'GF diets L-Val + WD'!F$266),
IF(AND($G$5="Yes",$G$6="Yes",$G$7="Yes"),(('GF diets L-Val + Fat + WD'!M$351-'GF diets L-Val + Fat + WD'!M$5)*('GF diets L-Val + Fat + WD'!M$353/100)*'DDGS Calculator'!$G$8-'GF diets L-Val + Fat + WD'!M$266)-(('GF diets L-Val + Fat + WD'!F$351-'GF diets L-Val + Fat + WD'!F$5)*('GF diets L-Val + Fat + WD'!F$353/100)*'DDGS Calculator'!$G$8-'GF diets L-Val + Fat + WD'!F$266)))))))))</f>
        <v>-0.21523057829887904</v>
      </c>
      <c r="H68" s="468">
        <f>IF(AND($G$5="No",$G$6="No",$G$7="No"),((('GF diets No L-Val'!N$351-'GF diets No L-Val'!N$5)*('GF diets No L-Val'!N$353/100)*'DDGS Calculator'!$G$8)-'GF diets No L-Val'!N$266)-(('GF diets No L-Val'!G$351-'GF diets No L-Val'!G$5)*('GF diets No L-Val'!G$353/100)*'DDGS Calculator'!$G$8-'GF diets No L-Val'!G$266),
IF(AND($G$5="Yes",$G$6="No",$G$7="No"),(('GF diets No L-Val + Fat'!N$351-'GF diets No L-Val + Fat'!N$5)*('GF diets No L-Val + Fat'!N$353/100)*'DDGS Calculator'!$G$8-'GF diets No L-Val + Fat'!N$266)-(('GF diets No L-Val + Fat'!G$351-'GF diets No L-Val + Fat'!G$5)*('GF diets No L-Val + Fat'!G$353/100)*'DDGS Calculator'!$G$8-'GF diets No L-Val + Fat'!G$266),
IF(AND($G$5="No",$G$6="No",$G$7="Yes"),(('GF diets L-Val'!N$351-'GF diets L-Val'!N$5)*('GF diets L-Val'!N$353/100)*'DDGS Calculator'!$G$8-'GF diets L-Val'!N$266)-(('GF diets L-Val'!G$351-'GF diets L-Val'!G$5)*('GF diets L-Val'!G$353/100)*'DDGS Calculator'!$G$8-'GF diets L-Val'!G$266),
IF(AND($G$5="Yes",$G$6="No",$G$7="Yes"),(('GF diets L-Val + Fat'!N$351-'GF diets L-Val + Fat'!N$5)*('GF diets L-Val + Fat'!N$353/100)*'DDGS Calculator'!$G$8-'GF diets L-Val + Fat'!N$266)-(('GF diets L-Val + Fat'!G$351-'GF diets L-Val + Fat'!G$5)*('GF diets L-Val + Fat'!G$353/100)*'DDGS Calculator'!$G$8-'GF diets L-Val + Fat'!G$266),
IF(AND($G$5="No",$G$6="Yes",$G$7="No"),(('GF diets No L-Val + WD'!N$351-'GF diets No L-Val + WD'!N$5)*('GF diets No L-Val + WD'!N$353/100)*'DDGS Calculator'!$G$8-'GF diets No L-Val + WD'!N$266)-(('GF diets No L-Val + WD'!G$351-'GF diets No L-Val + WD'!G$5)*('GF diets No L-Val + WD'!G$353/100)*'DDGS Calculator'!$G$8-'GF diets No L-Val + WD'!G$266),
IF(AND($G$5="Yes",$G$6="Yes",$G$7="No"),(('GF diets No L-Val + Fat + WD'!N$351-'GF diets No L-Val + Fat + WD'!N$5)*('GF diets No L-Val + Fat + WD'!N$353/100)*'DDGS Calculator'!$G$8-'GF diets No L-Val + Fat + WD'!N$266)-(('GF diets No L-Val + Fat + WD'!G$351-'GF diets No L-Val + Fat + WD'!G$5)*('GF diets No L-Val + Fat + WD'!G$353/100)*'DDGS Calculator'!$G$8-'GF diets No L-Val + Fat + WD'!G$266),
IF(AND($G$5="No",$G$6="Yes",$G$7="Yes"),(('GF diets L-Val + WD'!N$351-'GF diets L-Val + WD'!N$5)*('GF diets L-Val + WD'!N$353/100)*'DDGS Calculator'!$G$8-'GF diets L-Val + WD'!N$266)-(('GF diets L-Val + WD'!G$351-'GF diets L-Val + WD'!G$5)*('GF diets L-Val + WD'!G$353/100)*'DDGS Calculator'!$G$8-'GF diets L-Val + WD'!G$266),
IF(AND($G$5="Yes",$G$6="Yes",$G$7="Yes"),(('GF diets L-Val + Fat + WD'!N$351-'GF diets L-Val + Fat + WD'!N$5)*('GF diets L-Val + Fat + WD'!N$353/100)*'DDGS Calculator'!$G$8-'GF diets L-Val + Fat + WD'!N$266)-(('GF diets L-Val + Fat + WD'!G$351-'GF diets L-Val + Fat + WD'!G$5)*('GF diets L-Val + Fat + WD'!G$353/100)*'DDGS Calculator'!$G$8-'GF diets L-Val + Fat + WD'!G$266)))))))))</f>
        <v>-0.29685825214529871</v>
      </c>
      <c r="I68" s="468">
        <f t="shared" ref="I68:I73" si="3">SUM(C68:H68)</f>
        <v>-1.1669600027656308</v>
      </c>
      <c r="J68" s="468"/>
      <c r="K68" s="450"/>
      <c r="L68" s="453"/>
      <c r="M68" s="388"/>
      <c r="N68" s="388"/>
      <c r="O68" s="388"/>
      <c r="P68" s="388"/>
      <c r="Q68" s="388"/>
      <c r="S68" s="454"/>
      <c r="T68" s="454"/>
      <c r="U68" s="454"/>
      <c r="V68" s="454"/>
      <c r="W68" s="391"/>
      <c r="X68" s="391"/>
    </row>
    <row r="69" spans="1:30" ht="15.6" x14ac:dyDescent="0.3">
      <c r="A69" s="290">
        <v>0.1</v>
      </c>
      <c r="B69" s="387" t="s">
        <v>488</v>
      </c>
      <c r="C69" s="468">
        <f>IF(AND($G$5="No",$G$6="No",$G$7="No"),((('GF diets No L-Val'!P$351-'GF diets No L-Val'!P$5)*('GF diets No L-Val'!P$353/100)*'DDGS Calculator'!$G$8)-'GF diets No L-Val'!P$266)-(('GF diets No L-Val'!B$351-'GF diets No L-Val'!B$5)*('GF diets No L-Val'!B$353/100)*'DDGS Calculator'!$G$8-'GF diets No L-Val'!B$266),
IF(AND($G$5="Yes",$G$6="No",$G$7="No"),(('GF diets No L-Val + Fat'!P$351-'GF diets No L-Val + Fat'!P$5)*('GF diets No L-Val + Fat'!P$353/100)*'DDGS Calculator'!$G$8-'GF diets No L-Val + Fat'!P$266)-(('GF diets No L-Val + Fat'!B$351-'GF diets No L-Val + Fat'!B$5)*('GF diets No L-Val + Fat'!B$353/100)*'DDGS Calculator'!$G$8-'GF diets No L-Val + Fat'!B$266),
IF(AND($G$5="No",$G$6="No",$G$7="Yes"),(('GF diets L-Val'!P$351-'GF diets L-Val'!P$5)*('GF diets L-Val'!P$353/100)*'DDGS Calculator'!$G$8-'GF diets L-Val'!P$266)-(('GF diets L-Val'!B$351-'GF diets L-Val'!B$5)*('GF diets L-Val'!B$353/100)*'DDGS Calculator'!$G$8-'GF diets L-Val'!B$266),
IF(AND($G$5="Yes",$G$6="No",$G$7="Yes"),(('GF diets L-Val + Fat'!P$351-'GF diets L-Val + Fat'!P$5)*('GF diets L-Val + Fat'!P$353/100)*'DDGS Calculator'!$G$8-'GF diets L-Val + Fat'!P$266)-(('GF diets L-Val + Fat'!B$351-'GF diets L-Val + Fat'!B$5)*('GF diets L-Val + Fat'!B$353/100)*'DDGS Calculator'!$G$8-'GF diets L-Val + Fat'!B$266),
IF(AND($G$5="No",$G$6="Yes",$G$7="No"),(('GF diets No L-Val + WD'!P$351-'GF diets No L-Val + WD'!P$5)*('GF diets No L-Val + WD'!P$353/100)*'DDGS Calculator'!$G$8-'GF diets No L-Val + WD'!P$266)-(('GF diets No L-Val + WD'!B$351-'GF diets No L-Val + WD'!B$5)*('GF diets No L-Val + WD'!B$353/100)*'DDGS Calculator'!$G$8-'GF diets No L-Val + WD'!B$266),
IF(AND($G$5="Yes",$G$6="Yes",$G$7="No"),(('GF diets No L-Val + Fat + WD'!P$351-'GF diets No L-Val + Fat + WD'!P$5)*('GF diets No L-Val + Fat + WD'!P$353/100)*'DDGS Calculator'!$G$8-'GF diets No L-Val + Fat + WD'!P$266)-(('GF diets No L-Val + Fat + WD'!B$351-'GF diets No L-Val + Fat + WD'!B$5)*('GF diets No L-Val + Fat + WD'!B$353/100)*'DDGS Calculator'!$G$8-'GF diets No L-Val + Fat + WD'!B$266),
IF(AND($G$5="No",$G$6="Yes",$G$7="Yes"),(('GF diets L-Val + WD'!P$351-'GF diets L-Val + WD'!P$5)*('GF diets L-Val + WD'!P$353/100)*'DDGS Calculator'!$G$8-'GF diets L-Val + WD'!P$266)-(('GF diets L-Val + WD'!B$351-'GF diets L-Val + WD'!B$5)*('GF diets L-Val + WD'!B$353/100)*'DDGS Calculator'!$G$8-'GF diets L-Val + WD'!B$266),
IF(AND($G$5="Yes",$G$6="Yes",$G$7="Yes"),(('GF diets L-Val + Fat + WD'!P$351-'GF diets L-Val + Fat + WD'!P$5)*('GF diets L-Val + Fat + WD'!P$353/100)*'DDGS Calculator'!$G$8-'GF diets L-Val + Fat + WD'!P$266)-(('GF diets L-Val + Fat + WD'!B$351-'GF diets L-Val + Fat + WD'!B$5)*('GF diets L-Val + Fat + WD'!B$353/100)*'DDGS Calculator'!$G$8-'GF diets L-Val + Fat + WD'!B$266)))))))))</f>
        <v>-0.29513547459885636</v>
      </c>
      <c r="D69" s="468">
        <f>IF(AND($G$5="No",$G$6="No",$G$7="No"),((('GF diets No L-Val'!Q$351-'GF diets No L-Val'!Q$5)*('GF diets No L-Val'!Q$353/100)*'DDGS Calculator'!$G$8)-'GF diets No L-Val'!Q$266)-(('GF diets No L-Val'!C$351-'GF diets No L-Val'!C$5)*('GF diets No L-Val'!C$353/100)*'DDGS Calculator'!$G$8-'GF diets No L-Val'!C$266),
IF(AND($G$5="Yes",$G$6="No",$G$7="No"),(('GF diets No L-Val + Fat'!Q$351-'GF diets No L-Val + Fat'!Q$5)*('GF diets No L-Val + Fat'!Q$353/100)*'DDGS Calculator'!$G$8-'GF diets No L-Val + Fat'!Q$266)-(('GF diets No L-Val + Fat'!C$351-'GF diets No L-Val + Fat'!C$5)*('GF diets No L-Val + Fat'!C$353/100)*'DDGS Calculator'!$G$8-'GF diets No L-Val + Fat'!C$266),
IF(AND($G$5="No",$G$6="No",$G$7="Yes"),(('GF diets L-Val'!Q$351-'GF diets L-Val'!Q$5)*('GF diets L-Val'!Q$353/100)*'DDGS Calculator'!$G$8-'GF diets L-Val'!Q$266)-(('GF diets L-Val'!C$351-'GF diets L-Val'!C$5)*('GF diets L-Val'!C$353/100)*'DDGS Calculator'!$G$8-'GF diets L-Val'!C$266),
IF(AND($G$5="Yes",$G$6="No",$G$7="Yes"),(('GF diets L-Val + Fat'!Q$351-'GF diets L-Val + Fat'!Q$5)*('GF diets L-Val + Fat'!Q$353/100)*'DDGS Calculator'!$G$8-'GF diets L-Val + Fat'!Q$266)-(('GF diets L-Val + Fat'!C$351-'GF diets L-Val + Fat'!C$5)*('GF diets L-Val + Fat'!C$353/100)*'DDGS Calculator'!$G$8-'GF diets L-Val + Fat'!C$266),
IF(AND($G$5="No",$G$6="Yes",$G$7="No"),(('GF diets No L-Val + WD'!Q$351-'GF diets No L-Val + WD'!Q$5)*('GF diets No L-Val + WD'!Q$353/100)*'DDGS Calculator'!$G$8-'GF diets No L-Val + WD'!Q$266)-(('GF diets No L-Val + WD'!C$351-'GF diets No L-Val + WD'!C$5)*('GF diets No L-Val + WD'!C$353/100)*'DDGS Calculator'!$G$8-'GF diets No L-Val + WD'!C$266),
IF(AND($G$5="Yes",$G$6="Yes",$G$7="No"),(('GF diets No L-Val + Fat + WD'!Q$351-'GF diets No L-Val + Fat + WD'!Q$5)*('GF diets No L-Val + Fat + WD'!Q$353/100)*'DDGS Calculator'!$G$8-'GF diets No L-Val + Fat + WD'!Q$266)-(('GF diets No L-Val + Fat + WD'!C$351-'GF diets No L-Val + Fat + WD'!C$5)*('GF diets No L-Val + Fat + WD'!C$353/100)*'DDGS Calculator'!$G$8-'GF diets No L-Val + Fat + WD'!C$266),
IF(AND($G$5="No",$G$6="Yes",$G$7="Yes"),(('GF diets L-Val + WD'!Q$351-'GF diets L-Val + WD'!Q$5)*('GF diets L-Val + WD'!Q$353/100)*'DDGS Calculator'!$G$8-'GF diets L-Val + WD'!Q$266)-(('GF diets L-Val + WD'!C$351-'GF diets L-Val + WD'!C$5)*('GF diets L-Val + WD'!C$353/100)*'DDGS Calculator'!$G$8-'GF diets L-Val + WD'!C$266),
IF(AND($G$5="Yes",$G$6="Yes",$G$7="Yes"),(('GF diets L-Val + Fat + WD'!Q$351-'GF diets L-Val + Fat + WD'!Q$5)*('GF diets L-Val + Fat + WD'!Q$353/100)*'DDGS Calculator'!$G$8-'GF diets L-Val + Fat + WD'!Q$266)-(('GF diets L-Val + Fat + WD'!C$351-'GF diets L-Val + Fat + WD'!C$5)*('GF diets L-Val + Fat + WD'!C$353/100)*'DDGS Calculator'!$G$8-'GF diets L-Val + Fat + WD'!C$266)))))))))</f>
        <v>-0.2823965170342202</v>
      </c>
      <c r="E69" s="468">
        <f>IF(AND($G$5="No",$G$6="No",$G$7="No"),((('GF diets No L-Val'!R$351-'GF diets No L-Val'!R$5)*('GF diets No L-Val'!R$353/100)*'DDGS Calculator'!$G$8)-'GF diets No L-Val'!R$266)-(('GF diets No L-Val'!D$351-'GF diets No L-Val'!D$5)*('GF diets No L-Val'!D$353/100)*'DDGS Calculator'!$G$8-'GF diets No L-Val'!D$266),
IF(AND($G$5="Yes",$G$6="No",$G$7="No"),(('GF diets No L-Val + Fat'!R$351-'GF diets No L-Val + Fat'!R$5)*('GF diets No L-Val + Fat'!R$353/100)*'DDGS Calculator'!$G$8-'GF diets No L-Val + Fat'!R$266)-(('GF diets No L-Val + Fat'!D$351-'GF diets No L-Val + Fat'!D$5)*('GF diets No L-Val + Fat'!D$353/100)*'DDGS Calculator'!$G$8-'GF diets No L-Val + Fat'!D$266),
IF(AND($G$5="No",$G$6="No",$G$7="Yes"),(('GF diets L-Val'!R$351-'GF diets L-Val'!R$5)*('GF diets L-Val'!R$353/100)*'DDGS Calculator'!$G$8-'GF diets L-Val'!R$266)-(('GF diets L-Val'!D$351-'GF diets L-Val'!D$5)*('GF diets L-Val'!D$353/100)*'DDGS Calculator'!$G$8-'GF diets L-Val'!D$266),
IF(AND($G$5="Yes",$G$6="No",$G$7="Yes"),(('GF diets L-Val + Fat'!R$351-'GF diets L-Val + Fat'!R$5)*('GF diets L-Val + Fat'!R$353/100)*'DDGS Calculator'!$G$8-'GF diets L-Val + Fat'!R$266)-(('GF diets L-Val + Fat'!D$351-'GF diets L-Val + Fat'!D$5)*('GF diets L-Val + Fat'!D$353/100)*'DDGS Calculator'!$G$8-'GF diets L-Val + Fat'!D$266),
IF(AND($G$5="No",$G$6="Yes",$G$7="No"),(('GF diets No L-Val + WD'!R$351-'GF diets No L-Val + WD'!R$5)*('GF diets No L-Val + WD'!R$353/100)*'DDGS Calculator'!$G$8-'GF diets No L-Val + WD'!R$266)-(('GF diets No L-Val + WD'!D$351-'GF diets No L-Val + WD'!D$5)*('GF diets No L-Val + WD'!D$353/100)*'DDGS Calculator'!$G$8-'GF diets No L-Val + WD'!D$266),
IF(AND($G$5="Yes",$G$6="Yes",$G$7="No"),(('GF diets No L-Val + Fat + WD'!R$351-'GF diets No L-Val + Fat + WD'!R$5)*('GF diets No L-Val + Fat + WD'!R$353/100)*'DDGS Calculator'!$G$8-'GF diets No L-Val + Fat + WD'!R$266)-(('GF diets No L-Val + Fat + WD'!D$351-'GF diets No L-Val + Fat + WD'!D$5)*('GF diets No L-Val + Fat + WD'!D$353/100)*'DDGS Calculator'!$G$8-'GF diets No L-Val + Fat + WD'!D$266),
IF(AND($G$5="No",$G$6="Yes",$G$7="Yes"),(('GF diets L-Val + WD'!R$351-'GF diets L-Val + WD'!R$5)*('GF diets L-Val + WD'!R$353/100)*'DDGS Calculator'!$G$8-'GF diets L-Val + WD'!R$266)-(('GF diets L-Val + WD'!D$351-'GF diets L-Val + WD'!D$5)*('GF diets L-Val + WD'!D$353/100)*'DDGS Calculator'!$G$8-'GF diets L-Val + WD'!D$266),
IF(AND($G$5="Yes",$G$6="Yes",$G$7="Yes"),(('GF diets L-Val + Fat + WD'!R$351-'GF diets L-Val + Fat + WD'!R$5)*('GF diets L-Val + Fat + WD'!R$353/100)*'DDGS Calculator'!$G$8-'GF diets L-Val + Fat + WD'!R$266)-(('GF diets L-Val + Fat + WD'!D$351-'GF diets L-Val + Fat + WD'!D$5)*('GF diets L-Val + Fat + WD'!D$353/100)*'DDGS Calculator'!$G$8-'GF diets L-Val + Fat + WD'!D$266)))))))))</f>
        <v>-0.33270951264459114</v>
      </c>
      <c r="F69" s="468">
        <f>IF(AND($G$5="No",$G$6="No",$G$7="No"),((('GF diets No L-Val'!S$351-'GF diets No L-Val'!S$5)*('GF diets No L-Val'!S$353/100)*'DDGS Calculator'!$G$8)-'GF diets No L-Val'!S$266)-(('GF diets No L-Val'!E$351-'GF diets No L-Val'!E$5)*('GF diets No L-Val'!E$353/100)*'DDGS Calculator'!$G$8-'GF diets No L-Val'!E$266),
IF(AND($G$5="Yes",$G$6="No",$G$7="No"),(('GF diets No L-Val + Fat'!S$351-'GF diets No L-Val + Fat'!S$5)*('GF diets No L-Val + Fat'!S$353/100)*'DDGS Calculator'!$G$8-'GF diets No L-Val + Fat'!S$266)-(('GF diets No L-Val + Fat'!E$351-'GF diets No L-Val + Fat'!E$5)*('GF diets No L-Val + Fat'!E$353/100)*'DDGS Calculator'!$G$8-'GF diets No L-Val + Fat'!E$266),
IF(AND($G$5="No",$G$6="No",$G$7="Yes"),(('GF diets L-Val'!S$351-'GF diets L-Val'!S$5)*('GF diets L-Val'!S$353/100)*'DDGS Calculator'!$G$8-'GF diets L-Val'!S$266)-(('GF diets L-Val'!E$351-'GF diets L-Val'!E$5)*('GF diets L-Val'!E$353/100)*'DDGS Calculator'!$G$8-'GF diets L-Val'!E$266),
IF(AND($G$5="Yes",$G$6="No",$G$7="Yes"),(('GF diets L-Val + Fat'!S$351-'GF diets L-Val + Fat'!S$5)*('GF diets L-Val + Fat'!S$353/100)*'DDGS Calculator'!$G$8-'GF diets L-Val + Fat'!S$266)-(('GF diets L-Val + Fat'!E$351-'GF diets L-Val + Fat'!E$5)*('GF diets L-Val + Fat'!E$353/100)*'DDGS Calculator'!$G$8-'GF diets L-Val + Fat'!E$266),
IF(AND($G$5="No",$G$6="Yes",$G$7="No"),(('GF diets No L-Val + WD'!S$351-'GF diets No L-Val + WD'!S$5)*('GF diets No L-Val + WD'!S$353/100)*'DDGS Calculator'!$G$8-'GF diets No L-Val + WD'!S$266)-(('GF diets No L-Val + WD'!E$351-'GF diets No L-Val + WD'!E$5)*('GF diets No L-Val + WD'!E$353/100)*'DDGS Calculator'!$G$8-'GF diets No L-Val + WD'!E$266),
IF(AND($G$5="Yes",$G$6="Yes",$G$7="No"),(('GF diets No L-Val + Fat + WD'!S$351-'GF diets No L-Val + Fat + WD'!S$5)*('GF diets No L-Val + Fat + WD'!S$353/100)*'DDGS Calculator'!$G$8-'GF diets No L-Val + Fat + WD'!S$266)-(('GF diets No L-Val + Fat + WD'!E$351-'GF diets No L-Val + Fat + WD'!E$5)*('GF diets No L-Val + Fat + WD'!E$353/100)*'DDGS Calculator'!$G$8-'GF diets No L-Val + Fat + WD'!E$266),
IF(AND($G$5="No",$G$6="Yes",$G$7="Yes"),(('GF diets L-Val + WD'!S$351-'GF diets L-Val + WD'!S$5)*('GF diets L-Val + WD'!S$353/100)*'DDGS Calculator'!$G$8-'GF diets L-Val + WD'!S$266)-(('GF diets L-Val + WD'!E$351-'GF diets L-Val + WD'!E$5)*('GF diets L-Val + WD'!E$353/100)*'DDGS Calculator'!$G$8-'GF diets L-Val + WD'!E$266),
IF(AND($G$5="Yes",$G$6="Yes",$G$7="Yes"),(('GF diets L-Val + Fat + WD'!S$351-'GF diets L-Val + Fat + WD'!S$5)*('GF diets L-Val + Fat + WD'!S$353/100)*'DDGS Calculator'!$G$8-'GF diets L-Val + Fat + WD'!S$266)-(('GF diets L-Val + Fat + WD'!E$351-'GF diets L-Val + Fat + WD'!E$5)*('GF diets L-Val + Fat + WD'!E$353/100)*'DDGS Calculator'!$G$8-'GF diets L-Val + Fat + WD'!E$266)))))))))</f>
        <v>-0.36509263938639336</v>
      </c>
      <c r="G69" s="468">
        <f>IF(AND($G$5="No",$G$6="No",$G$7="No"),((('GF diets No L-Val'!T$351-'GF diets No L-Val'!T$5)*('GF diets No L-Val'!T$353/100)*'DDGS Calculator'!$G$8)-'GF diets No L-Val'!T$266)-(('GF diets No L-Val'!F$351-'GF diets No L-Val'!F$5)*('GF diets No L-Val'!F$353/100)*'DDGS Calculator'!$G$8-'GF diets No L-Val'!F$266),
IF(AND($G$5="Yes",$G$6="No",$G$7="No"),(('GF diets No L-Val + Fat'!T$351-'GF diets No L-Val + Fat'!T$5)*('GF diets No L-Val + Fat'!T$353/100)*'DDGS Calculator'!$G$8-'GF diets No L-Val + Fat'!T$266)-(('GF diets No L-Val + Fat'!F$351-'GF diets No L-Val + Fat'!F$5)*('GF diets No L-Val + Fat'!F$353/100)*'DDGS Calculator'!$G$8-'GF diets No L-Val + Fat'!F$266),
IF(AND($G$5="No",$G$6="No",$G$7="Yes"),(('GF diets L-Val'!T$351-'GF diets L-Val'!T$5)*('GF diets L-Val'!T$353/100)*'DDGS Calculator'!$G$8-'GF diets L-Val'!T$266)-(('GF diets L-Val'!F$351-'GF diets L-Val'!F$5)*('GF diets L-Val'!F$353/100)*'DDGS Calculator'!$G$8-'GF diets L-Val'!F$266),
IF(AND($G$5="Yes",$G$6="No",$G$7="Yes"),(('GF diets L-Val + Fat'!T$351-'GF diets L-Val + Fat'!T$5)*('GF diets L-Val + Fat'!T$353/100)*'DDGS Calculator'!$G$8-'GF diets L-Val + Fat'!T$266)-(('GF diets L-Val + Fat'!F$351-'GF diets L-Val + Fat'!F$5)*('GF diets L-Val + Fat'!F$353/100)*'DDGS Calculator'!$G$8-'GF diets L-Val + Fat'!F$266),
IF(AND($G$5="No",$G$6="Yes",$G$7="No"),(('GF diets No L-Val + WD'!T$351-'GF diets No L-Val + WD'!T$5)*('GF diets No L-Val + WD'!T$353/100)*'DDGS Calculator'!$G$8-'GF diets No L-Val + WD'!T$266)-(('GF diets No L-Val + WD'!F$351-'GF diets No L-Val + WD'!F$5)*('GF diets No L-Val + WD'!F$353/100)*'DDGS Calculator'!$G$8-'GF diets No L-Val + WD'!F$266),
IF(AND($G$5="Yes",$G$6="Yes",$G$7="No"),(('GF diets No L-Val + Fat + WD'!T$351-'GF diets No L-Val + Fat + WD'!T$5)*('GF diets No L-Val + Fat + WD'!T$353/100)*'DDGS Calculator'!$G$8-'GF diets No L-Val + Fat + WD'!T$266)-(('GF diets No L-Val + Fat + WD'!F$351-'GF diets No L-Val + Fat + WD'!F$5)*('GF diets No L-Val + Fat + WD'!F$353/100)*'DDGS Calculator'!$G$8-'GF diets No L-Val + Fat + WD'!F$266),
IF(AND($G$5="No",$G$6="Yes",$G$7="Yes"),(('GF diets L-Val + WD'!T$351-'GF diets L-Val + WD'!T$5)*('GF diets L-Val + WD'!T$353/100)*'DDGS Calculator'!$G$8-'GF diets L-Val + WD'!T$266)-(('GF diets L-Val + WD'!F$351-'GF diets L-Val + WD'!F$5)*('GF diets L-Val + WD'!F$353/100)*'DDGS Calculator'!$G$8-'GF diets L-Val + WD'!F$266),
IF(AND($G$5="Yes",$G$6="Yes",$G$7="Yes"),(('GF diets L-Val + Fat + WD'!T$351-'GF diets L-Val + Fat + WD'!T$5)*('GF diets L-Val + Fat + WD'!T$353/100)*'DDGS Calculator'!$G$8-'GF diets L-Val + Fat + WD'!T$266)-(('GF diets L-Val + Fat + WD'!F$351-'GF diets L-Val + Fat + WD'!F$5)*('GF diets L-Val + Fat + WD'!F$353/100)*'DDGS Calculator'!$G$8-'GF diets L-Val + Fat + WD'!F$266)))))))))</f>
        <v>-0.441118868385594</v>
      </c>
      <c r="H69" s="468">
        <f>IF(AND($G$5="No",$G$6="No",$G$7="No"),((('GF diets No L-Val'!U$351-'GF diets No L-Val'!U$5)*('GF diets No L-Val'!U$353/100)*'DDGS Calculator'!$G$8)-'GF diets No L-Val'!U$266)-(('GF diets No L-Val'!G$351-'GF diets No L-Val'!G$5)*('GF diets No L-Val'!G$353/100)*'DDGS Calculator'!$G$8-'GF diets No L-Val'!G$266),
IF(AND($G$5="Yes",$G$6="No",$G$7="No"),(('GF diets No L-Val + Fat'!U$351-'GF diets No L-Val + Fat'!U$5)*('GF diets No L-Val + Fat'!U$353/100)*'DDGS Calculator'!$G$8-'GF diets No L-Val + Fat'!U$266)-(('GF diets No L-Val + Fat'!G$351-'GF diets No L-Val + Fat'!G$5)*('GF diets No L-Val + Fat'!G$353/100)*'DDGS Calculator'!$G$8-'GF diets No L-Val + Fat'!G$266),
IF(AND($G$5="No",$G$6="No",$G$7="Yes"),(('GF diets L-Val'!U$351-'GF diets L-Val'!U$5)*('GF diets L-Val'!U$353/100)*'DDGS Calculator'!$G$8-'GF diets L-Val'!U$266)-(('GF diets L-Val'!G$351-'GF diets L-Val'!G$5)*('GF diets L-Val'!G$353/100)*'DDGS Calculator'!$G$8-'GF diets L-Val'!G$266),
IF(AND($G$5="Yes",$G$6="No",$G$7="Yes"),(('GF diets L-Val + Fat'!U$351-'GF diets L-Val + Fat'!U$5)*('GF diets L-Val + Fat'!U$353/100)*'DDGS Calculator'!$G$8-'GF diets L-Val + Fat'!U$266)-(('GF diets L-Val + Fat'!G$351-'GF diets L-Val + Fat'!G$5)*('GF diets L-Val + Fat'!G$353/100)*'DDGS Calculator'!$G$8-'GF diets L-Val + Fat'!G$266),
IF(AND($G$5="No",$G$6="Yes",$G$7="No"),(('GF diets No L-Val + WD'!U$351-'GF diets No L-Val + WD'!U$5)*('GF diets No L-Val + WD'!U$353/100)*'DDGS Calculator'!$G$8-'GF diets No L-Val + WD'!U$266)-(('GF diets No L-Val + WD'!G$351-'GF diets No L-Val + WD'!G$5)*('GF diets No L-Val + WD'!G$353/100)*'DDGS Calculator'!$G$8-'GF diets No L-Val + WD'!G$266),
IF(AND($G$5="Yes",$G$6="Yes",$G$7="No"),(('GF diets No L-Val + Fat + WD'!U$351-'GF diets No L-Val + Fat + WD'!U$5)*('GF diets No L-Val + Fat + WD'!U$353/100)*'DDGS Calculator'!$G$8-'GF diets No L-Val + Fat + WD'!U$266)-(('GF diets No L-Val + Fat + WD'!G$351-'GF diets No L-Val + Fat + WD'!G$5)*('GF diets No L-Val + Fat + WD'!G$353/100)*'DDGS Calculator'!$G$8-'GF diets No L-Val + Fat + WD'!G$266),
IF(AND($G$5="No",$G$6="Yes",$G$7="Yes"),(('GF diets L-Val + WD'!U$351-'GF diets L-Val + WD'!U$5)*('GF diets L-Val + WD'!U$353/100)*'DDGS Calculator'!$G$8-'GF diets L-Val + WD'!U$266)-(('GF diets L-Val + WD'!G$351-'GF diets L-Val + WD'!G$5)*('GF diets L-Val + WD'!G$353/100)*'DDGS Calculator'!$G$8-'GF diets L-Val + WD'!G$266),
IF(AND($G$5="Yes",$G$6="Yes",$G$7="Yes"),(('GF diets L-Val + Fat + WD'!U$351-'GF diets L-Val + Fat + WD'!U$5)*('GF diets L-Val + Fat + WD'!U$353/100)*'DDGS Calculator'!$G$8-'GF diets L-Val + Fat + WD'!U$266)-(('GF diets L-Val + Fat + WD'!G$351-'GF diets L-Val + Fat + WD'!G$5)*('GF diets L-Val + Fat + WD'!G$353/100)*'DDGS Calculator'!$G$8-'GF diets L-Val + Fat + WD'!G$266)))))))))</f>
        <v>-0.61640541798224469</v>
      </c>
      <c r="I69" s="468">
        <f t="shared" si="3"/>
        <v>-2.3328584300318997</v>
      </c>
      <c r="J69" s="468">
        <f>I69-I68</f>
        <v>-1.1658984272662689</v>
      </c>
      <c r="K69" s="450"/>
      <c r="L69" s="388"/>
      <c r="M69" s="388"/>
      <c r="N69" s="388"/>
      <c r="O69" s="388"/>
      <c r="P69" s="388"/>
      <c r="Q69" s="388"/>
      <c r="S69" s="454"/>
      <c r="T69" s="454"/>
      <c r="U69" s="454"/>
      <c r="V69" s="454"/>
      <c r="W69" s="391"/>
      <c r="X69" s="391"/>
    </row>
    <row r="70" spans="1:30" ht="15.6" x14ac:dyDescent="0.3">
      <c r="A70" s="290">
        <v>0.15</v>
      </c>
      <c r="B70" s="387" t="s">
        <v>489</v>
      </c>
      <c r="C70" s="468">
        <f>IF(AND($G$5="No",$G$6="No",$G$7="No"),((('GF diets No L-Val'!W$351-'GF diets No L-Val'!W$5)*('GF diets No L-Val'!W$353/100)*'DDGS Calculator'!$G$8)-'GF diets No L-Val'!W$266)-
((('GF diets No L-Val'!B$351-'GF diets No L-Val'!B$5)*('GF diets No L-Val'!B$353/100)*'DDGS Calculator'!$G$8)-'GF diets No L-Val'!B$266),
IF(AND($G$5="Yes",$G$6="No",$G$7="No"),((('GF diets No L-Val + Fat'!W$351-'GF diets No L-Val + Fat'!W$5)*('GF diets No L-Val + Fat'!W$353/100)*'DDGS Calculator'!$G$8)-'GF diets No L-Val + Fat'!W$266)-
((('GF diets No L-Val + Fat'!B$351-'GF diets No L-Val + Fat'!B$5)*('GF diets No L-Val + Fat'!B$353/100)*'DDGS Calculator'!$G$8)-'GF diets No L-Val + Fat'!B$266),
IF(AND($G$5="No",$G$6="No",$G$7="Yes"),((('GF diets L-Val'!W$351-'GF diets L-Val'!W$5)*('GF diets L-Val'!W$353/100)*'DDGS Calculator'!$G$8)-'GF diets L-Val'!W$266)-
((('GF diets L-Val'!B$351-'GF diets L-Val'!B$5)*('GF diets L-Val'!B$353/100)*'DDGS Calculator'!$G$8)-'GF diets L-Val'!B$266),
IF(AND($G$5="Yes",$G$6="No",$G$7="Yes"),((('GF diets L-Val + Fat'!W$351-'GF diets L-Val + Fat'!W$5)*('GF diets L-Val + Fat'!W$353/100)*'DDGS Calculator'!$G$8)-'GF diets L-Val + Fat'!W$266)-
((('GF diets L-Val + Fat'!B$351-'GF diets L-Val + Fat'!B$5)*('GF diets L-Val + Fat'!B$353/100)*'DDGS Calculator'!$G$8)-'GF diets L-Val + Fat'!B$266),
IF(AND($G$5="No",$G$6="Yes",$G$7="No"),((('GF diets No L-Val + WD'!W$351-'GF diets No L-Val + WD'!W$5)*('GF diets No L-Val + WD'!W$353/100)*'DDGS Calculator'!$G$8)-'GF diets No L-Val + WD'!W$266)-
((('GF diets No L-Val + WD'!B$351-'GF diets No L-Val + WD'!B$5)*('GF diets No L-Val + WD'!B$353/100)*'DDGS Calculator'!$G$8)-'GF diets No L-Val + WD'!B$266),
IF(AND($G$5="Yes",$G$6="Yes",$G$7="No"),((('GF diets No L-Val + Fat + WD'!W$351-'GF diets No L-Val + Fat + WD'!W$5)*('GF diets No L-Val + Fat + WD'!W$353/100)*'DDGS Calculator'!$G$8)-'GF diets No L-Val + Fat + WD'!W$266)-
((('GF diets No L-Val + Fat + WD'!B$351-'GF diets No L-Val + Fat + WD'!B$5)*('GF diets No L-Val + Fat + WD'!B$353/100)*'DDGS Calculator'!$G$8)-'GF diets No L-Val + Fat + WD'!B$266),
IF(AND($G$5="No",$G$6="Yes",$G$7="Yes"),((('GF diets L-Val + WD'!W$351-'GF diets L-Val + WD'!W$5)*('GF diets L-Val + WD'!W$353/100)*'DDGS Calculator'!$G$8)-'GF diets L-Val + WD'!W$266)-
((('GF diets L-Val + WD'!B$351-'GF diets L-Val + WD'!B$5)*('GF diets L-Val + WD'!B$353/100)*'DDGS Calculator'!$G$8)-'GF diets L-Val + WD'!B$266),
IF(AND($G$5="Yes",$G$6="Yes",$G$7="Yes"),((('GF diets L-Val + Fat + WD'!W$351-'GF diets L-Val + Fat + WD'!W$5)*('GF diets L-Val + Fat + WD'!W$353/100)*'DDGS Calculator'!$G$8)-'GF diets L-Val + Fat + WD'!W$266)-
((('GF diets L-Val + Fat + WD'!B$351-'GF diets L-Val + Fat + WD'!B$5)*('GF diets L-Val + Fat + WD'!B$353/100)*'DDGS Calculator'!$G$8)-'GF diets L-Val + Fat + WD'!B$266)
))))))))</f>
        <v>-0.4216220315894752</v>
      </c>
      <c r="D70" s="468">
        <f>IF(AND($G$5="No",$G$6="No",$G$7="No"),((('GF diets No L-Val'!X$351-'GF diets No L-Val'!X$5)*('GF diets No L-Val'!X$353/100)*'DDGS Calculator'!$G$8)-'GF diets No L-Val'!X$266)-
((('GF diets No L-Val'!C$351-'GF diets No L-Val'!C$5)*('GF diets No L-Val'!C$353/100)*'DDGS Calculator'!$G$8)-'GF diets No L-Val'!C$266),
IF(AND($G$5="Yes",$G$6="No",$G$7="No"),((('GF diets No L-Val + Fat'!X$351-'GF diets No L-Val + Fat'!X$5)*('GF diets No L-Val + Fat'!X$353/100)*'DDGS Calculator'!$G$8)-'GF diets No L-Val + Fat'!X$266)-
((('GF diets No L-Val + Fat'!C$351-'GF diets No L-Val + Fat'!C$5)*('GF diets No L-Val + Fat'!C$353/100)*'DDGS Calculator'!$G$8)-'GF diets No L-Val + Fat'!C$266),
IF(AND($G$5="No",$G$6="No",$G$7="Yes"),((('GF diets L-Val'!X$351-'GF diets L-Val'!X$5)*('GF diets L-Val'!X$353/100)*'DDGS Calculator'!$G$8)-'GF diets L-Val'!X$266)-
((('GF diets L-Val'!C$351-'GF diets L-Val'!C$5)*('GF diets L-Val'!C$353/100)*'DDGS Calculator'!$G$8)-'GF diets L-Val'!C$266),
IF(AND($G$5="Yes",$G$6="No",$G$7="Yes"),((('GF diets L-Val + Fat'!X$351-'GF diets L-Val + Fat'!X$5)*('GF diets L-Val + Fat'!X$353/100)*'DDGS Calculator'!$G$8)-'GF diets L-Val + Fat'!X$266)-
((('GF diets L-Val + Fat'!C$351-'GF diets L-Val + Fat'!C$5)*('GF diets L-Val + Fat'!C$353/100)*'DDGS Calculator'!$G$8)-'GF diets L-Val + Fat'!C$266),
IF(AND($G$5="No",$G$6="Yes",$G$7="No"),((('GF diets No L-Val + WD'!X$351-'GF diets No L-Val + WD'!X$5)*('GF diets No L-Val + WD'!X$353/100)*'DDGS Calculator'!$G$8)-'GF diets No L-Val + WD'!X$266)-
((('GF diets No L-Val + WD'!C$351-'GF diets No L-Val + WD'!C$5)*('GF diets No L-Val + WD'!C$353/100)*'DDGS Calculator'!$G$8)-'GF diets No L-Val + WD'!C$266),
IF(AND($G$5="Yes",$G$6="Yes",$G$7="No"),((('GF diets No L-Val + Fat + WD'!X$351-'GF diets No L-Val + Fat + WD'!X$5)*('GF diets No L-Val + Fat + WD'!X$353/100)*'DDGS Calculator'!$G$8)-'GF diets No L-Val + Fat + WD'!X$266)-
((('GF diets No L-Val + Fat + WD'!C$351-'GF diets No L-Val + Fat + WD'!C$5)*('GF diets No L-Val + Fat + WD'!C$353/100)*'DDGS Calculator'!$G$8)-'GF diets No L-Val + Fat + WD'!C$266),
IF(AND($G$5="No",$G$6="Yes",$G$7="Yes"),((('GF diets L-Val + WD'!X$351-'GF diets L-Val + WD'!X$5)*('GF diets L-Val + WD'!X$353/100)*'DDGS Calculator'!$G$8)-'GF diets L-Val + WD'!X$266)-
((('GF diets L-Val + WD'!C$351-'GF diets L-Val + WD'!C$5)*('GF diets L-Val + WD'!C$353/100)*'DDGS Calculator'!$G$8)-'GF diets L-Val + WD'!C$266),
IF(AND($G$5="Yes",$G$6="Yes",$G$7="Yes"),((('GF diets L-Val + Fat + WD'!X$351-'GF diets L-Val + Fat + WD'!X$5)*('GF diets L-Val + Fat + WD'!X$353/100)*'DDGS Calculator'!$G$8)-'GF diets L-Val + Fat + WD'!X$266)-
((('GF diets L-Val + Fat + WD'!C$351-'GF diets L-Val + Fat + WD'!C$5)*('GF diets L-Val + Fat + WD'!C$353/100)*'DDGS Calculator'!$G$8)-'GF diets L-Val + Fat + WD'!C$266)
))))))))</f>
        <v>-0.40754353938331001</v>
      </c>
      <c r="E70" s="468">
        <f>IF(AND($G$5="No",$G$6="No",$G$7="No"),((('GF diets No L-Val'!Y$351-'GF diets No L-Val'!Y$5)*('GF diets No L-Val'!Y$353/100)*'DDGS Calculator'!$G$8)-'GF diets No L-Val'!Y$266)-
((('GF diets No L-Val'!D$351-'GF diets No L-Val'!D$5)*('GF diets No L-Val'!D$353/100)*'DDGS Calculator'!$G$8)-'GF diets No L-Val'!D$266),
IF(AND($G$5="Yes",$G$6="No",$G$7="No"),((('GF diets No L-Val + Fat'!Y$351-'GF diets No L-Val + Fat'!Y$5)*('GF diets No L-Val + Fat'!Y$353/100)*'DDGS Calculator'!$G$8)-'GF diets No L-Val + Fat'!Y$266)-
((('GF diets No L-Val + Fat'!D$351-'GF diets No L-Val + Fat'!D$5)*('GF diets No L-Val + Fat'!D$353/100)*'DDGS Calculator'!$G$8)-'GF diets No L-Val + Fat'!D$266),
IF(AND($G$5="No",$G$6="No",$G$7="Yes"),((('GF diets L-Val'!Y$351-'GF diets L-Val'!Y$5)*('GF diets L-Val'!Y$353/100)*'DDGS Calculator'!$G$8)-'GF diets L-Val'!Y$266)-
((('GF diets L-Val'!D$351-'GF diets L-Val'!D$5)*('GF diets L-Val'!D$353/100)*'DDGS Calculator'!$G$8)-'GF diets L-Val'!D$266),
IF(AND($G$5="Yes",$G$6="No",$G$7="Yes"),((('GF diets L-Val + Fat'!Y$351-'GF diets L-Val + Fat'!Y$5)*('GF diets L-Val + Fat'!Y$353/100)*'DDGS Calculator'!$G$8)-'GF diets L-Val + Fat'!Y$266)-
((('GF diets L-Val + Fat'!D$351-'GF diets L-Val + Fat'!D$5)*('GF diets L-Val + Fat'!D$353/100)*'DDGS Calculator'!$G$8)-'GF diets L-Val + Fat'!D$266),
IF(AND($G$5="No",$G$6="Yes",$G$7="No"),((('GF diets No L-Val + WD'!Y$351-'GF diets No L-Val + WD'!Y$5)*('GF diets No L-Val + WD'!Y$353/100)*'DDGS Calculator'!$G$8)-'GF diets No L-Val + WD'!Y$266)-
((('GF diets No L-Val + WD'!D$351-'GF diets No L-Val + WD'!D$5)*('GF diets No L-Val + WD'!D$353/100)*'DDGS Calculator'!$G$8)-'GF diets No L-Val + WD'!D$266),
IF(AND($G$5="Yes",$G$6="Yes",$G$7="No"),((('GF diets No L-Val + Fat + WD'!Y$351-'GF diets No L-Val + Fat + WD'!Y$5)*('GF diets No L-Val + Fat + WD'!Y$353/100)*'DDGS Calculator'!$G$8)-'GF diets No L-Val + Fat + WD'!Y$266)-
((('GF diets No L-Val + Fat + WD'!D$351-'GF diets No L-Val + Fat + WD'!D$5)*('GF diets No L-Val + Fat + WD'!D$353/100)*'DDGS Calculator'!$G$8)-'GF diets No L-Val + Fat + WD'!D$266),
IF(AND($G$5="No",$G$6="Yes",$G$7="Yes"),((('GF diets L-Val + WD'!Y$351-'GF diets L-Val + WD'!Y$5)*('GF diets L-Val + WD'!Y$353/100)*'DDGS Calculator'!$G$8)-'GF diets L-Val + WD'!Y$266)-
((('GF diets L-Val + WD'!D$351-'GF diets L-Val + WD'!D$5)*('GF diets L-Val + WD'!D$353/100)*'DDGS Calculator'!$G$8)-'GF diets L-Val + WD'!D$266),
IF(AND($G$5="Yes",$G$6="Yes",$G$7="Yes"),((('GF diets L-Val + Fat + WD'!Y$351-'GF diets L-Val + Fat + WD'!Y$5)*('GF diets L-Val + Fat + WD'!Y$353/100)*'DDGS Calculator'!$G$8)-'GF diets L-Val + Fat + WD'!Y$266)-
((('GF diets L-Val + Fat + WD'!D$351-'GF diets L-Val + Fat + WD'!D$5)*('GF diets L-Val + Fat + WD'!D$353/100)*'DDGS Calculator'!$G$8)-'GF diets L-Val + Fat + WD'!D$266)
))))))))</f>
        <v>-0.48748733806551847</v>
      </c>
      <c r="F70" s="468">
        <f>IF(AND($G$5="No",$G$6="No",$G$7="No"),((('GF diets No L-Val'!Z$351-'GF diets No L-Val'!Z$5)*('GF diets No L-Val'!Z$353/100)*'DDGS Calculator'!$G$8)-'GF diets No L-Val'!Z$266)-
((('GF diets No L-Val'!E$351-'GF diets No L-Val'!E$5)*('GF diets No L-Val'!E$353/100)*'DDGS Calculator'!$G$8)-'GF diets No L-Val'!E$266),
IF(AND($G$5="Yes",$G$6="No",$G$7="No"),((('GF diets No L-Val + Fat'!Z$351-'GF diets No L-Val + Fat'!Z$5)*('GF diets No L-Val + Fat'!Z$353/100)*'DDGS Calculator'!$G$8)-'GF diets No L-Val + Fat'!Z$266)-
((('GF diets No L-Val + Fat'!E$351-'GF diets No L-Val + Fat'!E$5)*('GF diets No L-Val + Fat'!E$353/100)*'DDGS Calculator'!$G$8)-'GF diets No L-Val + Fat'!E$266),
IF(AND($G$5="No",$G$6="No",$G$7="Yes"),((('GF diets L-Val'!Z$351-'GF diets L-Val'!Z$5)*('GF diets L-Val'!Z$353/100)*'DDGS Calculator'!$G$8)-'GF diets L-Val'!Z$266)-
((('GF diets L-Val'!E$351-'GF diets L-Val'!E$5)*('GF diets L-Val'!E$353/100)*'DDGS Calculator'!$G$8)-'GF diets L-Val'!E$266),
IF(AND($G$5="Yes",$G$6="No",$G$7="Yes"),((('GF diets L-Val + Fat'!Z$351-'GF diets L-Val + Fat'!Z$5)*('GF diets L-Val + Fat'!Z$353/100)*'DDGS Calculator'!$G$8)-'GF diets L-Val + Fat'!Z$266)-
((('GF diets L-Val + Fat'!E$351-'GF diets L-Val + Fat'!E$5)*('GF diets L-Val + Fat'!E$353/100)*'DDGS Calculator'!$G$8)-'GF diets L-Val + Fat'!E$266),
IF(AND($G$5="No",$G$6="Yes",$G$7="No"),((('GF diets No L-Val + WD'!Z$351-'GF diets No L-Val + WD'!Z$5)*('GF diets No L-Val + WD'!Z$353/100)*'DDGS Calculator'!$G$8)-'GF diets No L-Val + WD'!Z$266)-
((('GF diets No L-Val + WD'!E$351-'GF diets No L-Val + WD'!E$5)*('GF diets No L-Val + WD'!E$353/100)*'DDGS Calculator'!$G$8)-'GF diets No L-Val + WD'!E$266),
IF(AND($G$5="Yes",$G$6="Yes",$G$7="No"),((('GF diets No L-Val + Fat + WD'!Z$351-'GF diets No L-Val + Fat + WD'!Z$5)*('GF diets No L-Val + Fat + WD'!Z$353/100)*'DDGS Calculator'!$G$8)-'GF diets No L-Val + Fat + WD'!Z$266)-
((('GF diets No L-Val + Fat + WD'!E$351-'GF diets No L-Val + Fat + WD'!E$5)*('GF diets No L-Val + Fat + WD'!E$353/100)*'DDGS Calculator'!$G$8)-'GF diets No L-Val + Fat + WD'!E$266),
IF(AND($G$5="No",$G$6="Yes",$G$7="Yes"),((('GF diets L-Val + WD'!Z$351-'GF diets L-Val + WD'!Z$5)*('GF diets L-Val + WD'!Z$353/100)*'DDGS Calculator'!$G$8)-'GF diets L-Val + WD'!Z$266)-
((('GF diets L-Val + WD'!E$351-'GF diets L-Val + WD'!E$5)*('GF diets L-Val + WD'!E$353/100)*'DDGS Calculator'!$G$8)-'GF diets L-Val + WD'!E$266),
IF(AND($G$5="Yes",$G$6="Yes",$G$7="Yes"),((('GF diets L-Val + Fat + WD'!Z$351-'GF diets L-Val + Fat + WD'!Z$5)*('GF diets L-Val + Fat + WD'!Z$353/100)*'DDGS Calculator'!$G$8)-'GF diets L-Val + Fat + WD'!Z$266)-
((('GF diets L-Val + Fat + WD'!E$351-'GF diets L-Val + Fat + WD'!E$5)*('GF diets L-Val + Fat + WD'!E$353/100)*'DDGS Calculator'!$G$8)-'GF diets L-Val + Fat + WD'!E$266)
))))))))</f>
        <v>-0.54254085813944641</v>
      </c>
      <c r="G70" s="468">
        <f>IF(AND($G$5="No",$G$6="No",$G$7="No"),((('GF diets No L-Val'!AA$351-'GF diets No L-Val'!AA$5)*('GF diets No L-Val'!AA$353/100)*'DDGS Calculator'!$G$8)-'GF diets No L-Val'!AA$266)-
((('GF diets No L-Val'!F$351-'GF diets No L-Val'!F$5)*('GF diets No L-Val'!F$353/100)*'DDGS Calculator'!$G$8)-'GF diets No L-Val'!F$266),
IF(AND($G$5="Yes",$G$6="No",$G$7="No"),((('GF diets No L-Val + Fat'!AA$351-'GF diets No L-Val + Fat'!AA$5)*('GF diets No L-Val + Fat'!AA$353/100)*'DDGS Calculator'!$G$8)-'GF diets No L-Val + Fat'!AA$266)-
((('GF diets No L-Val + Fat'!F$351-'GF diets No L-Val + Fat'!F$5)*('GF diets No L-Val + Fat'!F$353/100)*'DDGS Calculator'!$G$8)-'GF diets No L-Val + Fat'!F$266),
IF(AND($G$5="No",$G$6="No",$G$7="Yes"),((('GF diets L-Val'!AA$351-'GF diets L-Val'!AA$5)*('GF diets L-Val'!AA$353/100)*'DDGS Calculator'!$G$8)-'GF diets L-Val'!AA$266)-
((('GF diets L-Val'!F$351-'GF diets L-Val'!F$5)*('GF diets L-Val'!F$353/100)*'DDGS Calculator'!$G$8)-'GF diets L-Val'!F$266),
IF(AND($G$5="Yes",$G$6="No",$G$7="Yes"),((('GF diets L-Val + Fat'!AA$351-'GF diets L-Val + Fat'!AA$5)*('GF diets L-Val + Fat'!AA$353/100)*'DDGS Calculator'!$G$8)-'GF diets L-Val + Fat'!AA$266)-
((('GF diets L-Val + Fat'!F$351-'GF diets L-Val + Fat'!F$5)*('GF diets L-Val + Fat'!F$353/100)*'DDGS Calculator'!$G$8)-'GF diets L-Val + Fat'!F$266),
IF(AND($G$5="No",$G$6="Yes",$G$7="No"),((('GF diets No L-Val + WD'!AA$351-'GF diets No L-Val + WD'!AA$5)*('GF diets No L-Val + WD'!AA$353/100)*'DDGS Calculator'!$G$8)-'GF diets No L-Val + WD'!AA$266)-
((('GF diets No L-Val + WD'!F$351-'GF diets No L-Val + WD'!F$5)*('GF diets No L-Val + WD'!F$353/100)*'DDGS Calculator'!$G$8)-'GF diets No L-Val + WD'!F$266),
IF(AND($G$5="Yes",$G$6="Yes",$G$7="No"),((('GF diets No L-Val + Fat + WD'!AA$351-'GF diets No L-Val + Fat + WD'!AA$5)*('GF diets No L-Val + Fat + WD'!AA$353/100)*'DDGS Calculator'!$G$8)-'GF diets No L-Val + Fat + WD'!AA$266)-
((('GF diets No L-Val + Fat + WD'!F$351-'GF diets No L-Val + Fat + WD'!F$5)*('GF diets No L-Val + Fat + WD'!F$353/100)*'DDGS Calculator'!$G$8)-'GF diets No L-Val + Fat + WD'!F$266),
IF(AND($G$5="No",$G$6="Yes",$G$7="Yes"),((('GF diets L-Val + WD'!AA$351-'GF diets L-Val + WD'!AA$5)*('GF diets L-Val + WD'!AA$353/100)*'DDGS Calculator'!$G$8)-'GF diets L-Val + WD'!AA$266)-
((('GF diets L-Val + WD'!F$351-'GF diets L-Val + WD'!F$5)*('GF diets L-Val + WD'!F$353/100)*'DDGS Calculator'!$G$8)-'GF diets L-Val + WD'!F$266),
IF(AND($G$5="Yes",$G$6="Yes",$G$7="Yes"),((('GF diets L-Val + Fat + WD'!AA$351-'GF diets L-Val + Fat + WD'!AA$5)*('GF diets L-Val + Fat + WD'!AA$353/100)*'DDGS Calculator'!$G$8)-'GF diets L-Val + Fat + WD'!AA$266)-
((('GF diets L-Val + Fat + WD'!F$351-'GF diets L-Val + Fat + WD'!F$5)*('GF diets L-Val + Fat + WD'!F$353/100)*'DDGS Calculator'!$G$8)-'GF diets L-Val + Fat + WD'!F$266)
))))))))</f>
        <v>-0.66299798083017869</v>
      </c>
      <c r="H70" s="468">
        <f>IF(AND($G$5="No",$G$6="No",$G$7="No"),((('GF diets No L-Val'!AB$351-'GF diets No L-Val'!AB$5)*('GF diets No L-Val'!AB$353/100)*'DDGS Calculator'!$G$8)-'GF diets No L-Val'!AB$266)-
((('GF diets No L-Val'!G$351-'GF diets No L-Val'!G$5)*('GF diets No L-Val'!G$353/100)*'DDGS Calculator'!$G$8)-'GF diets No L-Val'!G$266),
IF(AND($G$5="Yes",$G$6="No",$G$7="No"),((('GF diets No L-Val + Fat'!AB$351-'GF diets No L-Val + Fat'!AB$5)*('GF diets No L-Val + Fat'!AB$353/100)*'DDGS Calculator'!$G$8)-'GF diets No L-Val + Fat'!AB$266)-
((('GF diets No L-Val + Fat'!G$351-'GF diets No L-Val + Fat'!G$5)*('GF diets No L-Val + Fat'!G$353/100)*'DDGS Calculator'!$G$8)-'GF diets No L-Val + Fat'!G$266),
IF(AND($G$5="No",$G$6="No",$G$7="Yes"),((('GF diets L-Val'!AB$351-'GF diets L-Val'!AB$5)*('GF diets L-Val'!AB$353/100)*'DDGS Calculator'!$G$8)-'GF diets L-Val'!AB$266)-
((('GF diets L-Val'!G$351-'GF diets L-Val'!G$5)*('GF diets L-Val'!G$353/100)*'DDGS Calculator'!$G$8)-'GF diets L-Val'!G$266),
IF(AND($G$5="Yes",$G$6="No",$G$7="Yes"),((('GF diets L-Val + Fat'!AB$351-'GF diets L-Val + Fat'!AB$5)*('GF diets L-Val + Fat'!AB$353/100)*'DDGS Calculator'!$G$8)-'GF diets L-Val + Fat'!AB$266)-
((('GF diets L-Val + Fat'!G$351-'GF diets L-Val + Fat'!G$5)*('GF diets L-Val + Fat'!G$353/100)*'DDGS Calculator'!$G$8)-'GF diets L-Val + Fat'!G$266),
IF(AND($G$5="No",$G$6="Yes",$G$7="No"),((('GF diets No L-Val + WD'!AB$351-'GF diets No L-Val + WD'!AB$5)*('GF diets No L-Val + WD'!AB$353/100)*'DDGS Calculator'!$G$8)-'GF diets No L-Val + WD'!AB$266)-
((('GF diets No L-Val + WD'!G$351-'GF diets No L-Val + WD'!G$5)*('GF diets No L-Val + WD'!G$353/100)*'DDGS Calculator'!$G$8)-'GF diets No L-Val + WD'!G$266),
IF(AND($G$5="Yes",$G$6="Yes",$G$7="No"),((('GF diets No L-Val + Fat + WD'!AB$351-'GF diets No L-Val + Fat + WD'!AB$5)*('GF diets No L-Val + Fat + WD'!AB$353/100)*'DDGS Calculator'!$G$8)-'GF diets No L-Val + Fat + WD'!AB$266)-
((('GF diets No L-Val + Fat + WD'!G$351-'GF diets No L-Val + Fat + WD'!G$5)*('GF diets No L-Val + Fat + WD'!G$353/100)*'DDGS Calculator'!$G$8)-'GF diets No L-Val + Fat + WD'!G$266),
IF(AND($G$5="No",$G$6="Yes",$G$7="Yes"),((('GF diets L-Val + WD'!AB$351-'GF diets L-Val + WD'!AB$5)*('GF diets L-Val + WD'!AB$353/100)*'DDGS Calculator'!$G$8)-'GF diets L-Val + WD'!AB$266)-
((('GF diets L-Val + WD'!G$351-'GF diets L-Val + WD'!G$5)*('GF diets L-Val + WD'!G$353/100)*'DDGS Calculator'!$G$8)-'GF diets L-Val + WD'!G$266),
IF(AND($G$5="Yes",$G$6="Yes",$G$7="Yes"),((('GF diets L-Val + Fat + WD'!AB$351-'GF diets L-Val + Fat + WD'!AB$5)*('GF diets L-Val + Fat + WD'!AB$353/100)*'DDGS Calculator'!$G$8)-'GF diets L-Val + Fat + WD'!AB$266)-
((('GF diets L-Val + Fat + WD'!G$351-'GF diets L-Val + Fat + WD'!G$5)*('GF diets L-Val + Fat + WD'!G$353/100)*'DDGS Calculator'!$G$8)-'GF diets L-Val + Fat + WD'!G$266)
))))))))</f>
        <v>-0.93652396624132628</v>
      </c>
      <c r="I70" s="468">
        <f t="shared" si="3"/>
        <v>-3.4587157142492551</v>
      </c>
      <c r="J70" s="468">
        <f>I70-I69</f>
        <v>-1.1258572842173553</v>
      </c>
      <c r="K70" s="450"/>
      <c r="L70" s="388"/>
      <c r="M70" s="388"/>
      <c r="N70" s="388"/>
      <c r="O70" s="388"/>
      <c r="P70" s="388"/>
      <c r="Q70" s="388"/>
      <c r="S70" s="454"/>
      <c r="T70" s="454"/>
      <c r="U70" s="454"/>
      <c r="V70" s="454"/>
      <c r="W70" s="391"/>
      <c r="X70" s="391"/>
    </row>
    <row r="71" spans="1:30" ht="15.6" x14ac:dyDescent="0.3">
      <c r="A71" s="290">
        <v>0.2</v>
      </c>
      <c r="B71" s="387" t="s">
        <v>490</v>
      </c>
      <c r="C71" s="468">
        <f>IF(AND($G$5="No",$G$6="No",$G$7="No"),((('GF diets No L-Val'!AD$351-'GF diets No L-Val'!AD$5)*('GF diets No L-Val'!AD$353/100)*'DDGS Calculator'!$G$8)-'GF diets No L-Val'!AD$266)-
((('GF diets No L-Val'!B$351-'GF diets No L-Val'!B$5)*('GF diets No L-Val'!B$353/100)*'DDGS Calculator'!$G$8)-'GF diets No L-Val'!B$266),
IF(AND($G$5="Yes",$G$6="No",$G$7="No"),((('GF diets No L-Val + Fat'!AD$351-'GF diets No L-Val + Fat'!AD$5)*('GF diets No L-Val + Fat'!AD$353/100)*'DDGS Calculator'!$G$8)-'GF diets No L-Val + Fat'!AD$266)-
((('GF diets No L-Val + Fat'!B$351-'GF diets No L-Val + Fat'!B$5)*('GF diets No L-Val + Fat'!B$353/100)*'DDGS Calculator'!$G$8)-'GF diets No L-Val + Fat'!B$266),
IF(AND($G$5="No",$G$6="No",$G$7="Yes"),((('GF diets L-Val'!AD$351-'GF diets L-Val'!AD$5)*('GF diets L-Val'!AD$353/100)*'DDGS Calculator'!$G$8)-'GF diets L-Val'!AD$266)-
((('GF diets L-Val'!B$351-'GF diets L-Val'!B$5)*('GF diets L-Val'!B$353/100)*'DDGS Calculator'!$G$8)-'GF diets L-Val'!B$266),
IF(AND($G$5="Yes",$G$6="No",$G$7="Yes"),((('GF diets L-Val + Fat'!AD$351-'GF diets L-Val + Fat'!AD$5)*('GF diets L-Val + Fat'!AD$353/100)*'DDGS Calculator'!$G$8)-'GF diets L-Val + Fat'!AD$266)-
((('GF diets L-Val + Fat'!B$351-'GF diets L-Val + Fat'!B$5)*('GF diets L-Val + Fat'!B$353/100)*'DDGS Calculator'!$G$8)-'GF diets L-Val + Fat'!B$266),
IF(AND($G$5="No",$G$6="Yes",$G$7="No"),((('GF diets No L-Val + WD'!AD$351-'GF diets No L-Val + WD'!AD$5)*('GF diets No L-Val + WD'!AD$353/100)*'DDGS Calculator'!$G$8)-'GF diets No L-Val + WD'!AD$266)-
((('GF diets No L-Val + WD'!B$351-'GF diets No L-Val + WD'!B$5)*('GF diets No L-Val + WD'!B$353/100)*'DDGS Calculator'!$G$8)-'GF diets No L-Val + WD'!B$266),
IF(AND($G$5="Yes",$G$6="Yes",$G$7="No"),((('GF diets No L-Val + Fat + WD'!AD$351-'GF diets No L-Val + Fat + WD'!AD$5)*('GF diets No L-Val + Fat + WD'!AD$353/100)*'DDGS Calculator'!$G$8)-'GF diets No L-Val + Fat + WD'!AD$266)-
((('GF diets No L-Val + Fat + WD'!B$351-'GF diets No L-Val + Fat + WD'!B$5)*('GF diets No L-Val + Fat + WD'!B$353/100)*'DDGS Calculator'!$G$8)-'GF diets No L-Val + Fat + WD'!B$266),
IF(AND($G$5="No",$G$6="Yes",$G$7="Yes"),((('GF diets L-Val + WD'!AD$351-'GF diets L-Val + WD'!AD$5)*('GF diets L-Val + WD'!AD$353/100)*'DDGS Calculator'!$G$8)-'GF diets L-Val + WD'!AD$266)-
((('GF diets L-Val + WD'!B$351-'GF diets L-Val + WD'!B$5)*('GF diets L-Val + WD'!B$353/100)*'DDGS Calculator'!$G$8)-'GF diets L-Val + WD'!B$266),
IF(AND($G$5="Yes",$G$6="Yes",$G$7="Yes"),((('GF diets L-Val + Fat + WD'!AD$351-'GF diets L-Val + Fat + WD'!AD$5)*('GF diets L-Val + Fat + WD'!AD$353/100)*'DDGS Calculator'!$G$8)-'GF diets L-Val + Fat + WD'!AD$266)-
((('GF diets L-Val + Fat + WD'!B$351-'GF diets L-Val + Fat + WD'!B$5)*('GF diets L-Val + Fat + WD'!B$353/100)*'DDGS Calculator'!$G$8)-'GF diets L-Val + Fat + WD'!B$266)
))))))))</f>
        <v>-0.53385558163151003</v>
      </c>
      <c r="D71" s="468">
        <f>IF(AND($G$5="No",$G$6="No",$G$7="No"),((('GF diets No L-Val'!AE$351-'GF diets No L-Val'!AE$5)*('GF diets No L-Val'!AE$353/100)*'DDGS Calculator'!$G$8)-'GF diets No L-Val'!AE$266)-
((('GF diets No L-Val'!C$351-'GF diets No L-Val'!C$5)*('GF diets No L-Val'!C$353/100)*'DDGS Calculator'!$G$8)-'GF diets No L-Val'!C$266),
IF(AND($G$5="Yes",$G$6="No",$G$7="No"),((('GF diets No L-Val + Fat'!AE$351-'GF diets No L-Val + Fat'!AE$5)*('GF diets No L-Val + Fat'!AE$353/100)*'DDGS Calculator'!$G$8)-'GF diets No L-Val + Fat'!AE$266)-
((('GF diets No L-Val + Fat'!C$351-'GF diets No L-Val + Fat'!C$5)*('GF diets No L-Val + Fat'!C$353/100)*'DDGS Calculator'!$G$8)-'GF diets No L-Val + Fat'!C$266),
IF(AND($G$5="No",$G$6="No",$G$7="Yes"),((('GF diets L-Val'!AE$351-'GF diets L-Val'!AE$5)*('GF diets L-Val'!AE$353/100)*'DDGS Calculator'!$G$8)-'GF diets L-Val'!AE$266)-
((('GF diets L-Val'!C$351-'GF diets L-Val'!C$5)*('GF diets L-Val'!C$353/100)*'DDGS Calculator'!$G$8)-'GF diets L-Val'!C$266),
IF(AND($G$5="Yes",$G$6="No",$G$7="Yes"),((('GF diets L-Val + Fat'!AE$351-'GF diets L-Val + Fat'!AE$5)*('GF diets L-Val + Fat'!AE$353/100)*'DDGS Calculator'!$G$8)-'GF diets L-Val + Fat'!AE$266)-
((('GF diets L-Val + Fat'!C$351-'GF diets L-Val + Fat'!C$5)*('GF diets L-Val + Fat'!C$353/100)*'DDGS Calculator'!$G$8)-'GF diets L-Val + Fat'!C$266),
IF(AND($G$5="No",$G$6="Yes",$G$7="No"),((('GF diets No L-Val + WD'!AE$351-'GF diets No L-Val + WD'!AE$5)*('GF diets No L-Val + WD'!AE$353/100)*'DDGS Calculator'!$G$8)-'GF diets No L-Val + WD'!AE$266)-
((('GF diets No L-Val + WD'!C$351-'GF diets No L-Val + WD'!C$5)*('GF diets No L-Val + WD'!C$353/100)*'DDGS Calculator'!$G$8)-'GF diets No L-Val + WD'!C$266),
IF(AND($G$5="Yes",$G$6="Yes",$G$7="No"),((('GF diets No L-Val + Fat + WD'!AE$351-'GF diets No L-Val + Fat + WD'!AE$5)*('GF diets No L-Val + Fat + WD'!AE$353/100)*'DDGS Calculator'!$G$8)-'GF diets No L-Val + Fat + WD'!AE$266)-
((('GF diets No L-Val + Fat + WD'!C$351-'GF diets No L-Val + Fat + WD'!C$5)*('GF diets No L-Val + Fat + WD'!C$353/100)*'DDGS Calculator'!$G$8)-'GF diets No L-Val + Fat + WD'!C$266),
IF(AND($G$5="No",$G$6="Yes",$G$7="Yes"),((('GF diets L-Val + WD'!AE$351-'GF diets L-Val + WD'!AE$5)*('GF diets L-Val + WD'!AE$353/100)*'DDGS Calculator'!$G$8)-'GF diets L-Val + WD'!AE$266)-
((('GF diets L-Val + WD'!C$351-'GF diets L-Val + WD'!C$5)*('GF diets L-Val + WD'!C$353/100)*'DDGS Calculator'!$G$8)-'GF diets L-Val + WD'!C$266),
IF(AND($G$5="Yes",$G$6="Yes",$G$7="Yes"),((('GF diets L-Val + Fat + WD'!AE$351-'GF diets L-Val + Fat + WD'!AE$5)*('GF diets L-Val + Fat + WD'!AE$353/100)*'DDGS Calculator'!$G$8)-'GF diets L-Val + Fat + WD'!AE$266)-
((('GF diets L-Val + Fat + WD'!C$351-'GF diets L-Val + Fat + WD'!C$5)*('GF diets L-Val + Fat + WD'!C$353/100)*'DDGS Calculator'!$G$8)-'GF diets L-Val + Fat + WD'!C$266)
))))))))</f>
        <v>-0.52261880073701228</v>
      </c>
      <c r="E71" s="468">
        <f>IF(AND($G$5="No",$G$6="No",$G$7="No"),((('GF diets No L-Val'!AF$351-'GF diets No L-Val'!AF$5)*('GF diets No L-Val'!AF$353/100)*'DDGS Calculator'!$G$8)-'GF diets No L-Val'!AF$266)-
((('GF diets No L-Val'!D$351-'GF diets No L-Val'!D$5)*('GF diets No L-Val'!D$353/100)*'DDGS Calculator'!$G$8)-'GF diets No L-Val'!D$266),
IF(AND($G$5="Yes",$G$6="No",$G$7="No"),((('GF diets No L-Val + Fat'!AF$351-'GF diets No L-Val + Fat'!AF$5)*('GF diets No L-Val + Fat'!AF$353/100)*'DDGS Calculator'!$G$8)-'GF diets No L-Val + Fat'!AF$266)-
((('GF diets No L-Val + Fat'!D$351-'GF diets No L-Val + Fat'!D$5)*('GF diets No L-Val + Fat'!D$353/100)*'DDGS Calculator'!$G$8)-'GF diets No L-Val + Fat'!D$266),
IF(AND($G$5="No",$G$6="No",$G$7="Yes"),((('GF diets L-Val'!AF$351-'GF diets L-Val'!AF$5)*('GF diets L-Val'!AF$353/100)*'DDGS Calculator'!$G$8)-'GF diets L-Val'!AF$266)-
((('GF diets L-Val'!D$351-'GF diets L-Val'!D$5)*('GF diets L-Val'!D$353/100)*'DDGS Calculator'!$G$8)-'GF diets L-Val'!D$266),
IF(AND($G$5="Yes",$G$6="No",$G$7="Yes"),((('GF diets L-Val + Fat'!AF$351-'GF diets L-Val + Fat'!AF$5)*('GF diets L-Val + Fat'!AF$353/100)*'DDGS Calculator'!$G$8)-'GF diets L-Val + Fat'!AF$266)-
((('GF diets L-Val + Fat'!D$351-'GF diets L-Val + Fat'!D$5)*('GF diets L-Val + Fat'!D$353/100)*'DDGS Calculator'!$G$8)-'GF diets L-Val + Fat'!D$266),
IF(AND($G$5="No",$G$6="Yes",$G$7="No"),((('GF diets No L-Val + WD'!AF$351-'GF diets No L-Val + WD'!AF$5)*('GF diets No L-Val + WD'!AF$353/100)*'DDGS Calculator'!$G$8)-'GF diets No L-Val + WD'!AF$266)-
((('GF diets No L-Val + WD'!D$351-'GF diets No L-Val + WD'!D$5)*('GF diets No L-Val + WD'!D$353/100)*'DDGS Calculator'!$G$8)-'GF diets No L-Val + WD'!D$266),
IF(AND($G$5="Yes",$G$6="Yes",$G$7="No"),((('GF diets No L-Val + Fat + WD'!AF$351-'GF diets No L-Val + Fat + WD'!AF$5)*('GF diets No L-Val + Fat + WD'!AF$353/100)*'DDGS Calculator'!$G$8)-'GF diets No L-Val + Fat + WD'!AF$266)-
((('GF diets No L-Val + Fat + WD'!D$351-'GF diets No L-Val + Fat + WD'!D$5)*('GF diets No L-Val + Fat + WD'!D$353/100)*'DDGS Calculator'!$G$8)-'GF diets No L-Val + Fat + WD'!D$266),
IF(AND($G$5="No",$G$6="Yes",$G$7="Yes"),((('GF diets L-Val + WD'!AF$351-'GF diets L-Val + WD'!AF$5)*('GF diets L-Val + WD'!AF$353/100)*'DDGS Calculator'!$G$8)-'GF diets L-Val + WD'!AF$266)-
((('GF diets L-Val + WD'!D$351-'GF diets L-Val + WD'!D$5)*('GF diets L-Val + WD'!D$353/100)*'DDGS Calculator'!$G$8)-'GF diets L-Val + WD'!D$266),
IF(AND($G$5="Yes",$G$6="Yes",$G$7="Yes"),((('GF diets L-Val + Fat + WD'!AF$351-'GF diets L-Val + Fat + WD'!AF$5)*('GF diets L-Val + Fat + WD'!AF$353/100)*'DDGS Calculator'!$G$8)-'GF diets L-Val + Fat + WD'!AF$266)-
((('GF diets L-Val + Fat + WD'!D$351-'GF diets L-Val + Fat + WD'!D$5)*('GF diets L-Val + Fat + WD'!D$353/100)*'DDGS Calculator'!$G$8)-'GF diets L-Val + Fat + WD'!D$266)
))))))))</f>
        <v>-0.62936386023299917</v>
      </c>
      <c r="F71" s="468">
        <f>IF(AND($G$5="No",$G$6="No",$G$7="No"),((('GF diets No L-Val'!AG$351-'GF diets No L-Val'!AG$5)*('GF diets No L-Val'!AG$353/100)*'DDGS Calculator'!$G$8)-'GF diets No L-Val'!AG$266)-
((('GF diets No L-Val'!E$351-'GF diets No L-Val'!E$5)*('GF diets No L-Val'!E$353/100)*'DDGS Calculator'!$G$8)-'GF diets No L-Val'!E$266),
IF(AND($G$5="Yes",$G$6="No",$G$7="No"),((('GF diets No L-Val + Fat'!AG$351-'GF diets No L-Val + Fat'!AG$5)*('GF diets No L-Val + Fat'!AG$353/100)*'DDGS Calculator'!$G$8)-'GF diets No L-Val + Fat'!AG$266)-
((('GF diets No L-Val + Fat'!E$351-'GF diets No L-Val + Fat'!E$5)*('GF diets No L-Val + Fat'!E$353/100)*'DDGS Calculator'!$G$8)-'GF diets No L-Val + Fat'!E$266),
IF(AND($G$5="No",$G$6="No",$G$7="Yes"),((('GF diets L-Val'!AG$351-'GF diets L-Val'!AG$5)*('GF diets L-Val'!AG$353/100)*'DDGS Calculator'!$G$8)-'GF diets L-Val'!AG$266)-
((('GF diets L-Val'!E$351-'GF diets L-Val'!E$5)*('GF diets L-Val'!E$353/100)*'DDGS Calculator'!$G$8)-'GF diets L-Val'!E$266),
IF(AND($G$5="Yes",$G$6="No",$G$7="Yes"),((('GF diets L-Val + Fat'!AG$351-'GF diets L-Val + Fat'!AG$5)*('GF diets L-Val + Fat'!AG$353/100)*'DDGS Calculator'!$G$8)-'GF diets L-Val + Fat'!AG$266)-
((('GF diets L-Val + Fat'!E$351-'GF diets L-Val + Fat'!E$5)*('GF diets L-Val + Fat'!E$353/100)*'DDGS Calculator'!$G$8)-'GF diets L-Val + Fat'!E$266),
IF(AND($G$5="No",$G$6="Yes",$G$7="No"),((('GF diets No L-Val + WD'!AG$351-'GF diets No L-Val + WD'!AG$5)*('GF diets No L-Val + WD'!AG$353/100)*'DDGS Calculator'!$G$8)-'GF diets No L-Val + WD'!AG$266)-
((('GF diets No L-Val + WD'!E$351-'GF diets No L-Val + WD'!E$5)*('GF diets No L-Val + WD'!E$353/100)*'DDGS Calculator'!$G$8)-'GF diets No L-Val + WD'!E$266),
IF(AND($G$5="Yes",$G$6="Yes",$G$7="No"),((('GF diets No L-Val + Fat + WD'!AG$351-'GF diets No L-Val + Fat + WD'!AG$5)*('GF diets No L-Val + Fat + WD'!AG$353/100)*'DDGS Calculator'!$G$8)-'GF diets No L-Val + Fat + WD'!AG$266)-
((('GF diets No L-Val + Fat + WD'!E$351-'GF diets No L-Val + Fat + WD'!E$5)*('GF diets No L-Val + Fat + WD'!E$353/100)*'DDGS Calculator'!$G$8)-'GF diets No L-Val + Fat + WD'!E$266),
IF(AND($G$5="No",$G$6="Yes",$G$7="Yes"),((('GF diets L-Val + WD'!AG$351-'GF diets L-Val + WD'!AG$5)*('GF diets L-Val + WD'!AG$353/100)*'DDGS Calculator'!$G$8)-'GF diets L-Val + WD'!AG$266)-
((('GF diets L-Val + WD'!E$351-'GF diets L-Val + WD'!E$5)*('GF diets L-Val + WD'!E$353/100)*'DDGS Calculator'!$G$8)-'GF diets L-Val + WD'!E$266),
IF(AND($G$5="Yes",$G$6="Yes",$G$7="Yes"),((('GF diets L-Val + Fat + WD'!AG$351-'GF diets L-Val + Fat + WD'!AG$5)*('GF diets L-Val + Fat + WD'!AG$353/100)*'DDGS Calculator'!$G$8)-'GF diets L-Val + Fat + WD'!AG$266)-
((('GF diets L-Val + Fat + WD'!E$351-'GF diets L-Val + Fat + WD'!E$5)*('GF diets L-Val + Fat + WD'!E$353/100)*'DDGS Calculator'!$G$8)-'GF diets L-Val + Fat + WD'!E$266)
))))))))</f>
        <v>-0.72233710536284335</v>
      </c>
      <c r="G71" s="468">
        <f>IF(AND($G$5="No",$G$6="No",$G$7="No"),((('GF diets No L-Val'!AH$351-'GF diets No L-Val'!AH$5)*('GF diets No L-Val'!AH$353/100)*'DDGS Calculator'!$G$8)-'GF diets No L-Val'!AH$266)-
((('GF diets No L-Val'!F$351-'GF diets No L-Val'!F$5)*('GF diets No L-Val'!F$353/100)*'DDGS Calculator'!$G$8)-'GF diets No L-Val'!F$266),
IF(AND($G$5="Yes",$G$6="No",$G$7="No"),((('GF diets No L-Val + Fat'!AH$351-'GF diets No L-Val + Fat'!AH$5)*('GF diets No L-Val + Fat'!AH$353/100)*'DDGS Calculator'!$G$8)-'GF diets No L-Val + Fat'!AH$266)-
((('GF diets No L-Val + Fat'!F$351-'GF diets No L-Val + Fat'!F$5)*('GF diets No L-Val + Fat'!F$353/100)*'DDGS Calculator'!$G$8)-'GF diets No L-Val + Fat'!F$266),
IF(AND($G$5="No",$G$6="No",$G$7="Yes"),((('GF diets L-Val'!AH$351-'GF diets L-Val'!AH$5)*('GF diets L-Val'!AH$353/100)*'DDGS Calculator'!$G$8)-'GF diets L-Val'!AH$266)-
((('GF diets L-Val'!F$351-'GF diets L-Val'!F$5)*('GF diets L-Val'!F$353/100)*'DDGS Calculator'!$G$8)-'GF diets L-Val'!F$266),
IF(AND($G$5="Yes",$G$6="No",$G$7="Yes"),((('GF diets L-Val + Fat'!AH$351-'GF diets L-Val + Fat'!AH$5)*('GF diets L-Val + Fat'!AH$353/100)*'DDGS Calculator'!$G$8)-'GF diets L-Val + Fat'!AH$266)-
((('GF diets L-Val + Fat'!F$351-'GF diets L-Val + Fat'!F$5)*('GF diets L-Val + Fat'!F$353/100)*'DDGS Calculator'!$G$8)-'GF diets L-Val + Fat'!F$266),
IF(AND($G$5="No",$G$6="Yes",$G$7="No"),((('GF diets No L-Val + WD'!AH$351-'GF diets No L-Val + WD'!AH$5)*('GF diets No L-Val + WD'!AH$353/100)*'DDGS Calculator'!$G$8)-'GF diets No L-Val + WD'!AH$266)-
((('GF diets No L-Val + WD'!F$351-'GF diets No L-Val + WD'!F$5)*('GF diets No L-Val + WD'!F$353/100)*'DDGS Calculator'!$G$8)-'GF diets No L-Val + WD'!F$266),
IF(AND($G$5="Yes",$G$6="Yes",$G$7="No"),((('GF diets No L-Val + Fat + WD'!AH$351-'GF diets No L-Val + Fat + WD'!AH$5)*('GF diets No L-Val + Fat + WD'!AH$353/100)*'DDGS Calculator'!$G$8)-'GF diets No L-Val + Fat + WD'!AH$266)-
((('GF diets No L-Val + Fat + WD'!F$351-'GF diets No L-Val + Fat + WD'!F$5)*('GF diets No L-Val + Fat + WD'!F$353/100)*'DDGS Calculator'!$G$8)-'GF diets No L-Val + Fat + WD'!F$266),
IF(AND($G$5="No",$G$6="Yes",$G$7="Yes"),((('GF diets L-Val + WD'!AH$351-'GF diets L-Val + WD'!AH$5)*('GF diets L-Val + WD'!AH$353/100)*'DDGS Calculator'!$G$8)-'GF diets L-Val + WD'!AH$266)-
((('GF diets L-Val + WD'!F$351-'GF diets L-Val + WD'!F$5)*('GF diets L-Val + WD'!F$353/100)*'DDGS Calculator'!$G$8)-'GF diets L-Val + WD'!F$266),
IF(AND($G$5="Yes",$G$6="Yes",$G$7="Yes"),((('GF diets L-Val + Fat + WD'!AH$351-'GF diets L-Val + Fat + WD'!AH$5)*('GF diets L-Val + Fat + WD'!AH$353/100)*'DDGS Calculator'!$G$8)-'GF diets L-Val + Fat + WD'!AH$266)-
((('GF diets L-Val + Fat + WD'!F$351-'GF diets L-Val + Fat + WD'!F$5)*('GF diets L-Val + Fat + WD'!F$353/100)*'DDGS Calculator'!$G$8)-'GF diets L-Val + Fat + WD'!F$266)
))))))))</f>
        <v>-0.89666288994191845</v>
      </c>
      <c r="H71" s="468">
        <f>IF(AND($G$5="No",$G$6="No",$G$7="No"),((('GF diets No L-Val'!AI$351-'GF diets No L-Val'!AI$5)*('GF diets No L-Val'!AI$353/100)*'DDGS Calculator'!$G$8)-'GF diets No L-Val'!AI$266)-
((('GF diets No L-Val'!G$351-'GF diets No L-Val'!G$5)*('GF diets No L-Val'!G$353/100)*'DDGS Calculator'!$G$8)-'GF diets No L-Val'!G$266),
IF(AND($G$5="Yes",$G$6="No",$G$7="No"),((('GF diets No L-Val + Fat'!AI$351-'GF diets No L-Val + Fat'!AI$5)*('GF diets No L-Val + Fat'!AI$353/100)*'DDGS Calculator'!$G$8)-'GF diets No L-Val + Fat'!AI$266)-
((('GF diets No L-Val + Fat'!G$351-'GF diets No L-Val + Fat'!G$5)*('GF diets No L-Val + Fat'!G$353/100)*'DDGS Calculator'!$G$8)-'GF diets No L-Val + Fat'!G$266),
IF(AND($G$5="No",$G$6="No",$G$7="Yes"),((('GF diets L-Val'!AI$351-'GF diets L-Val'!AI$5)*('GF diets L-Val'!AI$353/100)*'DDGS Calculator'!$G$8)-'GF diets L-Val'!AI$266)-
((('GF diets L-Val'!G$351-'GF diets L-Val'!G$5)*('GF diets L-Val'!G$353/100)*'DDGS Calculator'!$G$8)-'GF diets L-Val'!G$266),
IF(AND($G$5="Yes",$G$6="No",$G$7="Yes"),((('GF diets L-Val + Fat'!AI$351-'GF diets L-Val + Fat'!AI$5)*('GF diets L-Val + Fat'!AI$353/100)*'DDGS Calculator'!$G$8)-'GF diets L-Val + Fat'!AI$266)-
((('GF diets L-Val + Fat'!G$351-'GF diets L-Val + Fat'!G$5)*('GF diets L-Val + Fat'!G$353/100)*'DDGS Calculator'!$G$8)-'GF diets L-Val + Fat'!G$266),
IF(AND($G$5="No",$G$6="Yes",$G$7="No"),((('GF diets No L-Val + WD'!AI$351-'GF diets No L-Val + WD'!AI$5)*('GF diets No L-Val + WD'!AI$353/100)*'DDGS Calculator'!$G$8)-'GF diets No L-Val + WD'!AI$266)-
((('GF diets No L-Val + WD'!G$351-'GF diets No L-Val + WD'!G$5)*('GF diets No L-Val + WD'!G$353/100)*'DDGS Calculator'!$G$8)-'GF diets No L-Val + WD'!G$266),
IF(AND($G$5="Yes",$G$6="Yes",$G$7="No"),((('GF diets No L-Val + Fat + WD'!AI$351-'GF diets No L-Val + Fat + WD'!AI$5)*('GF diets No L-Val + Fat + WD'!AI$353/100)*'DDGS Calculator'!$G$8)-'GF diets No L-Val + Fat + WD'!AI$266)-
((('GF diets No L-Val + Fat + WD'!G$351-'GF diets No L-Val + Fat + WD'!G$5)*('GF diets No L-Val + Fat + WD'!G$353/100)*'DDGS Calculator'!$G$8)-'GF diets No L-Val + Fat + WD'!G$266),
IF(AND($G$5="No",$G$6="Yes",$G$7="Yes"),((('GF diets L-Val + WD'!AI$351-'GF diets L-Val + WD'!AI$5)*('GF diets L-Val + WD'!AI$353/100)*'DDGS Calculator'!$G$8)-'GF diets L-Val + WD'!AI$266)-
((('GF diets L-Val + WD'!G$351-'GF diets L-Val + WD'!G$5)*('GF diets L-Val + WD'!G$353/100)*'DDGS Calculator'!$G$8)-'GF diets L-Val + WD'!G$266),
IF(AND($G$5="Yes",$G$6="Yes",$G$7="Yes"),((('GF diets L-Val + Fat + WD'!AI$351-'GF diets L-Val + Fat + WD'!AI$5)*('GF diets L-Val + Fat + WD'!AI$353/100)*'DDGS Calculator'!$G$8)-'GF diets L-Val + Fat + WD'!AI$266)-
((('GF diets L-Val + Fat + WD'!G$351-'GF diets L-Val + Fat + WD'!G$5)*('GF diets L-Val + Fat + WD'!G$353/100)*'DDGS Calculator'!$G$8)-'GF diets L-Val + Fat + WD'!G$266)
))))))))</f>
        <v>-1.274437069640145</v>
      </c>
      <c r="I71" s="468">
        <f t="shared" si="3"/>
        <v>-4.5792753075464283</v>
      </c>
      <c r="J71" s="468">
        <f>I71-I70</f>
        <v>-1.1205595932971733</v>
      </c>
      <c r="K71" s="450"/>
      <c r="L71" s="388"/>
      <c r="M71" s="388"/>
      <c r="N71" s="388"/>
      <c r="O71" s="388"/>
      <c r="P71" s="388"/>
      <c r="Q71" s="388"/>
      <c r="S71" s="454"/>
      <c r="T71" s="454"/>
      <c r="U71" s="454"/>
      <c r="V71" s="454"/>
      <c r="W71" s="391"/>
      <c r="X71" s="391"/>
    </row>
    <row r="72" spans="1:30" ht="15.6" x14ac:dyDescent="0.3">
      <c r="A72" s="290">
        <v>0.25</v>
      </c>
      <c r="B72" s="387" t="s">
        <v>491</v>
      </c>
      <c r="C72" s="468">
        <f>IF(AND($G$5="No",$G$6="No",$G$7="No"),((('GF diets No L-Val'!AK$351-'GF diets No L-Val'!AK$5)*('GF diets No L-Val'!AK$353/100)*'DDGS Calculator'!$G$8)-'GF diets No L-Val'!AK$266)-
((('GF diets No L-Val'!B$351-'GF diets No L-Val'!B$5)*('GF diets No L-Val'!B$353/100)*'DDGS Calculator'!$G$8)-'GF diets No L-Val'!B$266),
IF(AND($G$5="Yes",$G$6="No",$G$7="No"),((('GF diets No L-Val + Fat'!AK$351-'GF diets No L-Val + Fat'!AK$5)*('GF diets No L-Val + Fat'!AK$353/100)*'DDGS Calculator'!$G$8)-'GF diets No L-Val + Fat'!AK$266)-
((('GF diets No L-Val + Fat'!B$351-'GF diets No L-Val + Fat'!B$5)*('GF diets No L-Val + Fat'!B$353/100)*'DDGS Calculator'!$G$8)-'GF diets No L-Val + Fat'!B$266),
IF(AND($G$5="No",$G$6="No",$G$7="Yes"),((('GF diets L-Val'!AK$351-'GF diets L-Val'!AK$5)*('GF diets L-Val'!AK$353/100)*'DDGS Calculator'!$G$8)-'GF diets L-Val'!AK$266)-
((('GF diets L-Val'!B$351-'GF diets L-Val'!B$5)*('GF diets L-Val'!B$353/100)*'DDGS Calculator'!$G$8)-'GF diets L-Val'!B$266),
IF(AND($G$5="Yes",$G$6="No",$G$7="Yes"),((('GF diets L-Val + Fat'!AK$351-'GF diets L-Val + Fat'!AK$5)*('GF diets L-Val + Fat'!AK$353/100)*'DDGS Calculator'!$G$8)-'GF diets L-Val + Fat'!AK$266)-
((('GF diets L-Val + Fat'!B$351-'GF diets L-Val + Fat'!B$5)*('GF diets L-Val + Fat'!B$353/100)*'DDGS Calculator'!$G$8)-'GF diets L-Val + Fat'!B$266),
IF(AND($G$5="No",$G$6="Yes",$G$7="No"),((('GF diets No L-Val + WD'!AK$351-'GF diets No L-Val + WD'!AK$5)*('GF diets No L-Val + WD'!AK$353/100)*'DDGS Calculator'!$G$8)-'GF diets No L-Val + WD'!AK$266)-
((('GF diets No L-Val + WD'!B$351-'GF diets No L-Val + WD'!B$5)*('GF diets No L-Val + WD'!B$353/100)*'DDGS Calculator'!$G$8)-'GF diets No L-Val + WD'!B$266),
IF(AND($G$5="Yes",$G$6="Yes",$G$7="No"),((('GF diets No L-Val + Fat + WD'!AK$351-'GF diets No L-Val + Fat + WD'!AK$5)*('GF diets No L-Val + Fat + WD'!AK$353/100)*'DDGS Calculator'!$G$8)-'GF diets No L-Val + Fat + WD'!AK$266)-
((('GF diets No L-Val + Fat + WD'!B$351-'GF diets No L-Val + Fat + WD'!B$5)*('GF diets No L-Val + Fat + WD'!B$353/100)*'DDGS Calculator'!$G$8)-'GF diets No L-Val + Fat + WD'!B$266),
IF(AND($G$5="No",$G$6="Yes",$G$7="Yes"),((('GF diets L-Val + WD'!AK$351-'GF diets L-Val + WD'!AK$5)*('GF diets L-Val + WD'!AK$353/100)*'DDGS Calculator'!$G$8)-'GF diets L-Val + WD'!AK$266)-
((('GF diets L-Val + WD'!B$351-'GF diets L-Val + WD'!B$5)*('GF diets L-Val + WD'!B$353/100)*'DDGS Calculator'!$G$8)-'GF diets L-Val + WD'!B$266),
IF(AND($G$5="Yes",$G$6="Yes",$G$7="Yes"),((('GF diets L-Val + Fat + WD'!AK$351-'GF diets L-Val + Fat + WD'!AK$5)*('GF diets L-Val + Fat + WD'!AK$353/100)*'DDGS Calculator'!$G$8)-'GF diets L-Val + Fat + WD'!AK$266)-
((('GF diets L-Val + Fat + WD'!B$351-'GF diets L-Val + Fat + WD'!B$5)*('GF diets L-Val + Fat + WD'!B$353/100)*'DDGS Calculator'!$G$8)-'GF diets L-Val + Fat + WD'!B$266)
))))))))</f>
        <v>-0.64901203130518503</v>
      </c>
      <c r="D72" s="468">
        <f>IF(AND($G$5="No",$G$6="No",$G$7="No"),((('GF diets No L-Val'!AL$351-'GF diets No L-Val'!AL$5)*('GF diets No L-Val'!AL$353/100)*'DDGS Calculator'!$G$8)-'GF diets No L-Val'!AL$266)-
((('GF diets No L-Val'!C$351-'GF diets No L-Val'!C$5)*('GF diets No L-Val'!C$353/100)*'DDGS Calculator'!$G$8)-'GF diets No L-Val'!C$266),
IF(AND($G$5="Yes",$G$6="No",$G$7="No"),((('GF diets No L-Val + Fat'!AL$351-'GF diets No L-Val + Fat'!AL$5)*('GF diets No L-Val + Fat'!AL$353/100)*'DDGS Calculator'!$G$8)-'GF diets No L-Val + Fat'!AL$266)-
((('GF diets No L-Val + Fat'!C$351-'GF diets No L-Val + Fat'!C$5)*('GF diets No L-Val + Fat'!C$353/100)*'DDGS Calculator'!$G$8)-'GF diets No L-Val + Fat'!C$266),
IF(AND($G$5="No",$G$6="No",$G$7="Yes"),((('GF diets L-Val'!AL$351-'GF diets L-Val'!AL$5)*('GF diets L-Val'!AL$353/100)*'DDGS Calculator'!$G$8)-'GF diets L-Val'!AL$266)-
((('GF diets L-Val'!C$351-'GF diets L-Val'!C$5)*('GF diets L-Val'!C$353/100)*'DDGS Calculator'!$G$8)-'GF diets L-Val'!C$266),
IF(AND($G$5="Yes",$G$6="No",$G$7="Yes"),((('GF diets L-Val + Fat'!AL$351-'GF diets L-Val + Fat'!AL$5)*('GF diets L-Val + Fat'!AL$353/100)*'DDGS Calculator'!$G$8)-'GF diets L-Val + Fat'!AL$266)-
((('GF diets L-Val + Fat'!C$351-'GF diets L-Val + Fat'!C$5)*('GF diets L-Val + Fat'!C$353/100)*'DDGS Calculator'!$G$8)-'GF diets L-Val + Fat'!C$266),
IF(AND($G$5="No",$G$6="Yes",$G$7="No"),((('GF diets No L-Val + WD'!AL$351-'GF diets No L-Val + WD'!AL$5)*('GF diets No L-Val + WD'!AL$353/100)*'DDGS Calculator'!$G$8)-'GF diets No L-Val + WD'!AL$266)-
((('GF diets No L-Val + WD'!C$351-'GF diets No L-Val + WD'!C$5)*('GF diets No L-Val + WD'!C$353/100)*'DDGS Calculator'!$G$8)-'GF diets No L-Val + WD'!C$266),
IF(AND($G$5="Yes",$G$6="Yes",$G$7="No"),((('GF diets No L-Val + Fat + WD'!AL$351-'GF diets No L-Val + Fat + WD'!AL$5)*('GF diets No L-Val + Fat + WD'!AL$353/100)*'DDGS Calculator'!$G$8)-'GF diets No L-Val + Fat + WD'!AL$266)-
((('GF diets No L-Val + Fat + WD'!C$351-'GF diets No L-Val + Fat + WD'!C$5)*('GF diets No L-Val + Fat + WD'!C$353/100)*'DDGS Calculator'!$G$8)-'GF diets No L-Val + Fat + WD'!C$266),
IF(AND($G$5="No",$G$6="Yes",$G$7="Yes"),((('GF diets L-Val + WD'!AL$351-'GF diets L-Val + WD'!AL$5)*('GF diets L-Val + WD'!AL$353/100)*'DDGS Calculator'!$G$8)-'GF diets L-Val + WD'!AL$266)-
((('GF diets L-Val + WD'!C$351-'GF diets L-Val + WD'!C$5)*('GF diets L-Val + WD'!C$353/100)*'DDGS Calculator'!$G$8)-'GF diets L-Val + WD'!C$266),
IF(AND($G$5="Yes",$G$6="Yes",$G$7="Yes"),((('GF diets L-Val + Fat + WD'!AL$351-'GF diets L-Val + Fat + WD'!AL$5)*('GF diets L-Val + Fat + WD'!AL$353/100)*'DDGS Calculator'!$G$8)-'GF diets L-Val + Fat + WD'!AL$266)-
((('GF diets L-Val + Fat + WD'!C$351-'GF diets L-Val + Fat + WD'!C$5)*('GF diets L-Val + Fat + WD'!C$353/100)*'DDGS Calculator'!$G$8)-'GF diets L-Val + Fat + WD'!C$266)
))))))))</f>
        <v>-0.62652704754683519</v>
      </c>
      <c r="E72" s="468">
        <f>IF(AND($G$5="No",$G$6="No",$G$7="No"),((('GF diets No L-Val'!AM$351-'GF diets No L-Val'!AM$5)*('GF diets No L-Val'!AM$353/100)*'DDGS Calculator'!$G$8)-'GF diets No L-Val'!AM$266)-
((('GF diets No L-Val'!D$351-'GF diets No L-Val'!D$5)*('GF diets No L-Val'!D$353/100)*'DDGS Calculator'!$G$8)-'GF diets No L-Val'!D$266),
IF(AND($G$5="Yes",$G$6="No",$G$7="No"),((('GF diets No L-Val + Fat'!AM$351-'GF diets No L-Val + Fat'!AM$5)*('GF diets No L-Val + Fat'!AM$353/100)*'DDGS Calculator'!$G$8)-'GF diets No L-Val + Fat'!AM$266)-
((('GF diets No L-Val + Fat'!D$351-'GF diets No L-Val + Fat'!D$5)*('GF diets No L-Val + Fat'!D$353/100)*'DDGS Calculator'!$G$8)-'GF diets No L-Val + Fat'!D$266),
IF(AND($G$5="No",$G$6="No",$G$7="Yes"),((('GF diets L-Val'!AM$351-'GF diets L-Val'!AM$5)*('GF diets L-Val'!AM$353/100)*'DDGS Calculator'!$G$8)-'GF diets L-Val'!AM$266)-
((('GF diets L-Val'!D$351-'GF diets L-Val'!D$5)*('GF diets L-Val'!D$353/100)*'DDGS Calculator'!$G$8)-'GF diets L-Val'!D$266),
IF(AND($G$5="Yes",$G$6="No",$G$7="Yes"),((('GF diets L-Val + Fat'!AM$351-'GF diets L-Val + Fat'!AM$5)*('GF diets L-Val + Fat'!AM$353/100)*'DDGS Calculator'!$G$8)-'GF diets L-Val + Fat'!AM$266)-
((('GF diets L-Val + Fat'!D$351-'GF diets L-Val + Fat'!D$5)*('GF diets L-Val + Fat'!D$353/100)*'DDGS Calculator'!$G$8)-'GF diets L-Val + Fat'!D$266),
IF(AND($G$5="No",$G$6="Yes",$G$7="No"),((('GF diets No L-Val + WD'!AM$351-'GF diets No L-Val + WD'!AM$5)*('GF diets No L-Val + WD'!AM$353/100)*'DDGS Calculator'!$G$8)-'GF diets No L-Val + WD'!AM$266)-
((('GF diets No L-Val + WD'!D$351-'GF diets No L-Val + WD'!D$5)*('GF diets No L-Val + WD'!D$353/100)*'DDGS Calculator'!$G$8)-'GF diets No L-Val + WD'!D$266),
IF(AND($G$5="Yes",$G$6="Yes",$G$7="No"),((('GF diets No L-Val + Fat + WD'!AM$351-'GF diets No L-Val + Fat + WD'!AM$5)*('GF diets No L-Val + Fat + WD'!AM$353/100)*'DDGS Calculator'!$G$8)-'GF diets No L-Val + Fat + WD'!AM$266)-
((('GF diets No L-Val + Fat + WD'!D$351-'GF diets No L-Val + Fat + WD'!D$5)*('GF diets No L-Val + Fat + WD'!D$353/100)*'DDGS Calculator'!$G$8)-'GF diets No L-Val + Fat + WD'!D$266),
IF(AND($G$5="No",$G$6="Yes",$G$7="Yes"),((('GF diets L-Val + WD'!AM$351-'GF diets L-Val + WD'!AM$5)*('GF diets L-Val + WD'!AM$353/100)*'DDGS Calculator'!$G$8)-'GF diets L-Val + WD'!AM$266)-
((('GF diets L-Val + WD'!D$351-'GF diets L-Val + WD'!D$5)*('GF diets L-Val + WD'!D$353/100)*'DDGS Calculator'!$G$8)-'GF diets L-Val + WD'!D$266),
IF(AND($G$5="Yes",$G$6="Yes",$G$7="Yes"),((('GF diets L-Val + Fat + WD'!AM$351-'GF diets L-Val + Fat + WD'!AM$5)*('GF diets L-Val + Fat + WD'!AM$353/100)*'DDGS Calculator'!$G$8)-'GF diets L-Val + Fat + WD'!AM$266)-
((('GF diets L-Val + Fat + WD'!D$351-'GF diets L-Val + Fat + WD'!D$5)*('GF diets L-Val + Fat + WD'!D$353/100)*'DDGS Calculator'!$G$8)-'GF diets L-Val + Fat + WD'!D$266)
))))))))</f>
        <v>-0.77506770070380426</v>
      </c>
      <c r="F72" s="468">
        <f>IF(AND($G$5="No",$G$6="No",$G$7="No"),((('GF diets No L-Val'!AN$351-'GF diets No L-Val'!AN$5)*('GF diets No L-Val'!AN$353/100)*'DDGS Calculator'!$G$8)-'GF diets No L-Val'!AN$266)-
((('GF diets No L-Val'!E$351-'GF diets No L-Val'!E$5)*('GF diets No L-Val'!E$353/100)*'DDGS Calculator'!$G$8)-'GF diets No L-Val'!E$266),
IF(AND($G$5="Yes",$G$6="No",$G$7="No"),((('GF diets No L-Val + Fat'!AN$351-'GF diets No L-Val + Fat'!AN$5)*('GF diets No L-Val + Fat'!AN$353/100)*'DDGS Calculator'!$G$8)-'GF diets No L-Val + Fat'!AN$266)-
((('GF diets No L-Val + Fat'!E$351-'GF diets No L-Val + Fat'!E$5)*('GF diets No L-Val + Fat'!E$353/100)*'DDGS Calculator'!$G$8)-'GF diets No L-Val + Fat'!E$266),
IF(AND($G$5="No",$G$6="No",$G$7="Yes"),((('GF diets L-Val'!AN$351-'GF diets L-Val'!AN$5)*('GF diets L-Val'!AN$353/100)*'DDGS Calculator'!$G$8)-'GF diets L-Val'!AN$266)-
((('GF diets L-Val'!E$351-'GF diets L-Val'!E$5)*('GF diets L-Val'!E$353/100)*'DDGS Calculator'!$G$8)-'GF diets L-Val'!E$266),
IF(AND($G$5="Yes",$G$6="No",$G$7="Yes"),((('GF diets L-Val + Fat'!AN$351-'GF diets L-Val + Fat'!AN$5)*('GF diets L-Val + Fat'!AN$353/100)*'DDGS Calculator'!$G$8)-'GF diets L-Val + Fat'!AN$266)-
((('GF diets L-Val + Fat'!E$351-'GF diets L-Val + Fat'!E$5)*('GF diets L-Val + Fat'!E$353/100)*'DDGS Calculator'!$G$8)-'GF diets L-Val + Fat'!E$266),
IF(AND($G$5="No",$G$6="Yes",$G$7="No"),((('GF diets No L-Val + WD'!AN$351-'GF diets No L-Val + WD'!AN$5)*('GF diets No L-Val + WD'!AN$353/100)*'DDGS Calculator'!$G$8)-'GF diets No L-Val + WD'!AN$266)-
((('GF diets No L-Val + WD'!E$351-'GF diets No L-Val + WD'!E$5)*('GF diets No L-Val + WD'!E$353/100)*'DDGS Calculator'!$G$8)-'GF diets No L-Val + WD'!E$266),
IF(AND($G$5="Yes",$G$6="Yes",$G$7="No"),((('GF diets No L-Val + Fat + WD'!AN$351-'GF diets No L-Val + Fat + WD'!AN$5)*('GF diets No L-Val + Fat + WD'!AN$353/100)*'DDGS Calculator'!$G$8)-'GF diets No L-Val + Fat + WD'!AN$266)-
((('GF diets No L-Val + Fat + WD'!E$351-'GF diets No L-Val + Fat + WD'!E$5)*('GF diets No L-Val + Fat + WD'!E$353/100)*'DDGS Calculator'!$G$8)-'GF diets No L-Val + Fat + WD'!E$266),
IF(AND($G$5="No",$G$6="Yes",$G$7="Yes"),((('GF diets L-Val + WD'!AN$351-'GF diets L-Val + WD'!AN$5)*('GF diets L-Val + WD'!AN$353/100)*'DDGS Calculator'!$G$8)-'GF diets L-Val + WD'!AN$266)-
((('GF diets L-Val + WD'!E$351-'GF diets L-Val + WD'!E$5)*('GF diets L-Val + WD'!E$353/100)*'DDGS Calculator'!$G$8)-'GF diets L-Val + WD'!E$266),
IF(AND($G$5="Yes",$G$6="Yes",$G$7="Yes"),((('GF diets L-Val + Fat + WD'!AN$351-'GF diets L-Val + Fat + WD'!AN$5)*('GF diets L-Val + Fat + WD'!AN$353/100)*'DDGS Calculator'!$G$8)-'GF diets L-Val + Fat + WD'!AN$266)-
((('GF diets L-Val + Fat + WD'!E$351-'GF diets L-Val + Fat + WD'!E$5)*('GF diets L-Val + Fat + WD'!E$353/100)*'DDGS Calculator'!$G$8)-'GF diets L-Val + Fat + WD'!E$266)
))))))))</f>
        <v>-0.90618408168611531</v>
      </c>
      <c r="G72" s="468">
        <f>IF(AND($G$5="No",$G$6="No",$G$7="No"),((('GF diets No L-Val'!AO$351-'GF diets No L-Val'!AO$5)*('GF diets No L-Val'!AO$353/100)*'DDGS Calculator'!$G$8)-'GF diets No L-Val'!AO$266)-
((('GF diets No L-Val'!F$351-'GF diets No L-Val'!F$5)*('GF diets No L-Val'!F$353/100)*'DDGS Calculator'!$G$8)-'GF diets No L-Val'!F$266),
IF(AND($G$5="Yes",$G$6="No",$G$7="No"),((('GF diets No L-Val + Fat'!AO$351-'GF diets No L-Val + Fat'!AO$5)*('GF diets No L-Val + Fat'!AO$353/100)*'DDGS Calculator'!$G$8)-'GF diets No L-Val + Fat'!AO$266)-
((('GF diets No L-Val + Fat'!F$351-'GF diets No L-Val + Fat'!F$5)*('GF diets No L-Val + Fat'!F$353/100)*'DDGS Calculator'!$G$8)-'GF diets No L-Val + Fat'!F$266),
IF(AND($G$5="No",$G$6="No",$G$7="Yes"),((('GF diets L-Val'!AO$351-'GF diets L-Val'!AO$5)*('GF diets L-Val'!AO$353/100)*'DDGS Calculator'!$G$8)-'GF diets L-Val'!AO$266)-
((('GF diets L-Val'!F$351-'GF diets L-Val'!F$5)*('GF diets L-Val'!F$353/100)*'DDGS Calculator'!$G$8)-'GF diets L-Val'!F$266),
IF(AND($G$5="Yes",$G$6="No",$G$7="Yes"),((('GF diets L-Val + Fat'!AO$351-'GF diets L-Val + Fat'!AO$5)*('GF diets L-Val + Fat'!AO$353/100)*'DDGS Calculator'!$G$8)-'GF diets L-Val + Fat'!AO$266)-
((('GF diets L-Val + Fat'!F$351-'GF diets L-Val + Fat'!F$5)*('GF diets L-Val + Fat'!F$353/100)*'DDGS Calculator'!$G$8)-'GF diets L-Val + Fat'!F$266),
IF(AND($G$5="No",$G$6="Yes",$G$7="No"),((('GF diets No L-Val + WD'!AO$351-'GF diets No L-Val + WD'!AO$5)*('GF diets No L-Val + WD'!AO$353/100)*'DDGS Calculator'!$G$8)-'GF diets No L-Val + WD'!AO$266)-
((('GF diets No L-Val + WD'!F$351-'GF diets No L-Val + WD'!F$5)*('GF diets No L-Val + WD'!F$353/100)*'DDGS Calculator'!$G$8)-'GF diets No L-Val + WD'!F$266),
IF(AND($G$5="Yes",$G$6="Yes",$G$7="No"),((('GF diets No L-Val + Fat + WD'!AO$351-'GF diets No L-Val + Fat + WD'!AO$5)*('GF diets No L-Val + Fat + WD'!AO$353/100)*'DDGS Calculator'!$G$8)-'GF diets No L-Val + Fat + WD'!AO$266)-
((('GF diets No L-Val + Fat + WD'!F$351-'GF diets No L-Val + Fat + WD'!F$5)*('GF diets No L-Val + Fat + WD'!F$353/100)*'DDGS Calculator'!$G$8)-'GF diets No L-Val + Fat + WD'!F$266),
IF(AND($G$5="No",$G$6="Yes",$G$7="Yes"),((('GF diets L-Val + WD'!AO$351-'GF diets L-Val + WD'!AO$5)*('GF diets L-Val + WD'!AO$353/100)*'DDGS Calculator'!$G$8)-'GF diets L-Val + WD'!AO$266)-
((('GF diets L-Val + WD'!F$351-'GF diets L-Val + WD'!F$5)*('GF diets L-Val + WD'!F$353/100)*'DDGS Calculator'!$G$8)-'GF diets L-Val + WD'!F$266),
IF(AND($G$5="Yes",$G$6="Yes",$G$7="Yes"),((('GF diets L-Val + Fat + WD'!AO$351-'GF diets L-Val + Fat + WD'!AO$5)*('GF diets L-Val + Fat + WD'!AO$353/100)*'DDGS Calculator'!$G$8)-'GF diets L-Val + Fat + WD'!AO$266)-
((('GF diets L-Val + Fat + WD'!F$351-'GF diets L-Val + Fat + WD'!F$5)*('GF diets L-Val + Fat + WD'!F$353/100)*'DDGS Calculator'!$G$8)-'GF diets L-Val + Fat + WD'!F$266)
))))))))</f>
        <v>-1.134784147893809</v>
      </c>
      <c r="H72" s="468">
        <f>IF(AND($G$5="No",$G$6="No",$G$7="No"),((('GF diets No L-Val'!AP$351-'GF diets No L-Val'!AP$5)*('GF diets No L-Val'!AP$353/100)*'DDGS Calculator'!$G$8)-'GF diets No L-Val'!AP$266)-
((('GF diets No L-Val'!G$351-'GF diets No L-Val'!G$5)*('GF diets No L-Val'!G$353/100)*'DDGS Calculator'!$G$8)-'GF diets No L-Val'!G$266),
IF(AND($G$5="Yes",$G$6="No",$G$7="No"),((('GF diets No L-Val + Fat'!AP$351-'GF diets No L-Val + Fat'!AP$5)*('GF diets No L-Val + Fat'!AP$353/100)*'DDGS Calculator'!$G$8)-'GF diets No L-Val + Fat'!AP$266)-
((('GF diets No L-Val + Fat'!G$351-'GF diets No L-Val + Fat'!G$5)*('GF diets No L-Val + Fat'!G$353/100)*'DDGS Calculator'!$G$8)-'GF diets No L-Val + Fat'!G$266),
IF(AND($G$5="No",$G$6="No",$G$7="Yes"),((('GF diets L-Val'!AP$351-'GF diets L-Val'!AP$5)*('GF diets L-Val'!AP$353/100)*'DDGS Calculator'!$G$8)-'GF diets L-Val'!AP$266)-
((('GF diets L-Val'!G$351-'GF diets L-Val'!G$5)*('GF diets L-Val'!G$353/100)*'DDGS Calculator'!$G$8)-'GF diets L-Val'!G$266),
IF(AND($G$5="Yes",$G$6="No",$G$7="Yes"),((('GF diets L-Val + Fat'!AP$351-'GF diets L-Val + Fat'!AP$5)*('GF diets L-Val + Fat'!AP$353/100)*'DDGS Calculator'!$G$8)-'GF diets L-Val + Fat'!AP$266)-
((('GF diets L-Val + Fat'!G$351-'GF diets L-Val + Fat'!G$5)*('GF diets L-Val + Fat'!G$353/100)*'DDGS Calculator'!$G$8)-'GF diets L-Val + Fat'!G$266),
IF(AND($G$5="No",$G$6="Yes",$G$7="No"),((('GF diets No L-Val + WD'!AP$351-'GF diets No L-Val + WD'!AP$5)*('GF diets No L-Val + WD'!AP$353/100)*'DDGS Calculator'!$G$8)-'GF diets No L-Val + WD'!AP$266)-
((('GF diets No L-Val + WD'!G$351-'GF diets No L-Val + WD'!G$5)*('GF diets No L-Val + WD'!G$353/100)*'DDGS Calculator'!$G$8)-'GF diets No L-Val + WD'!G$266),
IF(AND($G$5="Yes",$G$6="Yes",$G$7="No"),((('GF diets No L-Val + Fat + WD'!AP$351-'GF diets No L-Val + Fat + WD'!AP$5)*('GF diets No L-Val + Fat + WD'!AP$353/100)*'DDGS Calculator'!$G$8)-'GF diets No L-Val + Fat + WD'!AP$266)-
((('GF diets No L-Val + Fat + WD'!G$351-'GF diets No L-Val + Fat + WD'!G$5)*('GF diets No L-Val + Fat + WD'!G$353/100)*'DDGS Calculator'!$G$8)-'GF diets No L-Val + Fat + WD'!G$266),
IF(AND($G$5="No",$G$6="Yes",$G$7="Yes"),((('GF diets L-Val + WD'!AP$351-'GF diets L-Val + WD'!AP$5)*('GF diets L-Val + WD'!AP$353/100)*'DDGS Calculator'!$G$8)-'GF diets L-Val + WD'!AP$266)-
((('GF diets L-Val + WD'!G$351-'GF diets L-Val + WD'!G$5)*('GF diets L-Val + WD'!G$353/100)*'DDGS Calculator'!$G$8)-'GF diets L-Val + WD'!G$266),
IF(AND($G$5="Yes",$G$6="Yes",$G$7="Yes"),((('GF diets L-Val + Fat + WD'!AP$351-'GF diets L-Val + Fat + WD'!AP$5)*('GF diets L-Val + Fat + WD'!AP$353/100)*'DDGS Calculator'!$G$8)-'GF diets L-Val + Fat + WD'!AP$266)-
((('GF diets L-Val + Fat + WD'!G$351-'GF diets L-Val + Fat + WD'!G$5)*('GF diets L-Val + Fat + WD'!G$353/100)*'DDGS Calculator'!$G$8)-'GF diets L-Val + Fat + WD'!G$266)
))))))))</f>
        <v>-1.605449246208023</v>
      </c>
      <c r="I72" s="468">
        <f t="shared" si="3"/>
        <v>-5.6970242553437718</v>
      </c>
      <c r="J72" s="468">
        <f>I72-I71</f>
        <v>-1.1177489477973435</v>
      </c>
      <c r="K72" s="450"/>
      <c r="L72" s="388"/>
      <c r="M72" s="388"/>
      <c r="N72" s="388"/>
      <c r="O72" s="388"/>
      <c r="P72" s="388"/>
      <c r="Q72" s="388"/>
      <c r="S72" s="454"/>
      <c r="T72" s="454"/>
      <c r="U72" s="454"/>
      <c r="V72" s="454"/>
      <c r="W72" s="391"/>
      <c r="X72" s="391"/>
    </row>
    <row r="73" spans="1:30" ht="15.6" x14ac:dyDescent="0.3">
      <c r="A73" s="290">
        <v>0.3</v>
      </c>
      <c r="B73" s="387" t="s">
        <v>492</v>
      </c>
      <c r="C73" s="468">
        <f>IF(AND($G$5="No",$G$6="No",$G$7="No"),((('GF diets No L-Val'!AR$351-'GF diets No L-Val'!AR$5)*('GF diets No L-Val'!AR$353/100)*'DDGS Calculator'!$G$8)-'GF diets No L-Val'!AR$266)-
((('GF diets No L-Val'!B$351-'GF diets No L-Val'!B$5)*('GF diets No L-Val'!B$353/100)*'DDGS Calculator'!$G$8)-'GF diets No L-Val'!B$266),
IF(AND($G$5="Yes",$G$6="No",$G$7="No"),((('GF diets No L-Val + Fat'!AR$351-'GF diets No L-Val + Fat'!AR$5)*('GF diets No L-Val + Fat'!AR$353/100)*'DDGS Calculator'!$G$8)-'GF diets No L-Val + Fat'!AR$266)-
((('GF diets No L-Val + Fat'!B$351-'GF diets No L-Val + Fat'!B$5)*('GF diets No L-Val + Fat'!B$353/100)*'DDGS Calculator'!$G$8)-'GF diets No L-Val + Fat'!B$266),
IF(AND($G$5="No",$G$6="No",$G$7="Yes"),((('GF diets L-Val'!AR$351-'GF diets L-Val'!AR$5)*('GF diets L-Val'!AR$353/100)*'DDGS Calculator'!$G$8)-'GF diets L-Val'!AR$266)-
((('GF diets L-Val'!B$351-'GF diets L-Val'!B$5)*('GF diets L-Val'!B$353/100)*'DDGS Calculator'!$G$8)-'GF diets L-Val'!B$266),
IF(AND($G$5="Yes",$G$6="No",$G$7="Yes"),((('GF diets L-Val + Fat'!AR$351-'GF diets L-Val + Fat'!AR$5)*('GF diets L-Val + Fat'!AR$353/100)*'DDGS Calculator'!$G$8)-'GF diets L-Val + Fat'!AR$266)-
((('GF diets L-Val + Fat'!B$351-'GF diets L-Val + Fat'!B$5)*('GF diets L-Val + Fat'!B$353/100)*'DDGS Calculator'!$G$8)-'GF diets L-Val + Fat'!B$266),
IF(AND($G$5="No",$G$6="Yes",$G$7="No"),((('GF diets No L-Val + WD'!AR$351-'GF diets No L-Val + WD'!AR$5)*('GF diets No L-Val + WD'!AR$353/100)*'DDGS Calculator'!$G$8)-'GF diets No L-Val + WD'!AR$266)-
((('GF diets No L-Val + WD'!B$351-'GF diets No L-Val + WD'!B$5)*('GF diets No L-Val + WD'!B$353/100)*'DDGS Calculator'!$G$8)-'GF diets No L-Val + WD'!B$266),
IF(AND($G$5="Yes",$G$6="Yes",$G$7="No"),((('GF diets No L-Val + Fat + WD'!AR$351-'GF diets No L-Val + Fat + WD'!AR$5)*('GF diets No L-Val + Fat + WD'!AR$353/100)*'DDGS Calculator'!$G$8)-'GF diets No L-Val + Fat + WD'!AR$266)-
((('GF diets No L-Val + Fat + WD'!B$351-'GF diets No L-Val + Fat + WD'!B$5)*('GF diets No L-Val + Fat + WD'!B$353/100)*'DDGS Calculator'!$G$8)-'GF diets No L-Val + Fat + WD'!B$266),
IF(AND($G$5="No",$G$6="Yes",$G$7="Yes"),((('GF diets L-Val + WD'!AR$351-'GF diets L-Val + WD'!AR$5)*('GF diets L-Val + WD'!AR$353/100)*'DDGS Calculator'!$G$8)-'GF diets L-Val + WD'!AR$266)-
((('GF diets L-Val + WD'!B$351-'GF diets L-Val + WD'!B$5)*('GF diets L-Val + WD'!B$353/100)*'DDGS Calculator'!$G$8)-'GF diets L-Val + WD'!B$266),
IF(AND($G$5="Yes",$G$6="Yes",$G$7="Yes"),((('GF diets L-Val + Fat + WD'!AR$351-'GF diets L-Val + Fat + WD'!AR$5)*('GF diets L-Val + Fat + WD'!AR$353/100)*'DDGS Calculator'!$G$8)-'GF diets L-Val + Fat + WD'!AR$266)-
((('GF diets L-Val + Fat + WD'!B$351-'GF diets L-Val + Fat + WD'!B$5)*('GF diets L-Val + Fat + WD'!B$353/100)*'DDGS Calculator'!$G$8)-'GF diets L-Val + Fat + WD'!B$266)
))))))))</f>
        <v>-0.72880226804485382</v>
      </c>
      <c r="D73" s="468">
        <f>IF(AND($G$5="No",$G$6="No",$G$7="No"),((('GF diets No L-Val'!AS$351-'GF diets No L-Val'!AS$5)*('GF diets No L-Val'!AS$353/100)*'DDGS Calculator'!$G$8)-'GF diets No L-Val'!AS$266)-
((('GF diets No L-Val'!C$351-'GF diets No L-Val'!C$5)*('GF diets No L-Val'!C$353/100)*'DDGS Calculator'!$G$8)-'GF diets No L-Val'!C$266),
IF(AND($G$5="Yes",$G$6="No",$G$7="No"),((('GF diets No L-Val + Fat'!AS$351-'GF diets No L-Val + Fat'!AS$5)*('GF diets No L-Val + Fat'!AS$353/100)*'DDGS Calculator'!$G$8)-'GF diets No L-Val + Fat'!AS$266)-
((('GF diets No L-Val + Fat'!C$351-'GF diets No L-Val + Fat'!C$5)*('GF diets No L-Val + Fat'!C$353/100)*'DDGS Calculator'!$G$8)-'GF diets No L-Val + Fat'!C$266),
IF(AND($G$5="No",$G$6="No",$G$7="Yes"),((('GF diets L-Val'!AS$351-'GF diets L-Val'!AS$5)*('GF diets L-Val'!AS$353/100)*'DDGS Calculator'!$G$8)-'GF diets L-Val'!AS$266)-
((('GF diets L-Val'!C$351-'GF diets L-Val'!C$5)*('GF diets L-Val'!C$353/100)*'DDGS Calculator'!$G$8)-'GF diets L-Val'!C$266),
IF(AND($G$5="Yes",$G$6="No",$G$7="Yes"),((('GF diets L-Val + Fat'!AS$351-'GF diets L-Val + Fat'!AS$5)*('GF diets L-Val + Fat'!AS$353/100)*'DDGS Calculator'!$G$8)-'GF diets L-Val + Fat'!AS$266)-
((('GF diets L-Val + Fat'!C$351-'GF diets L-Val + Fat'!C$5)*('GF diets L-Val + Fat'!C$353/100)*'DDGS Calculator'!$G$8)-'GF diets L-Val + Fat'!C$266),
IF(AND($G$5="No",$G$6="Yes",$G$7="No"),((('GF diets No L-Val + WD'!AS$351-'GF diets No L-Val + WD'!AS$5)*('GF diets No L-Val + WD'!AS$353/100)*'DDGS Calculator'!$G$8)-'GF diets No L-Val + WD'!AS$266)-
((('GF diets No L-Val + WD'!C$351-'GF diets No L-Val + WD'!C$5)*('GF diets No L-Val + WD'!C$353/100)*'DDGS Calculator'!$G$8)-'GF diets No L-Val + WD'!C$266),
IF(AND($G$5="Yes",$G$6="Yes",$G$7="No"),((('GF diets No L-Val + Fat + WD'!AS$351-'GF diets No L-Val + Fat + WD'!AS$5)*('GF diets No L-Val + Fat + WD'!AS$353/100)*'DDGS Calculator'!$G$8)-'GF diets No L-Val + Fat + WD'!AS$266)-
((('GF diets No L-Val + Fat + WD'!C$351-'GF diets No L-Val + Fat + WD'!C$5)*('GF diets No L-Val + Fat + WD'!C$353/100)*'DDGS Calculator'!$G$8)-'GF diets No L-Val + Fat + WD'!C$266),
IF(AND($G$5="No",$G$6="Yes",$G$7="Yes"),((('GF diets L-Val + WD'!AS$351-'GF diets L-Val + WD'!AS$5)*('GF diets L-Val + WD'!AS$353/100)*'DDGS Calculator'!$G$8)-'GF diets L-Val + WD'!AS$266)-
((('GF diets L-Val + WD'!C$351-'GF diets L-Val + WD'!C$5)*('GF diets L-Val + WD'!C$353/100)*'DDGS Calculator'!$G$8)-'GF diets L-Val + WD'!C$266),
IF(AND($G$5="Yes",$G$6="Yes",$G$7="Yes"),((('GF diets L-Val + Fat + WD'!AS$351-'GF diets L-Val + Fat + WD'!AS$5)*('GF diets L-Val + Fat + WD'!AS$353/100)*'DDGS Calculator'!$G$8)-'GF diets L-Val + Fat + WD'!AS$266)-
((('GF diets L-Val + Fat + WD'!C$351-'GF diets L-Val + Fat + WD'!C$5)*('GF diets L-Val + Fat + WD'!C$353/100)*'DDGS Calculator'!$G$8)-'GF diets L-Val + Fat + WD'!C$266)
))))))))</f>
        <v>-0.71976869807051358</v>
      </c>
      <c r="E73" s="468">
        <f>IF(AND($G$5="No",$G$6="No",$G$7="No"),((('GF diets No L-Val'!AT$351-'GF diets No L-Val'!AT$5)*('GF diets No L-Val'!AT$353/100)*'DDGS Calculator'!$G$8)-'GF diets No L-Val'!AT$266)-
((('GF diets No L-Val'!D$351-'GF diets No L-Val'!D$5)*('GF diets No L-Val'!D$353/100)*'DDGS Calculator'!$G$8)-'GF diets No L-Val'!D$266),
IF(AND($G$5="Yes",$G$6="No",$G$7="No"),((('GF diets No L-Val + Fat'!AT$351-'GF diets No L-Val + Fat'!AT$5)*('GF diets No L-Val + Fat'!AT$353/100)*'DDGS Calculator'!$G$8)-'GF diets No L-Val + Fat'!AT$266)-
((('GF diets No L-Val + Fat'!D$351-'GF diets No L-Val + Fat'!D$5)*('GF diets No L-Val + Fat'!D$353/100)*'DDGS Calculator'!$G$8)-'GF diets No L-Val + Fat'!D$266),
IF(AND($G$5="No",$G$6="No",$G$7="Yes"),((('GF diets L-Val'!AT$351-'GF diets L-Val'!AT$5)*('GF diets L-Val'!AT$353/100)*'DDGS Calculator'!$G$8)-'GF diets L-Val'!AT$266)-
((('GF diets L-Val'!D$351-'GF diets L-Val'!D$5)*('GF diets L-Val'!D$353/100)*'DDGS Calculator'!$G$8)-'GF diets L-Val'!D$266),
IF(AND($G$5="Yes",$G$6="No",$G$7="Yes"),((('GF diets L-Val + Fat'!AT$351-'GF diets L-Val + Fat'!AT$5)*('GF diets L-Val + Fat'!AT$353/100)*'DDGS Calculator'!$G$8)-'GF diets L-Val + Fat'!AT$266)-
((('GF diets L-Val + Fat'!D$351-'GF diets L-Val + Fat'!D$5)*('GF diets L-Val + Fat'!D$353/100)*'DDGS Calculator'!$G$8)-'GF diets L-Val + Fat'!D$266),
IF(AND($G$5="No",$G$6="Yes",$G$7="No"),((('GF diets No L-Val + WD'!AT$351-'GF diets No L-Val + WD'!AT$5)*('GF diets No L-Val + WD'!AT$353/100)*'DDGS Calculator'!$G$8)-'GF diets No L-Val + WD'!AT$266)-
((('GF diets No L-Val + WD'!D$351-'GF diets No L-Val + WD'!D$5)*('GF diets No L-Val + WD'!D$353/100)*'DDGS Calculator'!$G$8)-'GF diets No L-Val + WD'!D$266),
IF(AND($G$5="Yes",$G$6="Yes",$G$7="No"),((('GF diets No L-Val + Fat + WD'!AT$351-'GF diets No L-Val + Fat + WD'!AT$5)*('GF diets No L-Val + Fat + WD'!AT$353/100)*'DDGS Calculator'!$G$8)-'GF diets No L-Val + Fat + WD'!AT$266)-
((('GF diets No L-Val + Fat + WD'!D$351-'GF diets No L-Val + Fat + WD'!D$5)*('GF diets No L-Val + Fat + WD'!D$353/100)*'DDGS Calculator'!$G$8)-'GF diets No L-Val + Fat + WD'!D$266),
IF(AND($G$5="No",$G$6="Yes",$G$7="Yes"),((('GF diets L-Val + WD'!AT$351-'GF diets L-Val + WD'!AT$5)*('GF diets L-Val + WD'!AT$353/100)*'DDGS Calculator'!$G$8)-'GF diets L-Val + WD'!AT$266)-
((('GF diets L-Val + WD'!D$351-'GF diets L-Val + WD'!D$5)*('GF diets L-Val + WD'!D$353/100)*'DDGS Calculator'!$G$8)-'GF diets L-Val + WD'!D$266),
IF(AND($G$5="Yes",$G$6="Yes",$G$7="Yes"),((('GF diets L-Val + Fat + WD'!AT$351-'GF diets L-Val + Fat + WD'!AT$5)*('GF diets L-Val + Fat + WD'!AT$353/100)*'DDGS Calculator'!$G$8)-'GF diets L-Val + Fat + WD'!AT$266)-
((('GF diets L-Val + Fat + WD'!D$351-'GF diets L-Val + Fat + WD'!D$5)*('GF diets L-Val + Fat + WD'!D$353/100)*'DDGS Calculator'!$G$8)-'GF diets L-Val + Fat + WD'!D$266)
))))))))</f>
        <v>-0.91180015604675368</v>
      </c>
      <c r="F73" s="468">
        <f>IF(AND($G$5="No",$G$6="No",$G$7="No"),((('GF diets No L-Val'!AU$351-'GF diets No L-Val'!AU$5)*('GF diets No L-Val'!AU$353/100)*'DDGS Calculator'!$G$8)-'GF diets No L-Val'!AU$266)-
((('GF diets No L-Val'!E$351-'GF diets No L-Val'!E$5)*('GF diets No L-Val'!E$353/100)*'DDGS Calculator'!$G$8)-'GF diets No L-Val'!E$266),
IF(AND($G$5="Yes",$G$6="No",$G$7="No"),((('GF diets No L-Val + Fat'!AU$351-'GF diets No L-Val + Fat'!AU$5)*('GF diets No L-Val + Fat'!AU$353/100)*'DDGS Calculator'!$G$8)-'GF diets No L-Val + Fat'!AU$266)-
((('GF diets No L-Val + Fat'!E$351-'GF diets No L-Val + Fat'!E$5)*('GF diets No L-Val + Fat'!E$353/100)*'DDGS Calculator'!$G$8)-'GF diets No L-Val + Fat'!E$266),
IF(AND($G$5="No",$G$6="No",$G$7="Yes"),((('GF diets L-Val'!AU$351-'GF diets L-Val'!AU$5)*('GF diets L-Val'!AU$353/100)*'DDGS Calculator'!$G$8)-'GF diets L-Val'!AU$266)-
((('GF diets L-Val'!E$351-'GF diets L-Val'!E$5)*('GF diets L-Val'!E$353/100)*'DDGS Calculator'!$G$8)-'GF diets L-Val'!E$266),
IF(AND($G$5="Yes",$G$6="No",$G$7="Yes"),((('GF diets L-Val + Fat'!AU$351-'GF diets L-Val + Fat'!AU$5)*('GF diets L-Val + Fat'!AU$353/100)*'DDGS Calculator'!$G$8)-'GF diets L-Val + Fat'!AU$266)-
((('GF diets L-Val + Fat'!E$351-'GF diets L-Val + Fat'!E$5)*('GF diets L-Val + Fat'!E$353/100)*'DDGS Calculator'!$G$8)-'GF diets L-Val + Fat'!E$266),
IF(AND($G$5="No",$G$6="Yes",$G$7="No"),((('GF diets No L-Val + WD'!AU$351-'GF diets No L-Val + WD'!AU$5)*('GF diets No L-Val + WD'!AU$353/100)*'DDGS Calculator'!$G$8)-'GF diets No L-Val + WD'!AU$266)-
((('GF diets No L-Val + WD'!E$351-'GF diets No L-Val + WD'!E$5)*('GF diets No L-Val + WD'!E$353/100)*'DDGS Calculator'!$G$8)-'GF diets No L-Val + WD'!E$266),
IF(AND($G$5="Yes",$G$6="Yes",$G$7="No"),((('GF diets No L-Val + Fat + WD'!AU$351-'GF diets No L-Val + Fat + WD'!AU$5)*('GF diets No L-Val + Fat + WD'!AU$353/100)*'DDGS Calculator'!$G$8)-'GF diets No L-Val + Fat + WD'!AU$266)-
((('GF diets No L-Val + Fat + WD'!E$351-'GF diets No L-Val + Fat + WD'!E$5)*('GF diets No L-Val + Fat + WD'!E$353/100)*'DDGS Calculator'!$G$8)-'GF diets No L-Val + Fat + WD'!E$266),
IF(AND($G$5="No",$G$6="Yes",$G$7="Yes"),((('GF diets L-Val + WD'!AU$351-'GF diets L-Val + WD'!AU$5)*('GF diets L-Val + WD'!AU$353/100)*'DDGS Calculator'!$G$8)-'GF diets L-Val + WD'!AU$266)-
((('GF diets L-Val + WD'!E$351-'GF diets L-Val + WD'!E$5)*('GF diets L-Val + WD'!E$353/100)*'DDGS Calculator'!$G$8)-'GF diets L-Val + WD'!E$266),
IF(AND($G$5="Yes",$G$6="Yes",$G$7="Yes"),((('GF diets L-Val + Fat + WD'!AU$351-'GF diets L-Val + Fat + WD'!AU$5)*('GF diets L-Val + Fat + WD'!AU$353/100)*'DDGS Calculator'!$G$8)-'GF diets L-Val + Fat + WD'!AU$266)-
((('GF diets L-Val + Fat + WD'!E$351-'GF diets L-Val + Fat + WD'!E$5)*('GF diets L-Val + Fat + WD'!E$353/100)*'DDGS Calculator'!$G$8)-'GF diets L-Val + Fat + WD'!E$266)
))))))))</f>
        <v>-1.0979574939294476</v>
      </c>
      <c r="G73" s="468">
        <f>IF(AND($G$5="No",$G$6="No",$G$7="No"),((('GF diets No L-Val'!AV$351-'GF diets No L-Val'!AV$5)*('GF diets No L-Val'!AV$353/100)*'DDGS Calculator'!$G$8)-'GF diets No L-Val'!AV$266)-
((('GF diets No L-Val'!F$351-'GF diets No L-Val'!F$5)*('GF diets No L-Val'!F$353/100)*'DDGS Calculator'!$G$8)-'GF diets No L-Val'!F$266),
IF(AND($G$5="Yes",$G$6="No",$G$7="No"),((('GF diets No L-Val + Fat'!AV$351-'GF diets No L-Val + Fat'!AV$5)*('GF diets No L-Val + Fat'!AV$353/100)*'DDGS Calculator'!$G$8)-'GF diets No L-Val + Fat'!AV$266)-
((('GF diets No L-Val + Fat'!F$351-'GF diets No L-Val + Fat'!F$5)*('GF diets No L-Val + Fat'!F$353/100)*'DDGS Calculator'!$G$8)-'GF diets No L-Val + Fat'!F$266),
IF(AND($G$5="No",$G$6="No",$G$7="Yes"),((('GF diets L-Val'!AV$351-'GF diets L-Val'!AV$5)*('GF diets L-Val'!AV$353/100)*'DDGS Calculator'!$G$8)-'GF diets L-Val'!AV$266)-
((('GF diets L-Val'!F$351-'GF diets L-Val'!F$5)*('GF diets L-Val'!F$353/100)*'DDGS Calculator'!$G$8)-'GF diets L-Val'!F$266),
IF(AND($G$5="Yes",$G$6="No",$G$7="Yes"),((('GF diets L-Val + Fat'!AV$351-'GF diets L-Val + Fat'!AV$5)*('GF diets L-Val + Fat'!AV$353/100)*'DDGS Calculator'!$G$8)-'GF diets L-Val + Fat'!AV$266)-
((('GF diets L-Val + Fat'!F$351-'GF diets L-Val + Fat'!F$5)*('GF diets L-Val + Fat'!F$353/100)*'DDGS Calculator'!$G$8)-'GF diets L-Val + Fat'!F$266),
IF(AND($G$5="No",$G$6="Yes",$G$7="No"),((('GF diets No L-Val + WD'!AV$351-'GF diets No L-Val + WD'!AV$5)*('GF diets No L-Val + WD'!AV$353/100)*'DDGS Calculator'!$G$8)-'GF diets No L-Val + WD'!AV$266)-
((('GF diets No L-Val + WD'!F$351-'GF diets No L-Val + WD'!F$5)*('GF diets No L-Val + WD'!F$353/100)*'DDGS Calculator'!$G$8)-'GF diets No L-Val + WD'!F$266),
IF(AND($G$5="Yes",$G$6="Yes",$G$7="No"),((('GF diets No L-Val + Fat + WD'!AV$351-'GF diets No L-Val + Fat + WD'!AV$5)*('GF diets No L-Val + Fat + WD'!AV$353/100)*'DDGS Calculator'!$G$8)-'GF diets No L-Val + Fat + WD'!AV$266)-
((('GF diets No L-Val + Fat + WD'!F$351-'GF diets No L-Val + Fat + WD'!F$5)*('GF diets No L-Val + Fat + WD'!F$353/100)*'DDGS Calculator'!$G$8)-'GF diets No L-Val + Fat + WD'!F$266),
IF(AND($G$5="No",$G$6="Yes",$G$7="Yes"),((('GF diets L-Val + WD'!AV$351-'GF diets L-Val + WD'!AV$5)*('GF diets L-Val + WD'!AV$353/100)*'DDGS Calculator'!$G$8)-'GF diets L-Val + WD'!AV$266)-
((('GF diets L-Val + WD'!F$351-'GF diets L-Val + WD'!F$5)*('GF diets L-Val + WD'!F$353/100)*'DDGS Calculator'!$G$8)-'GF diets L-Val + WD'!F$266),
IF(AND($G$5="Yes",$G$6="Yes",$G$7="Yes"),((('GF diets L-Val + Fat + WD'!AV$351-'GF diets L-Val + Fat + WD'!AV$5)*('GF diets L-Val + Fat + WD'!AV$353/100)*'DDGS Calculator'!$G$8)-'GF diets L-Val + Fat + WD'!AV$266)-
((('GF diets L-Val + Fat + WD'!F$351-'GF diets L-Val + Fat + WD'!F$5)*('GF diets L-Val + Fat + WD'!F$353/100)*'DDGS Calculator'!$G$8)-'GF diets L-Val + Fat + WD'!F$266)
))))))))</f>
        <v>-1.3633418991264445</v>
      </c>
      <c r="H73" s="468">
        <f>IF(AND($G$5="No",$G$6="No",$G$7="No"),((('GF diets No L-Val'!AW$351-'GF diets No L-Val'!AW$5)*('GF diets No L-Val'!AW$353/100)*'DDGS Calculator'!$G$8)-'GF diets No L-Val'!AW$266)-
((('GF diets No L-Val'!G$351-'GF diets No L-Val'!G$5)*('GF diets No L-Val'!G$353/100)*'DDGS Calculator'!$G$8)-'GF diets No L-Val'!G$266),
IF(AND($G$5="Yes",$G$6="No",$G$7="No"),((('GF diets No L-Val + Fat'!AW$351-'GF diets No L-Val + Fat'!AW$5)*('GF diets No L-Val + Fat'!AW$353/100)*'DDGS Calculator'!$G$8)-'GF diets No L-Val + Fat'!AW$266)-
((('GF diets No L-Val + Fat'!G$351-'GF diets No L-Val + Fat'!G$5)*('GF diets No L-Val + Fat'!G$353/100)*'DDGS Calculator'!$G$8)-'GF diets No L-Val + Fat'!G$266),
IF(AND($G$5="No",$G$6="No",$G$7="Yes"),((('GF diets L-Val'!AW$351-'GF diets L-Val'!AW$5)*('GF diets L-Val'!AW$353/100)*'DDGS Calculator'!$G$8)-'GF diets L-Val'!AW$266)-
((('GF diets L-Val'!G$351-'GF diets L-Val'!G$5)*('GF diets L-Val'!G$353/100)*'DDGS Calculator'!$G$8)-'GF diets L-Val'!G$266),
IF(AND($G$5="Yes",$G$6="No",$G$7="Yes"),((('GF diets L-Val + Fat'!AW$351-'GF diets L-Val + Fat'!AW$5)*('GF diets L-Val + Fat'!AW$353/100)*'DDGS Calculator'!$G$8)-'GF diets L-Val + Fat'!AW$266)-
((('GF diets L-Val + Fat'!G$351-'GF diets L-Val + Fat'!G$5)*('GF diets L-Val + Fat'!G$353/100)*'DDGS Calculator'!$G$8)-'GF diets L-Val + Fat'!G$266),
IF(AND($G$5="No",$G$6="Yes",$G$7="No"),((('GF diets No L-Val + WD'!AW$351-'GF diets No L-Val + WD'!AW$5)*('GF diets No L-Val + WD'!AW$353/100)*'DDGS Calculator'!$G$8)-'GF diets No L-Val + WD'!AW$266)-
((('GF diets No L-Val + WD'!G$351-'GF diets No L-Val + WD'!G$5)*('GF diets No L-Val + WD'!G$353/100)*'DDGS Calculator'!$G$8)-'GF diets No L-Val + WD'!G$266),
IF(AND($G$5="Yes",$G$6="Yes",$G$7="No"),((('GF diets No L-Val + Fat + WD'!AW$351-'GF diets No L-Val + Fat + WD'!AW$5)*('GF diets No L-Val + Fat + WD'!AW$353/100)*'DDGS Calculator'!$G$8)-'GF diets No L-Val + Fat + WD'!AW$266)-
((('GF diets No L-Val + Fat + WD'!G$351-'GF diets No L-Val + Fat + WD'!G$5)*('GF diets No L-Val + Fat + WD'!G$353/100)*'DDGS Calculator'!$G$8)-'GF diets No L-Val + Fat + WD'!G$266),
IF(AND($G$5="No",$G$6="Yes",$G$7="Yes"),((('GF diets L-Val + WD'!AW$351-'GF diets L-Val + WD'!AW$5)*('GF diets L-Val + WD'!AW$353/100)*'DDGS Calculator'!$G$8)-'GF diets L-Val + WD'!AW$266)-
((('GF diets L-Val + WD'!G$351-'GF diets L-Val + WD'!G$5)*('GF diets L-Val + WD'!G$353/100)*'DDGS Calculator'!$G$8)-'GF diets L-Val + WD'!G$266),
IF(AND($G$5="Yes",$G$6="Yes",$G$7="Yes"),((('GF diets L-Val + Fat + WD'!AW$351-'GF diets L-Val + Fat + WD'!AW$5)*('GF diets L-Val + Fat + WD'!AW$353/100)*'DDGS Calculator'!$G$8)-'GF diets L-Val + Fat + WD'!AW$266)-
((('GF diets L-Val + Fat + WD'!G$351-'GF diets L-Val + Fat + WD'!G$5)*('GF diets L-Val + Fat + WD'!G$353/100)*'DDGS Calculator'!$G$8)-'GF diets L-Val + Fat + WD'!G$266)
))))))))</f>
        <v>-1.924818819056604</v>
      </c>
      <c r="I73" s="468">
        <f t="shared" si="3"/>
        <v>-6.7464893342746173</v>
      </c>
      <c r="J73" s="468">
        <f>I73-I72</f>
        <v>-1.0494650789308455</v>
      </c>
      <c r="K73" s="450"/>
      <c r="L73" s="388"/>
      <c r="M73" s="388"/>
      <c r="N73" s="388"/>
      <c r="O73" s="388"/>
      <c r="P73" s="388"/>
      <c r="Q73" s="388"/>
      <c r="S73" s="454"/>
      <c r="T73" s="454"/>
      <c r="U73" s="454"/>
      <c r="V73" s="454"/>
      <c r="W73" s="391"/>
      <c r="X73" s="391"/>
    </row>
    <row r="74" spans="1:30" ht="12" customHeight="1" thickBot="1" x14ac:dyDescent="0.3">
      <c r="C74" s="434"/>
      <c r="D74" s="434"/>
      <c r="E74" s="434"/>
      <c r="F74" s="434"/>
      <c r="G74" s="434"/>
      <c r="H74" s="434"/>
      <c r="K74" s="367"/>
    </row>
    <row r="75" spans="1:30" ht="16.2" thickBot="1" x14ac:dyDescent="0.35">
      <c r="B75" s="394" t="s">
        <v>584</v>
      </c>
      <c r="C75" s="400" t="s">
        <v>472</v>
      </c>
      <c r="D75" s="399" t="s">
        <v>68</v>
      </c>
      <c r="E75" s="399" t="s">
        <v>69</v>
      </c>
      <c r="F75" s="399" t="s">
        <v>158</v>
      </c>
      <c r="G75" s="399" t="s">
        <v>473</v>
      </c>
      <c r="H75" s="401" t="s">
        <v>475</v>
      </c>
      <c r="I75" s="395" t="s">
        <v>485</v>
      </c>
      <c r="J75" s="402" t="s">
        <v>486</v>
      </c>
      <c r="K75" s="367"/>
    </row>
    <row r="76" spans="1:30" ht="15.6" x14ac:dyDescent="0.3">
      <c r="B76" s="387" t="s">
        <v>487</v>
      </c>
      <c r="C76" s="468">
        <f>IF(AND($G$5="No",$G$6="No",$G$7="No"),'GF diets No L-Val'!I$270-'GF diets No L-Val'!B$270,
IF(AND($G$5="Yes",$G$6="No",$G$7="No"),'GF diets No L-Val + Fat'!I$270-'GF diets No L-Val + Fat'!B$270,
IF(AND($G$5="No",$G$6="No",$G$7="Yes"),'GF diets L-Val'!I$270-'GF diets L-Val'!B$270,
IF(AND($G$5="Yes",$G$6="No",$G$7="Yes"),'GF diets L-Val + Fat'!I$270-'GF diets L-Val + Fat'!B$270,
IF(AND($G$5="No",$G$6="Yes",$G$7="No"),'GF diets No L-Val + WD'!I$270-'GF diets No L-Val + WD'!B$270,
IF(AND($G$5="Yes",$G$6="Yes",$G$7="No"),'GF diets No L-Val + Fat + WD'!I$270-'GF diets No L-Val + Fat + WD'!B$270,
IF(AND($G$5="No",$G$6="Yes",$G$7="Yes"),'GF diets L-Val + WD'!I$270-'GF diets L-Val + WD'!B$270,
IF(AND($G$5="Yes",$G$6="Yes",$G$7="Yes"),'GF diets L-Val + Fat + WD'!I$270-'GF diets L-Val + Fat + WD'!B$270))))))))*-1</f>
        <v>-7.4918115429456478E-3</v>
      </c>
      <c r="D76" s="468">
        <f>IF(AND($G$5="No",$G$6="No",$G$7="No"),'GF diets No L-Val'!J$270-'GF diets No L-Val'!C$270,
IF(AND($G$5="Yes",$G$6="No",$G$7="No"),'GF diets No L-Val + Fat'!J$270-'GF diets No L-Val + Fat'!C$270,
IF(AND($G$5="No",$G$6="No",$G$7="Yes"),'GF diets L-Val'!J$270-'GF diets L-Val'!C$270,
IF(AND($G$5="Yes",$G$6="No",$G$7="Yes"),'GF diets L-Val + Fat'!J$270-'GF diets L-Val + Fat'!C$270,
IF(AND($G$5="No",$G$6="Yes",$G$7="No"),'GF diets No L-Val + WD'!J$270-'GF diets No L-Val + WD'!C$270,
IF(AND($G$5="Yes",$G$6="Yes",$G$7="No"),'GF diets No L-Val + Fat + WD'!J$270-'GF diets No L-Val + Fat + WD'!C$270,
IF(AND($G$5="No",$G$6="Yes",$G$7="Yes"),'GF diets L-Val + WD'!J$270-'GF diets L-Val + WD'!C$270,
IF(AND($G$5="Yes",$G$6="Yes",$G$7="Yes"),'GF diets L-Val + Fat + WD'!J$270-'GF diets L-Val + Fat + WD'!C$270))))))))*-1</f>
        <v>-9.0577067288055702E-3</v>
      </c>
      <c r="E76" s="468">
        <f>IF(AND($G$5="No",$G$6="No",$G$7="No"),'GF diets No L-Val'!K$270-'GF diets No L-Val'!D$270,
IF(AND($G$5="Yes",$G$6="No",$G$7="No"),'GF diets No L-Val + Fat'!K$270-'GF diets No L-Val + Fat'!D$270,
IF(AND($G$5="No",$G$6="No",$G$7="Yes"),'GF diets L-Val'!K$270-'GF diets L-Val'!D$270,
IF(AND($G$5="Yes",$G$6="No",$G$7="Yes"),'GF diets L-Val + Fat'!K$270-'GF diets L-Val + Fat'!D$270,
IF(AND($G$5="No",$G$6="Yes",$G$7="No"),'GF diets No L-Val + WD'!K$270-'GF diets No L-Val + WD'!D$270,
IF(AND($G$5="Yes",$G$6="Yes",$G$7="No"),'GF diets No L-Val + Fat + WD'!K$270-'GF diets No L-Val + Fat + WD'!D$270,
IF(AND($G$5="No",$G$6="Yes",$G$7="Yes"),'GF diets L-Val + WD'!K$270-'GF diets L-Val + WD'!D$270,
IF(AND($G$5="Yes",$G$6="Yes",$G$7="Yes"),'GF diets L-Val + Fat + WD'!K$270-'GF diets L-Val + Fat + WD'!D$270))))))))*-1</f>
        <v>-1.238368464235684E-2</v>
      </c>
      <c r="F76" s="468">
        <f>IF(AND($G$5="No",$G$6="No",$G$7="No"),'GF diets No L-Val'!L$270-'GF diets No L-Val'!E$270,
IF(AND($G$5="Yes",$G$6="No",$G$7="No"),'GF diets No L-Val + Fat'!L$270-'GF diets No L-Val + Fat'!E$270,
IF(AND($G$5="No",$G$6="No",$G$7="Yes"),'GF diets L-Val'!L$270-'GF diets L-Val'!E$270,
IF(AND($G$5="Yes",$G$6="No",$G$7="Yes"),'GF diets L-Val + Fat'!L$270-'GF diets L-Val + Fat'!E$270,
IF(AND($G$5="No",$G$6="Yes",$G$7="No"),'GF diets No L-Val + WD'!L$270-'GF diets No L-Val + WD'!E$270,
IF(AND($G$5="Yes",$G$6="Yes",$G$7="No"),'GF diets No L-Val + Fat + WD'!L$270-'GF diets No L-Val + Fat + WD'!E$270,
IF(AND($G$5="No",$G$6="Yes",$G$7="Yes"),'GF diets L-Val + WD'!L$270-'GF diets L-Val + WD'!E$270,
IF(AND($G$5="Yes",$G$6="Yes",$G$7="Yes"),'GF diets L-Val + Fat + WD'!L$270-'GF diets L-Val + Fat + WD'!E$270))))))))*-1</f>
        <v>-7.722438751271099E-3</v>
      </c>
      <c r="G76" s="468">
        <f>IF(AND($G$5="No",$G$6="No",$G$7="No"),'GF diets No L-Val'!M$270-'GF diets No L-Val'!F$270,
IF(AND($G$5="Yes",$G$6="No",$G$7="No"),'GF diets No L-Val + Fat'!M$270-'GF diets No L-Val + Fat'!F$270,
IF(AND($G$5="No",$G$6="No",$G$7="Yes"),'GF diets L-Val'!M$270-'GF diets L-Val'!F$270,
IF(AND($G$5="Yes",$G$6="No",$G$7="Yes"),'GF diets L-Val + Fat'!M$270-'GF diets L-Val + Fat'!F$270,
IF(AND($G$5="No",$G$6="Yes",$G$7="No"),'GF diets No L-Val + WD'!M$270-'GF diets No L-Val + WD'!F$270,
IF(AND($G$5="Yes",$G$6="Yes",$G$7="No"),'GF diets No L-Val + Fat + WD'!M$270-'GF diets No L-Val + Fat + WD'!F$270,
IF(AND($G$5="No",$G$6="Yes",$G$7="Yes"),'GF diets L-Val + WD'!M$270-'GF diets L-Val + WD'!F$270,
IF(AND($G$5="Yes",$G$6="Yes",$G$7="Yes"),'GF diets L-Val + Fat + WD'!M$270-'GF diets L-Val + Fat + WD'!F$270))))))))*-1</f>
        <v>-7.3136617695421791E-3</v>
      </c>
      <c r="H76" s="468">
        <f>IF(AND($G$5="No",$G$6="No",$G$7="No"),'GF diets No L-Val'!N$270-'GF diets No L-Val'!G$270,
IF(AND($G$5="Yes",$G$6="No",$G$7="No"),'GF diets No L-Val + Fat'!N$270-'GF diets No L-Val + Fat'!G$270,
IF(AND($G$5="No",$G$6="No",$G$7="Yes"),'GF diets L-Val'!N$270-'GF diets L-Val'!G$270,
IF(AND($G$5="Yes",$G$6="No",$G$7="Yes"),'GF diets L-Val + Fat'!N$270-'GF diets L-Val + Fat'!G$270,
IF(AND($G$5="No",$G$6="Yes",$G$7="No"),'GF diets No L-Val + WD'!N$270-'GF diets No L-Val + WD'!G$270,
IF(AND($G$5="Yes",$G$6="Yes",$G$7="No"),'GF diets No L-Val + Fat + WD'!N$270-'GF diets No L-Val + Fat + WD'!G$270,
IF(AND($G$5="No",$G$6="Yes",$G$7="Yes"),'GF diets L-Val + WD'!N$270-'GF diets L-Val + WD'!G$270,
IF(AND($G$5="Yes",$G$6="Yes",$G$7="Yes"),'GF diets L-Val + Fat + WD'!N$270-'GF diets L-Val + Fat + WD'!G$270))))))))*-1</f>
        <v>-8.1000915505917703E-3</v>
      </c>
      <c r="I76" s="468">
        <f t="shared" ref="I76:I81" si="4">SUM(C76:H76)</f>
        <v>-5.2069394985513107E-2</v>
      </c>
      <c r="J76" s="468"/>
      <c r="K76" s="367"/>
    </row>
    <row r="77" spans="1:30" ht="15.6" x14ac:dyDescent="0.3">
      <c r="B77" s="387" t="s">
        <v>488</v>
      </c>
      <c r="C77" s="468">
        <f>IF(AND($G$5="No",$G$6="No",$G$7="No"),'GF diets No L-Val'!P$270-'GF diets No L-Val'!B$270,
IF(AND($G$5="Yes",$G$6="No",$G$7="No"),'GF diets No L-Val + Fat'!P$270-'GF diets No L-Val + Fat'!B$270,
IF(AND($G$5="No",$G$6="No",$G$7="Yes"),'GF diets L-Val'!P$270-'GF diets L-Val'!B$270,
IF(AND($G$5="Yes",$G$6="No",$G$7="Yes"),'GF diets L-Val + Fat'!P$270-'GF diets L-Val + Fat'!B$270,
IF(AND($G$5="No",$G$6="Yes",$G$7="No"),'GF diets No L-Val + WD'!P$270-'GF diets No L-Val + WD'!B$270,
IF(AND($G$5="Yes",$G$6="Yes",$G$7="No"),'GF diets No L-Val + Fat + WD'!P$270-'GF diets No L-Val + Fat + WD'!B$270,
IF(AND($G$5="No",$G$6="Yes",$G$7="Yes"),'GF diets L-Val + WD'!P$270-'GF diets L-Val + WD'!B$270,
IF(AND($G$5="Yes",$G$6="Yes",$G$7="Yes"),'GF diets L-Val + Fat + WD'!P$270-'GF diets L-Val + Fat + WD'!B$270))))))))*-1</f>
        <v>-2.0969348343414573E-2</v>
      </c>
      <c r="D77" s="468">
        <f>IF(AND($G$5="No",$G$6="No",$G$7="No"),'GF diets No L-Val'!Q$270-'GF diets No L-Val'!C$270,
IF(AND($G$5="Yes",$G$6="No",$G$7="No"),'GF diets No L-Val + Fat'!Q$270-'GF diets No L-Val + Fat'!C$270,
IF(AND($G$5="No",$G$6="No",$G$7="Yes"),'GF diets L-Val'!Q$270-'GF diets L-Val'!C$270,
IF(AND($G$5="Yes",$G$6="No",$G$7="Yes"),'GF diets L-Val + Fat'!Q$270-'GF diets L-Val + Fat'!C$270,
IF(AND($G$5="No",$G$6="Yes",$G$7="No"),'GF diets No L-Val + WD'!Q$270-'GF diets No L-Val + WD'!C$270,
IF(AND($G$5="Yes",$G$6="Yes",$G$7="No"),'GF diets No L-Val + Fat + WD'!Q$270-'GF diets No L-Val + Fat + WD'!C$270,
IF(AND($G$5="No",$G$6="Yes",$G$7="Yes"),'GF diets L-Val + WD'!Q$270-'GF diets L-Val + WD'!C$270,
IF(AND($G$5="Yes",$G$6="Yes",$G$7="Yes"),'GF diets L-Val + Fat + WD'!Q$270-'GF diets L-Val + Fat + WD'!C$270))))))))*-1</f>
        <v>-2.3898501264588035E-2</v>
      </c>
      <c r="E77" s="468">
        <f>IF(AND($G$5="No",$G$6="No",$G$7="No"),'GF diets No L-Val'!R$270-'GF diets No L-Val'!D$270,
IF(AND($G$5="Yes",$G$6="No",$G$7="No"),'GF diets No L-Val + Fat'!R$270-'GF diets No L-Val + Fat'!D$270,
IF(AND($G$5="No",$G$6="No",$G$7="Yes"),'GF diets L-Val'!R$270-'GF diets L-Val'!D$270,
IF(AND($G$5="Yes",$G$6="No",$G$7="Yes"),'GF diets L-Val + Fat'!R$270-'GF diets L-Val + Fat'!D$270,
IF(AND($G$5="No",$G$6="Yes",$G$7="No"),'GF diets No L-Val + WD'!R$270-'GF diets No L-Val + WD'!D$270,
IF(AND($G$5="Yes",$G$6="Yes",$G$7="No"),'GF diets No L-Val + Fat + WD'!R$270-'GF diets No L-Val + Fat + WD'!D$270,
IF(AND($G$5="No",$G$6="Yes",$G$7="Yes"),'GF diets L-Val + WD'!R$270-'GF diets L-Val + WD'!D$270,
IF(AND($G$5="Yes",$G$6="Yes",$G$7="Yes"),'GF diets L-Val + Fat + WD'!R$270-'GF diets L-Val + Fat + WD'!D$270))))))))*-1</f>
        <v>-2.9916762987015844E-2</v>
      </c>
      <c r="F77" s="468">
        <f>IF(AND($G$5="No",$G$6="No",$G$7="No"),'GF diets No L-Val'!S$270-'GF diets No L-Val'!E$270,
IF(AND($G$5="Yes",$G$6="No",$G$7="No"),'GF diets No L-Val + Fat'!S$270-'GF diets No L-Val + Fat'!E$270,
IF(AND($G$5="No",$G$6="No",$G$7="Yes"),'GF diets L-Val'!S$270-'GF diets L-Val'!E$270,
IF(AND($G$5="Yes",$G$6="No",$G$7="Yes"),'GF diets L-Val + Fat'!S$270-'GF diets L-Val + Fat'!E$270,
IF(AND($G$5="No",$G$6="Yes",$G$7="No"),'GF diets No L-Val + WD'!S$270-'GF diets No L-Val + WD'!E$270,
IF(AND($G$5="Yes",$G$6="Yes",$G$7="No"),'GF diets No L-Val + Fat + WD'!S$270-'GF diets No L-Val + Fat + WD'!E$270,
IF(AND($G$5="No",$G$6="Yes",$G$7="Yes"),'GF diets L-Val + WD'!S$270-'GF diets L-Val + WD'!E$270,
IF(AND($G$5="Yes",$G$6="Yes",$G$7="Yes"),'GF diets L-Val + Fat + WD'!S$270-'GF diets L-Val + Fat + WD'!E$270))))))))*-1</f>
        <v>-2.2182849361893631E-2</v>
      </c>
      <c r="G77" s="468">
        <f>IF(AND($G$5="No",$G$6="No",$G$7="No"),'GF diets No L-Val'!T$270-'GF diets No L-Val'!F$270,
IF(AND($G$5="Yes",$G$6="No",$G$7="No"),'GF diets No L-Val + Fat'!T$270-'GF diets No L-Val + Fat'!F$270,
IF(AND($G$5="No",$G$6="No",$G$7="Yes"),'GF diets L-Val'!T$270-'GF diets L-Val'!F$270,
IF(AND($G$5="Yes",$G$6="No",$G$7="Yes"),'GF diets L-Val + Fat'!T$270-'GF diets L-Val + Fat'!F$270,
IF(AND($G$5="No",$G$6="Yes",$G$7="No"),'GF diets No L-Val + WD'!T$270-'GF diets No L-Val + WD'!F$270,
IF(AND($G$5="Yes",$G$6="Yes",$G$7="No"),'GF diets No L-Val + Fat + WD'!T$270-'GF diets No L-Val + Fat + WD'!F$270,
IF(AND($G$5="No",$G$6="Yes",$G$7="Yes"),'GF diets L-Val + WD'!T$270-'GF diets L-Val + WD'!F$270,
IF(AND($G$5="Yes",$G$6="Yes",$G$7="Yes"),'GF diets L-Val + Fat + WD'!T$270-'GF diets L-Val + Fat + WD'!F$270))))))))*-1</f>
        <v>-3.5111469325279643E-2</v>
      </c>
      <c r="H77" s="468">
        <f>IF(AND($G$5="No",$G$6="No",$G$7="No"),'GF diets No L-Val'!U$270-'GF diets No L-Val'!G$270,
IF(AND($G$5="Yes",$G$6="No",$G$7="No"),'GF diets No L-Val + Fat'!U$270-'GF diets No L-Val + Fat'!G$270,
IF(AND($G$5="No",$G$6="No",$G$7="Yes"),'GF diets L-Val'!U$270-'GF diets L-Val'!G$270,
IF(AND($G$5="Yes",$G$6="No",$G$7="Yes"),'GF diets L-Val + Fat'!U$270-'GF diets L-Val + Fat'!G$270,
IF(AND($G$5="No",$G$6="Yes",$G$7="No"),'GF diets No L-Val + WD'!U$270-'GF diets No L-Val + WD'!G$270,
IF(AND($G$5="Yes",$G$6="Yes",$G$7="No"),'GF diets No L-Val + Fat + WD'!U$270-'GF diets No L-Val + Fat + WD'!G$270,
IF(AND($G$5="No",$G$6="Yes",$G$7="Yes"),'GF diets L-Val + WD'!U$270-'GF diets L-Val + WD'!G$270,
IF(AND($G$5="Yes",$G$6="Yes",$G$7="Yes"),'GF diets L-Val + Fat + WD'!U$270-'GF diets L-Val + Fat + WD'!G$270))))))))*-1</f>
        <v>-4.6795425987873784E-2</v>
      </c>
      <c r="I77" s="468">
        <f t="shared" si="4"/>
        <v>-0.17887435727006551</v>
      </c>
      <c r="J77" s="468">
        <f>I77-I76</f>
        <v>-0.1268049622845524</v>
      </c>
      <c r="K77" s="367"/>
    </row>
    <row r="78" spans="1:30" ht="15.6" x14ac:dyDescent="0.3">
      <c r="B78" s="387" t="s">
        <v>489</v>
      </c>
      <c r="C78" s="468">
        <f>IF(AND($G$5="No",$G$6="No",$G$7="No"),'GF diets No L-Val'!W$270-'GF diets No L-Val'!B$270,IF(AND($G$5="Yes",$G$6="No",$G$7="No"),'GF diets No L-Val + Fat'!W$270-'GF diets No L-Val + Fat'!B$270,IF(AND($G$5="No",$G$6="No",$G$7="Yes"),'GF diets L-Val'!W$270-'GF diets L-Val'!B$270,IF(AND($G$5="Yes",$G$6="No",$G$7="Yes"),'GF diets L-Val + Fat'!W$270-'GF diets L-Val + Fat'!B$270,IF(AND($G$5="No",$G$6="Yes",$G$7="No"),'GF diets No L-Val + WD'!W$270-'GF diets No L-Val + WD'!B$270,IF(AND($G$5="Yes",$G$6="Yes",$G$7="No"),'GF diets No L-Val + Fat + WD'!W$270-'GF diets No L-Val + Fat + WD'!B$270,IF(AND($G$5="No",$G$6="Yes",$G$7="Yes"),'GF diets L-Val + WD'!W$270-'GF diets L-Val + WD'!B$270,IF(AND($G$5="Yes",$G$6="Yes",$G$7="Yes"),'GF diets L-Val + Fat + WD'!W$270-'GF diets L-Val + Fat + WD'!B$270))))))))*-1</f>
        <v>-3.4572609295029366E-2</v>
      </c>
      <c r="D78" s="468">
        <f>IF(AND($G$5="No",$G$6="No",$G$7="No"),'GF diets No L-Val'!X$270-'GF diets No L-Val'!C$270,IF(AND($G$5="Yes",$G$6="No",$G$7="No"),'GF diets No L-Val + Fat'!X$270-'GF diets No L-Val + Fat'!C$270,IF(AND($G$5="No",$G$6="No",$G$7="Yes"),'GF diets L-Val'!X$270-'GF diets L-Val'!C$270,IF(AND($G$5="Yes",$G$6="No",$G$7="Yes"),'GF diets L-Val + Fat'!X$270-'GF diets L-Val + Fat'!C$270,IF(AND($G$5="No",$G$6="Yes",$G$7="No"),'GF diets No L-Val + WD'!X$270-'GF diets No L-Val + WD'!C$270,IF(AND($G$5="Yes",$G$6="Yes",$G$7="No"),'GF diets No L-Val + Fat + WD'!X$270-'GF diets No L-Val + Fat + WD'!C$270,IF(AND($G$5="No",$G$6="Yes",$G$7="Yes"),'GF diets L-Val + WD'!X$270-'GF diets L-Val + WD'!C$270,IF(AND($G$5="Yes",$G$6="Yes",$G$7="Yes"),'GF diets L-Val + Fat + WD'!X$270-'GF diets L-Val + Fat + WD'!C$270))))))))*-1</f>
        <v>-3.833687130038399E-2</v>
      </c>
      <c r="E78" s="468">
        <f>IF(AND($G$5="No",$G$6="No",$G$7="No"),'GF diets No L-Val'!Y$270-'GF diets No L-Val'!D$270,IF(AND($G$5="Yes",$G$6="No",$G$7="No"),'GF diets No L-Val + Fat'!Y$270-'GF diets No L-Val + Fat'!D$270,IF(AND($G$5="No",$G$6="No",$G$7="Yes"),'GF diets L-Val'!Y$270-'GF diets L-Val'!D$270,IF(AND($G$5="Yes",$G$6="No",$G$7="Yes"),'GF diets L-Val + Fat'!Y$270-'GF diets L-Val + Fat'!D$270,IF(AND($G$5="No",$G$6="Yes",$G$7="No"),'GF diets No L-Val + WD'!Y$270-'GF diets No L-Val + WD'!D$270,IF(AND($G$5="Yes",$G$6="Yes",$G$7="No"),'GF diets No L-Val + Fat + WD'!Y$270-'GF diets No L-Val + Fat + WD'!D$270,IF(AND($G$5="No",$G$6="Yes",$G$7="Yes"),'GF diets L-Val + WD'!Y$270-'GF diets L-Val + WD'!D$270,IF(AND($G$5="Yes",$G$6="Yes",$G$7="Yes"),'GF diets L-Val + Fat + WD'!Y$270-'GF diets L-Val + Fat + WD'!D$270))))))))*-1</f>
        <v>-4.3729833715282496E-2</v>
      </c>
      <c r="F78" s="468">
        <f>IF(AND($G$5="No",$G$6="No",$G$7="No"),'GF diets No L-Val'!Z$270-'GF diets No L-Val'!E$270,IF(AND($G$5="Yes",$G$6="No",$G$7="No"),'GF diets No L-Val + Fat'!Z$270-'GF diets No L-Val + Fat'!E$270,IF(AND($G$5="No",$G$6="No",$G$7="Yes"),'GF diets L-Val'!Z$270-'GF diets L-Val'!E$270,IF(AND($G$5="Yes",$G$6="No",$G$7="Yes"),'GF diets L-Val + Fat'!Z$270-'GF diets L-Val + Fat'!E$270,IF(AND($G$5="No",$G$6="Yes",$G$7="No"),'GF diets No L-Val + WD'!Z$270-'GF diets No L-Val + WD'!E$270,IF(AND($G$5="Yes",$G$6="Yes",$G$7="No"),'GF diets No L-Val + Fat + WD'!Z$270-'GF diets No L-Val + Fat + WD'!E$270,IF(AND($G$5="No",$G$6="Yes",$G$7="Yes"),'GF diets L-Val + WD'!Z$270-'GF diets L-Val + WD'!E$270,IF(AND($G$5="Yes",$G$6="Yes",$G$7="Yes"),'GF diets L-Val + Fat + WD'!Z$270-'GF diets L-Val + Fat + WD'!E$270))))))))*-1</f>
        <v>-4.154594702699832E-2</v>
      </c>
      <c r="G78" s="468">
        <f>IF(AND($G$5="No",$G$6="No",$G$7="No"),'GF diets No L-Val'!AA$270-'GF diets No L-Val'!F$270,IF(AND($G$5="Yes",$G$6="No",$G$7="No"),'GF diets No L-Val + Fat'!AA$270-'GF diets No L-Val + Fat'!F$270,IF(AND($G$5="No",$G$6="No",$G$7="Yes"),'GF diets L-Val'!AA$270-'GF diets L-Val'!F$270,IF(AND($G$5="Yes",$G$6="No",$G$7="Yes"),'GF diets L-Val + Fat'!AA$270-'GF diets L-Val + Fat'!F$270,IF(AND($G$5="No",$G$6="Yes",$G$7="No"),'GF diets No L-Val + WD'!AA$270-'GF diets No L-Val + WD'!F$270,IF(AND($G$5="Yes",$G$6="Yes",$G$7="No"),'GF diets No L-Val + Fat + WD'!AA$270-'GF diets No L-Val + Fat + WD'!F$270,IF(AND($G$5="No",$G$6="Yes",$G$7="Yes"),'GF diets L-Val + WD'!AA$270-'GF diets L-Val + WD'!F$270,IF(AND($G$5="Yes",$G$6="Yes",$G$7="Yes"),'GF diets L-Val + Fat + WD'!AA$270-'GF diets L-Val + Fat + WD'!F$270))))))))*-1</f>
        <v>-6.6906452926639659E-2</v>
      </c>
      <c r="H78" s="468">
        <f>IF(AND($G$5="No",$G$6="No",$G$7="No"),'GF diets No L-Val'!AB$270-'GF diets No L-Val'!G$270,IF(AND($G$5="Yes",$G$6="No",$G$7="No"),'GF diets No L-Val + Fat'!AB$270-'GF diets No L-Val + Fat'!G$270,IF(AND($G$5="No",$G$6="No",$G$7="Yes"),'GF diets L-Val'!AB$270-'GF diets L-Val'!G$270,IF(AND($G$5="Yes",$G$6="No",$G$7="Yes"),'GF diets L-Val + Fat'!AB$270-'GF diets L-Val + Fat'!G$270,IF(AND($G$5="No",$G$6="Yes",$G$7="No"),'GF diets No L-Val + WD'!AB$270-'GF diets No L-Val + WD'!G$270,IF(AND($G$5="Yes",$G$6="Yes",$G$7="No"),'GF diets No L-Val + Fat + WD'!AB$270-'GF diets No L-Val + Fat + WD'!G$270,IF(AND($G$5="No",$G$6="Yes",$G$7="Yes"),'GF diets L-Val + WD'!AB$270-'GF diets L-Val + WD'!G$270,IF(AND($G$5="Yes",$G$6="Yes",$G$7="Yes"),'GF diets L-Val + Fat + WD'!AB$270-'GF diets L-Val + Fat + WD'!G$270))))))))*-1</f>
        <v>-9.3636334451847603E-2</v>
      </c>
      <c r="I78" s="468">
        <f t="shared" si="4"/>
        <v>-0.31872804871618143</v>
      </c>
      <c r="J78" s="468">
        <f>I78-I77</f>
        <v>-0.13985369144611592</v>
      </c>
      <c r="K78" s="367"/>
    </row>
    <row r="79" spans="1:30" ht="15.6" x14ac:dyDescent="0.3">
      <c r="B79" s="387" t="s">
        <v>490</v>
      </c>
      <c r="C79" s="468">
        <f>IF(AND($G$5="No",$G$6="No",$G$7="No"),'GF diets No L-Val'!AD$270-'GF diets No L-Val'!B$270,IF(AND($G$5="Yes",$G$6="No",$G$7="No"),'GF diets No L-Val + Fat'!AD$270-'GF diets No L-Val + Fat'!B$270,IF(AND($G$5="No",$G$6="No",$G$7="Yes"),'GF diets L-Val'!AD$270-'GF diets L-Val'!B$270,IF(AND($G$5="Yes",$G$6="No",$G$7="Yes"),'GF diets L-Val + Fat'!AD$270-'GF diets L-Val + Fat'!B$270,IF(AND($G$5="No",$G$6="Yes",$G$7="No"),'GF diets No L-Val + WD'!AD$270-'GF diets No L-Val + WD'!B$270,IF(AND($G$5="Yes",$G$6="Yes",$G$7="No"),'GF diets No L-Val + Fat + WD'!AD$270-'GF diets No L-Val + Fat + WD'!B$270,IF(AND($G$5="No",$G$6="Yes",$G$7="Yes"),'GF diets L-Val + WD'!AD$270-'GF diets L-Val + WD'!B$270,IF(AND($G$5="Yes",$G$6="Yes",$G$7="Yes"),'GF diets L-Val + Fat + WD'!AD$270-'GF diets L-Val + Fat + WD'!B$270))))))))*-1</f>
        <v>-4.8228274704241514E-2</v>
      </c>
      <c r="D79" s="468">
        <f>IF(AND($G$5="No",$G$6="No",$G$7="No"),'GF diets No L-Val'!AE$270-'GF diets No L-Val'!C$270,IF(AND($G$5="Yes",$G$6="No",$G$7="No"),'GF diets No L-Val + Fat'!AE$270-'GF diets No L-Val + Fat'!C$270,IF(AND($G$5="No",$G$6="No",$G$7="Yes"),'GF diets L-Val'!AE$270-'GF diets L-Val'!C$270,IF(AND($G$5="Yes",$G$6="No",$G$7="Yes"),'GF diets L-Val + Fat'!AE$270-'GF diets L-Val + Fat'!C$270,IF(AND($G$5="No",$G$6="Yes",$G$7="No"),'GF diets No L-Val + WD'!AE$270-'GF diets No L-Val + WD'!C$270,IF(AND($G$5="Yes",$G$6="Yes",$G$7="No"),'GF diets No L-Val + Fat + WD'!AE$270-'GF diets No L-Val + Fat + WD'!C$270,IF(AND($G$5="No",$G$6="Yes",$G$7="Yes"),'GF diets L-Val + WD'!AE$270-'GF diets L-Val + WD'!C$270,IF(AND($G$5="Yes",$G$6="Yes",$G$7="Yes"),'GF diets L-Val + Fat + WD'!AE$270-'GF diets L-Val + Fat + WD'!C$270))))))))*-1</f>
        <v>-4.9682656685455129E-2</v>
      </c>
      <c r="E79" s="468">
        <f>IF(AND($G$5="No",$G$6="No",$G$7="No"),'GF diets No L-Val'!AF$270-'GF diets No L-Val'!D$270,IF(AND($G$5="Yes",$G$6="No",$G$7="No"),'GF diets No L-Val + Fat'!AF$270-'GF diets No L-Val + Fat'!D$270,IF(AND($G$5="No",$G$6="No",$G$7="Yes"),'GF diets L-Val'!AF$270-'GF diets L-Val'!D$270,IF(AND($G$5="Yes",$G$6="No",$G$7="Yes"),'GF diets L-Val + Fat'!AF$270-'GF diets L-Val + Fat'!D$270,IF(AND($G$5="No",$G$6="Yes",$G$7="No"),'GF diets No L-Val + WD'!AF$270-'GF diets No L-Val + WD'!D$270,IF(AND($G$5="Yes",$G$6="Yes",$G$7="No"),'GF diets No L-Val + Fat + WD'!AF$270-'GF diets No L-Val + Fat + WD'!D$270,IF(AND($G$5="No",$G$6="Yes",$G$7="Yes"),'GF diets L-Val + WD'!AF$270-'GF diets L-Val + WD'!D$270,IF(AND($G$5="Yes",$G$6="Yes",$G$7="Yes"),'GF diets L-Val + Fat + WD'!AF$270-'GF diets L-Val + Fat + WD'!D$270))))))))*-1</f>
        <v>-5.5949177353673107E-2</v>
      </c>
      <c r="F79" s="468">
        <f>IF(AND($G$5="No",$G$6="No",$G$7="No"),'GF diets No L-Val'!AG$270-'GF diets No L-Val'!E$270,IF(AND($G$5="Yes",$G$6="No",$G$7="No"),'GF diets No L-Val + Fat'!AG$270-'GF diets No L-Val + Fat'!E$270,IF(AND($G$5="No",$G$6="No",$G$7="Yes"),'GF diets L-Val'!AG$270-'GF diets L-Val'!E$270,IF(AND($G$5="Yes",$G$6="No",$G$7="Yes"),'GF diets L-Val + Fat'!AG$270-'GF diets L-Val + Fat'!E$270,IF(AND($G$5="No",$G$6="Yes",$G$7="No"),'GF diets No L-Val + WD'!AG$270-'GF diets No L-Val + WD'!E$270,IF(AND($G$5="Yes",$G$6="Yes",$G$7="No"),'GF diets No L-Val + Fat + WD'!AG$270-'GF diets No L-Val + Fat + WD'!E$270,IF(AND($G$5="No",$G$6="Yes",$G$7="Yes"),'GF diets L-Val + WD'!AG$270-'GF diets L-Val + WD'!E$270,IF(AND($G$5="Yes",$G$6="Yes",$G$7="Yes"),'GF diets L-Val + Fat + WD'!AG$270-'GF diets L-Val + Fat + WD'!E$270))))))))*-1</f>
        <v>-7.1361784680387785E-2</v>
      </c>
      <c r="G79" s="468">
        <f>IF(AND($G$5="No",$G$6="No",$G$7="No"),'GF diets No L-Val'!AH$270-'GF diets No L-Val'!F$270,IF(AND($G$5="Yes",$G$6="No",$G$7="No"),'GF diets No L-Val + Fat'!AH$270-'GF diets No L-Val + Fat'!F$270,IF(AND($G$5="No",$G$6="No",$G$7="Yes"),'GF diets L-Val'!AH$270-'GF diets L-Val'!F$270,IF(AND($G$5="Yes",$G$6="No",$G$7="Yes"),'GF diets L-Val + Fat'!AH$270-'GF diets L-Val + Fat'!F$270,IF(AND($G$5="No",$G$6="Yes",$G$7="No"),'GF diets No L-Val + WD'!AH$270-'GF diets No L-Val + WD'!F$270,IF(AND($G$5="Yes",$G$6="Yes",$G$7="No"),'GF diets No L-Val + Fat + WD'!AH$270-'GF diets No L-Val + Fat + WD'!F$270,IF(AND($G$5="No",$G$6="Yes",$G$7="Yes"),'GF diets L-Val + WD'!AH$270-'GF diets L-Val + WD'!F$270,IF(AND($G$5="Yes",$G$6="Yes",$G$7="Yes"),'GF diets L-Val + Fat + WD'!AH$270-'GF diets L-Val + Fat + WD'!F$270))))))))*-1</f>
        <v>-0.11440661001956265</v>
      </c>
      <c r="H79" s="468">
        <f>IF(AND($G$5="No",$G$6="No",$G$7="No"),'GF diets No L-Val'!AI$270-'GF diets No L-Val'!G$270,IF(AND($G$5="Yes",$G$6="No",$G$7="No"),'GF diets No L-Val + Fat'!AI$270-'GF diets No L-Val + Fat'!G$270,IF(AND($G$5="No",$G$6="No",$G$7="Yes"),'GF diets L-Val'!AI$270-'GF diets L-Val'!G$270,IF(AND($G$5="Yes",$G$6="No",$G$7="Yes"),'GF diets L-Val + Fat'!AI$270-'GF diets L-Val + Fat'!G$270,IF(AND($G$5="No",$G$6="Yes",$G$7="No"),'GF diets No L-Val + WD'!AI$270-'GF diets No L-Val + WD'!G$270,IF(AND($G$5="Yes",$G$6="Yes",$G$7="No"),'GF diets No L-Val + Fat + WD'!AI$270-'GF diets No L-Val + Fat + WD'!G$270,IF(AND($G$5="No",$G$6="Yes",$G$7="Yes"),'GF diets L-Val + WD'!AI$270-'GF diets L-Val + WD'!G$270,IF(AND($G$5="Yes",$G$6="Yes",$G$7="Yes"),'GF diets L-Val + Fat + WD'!AI$270-'GF diets L-Val + Fat + WD'!G$270))))))))*-1</f>
        <v>-0.16360403154810577</v>
      </c>
      <c r="I79" s="468">
        <f t="shared" si="4"/>
        <v>-0.50323253499142595</v>
      </c>
      <c r="J79" s="468">
        <f>I79-I78</f>
        <v>-0.18450448627524452</v>
      </c>
      <c r="K79" s="367"/>
    </row>
    <row r="80" spans="1:30" ht="15.6" x14ac:dyDescent="0.3">
      <c r="B80" s="387" t="s">
        <v>491</v>
      </c>
      <c r="C80" s="468">
        <f>IF(AND($G$5="No",$G$6="No",$G$7="No"),'GF diets No L-Val'!AK$270-'GF diets No L-Val'!B$270,IF(AND($G$5="Yes",$G$6="No",$G$7="No"),'GF diets No L-Val + Fat'!AK$270-'GF diets No L-Val + Fat'!B$270,IF(AND($G$5="No",$G$6="No",$G$7="Yes"),'GF diets L-Val'!AK$270-'GF diets L-Val'!B$270,IF(AND($G$5="Yes",$G$6="No",$G$7="Yes"),'GF diets L-Val + Fat'!AK$270-'GF diets L-Val + Fat'!B$270,IF(AND($G$5="No",$G$6="Yes",$G$7="No"),'GF diets No L-Val + WD'!AK$270-'GF diets No L-Val + WD'!B$270,IF(AND($G$5="Yes",$G$6="Yes",$G$7="No"),'GF diets No L-Val + Fat + WD'!AK$270-'GF diets No L-Val + Fat + WD'!B$270,IF(AND($G$5="No",$G$6="Yes",$G$7="Yes"),'GF diets L-Val + WD'!AK$270-'GF diets L-Val + WD'!B$270,IF(AND($G$5="Yes",$G$6="Yes",$G$7="Yes"),'GF diets L-Val + Fat + WD'!AK$270-'GF diets L-Val + Fat + WD'!B$270))))))))*-1</f>
        <v>-7.4260971588451241E-2</v>
      </c>
      <c r="D80" s="468">
        <f>IF(AND($G$5="No",$G$6="No",$G$7="No"),'GF diets No L-Val'!AL$270-'GF diets No L-Val'!C$270,IF(AND($G$5="Yes",$G$6="No",$G$7="No"),'GF diets No L-Val + Fat'!AL$270-'GF diets No L-Val + Fat'!C$270,IF(AND($G$5="No",$G$6="No",$G$7="Yes"),'GF diets L-Val'!AL$270-'GF diets L-Val'!C$270,IF(AND($G$5="Yes",$G$6="No",$G$7="Yes"),'GF diets L-Val + Fat'!AL$270-'GF diets L-Val + Fat'!C$270,IF(AND($G$5="No",$G$6="Yes",$G$7="No"),'GF diets No L-Val + WD'!AL$270-'GF diets No L-Val + WD'!C$270,IF(AND($G$5="Yes",$G$6="Yes",$G$7="No"),'GF diets No L-Val + Fat + WD'!AL$270-'GF diets No L-Val + Fat + WD'!C$270,IF(AND($G$5="No",$G$6="Yes",$G$7="Yes"),'GF diets L-Val + WD'!AL$270-'GF diets L-Val + WD'!C$270,IF(AND($G$5="Yes",$G$6="Yes",$G$7="Yes"),'GF diets L-Val + Fat + WD'!AL$270-'GF diets L-Val + Fat + WD'!C$270))))))))*-1</f>
        <v>-6.2142317229561428E-2</v>
      </c>
      <c r="E80" s="468">
        <f>IF(AND($G$5="No",$G$6="No",$G$7="No"),'GF diets No L-Val'!AM$270-'GF diets No L-Val'!D$270,IF(AND($G$5="Yes",$G$6="No",$G$7="No"),'GF diets No L-Val + Fat'!AM$270-'GF diets No L-Val + Fat'!D$270,IF(AND($G$5="No",$G$6="No",$G$7="Yes"),'GF diets L-Val'!AM$270-'GF diets L-Val'!D$270,IF(AND($G$5="Yes",$G$6="No",$G$7="Yes"),'GF diets L-Val + Fat'!AM$270-'GF diets L-Val + Fat'!D$270,IF(AND($G$5="No",$G$6="Yes",$G$7="No"),'GF diets No L-Val + WD'!AM$270-'GF diets No L-Val + WD'!D$270,IF(AND($G$5="Yes",$G$6="Yes",$G$7="No"),'GF diets No L-Val + Fat + WD'!AM$270-'GF diets No L-Val + Fat + WD'!D$270,IF(AND($G$5="No",$G$6="Yes",$G$7="Yes"),'GF diets L-Val + WD'!AM$270-'GF diets L-Val + WD'!D$270,IF(AND($G$5="Yes",$G$6="Yes",$G$7="Yes"),'GF diets L-Val + Fat + WD'!AM$270-'GF diets L-Val + Fat + WD'!D$270))))))))*-1</f>
        <v>-8.3466510332875998E-2</v>
      </c>
      <c r="F80" s="468">
        <f>IF(AND($G$5="No",$G$6="No",$G$7="No"),'GF diets No L-Val'!AN$270-'GF diets No L-Val'!E$270,IF(AND($G$5="Yes",$G$6="No",$G$7="No"),'GF diets No L-Val + Fat'!AN$270-'GF diets No L-Val + Fat'!E$270,IF(AND($G$5="No",$G$6="No",$G$7="Yes"),'GF diets L-Val'!AN$270-'GF diets L-Val'!E$270,IF(AND($G$5="Yes",$G$6="No",$G$7="Yes"),'GF diets L-Val + Fat'!AN$270-'GF diets L-Val + Fat'!E$270,IF(AND($G$5="No",$G$6="Yes",$G$7="No"),'GF diets No L-Val + WD'!AN$270-'GF diets No L-Val + WD'!E$270,IF(AND($G$5="Yes",$G$6="Yes",$G$7="No"),'GF diets No L-Val + Fat + WD'!AN$270-'GF diets No L-Val + Fat + WD'!E$270,IF(AND($G$5="No",$G$6="Yes",$G$7="Yes"),'GF diets L-Val + WD'!AN$270-'GF diets L-Val + WD'!E$270,IF(AND($G$5="Yes",$G$6="Yes",$G$7="Yes"),'GF diets L-Val + Fat + WD'!AN$270-'GF diets L-Val + Fat + WD'!E$270))))))))*-1</f>
        <v>-0.11109795073122442</v>
      </c>
      <c r="G80" s="468">
        <f>IF(AND($G$5="No",$G$6="No",$G$7="No"),'GF diets No L-Val'!AO$270-'GF diets No L-Val'!F$270,IF(AND($G$5="Yes",$G$6="No",$G$7="No"),'GF diets No L-Val + Fat'!AO$270-'GF diets No L-Val + Fat'!F$270,IF(AND($G$5="No",$G$6="No",$G$7="Yes"),'GF diets L-Val'!AO$270-'GF diets L-Val'!F$270,IF(AND($G$5="Yes",$G$6="No",$G$7="Yes"),'GF diets L-Val + Fat'!AO$270-'GF diets L-Val + Fat'!F$270,IF(AND($G$5="No",$G$6="Yes",$G$7="No"),'GF diets No L-Val + WD'!AO$270-'GF diets No L-Val + WD'!F$270,IF(AND($G$5="Yes",$G$6="Yes",$G$7="No"),'GF diets No L-Val + Fat + WD'!AO$270-'GF diets No L-Val + Fat + WD'!F$270,IF(AND($G$5="No",$G$6="Yes",$G$7="Yes"),'GF diets L-Val + WD'!AO$270-'GF diets L-Val + WD'!F$270,IF(AND($G$5="Yes",$G$6="Yes",$G$7="Yes"),'GF diets L-Val + Fat + WD'!AO$270-'GF diets L-Val + Fat + WD'!F$270))))))))*-1</f>
        <v>-0.17363663448684363</v>
      </c>
      <c r="H80" s="468">
        <f>IF(AND($G$5="No",$G$6="No",$G$7="No"),'GF diets No L-Val'!AP$270-'GF diets No L-Val'!G$270,IF(AND($G$5="Yes",$G$6="No",$G$7="No"),'GF diets No L-Val + Fat'!AP$270-'GF diets No L-Val + Fat'!G$270,IF(AND($G$5="No",$G$6="No",$G$7="Yes"),'GF diets L-Val'!AP$270-'GF diets L-Val'!G$270,IF(AND($G$5="Yes",$G$6="No",$G$7="Yes"),'GF diets L-Val + Fat'!AP$270-'GF diets L-Val + Fat'!G$270,IF(AND($G$5="No",$G$6="Yes",$G$7="No"),'GF diets No L-Val + WD'!AP$270-'GF diets No L-Val + WD'!G$270,IF(AND($G$5="Yes",$G$6="Yes",$G$7="No"),'GF diets No L-Val + Fat + WD'!AP$270-'GF diets No L-Val + Fat + WD'!G$270,IF(AND($G$5="No",$G$6="Yes",$G$7="Yes"),'GF diets L-Val + WD'!AP$270-'GF diets L-Val + WD'!G$270,IF(AND($G$5="Yes",$G$6="Yes",$G$7="Yes"),'GF diets L-Val + Fat + WD'!AP$270-'GF diets L-Val + Fat + WD'!G$270))))))))*-1</f>
        <v>-0.23740638063249087</v>
      </c>
      <c r="I80" s="468">
        <f t="shared" si="4"/>
        <v>-0.74201076500144758</v>
      </c>
      <c r="J80" s="468">
        <f>I80-I79</f>
        <v>-0.23877823001002163</v>
      </c>
      <c r="K80" s="367"/>
    </row>
    <row r="81" spans="2:11" ht="15.6" x14ac:dyDescent="0.3">
      <c r="B81" s="387" t="s">
        <v>492</v>
      </c>
      <c r="C81" s="468">
        <f>IF(AND($G$5="No",$G$6="No",$G$7="No"),'GF diets No L-Val'!AR$270-'GF diets No L-Val'!B$270,IF(AND($G$5="Yes",$G$6="No",$G$7="No"),'GF diets No L-Val + Fat'!AR$270-'GF diets No L-Val + Fat'!B$270,IF(AND($G$5="No",$G$6="No",$G$7="Yes"),'GF diets L-Val'!AR$270-'GF diets L-Val'!B$270,IF(AND($G$5="Yes",$G$6="No",$G$7="Yes"),'GF diets L-Val + Fat'!AR$270-'GF diets L-Val + Fat'!B$270,IF(AND($G$5="No",$G$6="Yes",$G$7="No"),'GF diets No L-Val + WD'!AR$270-'GF diets No L-Val + WD'!B$270,IF(AND($G$5="Yes",$G$6="Yes",$G$7="No"),'GF diets No L-Val + Fat + WD'!AR$270-'GF diets No L-Val + Fat + WD'!B$270,IF(AND($G$5="No",$G$6="Yes",$G$7="Yes"),'GF diets L-Val + WD'!AR$270-'GF diets L-Val + WD'!B$270,IF(AND($G$5="Yes",$G$6="Yes",$G$7="Yes"),'GF diets L-Val + Fat + WD'!AR$270-'GF diets L-Val + Fat + WD'!B$270))))))))*-1</f>
        <v>-8.3838206878017019E-2</v>
      </c>
      <c r="D81" s="468">
        <f>IF(AND($G$5="No",$G$6="No",$G$7="No"),'GF diets No L-Val'!AS$270-'GF diets No L-Val'!C$270,IF(AND($G$5="Yes",$G$6="No",$G$7="No"),'GF diets No L-Val + Fat'!AS$270-'GF diets No L-Val + Fat'!C$270,IF(AND($G$5="No",$G$6="No",$G$7="Yes"),'GF diets L-Val'!AS$270-'GF diets L-Val'!C$270,IF(AND($G$5="Yes",$G$6="No",$G$7="Yes"),'GF diets L-Val + Fat'!AS$270-'GF diets L-Val + Fat'!C$270,IF(AND($G$5="No",$G$6="Yes",$G$7="No"),'GF diets No L-Val + WD'!AS$270-'GF diets No L-Val + WD'!C$270,IF(AND($G$5="Yes",$G$6="Yes",$G$7="No"),'GF diets No L-Val + Fat + WD'!AS$270-'GF diets No L-Val + Fat + WD'!C$270,IF(AND($G$5="No",$G$6="Yes",$G$7="Yes"),'GF diets L-Val + WD'!AS$270-'GF diets L-Val + WD'!C$270,IF(AND($G$5="Yes",$G$6="Yes",$G$7="Yes"),'GF diets L-Val + Fat + WD'!AS$270-'GF diets L-Val + Fat + WD'!C$270))))))))*-1</f>
        <v>-7.4903853070210857E-2</v>
      </c>
      <c r="E81" s="468">
        <f>IF(AND($G$5="No",$G$6="No",$G$7="No"),'GF diets No L-Val'!AT$270-'GF diets No L-Val'!D$270,IF(AND($G$5="Yes",$G$6="No",$G$7="No"),'GF diets No L-Val + Fat'!AT$270-'GF diets No L-Val + Fat'!D$270,IF(AND($G$5="No",$G$6="No",$G$7="Yes"),'GF diets L-Val'!AT$270-'GF diets L-Val'!D$270,IF(AND($G$5="Yes",$G$6="No",$G$7="Yes"),'GF diets L-Val + Fat'!AT$270-'GF diets L-Val + Fat'!D$270,IF(AND($G$5="No",$G$6="Yes",$G$7="No"),'GF diets No L-Val + WD'!AT$270-'GF diets No L-Val + WD'!D$270,IF(AND($G$5="Yes",$G$6="Yes",$G$7="No"),'GF diets No L-Val + Fat + WD'!AT$270-'GF diets No L-Val + Fat + WD'!D$270,IF(AND($G$5="No",$G$6="Yes",$G$7="Yes"),'GF diets L-Val + WD'!AT$270-'GF diets L-Val + WD'!D$270,IF(AND($G$5="Yes",$G$6="Yes",$G$7="Yes"),'GF diets L-Val + Fat + WD'!AT$270-'GF diets L-Val + Fat + WD'!D$270))))))))*-1</f>
        <v>-0.11242527303270933</v>
      </c>
      <c r="F81" s="468">
        <f>IF(AND($G$5="No",$G$6="No",$G$7="No"),'GF diets No L-Val'!AU$270-'GF diets No L-Val'!E$270,IF(AND($G$5="Yes",$G$6="No",$G$7="No"),'GF diets No L-Val + Fat'!AU$270-'GF diets No L-Val + Fat'!E$270,IF(AND($G$5="No",$G$6="No",$G$7="Yes"),'GF diets L-Val'!AU$270-'GF diets L-Val'!E$270,IF(AND($G$5="Yes",$G$6="No",$G$7="Yes"),'GF diets L-Val + Fat'!AU$270-'GF diets L-Val + Fat'!E$270,IF(AND($G$5="No",$G$6="Yes",$G$7="No"),'GF diets No L-Val + WD'!AU$270-'GF diets No L-Val + WD'!E$270,IF(AND($G$5="Yes",$G$6="Yes",$G$7="No"),'GF diets No L-Val + Fat + WD'!AU$270-'GF diets No L-Val + Fat + WD'!E$270,IF(AND($G$5="No",$G$6="Yes",$G$7="Yes"),'GF diets L-Val + WD'!AU$270-'GF diets L-Val + WD'!E$270,IF(AND($G$5="Yes",$G$6="Yes",$G$7="Yes"),'GF diets L-Val + Fat + WD'!AU$270-'GF diets L-Val + Fat + WD'!E$270))))))))*-1</f>
        <v>-0.16638948387910624</v>
      </c>
      <c r="G81" s="468">
        <f>IF(AND($G$5="No",$G$6="No",$G$7="No"),'GF diets No L-Val'!AV$270-'GF diets No L-Val'!F$270,IF(AND($G$5="Yes",$G$6="No",$G$7="No"),'GF diets No L-Val + Fat'!AV$270-'GF diets No L-Val + Fat'!F$270,IF(AND($G$5="No",$G$6="No",$G$7="Yes"),'GF diets L-Val'!AV$270-'GF diets L-Val'!F$270,IF(AND($G$5="Yes",$G$6="No",$G$7="Yes"),'GF diets L-Val + Fat'!AV$270-'GF diets L-Val + Fat'!F$270,IF(AND($G$5="No",$G$6="Yes",$G$7="No"),'GF diets No L-Val + WD'!AV$270-'GF diets No L-Val + WD'!F$270,IF(AND($G$5="Yes",$G$6="Yes",$G$7="No"),'GF diets No L-Val + Fat + WD'!AV$270-'GF diets No L-Val + Fat + WD'!F$270,IF(AND($G$5="No",$G$6="Yes",$G$7="Yes"),'GF diets L-Val + WD'!AV$270-'GF diets L-Val + WD'!F$270,IF(AND($G$5="Yes",$G$6="Yes",$G$7="Yes"),'GF diets L-Val + Fat + WD'!AV$270-'GF diets L-Val + Fat + WD'!F$270))))))))*-1</f>
        <v>-0.23206288015506793</v>
      </c>
      <c r="H81" s="468">
        <f>IF(AND($G$5="No",$G$6="No",$G$7="No"),'GF diets No L-Val'!AW$270-'GF diets No L-Val'!G$270,IF(AND($G$5="Yes",$G$6="No",$G$7="No"),'GF diets No L-Val + Fat'!AW$270-'GF diets No L-Val + Fat'!G$270,IF(AND($G$5="No",$G$6="No",$G$7="Yes"),'GF diets L-Val'!AW$270-'GF diets L-Val'!G$270,IF(AND($G$5="Yes",$G$6="No",$G$7="Yes"),'GF diets L-Val + Fat'!AW$270-'GF diets L-Val + Fat'!G$270,IF(AND($G$5="No",$G$6="Yes",$G$7="No"),'GF diets No L-Val + WD'!AW$270-'GF diets No L-Val + WD'!G$270,IF(AND($G$5="Yes",$G$6="Yes",$G$7="No"),'GF diets No L-Val + Fat + WD'!AW$270-'GF diets No L-Val + Fat + WD'!G$270,IF(AND($G$5="No",$G$6="Yes",$G$7="Yes"),'GF diets L-Val + WD'!AW$270-'GF diets L-Val + WD'!G$270,IF(AND($G$5="Yes",$G$6="Yes",$G$7="Yes"),'GF diets L-Val + Fat + WD'!AW$270-'GF diets L-Val + Fat + WD'!G$270))))))))*-1</f>
        <v>-0.31005390711169412</v>
      </c>
      <c r="I81" s="468">
        <f t="shared" si="4"/>
        <v>-0.97967360412680549</v>
      </c>
      <c r="J81" s="468">
        <f>I81-I80</f>
        <v>-0.23766283912535791</v>
      </c>
      <c r="K81" s="367"/>
    </row>
  </sheetData>
  <sheetProtection sheet="1" objects="1" scenarios="1"/>
  <dataConsolidate link="1"/>
  <mergeCells count="6">
    <mergeCell ref="C1:G1"/>
    <mergeCell ref="F4:G4"/>
    <mergeCell ref="C4:D4"/>
    <mergeCell ref="F11:G11"/>
    <mergeCell ref="C17:G17"/>
    <mergeCell ref="C2:G2"/>
  </mergeCells>
  <phoneticPr fontId="27" type="noConversion"/>
  <conditionalFormatting sqref="C60:C65">
    <cfRule type="expression" dxfId="293" priority="24">
      <formula>AND(C60=MAX($C$60:$C$65),MAX($C$60:$C$65)&gt;0)</formula>
    </cfRule>
  </conditionalFormatting>
  <conditionalFormatting sqref="C68:C73">
    <cfRule type="expression" dxfId="292" priority="16">
      <formula>AND(C68=MAX($C$68:$C$73),MAX($C$68:$C$73)&gt;0)</formula>
    </cfRule>
  </conditionalFormatting>
  <conditionalFormatting sqref="C76:C81">
    <cfRule type="expression" dxfId="291" priority="8">
      <formula>AND(C76=MAX($C$76:$C$81),MAX($C$76:$C$81)&gt;0)</formula>
    </cfRule>
  </conditionalFormatting>
  <conditionalFormatting sqref="C52:D57">
    <cfRule type="expression" dxfId="290" priority="25">
      <formula>AND(C52=MAX($C$52:$C$57),MAX($C$52:$C$57)&gt;0)</formula>
    </cfRule>
  </conditionalFormatting>
  <conditionalFormatting sqref="C32:H34 C39:G40 I39:I41 C41:E41 G41">
    <cfRule type="cellIs" dxfId="289" priority="283" operator="lessThan">
      <formula>0</formula>
    </cfRule>
  </conditionalFormatting>
  <conditionalFormatting sqref="C37:I37">
    <cfRule type="cellIs" dxfId="288" priority="276" operator="lessThan">
      <formula>0</formula>
    </cfRule>
  </conditionalFormatting>
  <conditionalFormatting sqref="C38:I38">
    <cfRule type="cellIs" dxfId="287" priority="275" operator="greaterThan">
      <formula>0</formula>
    </cfRule>
  </conditionalFormatting>
  <conditionalFormatting sqref="D5:D15">
    <cfRule type="expression" priority="273">
      <formula>IF($D$5=0,"","$/bu")</formula>
    </cfRule>
  </conditionalFormatting>
  <conditionalFormatting sqref="D45:D49">
    <cfRule type="expression" dxfId="286" priority="33">
      <formula>AND(D45=MAX($D$44:$D$49),MAX($D$44:$D$49)&gt;0)</formula>
    </cfRule>
  </conditionalFormatting>
  <conditionalFormatting sqref="D60:D65">
    <cfRule type="expression" dxfId="285" priority="23">
      <formula>AND(D60=MAX($D$60:$D$65),MAX($D$60:$D$65)&gt;0)</formula>
    </cfRule>
  </conditionalFormatting>
  <conditionalFormatting sqref="D68:D73">
    <cfRule type="expression" dxfId="284" priority="15">
      <formula>AND(D68=MAX($D$68:$D$73),MAX($D$68:$D$73)&gt;0)</formula>
    </cfRule>
  </conditionalFormatting>
  <conditionalFormatting sqref="D76:D81">
    <cfRule type="expression" dxfId="283" priority="7">
      <formula>AND(D76=MAX($D$76:$D$81),MAX($D$76:$D$81)&gt;0)</formula>
    </cfRule>
  </conditionalFormatting>
  <conditionalFormatting sqref="D44:H44 C44:C49">
    <cfRule type="expression" dxfId="282" priority="34">
      <formula>AND(C44=MAX($C$44:$C$49),MAX($C$44:$C$49)&gt;0)</formula>
    </cfRule>
  </conditionalFormatting>
  <conditionalFormatting sqref="E45:E49">
    <cfRule type="expression" dxfId="281" priority="32">
      <formula>AND(E45=MAX($E$44:$E$49),MAX($E$44:$E$49)&gt;0)</formula>
    </cfRule>
  </conditionalFormatting>
  <conditionalFormatting sqref="E60:E65">
    <cfRule type="expression" dxfId="280" priority="22">
      <formula>AND(E60=MAX($E$60:$E$65),MAX($E$60:$E$65)&gt;0)</formula>
    </cfRule>
  </conditionalFormatting>
  <conditionalFormatting sqref="E68:E73">
    <cfRule type="expression" dxfId="279" priority="14">
      <formula>AND(E68=MAX($E$68:$E$73),MAX($E$68:$E$73)&gt;0)</formula>
    </cfRule>
  </conditionalFormatting>
  <conditionalFormatting sqref="E76:E81">
    <cfRule type="expression" dxfId="278" priority="6">
      <formula>AND(E76=MAX($E$76:$E$81),MAX($E$76:$E$81)&gt;0)</formula>
    </cfRule>
  </conditionalFormatting>
  <conditionalFormatting sqref="F14">
    <cfRule type="expression" dxfId="277" priority="289">
      <formula>$G$12&lt;&gt;""</formula>
    </cfRule>
  </conditionalFormatting>
  <conditionalFormatting sqref="F15">
    <cfRule type="expression" dxfId="276" priority="290">
      <formula>$G$12="Oil and ADF content"</formula>
    </cfRule>
  </conditionalFormatting>
  <conditionalFormatting sqref="F45:F49">
    <cfRule type="expression" dxfId="275" priority="31">
      <formula>AND(F45=MAX($F$44:$F$49),MAX($F$44:$F$49)&gt;0)</formula>
    </cfRule>
  </conditionalFormatting>
  <conditionalFormatting sqref="F60:F65">
    <cfRule type="expression" dxfId="274" priority="21">
      <formula>AND(F60=MAX($F$60:$F$65),MAX($F$60:$F$65)&gt;0)</formula>
    </cfRule>
  </conditionalFormatting>
  <conditionalFormatting sqref="F68:F73">
    <cfRule type="expression" dxfId="273" priority="13">
      <formula>AND(F68=MAX($F$68:$F$73),MAX($F$68:$F$73)&gt;0)</formula>
    </cfRule>
  </conditionalFormatting>
  <conditionalFormatting sqref="F76:F81">
    <cfRule type="expression" dxfId="272" priority="5">
      <formula>AND(F76=MAX($F$76:$F$81),MAX($F$76:$F$81)&gt;0)</formula>
    </cfRule>
  </conditionalFormatting>
  <conditionalFormatting sqref="G14">
    <cfRule type="expression" dxfId="271" priority="292">
      <formula>$F$14&lt;&gt;""</formula>
    </cfRule>
  </conditionalFormatting>
  <conditionalFormatting sqref="G14:G15">
    <cfRule type="expression" dxfId="270" priority="285">
      <formula>$G$12=""</formula>
    </cfRule>
  </conditionalFormatting>
  <conditionalFormatting sqref="G15">
    <cfRule type="expression" dxfId="269" priority="287">
      <formula>$G$12="% of corn NE"</formula>
    </cfRule>
    <cfRule type="expression" priority="288">
      <formula>IF($G$12="% of corn NE","","")</formula>
    </cfRule>
    <cfRule type="expression" dxfId="268" priority="293">
      <formula>$G$12="Oil and ADF content"</formula>
    </cfRule>
    <cfRule type="expression" dxfId="267" priority="294">
      <formula>G13="% of corn NE"</formula>
    </cfRule>
  </conditionalFormatting>
  <conditionalFormatting sqref="G45:G49">
    <cfRule type="expression" dxfId="266" priority="30">
      <formula>AND(G45=MAX($G$44:$G$49),MAX($G$44:$G$49)&gt;0)</formula>
    </cfRule>
  </conditionalFormatting>
  <conditionalFormatting sqref="G60:G65">
    <cfRule type="expression" dxfId="265" priority="20">
      <formula>AND(G60=MAX($G$60:$G$65),MAX($G$60:$G$65)&gt;0)</formula>
    </cfRule>
  </conditionalFormatting>
  <conditionalFormatting sqref="G68:G73">
    <cfRule type="expression" dxfId="264" priority="12">
      <formula>AND(G68=MAX($G$68:$G$73),MAX($G$68:$G$73)&gt;0)</formula>
    </cfRule>
  </conditionalFormatting>
  <conditionalFormatting sqref="G76:G81">
    <cfRule type="expression" dxfId="263" priority="4">
      <formula>AND(G76=MAX($G$76:$G$81),MAX($G$76:$G$81)&gt;0)</formula>
    </cfRule>
  </conditionalFormatting>
  <conditionalFormatting sqref="H45:H49">
    <cfRule type="expression" dxfId="262" priority="29">
      <formula>AND(H45=MAX($H$44:$H$49),MAX($H$44:$H$49)&gt;0)</formula>
    </cfRule>
  </conditionalFormatting>
  <conditionalFormatting sqref="H60:H65">
    <cfRule type="expression" dxfId="261" priority="19">
      <formula>AND(H60=MAX($H$60:$H$65),MAX($H$60:$H$65)&gt;0)</formula>
    </cfRule>
  </conditionalFormatting>
  <conditionalFormatting sqref="H68:H73">
    <cfRule type="expression" dxfId="260" priority="11">
      <formula>AND(H68=MAX($H$68:$H$73),MAX($H$68:$H$73)&gt;0)</formula>
    </cfRule>
  </conditionalFormatting>
  <conditionalFormatting sqref="H76:H81">
    <cfRule type="expression" dxfId="259" priority="3">
      <formula>AND(H76=MAX($H$76:$H$81),MAX($H$76:$H$81)&gt;0)</formula>
    </cfRule>
  </conditionalFormatting>
  <conditionalFormatting sqref="H12:I13">
    <cfRule type="expression" priority="296">
      <formula>$A$1&lt;&gt;"Oil and ADF content"</formula>
    </cfRule>
  </conditionalFormatting>
  <conditionalFormatting sqref="I32:I34">
    <cfRule type="cellIs" dxfId="258" priority="284" operator="lessThan">
      <formula>0</formula>
    </cfRule>
  </conditionalFormatting>
  <conditionalFormatting sqref="I44:I49">
    <cfRule type="expression" dxfId="257" priority="28">
      <formula>AND(I44=MAX($I$44:$I$49),MAX($I$44:$I$49)&gt;0)</formula>
    </cfRule>
  </conditionalFormatting>
  <conditionalFormatting sqref="I60:I65">
    <cfRule type="expression" dxfId="256" priority="18">
      <formula>AND(I60=MAX($I$60:$I$65),MAX($I$60:$I$65)&gt;0)</formula>
    </cfRule>
  </conditionalFormatting>
  <conditionalFormatting sqref="I68:I73">
    <cfRule type="expression" dxfId="255" priority="10">
      <formula>AND(I68=MAX($I$68:$I$73),MAX($I$68:$I$73)&gt;0)</formula>
    </cfRule>
  </conditionalFormatting>
  <conditionalFormatting sqref="I76:I81">
    <cfRule type="expression" dxfId="254" priority="2">
      <formula>AND(I76=MAX($I$76:$I$81),MAX($I$76:$I$81)&gt;0)</formula>
    </cfRule>
  </conditionalFormatting>
  <conditionalFormatting sqref="J45:J49">
    <cfRule type="expression" dxfId="253" priority="27">
      <formula>AND(J45=MAX($J$44:$J$49),MAX($J$44:$J$49)&gt;0)</formula>
    </cfRule>
  </conditionalFormatting>
  <conditionalFormatting sqref="J61:J65">
    <cfRule type="expression" dxfId="252" priority="297">
      <formula>AND(J61=MAX($J$61:$J$65),MAX($J$61:$J$65)&gt;0)</formula>
    </cfRule>
  </conditionalFormatting>
  <conditionalFormatting sqref="J69:J73">
    <cfRule type="expression" dxfId="251" priority="298">
      <formula>AND(J69=MAX($J$69:$J$73),MAX($J$69:$J$73)&gt;0)</formula>
    </cfRule>
  </conditionalFormatting>
  <conditionalFormatting sqref="J77:J81">
    <cfRule type="expression" dxfId="250" priority="1">
      <formula>AND(J77=MAX($J$77:$J$82),MAX($J$77:$J$82)&gt;0)</formula>
    </cfRule>
  </conditionalFormatting>
  <conditionalFormatting sqref="L59:Q65">
    <cfRule type="cellIs" dxfId="249" priority="280" operator="lessThan">
      <formula>0</formula>
    </cfRule>
  </conditionalFormatting>
  <conditionalFormatting sqref="L67:Q73">
    <cfRule type="cellIs" dxfId="248" priority="277" operator="lessThan">
      <formula>0</formula>
    </cfRule>
  </conditionalFormatting>
  <dataValidations count="4">
    <dataValidation type="list" allowBlank="1" showInputMessage="1" showErrorMessage="1" sqref="G5:G7" xr:uid="{CB6B4C86-2146-4E55-A2BF-06C9F8C616AD}">
      <formula1>"Yes,No"</formula1>
    </dataValidation>
    <dataValidation type="decimal" allowBlank="1" showInputMessage="1" showErrorMessage="1" error="Positive number must be entered in this cell." sqref="V7" xr:uid="{AB75EA16-B4A8-4542-8319-8F7BAF5A8B74}">
      <formula1>0</formula1>
      <formula2>10</formula2>
    </dataValidation>
    <dataValidation type="list" allowBlank="1" showInputMessage="1" showErrorMessage="1" sqref="C31:H31" xr:uid="{C1C8CD10-EEB6-FE4C-AF86-BCA7373D82A5}">
      <formula1>$L$4:$L$10</formula1>
    </dataValidation>
    <dataValidation type="list" allowBlank="1" showInputMessage="1" showErrorMessage="1" sqref="G12" xr:uid="{64FA8452-E302-4408-9858-45DF463F0C69}">
      <formula1>$L$14:$L$15</formula1>
    </dataValidation>
  </dataValidations>
  <pageMargins left="0.25" right="0.25" top="0.75" bottom="0.75" header="0.3" footer="0.3"/>
  <pageSetup scale="51"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67FB1-241B-4247-A01E-DA77B6E81216}">
  <sheetPr codeName="Sheet6"/>
  <dimension ref="A1:CO81"/>
  <sheetViews>
    <sheetView topLeftCell="W1" zoomScale="110" zoomScaleNormal="110" workbookViewId="0">
      <pane ySplit="1" topLeftCell="A2" activePane="bottomLeft" state="frozen"/>
      <selection activeCell="O30" sqref="O30"/>
      <selection pane="bottomLeft" activeCell="B13" sqref="B13"/>
    </sheetView>
  </sheetViews>
  <sheetFormatPr defaultRowHeight="13.2" x14ac:dyDescent="0.25"/>
  <cols>
    <col min="1" max="1" width="26.88671875" bestFit="1" customWidth="1"/>
    <col min="2" max="2" width="12.21875" bestFit="1" customWidth="1"/>
    <col min="7" max="7" width="9.33203125" bestFit="1" customWidth="1"/>
    <col min="8" max="8" width="9.33203125" customWidth="1"/>
    <col min="9" max="9" width="26" bestFit="1" customWidth="1"/>
    <col min="10" max="13" width="9.44140625" bestFit="1" customWidth="1"/>
    <col min="14" max="16" width="9.33203125" customWidth="1"/>
    <col min="17" max="17" width="26.88671875" bestFit="1" customWidth="1"/>
    <col min="18" max="18" width="12.21875" bestFit="1" customWidth="1"/>
    <col min="23" max="23" width="9.33203125" bestFit="1" customWidth="1"/>
    <col min="25" max="25" width="26.88671875" bestFit="1" customWidth="1"/>
    <col min="26" max="31" width="12.77734375" bestFit="1" customWidth="1"/>
    <col min="32" max="32" width="12.77734375" customWidth="1"/>
    <col min="33" max="33" width="26.88671875" customWidth="1"/>
    <col min="34" max="34" width="12.21875" customWidth="1"/>
    <col min="35" max="38" width="8.88671875" customWidth="1"/>
    <col min="39" max="39" width="9.33203125" customWidth="1"/>
    <col min="40" max="40" width="9.6640625" bestFit="1" customWidth="1"/>
    <col min="41" max="41" width="26.88671875" customWidth="1"/>
    <col min="42" max="42" width="12.21875" customWidth="1"/>
    <col min="43" max="46" width="8.88671875" customWidth="1"/>
    <col min="47" max="47" width="9.33203125" customWidth="1"/>
    <col min="48" max="48" width="9.44140625" bestFit="1" customWidth="1"/>
    <col min="49" max="49" width="26.88671875" bestFit="1" customWidth="1"/>
    <col min="50" max="50" width="12.33203125" bestFit="1" customWidth="1"/>
    <col min="51" max="55" width="11.109375" bestFit="1" customWidth="1"/>
    <col min="58" max="58" width="26.5546875" bestFit="1" customWidth="1"/>
    <col min="59" max="64" width="9.44140625" bestFit="1" customWidth="1"/>
    <col min="65" max="65" width="9.44140625" customWidth="1"/>
    <col min="67" max="67" width="13.77734375" bestFit="1" customWidth="1"/>
    <col min="68" max="72" width="9.88671875" bestFit="1" customWidth="1"/>
    <col min="76" max="76" width="8.88671875" customWidth="1"/>
    <col min="83" max="83" width="20" bestFit="1" customWidth="1"/>
    <col min="86" max="86" width="17.109375" bestFit="1" customWidth="1"/>
  </cols>
  <sheetData>
    <row r="1" spans="1:93" ht="15.6" x14ac:dyDescent="0.3">
      <c r="A1" s="539" t="s">
        <v>530</v>
      </c>
      <c r="B1" s="539"/>
      <c r="C1" s="539"/>
      <c r="D1" s="539"/>
      <c r="E1" s="539"/>
      <c r="F1" s="539"/>
      <c r="G1" s="539"/>
      <c r="H1" s="392"/>
      <c r="I1" s="539" t="s">
        <v>198</v>
      </c>
      <c r="J1" s="539"/>
      <c r="K1" s="539"/>
      <c r="L1" s="539"/>
      <c r="M1" s="539"/>
      <c r="N1" s="539"/>
      <c r="O1" s="539"/>
      <c r="P1" s="392"/>
      <c r="Q1" s="539" t="s">
        <v>534</v>
      </c>
      <c r="R1" s="539"/>
      <c r="S1" s="539"/>
      <c r="T1" s="539"/>
      <c r="U1" s="539"/>
      <c r="V1" s="539"/>
      <c r="W1" s="539"/>
      <c r="Y1" s="539" t="s">
        <v>529</v>
      </c>
      <c r="Z1" s="539"/>
      <c r="AA1" s="539"/>
      <c r="AB1" s="539"/>
      <c r="AC1" s="539"/>
      <c r="AD1" s="539"/>
      <c r="AE1" s="539"/>
      <c r="AF1" s="392"/>
      <c r="AG1" s="539" t="s">
        <v>535</v>
      </c>
      <c r="AH1" s="539"/>
      <c r="AI1" s="539"/>
      <c r="AJ1" s="539"/>
      <c r="AK1" s="539"/>
      <c r="AL1" s="539"/>
      <c r="AM1" s="539"/>
      <c r="AN1" s="392"/>
      <c r="AO1" s="539" t="s">
        <v>528</v>
      </c>
      <c r="AP1" s="539"/>
      <c r="AQ1" s="539"/>
      <c r="AR1" s="539"/>
      <c r="AS1" s="539"/>
      <c r="AT1" s="539"/>
      <c r="AU1" s="539"/>
      <c r="AW1" s="539" t="s">
        <v>536</v>
      </c>
      <c r="AX1" s="539"/>
      <c r="AY1" s="539"/>
      <c r="AZ1" s="539"/>
      <c r="BA1" s="539"/>
      <c r="BB1" s="539"/>
      <c r="BC1" s="539"/>
      <c r="BF1" s="539" t="s">
        <v>557</v>
      </c>
      <c r="BG1" s="539"/>
      <c r="BH1" s="539"/>
      <c r="BI1" s="539"/>
      <c r="BJ1" s="539"/>
      <c r="BK1" s="539"/>
      <c r="BL1" s="539"/>
      <c r="BM1" s="392"/>
      <c r="BN1" s="539" t="s">
        <v>573</v>
      </c>
      <c r="BO1" s="539"/>
      <c r="BP1" s="539"/>
      <c r="BQ1" s="539"/>
      <c r="BR1" s="539"/>
      <c r="BS1" s="539"/>
      <c r="BT1" s="539"/>
    </row>
    <row r="2" spans="1:93" ht="15" x14ac:dyDescent="0.25">
      <c r="A2" s="290" t="s">
        <v>518</v>
      </c>
      <c r="I2" s="290" t="s">
        <v>518</v>
      </c>
      <c r="J2" s="290"/>
      <c r="K2" s="290"/>
      <c r="L2" s="290"/>
      <c r="M2" s="290"/>
      <c r="Q2" s="290" t="s">
        <v>518</v>
      </c>
      <c r="Y2" s="290" t="s">
        <v>518</v>
      </c>
      <c r="AG2" s="290" t="s">
        <v>518</v>
      </c>
      <c r="AO2" s="290" t="s">
        <v>518</v>
      </c>
      <c r="AW2" s="290" t="s">
        <v>518</v>
      </c>
      <c r="BF2" s="290" t="s">
        <v>518</v>
      </c>
      <c r="BO2" s="290" t="s">
        <v>518</v>
      </c>
    </row>
    <row r="3" spans="1:93" ht="15" x14ac:dyDescent="0.25">
      <c r="B3" s="290" t="s">
        <v>516</v>
      </c>
      <c r="C3" s="290" t="s">
        <v>68</v>
      </c>
      <c r="D3" s="290" t="s">
        <v>69</v>
      </c>
      <c r="E3" s="290" t="s">
        <v>158</v>
      </c>
      <c r="F3" s="290" t="s">
        <v>473</v>
      </c>
      <c r="G3" s="290" t="s">
        <v>475</v>
      </c>
      <c r="H3" s="290"/>
      <c r="J3" s="423" t="s">
        <v>516</v>
      </c>
      <c r="K3" s="423" t="s">
        <v>68</v>
      </c>
      <c r="L3" s="423" t="s">
        <v>69</v>
      </c>
      <c r="M3" s="423" t="s">
        <v>158</v>
      </c>
      <c r="N3" s="290" t="s">
        <v>473</v>
      </c>
      <c r="O3" s="290" t="s">
        <v>475</v>
      </c>
      <c r="P3" s="290"/>
      <c r="R3" s="290" t="s">
        <v>516</v>
      </c>
      <c r="S3" s="290" t="s">
        <v>68</v>
      </c>
      <c r="T3" s="290" t="s">
        <v>69</v>
      </c>
      <c r="U3" s="290" t="s">
        <v>158</v>
      </c>
      <c r="V3" s="290" t="s">
        <v>473</v>
      </c>
      <c r="W3" s="290" t="s">
        <v>475</v>
      </c>
      <c r="Z3" s="290" t="s">
        <v>516</v>
      </c>
      <c r="AA3" s="290" t="s">
        <v>68</v>
      </c>
      <c r="AB3" s="290" t="s">
        <v>69</v>
      </c>
      <c r="AC3" s="290" t="s">
        <v>158</v>
      </c>
      <c r="AD3" s="290" t="s">
        <v>473</v>
      </c>
      <c r="AE3" s="290" t="s">
        <v>475</v>
      </c>
      <c r="AF3" s="290"/>
      <c r="AH3" s="290" t="s">
        <v>516</v>
      </c>
      <c r="AI3" s="290" t="s">
        <v>68</v>
      </c>
      <c r="AJ3" s="290" t="s">
        <v>69</v>
      </c>
      <c r="AK3" s="290" t="s">
        <v>158</v>
      </c>
      <c r="AL3" s="290" t="s">
        <v>473</v>
      </c>
      <c r="AM3" s="290" t="s">
        <v>475</v>
      </c>
      <c r="AN3" s="290"/>
      <c r="AP3" s="290" t="s">
        <v>516</v>
      </c>
      <c r="AQ3" s="290" t="s">
        <v>68</v>
      </c>
      <c r="AR3" s="290" t="s">
        <v>69</v>
      </c>
      <c r="AS3" s="290" t="s">
        <v>158</v>
      </c>
      <c r="AT3" s="290" t="s">
        <v>473</v>
      </c>
      <c r="AU3" s="290" t="s">
        <v>475</v>
      </c>
      <c r="AV3" s="290"/>
      <c r="AX3" s="290" t="s">
        <v>516</v>
      </c>
      <c r="AY3" s="290" t="s">
        <v>68</v>
      </c>
      <c r="AZ3" s="290" t="s">
        <v>69</v>
      </c>
      <c r="BA3" s="290" t="s">
        <v>158</v>
      </c>
      <c r="BB3" s="290" t="s">
        <v>473</v>
      </c>
      <c r="BC3" s="290" t="s">
        <v>475</v>
      </c>
      <c r="BG3" s="290" t="s">
        <v>516</v>
      </c>
      <c r="BH3" s="290" t="s">
        <v>68</v>
      </c>
      <c r="BI3" s="290" t="s">
        <v>69</v>
      </c>
      <c r="BJ3" s="290" t="s">
        <v>158</v>
      </c>
      <c r="BK3" s="290" t="s">
        <v>473</v>
      </c>
      <c r="BL3" s="290" t="s">
        <v>475</v>
      </c>
      <c r="BM3" s="290"/>
      <c r="BN3" s="290"/>
      <c r="BO3" s="290" t="s">
        <v>516</v>
      </c>
      <c r="BP3" s="290" t="s">
        <v>68</v>
      </c>
      <c r="BQ3" s="290" t="s">
        <v>69</v>
      </c>
      <c r="BR3" s="290" t="s">
        <v>158</v>
      </c>
      <c r="BS3" s="290" t="s">
        <v>473</v>
      </c>
      <c r="BT3" s="290" t="s">
        <v>475</v>
      </c>
      <c r="BU3" s="290"/>
      <c r="BV3" s="290"/>
      <c r="BW3" s="290"/>
      <c r="BX3" s="290"/>
      <c r="BY3" s="290"/>
      <c r="BZ3" s="290"/>
      <c r="CA3" s="290"/>
      <c r="CB3" s="290"/>
      <c r="CC3" s="290"/>
      <c r="CD3" s="290"/>
      <c r="CE3" s="290"/>
    </row>
    <row r="4" spans="1:93" ht="15" x14ac:dyDescent="0.25">
      <c r="A4" s="433">
        <v>0</v>
      </c>
      <c r="B4" s="367">
        <f>'GF diets No L-Val'!B$353</f>
        <v>73.97283598564384</v>
      </c>
      <c r="C4" s="367">
        <f>'GF diets No L-Val'!C$353</f>
        <v>73.967856887824908</v>
      </c>
      <c r="D4" s="367">
        <f>'GF diets No L-Val'!D$353</f>
        <v>73.959733111485349</v>
      </c>
      <c r="E4" s="367">
        <f>'GF diets No L-Val'!E$353</f>
        <v>73.952776279957178</v>
      </c>
      <c r="F4" s="367">
        <f>'GF diets No L-Val'!F$353</f>
        <v>73.947268075350891</v>
      </c>
      <c r="G4" s="367">
        <f>'GF diets No L-Val'!G$353</f>
        <v>73.944010160900064</v>
      </c>
      <c r="H4" s="367"/>
      <c r="I4" s="433">
        <v>0</v>
      </c>
      <c r="J4" s="367">
        <f>'GF diets No L-Val'!B$316</f>
        <v>8.5675537105360302</v>
      </c>
      <c r="K4" s="367">
        <f>'GF diets No L-Val'!C$316</f>
        <v>8.6397459364158564</v>
      </c>
      <c r="L4" s="367">
        <f>'GF diets No L-Val'!D$316</f>
        <v>8.7042340935531328</v>
      </c>
      <c r="M4" s="367">
        <f>'GF diets No L-Val'!E$316</f>
        <v>8.7574905031042753</v>
      </c>
      <c r="N4" s="367">
        <f>'GF diets No L-Val'!F$316</f>
        <v>8.7980354970428483</v>
      </c>
      <c r="O4" s="367">
        <f>'GF diets No L-Val'!G$316</f>
        <v>8.8153381410832843</v>
      </c>
      <c r="P4" s="367"/>
      <c r="Q4" s="433">
        <v>0</v>
      </c>
      <c r="R4" s="367">
        <f>'GF diets No L-Val'!B$351*'GF diets No L-Val'!B$353/100</f>
        <v>62.876858678395237</v>
      </c>
      <c r="S4" s="367">
        <f>'GF diets No L-Val'!C$351*'GF diets No L-Val'!C$353/100</f>
        <v>88.761376359481872</v>
      </c>
      <c r="T4" s="367">
        <f>'GF diets No L-Val'!D$351*'GF diets No L-Val'!D$353/100</f>
        <v>118.33551366385396</v>
      </c>
      <c r="U4" s="367">
        <f>'GF diets No L-Val'!E$351*'GF diets No L-Val'!E$353/100</f>
        <v>147.90549325097103</v>
      </c>
      <c r="V4" s="367">
        <f>'GF diets No L-Val'!F$351*'GF diets No L-Val'!F$353/100</f>
        <v>177.47338407631634</v>
      </c>
      <c r="W4" s="367">
        <f>'GF diets No L-Val'!G$351*'GF diets No L-Val'!G$353/100</f>
        <v>210.74036224391301</v>
      </c>
      <c r="Y4" s="433">
        <v>0</v>
      </c>
      <c r="Z4" s="367">
        <f>'GF diets No L-Val'!B$342</f>
        <v>757.46635553023782</v>
      </c>
      <c r="AA4" s="367">
        <f>'GF diets No L-Val'!C$342</f>
        <v>870.42326519783569</v>
      </c>
      <c r="AB4" s="367">
        <f>'GF diets No L-Val'!D$342</f>
        <v>946.21888727648684</v>
      </c>
      <c r="AC4" s="367">
        <f>'GF diets No L-Val'!E$342</f>
        <v>982.61557306834152</v>
      </c>
      <c r="AD4" s="367">
        <f>'GF diets No L-Val'!F$342</f>
        <v>976.63637619430801</v>
      </c>
      <c r="AE4" s="367">
        <f>'GF diets No L-Val'!G$342</f>
        <v>919.74779687896194</v>
      </c>
      <c r="AF4" s="367"/>
      <c r="AG4" s="433">
        <v>0</v>
      </c>
      <c r="AH4" s="367">
        <f>'GF diets No L-Val'!B$344</f>
        <v>541.48123876174384</v>
      </c>
      <c r="AI4" s="367">
        <f>'GF diets No L-Val'!C$344</f>
        <v>471.05106861362759</v>
      </c>
      <c r="AJ4" s="367">
        <f>'GF diets No L-Val'!D$344</f>
        <v>410.02340376494885</v>
      </c>
      <c r="AK4" s="367">
        <f>'GF diets No L-Val'!E$344</f>
        <v>360.7957609066396</v>
      </c>
      <c r="AL4" s="367">
        <f>'GF diets No L-Val'!F$344</f>
        <v>326.28328855841602</v>
      </c>
      <c r="AM4" s="367">
        <f>'GF diets No L-Val'!G$344</f>
        <v>301.12774430436968</v>
      </c>
      <c r="AN4" s="367"/>
      <c r="AO4" s="433">
        <v>0</v>
      </c>
      <c r="AP4" s="367">
        <f t="shared" ref="AP4:AP10" si="0">1/(AH4/1000)</f>
        <v>1.846786053542306</v>
      </c>
      <c r="AQ4" s="367">
        <f t="shared" ref="AQ4:AQ10" si="1">1/(AI4/1000)</f>
        <v>2.1229120718123977</v>
      </c>
      <c r="AR4" s="367">
        <f t="shared" ref="AR4:AR10" si="2">1/(AJ4/1000)</f>
        <v>2.4388851729382326</v>
      </c>
      <c r="AS4" s="367">
        <f t="shared" ref="AS4:AS10" si="3">1/(AK4/1000)</f>
        <v>2.7716511898230491</v>
      </c>
      <c r="AT4" s="367">
        <f t="shared" ref="AT4:AT10" si="4">1/(AL4/1000)</f>
        <v>3.0648213839519558</v>
      </c>
      <c r="AU4" s="367">
        <f t="shared" ref="AU4:AU10" si="5">1/(AM4/1000)</f>
        <v>3.3208497686258829</v>
      </c>
      <c r="AV4" s="367"/>
      <c r="AW4" s="433">
        <v>0</v>
      </c>
      <c r="AX4" s="367">
        <f>'GF diets No L-Val'!B$351</f>
        <v>84.999929826400006</v>
      </c>
      <c r="AY4" s="367">
        <f>'GF diets No L-Val'!C$351</f>
        <v>119.99992982640001</v>
      </c>
      <c r="AZ4" s="367">
        <f>'GF diets No L-Val'!D$351</f>
        <v>159.99991980160002</v>
      </c>
      <c r="BA4" s="367">
        <f>'GF diets No L-Val'!E$351</f>
        <v>199.99991980160002</v>
      </c>
      <c r="BB4" s="367">
        <f>'GF diets No L-Val'!F$351</f>
        <v>239.99991980160002</v>
      </c>
      <c r="BC4" s="367">
        <f>'GF diets No L-Val'!G$351</f>
        <v>284.9999097768</v>
      </c>
      <c r="BE4" s="418"/>
      <c r="BF4" s="433">
        <v>0</v>
      </c>
      <c r="BG4" s="367">
        <f>AX4-50</f>
        <v>34.999929826400006</v>
      </c>
      <c r="BH4" s="367">
        <f>AY4-AX4</f>
        <v>35</v>
      </c>
      <c r="BI4" s="367">
        <f>AZ4-120</f>
        <v>39.999919801600015</v>
      </c>
      <c r="BJ4" s="367">
        <f>BA4-160</f>
        <v>39.999919801600015</v>
      </c>
      <c r="BK4" s="367">
        <f>BB4-200</f>
        <v>39.999919801600015</v>
      </c>
      <c r="BL4" s="367">
        <f>BC4-240</f>
        <v>44.999909776799996</v>
      </c>
      <c r="BM4" s="367"/>
      <c r="BN4" s="367" t="s">
        <v>570</v>
      </c>
      <c r="BO4" s="367">
        <f>VLOOKUP('DDGS Calculator'!$C$31,Performance!AW4:AX10,2,FALSE)</f>
        <v>84.999929826400006</v>
      </c>
      <c r="BP4" s="367">
        <f>BO4+VLOOKUP('DDGS Calculator'!$D$31,Performance!BF4:BL10,3,FALSE)</f>
        <v>119.99992982640001</v>
      </c>
      <c r="BQ4" s="367">
        <f>BP4+VLOOKUP('DDGS Calculator'!$E$31,Performance!BF4:BL10,4,FALSE)</f>
        <v>159.99984962800002</v>
      </c>
      <c r="BR4" s="367">
        <f>BQ4+(VLOOKUP('DDGS Calculator'!$F$31,Performance!BF4:BL10,5,FALSE))</f>
        <v>199.99976942960004</v>
      </c>
      <c r="BS4" s="367">
        <f>BR4+VLOOKUP('DDGS Calculator'!$G$31,Performance!BF4:BL10,6,FALSE)</f>
        <v>239.99968923120005</v>
      </c>
      <c r="BT4" s="367">
        <f>BS4+VLOOKUP('DDGS Calculator'!$H$31,Performance!BF4:BL10,7,FALSE)</f>
        <v>284.99959900800002</v>
      </c>
      <c r="BU4" s="495"/>
      <c r="BV4" s="367"/>
      <c r="BW4" s="367"/>
      <c r="BX4" s="458"/>
      <c r="BY4" s="290"/>
      <c r="BZ4" s="290"/>
      <c r="CA4" s="290"/>
      <c r="CB4" s="290"/>
      <c r="CC4" s="290"/>
      <c r="CD4" s="290"/>
      <c r="CE4" s="367"/>
      <c r="CH4" s="423"/>
      <c r="CI4" s="423"/>
      <c r="CJ4" s="423"/>
      <c r="CK4" s="423"/>
      <c r="CL4" s="423"/>
      <c r="CM4" s="423"/>
      <c r="CN4" s="423"/>
      <c r="CO4" s="423"/>
    </row>
    <row r="5" spans="1:93" ht="15" x14ac:dyDescent="0.25">
      <c r="A5" s="433">
        <v>0.05</v>
      </c>
      <c r="B5" s="367">
        <f>'GF diets No L-Val'!I$353</f>
        <v>73.828399741686923</v>
      </c>
      <c r="C5" s="367">
        <f>'GF diets No L-Val'!J$353</f>
        <v>73.823469685187504</v>
      </c>
      <c r="D5" s="367">
        <f>'GF diets No L-Val'!K$353</f>
        <v>73.815421891542698</v>
      </c>
      <c r="E5" s="367">
        <f>'GF diets No L-Val'!L$353</f>
        <v>73.808383225998156</v>
      </c>
      <c r="F5" s="367">
        <f>'GF diets No L-Val'!M$353</f>
        <v>73.802833685574498</v>
      </c>
      <c r="G5" s="367">
        <f>'GF diets No L-Val'!N$353</f>
        <v>73.799581358208187</v>
      </c>
      <c r="H5" s="420"/>
      <c r="I5" s="433">
        <v>0.05</v>
      </c>
      <c r="J5" s="367">
        <f>'GF diets No L-Val'!I$316</f>
        <v>9.7722934215788015</v>
      </c>
      <c r="K5" s="367">
        <f>'GF diets No L-Val'!J$316</f>
        <v>9.8437745945440067</v>
      </c>
      <c r="L5" s="367">
        <f>'GF diets No L-Val'!K$316</f>
        <v>9.9076860389027352</v>
      </c>
      <c r="M5" s="367">
        <f>'GF diets No L-Val'!L$316</f>
        <v>9.9625547470046598</v>
      </c>
      <c r="N5" s="367">
        <f>'GF diets No L-Val'!M$316</f>
        <v>10.002508724199311</v>
      </c>
      <c r="O5" s="367">
        <f>'GF diets No L-Val'!N$316</f>
        <v>10.020166703720257</v>
      </c>
      <c r="P5" s="367"/>
      <c r="Q5" s="433">
        <v>0.05</v>
      </c>
      <c r="R5" s="367">
        <f>'GF diets No L-Val'!I$351*'GF diets No L-Val'!I$353/100</f>
        <v>62.587785907979068</v>
      </c>
      <c r="S5" s="367">
        <f>'GF diets No L-Val'!J$351*'GF diets No L-Val'!J$353/100</f>
        <v>88.429721695930098</v>
      </c>
      <c r="T5" s="367">
        <f>'GF diets No L-Val'!K$351*'GF diets No L-Val'!K$353/100</f>
        <v>117.91085330104403</v>
      </c>
      <c r="U5" s="367">
        <f>'GF diets No L-Val'!L$351*'GF diets No L-Val'!L$353/100</f>
        <v>147.38175802596029</v>
      </c>
      <c r="V5" s="367">
        <f>'GF diets No L-Val'!M$351*'GF diets No L-Val'!M$353/100</f>
        <v>176.80919659088778</v>
      </c>
      <c r="W5" s="367">
        <f>'GF diets No L-Val'!N$351*'GF diets No L-Val'!N$353/100</f>
        <v>209.81996976291109</v>
      </c>
      <c r="Y5" s="433">
        <v>0.05</v>
      </c>
      <c r="Z5" s="367">
        <f>'GF diets No L-Val'!I$342</f>
        <v>752.59141313154385</v>
      </c>
      <c r="AA5" s="367">
        <f>'GF diets No L-Val'!J$342</f>
        <v>865.08750767091408</v>
      </c>
      <c r="AB5" s="367">
        <f>'GF diets No L-Val'!K$342</f>
        <v>940.00942055353994</v>
      </c>
      <c r="AC5" s="367">
        <f>'GF diets No L-Val'!L$342</f>
        <v>974.79583887856711</v>
      </c>
      <c r="AD5" s="367">
        <f>'GF diets No L-Val'!M$342</f>
        <v>966.1311541434236</v>
      </c>
      <c r="AE5" s="367">
        <f>'GF diets No L-Val'!N$342</f>
        <v>905.65736560185064</v>
      </c>
      <c r="AF5" s="420"/>
      <c r="AG5" s="433">
        <v>0.05</v>
      </c>
      <c r="AH5" s="367">
        <f>'GF diets No L-Val'!I$344</f>
        <v>541.82150887571606</v>
      </c>
      <c r="AI5" s="367">
        <f>'GF diets No L-Val'!J$344</f>
        <v>471.24993400174304</v>
      </c>
      <c r="AJ5" s="367">
        <f>'GF diets No L-Val'!K$344</f>
        <v>409.94453044447192</v>
      </c>
      <c r="AK5" s="367">
        <f>'GF diets No L-Val'!L$344</f>
        <v>360.09326303576006</v>
      </c>
      <c r="AL5" s="367">
        <f>'GF diets No L-Val'!M$344</f>
        <v>324.24312512712072</v>
      </c>
      <c r="AM5" s="367">
        <f>'GF diets No L-Val'!N$344</f>
        <v>297.06296037513562</v>
      </c>
      <c r="AN5" s="420"/>
      <c r="AO5" s="433">
        <v>0.05</v>
      </c>
      <c r="AP5" s="367">
        <f t="shared" si="0"/>
        <v>1.8456262507463166</v>
      </c>
      <c r="AQ5" s="367">
        <f t="shared" si="1"/>
        <v>2.1220162123063582</v>
      </c>
      <c r="AR5" s="367">
        <f t="shared" si="2"/>
        <v>2.4393544144027861</v>
      </c>
      <c r="AS5" s="367">
        <f t="shared" si="3"/>
        <v>2.7770583419681811</v>
      </c>
      <c r="AT5" s="367">
        <f t="shared" si="4"/>
        <v>3.0841054829086856</v>
      </c>
      <c r="AU5" s="367">
        <f t="shared" si="5"/>
        <v>3.3662897546607113</v>
      </c>
      <c r="AV5" s="420"/>
      <c r="AW5" s="433">
        <v>0.05</v>
      </c>
      <c r="AX5" s="367">
        <f>'GF diets No L-Val'!I$351</f>
        <v>84.774674958367157</v>
      </c>
      <c r="AY5" s="367">
        <f>'GF diets No L-Val'!J$351</f>
        <v>119.78537729671801</v>
      </c>
      <c r="AZ5" s="367">
        <f>'GF diets No L-Val'!K$351</f>
        <v>159.73742380595064</v>
      </c>
      <c r="BA5" s="367">
        <f>'GF diets No L-Val'!L$351</f>
        <v>199.68159656699643</v>
      </c>
      <c r="BB5" s="367">
        <f>'GF diets No L-Val'!M$351</f>
        <v>239.5696584553323</v>
      </c>
      <c r="BC5" s="367">
        <f>'GF diets No L-Val'!N$351</f>
        <v>284.31051491266265</v>
      </c>
      <c r="BD5" s="420"/>
      <c r="BF5" s="433">
        <v>0.05</v>
      </c>
      <c r="BG5" s="367">
        <f t="shared" ref="BG5:BG10" si="6">AX5-50</f>
        <v>34.774674958367157</v>
      </c>
      <c r="BH5" s="367">
        <f t="shared" ref="BH5:BH10" si="7">AY5-85</f>
        <v>34.785377296718011</v>
      </c>
      <c r="BI5" s="367">
        <f t="shared" ref="BI5:BI10" si="8">AZ5-120</f>
        <v>39.737423805950641</v>
      </c>
      <c r="BJ5" s="367">
        <f t="shared" ref="BJ5:BJ10" si="9">BA5-160</f>
        <v>39.681596566996433</v>
      </c>
      <c r="BK5" s="367">
        <f t="shared" ref="BK5:BK10" si="10">BB5-200</f>
        <v>39.569658455332302</v>
      </c>
      <c r="BL5" s="367">
        <f t="shared" ref="BL5:BL10" si="11">BC5-240</f>
        <v>44.310514912662654</v>
      </c>
      <c r="BM5" s="418"/>
      <c r="BN5" s="367" t="s">
        <v>571</v>
      </c>
      <c r="BO5" s="367"/>
      <c r="BP5" s="367"/>
      <c r="BQ5" s="367"/>
      <c r="BR5" s="367"/>
      <c r="BS5" s="367"/>
      <c r="BT5" s="367">
        <f>((0.03492*0)-(0.05092*VLOOKUP('DDGS Calculator'!$G$31,Performance!I3:O10,6,FALSE))-(0.06897*VLOOKUP('DDGS Calculator'!$H$31,Performance!I3:O10,7,FALSE))-(0.00289*VLOOKUP('DDGS Calculator'!$H$31,Performance!I3:O10,7,FALSE)*0)+'DDGS Calculator'!$G$9)</f>
        <v>73.944010160900064</v>
      </c>
      <c r="BU5" s="420"/>
      <c r="BV5" s="367"/>
      <c r="BW5" s="367"/>
      <c r="BX5" s="458"/>
      <c r="BY5" s="367"/>
      <c r="BZ5" s="290"/>
      <c r="CA5" s="290"/>
      <c r="CB5" s="290"/>
      <c r="CC5" s="290"/>
      <c r="CD5" s="290"/>
      <c r="CE5" s="367"/>
      <c r="CH5" s="423"/>
      <c r="CI5" s="367"/>
      <c r="CJ5" s="367"/>
      <c r="CK5" s="367"/>
      <c r="CL5" s="367"/>
      <c r="CM5" s="367"/>
      <c r="CN5" s="367"/>
      <c r="CO5" s="367"/>
    </row>
    <row r="6" spans="1:93" ht="15.6" x14ac:dyDescent="0.3">
      <c r="A6" s="433">
        <v>0.1</v>
      </c>
      <c r="B6" s="367">
        <f>'GF diets No L-Val'!P$353</f>
        <v>73.684085265028074</v>
      </c>
      <c r="C6" s="367">
        <f>'GF diets No L-Val'!Q$353</f>
        <v>73.679181079333631</v>
      </c>
      <c r="D6" s="367">
        <f>'GF diets No L-Val'!R$353</f>
        <v>73.671175292758278</v>
      </c>
      <c r="E6" s="367">
        <f>'GF diets No L-Val'!S$353</f>
        <v>73.664142001094334</v>
      </c>
      <c r="F6" s="367">
        <f>'GF diets No L-Val'!T$353</f>
        <v>73.658657830837186</v>
      </c>
      <c r="G6" s="367">
        <f>'GF diets No L-Val'!U$353</f>
        <v>73.655483645307555</v>
      </c>
      <c r="H6" s="420"/>
      <c r="I6" s="433">
        <v>0.1</v>
      </c>
      <c r="J6" s="367">
        <f>'GF diets No L-Val'!P$316</f>
        <v>10.97601747411734</v>
      </c>
      <c r="K6" s="367">
        <f>'GF diets No L-Val'!Q$316</f>
        <v>11.047123544792175</v>
      </c>
      <c r="L6" s="367">
        <f>'GF diets No L-Val'!R$316</f>
        <v>11.110702861257101</v>
      </c>
      <c r="M6" s="367">
        <f>'GF diets No L-Val'!S$316</f>
        <v>11.165738860525623</v>
      </c>
      <c r="N6" s="367">
        <f>'GF diets No L-Val'!T$316</f>
        <v>11.204621522181363</v>
      </c>
      <c r="O6" s="367">
        <f>'GF diets No L-Val'!U$316</f>
        <v>11.221937462417936</v>
      </c>
      <c r="P6" s="367"/>
      <c r="Q6" s="433">
        <v>0.1</v>
      </c>
      <c r="R6" s="367">
        <f>'GF diets No L-Val'!P$351*'GF diets No L-Val'!P$353/100</f>
        <v>62.330267711476218</v>
      </c>
      <c r="S6" s="367">
        <f>'GF diets No L-Val'!Q$351*'GF diets No L-Val'!Q$353/100</f>
        <v>88.12608270812423</v>
      </c>
      <c r="T6" s="367">
        <f>'GF diets No L-Val'!R$351*'GF diets No L-Val'!R$353/100</f>
        <v>117.51328131359766</v>
      </c>
      <c r="U6" s="367">
        <f>'GF diets No L-Val'!S$351*'GF diets No L-Val'!S$353/100</f>
        <v>146.86964479699714</v>
      </c>
      <c r="V6" s="367">
        <f>'GF diets No L-Val'!T$351*'GF diets No L-Val'!T$353/100</f>
        <v>176.16325929404746</v>
      </c>
      <c r="W6" s="367">
        <f>'GF diets No L-Val'!U$351*'GF diets No L-Val'!U$353/100</f>
        <v>208.91315806122088</v>
      </c>
      <c r="Y6" s="433">
        <v>0.1</v>
      </c>
      <c r="Z6" s="367">
        <f>'GF diets No L-Val'!P$342</f>
        <v>748.62113056984265</v>
      </c>
      <c r="AA6" s="367">
        <f>'GF diets No L-Val'!Q$342</f>
        <v>860.67248275182237</v>
      </c>
      <c r="AB6" s="367">
        <f>'GF diets No L-Val'!R$342</f>
        <v>934.64211304565606</v>
      </c>
      <c r="AC6" s="367">
        <f>'GF diets No L-Val'!S$342</f>
        <v>967.32292311801757</v>
      </c>
      <c r="AD6" s="367">
        <f>'GF diets No L-Val'!T$342</f>
        <v>956.16918565871811</v>
      </c>
      <c r="AE6" s="367">
        <f>'GF diets No L-Val'!U$342</f>
        <v>891.86247402029335</v>
      </c>
      <c r="AF6" s="420"/>
      <c r="AG6" s="433">
        <v>0.1</v>
      </c>
      <c r="AH6" s="367">
        <f>'GF diets No L-Val'!P$344</f>
        <v>541.66115958367732</v>
      </c>
      <c r="AI6" s="367">
        <f>'GF diets No L-Val'!Q$344</f>
        <v>471.06464741462037</v>
      </c>
      <c r="AJ6" s="367">
        <f>'GF diets No L-Val'!R$344</f>
        <v>409.59769975491599</v>
      </c>
      <c r="AK6" s="367">
        <f>'GF diets No L-Val'!S$344</f>
        <v>359.05749083225191</v>
      </c>
      <c r="AL6" s="367">
        <f>'GF diets No L-Val'!T$344</f>
        <v>322.09014957201407</v>
      </c>
      <c r="AM6" s="367">
        <f>'GF diets No L-Val'!U$344</f>
        <v>292.88081996278288</v>
      </c>
      <c r="AN6" s="420"/>
      <c r="AO6" s="433">
        <v>0.1</v>
      </c>
      <c r="AP6" s="367">
        <f t="shared" si="0"/>
        <v>1.8461726160476477</v>
      </c>
      <c r="AQ6" s="367">
        <f t="shared" si="1"/>
        <v>2.122850877238136</v>
      </c>
      <c r="AR6" s="367">
        <f t="shared" si="2"/>
        <v>2.4414199606061091</v>
      </c>
      <c r="AS6" s="367">
        <f t="shared" si="3"/>
        <v>2.7850693148947281</v>
      </c>
      <c r="AT6" s="367">
        <f t="shared" si="4"/>
        <v>3.1047208408229086</v>
      </c>
      <c r="AU6" s="367">
        <f t="shared" si="5"/>
        <v>3.4143581000868291</v>
      </c>
      <c r="AV6" s="420"/>
      <c r="AW6" s="433">
        <v>0.1</v>
      </c>
      <c r="AX6" s="367">
        <f>'GF diets No L-Val'!P$351</f>
        <v>84.591221411361403</v>
      </c>
      <c r="AY6" s="367">
        <f>'GF diets No L-Val'!Q$351</f>
        <v>119.60784772191616</v>
      </c>
      <c r="AZ6" s="367">
        <f>'GF diets No L-Val'!R$351</f>
        <v>159.51052884200283</v>
      </c>
      <c r="BA6" s="367">
        <f>'GF diets No L-Val'!S$351</f>
        <v>199.3773915059179</v>
      </c>
      <c r="BB6" s="367">
        <f>'GF diets No L-Val'!T$351</f>
        <v>239.16164709194138</v>
      </c>
      <c r="BC6" s="367">
        <f>'GF diets No L-Val'!U$351</f>
        <v>283.63557975839905</v>
      </c>
      <c r="BD6" s="420"/>
      <c r="BF6" s="433">
        <v>0.1</v>
      </c>
      <c r="BG6" s="367">
        <f t="shared" si="6"/>
        <v>34.591221411361403</v>
      </c>
      <c r="BH6" s="367">
        <f t="shared" si="7"/>
        <v>34.607847721916158</v>
      </c>
      <c r="BI6" s="367">
        <f t="shared" si="8"/>
        <v>39.510528842002827</v>
      </c>
      <c r="BJ6" s="367">
        <f t="shared" si="9"/>
        <v>39.377391505917899</v>
      </c>
      <c r="BK6" s="367">
        <f t="shared" si="10"/>
        <v>39.161647091941376</v>
      </c>
      <c r="BL6" s="367">
        <f t="shared" si="11"/>
        <v>43.635579758399047</v>
      </c>
      <c r="BM6" s="418"/>
      <c r="BN6" s="367" t="s">
        <v>572</v>
      </c>
      <c r="BO6" s="367"/>
      <c r="BP6" s="367"/>
      <c r="BQ6" s="367"/>
      <c r="BR6" s="367"/>
      <c r="BS6" s="367"/>
      <c r="BT6" s="367">
        <f>BT4*(BT5/100)</f>
        <v>210.74013244899999</v>
      </c>
      <c r="BU6" s="452"/>
      <c r="BV6" s="367"/>
      <c r="BW6" s="367"/>
      <c r="BX6" s="458"/>
      <c r="BY6" s="367"/>
      <c r="BZ6" s="290"/>
      <c r="CA6" s="290"/>
      <c r="CB6" s="290"/>
      <c r="CC6" s="290"/>
      <c r="CD6" s="290"/>
      <c r="CE6" s="367"/>
    </row>
    <row r="7" spans="1:93" ht="15" x14ac:dyDescent="0.25">
      <c r="A7" s="433">
        <v>0.15</v>
      </c>
      <c r="B7" s="367">
        <f>'GF diets No L-Val'!W$353</f>
        <v>73.539752700505488</v>
      </c>
      <c r="C7" s="367">
        <f>'GF diets No L-Val'!X$353</f>
        <v>73.534871009615941</v>
      </c>
      <c r="D7" s="367">
        <f>'GF diets No L-Val'!Y$353</f>
        <v>73.526874325262895</v>
      </c>
      <c r="E7" s="367">
        <f>'GF diets No L-Val'!Z$353</f>
        <v>73.519882794159642</v>
      </c>
      <c r="F7" s="367">
        <f>'GF diets No L-Val'!AA$353</f>
        <v>73.5144979168589</v>
      </c>
      <c r="G7" s="367">
        <f>'GF diets No L-Val'!AB$353</f>
        <v>73.511507306384601</v>
      </c>
      <c r="H7" s="420"/>
      <c r="I7" s="433">
        <v>0.15</v>
      </c>
      <c r="J7" s="367">
        <f>'GF diets No L-Val'!W$316</f>
        <v>12.179892397151711</v>
      </c>
      <c r="K7" s="367">
        <f>'GF diets No L-Val'!X$316</f>
        <v>12.250672314355418</v>
      </c>
      <c r="L7" s="367">
        <f>'GF diets No L-Val'!Y$316</f>
        <v>12.314360453677414</v>
      </c>
      <c r="M7" s="367">
        <f>'GF diets No L-Val'!Z$316</f>
        <v>12.368710621126661</v>
      </c>
      <c r="N7" s="367">
        <f>'GF diets No L-Val'!AA$316</f>
        <v>12.406659972645041</v>
      </c>
      <c r="O7" s="367">
        <f>'GF diets No L-Val'!AB$316</f>
        <v>12.422003303005869</v>
      </c>
      <c r="P7" s="367"/>
      <c r="Q7" s="433">
        <v>0.15</v>
      </c>
      <c r="R7" s="367">
        <f>'GF diets No L-Val'!W$351*'GF diets No L-Val'!W$353/100</f>
        <v>62.096018202878938</v>
      </c>
      <c r="S7" s="367">
        <f>'GF diets No L-Val'!X$351*'GF diets No L-Val'!X$353/100</f>
        <v>87.83959340042901</v>
      </c>
      <c r="T7" s="367">
        <f>'GF diets No L-Val'!Y$351*'GF diets No L-Val'!Y$353/100</f>
        <v>117.11995900407761</v>
      </c>
      <c r="U7" s="367">
        <f>'GF diets No L-Val'!Z$351*'GF diets No L-Val'!Z$353/100</f>
        <v>146.37566343464448</v>
      </c>
      <c r="V7" s="367">
        <f>'GF diets No L-Val'!AA$351*'GF diets No L-Val'!AA$353/100</f>
        <v>175.53136064218339</v>
      </c>
      <c r="W7" s="367">
        <f>'GF diets No L-Val'!AB$351*'GF diets No L-Val'!AB$353/100</f>
        <v>208.01810899818256</v>
      </c>
      <c r="Y7" s="433">
        <v>0.15</v>
      </c>
      <c r="Z7" s="367">
        <f>'GF diets No L-Val'!W$342</f>
        <v>745.32048522697846</v>
      </c>
      <c r="AA7" s="367">
        <f>'GF diets No L-Val'!X$342</f>
        <v>856.82099481867851</v>
      </c>
      <c r="AB7" s="367">
        <f>'GF diets No L-Val'!Y$342</f>
        <v>929.39325528346376</v>
      </c>
      <c r="AC7" s="367">
        <f>'GF diets No L-Val'!Z$342</f>
        <v>960.42772548353014</v>
      </c>
      <c r="AD7" s="367">
        <f>'GF diets No L-Val'!AA$342</f>
        <v>946.63313524160253</v>
      </c>
      <c r="AE7" s="367">
        <f>'GF diets No L-Val'!AB$342</f>
        <v>878.33099550410861</v>
      </c>
      <c r="AF7" s="420"/>
      <c r="AG7" s="433">
        <v>0.15</v>
      </c>
      <c r="AH7" s="367">
        <f>'GF diets No L-Val'!W$344</f>
        <v>540.76312985901927</v>
      </c>
      <c r="AI7" s="367">
        <f>'GF diets No L-Val'!X$344</f>
        <v>470.30487978575286</v>
      </c>
      <c r="AJ7" s="367">
        <f>'GF diets No L-Val'!Y$344</f>
        <v>408.70380713621705</v>
      </c>
      <c r="AK7" s="367">
        <f>'GF diets No L-Val'!Z$344</f>
        <v>357.81692622772732</v>
      </c>
      <c r="AL7" s="367">
        <f>'GF diets No L-Val'!AA$344</f>
        <v>319.79448060749678</v>
      </c>
      <c r="AM7" s="367">
        <f>'GF diets No L-Val'!AB$344</f>
        <v>288.55555544810454</v>
      </c>
      <c r="AN7" s="420"/>
      <c r="AO7" s="433">
        <v>0.15</v>
      </c>
      <c r="AP7" s="367">
        <f t="shared" si="0"/>
        <v>1.8492385016351003</v>
      </c>
      <c r="AQ7" s="367">
        <f t="shared" si="1"/>
        <v>2.1262802981239521</v>
      </c>
      <c r="AR7" s="367">
        <f t="shared" si="2"/>
        <v>2.4467596888979055</v>
      </c>
      <c r="AS7" s="367">
        <f t="shared" si="3"/>
        <v>2.7947252538958001</v>
      </c>
      <c r="AT7" s="367">
        <f t="shared" si="4"/>
        <v>3.1270083151540096</v>
      </c>
      <c r="AU7" s="367">
        <f t="shared" si="5"/>
        <v>3.4655371595500117</v>
      </c>
      <c r="AV7" s="420"/>
      <c r="AW7" s="433">
        <v>0.15</v>
      </c>
      <c r="AX7" s="367">
        <f>'GF diets No L-Val'!W$351</f>
        <v>84.438709572179604</v>
      </c>
      <c r="AY7" s="367">
        <f>'GF diets No L-Val'!X$351</f>
        <v>119.45297815092717</v>
      </c>
      <c r="AZ7" s="367">
        <f>'GF diets No L-Val'!Y$351</f>
        <v>159.28864116536596</v>
      </c>
      <c r="BA7" s="367">
        <f>'GF diets No L-Val'!Z$351</f>
        <v>199.09670400926214</v>
      </c>
      <c r="BB7" s="367">
        <f>'GF diets No L-Val'!AA$351</f>
        <v>238.77108001295238</v>
      </c>
      <c r="BC7" s="367">
        <f>'GF diets No L-Val'!AB$351</f>
        <v>282.97353247185532</v>
      </c>
      <c r="BD7" s="420"/>
      <c r="BF7" s="433">
        <v>0.15</v>
      </c>
      <c r="BG7" s="367">
        <f t="shared" si="6"/>
        <v>34.438709572179604</v>
      </c>
      <c r="BH7" s="367">
        <f t="shared" si="7"/>
        <v>34.452978150927166</v>
      </c>
      <c r="BI7" s="367">
        <f t="shared" si="8"/>
        <v>39.288641165365959</v>
      </c>
      <c r="BJ7" s="367">
        <f t="shared" si="9"/>
        <v>39.09670400926214</v>
      </c>
      <c r="BK7" s="367">
        <f t="shared" si="10"/>
        <v>38.771080012952382</v>
      </c>
      <c r="BL7" s="367">
        <f t="shared" si="11"/>
        <v>42.973532471855322</v>
      </c>
      <c r="BM7" s="418"/>
      <c r="BN7" s="367"/>
      <c r="BO7" s="367"/>
      <c r="BP7" s="367"/>
      <c r="BQ7" s="367"/>
      <c r="BR7" s="367"/>
      <c r="BS7" s="367"/>
      <c r="BT7" s="367"/>
      <c r="BU7" s="367"/>
      <c r="BV7" s="367"/>
      <c r="BW7" s="367"/>
      <c r="BX7" s="458"/>
      <c r="BY7" s="367"/>
      <c r="BZ7" s="290"/>
      <c r="CA7" s="290"/>
      <c r="CB7" s="290"/>
      <c r="CC7" s="290"/>
      <c r="CD7" s="290"/>
      <c r="CE7" s="367"/>
    </row>
    <row r="8" spans="1:93" ht="15" x14ac:dyDescent="0.25">
      <c r="A8" s="433">
        <v>0.2</v>
      </c>
      <c r="B8" s="367">
        <f>'GF diets No L-Val'!AD$353</f>
        <v>73.395426256137313</v>
      </c>
      <c r="C8" s="367">
        <f>'GF diets No L-Val'!AE$353</f>
        <v>73.390536279064307</v>
      </c>
      <c r="D8" s="367">
        <f>'GF diets No L-Val'!AF$353</f>
        <v>73.382560952889435</v>
      </c>
      <c r="E8" s="367">
        <f>'GF diets No L-Val'!AG$353</f>
        <v>73.375689612562525</v>
      </c>
      <c r="F8" s="367">
        <f>'GF diets No L-Val'!AH$353</f>
        <v>73.370735227410734</v>
      </c>
      <c r="G8" s="367">
        <f>'GF diets No L-Val'!AI$353</f>
        <v>73.368188737265811</v>
      </c>
      <c r="H8" s="420"/>
      <c r="I8" s="433">
        <v>0.2</v>
      </c>
      <c r="J8" s="367">
        <f>'GF diets No L-Val'!AD$316</f>
        <v>13.383716272105108</v>
      </c>
      <c r="K8" s="367">
        <f>'GF diets No L-Val'!AE$316</f>
        <v>13.454616331160009</v>
      </c>
      <c r="L8" s="367">
        <f>'GF diets No L-Val'!AF$316</f>
        <v>13.517906097258157</v>
      </c>
      <c r="M8" s="367">
        <f>'GF diets No L-Val'!AG$316</f>
        <v>13.57080772749149</v>
      </c>
      <c r="N8" s="367">
        <f>'GF diets No L-Val'!AH$316</f>
        <v>13.603584792016889</v>
      </c>
      <c r="O8" s="367">
        <f>'GF diets No L-Val'!AI$316</f>
        <v>13.616307454323403</v>
      </c>
      <c r="P8" s="367"/>
      <c r="Q8" s="433">
        <v>0.2</v>
      </c>
      <c r="R8" s="367">
        <f>'GF diets No L-Val'!AD$351*'GF diets No L-Val'!AD$353/100</f>
        <v>61.884960301276486</v>
      </c>
      <c r="S8" s="367">
        <f>'GF diets No L-Val'!AE$351*'GF diets No L-Val'!AE$353/100</f>
        <v>87.564803976903434</v>
      </c>
      <c r="T8" s="367">
        <f>'GF diets No L-Val'!AF$351*'GF diets No L-Val'!AF$353/100</f>
        <v>116.74658493182753</v>
      </c>
      <c r="U8" s="367">
        <f>'GF diets No L-Val'!AG$351*'GF diets No L-Val'!AG$353/100</f>
        <v>145.89569557631646</v>
      </c>
      <c r="V8" s="367">
        <f>'GF diets No L-Val'!AH$351*'GF diets No L-Val'!AH$353/100</f>
        <v>174.90465267311822</v>
      </c>
      <c r="W8" s="367">
        <f>'GF diets No L-Val'!AI$351*'GF diets No L-Val'!AI$353/100</f>
        <v>207.12818450852134</v>
      </c>
      <c r="Y8" s="433">
        <v>0.2</v>
      </c>
      <c r="Z8" s="367">
        <f>'GF diets No L-Val'!AD$342</f>
        <v>742.69055046940025</v>
      </c>
      <c r="AA8" s="367">
        <f>'GF diets No L-Val'!AE$342</f>
        <v>853.35182138732102</v>
      </c>
      <c r="AB8" s="367">
        <f>'GF diets No L-Val'!AF$342</f>
        <v>924.76743851556557</v>
      </c>
      <c r="AC8" s="367">
        <f>'GF diets No L-Val'!AG$342</f>
        <v>953.97017769775789</v>
      </c>
      <c r="AD8" s="367">
        <f>'GF diets No L-Val'!AH$342</f>
        <v>937.20083374915134</v>
      </c>
      <c r="AE8" s="367">
        <f>'GF diets No L-Val'!AI$342</f>
        <v>864.83743802506024</v>
      </c>
      <c r="AF8" s="420"/>
      <c r="AG8" s="433">
        <v>0.2</v>
      </c>
      <c r="AH8" s="367">
        <f>'GF diets No L-Val'!AD$344</f>
        <v>539.10584573159451</v>
      </c>
      <c r="AI8" s="367">
        <f>'GF diets No L-Val'!AE$344</f>
        <v>468.85186337965195</v>
      </c>
      <c r="AJ8" s="367">
        <f>'GF diets No L-Val'!AF$344</f>
        <v>407.44613010989991</v>
      </c>
      <c r="AK8" s="367">
        <f>'GF diets No L-Val'!AG$344</f>
        <v>356.32917138007082</v>
      </c>
      <c r="AL8" s="367">
        <f>'GF diets No L-Val'!AH$344</f>
        <v>317.15327272306877</v>
      </c>
      <c r="AM8" s="367">
        <f>'GF diets No L-Val'!AI$344</f>
        <v>283.99661274911188</v>
      </c>
      <c r="AN8" s="420"/>
      <c r="AO8" s="433">
        <v>0.2</v>
      </c>
      <c r="AP8" s="367">
        <f t="shared" si="0"/>
        <v>1.8549233103620837</v>
      </c>
      <c r="AQ8" s="367">
        <f t="shared" si="1"/>
        <v>2.1328698424949031</v>
      </c>
      <c r="AR8" s="367">
        <f t="shared" si="2"/>
        <v>2.4543121804354144</v>
      </c>
      <c r="AS8" s="367">
        <f t="shared" si="3"/>
        <v>2.806393863648541</v>
      </c>
      <c r="AT8" s="367">
        <f t="shared" si="4"/>
        <v>3.1530496009517073</v>
      </c>
      <c r="AU8" s="367">
        <f t="shared" si="5"/>
        <v>3.521168757330988</v>
      </c>
      <c r="AV8" s="420"/>
      <c r="AW8" s="433">
        <v>0.2</v>
      </c>
      <c r="AX8" s="367">
        <f>'GF diets No L-Val'!AD$351</f>
        <v>84.317189037514012</v>
      </c>
      <c r="AY8" s="367">
        <f>'GF diets No L-Val'!AE$351</f>
        <v>119.31348156926133</v>
      </c>
      <c r="AZ8" s="367">
        <f>'GF diets No L-Val'!AF$351</f>
        <v>159.09309162265021</v>
      </c>
      <c r="BA8" s="367">
        <f>'GF diets No L-Val'!AG$351</f>
        <v>198.83383222246121</v>
      </c>
      <c r="BB8" s="367">
        <f>'GF diets No L-Val'!AH$351</f>
        <v>238.38476216846632</v>
      </c>
      <c r="BC8" s="367">
        <f>'GF diets No L-Val'!AI$351</f>
        <v>282.31334052726174</v>
      </c>
      <c r="BD8" s="420"/>
      <c r="BF8" s="433">
        <v>0.2</v>
      </c>
      <c r="BG8" s="367">
        <f t="shared" si="6"/>
        <v>34.317189037514012</v>
      </c>
      <c r="BH8" s="367">
        <f t="shared" si="7"/>
        <v>34.313481569261327</v>
      </c>
      <c r="BI8" s="367">
        <f t="shared" si="8"/>
        <v>39.093091622650206</v>
      </c>
      <c r="BJ8" s="367">
        <f t="shared" si="9"/>
        <v>38.833832222461211</v>
      </c>
      <c r="BK8" s="367">
        <f t="shared" si="10"/>
        <v>38.384762168466324</v>
      </c>
      <c r="BL8" s="367">
        <f t="shared" si="11"/>
        <v>42.313340527261744</v>
      </c>
      <c r="BM8" s="418"/>
      <c r="BN8" s="367"/>
      <c r="BO8" s="367"/>
      <c r="BP8" s="367"/>
      <c r="BQ8" s="367"/>
      <c r="BR8" s="367"/>
      <c r="BS8" s="367"/>
      <c r="BT8" s="367"/>
      <c r="BU8" s="367"/>
      <c r="BV8" s="367"/>
      <c r="BW8" s="367"/>
      <c r="BX8" s="458"/>
      <c r="BY8" s="367"/>
      <c r="BZ8" s="290"/>
      <c r="CA8" s="290"/>
      <c r="CB8" s="290"/>
      <c r="CC8" s="290"/>
      <c r="CD8" s="290"/>
      <c r="CE8" s="367"/>
    </row>
    <row r="9" spans="1:93" ht="15" x14ac:dyDescent="0.25">
      <c r="A9" s="433">
        <v>0.25</v>
      </c>
      <c r="B9" s="367">
        <f>'GF diets No L-Val'!AK$353</f>
        <v>73.251338161470329</v>
      </c>
      <c r="C9" s="367">
        <f>'GF diets No L-Val'!AL$353</f>
        <v>73.246305874624596</v>
      </c>
      <c r="D9" s="367">
        <f>'GF diets No L-Val'!AM$353</f>
        <v>73.238320644142092</v>
      </c>
      <c r="E9" s="367">
        <f>'GF diets No L-Val'!AN$353</f>
        <v>73.231805407736175</v>
      </c>
      <c r="F9" s="367">
        <f>'GF diets No L-Val'!AO$353</f>
        <v>73.227337036573971</v>
      </c>
      <c r="G9" s="367">
        <f>'GF diets No L-Val'!AP$353</f>
        <v>73.22500206393174</v>
      </c>
      <c r="H9" s="420"/>
      <c r="I9" s="433">
        <v>0.25</v>
      </c>
      <c r="J9" s="367">
        <f>'GF diets No L-Val'!AK$316</f>
        <v>14.585552077151283</v>
      </c>
      <c r="K9" s="367">
        <f>'GF diets No L-Val'!AL$316</f>
        <v>14.658515493792445</v>
      </c>
      <c r="L9" s="367">
        <f>'GF diets No L-Val'!AM$316</f>
        <v>14.720425502595312</v>
      </c>
      <c r="M9" s="367">
        <f>'GF diets No L-Val'!AN$316</f>
        <v>14.769182625368545</v>
      </c>
      <c r="N9" s="367">
        <f>'GF diets No L-Val'!AO$316</f>
        <v>14.79797280183068</v>
      </c>
      <c r="O9" s="367">
        <f>'GF diets No L-Val'!AP$316</f>
        <v>14.810572147296522</v>
      </c>
      <c r="P9" s="367"/>
      <c r="Q9" s="433">
        <v>0.25</v>
      </c>
      <c r="R9" s="367">
        <f>'GF diets No L-Val'!AK$351*'GF diets No L-Val'!AK$353/100</f>
        <v>61.688821079662397</v>
      </c>
      <c r="S9" s="367">
        <f>'GF diets No L-Val'!AL$351*'GF diets No L-Val'!AL$353/100</f>
        <v>87.310951507741976</v>
      </c>
      <c r="T9" s="367">
        <f>'GF diets No L-Val'!AM$351*'GF diets No L-Val'!AM$353/100</f>
        <v>116.39286849905606</v>
      </c>
      <c r="U9" s="367">
        <f>'GF diets No L-Val'!AN$351*'GF diets No L-Val'!AN$353/100</f>
        <v>145.42549968216366</v>
      </c>
      <c r="V9" s="367">
        <f>'GF diets No L-Val'!AO$351*'GF diets No L-Val'!AO$353/100</f>
        <v>174.28955684138649</v>
      </c>
      <c r="W9" s="367">
        <f>'GF diets No L-Val'!AP$351*'GF diets No L-Val'!AP$353/100</f>
        <v>206.25555333282443</v>
      </c>
      <c r="Y9" s="433">
        <v>0.25</v>
      </c>
      <c r="Z9" s="367">
        <f>'GF diets No L-Val'!AK$342</f>
        <v>740.485091285458</v>
      </c>
      <c r="AA9" s="367">
        <f>'GF diets No L-Val'!AL$342</f>
        <v>850.57562438691457</v>
      </c>
      <c r="AB9" s="367">
        <f>'GF diets No L-Val'!AM$342</f>
        <v>920.75457010940886</v>
      </c>
      <c r="AC9" s="367">
        <f>'GF diets No L-Val'!AN$342</f>
        <v>947.79441678421176</v>
      </c>
      <c r="AD9" s="367">
        <f>'GF diets No L-Val'!AO$342</f>
        <v>928.08975082836355</v>
      </c>
      <c r="AE9" s="367">
        <f>'GF diets No L-Val'!AP$342</f>
        <v>851.76338880639946</v>
      </c>
      <c r="AF9" s="420"/>
      <c r="AG9" s="433">
        <v>0.25</v>
      </c>
      <c r="AH9" s="367">
        <f>'GF diets No L-Val'!AK$344</f>
        <v>536.98229774250331</v>
      </c>
      <c r="AI9" s="367">
        <f>'GF diets No L-Val'!AL$344</f>
        <v>466.88584266745625</v>
      </c>
      <c r="AJ9" s="367">
        <f>'GF diets No L-Val'!AM$344</f>
        <v>405.83767670373345</v>
      </c>
      <c r="AK9" s="367">
        <f>'GF diets No L-Val'!AN$344</f>
        <v>354.40157021852133</v>
      </c>
      <c r="AL9" s="367">
        <f>'GF diets No L-Val'!AO$344</f>
        <v>314.27564432564225</v>
      </c>
      <c r="AM9" s="367">
        <f>'GF diets No L-Val'!AP$344</f>
        <v>279.34573220968792</v>
      </c>
      <c r="AN9" s="420"/>
      <c r="AO9" s="433">
        <v>0.25</v>
      </c>
      <c r="AP9" s="367">
        <f t="shared" si="0"/>
        <v>1.8622587824664669</v>
      </c>
      <c r="AQ9" s="367">
        <f t="shared" si="1"/>
        <v>2.1418511949017467</v>
      </c>
      <c r="AR9" s="367">
        <f t="shared" si="2"/>
        <v>2.4640393374073359</v>
      </c>
      <c r="AS9" s="367">
        <f t="shared" si="3"/>
        <v>2.8216579271457731</v>
      </c>
      <c r="AT9" s="367">
        <f t="shared" si="4"/>
        <v>3.1819201330276563</v>
      </c>
      <c r="AU9" s="367">
        <f t="shared" si="5"/>
        <v>3.5797933696347308</v>
      </c>
      <c r="AV9" s="420"/>
      <c r="AW9" s="433">
        <v>0.25</v>
      </c>
      <c r="AX9" s="367">
        <f>'GF diets No L-Val'!AK$351</f>
        <v>84.215282106764661</v>
      </c>
      <c r="AY9" s="367">
        <f>'GF diets No L-Val'!AL$351</f>
        <v>119.20184979320564</v>
      </c>
      <c r="AZ9" s="367">
        <f>'GF diets No L-Val'!AM$351</f>
        <v>158.92345356278406</v>
      </c>
      <c r="BA9" s="367">
        <f>'GF diets No L-Val'!AN$351</f>
        <v>198.58243132539374</v>
      </c>
      <c r="BB9" s="367">
        <f>'GF diets No L-Val'!AO$351</f>
        <v>238.01160044142554</v>
      </c>
      <c r="BC9" s="367">
        <f>'GF diets No L-Val'!AP$351</f>
        <v>281.67367363505917</v>
      </c>
      <c r="BD9" s="420"/>
      <c r="BF9" s="433">
        <v>0.25</v>
      </c>
      <c r="BG9" s="367">
        <f t="shared" si="6"/>
        <v>34.215282106764661</v>
      </c>
      <c r="BH9" s="367">
        <f t="shared" si="7"/>
        <v>34.201849793205639</v>
      </c>
      <c r="BI9" s="367">
        <f t="shared" si="8"/>
        <v>38.923453562784061</v>
      </c>
      <c r="BJ9" s="367">
        <f t="shared" si="9"/>
        <v>38.582431325393742</v>
      </c>
      <c r="BK9" s="367">
        <f t="shared" si="10"/>
        <v>38.011600441425543</v>
      </c>
      <c r="BL9" s="367">
        <f t="shared" si="11"/>
        <v>41.673673635059174</v>
      </c>
      <c r="BM9" s="418"/>
      <c r="BN9" s="367"/>
      <c r="BO9" s="367"/>
      <c r="BP9" s="367"/>
      <c r="BQ9" s="367"/>
      <c r="BR9" s="367"/>
      <c r="BS9" s="367"/>
      <c r="BT9" s="367"/>
      <c r="BU9" s="367"/>
      <c r="BV9" s="367"/>
      <c r="BW9" s="367"/>
      <c r="BX9" s="458"/>
      <c r="BY9" s="367"/>
      <c r="BZ9" s="290"/>
      <c r="CA9" s="290"/>
      <c r="CB9" s="290"/>
      <c r="CC9" s="290"/>
      <c r="CD9" s="290"/>
      <c r="CE9" s="367"/>
    </row>
    <row r="10" spans="1:93" ht="15" x14ac:dyDescent="0.25">
      <c r="A10" s="433">
        <v>0.3</v>
      </c>
      <c r="B10" s="367">
        <f>'GF diets No L-Val'!AR$353</f>
        <v>73.106914285373577</v>
      </c>
      <c r="C10" s="367">
        <f>'GF diets No L-Val'!AS$353</f>
        <v>73.10193928363806</v>
      </c>
      <c r="D10" s="367">
        <f>'GF diets No L-Val'!AT$353</f>
        <v>73.094099851998521</v>
      </c>
      <c r="E10" s="367">
        <f>'GF diets No L-Val'!AU$353</f>
        <v>73.088199256539951</v>
      </c>
      <c r="F10" s="367">
        <f>'GF diets No L-Val'!AV$353</f>
        <v>73.084133600109567</v>
      </c>
      <c r="G10" s="367">
        <f>'GF diets No L-Val'!AW$353</f>
        <v>73.081810804134918</v>
      </c>
      <c r="H10" s="420"/>
      <c r="I10" s="433">
        <v>0.3</v>
      </c>
      <c r="J10" s="367">
        <f>'GF diets No L-Val'!AR$316</f>
        <v>15.79018862812935</v>
      </c>
      <c r="K10" s="367">
        <f>'GF diets No L-Val'!AS$316</f>
        <v>15.862321464659933</v>
      </c>
      <c r="L10" s="367">
        <f>'GF diets No L-Val'!AT$316</f>
        <v>15.922730738306432</v>
      </c>
      <c r="M10" s="367">
        <f>'GF diets No L-Val'!AU$316</f>
        <v>15.963684127381153</v>
      </c>
      <c r="N10" s="367">
        <f>'GF diets No L-Val'!AV$316</f>
        <v>15.992396754011763</v>
      </c>
      <c r="O10" s="367">
        <f>'GF diets No L-Val'!AW$316</f>
        <v>16.004876803694469</v>
      </c>
      <c r="P10" s="367"/>
      <c r="Q10" s="433">
        <v>0.3</v>
      </c>
      <c r="R10" s="367">
        <f>'GF diets No L-Val'!AR$351*'GF diets No L-Val'!AR$353/100</f>
        <v>61.524195260945852</v>
      </c>
      <c r="S10" s="367">
        <f>'GF diets No L-Val'!AS$351*'GF diets No L-Val'!AS$353/100</f>
        <v>87.075734348245206</v>
      </c>
      <c r="T10" s="367">
        <f>'GF diets No L-Val'!AT$351*'GF diets No L-Val'!AT$353/100</f>
        <v>116.05741030963674</v>
      </c>
      <c r="U10" s="367">
        <f>'GF diets No L-Val'!AU$351*'GF diets No L-Val'!AU$353/100</f>
        <v>144.9677492913174</v>
      </c>
      <c r="V10" s="367">
        <f>'GF diets No L-Val'!AV$351*'GF diets No L-Val'!AV$353/100</f>
        <v>173.68991594372713</v>
      </c>
      <c r="W10" s="367">
        <f>'GF diets No L-Val'!AW$351*'GF diets No L-Val'!AW$353/100</f>
        <v>205.40033153304933</v>
      </c>
      <c r="Y10" s="433">
        <v>0.3</v>
      </c>
      <c r="Z10" s="367">
        <f>'GF diets No L-Val'!AR$342</f>
        <v>739.21219320971636</v>
      </c>
      <c r="AA10" s="367">
        <f>'GF diets No L-Val'!AS$342</f>
        <v>848.42796213456415</v>
      </c>
      <c r="AB10" s="367">
        <f>'GF diets No L-Val'!AT$342</f>
        <v>917.31575363788306</v>
      </c>
      <c r="AC10" s="367">
        <f>'GF diets No L-Val'!AU$342</f>
        <v>941.99410601919431</v>
      </c>
      <c r="AD10" s="367">
        <f>'GF diets No L-Val'!AV$342</f>
        <v>919.44377030358305</v>
      </c>
      <c r="AE10" s="367">
        <f>'GF diets No L-Val'!AW$342</f>
        <v>839.12535820686685</v>
      </c>
      <c r="AF10" s="420"/>
      <c r="AG10" s="433">
        <v>0.3</v>
      </c>
      <c r="AH10" s="367">
        <f>'GF diets No L-Val'!AR$344</f>
        <v>533.6457989086922</v>
      </c>
      <c r="AI10" s="367">
        <f>'GF diets No L-Val'!AS$344</f>
        <v>464.35875049602089</v>
      </c>
      <c r="AJ10" s="367">
        <f>'GF diets No L-Val'!AT$344</f>
        <v>403.82820905437643</v>
      </c>
      <c r="AK10" s="367">
        <f>'GF diets No L-Val'!AU$344</f>
        <v>352.04701098428052</v>
      </c>
      <c r="AL10" s="367">
        <f>'GF diets No L-Val'!AV$344</f>
        <v>311.24365634482672</v>
      </c>
      <c r="AM10" s="367">
        <f>'GF diets No L-Val'!AW$344</f>
        <v>274.59776980546394</v>
      </c>
      <c r="AN10" s="420"/>
      <c r="AO10" s="433">
        <v>0.3</v>
      </c>
      <c r="AP10" s="367">
        <f t="shared" si="0"/>
        <v>1.8739021314231348</v>
      </c>
      <c r="AQ10" s="367">
        <f t="shared" si="1"/>
        <v>2.1535073882678324</v>
      </c>
      <c r="AR10" s="367">
        <f t="shared" si="2"/>
        <v>2.4763005099164519</v>
      </c>
      <c r="AS10" s="367">
        <f t="shared" si="3"/>
        <v>2.8405297269933407</v>
      </c>
      <c r="AT10" s="367">
        <f t="shared" si="4"/>
        <v>3.2129168887930697</v>
      </c>
      <c r="AU10" s="367">
        <f t="shared" si="5"/>
        <v>3.641690173625372</v>
      </c>
      <c r="AV10" s="420"/>
      <c r="AW10" s="433">
        <v>0.3</v>
      </c>
      <c r="AX10" s="367">
        <f>'GF diets No L-Val'!AR$351</f>
        <v>84.156465721950099</v>
      </c>
      <c r="AY10" s="367">
        <f>'GF diets No L-Val'!AS$351</f>
        <v>119.11549160192362</v>
      </c>
      <c r="AZ10" s="367">
        <f>'GF diets No L-Val'!AT$351</f>
        <v>158.77808269700381</v>
      </c>
      <c r="BA10" s="367">
        <f>'GF diets No L-Val'!AU$351</f>
        <v>198.34631413270952</v>
      </c>
      <c r="BB10" s="367">
        <f>'GF diets No L-Val'!AV$351</f>
        <v>237.65748786747162</v>
      </c>
      <c r="BC10" s="367">
        <f>'GF diets No L-Val'!AW$351</f>
        <v>281.05533958858598</v>
      </c>
      <c r="BD10" s="420"/>
      <c r="BF10" s="433">
        <v>0.3</v>
      </c>
      <c r="BG10" s="367">
        <f t="shared" si="6"/>
        <v>34.156465721950099</v>
      </c>
      <c r="BH10" s="367">
        <f t="shared" si="7"/>
        <v>34.115491601923623</v>
      </c>
      <c r="BI10" s="367">
        <f t="shared" si="8"/>
        <v>38.778082697003811</v>
      </c>
      <c r="BJ10" s="367">
        <f t="shared" si="9"/>
        <v>38.346314132709523</v>
      </c>
      <c r="BK10" s="367">
        <f t="shared" si="10"/>
        <v>37.657487867471616</v>
      </c>
      <c r="BL10" s="367">
        <f t="shared" si="11"/>
        <v>41.05533958858598</v>
      </c>
      <c r="BM10" s="418"/>
      <c r="BN10" s="367"/>
      <c r="BO10" s="367"/>
      <c r="BP10" s="367"/>
      <c r="BQ10" s="367"/>
      <c r="BR10" s="367"/>
      <c r="BS10" s="367"/>
      <c r="BT10" s="367"/>
      <c r="BU10" s="367"/>
      <c r="BV10" s="367"/>
      <c r="BW10" s="367"/>
      <c r="BX10" s="458"/>
      <c r="BY10" s="367"/>
      <c r="BZ10" s="290"/>
      <c r="CA10" s="290"/>
      <c r="CB10" s="290"/>
      <c r="CC10" s="290"/>
      <c r="CD10" s="290"/>
      <c r="CE10" s="367"/>
    </row>
    <row r="11" spans="1:93" ht="15" x14ac:dyDescent="0.25">
      <c r="Z11" s="2"/>
      <c r="AA11" s="2"/>
      <c r="AB11" s="2"/>
      <c r="AC11" s="2"/>
      <c r="AD11" s="2"/>
      <c r="AE11" s="2"/>
      <c r="AF11" s="2"/>
      <c r="AH11" s="83"/>
      <c r="AI11" s="83"/>
      <c r="AJ11" s="83"/>
      <c r="AK11" s="83"/>
      <c r="AL11" s="83"/>
      <c r="AM11" s="83"/>
      <c r="AN11" s="83"/>
      <c r="AP11" s="83"/>
      <c r="AQ11" s="83"/>
      <c r="AR11" s="83"/>
      <c r="AS11" s="83"/>
      <c r="AT11" s="83"/>
      <c r="AU11" s="83"/>
      <c r="AX11" s="7"/>
      <c r="AY11" s="7"/>
      <c r="AZ11" s="7"/>
      <c r="BA11" s="7"/>
      <c r="BB11" s="7"/>
      <c r="BC11" s="7"/>
      <c r="BG11" s="414"/>
      <c r="BI11" s="414"/>
      <c r="BJ11" s="2"/>
      <c r="BK11" s="414"/>
      <c r="BN11" s="414"/>
      <c r="BO11" s="2"/>
      <c r="BP11" s="414"/>
      <c r="BR11" s="414"/>
      <c r="BT11" s="2"/>
      <c r="BV11" s="2"/>
      <c r="BX11" s="414"/>
      <c r="BY11" s="290"/>
      <c r="BZ11" s="290"/>
      <c r="CA11" s="290"/>
      <c r="CB11" s="290"/>
      <c r="CC11" s="290"/>
      <c r="CD11" s="290"/>
    </row>
    <row r="12" spans="1:93" ht="15" x14ac:dyDescent="0.25">
      <c r="A12" s="290" t="s">
        <v>519</v>
      </c>
      <c r="I12" s="290" t="s">
        <v>519</v>
      </c>
      <c r="J12" s="290"/>
      <c r="K12" s="290"/>
      <c r="L12" s="290"/>
      <c r="M12" s="290"/>
      <c r="Q12" s="290" t="s">
        <v>519</v>
      </c>
      <c r="Y12" s="290" t="s">
        <v>519</v>
      </c>
      <c r="AF12" s="419"/>
      <c r="AG12" s="290" t="s">
        <v>519</v>
      </c>
      <c r="AO12" s="290" t="s">
        <v>519</v>
      </c>
      <c r="AW12" s="290" t="s">
        <v>519</v>
      </c>
      <c r="BF12" s="290" t="s">
        <v>519</v>
      </c>
      <c r="BO12" s="290" t="s">
        <v>519</v>
      </c>
      <c r="BX12" s="290"/>
      <c r="BY12" s="290"/>
      <c r="BZ12" s="290"/>
      <c r="CA12" s="290"/>
      <c r="CB12" s="290"/>
      <c r="CC12" s="290"/>
      <c r="CD12" s="290"/>
    </row>
    <row r="13" spans="1:93" ht="15" x14ac:dyDescent="0.25">
      <c r="B13" s="290" t="s">
        <v>516</v>
      </c>
      <c r="C13" s="290" t="s">
        <v>68</v>
      </c>
      <c r="D13" s="290" t="s">
        <v>69</v>
      </c>
      <c r="E13" s="290" t="s">
        <v>158</v>
      </c>
      <c r="F13" s="290" t="s">
        <v>473</v>
      </c>
      <c r="G13" s="290" t="s">
        <v>475</v>
      </c>
      <c r="H13" s="290"/>
      <c r="J13" s="423" t="s">
        <v>516</v>
      </c>
      <c r="K13" s="423" t="s">
        <v>68</v>
      </c>
      <c r="L13" s="423" t="s">
        <v>69</v>
      </c>
      <c r="M13" s="423" t="s">
        <v>158</v>
      </c>
      <c r="N13" s="290" t="s">
        <v>473</v>
      </c>
      <c r="O13" s="290" t="s">
        <v>475</v>
      </c>
      <c r="P13" s="290"/>
      <c r="R13" s="290" t="s">
        <v>516</v>
      </c>
      <c r="S13" s="290" t="s">
        <v>68</v>
      </c>
      <c r="T13" s="290" t="s">
        <v>69</v>
      </c>
      <c r="U13" s="290" t="s">
        <v>158</v>
      </c>
      <c r="V13" s="290" t="s">
        <v>473</v>
      </c>
      <c r="W13" s="290" t="s">
        <v>475</v>
      </c>
      <c r="Z13" s="290" t="s">
        <v>516</v>
      </c>
      <c r="AA13" s="290" t="s">
        <v>68</v>
      </c>
      <c r="AB13" s="290" t="s">
        <v>69</v>
      </c>
      <c r="AC13" s="290" t="s">
        <v>158</v>
      </c>
      <c r="AD13" s="290" t="s">
        <v>473</v>
      </c>
      <c r="AE13" s="290" t="s">
        <v>475</v>
      </c>
      <c r="AF13" s="290"/>
      <c r="AH13" s="290" t="s">
        <v>516</v>
      </c>
      <c r="AI13" s="290" t="s">
        <v>68</v>
      </c>
      <c r="AJ13" s="290" t="s">
        <v>69</v>
      </c>
      <c r="AK13" s="290" t="s">
        <v>158</v>
      </c>
      <c r="AL13" s="290" t="s">
        <v>473</v>
      </c>
      <c r="AM13" s="290" t="s">
        <v>475</v>
      </c>
      <c r="AN13" s="290"/>
      <c r="AP13" s="290" t="s">
        <v>516</v>
      </c>
      <c r="AQ13" s="290" t="s">
        <v>68</v>
      </c>
      <c r="AR13" s="290" t="s">
        <v>69</v>
      </c>
      <c r="AS13" s="290" t="s">
        <v>158</v>
      </c>
      <c r="AT13" s="290" t="s">
        <v>473</v>
      </c>
      <c r="AU13" s="290" t="s">
        <v>475</v>
      </c>
      <c r="AX13" s="290" t="s">
        <v>516</v>
      </c>
      <c r="AY13" s="290" t="s">
        <v>68</v>
      </c>
      <c r="AZ13" s="290" t="s">
        <v>69</v>
      </c>
      <c r="BA13" s="290" t="s">
        <v>158</v>
      </c>
      <c r="BB13" s="290" t="s">
        <v>473</v>
      </c>
      <c r="BC13" s="290" t="s">
        <v>475</v>
      </c>
      <c r="BG13" s="290" t="s">
        <v>516</v>
      </c>
      <c r="BH13" s="290" t="s">
        <v>68</v>
      </c>
      <c r="BI13" s="290" t="s">
        <v>69</v>
      </c>
      <c r="BJ13" s="290" t="s">
        <v>158</v>
      </c>
      <c r="BK13" s="290" t="s">
        <v>473</v>
      </c>
      <c r="BL13" s="290" t="s">
        <v>475</v>
      </c>
      <c r="BM13" s="290"/>
      <c r="BO13" s="290" t="s">
        <v>516</v>
      </c>
      <c r="BP13" s="290" t="s">
        <v>68</v>
      </c>
      <c r="BQ13" s="290" t="s">
        <v>69</v>
      </c>
      <c r="BR13" s="290" t="s">
        <v>158</v>
      </c>
      <c r="BS13" s="290" t="s">
        <v>473</v>
      </c>
      <c r="BT13" s="290" t="s">
        <v>475</v>
      </c>
      <c r="BX13" s="290"/>
      <c r="BY13" s="290"/>
      <c r="BZ13" s="290"/>
      <c r="CA13" s="290"/>
      <c r="CB13" s="290"/>
      <c r="CC13" s="290"/>
      <c r="CD13" s="290"/>
    </row>
    <row r="14" spans="1:93" ht="15" x14ac:dyDescent="0.25">
      <c r="A14" s="433">
        <v>0</v>
      </c>
      <c r="B14" s="367">
        <f>'GF diets No L-Val + Fat'!B$353</f>
        <v>73.97283598564384</v>
      </c>
      <c r="C14" s="367">
        <f>'GF diets No L-Val + Fat'!C$353</f>
        <v>73.967856887824908</v>
      </c>
      <c r="D14" s="367">
        <f>'GF diets No L-Val + Fat'!D$353</f>
        <v>73.959733111485349</v>
      </c>
      <c r="E14" s="367">
        <f>'GF diets No L-Val + Fat'!E$353</f>
        <v>73.952776279957178</v>
      </c>
      <c r="F14" s="367">
        <f>'GF diets No L-Val + Fat'!F$353</f>
        <v>73.947268075350891</v>
      </c>
      <c r="G14" s="367">
        <f>'GF diets No L-Val + Fat'!G$353</f>
        <v>73.944010160900064</v>
      </c>
      <c r="H14" s="367"/>
      <c r="I14" s="433">
        <v>0</v>
      </c>
      <c r="J14" s="367">
        <f>'GF diets No L-Val + Fat'!B$316</f>
        <v>8.5675537105360302</v>
      </c>
      <c r="K14" s="367">
        <f>'GF diets No L-Val + Fat'!C$316</f>
        <v>8.6397459364158564</v>
      </c>
      <c r="L14" s="367">
        <f>'GF diets No L-Val + Fat'!D$316</f>
        <v>8.7042340935531328</v>
      </c>
      <c r="M14" s="367">
        <f>'GF diets No L-Val + Fat'!E$316</f>
        <v>8.7574905031042753</v>
      </c>
      <c r="N14" s="367">
        <f>'GF diets No L-Val + Fat'!F$316</f>
        <v>8.7980354970428483</v>
      </c>
      <c r="O14" s="367">
        <f>'GF diets No L-Val + Fat'!G$316</f>
        <v>8.8153381410832843</v>
      </c>
      <c r="P14" s="367"/>
      <c r="Q14" s="433">
        <v>0</v>
      </c>
      <c r="R14" s="367">
        <f>'GF diets No L-Val + Fat'!B$351*'GF diets No L-Val'!B$353/100</f>
        <v>62.876858678395237</v>
      </c>
      <c r="S14" s="367">
        <f>'GF diets No L-Val + Fat'!C$351*'GF diets No L-Val'!C$353/100</f>
        <v>88.761376359481872</v>
      </c>
      <c r="T14" s="367">
        <f>'GF diets No L-Val + Fat'!D$351*'GF diets No L-Val'!D$353/100</f>
        <v>118.33551366385396</v>
      </c>
      <c r="U14" s="367">
        <f>'GF diets No L-Val + Fat'!E$351*'GF diets No L-Val'!E$353/100</f>
        <v>147.90549325097103</v>
      </c>
      <c r="V14" s="367">
        <f>'GF diets No L-Val + Fat'!F$351*'GF diets No L-Val'!F$353/100</f>
        <v>177.47338407631634</v>
      </c>
      <c r="W14" s="367">
        <f>'GF diets No L-Val + Fat'!G$351*'GF diets No L-Val'!G$353/100</f>
        <v>210.74036224391301</v>
      </c>
      <c r="Y14" s="433">
        <v>0</v>
      </c>
      <c r="Z14" s="367">
        <f>'GF diets No L-Val + Fat'!B$342</f>
        <v>757.46635553023782</v>
      </c>
      <c r="AA14" s="367">
        <f>'GF diets No L-Val + Fat'!C$342</f>
        <v>870.42326519783569</v>
      </c>
      <c r="AB14" s="367">
        <f>'GF diets No L-Val + Fat'!D$342</f>
        <v>946.21888727648684</v>
      </c>
      <c r="AC14" s="367">
        <f>'GF diets No L-Val + Fat'!E$342</f>
        <v>982.61557306834152</v>
      </c>
      <c r="AD14" s="367">
        <f>'GF diets No L-Val + Fat'!F$342</f>
        <v>976.63637619430801</v>
      </c>
      <c r="AE14" s="367">
        <f>'GF diets No L-Val + Fat'!G$342</f>
        <v>919.74779687896194</v>
      </c>
      <c r="AF14" s="367"/>
      <c r="AG14" s="433">
        <v>0</v>
      </c>
      <c r="AH14" s="367">
        <f>'GF diets No L-Val + Fat'!B$344</f>
        <v>541.48123876174384</v>
      </c>
      <c r="AI14" s="367">
        <f>'GF diets No L-Val + Fat'!C$344</f>
        <v>471.05106861362759</v>
      </c>
      <c r="AJ14" s="367">
        <f>'GF diets No L-Val + Fat'!D$344</f>
        <v>410.02340376494885</v>
      </c>
      <c r="AK14" s="367">
        <f>'GF diets No L-Val + Fat'!E$344</f>
        <v>360.7957609066396</v>
      </c>
      <c r="AL14" s="367">
        <f>'GF diets No L-Val + Fat'!F$344</f>
        <v>326.28328855841602</v>
      </c>
      <c r="AM14" s="367">
        <f>'GF diets No L-Val + Fat'!G$344</f>
        <v>301.12774430436968</v>
      </c>
      <c r="AN14" s="367"/>
      <c r="AO14" s="433">
        <v>0</v>
      </c>
      <c r="AP14" s="367">
        <f t="shared" ref="AP14:AP20" si="12">1/(AH14/1000)</f>
        <v>1.846786053542306</v>
      </c>
      <c r="AQ14" s="367">
        <f t="shared" ref="AQ14:AQ20" si="13">1/(AI14/1000)</f>
        <v>2.1229120718123977</v>
      </c>
      <c r="AR14" s="367">
        <f t="shared" ref="AR14:AR20" si="14">1/(AJ14/1000)</f>
        <v>2.4388851729382326</v>
      </c>
      <c r="AS14" s="367">
        <f t="shared" ref="AS14:AS20" si="15">1/(AK14/1000)</f>
        <v>2.7716511898230491</v>
      </c>
      <c r="AT14" s="367">
        <f t="shared" ref="AT14:AT20" si="16">1/(AL14/1000)</f>
        <v>3.0648213839519558</v>
      </c>
      <c r="AU14" s="367">
        <f t="shared" ref="AU14:AU20" si="17">1/(AM14/1000)</f>
        <v>3.3208497686258829</v>
      </c>
      <c r="AW14" s="433">
        <v>0</v>
      </c>
      <c r="AX14" s="367">
        <f>'GF diets No L-Val + Fat'!B$351</f>
        <v>84.999929826400006</v>
      </c>
      <c r="AY14" s="367">
        <f>'GF diets No L-Val + Fat'!C$351</f>
        <v>119.99992982640001</v>
      </c>
      <c r="AZ14" s="367">
        <f>'GF diets No L-Val + Fat'!D$351</f>
        <v>159.99991980160002</v>
      </c>
      <c r="BA14" s="367">
        <f>'GF diets No L-Val + Fat'!E$351</f>
        <v>199.99991980160002</v>
      </c>
      <c r="BB14" s="367">
        <f>'GF diets No L-Val + Fat'!F$351</f>
        <v>239.99991980160002</v>
      </c>
      <c r="BC14" s="367">
        <f>'GF diets No L-Val + Fat'!G$351</f>
        <v>284.9999097768</v>
      </c>
      <c r="BF14" s="433">
        <v>0</v>
      </c>
      <c r="BG14" s="367">
        <f>AX14-50</f>
        <v>34.999929826400006</v>
      </c>
      <c r="BH14" s="367">
        <f>AY14-85</f>
        <v>34.999929826400006</v>
      </c>
      <c r="BI14" s="367">
        <f>AZ14-120</f>
        <v>39.999919801600015</v>
      </c>
      <c r="BJ14" s="367">
        <f>BA14-160</f>
        <v>39.999919801600015</v>
      </c>
      <c r="BK14" s="367">
        <f>BB14-200</f>
        <v>39.999919801600015</v>
      </c>
      <c r="BL14" s="367">
        <f>BC14-240</f>
        <v>44.999909776799996</v>
      </c>
      <c r="BM14" s="367"/>
      <c r="BN14" s="367" t="s">
        <v>570</v>
      </c>
      <c r="BO14" s="367">
        <f>VLOOKUP('DDGS Calculator'!$C$31,Performance!AW14:AX20,2,FALSE)</f>
        <v>84.999929826400006</v>
      </c>
      <c r="BP14" s="367">
        <f>BO14+VLOOKUP('DDGS Calculator'!$D$31,Performance!BF14:BL20,3,FALSE)</f>
        <v>119.99985965280001</v>
      </c>
      <c r="BQ14" s="367">
        <f>BP14+VLOOKUP('DDGS Calculator'!$E$31,Performance!BF14:BL20,4,FALSE)</f>
        <v>159.99977945440003</v>
      </c>
      <c r="BR14" s="367">
        <f>BQ14+(VLOOKUP('DDGS Calculator'!$F$31,Performance!BF14:BL20,5,FALSE))</f>
        <v>199.99969925600004</v>
      </c>
      <c r="BS14" s="367">
        <f>BR14+VLOOKUP('DDGS Calculator'!$G$31,Performance!BF14:BL20,6,FALSE)</f>
        <v>239.99961905760006</v>
      </c>
      <c r="BT14" s="367">
        <f>BS14+VLOOKUP('DDGS Calculator'!$H$31,Performance!BF14:BL20,7,FALSE)</f>
        <v>284.99952883440005</v>
      </c>
      <c r="BU14" s="420"/>
      <c r="BX14" s="290"/>
      <c r="BY14" s="290"/>
      <c r="BZ14" s="290"/>
      <c r="CA14" s="290"/>
      <c r="CB14" s="290"/>
      <c r="CC14" s="290"/>
      <c r="CD14" s="290"/>
    </row>
    <row r="15" spans="1:93" ht="15" x14ac:dyDescent="0.25">
      <c r="A15" s="433">
        <v>0.05</v>
      </c>
      <c r="B15" s="367">
        <f>'GF diets No L-Val + Fat'!I$353</f>
        <v>73.834080431928655</v>
      </c>
      <c r="C15" s="367">
        <f>'GF diets No L-Val + Fat'!J$353</f>
        <v>73.829143407400977</v>
      </c>
      <c r="D15" s="367">
        <f>'GF diets No L-Val + Fat'!K$353</f>
        <v>73.820974753418596</v>
      </c>
      <c r="E15" s="367">
        <f>'GF diets No L-Val + Fat'!L$353</f>
        <v>73.813849432711763</v>
      </c>
      <c r="F15" s="367">
        <f>'GF diets No L-Val + Fat'!M$353</f>
        <v>73.808339005563724</v>
      </c>
      <c r="G15" s="367">
        <f>'GF diets No L-Val + Fat'!N$353</f>
        <v>73.805085393728561</v>
      </c>
      <c r="H15" s="367"/>
      <c r="I15" s="433">
        <v>0.05</v>
      </c>
      <c r="J15" s="367">
        <f>'GF diets No L-Val + Fat'!I$316</f>
        <v>9.7249109022549316</v>
      </c>
      <c r="K15" s="367">
        <f>'GF diets No L-Val + Fat'!J$316</f>
        <v>9.7964931050631989</v>
      </c>
      <c r="L15" s="367">
        <f>'GF diets No L-Val + Fat'!K$316</f>
        <v>9.8620823208871773</v>
      </c>
      <c r="M15" s="367">
        <f>'GF diets No L-Val + Fat'!L$316</f>
        <v>9.9169687619060998</v>
      </c>
      <c r="N15" s="367">
        <f>'GF diets No L-Val + Fat'!M$316</f>
        <v>9.9563425413950952</v>
      </c>
      <c r="O15" s="367">
        <f>'GF diets No L-Val + Fat'!N$316</f>
        <v>9.9744474998347776</v>
      </c>
      <c r="P15" s="367"/>
      <c r="Q15" s="433">
        <v>0.05</v>
      </c>
      <c r="R15" s="367">
        <f>'GF diets No L-Val + Fat'!I$351*'GF diets No L-Val'!I$353/100</f>
        <v>62.645570753983904</v>
      </c>
      <c r="S15" s="367">
        <f>'GF diets No L-Val + Fat'!J$351*'GF diets No L-Val'!J$353/100</f>
        <v>88.511292250325567</v>
      </c>
      <c r="T15" s="367">
        <f>'GF diets No L-Val + Fat'!K$351*'GF diets No L-Val'!K$353/100</f>
        <v>118.02461266179458</v>
      </c>
      <c r="U15" s="367">
        <f>'GF diets No L-Val + Fat'!L$351*'GF diets No L-Val'!L$353/100</f>
        <v>147.51711668581481</v>
      </c>
      <c r="V15" s="367">
        <f>'GF diets No L-Val + Fat'!M$351*'GF diets No L-Val'!M$353/100</f>
        <v>176.98075987042691</v>
      </c>
      <c r="W15" s="367">
        <f>'GF diets No L-Val + Fat'!N$351*'GF diets No L-Val'!N$353/100</f>
        <v>210.06444026832312</v>
      </c>
      <c r="Y15" s="433">
        <v>0.05</v>
      </c>
      <c r="Z15" s="367">
        <f>'GF diets No L-Val + Fat'!I$342</f>
        <v>754.2853054881557</v>
      </c>
      <c r="AA15" s="367">
        <f>'GF diets No L-Val + Fat'!J$342</f>
        <v>867.83541072759328</v>
      </c>
      <c r="AB15" s="367">
        <f>'GF diets No L-Val + Fat'!K$342</f>
        <v>943.65504273479746</v>
      </c>
      <c r="AC15" s="367">
        <f>'GF diets No L-Val + Fat'!L$342</f>
        <v>979.30093441478289</v>
      </c>
      <c r="AD15" s="367">
        <f>'GF diets No L-Val + Fat'!M$342</f>
        <v>971.80691655151008</v>
      </c>
      <c r="AE15" s="367">
        <f>'GF diets No L-Val + Fat'!N$342</f>
        <v>912.42799144541459</v>
      </c>
      <c r="AF15" s="420"/>
      <c r="AG15" s="433">
        <v>0.05</v>
      </c>
      <c r="AH15" s="367">
        <f>'GF diets No L-Val + Fat'!I$344</f>
        <v>544.68195539732392</v>
      </c>
      <c r="AI15" s="367">
        <f>'GF diets No L-Val + Fat'!J$344</f>
        <v>474.77645657903764</v>
      </c>
      <c r="AJ15" s="367">
        <f>'GF diets No L-Val + Fat'!K$344</f>
        <v>413.54184942601609</v>
      </c>
      <c r="AK15" s="367">
        <f>'GF diets No L-Val + Fat'!L$344</f>
        <v>363.19410796302145</v>
      </c>
      <c r="AL15" s="367">
        <f>'GF diets No L-Val + Fat'!M$344</f>
        <v>326.87384574181419</v>
      </c>
      <c r="AM15" s="367">
        <f>'GF diets No L-Val + Fat'!N$344</f>
        <v>299.1012866084933</v>
      </c>
      <c r="AN15" s="420"/>
      <c r="AO15" s="433">
        <v>0.05</v>
      </c>
      <c r="AP15" s="367">
        <f t="shared" si="12"/>
        <v>1.8359337776676292</v>
      </c>
      <c r="AQ15" s="367">
        <f t="shared" si="13"/>
        <v>2.1062543985550946</v>
      </c>
      <c r="AR15" s="367">
        <f t="shared" si="14"/>
        <v>2.41813495148791</v>
      </c>
      <c r="AS15" s="367">
        <f t="shared" si="15"/>
        <v>2.7533486311452355</v>
      </c>
      <c r="AT15" s="367">
        <f t="shared" si="16"/>
        <v>3.0592842254802597</v>
      </c>
      <c r="AU15" s="367">
        <f t="shared" si="17"/>
        <v>3.343349041854653</v>
      </c>
      <c r="AW15" s="433">
        <v>0.05</v>
      </c>
      <c r="AX15" s="367">
        <f>'GF diets No L-Val + Fat'!I$351</f>
        <v>84.852944088142436</v>
      </c>
      <c r="AY15" s="367">
        <f>'GF diets No L-Val + Fat'!J$351</f>
        <v>119.8958713641783</v>
      </c>
      <c r="AZ15" s="367">
        <f>'GF diets No L-Val + Fat'!K$351</f>
        <v>159.89153707636953</v>
      </c>
      <c r="BA15" s="367">
        <f>'GF diets No L-Val + Fat'!L$351</f>
        <v>199.86498855302605</v>
      </c>
      <c r="BB15" s="367">
        <f>'GF diets No L-Val + Fat'!M$351</f>
        <v>239.80212009802489</v>
      </c>
      <c r="BC15" s="367">
        <f>'GF diets No L-Val + Fat'!N$351</f>
        <v>284.64177763924295</v>
      </c>
      <c r="BD15" s="420"/>
      <c r="BF15" s="433">
        <v>0.05</v>
      </c>
      <c r="BG15" s="367">
        <f t="shared" ref="BG15:BG20" si="18">AX15-50</f>
        <v>34.852944088142436</v>
      </c>
      <c r="BH15" s="367">
        <f t="shared" ref="BH15:BH20" si="19">AY15-85</f>
        <v>34.895871364178305</v>
      </c>
      <c r="BI15" s="367">
        <f t="shared" ref="BI15:BI20" si="20">AZ15-120</f>
        <v>39.891537076369531</v>
      </c>
      <c r="BJ15" s="367">
        <f t="shared" ref="BJ15:BJ20" si="21">BA15-160</f>
        <v>39.864988553026052</v>
      </c>
      <c r="BK15" s="367">
        <f t="shared" ref="BK15:BK20" si="22">BB15-200</f>
        <v>39.802120098024886</v>
      </c>
      <c r="BL15" s="367">
        <f t="shared" ref="BL15:BL20" si="23">BC15-240</f>
        <v>44.641777639242946</v>
      </c>
      <c r="BM15" s="367"/>
      <c r="BN15" s="367" t="s">
        <v>571</v>
      </c>
      <c r="BO15" s="367"/>
      <c r="BP15" s="367"/>
      <c r="BQ15" s="367"/>
      <c r="BR15" s="367"/>
      <c r="BS15" s="367"/>
      <c r="BT15" s="367">
        <f>((0.03492*0)-(0.05092*VLOOKUP('DDGS Calculator'!$G$31,Performance!I13:O20,6,FALSE))-(0.06897*VLOOKUP('DDGS Calculator'!$H$31,Performance!I13:O20,7,FALSE))-(0.00289*VLOOKUP('DDGS Calculator'!$H$31,Performance!I13:O20,7,FALSE)*0)+'DDGS Calculator'!$G$9)</f>
        <v>73.944010160900064</v>
      </c>
      <c r="BU15" s="420"/>
      <c r="BX15" s="433"/>
      <c r="BY15" s="290"/>
      <c r="BZ15" s="290"/>
      <c r="CA15" s="290"/>
      <c r="CB15" s="290"/>
      <c r="CC15" s="290"/>
      <c r="CD15" s="290"/>
      <c r="CE15" s="367"/>
    </row>
    <row r="16" spans="1:93" ht="15" x14ac:dyDescent="0.25">
      <c r="A16" s="433">
        <v>0.1</v>
      </c>
      <c r="B16" s="367">
        <f>'GF diets No L-Val + Fat'!P$353</f>
        <v>73.695335883530831</v>
      </c>
      <c r="C16" s="367">
        <f>'GF diets No L-Val + Fat'!Q$353</f>
        <v>73.690410864041397</v>
      </c>
      <c r="D16" s="367">
        <f>'GF diets No L-Val + Fat'!R$353</f>
        <v>73.68226919362229</v>
      </c>
      <c r="E16" s="367">
        <f>'GF diets No L-Val + Fat'!S$353</f>
        <v>73.675150123701016</v>
      </c>
      <c r="F16" s="367">
        <f>'GF diets No L-Val + Fat'!T$353</f>
        <v>73.669652206421773</v>
      </c>
      <c r="G16" s="367">
        <f>'GF diets No L-Val + Fat'!U$353</f>
        <v>73.666430170640652</v>
      </c>
      <c r="H16" s="367"/>
      <c r="I16" s="433">
        <v>0.1</v>
      </c>
      <c r="J16" s="367">
        <f>'GF diets No L-Val + Fat'!P$316</f>
        <v>10.88217629885041</v>
      </c>
      <c r="K16" s="367">
        <f>'GF diets No L-Val + Fat'!Q$316</f>
        <v>10.953584439917918</v>
      </c>
      <c r="L16" s="367">
        <f>'GF diets No L-Val + Fat'!R$316</f>
        <v>11.018910927897572</v>
      </c>
      <c r="M16" s="367">
        <f>'GF diets No L-Val + Fat'!S$316</f>
        <v>11.073900708285247</v>
      </c>
      <c r="N16" s="367">
        <f>'GF diets No L-Val + Fat'!T$316</f>
        <v>11.113016811836189</v>
      </c>
      <c r="O16" s="367">
        <f>'GF diets No L-Val + Fat'!U$316</f>
        <v>11.130854187337256</v>
      </c>
      <c r="P16" s="367"/>
      <c r="Q16" s="433">
        <v>0.1</v>
      </c>
      <c r="R16" s="367">
        <f>'GF diets No L-Val + Fat'!P$351*'GF diets No L-Val'!P$353/100</f>
        <v>62.415520079916249</v>
      </c>
      <c r="S16" s="367">
        <f>'GF diets No L-Val + Fat'!Q$351*'GF diets No L-Val'!Q$353/100</f>
        <v>88.262103737417661</v>
      </c>
      <c r="T16" s="367">
        <f>'GF diets No L-Val + Fat'!R$351*'GF diets No L-Val'!R$353/100</f>
        <v>117.71401722992117</v>
      </c>
      <c r="U16" s="367">
        <f>'GF diets No L-Val + Fat'!S$351*'GF diets No L-Val'!S$353/100</f>
        <v>147.13012514105145</v>
      </c>
      <c r="V16" s="367">
        <f>'GF diets No L-Val + Fat'!T$351*'GF diets No L-Val'!T$353/100</f>
        <v>176.48958739581394</v>
      </c>
      <c r="W16" s="367">
        <f>'GF diets No L-Val + Fat'!U$351*'GF diets No L-Val'!U$353/100</f>
        <v>209.38934354100849</v>
      </c>
      <c r="Y16" s="433">
        <v>0.1</v>
      </c>
      <c r="Z16" s="367">
        <f>'GF diets No L-Val + Fat'!P$342</f>
        <v>751.12509445025091</v>
      </c>
      <c r="AA16" s="367">
        <f>'GF diets No L-Val + Fat'!Q$342</f>
        <v>865.26365633587625</v>
      </c>
      <c r="AB16" s="367">
        <f>'GF diets No L-Val + Fat'!R$342</f>
        <v>941.08765007643092</v>
      </c>
      <c r="AC16" s="367">
        <f>'GF diets No L-Val + Fat'!S$342</f>
        <v>976.00937610562437</v>
      </c>
      <c r="AD16" s="367">
        <f>'GF diets No L-Val + Fat'!T$342</f>
        <v>966.98610467900244</v>
      </c>
      <c r="AE16" s="367">
        <f>'GF diets No L-Val + Fat'!U$342</f>
        <v>905.07626112342814</v>
      </c>
      <c r="AF16" s="420"/>
      <c r="AG16" s="433">
        <v>0.1</v>
      </c>
      <c r="AH16" s="367">
        <f>'GF diets No L-Val + Fat'!P$344</f>
        <v>547.89662275074909</v>
      </c>
      <c r="AI16" s="367">
        <f>'GF diets No L-Val + Fat'!Q$344</f>
        <v>478.5323901444587</v>
      </c>
      <c r="AJ16" s="367">
        <f>'GF diets No L-Val + Fat'!R$344</f>
        <v>417.04800330636067</v>
      </c>
      <c r="AK16" s="367">
        <f>'GF diets No L-Val + Fat'!S$344</f>
        <v>365.60182676552984</v>
      </c>
      <c r="AL16" s="367">
        <f>'GF diets No L-Val + Fat'!T$344</f>
        <v>327.48823108189816</v>
      </c>
      <c r="AM16" s="367">
        <f>'GF diets No L-Val + Fat'!U$344</f>
        <v>297.10212626101668</v>
      </c>
      <c r="AN16" s="420"/>
      <c r="AO16" s="433">
        <v>0.1</v>
      </c>
      <c r="AP16" s="367">
        <f t="shared" si="12"/>
        <v>1.8251618251987713</v>
      </c>
      <c r="AQ16" s="367">
        <f t="shared" si="13"/>
        <v>2.0897227034059731</v>
      </c>
      <c r="AR16" s="367">
        <f t="shared" si="14"/>
        <v>2.3978055093706003</v>
      </c>
      <c r="AS16" s="367">
        <f t="shared" si="15"/>
        <v>2.7352160924549391</v>
      </c>
      <c r="AT16" s="367">
        <f t="shared" si="16"/>
        <v>3.0535448455548324</v>
      </c>
      <c r="AU16" s="367">
        <f t="shared" si="17"/>
        <v>3.3658459890033168</v>
      </c>
      <c r="AW16" s="433">
        <v>0.1</v>
      </c>
      <c r="AX16" s="367">
        <f>'GF diets No L-Val + Fat'!P$351</f>
        <v>84.706921250931089</v>
      </c>
      <c r="AY16" s="367">
        <f>'GF diets No L-Val + Fat'!Q$351</f>
        <v>119.79246029130258</v>
      </c>
      <c r="AZ16" s="367">
        <f>'GF diets No L-Val + Fat'!R$351</f>
        <v>159.78300435976919</v>
      </c>
      <c r="BA16" s="367">
        <f>'GF diets No L-Val + Fat'!S$351</f>
        <v>199.73099685171888</v>
      </c>
      <c r="BB16" s="367">
        <f>'GF diets No L-Val + Fat'!T$351</f>
        <v>239.60467458032696</v>
      </c>
      <c r="BC16" s="367">
        <f>'GF diets No L-Val + Fat'!U$351</f>
        <v>284.28208353004044</v>
      </c>
      <c r="BD16" s="420"/>
      <c r="BF16" s="433">
        <v>0.1</v>
      </c>
      <c r="BG16" s="367">
        <f t="shared" si="18"/>
        <v>34.706921250931089</v>
      </c>
      <c r="BH16" s="367">
        <f t="shared" si="19"/>
        <v>34.792460291302575</v>
      </c>
      <c r="BI16" s="367">
        <f t="shared" si="20"/>
        <v>39.783004359769194</v>
      </c>
      <c r="BJ16" s="367">
        <f t="shared" si="21"/>
        <v>39.730996851718885</v>
      </c>
      <c r="BK16" s="367">
        <f t="shared" si="22"/>
        <v>39.604674580326957</v>
      </c>
      <c r="BL16" s="367">
        <f t="shared" si="23"/>
        <v>44.282083530040438</v>
      </c>
      <c r="BM16" s="367"/>
      <c r="BN16" s="367" t="s">
        <v>572</v>
      </c>
      <c r="BT16" s="367">
        <f>BT14*(BT15/100)</f>
        <v>210.74008055982608</v>
      </c>
      <c r="BX16" s="433"/>
      <c r="BY16" s="290"/>
      <c r="BZ16" s="290"/>
      <c r="CA16" s="290"/>
      <c r="CB16" s="290"/>
      <c r="CC16" s="290"/>
      <c r="CD16" s="290"/>
      <c r="CE16" s="367"/>
    </row>
    <row r="17" spans="1:83" ht="15" x14ac:dyDescent="0.25">
      <c r="A17" s="433">
        <v>0.15</v>
      </c>
      <c r="B17" s="367">
        <f>'GF diets No L-Val + Fat'!W$353</f>
        <v>73.556607799367754</v>
      </c>
      <c r="C17" s="367">
        <f>'GF diets No L-Val + Fat'!X$353</f>
        <v>73.551696681430258</v>
      </c>
      <c r="D17" s="367">
        <f>'GF diets No L-Val + Fat'!Y$353</f>
        <v>73.543544892755449</v>
      </c>
      <c r="E17" s="367">
        <f>'GF diets No L-Val + Fat'!Z$353</f>
        <v>73.53639754714915</v>
      </c>
      <c r="F17" s="367">
        <f>'GF diets No L-Val + Fat'!AA$353</f>
        <v>73.530963176582731</v>
      </c>
      <c r="G17" s="367">
        <f>'GF diets No L-Val + Fat'!AB$353</f>
        <v>73.528046549202969</v>
      </c>
      <c r="H17" s="367"/>
      <c r="I17" s="433">
        <v>0.15</v>
      </c>
      <c r="J17" s="367">
        <f>'GF diets No L-Val + Fat'!W$316</f>
        <v>12.039304367605698</v>
      </c>
      <c r="K17" s="367">
        <f>'GF diets No L-Val + Fat'!X$316</f>
        <v>12.110510949271651</v>
      </c>
      <c r="L17" s="367">
        <f>'GF diets No L-Val + Fat'!Y$316</f>
        <v>12.176132952118794</v>
      </c>
      <c r="M17" s="367">
        <f>'GF diets No L-Val + Fat'!Z$316</f>
        <v>12.231314527025717</v>
      </c>
      <c r="N17" s="367">
        <f>'GF diets No L-Val + Fat'!AA$316</f>
        <v>12.26936766276811</v>
      </c>
      <c r="O17" s="367">
        <f>'GF diets No L-Val + Fat'!AB$316</f>
        <v>12.283561684919222</v>
      </c>
      <c r="P17" s="367"/>
      <c r="Q17" s="433">
        <v>0.15</v>
      </c>
      <c r="R17" s="367">
        <f>'GF diets No L-Val + Fat'!W$351*'GF diets No L-Val'!W$353/100</f>
        <v>62.185969356435564</v>
      </c>
      <c r="S17" s="367">
        <f>'GF diets No L-Val + Fat'!X$351*'GF diets No L-Val'!X$353/100</f>
        <v>88.013283036663736</v>
      </c>
      <c r="T17" s="367">
        <f>'GF diets No L-Val + Fat'!Y$351*'GF diets No L-Val'!Y$353/100</f>
        <v>117.40354120804776</v>
      </c>
      <c r="U17" s="367">
        <f>'GF diets No L-Val + Fat'!Z$351*'GF diets No L-Val'!Z$353/100</f>
        <v>146.7439358159431</v>
      </c>
      <c r="V17" s="367">
        <f>'GF diets No L-Val + Fat'!AA$351*'GF diets No L-Val'!AA$353/100</f>
        <v>175.9985207709021</v>
      </c>
      <c r="W17" s="367">
        <f>'GF diets No L-Val + Fat'!AB$351*'GF diets No L-Val'!AB$353/100</f>
        <v>208.71622300997819</v>
      </c>
      <c r="Y17" s="433">
        <v>0.15</v>
      </c>
      <c r="Z17" s="367">
        <f>'GF diets No L-Val + Fat'!W$342</f>
        <v>747.96764329778819</v>
      </c>
      <c r="AA17" s="367">
        <f>'GF diets No L-Val + Fat'!X$342</f>
        <v>862.69511755903864</v>
      </c>
      <c r="AB17" s="367">
        <f>'GF diets No L-Val + Fat'!Y$342</f>
        <v>938.51681860484973</v>
      </c>
      <c r="AC17" s="367">
        <f>'GF diets No L-Val + Fat'!Z$342</f>
        <v>972.73290617894054</v>
      </c>
      <c r="AD17" s="367">
        <f>'GF diets No L-Val + Fat'!AA$342</f>
        <v>962.14863178115388</v>
      </c>
      <c r="AE17" s="367">
        <f>'GF diets No L-Val + Fat'!AB$342</f>
        <v>897.74107300525679</v>
      </c>
      <c r="AF17" s="420"/>
      <c r="AG17" s="433">
        <v>0.15</v>
      </c>
      <c r="AH17" s="367">
        <f>'GF diets No L-Val + Fat'!W$344</f>
        <v>551.11052476804502</v>
      </c>
      <c r="AI17" s="367">
        <f>'GF diets No L-Val + Fat'!X$344</f>
        <v>482.29829943319055</v>
      </c>
      <c r="AJ17" s="367">
        <f>'GF diets No L-Val + Fat'!Y$344</f>
        <v>420.54885370178459</v>
      </c>
      <c r="AK17" s="367">
        <f>'GF diets No L-Val + Fat'!Z$344</f>
        <v>368.01249324880132</v>
      </c>
      <c r="AL17" s="367">
        <f>'GF diets No L-Val + Fat'!AA$344</f>
        <v>328.12799231535098</v>
      </c>
      <c r="AM17" s="367">
        <f>'GF diets No L-Val + Fat'!AB$344</f>
        <v>295.10847734063134</v>
      </c>
      <c r="AN17" s="420"/>
      <c r="AO17" s="433">
        <v>0.15</v>
      </c>
      <c r="AP17" s="367">
        <f t="shared" si="12"/>
        <v>1.814518059550553</v>
      </c>
      <c r="AQ17" s="367">
        <f t="shared" si="13"/>
        <v>2.073405610542741</v>
      </c>
      <c r="AR17" s="367">
        <f t="shared" si="14"/>
        <v>2.3778450260837234</v>
      </c>
      <c r="AS17" s="367">
        <f t="shared" si="15"/>
        <v>2.7172990546381599</v>
      </c>
      <c r="AT17" s="367">
        <f t="shared" si="16"/>
        <v>3.0475912553018003</v>
      </c>
      <c r="AU17" s="367">
        <f t="shared" si="17"/>
        <v>3.3885844588793086</v>
      </c>
      <c r="AW17" s="433">
        <v>0.15</v>
      </c>
      <c r="AX17" s="367">
        <f>'GF diets No L-Val + Fat'!W$351</f>
        <v>84.561025938843159</v>
      </c>
      <c r="AY17" s="367">
        <f>'GF diets No L-Val + Fat'!X$351</f>
        <v>119.68917851933745</v>
      </c>
      <c r="AZ17" s="367">
        <f>'GF diets No L-Val + Fat'!Y$351</f>
        <v>159.67432627244077</v>
      </c>
      <c r="BA17" s="367">
        <f>'GF diets No L-Val + Fat'!Z$351</f>
        <v>199.59761936345242</v>
      </c>
      <c r="BB17" s="367">
        <f>'GF diets No L-Val + Fat'!AA$351</f>
        <v>239.40654667865289</v>
      </c>
      <c r="BC17" s="367">
        <f>'GF diets No L-Val + Fat'!AB$351</f>
        <v>283.92319877224287</v>
      </c>
      <c r="BD17" s="420"/>
      <c r="BF17" s="433">
        <v>0.15</v>
      </c>
      <c r="BG17" s="367">
        <f t="shared" si="18"/>
        <v>34.561025938843159</v>
      </c>
      <c r="BH17" s="367">
        <f t="shared" si="19"/>
        <v>34.689178519337446</v>
      </c>
      <c r="BI17" s="367">
        <f t="shared" si="20"/>
        <v>39.674326272440766</v>
      </c>
      <c r="BJ17" s="367">
        <f t="shared" si="21"/>
        <v>39.597619363452424</v>
      </c>
      <c r="BK17" s="367">
        <f t="shared" si="22"/>
        <v>39.406546678652887</v>
      </c>
      <c r="BL17" s="367">
        <f t="shared" si="23"/>
        <v>43.92319877224287</v>
      </c>
      <c r="BM17" s="367"/>
      <c r="BT17" s="367"/>
      <c r="BX17" s="433"/>
      <c r="BY17" s="290"/>
      <c r="BZ17" s="290"/>
      <c r="CA17" s="290"/>
      <c r="CB17" s="290"/>
      <c r="CC17" s="290"/>
      <c r="CD17" s="290"/>
      <c r="CE17" s="367"/>
    </row>
    <row r="18" spans="1:83" ht="15" x14ac:dyDescent="0.25">
      <c r="A18" s="433">
        <v>0.2</v>
      </c>
      <c r="B18" s="367">
        <f>'GF diets No L-Val + Fat'!AD$353</f>
        <v>73.417899922358515</v>
      </c>
      <c r="C18" s="367">
        <f>'GF diets No L-Val + Fat'!AE$353</f>
        <v>73.412983680176325</v>
      </c>
      <c r="D18" s="367">
        <f>'GF diets No L-Val + Fat'!AF$353</f>
        <v>73.404785487512427</v>
      </c>
      <c r="E18" s="367">
        <f>'GF diets No L-Val + Fat'!AG$353</f>
        <v>73.397715984531047</v>
      </c>
      <c r="F18" s="367">
        <f>'GF diets No L-Val + Fat'!AH$353</f>
        <v>73.393078886161902</v>
      </c>
      <c r="G18" s="367">
        <f>'GF diets No L-Val + Fat'!AI$353</f>
        <v>73.390943749650134</v>
      </c>
      <c r="H18" s="367"/>
      <c r="I18" s="433">
        <v>0.2</v>
      </c>
      <c r="J18" s="367">
        <f>'GF diets No L-Val + Fat'!AD$316</f>
        <v>13.196263888910565</v>
      </c>
      <c r="K18" s="367">
        <f>'GF diets No L-Val + Fat'!AE$316</f>
        <v>13.26754476729513</v>
      </c>
      <c r="L18" s="367">
        <f>'GF diets No L-Val + Fat'!AF$316</f>
        <v>13.333784731577465</v>
      </c>
      <c r="M18" s="367">
        <f>'GF diets No L-Val + Fat'!AG$316</f>
        <v>13.387381425794249</v>
      </c>
      <c r="N18" s="367">
        <f>'GF diets No L-Val + Fat'!AH$316</f>
        <v>13.41504497080839</v>
      </c>
      <c r="O18" s="367">
        <f>'GF diets No L-Val + Fat'!AI$316</f>
        <v>13.425578663713271</v>
      </c>
      <c r="Q18" s="433">
        <v>0.2</v>
      </c>
      <c r="R18" s="367">
        <f>'GF diets No L-Val + Fat'!AD$351*'GF diets No L-Val'!AD$353/100</f>
        <v>61.95706319886213</v>
      </c>
      <c r="S18" s="367">
        <f>'GF diets No L-Val + Fat'!AE$351*'GF diets No L-Val'!AE$353/100</f>
        <v>87.764754591584989</v>
      </c>
      <c r="T18" s="367">
        <f>'GF diets No L-Val + Fat'!AF$351*'GF diets No L-Val'!AF$353/100</f>
        <v>117.09279356242821</v>
      </c>
      <c r="U18" s="367">
        <f>'GF diets No L-Val + Fat'!AG$351*'GF diets No L-Val'!AG$353/100</f>
        <v>146.35788324373314</v>
      </c>
      <c r="V18" s="367">
        <f>'GF diets No L-Val + Fat'!AH$351*'GF diets No L-Val'!AH$353/100</f>
        <v>175.5094863361779</v>
      </c>
      <c r="W18" s="367">
        <f>'GF diets No L-Val + Fat'!AI$351*'GF diets No L-Val'!AI$353/100</f>
        <v>208.05015411735556</v>
      </c>
      <c r="Y18" s="433">
        <v>0.2</v>
      </c>
      <c r="Z18" s="367">
        <f>'GF diets No L-Val + Fat'!AD$342</f>
        <v>744.81662763964982</v>
      </c>
      <c r="AA18" s="367">
        <f>'GF diets No L-Val + Fat'!AE$342</f>
        <v>860.12738034446897</v>
      </c>
      <c r="AB18" s="367">
        <f>'GF diets No L-Val + Fat'!AF$342</f>
        <v>935.92775852071054</v>
      </c>
      <c r="AC18" s="367">
        <f>'GF diets No L-Val + Fat'!AG$342</f>
        <v>969.44372220826813</v>
      </c>
      <c r="AD18" s="367">
        <f>'GF diets No L-Val + Fat'!AH$342</f>
        <v>957.32815546195934</v>
      </c>
      <c r="AE18" s="367">
        <f>'GF diets No L-Val + Fat'!AI$342</f>
        <v>890.52157931327224</v>
      </c>
      <c r="AF18" s="420"/>
      <c r="AG18" s="433">
        <v>0.2</v>
      </c>
      <c r="AH18" s="367">
        <f>'GF diets No L-Val + Fat'!AD$344</f>
        <v>554.34922340802814</v>
      </c>
      <c r="AI18" s="367">
        <f>'GF diets No L-Val + Fat'!AE$344</f>
        <v>486.06870424698963</v>
      </c>
      <c r="AJ18" s="367">
        <f>'GF diets No L-Val + Fat'!AF$344</f>
        <v>424.04778376643372</v>
      </c>
      <c r="AK18" s="367">
        <f>'GF diets No L-Val + Fat'!AG$344</f>
        <v>370.46855332729479</v>
      </c>
      <c r="AL18" s="367">
        <f>'GF diets No L-Val + Fat'!AH$344</f>
        <v>328.6862971059129</v>
      </c>
      <c r="AM18" s="367">
        <f>'GF diets No L-Val + Fat'!AI$344</f>
        <v>293.10578220758794</v>
      </c>
      <c r="AN18" s="420"/>
      <c r="AO18" s="433">
        <v>0.2</v>
      </c>
      <c r="AP18" s="367">
        <f t="shared" si="12"/>
        <v>1.8039170215702658</v>
      </c>
      <c r="AQ18" s="367">
        <f t="shared" si="13"/>
        <v>2.0573223317250697</v>
      </c>
      <c r="AR18" s="367">
        <f t="shared" si="14"/>
        <v>2.3582247998513344</v>
      </c>
      <c r="AS18" s="367">
        <f t="shared" si="15"/>
        <v>2.6992844359357493</v>
      </c>
      <c r="AT18" s="367">
        <f t="shared" si="16"/>
        <v>3.0424146330559347</v>
      </c>
      <c r="AU18" s="367">
        <f t="shared" si="17"/>
        <v>3.411737538810355</v>
      </c>
      <c r="AW18" s="433">
        <v>0.2</v>
      </c>
      <c r="AX18" s="367">
        <f>'GF diets No L-Val + Fat'!AD$351</f>
        <v>84.415427989535374</v>
      </c>
      <c r="AY18" s="367">
        <f>'GF diets No L-Val + Fat'!AE$351</f>
        <v>119.5859289784494</v>
      </c>
      <c r="AZ18" s="367">
        <f>'GF diets No L-Val + Fat'!AF$351</f>
        <v>159.56487759755365</v>
      </c>
      <c r="BA18" s="367">
        <f>'GF diets No L-Val + Fat'!AG$351</f>
        <v>199.4637243159558</v>
      </c>
      <c r="BB18" s="367">
        <f>'GF diets No L-Val + Fat'!AH$351</f>
        <v>239.20911490417902</v>
      </c>
      <c r="BC18" s="367">
        <f>'GF diets No L-Val + Fat'!AI$351</f>
        <v>283.56997453268315</v>
      </c>
      <c r="BD18" s="420"/>
      <c r="BF18" s="433">
        <v>0.2</v>
      </c>
      <c r="BG18" s="367">
        <f t="shared" si="18"/>
        <v>34.415427989535374</v>
      </c>
      <c r="BH18" s="367">
        <f t="shared" si="19"/>
        <v>34.585928978449402</v>
      </c>
      <c r="BI18" s="367">
        <f t="shared" si="20"/>
        <v>39.564877597553647</v>
      </c>
      <c r="BJ18" s="367">
        <f t="shared" si="21"/>
        <v>39.463724315955801</v>
      </c>
      <c r="BK18" s="367">
        <f t="shared" si="22"/>
        <v>39.209114904179017</v>
      </c>
      <c r="BL18" s="367">
        <f t="shared" si="23"/>
        <v>43.569974532683148</v>
      </c>
      <c r="BM18" s="367"/>
      <c r="BX18" s="433"/>
      <c r="BY18" s="290"/>
      <c r="BZ18" s="290"/>
      <c r="CA18" s="290"/>
      <c r="CB18" s="290"/>
      <c r="CC18" s="290"/>
      <c r="CD18" s="290"/>
      <c r="CE18" s="367"/>
    </row>
    <row r="19" spans="1:83" ht="15" x14ac:dyDescent="0.25">
      <c r="A19" s="433">
        <v>0.25</v>
      </c>
      <c r="B19" s="367">
        <f>'GF diets No L-Val + Fat'!AK$353</f>
        <v>73.279333822363441</v>
      </c>
      <c r="C19" s="367">
        <f>'GF diets No L-Val + Fat'!AL$353</f>
        <v>73.274329691252404</v>
      </c>
      <c r="D19" s="367">
        <f>'GF diets No L-Val + Fat'!AM$353</f>
        <v>73.266113409254928</v>
      </c>
      <c r="E19" s="367">
        <f>'GF diets No L-Val + Fat'!AN$353</f>
        <v>73.259732752503851</v>
      </c>
      <c r="F19" s="367">
        <f>'GF diets No L-Val + Fat'!AO$353</f>
        <v>73.255847888088184</v>
      </c>
      <c r="G19" s="367">
        <f>'GF diets No L-Val + Fat'!AP$353</f>
        <v>73.253916932703206</v>
      </c>
      <c r="H19" s="367"/>
      <c r="I19" s="433">
        <v>0.25</v>
      </c>
      <c r="J19" s="367">
        <f>'GF diets No L-Val + Fat'!AK$316</f>
        <v>14.352040851084766</v>
      </c>
      <c r="K19" s="367">
        <f>'GF diets No L-Val + Fat'!AL$316</f>
        <v>14.424596036107788</v>
      </c>
      <c r="L19" s="367">
        <f>'GF diets No L-Val + Fat'!AM$316</f>
        <v>14.490157468268242</v>
      </c>
      <c r="M19" s="367">
        <f>'GF diets No L-Val + Fat'!AN$316</f>
        <v>14.534267496185688</v>
      </c>
      <c r="N19" s="367">
        <f>'GF diets No L-Val + Fat'!AO$316</f>
        <v>14.558028287748904</v>
      </c>
      <c r="O19" s="367">
        <f>'GF diets No L-Val + Fat'!AP$316</f>
        <v>14.568482918437331</v>
      </c>
      <c r="P19" s="367"/>
      <c r="Q19" s="433">
        <v>0.25</v>
      </c>
      <c r="R19" s="367">
        <f>'GF diets No L-Val + Fat'!AK$351*'GF diets No L-Val'!AK$353/100</f>
        <v>61.729634141920734</v>
      </c>
      <c r="S19" s="367">
        <f>'GF diets No L-Val + Fat'!AL$351*'GF diets No L-Val'!AL$353/100</f>
        <v>87.516681454225434</v>
      </c>
      <c r="T19" s="367">
        <f>'GF diets No L-Val + Fat'!AM$351*'GF diets No L-Val'!AM$353/100</f>
        <v>116.78378175455806</v>
      </c>
      <c r="U19" s="367">
        <f>'GF diets No L-Val + Fat'!AN$351*'GF diets No L-Val'!AN$353/100</f>
        <v>145.97139277513969</v>
      </c>
      <c r="V19" s="367">
        <f>'GF diets No L-Val + Fat'!AO$351*'GF diets No L-Val'!AO$353/100</f>
        <v>175.02443468482605</v>
      </c>
      <c r="W19" s="367">
        <f>'GF diets No L-Val + Fat'!AP$351*'GF diets No L-Val'!AP$353/100</f>
        <v>207.38734376310765</v>
      </c>
      <c r="Y19" s="433">
        <v>0.25</v>
      </c>
      <c r="Z19" s="367">
        <f>'GF diets No L-Val + Fat'!AK$342</f>
        <v>741.69090139868376</v>
      </c>
      <c r="AA19" s="367">
        <f>'GF diets No L-Val + Fat'!AL$342</f>
        <v>857.56075020428375</v>
      </c>
      <c r="AB19" s="367">
        <f>'GF diets No L-Val + Fat'!AM$342</f>
        <v>933.38079850970121</v>
      </c>
      <c r="AC19" s="367">
        <f>'GF diets No L-Val + Fat'!AN$342</f>
        <v>966.10623674420458</v>
      </c>
      <c r="AD19" s="367">
        <f>'GF diets No L-Val + Fat'!AO$342</f>
        <v>952.59250017741692</v>
      </c>
      <c r="AE19" s="367">
        <f>'GF diets No L-Val + Fat'!AP$342</f>
        <v>883.35435198506411</v>
      </c>
      <c r="AF19" s="420"/>
      <c r="AG19" s="433">
        <v>0.25</v>
      </c>
      <c r="AH19" s="367">
        <f>'GF diets No L-Val + Fat'!AK$344</f>
        <v>557.74081209962173</v>
      </c>
      <c r="AI19" s="367">
        <f>'GF diets No L-Val + Fat'!AL$344</f>
        <v>489.84693169406222</v>
      </c>
      <c r="AJ19" s="367">
        <f>'GF diets No L-Val + Fat'!AM$344</f>
        <v>427.5797585417273</v>
      </c>
      <c r="AK19" s="367">
        <f>'GF diets No L-Val + Fat'!AN$344</f>
        <v>372.73581436865857</v>
      </c>
      <c r="AL19" s="367">
        <f>'GF diets No L-Val + Fat'!AO$344</f>
        <v>329.28751157066336</v>
      </c>
      <c r="AM19" s="367">
        <f>'GF diets No L-Val + Fat'!AP$344</f>
        <v>291.1274886409185</v>
      </c>
      <c r="AN19" s="420"/>
      <c r="AO19" s="433">
        <v>0.25</v>
      </c>
      <c r="AP19" s="367">
        <f t="shared" si="12"/>
        <v>1.7929475094990599</v>
      </c>
      <c r="AQ19" s="367">
        <f t="shared" si="13"/>
        <v>2.0414540447189284</v>
      </c>
      <c r="AR19" s="367">
        <f t="shared" si="14"/>
        <v>2.3387449476339288</v>
      </c>
      <c r="AS19" s="367">
        <f t="shared" si="15"/>
        <v>2.6828653471193911</v>
      </c>
      <c r="AT19" s="367">
        <f t="shared" si="16"/>
        <v>3.036859780166322</v>
      </c>
      <c r="AU19" s="367">
        <f t="shared" si="17"/>
        <v>3.4349212596458618</v>
      </c>
      <c r="AW19" s="433">
        <v>0.25</v>
      </c>
      <c r="AX19" s="367">
        <f>'GF diets No L-Val + Fat'!AK$351</f>
        <v>84.270998580050616</v>
      </c>
      <c r="AY19" s="367">
        <f>'GF diets No L-Val + Fat'!AL$351</f>
        <v>119.48272395337915</v>
      </c>
      <c r="AZ19" s="367">
        <f>'GF diets No L-Val + Fat'!AM$351</f>
        <v>159.45720864081406</v>
      </c>
      <c r="BA19" s="367">
        <f>'GF diets No L-Val + Fat'!AN$351</f>
        <v>199.32786302673804</v>
      </c>
      <c r="BB19" s="367">
        <f>'GF diets No L-Val + Fat'!AO$351</f>
        <v>239.01515713647859</v>
      </c>
      <c r="BC19" s="367">
        <f>'GF diets No L-Val + Fat'!AP$351</f>
        <v>283.21930750106446</v>
      </c>
      <c r="BD19" s="420"/>
      <c r="BF19" s="433">
        <v>0.25</v>
      </c>
      <c r="BG19" s="367">
        <f t="shared" si="18"/>
        <v>34.270998580050616</v>
      </c>
      <c r="BH19" s="367">
        <f t="shared" si="19"/>
        <v>34.48272395337915</v>
      </c>
      <c r="BI19" s="367">
        <f t="shared" si="20"/>
        <v>39.457208640814059</v>
      </c>
      <c r="BJ19" s="367">
        <f t="shared" si="21"/>
        <v>39.327863026738044</v>
      </c>
      <c r="BK19" s="367">
        <f t="shared" si="22"/>
        <v>39.015157136478592</v>
      </c>
      <c r="BL19" s="367">
        <f t="shared" si="23"/>
        <v>43.219307501064463</v>
      </c>
      <c r="BM19" s="367"/>
      <c r="BX19" s="433"/>
      <c r="BY19" s="290"/>
      <c r="BZ19" s="290"/>
      <c r="CA19" s="290"/>
      <c r="CB19" s="290"/>
      <c r="CC19" s="290"/>
      <c r="CD19" s="290"/>
      <c r="CE19" s="367"/>
    </row>
    <row r="20" spans="1:83" ht="15" x14ac:dyDescent="0.25">
      <c r="A20" s="433">
        <v>0.3</v>
      </c>
      <c r="B20" s="367">
        <f>'GF diets No L-Val + Fat'!AR$353</f>
        <v>73.140554622500986</v>
      </c>
      <c r="C20" s="367">
        <f>'GF diets No L-Val + Fat'!AS$353</f>
        <v>73.135585857209648</v>
      </c>
      <c r="D20" s="367">
        <f>'GF diets No L-Val + Fat'!AT$353</f>
        <v>73.127607321545909</v>
      </c>
      <c r="E20" s="367">
        <f>'GF diets No L-Val + Fat'!AU$353</f>
        <v>73.122138400847618</v>
      </c>
      <c r="F20" s="367">
        <f>'GF diets No L-Val + Fat'!AV$353</f>
        <v>73.118827146313436</v>
      </c>
      <c r="G20" s="367">
        <f>'GF diets No L-Val + Fat'!AW$353</f>
        <v>73.116912739382315</v>
      </c>
      <c r="H20" s="367"/>
      <c r="I20" s="433">
        <v>0.3</v>
      </c>
      <c r="J20" s="367">
        <f>'GF diets No L-Val + Fat'!AR$316</f>
        <v>15.509595274826999</v>
      </c>
      <c r="K20" s="367">
        <f>'GF diets No L-Val + Fat'!AS$316</f>
        <v>15.581637688794629</v>
      </c>
      <c r="L20" s="367">
        <f>'GF diets No L-Val + Fat'!AT$316</f>
        <v>15.644130597950809</v>
      </c>
      <c r="M20" s="367">
        <f>'GF diets No L-Val + Fat'!AU$316</f>
        <v>15.677286778377889</v>
      </c>
      <c r="N20" s="367">
        <f>'GF diets No L-Val + Fat'!AV$316</f>
        <v>15.700817905343778</v>
      </c>
      <c r="O20" s="367">
        <f>'GF diets No L-Val + Fat'!AW$316</f>
        <v>15.711202158584708</v>
      </c>
      <c r="P20" s="367"/>
      <c r="Q20" s="433">
        <v>0.3</v>
      </c>
      <c r="R20" s="367">
        <f>'GF diets No L-Val + Fat'!AR$351*'GF diets No L-Val'!AR$353/100</f>
        <v>61.500340491536988</v>
      </c>
      <c r="S20" s="367">
        <f>'GF diets No L-Val + Fat'!AS$351*'GF diets No L-Val'!AS$353/100</f>
        <v>87.268239722652126</v>
      </c>
      <c r="T20" s="367">
        <f>'GF diets No L-Val + Fat'!AT$351*'GF diets No L-Val'!AT$353/100</f>
        <v>116.47379614247225</v>
      </c>
      <c r="U20" s="367">
        <f>'GF diets No L-Val + Fat'!AU$351*'GF diets No L-Val'!AU$353/100</f>
        <v>145.58825734642971</v>
      </c>
      <c r="V20" s="367">
        <f>'GF diets No L-Val + Fat'!AV$351*'GF diets No L-Val'!AV$353/100</f>
        <v>174.53994033519169</v>
      </c>
      <c r="W20" s="367">
        <f>'GF diets No L-Val + Fat'!AW$351*'GF diets No L-Val'!AW$353/100</f>
        <v>206.72442618991889</v>
      </c>
      <c r="Y20" s="433">
        <v>0.3</v>
      </c>
      <c r="Z20" s="367">
        <f>'GF diets No L-Val + Fat'!AR$342</f>
        <v>738.50601864243959</v>
      </c>
      <c r="AA20" s="367">
        <f>'GF diets No L-Val + Fat'!AS$342</f>
        <v>854.97698349144969</v>
      </c>
      <c r="AB20" s="367">
        <f>'GF diets No L-Val + Fat'!AT$342</f>
        <v>930.7912646648017</v>
      </c>
      <c r="AC20" s="367">
        <f>'GF diets No L-Val + Fat'!AU$342</f>
        <v>962.84976002250392</v>
      </c>
      <c r="AD20" s="367">
        <f>'GF diets No L-Val + Fat'!AV$342</f>
        <v>947.8413410368928</v>
      </c>
      <c r="AE20" s="367">
        <f>'GF diets No L-Val + Fat'!AW$342</f>
        <v>876.15640388977795</v>
      </c>
      <c r="AF20" s="420"/>
      <c r="AG20" s="433">
        <v>0.3</v>
      </c>
      <c r="AH20" s="367">
        <f>'GF diets No L-Val + Fat'!AR$344</f>
        <v>560.92456426101978</v>
      </c>
      <c r="AI20" s="367">
        <f>'GF diets No L-Val + Fat'!AS$344</f>
        <v>493.61233476220207</v>
      </c>
      <c r="AJ20" s="367">
        <f>'GF diets No L-Val + Fat'!AT$344</f>
        <v>430.93868169881779</v>
      </c>
      <c r="AK20" s="367">
        <f>'GF diets No L-Val + Fat'!AU$344</f>
        <v>375.09757078441942</v>
      </c>
      <c r="AL20" s="367">
        <f>'GF diets No L-Val + Fat'!AV$344</f>
        <v>329.89987224117283</v>
      </c>
      <c r="AM20" s="367">
        <f>'GF diets No L-Val + Fat'!AW$344</f>
        <v>289.15839713057858</v>
      </c>
      <c r="AN20" s="420"/>
      <c r="AO20" s="433">
        <v>0.3</v>
      </c>
      <c r="AP20" s="367">
        <f t="shared" si="12"/>
        <v>1.7827709173646771</v>
      </c>
      <c r="AQ20" s="367">
        <f t="shared" si="13"/>
        <v>2.025881303152099</v>
      </c>
      <c r="AR20" s="367">
        <f t="shared" si="14"/>
        <v>2.320515754255029</v>
      </c>
      <c r="AS20" s="367">
        <f t="shared" si="15"/>
        <v>2.6659730104590094</v>
      </c>
      <c r="AT20" s="367">
        <f t="shared" si="16"/>
        <v>3.0312227561850991</v>
      </c>
      <c r="AU20" s="367">
        <f t="shared" si="17"/>
        <v>3.4583121566703752</v>
      </c>
      <c r="AW20" s="433">
        <v>0.3</v>
      </c>
      <c r="AX20" s="367">
        <f>'GF diets No L-Val + Fat'!AR$351</f>
        <v>84.123835744824063</v>
      </c>
      <c r="AY20" s="367">
        <f>'GF diets No L-Val + Fat'!AS$351</f>
        <v>119.37882986120016</v>
      </c>
      <c r="AZ20" s="367">
        <f>'GF diets No L-Val + Fat'!AT$351</f>
        <v>159.34773993839349</v>
      </c>
      <c r="BA20" s="367">
        <f>'GF diets No L-Val + Fat'!AU$351</f>
        <v>199.19529941545585</v>
      </c>
      <c r="BB20" s="367">
        <f>'GF diets No L-Val + Fat'!AV$351</f>
        <v>238.82056437887363</v>
      </c>
      <c r="BC20" s="367">
        <f>'GF diets No L-Val + Fat'!AW$351</f>
        <v>282.86713741119092</v>
      </c>
      <c r="BD20" s="420"/>
      <c r="BF20" s="433">
        <v>0.3</v>
      </c>
      <c r="BG20" s="367">
        <f t="shared" si="18"/>
        <v>34.123835744824063</v>
      </c>
      <c r="BH20" s="367">
        <f t="shared" si="19"/>
        <v>34.37882986120016</v>
      </c>
      <c r="BI20" s="367">
        <f t="shared" si="20"/>
        <v>39.347739938393488</v>
      </c>
      <c r="BJ20" s="367">
        <f t="shared" si="21"/>
        <v>39.19529941545585</v>
      </c>
      <c r="BK20" s="367">
        <f t="shared" si="22"/>
        <v>38.820564378873627</v>
      </c>
      <c r="BL20" s="367">
        <f t="shared" si="23"/>
        <v>42.867137411190924</v>
      </c>
      <c r="BM20" s="367"/>
      <c r="BX20" s="433"/>
      <c r="BY20" s="290"/>
      <c r="BZ20" s="290"/>
      <c r="CA20" s="290"/>
      <c r="CB20" s="290"/>
      <c r="CC20" s="290"/>
      <c r="CD20" s="290"/>
      <c r="CE20" s="367"/>
    </row>
    <row r="21" spans="1:83" ht="15" x14ac:dyDescent="0.25">
      <c r="Z21" s="2"/>
      <c r="AA21" s="2"/>
      <c r="AB21" s="2"/>
      <c r="AC21" s="2"/>
      <c r="AD21" s="2"/>
      <c r="AE21" s="2"/>
      <c r="AF21" s="367"/>
      <c r="AH21" s="66"/>
      <c r="AI21" s="66"/>
      <c r="AJ21" s="66"/>
      <c r="AK21" s="66"/>
      <c r="AL21" s="66"/>
      <c r="AM21" s="66"/>
      <c r="AN21" s="66"/>
      <c r="AP21" s="66"/>
      <c r="AQ21" s="66"/>
      <c r="AR21" s="66"/>
      <c r="AS21" s="66"/>
      <c r="AT21" s="66"/>
      <c r="AU21" s="66"/>
      <c r="BX21" s="433"/>
      <c r="BY21" s="290"/>
      <c r="BZ21" s="290"/>
      <c r="CA21" s="290"/>
      <c r="CB21" s="290"/>
      <c r="CC21" s="290"/>
      <c r="CD21" s="290"/>
      <c r="CE21" s="367"/>
    </row>
    <row r="22" spans="1:83" ht="15" x14ac:dyDescent="0.25">
      <c r="A22" s="290" t="s">
        <v>520</v>
      </c>
      <c r="I22" s="290" t="s">
        <v>520</v>
      </c>
      <c r="J22" s="290"/>
      <c r="K22" s="290"/>
      <c r="L22" s="290"/>
      <c r="M22" s="290"/>
      <c r="Q22" s="290" t="s">
        <v>520</v>
      </c>
      <c r="Y22" s="290" t="s">
        <v>520</v>
      </c>
      <c r="AG22" s="290" t="s">
        <v>520</v>
      </c>
      <c r="AO22" s="290" t="s">
        <v>520</v>
      </c>
      <c r="AW22" s="290" t="s">
        <v>520</v>
      </c>
      <c r="BF22" s="290" t="s">
        <v>520</v>
      </c>
      <c r="BO22" s="290" t="s">
        <v>520</v>
      </c>
      <c r="BX22" s="290"/>
      <c r="BY22" s="290"/>
      <c r="BZ22" s="290"/>
      <c r="CA22" s="290"/>
      <c r="CB22" s="290"/>
      <c r="CC22" s="290"/>
      <c r="CD22" s="290"/>
    </row>
    <row r="23" spans="1:83" ht="15" x14ac:dyDescent="0.25">
      <c r="B23" s="290" t="s">
        <v>516</v>
      </c>
      <c r="C23" s="290" t="s">
        <v>68</v>
      </c>
      <c r="D23" s="290" t="s">
        <v>69</v>
      </c>
      <c r="E23" s="290" t="s">
        <v>158</v>
      </c>
      <c r="F23" s="290" t="s">
        <v>473</v>
      </c>
      <c r="G23" s="290" t="s">
        <v>475</v>
      </c>
      <c r="H23" s="290"/>
      <c r="J23" s="423" t="s">
        <v>516</v>
      </c>
      <c r="K23" s="423" t="s">
        <v>68</v>
      </c>
      <c r="L23" s="423" t="s">
        <v>69</v>
      </c>
      <c r="M23" s="423" t="s">
        <v>158</v>
      </c>
      <c r="N23" s="290" t="s">
        <v>473</v>
      </c>
      <c r="O23" s="290" t="s">
        <v>475</v>
      </c>
      <c r="P23" s="290"/>
      <c r="R23" s="290" t="s">
        <v>516</v>
      </c>
      <c r="S23" s="290" t="s">
        <v>68</v>
      </c>
      <c r="T23" s="290" t="s">
        <v>69</v>
      </c>
      <c r="U23" s="290" t="s">
        <v>158</v>
      </c>
      <c r="V23" s="290" t="s">
        <v>473</v>
      </c>
      <c r="W23" s="290" t="s">
        <v>475</v>
      </c>
      <c r="Z23" s="290" t="s">
        <v>516</v>
      </c>
      <c r="AA23" s="290" t="s">
        <v>68</v>
      </c>
      <c r="AB23" s="290" t="s">
        <v>69</v>
      </c>
      <c r="AC23" s="290" t="s">
        <v>158</v>
      </c>
      <c r="AD23" s="290" t="s">
        <v>473</v>
      </c>
      <c r="AE23" s="290" t="s">
        <v>475</v>
      </c>
      <c r="AF23" s="290"/>
      <c r="AH23" s="290" t="s">
        <v>516</v>
      </c>
      <c r="AI23" s="290" t="s">
        <v>68</v>
      </c>
      <c r="AJ23" s="290" t="s">
        <v>69</v>
      </c>
      <c r="AK23" s="290" t="s">
        <v>158</v>
      </c>
      <c r="AL23" s="290" t="s">
        <v>473</v>
      </c>
      <c r="AM23" s="290" t="s">
        <v>475</v>
      </c>
      <c r="AN23" s="290"/>
      <c r="AP23" s="290" t="s">
        <v>516</v>
      </c>
      <c r="AQ23" s="290" t="s">
        <v>68</v>
      </c>
      <c r="AR23" s="290" t="s">
        <v>69</v>
      </c>
      <c r="AS23" s="290" t="s">
        <v>158</v>
      </c>
      <c r="AT23" s="290" t="s">
        <v>473</v>
      </c>
      <c r="AU23" s="290" t="s">
        <v>475</v>
      </c>
      <c r="AX23" s="290" t="s">
        <v>516</v>
      </c>
      <c r="AY23" s="290" t="s">
        <v>68</v>
      </c>
      <c r="AZ23" s="290" t="s">
        <v>69</v>
      </c>
      <c r="BA23" s="290" t="s">
        <v>158</v>
      </c>
      <c r="BB23" s="290" t="s">
        <v>473</v>
      </c>
      <c r="BC23" s="290" t="s">
        <v>475</v>
      </c>
      <c r="BG23" s="290" t="s">
        <v>516</v>
      </c>
      <c r="BH23" s="290" t="s">
        <v>68</v>
      </c>
      <c r="BI23" s="290" t="s">
        <v>69</v>
      </c>
      <c r="BJ23" s="290" t="s">
        <v>158</v>
      </c>
      <c r="BK23" s="290" t="s">
        <v>473</v>
      </c>
      <c r="BL23" s="290" t="s">
        <v>475</v>
      </c>
      <c r="BM23" s="290"/>
      <c r="BO23" s="290" t="s">
        <v>516</v>
      </c>
      <c r="BP23" s="290" t="s">
        <v>68</v>
      </c>
      <c r="BQ23" s="290" t="s">
        <v>69</v>
      </c>
      <c r="BR23" s="290" t="s">
        <v>158</v>
      </c>
      <c r="BS23" s="290" t="s">
        <v>473</v>
      </c>
      <c r="BT23" s="290" t="s">
        <v>475</v>
      </c>
    </row>
    <row r="24" spans="1:83" ht="15" x14ac:dyDescent="0.25">
      <c r="A24" s="433">
        <v>0</v>
      </c>
      <c r="B24" s="367">
        <f>'GF diets L-Val'!$B$353</f>
        <v>73.972551185589822</v>
      </c>
      <c r="C24" s="367">
        <f>'GF diets L-Val'!$C$353</f>
        <v>73.967590114943533</v>
      </c>
      <c r="D24" s="367">
        <f>'GF diets L-Val'!$D$353</f>
        <v>73.959502824315024</v>
      </c>
      <c r="E24" s="367">
        <f>'GF diets L-Val'!$E$353</f>
        <v>73.952564091992727</v>
      </c>
      <c r="F24" s="367">
        <f>'GF diets L-Val'!$F$353</f>
        <v>73.947050097444134</v>
      </c>
      <c r="G24" s="367">
        <f>'GF diets L-Val'!$G$353</f>
        <v>73.9437035156581</v>
      </c>
      <c r="H24" s="367"/>
      <c r="I24" s="433">
        <v>0</v>
      </c>
      <c r="J24" s="367">
        <f>'GF diets L-Val'!B$316</f>
        <v>8.5699292218715204</v>
      </c>
      <c r="K24" s="367">
        <f>'GF diets L-Val'!C$316</f>
        <v>8.6418600707376481</v>
      </c>
      <c r="L24" s="367">
        <f>'GF diets L-Val'!D$316</f>
        <v>8.7060121920111886</v>
      </c>
      <c r="M24" s="367">
        <f>'GF diets L-Val'!E$316</f>
        <v>8.7592542727281515</v>
      </c>
      <c r="N24" s="367">
        <f>'GF diets L-Val'!F$316</f>
        <v>8.7998937942372635</v>
      </c>
      <c r="O24" s="367">
        <f>'GF diets L-Val'!G$316</f>
        <v>8.8184122421246407</v>
      </c>
      <c r="P24" s="367"/>
      <c r="Q24" s="433">
        <v>0</v>
      </c>
      <c r="R24" s="367">
        <f>'GF diets L-Val'!B$351*'GF diets No L-Val'!B$353/100</f>
        <v>62.876858678395237</v>
      </c>
      <c r="S24" s="367">
        <f>'GF diets L-Val'!C$351*'GF diets No L-Val'!C$353/100</f>
        <v>88.761376359481872</v>
      </c>
      <c r="T24" s="367">
        <f>'GF diets L-Val'!D$351*'GF diets No L-Val'!D$353/100</f>
        <v>118.33551366385394</v>
      </c>
      <c r="U24" s="367">
        <f>'GF diets L-Val'!E$351*'GF diets No L-Val'!E$353/100</f>
        <v>147.90549325097103</v>
      </c>
      <c r="V24" s="367">
        <f>'GF diets L-Val'!F$351*'GF diets No L-Val'!F$353/100</f>
        <v>177.47338407631628</v>
      </c>
      <c r="W24" s="367">
        <f>'GF diets L-Val'!G$351*'GF diets No L-Val'!G$353/100</f>
        <v>210.74036224391301</v>
      </c>
      <c r="Y24" s="433">
        <v>0</v>
      </c>
      <c r="Z24" s="367">
        <f>'GF diets L-Val'!B$342</f>
        <v>740.32616660444182</v>
      </c>
      <c r="AA24" s="367">
        <f>'GF diets L-Val'!C$342</f>
        <v>862.50756659214221</v>
      </c>
      <c r="AB24" s="367">
        <f>'GF diets L-Val'!D$342</f>
        <v>944.95636803551065</v>
      </c>
      <c r="AC24" s="367">
        <f>'GF diets L-Val'!E$342</f>
        <v>984.20180073567008</v>
      </c>
      <c r="AD24" s="367">
        <f>'GF diets L-Val'!F$342</f>
        <v>982.04258582759257</v>
      </c>
      <c r="AE24" s="367">
        <f>'GF diets L-Val'!G$342</f>
        <v>932.08406418687355</v>
      </c>
      <c r="AF24" s="367"/>
      <c r="AG24" s="433">
        <v>0</v>
      </c>
      <c r="AH24" s="367">
        <f>'GF diets L-Val'!B$344</f>
        <v>544.53845340080113</v>
      </c>
      <c r="AI24" s="367">
        <f>'GF diets L-Val'!C$344</f>
        <v>471.75579583355693</v>
      </c>
      <c r="AJ24" s="367">
        <f>'GF diets L-Val'!D$344</f>
        <v>409.85407727163351</v>
      </c>
      <c r="AK24" s="367">
        <f>'GF diets L-Val'!E$344</f>
        <v>360.59074506150858</v>
      </c>
      <c r="AL24" s="367">
        <f>'GF diets L-Val'!F$344</f>
        <v>326.06282096567122</v>
      </c>
      <c r="AM24" s="367">
        <f>'GF diets L-Val'!G$344</f>
        <v>301.24235802326291</v>
      </c>
      <c r="AN24" s="367"/>
      <c r="AO24" s="433">
        <v>0</v>
      </c>
      <c r="AP24" s="367">
        <f t="shared" ref="AP24:AP30" si="24">1/(AH24/1000)</f>
        <v>1.8364176005472324</v>
      </c>
      <c r="AQ24" s="367">
        <f t="shared" ref="AQ24:AQ30" si="25">1/(AI24/1000)</f>
        <v>2.1197407829045862</v>
      </c>
      <c r="AR24" s="367">
        <f t="shared" ref="AR24:AR30" si="26">1/(AJ24/1000)</f>
        <v>2.4398927702681932</v>
      </c>
      <c r="AS24" s="367">
        <f t="shared" ref="AS24:AS30" si="27">1/(AK24/1000)</f>
        <v>2.7732270273032738</v>
      </c>
      <c r="AT24" s="367">
        <f t="shared" ref="AT24:AT30" si="28">1/(AL24/1000)</f>
        <v>3.0668936649642822</v>
      </c>
      <c r="AU24" s="367">
        <f t="shared" ref="AU24:AU30" si="29">1/(AM24/1000)</f>
        <v>3.3195862844851876</v>
      </c>
      <c r="AW24" s="433">
        <v>0</v>
      </c>
      <c r="AX24" s="367">
        <f>'GF diets L-Val'!B$351</f>
        <v>84.999929826400006</v>
      </c>
      <c r="AY24" s="367">
        <f>'GF diets L-Val'!C$351</f>
        <v>119.99992982640001</v>
      </c>
      <c r="AZ24" s="367">
        <f>'GF diets L-Val'!D$351</f>
        <v>159.99991980159999</v>
      </c>
      <c r="BA24" s="367">
        <f>'GF diets L-Val'!E$351</f>
        <v>199.99991980160002</v>
      </c>
      <c r="BB24" s="367">
        <f>'GF diets L-Val'!F$351</f>
        <v>239.99991980159999</v>
      </c>
      <c r="BC24" s="367">
        <f>'GF diets L-Val'!G$351</f>
        <v>284.9999097768</v>
      </c>
      <c r="BD24" s="418"/>
      <c r="BF24" s="433">
        <v>0</v>
      </c>
      <c r="BG24" s="367">
        <f>AX24-50</f>
        <v>34.999929826400006</v>
      </c>
      <c r="BH24" s="367">
        <f>AY24-85</f>
        <v>34.999929826400006</v>
      </c>
      <c r="BI24" s="367">
        <f>AZ24-120</f>
        <v>39.999919801599987</v>
      </c>
      <c r="BJ24" s="367">
        <f>BA24-160</f>
        <v>39.999919801600015</v>
      </c>
      <c r="BK24" s="367">
        <f>BB24-200</f>
        <v>39.999919801599987</v>
      </c>
      <c r="BL24" s="367">
        <f>BC24-240</f>
        <v>44.999909776799996</v>
      </c>
      <c r="BM24" s="367"/>
      <c r="BN24" s="367" t="s">
        <v>570</v>
      </c>
      <c r="BO24" s="367">
        <f>VLOOKUP('DDGS Calculator'!$C$31,Performance!AW24:AX30,2,FALSE)</f>
        <v>84.999929826400006</v>
      </c>
      <c r="BP24" s="367">
        <f>BO24+VLOOKUP('DDGS Calculator'!$D$31,Performance!BF24:BL30,3,FALSE)</f>
        <v>119.99985965280001</v>
      </c>
      <c r="BQ24" s="367">
        <f>BP24+VLOOKUP('DDGS Calculator'!$E$31,Performance!BF24:BL30,4,FALSE)</f>
        <v>159.9997794544</v>
      </c>
      <c r="BR24" s="367">
        <f>BQ24+(VLOOKUP('DDGS Calculator'!$F$31,Performance!BF24:BL30,5,FALSE))</f>
        <v>199.99969925600001</v>
      </c>
      <c r="BS24" s="367">
        <f>BR24+VLOOKUP('DDGS Calculator'!$G$31,Performance!BF24:BL30,6,FALSE)</f>
        <v>239.9996190576</v>
      </c>
      <c r="BT24" s="367">
        <f>BS24+VLOOKUP('DDGS Calculator'!$H$31,Performance!BF24:BL30,7,FALSE)</f>
        <v>284.9995288344</v>
      </c>
      <c r="BU24" s="420"/>
    </row>
    <row r="25" spans="1:83" ht="15" x14ac:dyDescent="0.25">
      <c r="A25" s="433">
        <v>0.05</v>
      </c>
      <c r="B25" s="367">
        <f>'GF diets L-Val'!$I$353</f>
        <v>73.827969709053932</v>
      </c>
      <c r="C25" s="367">
        <f>'GF diets L-Val'!$J$353</f>
        <v>73.823095508682854</v>
      </c>
      <c r="D25" s="367">
        <f>'GF diets L-Val'!$K$353</f>
        <v>73.81509848572216</v>
      </c>
      <c r="E25" s="367">
        <f>'GF diets L-Val'!$L$353</f>
        <v>73.8082061056962</v>
      </c>
      <c r="F25" s="367">
        <f>'GF diets L-Val'!$M$353</f>
        <v>73.80269487037036</v>
      </c>
      <c r="G25" s="367">
        <f>'GF diets L-Val'!$N$353</f>
        <v>73.799380201057048</v>
      </c>
      <c r="H25" s="367"/>
      <c r="I25" s="433">
        <v>0.05</v>
      </c>
      <c r="J25" s="367">
        <f>'GF diets L-Val'!I$316</f>
        <v>9.7758803148391742</v>
      </c>
      <c r="K25" s="367">
        <f>'GF diets L-Val'!J$316</f>
        <v>9.8465516265845316</v>
      </c>
      <c r="L25" s="367">
        <f>'GF diets L-Val'!K$316</f>
        <v>9.9103248579405285</v>
      </c>
      <c r="M25" s="367">
        <f>'GF diets L-Val'!L$316</f>
        <v>9.9631746054439638</v>
      </c>
      <c r="N25" s="367">
        <f>'GF diets L-Val'!M$316</f>
        <v>10.00406377730083</v>
      </c>
      <c r="O25" s="367">
        <f>'GF diets L-Val'!N$316</f>
        <v>10.021935209551948</v>
      </c>
      <c r="P25" s="367"/>
      <c r="Q25" s="433">
        <v>0.05</v>
      </c>
      <c r="R25" s="367">
        <f>'GF diets L-Val'!I$351*'GF diets No L-Val'!I$353/100</f>
        <v>62.567558401276749</v>
      </c>
      <c r="S25" s="367">
        <f>'GF diets L-Val'!J$351*'GF diets No L-Val'!J$353/100</f>
        <v>88.424288491497293</v>
      </c>
      <c r="T25" s="367">
        <f>'GF diets L-Val'!K$351*'GF diets No L-Val'!K$353/100</f>
        <v>117.90829584813824</v>
      </c>
      <c r="U25" s="367">
        <f>'GF diets L-Val'!L$351*'GF diets No L-Val'!L$353/100</f>
        <v>147.36693190565651</v>
      </c>
      <c r="V25" s="367">
        <f>'GF diets L-Val'!M$351*'GF diets No L-Val'!M$353/100</f>
        <v>176.77590316896635</v>
      </c>
      <c r="W25" s="367">
        <f>'GF diets L-Val'!N$351*'GF diets No L-Val'!N$353/100</f>
        <v>209.74928337284607</v>
      </c>
      <c r="Y25" s="433">
        <v>0.05</v>
      </c>
      <c r="Z25" s="367">
        <f>'GF diets L-Val'!I$342</f>
        <v>734.98200857534789</v>
      </c>
      <c r="AA25" s="367">
        <f>'GF diets L-Val'!J$342</f>
        <v>857.03896662430009</v>
      </c>
      <c r="AB25" s="367">
        <f>'GF diets L-Val'!K$342</f>
        <v>938.67333767113405</v>
      </c>
      <c r="AC25" s="367">
        <f>'GF diets L-Val'!L$342</f>
        <v>975.87519399902249</v>
      </c>
      <c r="AD25" s="367">
        <f>'GF diets L-Val'!M$342</f>
        <v>970.37168111826622</v>
      </c>
      <c r="AE25" s="367">
        <f>'GF diets L-Val'!N$342</f>
        <v>915.82072124867454</v>
      </c>
      <c r="AF25" s="420"/>
      <c r="AG25" s="433">
        <v>0.05</v>
      </c>
      <c r="AH25" s="367">
        <f>'GF diets L-Val'!I$344</f>
        <v>544.92251618513285</v>
      </c>
      <c r="AI25" s="367">
        <f>'GF diets L-Val'!J$344</f>
        <v>472.02046998180811</v>
      </c>
      <c r="AJ25" s="367">
        <f>'GF diets L-Val'!K$344</f>
        <v>409.88899300995126</v>
      </c>
      <c r="AK25" s="367">
        <f>'GF diets L-Val'!L$344</f>
        <v>359.91351940059508</v>
      </c>
      <c r="AL25" s="367">
        <f>'GF diets L-Val'!M$344</f>
        <v>324.0636773047201</v>
      </c>
      <c r="AM25" s="367">
        <f>'GF diets L-Val'!N$344</f>
        <v>297.1748410732165</v>
      </c>
      <c r="AN25" s="420"/>
      <c r="AO25" s="433">
        <v>0.05</v>
      </c>
      <c r="AP25" s="367">
        <f t="shared" si="24"/>
        <v>1.8351232887213975</v>
      </c>
      <c r="AQ25" s="367">
        <f t="shared" si="25"/>
        <v>2.1185521891424335</v>
      </c>
      <c r="AR25" s="367">
        <f t="shared" si="26"/>
        <v>2.4396849319047758</v>
      </c>
      <c r="AS25" s="367">
        <f t="shared" si="27"/>
        <v>2.7784452266906055</v>
      </c>
      <c r="AT25" s="367">
        <f t="shared" si="28"/>
        <v>3.0858132831088341</v>
      </c>
      <c r="AU25" s="367">
        <f t="shared" si="29"/>
        <v>3.3650224103379762</v>
      </c>
      <c r="AV25" s="367"/>
      <c r="AW25" s="433">
        <v>0.05</v>
      </c>
      <c r="AX25" s="367">
        <f>'GF diets L-Val'!I$351</f>
        <v>84.747276956008861</v>
      </c>
      <c r="AY25" s="367">
        <f>'GF diets L-Val'!J$351</f>
        <v>119.77801757161166</v>
      </c>
      <c r="AZ25" s="367">
        <f>'GF diets L-Val'!K$351</f>
        <v>159.73395914661489</v>
      </c>
      <c r="BA25" s="367">
        <f>'GF diets L-Val'!L$351</f>
        <v>199.66150925488392</v>
      </c>
      <c r="BB25" s="367">
        <f>'GF diets L-Val'!M$351</f>
        <v>239.52454714962926</v>
      </c>
      <c r="BC25" s="367">
        <f>'GF diets L-Val'!N$351</f>
        <v>284.21473335297884</v>
      </c>
      <c r="BD25" s="420"/>
      <c r="BE25" s="422"/>
      <c r="BF25" s="433">
        <v>0.05</v>
      </c>
      <c r="BG25" s="367">
        <f t="shared" ref="BG25:BG30" si="30">AX25-50</f>
        <v>34.747276956008861</v>
      </c>
      <c r="BH25" s="367">
        <f t="shared" ref="BH25:BH30" si="31">AY25-85</f>
        <v>34.778017571611656</v>
      </c>
      <c r="BI25" s="367">
        <f t="shared" ref="BI25:BI30" si="32">AZ25-120</f>
        <v>39.733959146614893</v>
      </c>
      <c r="BJ25" s="367">
        <f t="shared" ref="BJ25:BJ30" si="33">BA25-160</f>
        <v>39.661509254883924</v>
      </c>
      <c r="BK25" s="367">
        <f t="shared" ref="BK25:BK30" si="34">BB25-200</f>
        <v>39.524547149629257</v>
      </c>
      <c r="BL25" s="367">
        <f t="shared" ref="BL25:BL30" si="35">BC25-240</f>
        <v>44.21473335297884</v>
      </c>
      <c r="BM25" s="367"/>
      <c r="BN25" s="367" t="s">
        <v>571</v>
      </c>
      <c r="BO25" s="367"/>
      <c r="BP25" s="367"/>
      <c r="BQ25" s="367"/>
      <c r="BR25" s="367"/>
      <c r="BS25" s="367"/>
      <c r="BT25" s="367">
        <f>((0.03492*0)-(0.05092*VLOOKUP('DDGS Calculator'!$G$31,Performance!I23:O30,6,FALSE))-(0.06897*VLOOKUP('DDGS Calculator'!$H$31,Performance!I23:O30,7,FALSE))-(0.00289*VLOOKUP('DDGS Calculator'!$H$31,Performance!I23:O30,7,FALSE)*0)+'DDGS Calculator'!$G$9)</f>
        <v>73.9437035156581</v>
      </c>
      <c r="BU25" s="420"/>
    </row>
    <row r="26" spans="1:83" ht="15" x14ac:dyDescent="0.25">
      <c r="A26" s="433">
        <v>0.1</v>
      </c>
      <c r="B26" s="367">
        <f>'GF diets L-Val'!$P$353</f>
        <v>73.683519915497129</v>
      </c>
      <c r="C26" s="367">
        <f>'GF diets L-Val'!$Q$353</f>
        <v>73.678710640693126</v>
      </c>
      <c r="D26" s="367">
        <f>'GF diets L-Val'!$R$353</f>
        <v>73.670780213230529</v>
      </c>
      <c r="E26" s="367">
        <f>'GF diets L-Val'!$S$353</f>
        <v>73.663905575179484</v>
      </c>
      <c r="F26" s="367">
        <f>'GF diets L-Val'!$T$353</f>
        <v>73.658424263577388</v>
      </c>
      <c r="G26" s="367">
        <f>'GF diets L-Val'!$U$353</f>
        <v>73.65513208635906</v>
      </c>
      <c r="H26" s="367"/>
      <c r="I26" s="433">
        <v>0.1</v>
      </c>
      <c r="J26" s="367">
        <f>'GF diets L-Val'!P$316</f>
        <v>10.980733042813222</v>
      </c>
      <c r="K26" s="367">
        <f>'GF diets L-Val'!Q$316</f>
        <v>11.050462995024263</v>
      </c>
      <c r="L26" s="367">
        <f>'GF diets L-Val'!R$316</f>
        <v>11.113965652643751</v>
      </c>
      <c r="M26" s="367">
        <f>'GF diets L-Val'!S$316</f>
        <v>11.166757920659718</v>
      </c>
      <c r="N26" s="367">
        <f>'GF diets L-Val'!T$316</f>
        <v>11.207255663369779</v>
      </c>
      <c r="O26" s="367">
        <f>'GF diets L-Val'!U$316</f>
        <v>11.225089970453132</v>
      </c>
      <c r="P26" s="367"/>
      <c r="Q26" s="433">
        <v>0.1</v>
      </c>
      <c r="R26" s="367">
        <f>'GF diets L-Val'!P$351*'GF diets No L-Val'!P$353/100</f>
        <v>62.301753156247003</v>
      </c>
      <c r="S26" s="367">
        <f>'GF diets L-Val'!Q$351*'GF diets No L-Val'!Q$353/100</f>
        <v>88.121869703373989</v>
      </c>
      <c r="T26" s="367">
        <f>'GF diets L-Val'!R$351*'GF diets No L-Val'!R$353/100</f>
        <v>117.5110057751222</v>
      </c>
      <c r="U26" s="367">
        <f>'GF diets L-Val'!S$351*'GF diets No L-Val'!S$353/100</f>
        <v>146.84304668301445</v>
      </c>
      <c r="V26" s="367">
        <f>'GF diets L-Val'!T$351*'GF diets No L-Val'!T$353/100</f>
        <v>176.09983381498122</v>
      </c>
      <c r="W26" s="367">
        <f>'GF diets L-Val'!U$351*'GF diets No L-Val'!U$353/100</f>
        <v>208.78193632519356</v>
      </c>
      <c r="Y26" s="433">
        <v>0.1</v>
      </c>
      <c r="Z26" s="367">
        <f>'GF diets L-Val'!P$342</f>
        <v>730.86253902058513</v>
      </c>
      <c r="AA26" s="367">
        <f>'GF diets L-Val'!Q$342</f>
        <v>852.70454847034819</v>
      </c>
      <c r="AB26" s="367">
        <f>'GF diets L-Val'!R$342</f>
        <v>933.32207144981544</v>
      </c>
      <c r="AC26" s="367">
        <f>'GF diets L-Val'!S$342</f>
        <v>967.99604287988086</v>
      </c>
      <c r="AD26" s="367">
        <f>'GF diets L-Val'!T$342</f>
        <v>959.34807253354575</v>
      </c>
      <c r="AE26" s="367">
        <f>'GF diets L-Val'!U$342</f>
        <v>900.134581323867</v>
      </c>
      <c r="AF26" s="420"/>
      <c r="AG26" s="433">
        <v>0.1</v>
      </c>
      <c r="AH26" s="367">
        <f>'GF diets L-Val'!P$344</f>
        <v>544.85096467227618</v>
      </c>
      <c r="AI26" s="367">
        <f>'GF diets L-Val'!Q$344</f>
        <v>471.93164836862832</v>
      </c>
      <c r="AJ26" s="367">
        <f>'GF diets L-Val'!R$344</f>
        <v>409.62895773480216</v>
      </c>
      <c r="AK26" s="367">
        <f>'GF diets L-Val'!S$344</f>
        <v>358.95851978872997</v>
      </c>
      <c r="AL26" s="367">
        <f>'GF diets L-Val'!T$344</f>
        <v>321.97894228766768</v>
      </c>
      <c r="AM26" s="367">
        <f>'GF diets L-Val'!U$344</f>
        <v>293.00415672838903</v>
      </c>
      <c r="AN26" s="420"/>
      <c r="AO26" s="433">
        <v>0.1</v>
      </c>
      <c r="AP26" s="367">
        <f t="shared" si="24"/>
        <v>1.8353642827841785</v>
      </c>
      <c r="AQ26" s="367">
        <f t="shared" si="25"/>
        <v>2.11895091896633</v>
      </c>
      <c r="AR26" s="367">
        <f t="shared" si="26"/>
        <v>2.4412336606520135</v>
      </c>
      <c r="AS26" s="367">
        <f t="shared" si="27"/>
        <v>2.7858372064509402</v>
      </c>
      <c r="AT26" s="367">
        <f t="shared" si="28"/>
        <v>3.1057931704942483</v>
      </c>
      <c r="AU26" s="367">
        <f t="shared" si="29"/>
        <v>3.412920864897445</v>
      </c>
      <c r="AV26" s="367"/>
      <c r="AW26" s="433">
        <v>0.1</v>
      </c>
      <c r="AX26" s="367">
        <f>'GF diets L-Val'!P$351</f>
        <v>84.55252302062118</v>
      </c>
      <c r="AY26" s="367">
        <f>'GF diets L-Val'!Q$351</f>
        <v>119.60212968231728</v>
      </c>
      <c r="AZ26" s="367">
        <f>'GF diets L-Val'!R$351</f>
        <v>159.50744006478919</v>
      </c>
      <c r="BA26" s="367">
        <f>'GF diets L-Val'!S$351</f>
        <v>199.34128423138765</v>
      </c>
      <c r="BB26" s="367">
        <f>'GF diets L-Val'!T$351</f>
        <v>239.07553979521069</v>
      </c>
      <c r="BC26" s="367">
        <f>'GF diets L-Val'!U$351</f>
        <v>283.45742365985353</v>
      </c>
      <c r="BD26" s="420"/>
      <c r="BE26" s="422"/>
      <c r="BF26" s="433">
        <v>0.1</v>
      </c>
      <c r="BG26" s="367">
        <f t="shared" si="30"/>
        <v>34.55252302062118</v>
      </c>
      <c r="BH26" s="367">
        <f t="shared" si="31"/>
        <v>34.602129682317283</v>
      </c>
      <c r="BI26" s="367">
        <f t="shared" si="32"/>
        <v>39.507440064789193</v>
      </c>
      <c r="BJ26" s="367">
        <f t="shared" si="33"/>
        <v>39.341284231387647</v>
      </c>
      <c r="BK26" s="367">
        <f t="shared" si="34"/>
        <v>39.075539795210688</v>
      </c>
      <c r="BL26" s="367">
        <f t="shared" si="35"/>
        <v>43.457423659853532</v>
      </c>
      <c r="BM26" s="367"/>
      <c r="BN26" s="367" t="s">
        <v>572</v>
      </c>
      <c r="BT26" s="367">
        <f>BT24*(BT25/100)</f>
        <v>210.73920662233124</v>
      </c>
    </row>
    <row r="27" spans="1:83" ht="15" x14ac:dyDescent="0.25">
      <c r="A27" s="433">
        <v>0.15</v>
      </c>
      <c r="B27" s="367">
        <f>'GF diets L-Val'!$W$353</f>
        <v>73.539097625975515</v>
      </c>
      <c r="C27" s="367">
        <f>'GF diets L-Val'!$X$353</f>
        <v>73.534325779816029</v>
      </c>
      <c r="D27" s="367">
        <f>'GF diets L-Val'!$Y$353</f>
        <v>73.526437114426912</v>
      </c>
      <c r="E27" s="367">
        <f>'GF diets L-Val'!$Z$353</f>
        <v>73.519635495324664</v>
      </c>
      <c r="F27" s="367">
        <f>'GF diets L-Val'!$AA$353</f>
        <v>73.514292556668451</v>
      </c>
      <c r="G27" s="367">
        <f>'GF diets L-Val'!$AB$353</f>
        <v>73.51119878228171</v>
      </c>
      <c r="H27" s="367"/>
      <c r="I27" s="433">
        <v>0.15</v>
      </c>
      <c r="J27" s="367">
        <f>'GF diets L-Val'!W$316</f>
        <v>12.185356360200929</v>
      </c>
      <c r="K27" s="367">
        <f>'GF diets L-Val'!X$316</f>
        <v>12.254543632340727</v>
      </c>
      <c r="L27" s="367">
        <f>'GF diets L-Val'!Y$316</f>
        <v>12.317841435614078</v>
      </c>
      <c r="M27" s="367">
        <f>'GF diets L-Val'!Z$316</f>
        <v>12.369726240015426</v>
      </c>
      <c r="N27" s="367">
        <f>'GF diets L-Val'!AA$316</f>
        <v>12.408887678555427</v>
      </c>
      <c r="O27" s="367">
        <f>'GF diets L-Val'!AB$316</f>
        <v>12.424831914256155</v>
      </c>
      <c r="P27" s="367"/>
      <c r="Q27" s="433">
        <v>0.15</v>
      </c>
      <c r="R27" s="367">
        <f>'GF diets L-Val'!W$351*'GF diets No L-Val'!W$353/100</f>
        <v>62.063350701483451</v>
      </c>
      <c r="S27" s="367">
        <f>'GF diets L-Val'!X$351*'GF diets No L-Val'!X$353/100</f>
        <v>87.838683571128854</v>
      </c>
      <c r="T27" s="367">
        <f>'GF diets L-Val'!Y$351*'GF diets No L-Val'!Y$353/100</f>
        <v>117.11902525208808</v>
      </c>
      <c r="U27" s="367">
        <f>'GF diets L-Val'!Z$351*'GF diets No L-Val'!Z$353/100</f>
        <v>146.33908187928051</v>
      </c>
      <c r="V27" s="367">
        <f>'GF diets L-Val'!AA$351*'GF diets No L-Val'!AA$353/100</f>
        <v>175.43662791902329</v>
      </c>
      <c r="W27" s="367">
        <f>'GF diets L-Val'!AB$351*'GF diets No L-Val'!AB$353/100</f>
        <v>207.81957950896293</v>
      </c>
      <c r="Y27" s="433">
        <v>0.15</v>
      </c>
      <c r="Z27" s="367">
        <f>'GF diets L-Val'!W$342</f>
        <v>727.51552435711903</v>
      </c>
      <c r="AA27" s="367">
        <f>'GF diets L-Val'!X$342</f>
        <v>848.998506061993</v>
      </c>
      <c r="AB27" s="367">
        <f>'GF diets L-Val'!Y$342</f>
        <v>928.12318501505911</v>
      </c>
      <c r="AC27" s="367">
        <f>'GF diets L-Val'!Z$342</f>
        <v>960.75385333371219</v>
      </c>
      <c r="AD27" s="367">
        <f>'GF diets L-Val'!AA$342</f>
        <v>948.70954572017718</v>
      </c>
      <c r="AE27" s="367">
        <f>'GF diets L-Val'!AB$342</f>
        <v>884.51788453222389</v>
      </c>
      <c r="AF27" s="420"/>
      <c r="AG27" s="433">
        <v>0.15</v>
      </c>
      <c r="AH27" s="367">
        <f>'GF diets L-Val'!W$344</f>
        <v>544.02090375649789</v>
      </c>
      <c r="AI27" s="367">
        <f>'GF diets L-Val'!X$344</f>
        <v>471.24361438129569</v>
      </c>
      <c r="AJ27" s="367">
        <f>'GF diets L-Val'!Y$344</f>
        <v>408.78610079742481</v>
      </c>
      <c r="AK27" s="367">
        <f>'GF diets L-Val'!Z$344</f>
        <v>357.7790103051002</v>
      </c>
      <c r="AL27" s="367">
        <f>'GF diets L-Val'!AA$344</f>
        <v>319.75849715832874</v>
      </c>
      <c r="AM27" s="367">
        <f>'GF diets L-Val'!AB$344</f>
        <v>288.69675555866928</v>
      </c>
      <c r="AN27" s="420"/>
      <c r="AO27" s="433">
        <v>0.15</v>
      </c>
      <c r="AP27" s="367">
        <f t="shared" si="24"/>
        <v>1.8381646607601625</v>
      </c>
      <c r="AQ27" s="367">
        <f t="shared" si="25"/>
        <v>2.1220446696406023</v>
      </c>
      <c r="AR27" s="367">
        <f t="shared" si="26"/>
        <v>2.4462671261309663</v>
      </c>
      <c r="AS27" s="367">
        <f t="shared" si="27"/>
        <v>2.7950214271855649</v>
      </c>
      <c r="AT27" s="367">
        <f t="shared" si="28"/>
        <v>3.127360207428199</v>
      </c>
      <c r="AU27" s="367">
        <f t="shared" si="29"/>
        <v>3.4638421830022224</v>
      </c>
      <c r="AV27" s="367"/>
      <c r="AW27" s="433">
        <v>0.15</v>
      </c>
      <c r="AX27" s="367">
        <f>'GF diets L-Val'!W$351</f>
        <v>84.39428801758379</v>
      </c>
      <c r="AY27" s="367">
        <f>'GF diets L-Val'!X$351</f>
        <v>119.45174087494144</v>
      </c>
      <c r="AZ27" s="367">
        <f>'GF diets L-Val'!Y$351</f>
        <v>159.2873712188354</v>
      </c>
      <c r="BA27" s="367">
        <f>'GF diets L-Val'!Z$351</f>
        <v>199.04694664571142</v>
      </c>
      <c r="BB27" s="367">
        <f>'GF diets L-Val'!AA$351</f>
        <v>238.64221737246044</v>
      </c>
      <c r="BC27" s="367">
        <f>'GF diets L-Val'!AB$351</f>
        <v>282.70346660530714</v>
      </c>
      <c r="BD27" s="420"/>
      <c r="BE27" s="422"/>
      <c r="BF27" s="433">
        <v>0.15</v>
      </c>
      <c r="BG27" s="367">
        <f t="shared" si="30"/>
        <v>34.39428801758379</v>
      </c>
      <c r="BH27" s="367">
        <f t="shared" si="31"/>
        <v>34.451740874941436</v>
      </c>
      <c r="BI27" s="367">
        <f t="shared" si="32"/>
        <v>39.287371218835403</v>
      </c>
      <c r="BJ27" s="367">
        <f t="shared" si="33"/>
        <v>39.046946645711415</v>
      </c>
      <c r="BK27" s="367">
        <f t="shared" si="34"/>
        <v>38.642217372460436</v>
      </c>
      <c r="BL27" s="367">
        <f t="shared" si="35"/>
        <v>42.703466605307142</v>
      </c>
      <c r="BM27" s="367"/>
    </row>
    <row r="28" spans="1:83" ht="15" x14ac:dyDescent="0.25">
      <c r="A28" s="433">
        <v>0.2</v>
      </c>
      <c r="B28" s="367">
        <f>'GF diets L-Val'!$AD$353</f>
        <v>73.394710737703804</v>
      </c>
      <c r="C28" s="367">
        <f>'GF diets L-Val'!$AE$353</f>
        <v>73.389942088275788</v>
      </c>
      <c r="D28" s="367">
        <f>'GF diets L-Val'!$AF$353</f>
        <v>73.382125449893522</v>
      </c>
      <c r="E28" s="367">
        <f>'GF diets L-Val'!$AG$353</f>
        <v>73.375489067781572</v>
      </c>
      <c r="F28" s="367">
        <f>'GF diets L-Val'!$AH$353</f>
        <v>73.370648209025447</v>
      </c>
      <c r="G28" s="367">
        <f>'GF diets L-Val'!$AI$353</f>
        <v>73.368016767774179</v>
      </c>
      <c r="H28" s="367"/>
      <c r="I28" s="433">
        <v>0.2</v>
      </c>
      <c r="J28" s="367">
        <f>'GF diets L-Val'!AD$316</f>
        <v>13.389684396498479</v>
      </c>
      <c r="K28" s="367">
        <f>'GF diets L-Val'!AE$316</f>
        <v>13.458825319044692</v>
      </c>
      <c r="L28" s="367">
        <f>'GF diets L-Val'!AF$316</f>
        <v>13.521113018134308</v>
      </c>
      <c r="M28" s="367">
        <f>'GF diets L-Val'!AG$316</f>
        <v>13.57134779375134</v>
      </c>
      <c r="N28" s="367">
        <f>'GF diets L-Val'!AH$316</f>
        <v>13.604447749988939</v>
      </c>
      <c r="O28" s="367">
        <f>'GF diets L-Val'!AI$316</f>
        <v>13.61816373490487</v>
      </c>
      <c r="Q28" s="433">
        <v>0.2</v>
      </c>
      <c r="R28" s="367">
        <f>'GF diets L-Val'!AD$351*'GF diets No L-Val'!AD$353/100</f>
        <v>61.852381927787022</v>
      </c>
      <c r="S28" s="367">
        <f>'GF diets L-Val'!AE$351*'GF diets No L-Val'!AE$353/100</f>
        <v>87.567866722032235</v>
      </c>
      <c r="T28" s="367">
        <f>'GF diets L-Val'!AF$351*'GF diets No L-Val'!AF$353/100</f>
        <v>116.75047103392433</v>
      </c>
      <c r="U28" s="367">
        <f>'GF diets L-Val'!AG$351*'GF diets No L-Val'!AG$353/100</f>
        <v>145.8509624160437</v>
      </c>
      <c r="V28" s="367">
        <f>'GF diets L-Val'!AH$351*'GF diets No L-Val'!AH$353/100</f>
        <v>174.77926855174871</v>
      </c>
      <c r="W28" s="367">
        <f>'GF diets L-Val'!AI$351*'GF diets No L-Val'!AI$353/100</f>
        <v>206.86281392808385</v>
      </c>
      <c r="Y28" s="433">
        <v>0.2</v>
      </c>
      <c r="Z28" s="367">
        <f>'GF diets L-Val'!AD$342</f>
        <v>724.94582154114494</v>
      </c>
      <c r="AA28" s="367">
        <f>'GF diets L-Val'!AE$342</f>
        <v>845.69421270540624</v>
      </c>
      <c r="AB28" s="367">
        <f>'GF diets L-Val'!AF$342</f>
        <v>923.65864602576949</v>
      </c>
      <c r="AC28" s="367">
        <f>'GF diets L-Val'!AG$342</f>
        <v>954.01012781500322</v>
      </c>
      <c r="AD28" s="367">
        <f>'GF diets L-Val'!AH$342</f>
        <v>938.19318574970953</v>
      </c>
      <c r="AE28" s="367">
        <f>'GF diets L-Val'!AI$342</f>
        <v>868.94538754257837</v>
      </c>
      <c r="AF28" s="420"/>
      <c r="AG28" s="433">
        <v>0.2</v>
      </c>
      <c r="AH28" s="367">
        <f>'GF diets L-Val'!AD$344</f>
        <v>542.41495381124025</v>
      </c>
      <c r="AI28" s="367">
        <f>'GF diets L-Val'!AE$344</f>
        <v>469.82815603512751</v>
      </c>
      <c r="AJ28" s="367">
        <f>'GF diets L-Val'!AF$344</f>
        <v>407.58466744044267</v>
      </c>
      <c r="AK28" s="367">
        <f>'GF diets L-Val'!AG$344</f>
        <v>356.34303554371058</v>
      </c>
      <c r="AL28" s="367">
        <f>'GF diets L-Val'!AH$344</f>
        <v>317.14306606759203</v>
      </c>
      <c r="AM28" s="367">
        <f>'GF diets L-Val'!AI$344</f>
        <v>284.12045417566651</v>
      </c>
      <c r="AN28" s="420"/>
      <c r="AO28" s="433">
        <v>0.2</v>
      </c>
      <c r="AP28" s="367">
        <f t="shared" si="24"/>
        <v>1.8436069893972702</v>
      </c>
      <c r="AQ28" s="367">
        <f t="shared" si="25"/>
        <v>2.1284377855064807</v>
      </c>
      <c r="AR28" s="367">
        <f t="shared" si="26"/>
        <v>2.4534779639278814</v>
      </c>
      <c r="AS28" s="367">
        <f t="shared" si="27"/>
        <v>2.8062846758719258</v>
      </c>
      <c r="AT28" s="367">
        <f t="shared" si="28"/>
        <v>3.1531510759465009</v>
      </c>
      <c r="AU28" s="367">
        <f t="shared" si="29"/>
        <v>3.5196339626492299</v>
      </c>
      <c r="AV28" s="367"/>
      <c r="AW28" s="433">
        <v>0.2</v>
      </c>
      <c r="AX28" s="367">
        <f>'GF diets L-Val'!AD$351</f>
        <v>84.272801566589351</v>
      </c>
      <c r="AY28" s="367">
        <f>'GF diets L-Val'!AE$351</f>
        <v>119.3176547846159</v>
      </c>
      <c r="AZ28" s="367">
        <f>'GF diets L-Val'!AF$351</f>
        <v>159.09838729787106</v>
      </c>
      <c r="BA28" s="367">
        <f>'GF diets L-Val'!AG$351</f>
        <v>198.77286767070169</v>
      </c>
      <c r="BB28" s="367">
        <f>'GF diets L-Val'!AH$351</f>
        <v>238.2138709800642</v>
      </c>
      <c r="BC28" s="367">
        <f>'GF diets L-Val'!AI$351</f>
        <v>281.95164346889794</v>
      </c>
      <c r="BD28" s="420"/>
      <c r="BE28" s="422"/>
      <c r="BF28" s="433">
        <v>0.2</v>
      </c>
      <c r="BG28" s="367">
        <f t="shared" si="30"/>
        <v>34.272801566589351</v>
      </c>
      <c r="BH28" s="367">
        <f t="shared" si="31"/>
        <v>34.317654784615897</v>
      </c>
      <c r="BI28" s="367">
        <f t="shared" si="32"/>
        <v>39.098387297871056</v>
      </c>
      <c r="BJ28" s="367">
        <f t="shared" si="33"/>
        <v>38.772867670701686</v>
      </c>
      <c r="BK28" s="367">
        <f t="shared" si="34"/>
        <v>38.2138709800642</v>
      </c>
      <c r="BL28" s="367">
        <f t="shared" si="35"/>
        <v>41.951643468897942</v>
      </c>
      <c r="BM28" s="367"/>
    </row>
    <row r="29" spans="1:83" ht="15" x14ac:dyDescent="0.25">
      <c r="A29" s="433">
        <v>0.25</v>
      </c>
      <c r="B29" s="367">
        <f>'GF diets L-Val'!$AK$353</f>
        <v>73.250352416994545</v>
      </c>
      <c r="C29" s="367">
        <f>'GF diets L-Val'!$AL$353</f>
        <v>73.245559424968391</v>
      </c>
      <c r="D29" s="367">
        <f>'GF diets L-Val'!$AM$353</f>
        <v>73.237843470397252</v>
      </c>
      <c r="E29" s="367">
        <f>'GF diets L-Val'!$AN$353</f>
        <v>73.231688746506677</v>
      </c>
      <c r="F29" s="367">
        <f>'GF diets L-Val'!$AO$353</f>
        <v>73.227380642912948</v>
      </c>
      <c r="G29" s="367">
        <f>'GF diets L-Val'!$AP$353</f>
        <v>73.224936261185206</v>
      </c>
      <c r="H29" s="367"/>
      <c r="I29" s="433">
        <v>0.25</v>
      </c>
      <c r="J29" s="367">
        <f>'GF diets L-Val'!AK$316</f>
        <v>14.593774151350882</v>
      </c>
      <c r="K29" s="367">
        <f>'GF diets L-Val'!AL$316</f>
        <v>14.663268018628695</v>
      </c>
      <c r="L29" s="367">
        <f>'GF diets L-Val'!AM$316</f>
        <v>14.7238353210697</v>
      </c>
      <c r="M29" s="367">
        <f>'GF diets L-Val'!AN$316</f>
        <v>14.768356661511596</v>
      </c>
      <c r="N29" s="367">
        <f>'GF diets L-Val'!AO$316</f>
        <v>14.797950353528863</v>
      </c>
      <c r="O29" s="367">
        <f>'GF diets L-Val'!AP$316</f>
        <v>14.81154279850807</v>
      </c>
      <c r="P29" s="367"/>
      <c r="Q29" s="433">
        <v>0.25</v>
      </c>
      <c r="R29" s="367">
        <f>'GF diets L-Val'!AK$351*'GF diets No L-Val'!AK$353/100</f>
        <v>61.669275613294005</v>
      </c>
      <c r="S29" s="367">
        <f>'GF diets L-Val'!AL$351*'GF diets No L-Val'!AL$353/100</f>
        <v>87.320481073862666</v>
      </c>
      <c r="T29" s="367">
        <f>'GF diets L-Val'!AM$351*'GF diets No L-Val'!AM$353/100</f>
        <v>116.40313614387624</v>
      </c>
      <c r="U29" s="367">
        <f>'GF diets L-Val'!AN$351*'GF diets No L-Val'!AN$353/100</f>
        <v>145.37408097906393</v>
      </c>
      <c r="V29" s="367">
        <f>'GF diets L-Val'!AO$351*'GF diets No L-Val'!AO$353/100</f>
        <v>174.13612410584238</v>
      </c>
      <c r="W29" s="367">
        <f>'GF diets L-Val'!AP$351*'GF diets No L-Val'!AP$353/100</f>
        <v>205.92615058766339</v>
      </c>
      <c r="Y29" s="433">
        <v>0.25</v>
      </c>
      <c r="Z29" s="367">
        <f>'GF diets L-Val'!AK$342</f>
        <v>723.16476170971032</v>
      </c>
      <c r="AA29" s="367">
        <f>'GF diets L-Val'!AL$342</f>
        <v>843.16103565379217</v>
      </c>
      <c r="AB29" s="367">
        <f>'GF diets L-Val'!AM$342</f>
        <v>919.85722269718804</v>
      </c>
      <c r="AC29" s="367">
        <f>'GF diets L-Val'!AN$342</f>
        <v>947.59682363309821</v>
      </c>
      <c r="AD29" s="367">
        <f>'GF diets L-Val'!AO$342</f>
        <v>928.08306099373704</v>
      </c>
      <c r="AE29" s="367">
        <f>'GF diets L-Val'!AP$342</f>
        <v>853.87006838432558</v>
      </c>
      <c r="AF29" s="420"/>
      <c r="AG29" s="433">
        <v>0.25</v>
      </c>
      <c r="AH29" s="367">
        <f>'GF diets L-Val'!AK$344</f>
        <v>540.06744965323378</v>
      </c>
      <c r="AI29" s="367">
        <f>'GF diets L-Val'!AL$344</f>
        <v>467.87575223726196</v>
      </c>
      <c r="AJ29" s="367">
        <f>'GF diets L-Val'!AM$344</f>
        <v>405.98913112498241</v>
      </c>
      <c r="AK29" s="367">
        <f>'GF diets L-Val'!AN$344</f>
        <v>354.40368912897554</v>
      </c>
      <c r="AL29" s="367">
        <f>'GF diets L-Val'!AO$344</f>
        <v>314.274818790317</v>
      </c>
      <c r="AM29" s="367">
        <f>'GF diets L-Val'!AP$344</f>
        <v>279.42406048140822</v>
      </c>
      <c r="AN29" s="420"/>
      <c r="AO29" s="433">
        <v>0.25</v>
      </c>
      <c r="AP29" s="367">
        <f t="shared" si="24"/>
        <v>1.8516205719157475</v>
      </c>
      <c r="AQ29" s="367">
        <f t="shared" si="25"/>
        <v>2.1373195666119824</v>
      </c>
      <c r="AR29" s="367">
        <f t="shared" si="26"/>
        <v>2.4631201264650437</v>
      </c>
      <c r="AS29" s="367">
        <f t="shared" si="27"/>
        <v>2.8216410570040016</v>
      </c>
      <c r="AT29" s="367">
        <f t="shared" si="28"/>
        <v>3.1819284912775538</v>
      </c>
      <c r="AU29" s="367">
        <f t="shared" si="29"/>
        <v>3.5787898804317035</v>
      </c>
      <c r="AV29" s="367"/>
      <c r="AW29" s="433">
        <v>0.25</v>
      </c>
      <c r="AX29" s="367">
        <f>'GF diets L-Val'!AK$351</f>
        <v>84.18859936367906</v>
      </c>
      <c r="AY29" s="367">
        <f>'GF diets L-Val'!AL$351</f>
        <v>119.21486009591908</v>
      </c>
      <c r="AZ29" s="367">
        <f>'GF diets L-Val'!AM$351</f>
        <v>158.93747306067789</v>
      </c>
      <c r="BA29" s="367">
        <f>'GF diets L-Val'!AN$351</f>
        <v>198.51221770330227</v>
      </c>
      <c r="BB29" s="367">
        <f>'GF diets L-Val'!AO$351</f>
        <v>237.80207112934988</v>
      </c>
      <c r="BC29" s="367">
        <f>'GF diets L-Val'!AP$351</f>
        <v>281.22382353485239</v>
      </c>
      <c r="BD29" s="420"/>
      <c r="BE29" s="422"/>
      <c r="BF29" s="433">
        <v>0.25</v>
      </c>
      <c r="BG29" s="367">
        <f t="shared" si="30"/>
        <v>34.18859936367906</v>
      </c>
      <c r="BH29" s="367">
        <f t="shared" si="31"/>
        <v>34.214860095919079</v>
      </c>
      <c r="BI29" s="367">
        <f t="shared" si="32"/>
        <v>38.937473060677888</v>
      </c>
      <c r="BJ29" s="367">
        <f t="shared" si="33"/>
        <v>38.512217703302269</v>
      </c>
      <c r="BK29" s="367">
        <f t="shared" si="34"/>
        <v>37.802071129349883</v>
      </c>
      <c r="BL29" s="367">
        <f t="shared" si="35"/>
        <v>41.223823534852386</v>
      </c>
      <c r="BM29" s="367"/>
    </row>
    <row r="30" spans="1:83" ht="15" x14ac:dyDescent="0.25">
      <c r="A30" s="433">
        <v>0.3</v>
      </c>
      <c r="B30" s="367">
        <f>'GF diets L-Val'!$AR$353</f>
        <v>73.106094390504623</v>
      </c>
      <c r="C30" s="367">
        <f>'GF diets L-Val'!$AS$353</f>
        <v>73.101272427249754</v>
      </c>
      <c r="D30" s="367">
        <f>'GF diets L-Val'!$AT$353</f>
        <v>73.093658387754516</v>
      </c>
      <c r="E30" s="367">
        <f>'GF diets L-Val'!$AU$353</f>
        <v>73.088165166049109</v>
      </c>
      <c r="F30" s="367">
        <f>'GF diets L-Val'!$AV$353</f>
        <v>73.084286128513853</v>
      </c>
      <c r="G30" s="367">
        <f>'GF diets L-Val'!$AW$353</f>
        <v>73.081855984592409</v>
      </c>
      <c r="H30" s="367"/>
      <c r="I30" s="433">
        <v>0.3</v>
      </c>
      <c r="J30" s="367">
        <f>'GF diets L-Val'!AR$316</f>
        <v>15.79702735420287</v>
      </c>
      <c r="K30" s="367">
        <f>'GF diets L-Val'!AS$316</f>
        <v>15.866941276993494</v>
      </c>
      <c r="L30" s="367">
        <f>'GF diets L-Val'!AT$316</f>
        <v>15.925720783253233</v>
      </c>
      <c r="M30" s="367">
        <f>'GF diets L-Val'!AU$316</f>
        <v>15.961970881073496</v>
      </c>
      <c r="N30" s="367">
        <f>'GF diets L-Val'!AV$316</f>
        <v>15.991450111960036</v>
      </c>
      <c r="O30" s="367">
        <f>'GF diets L-Val'!AW$316</f>
        <v>16.004920627904681</v>
      </c>
      <c r="P30" s="367"/>
      <c r="Q30" s="433">
        <v>0.3</v>
      </c>
      <c r="R30" s="367">
        <f>'GF diets L-Val'!AR$351*'GF diets No L-Val'!AR$353/100</f>
        <v>61.512145132875752</v>
      </c>
      <c r="S30" s="367">
        <f>'GF diets L-Val'!AS$351*'GF diets No L-Val'!AS$353/100</f>
        <v>87.096326398949003</v>
      </c>
      <c r="T30" s="367">
        <f>'GF diets L-Val'!AT$351*'GF diets No L-Val'!AT$353/100</f>
        <v>116.07712714007852</v>
      </c>
      <c r="U30" s="367">
        <f>'GF diets L-Val'!AU$351*'GF diets No L-Val'!AU$353/100</f>
        <v>144.91206247918558</v>
      </c>
      <c r="V30" s="367">
        <f>'GF diets L-Val'!AV$351*'GF diets No L-Val'!AV$353/100</f>
        <v>173.51033590637195</v>
      </c>
      <c r="W30" s="367">
        <f>'GF diets L-Val'!AW$351*'GF diets No L-Val'!AW$353/100</f>
        <v>205.00883489893596</v>
      </c>
      <c r="Y30" s="433">
        <v>0.3</v>
      </c>
      <c r="Z30" s="367">
        <f>'GF diets L-Val'!AR$342</f>
        <v>722.13641638624006</v>
      </c>
      <c r="AA30" s="367">
        <f>'GF diets L-Val'!AS$342</f>
        <v>841.40646013664229</v>
      </c>
      <c r="AB30" s="367">
        <f>'GF diets L-Val'!AT$342</f>
        <v>916.72904437624834</v>
      </c>
      <c r="AC30" s="367">
        <f>'GF diets L-Val'!AU$342</f>
        <v>941.64006968999638</v>
      </c>
      <c r="AD30" s="367">
        <f>'GF diets L-Val'!AV$342</f>
        <v>918.50077750001947</v>
      </c>
      <c r="AE30" s="367">
        <f>'GF diets L-Val'!AW$342</f>
        <v>839.28439538630732</v>
      </c>
      <c r="AF30" s="420"/>
      <c r="AG30" s="433">
        <v>0.3</v>
      </c>
      <c r="AH30" s="367">
        <f>'GF diets L-Val'!AR$344</f>
        <v>537.08188234721013</v>
      </c>
      <c r="AI30" s="367">
        <f>'GF diets L-Val'!AS$344</f>
        <v>465.36423994865339</v>
      </c>
      <c r="AJ30" s="367">
        <f>'GF diets L-Val'!AT$344</f>
        <v>403.98584612745401</v>
      </c>
      <c r="AK30" s="367">
        <f>'GF diets L-Val'!AU$344</f>
        <v>352.02456023637109</v>
      </c>
      <c r="AL30" s="367">
        <f>'GF diets L-Val'!AV$344</f>
        <v>311.22636410689336</v>
      </c>
      <c r="AM30" s="367">
        <f>'GF diets L-Val'!AW$344</f>
        <v>274.60458919295252</v>
      </c>
      <c r="AN30" s="420"/>
      <c r="AO30" s="433">
        <v>0.3</v>
      </c>
      <c r="AP30" s="367">
        <f t="shared" si="24"/>
        <v>1.8619134863192515</v>
      </c>
      <c r="AQ30" s="367">
        <f t="shared" si="25"/>
        <v>2.1488544115687453</v>
      </c>
      <c r="AR30" s="367">
        <f t="shared" si="26"/>
        <v>2.4753342464490915</v>
      </c>
      <c r="AS30" s="367">
        <f t="shared" si="27"/>
        <v>2.840710884855699</v>
      </c>
      <c r="AT30" s="367">
        <f t="shared" si="28"/>
        <v>3.213095403628921</v>
      </c>
      <c r="AU30" s="367">
        <f t="shared" si="29"/>
        <v>3.6415997377864078</v>
      </c>
      <c r="AV30" s="367"/>
      <c r="AW30" s="433">
        <v>0.3</v>
      </c>
      <c r="AX30" s="367">
        <f>'GF diets L-Val'!AR$351</f>
        <v>84.13998283768683</v>
      </c>
      <c r="AY30" s="367">
        <f>'GF diets L-Val'!AS$351</f>
        <v>119.14366055462939</v>
      </c>
      <c r="AZ30" s="367">
        <f>'GF diets L-Val'!AT$351</f>
        <v>158.80505728247883</v>
      </c>
      <c r="BA30" s="367">
        <f>'GF diets L-Val'!AU$351</f>
        <v>198.27012288337207</v>
      </c>
      <c r="BB30" s="367">
        <f>'GF diets L-Val'!AV$351</f>
        <v>237.41177100868285</v>
      </c>
      <c r="BC30" s="367">
        <f>'GF diets L-Val'!AW$351</f>
        <v>280.51964318231796</v>
      </c>
      <c r="BD30" s="420"/>
      <c r="BE30" s="422"/>
      <c r="BF30" s="433">
        <v>0.3</v>
      </c>
      <c r="BG30" s="367">
        <f t="shared" si="30"/>
        <v>34.13998283768683</v>
      </c>
      <c r="BH30" s="367">
        <f t="shared" si="31"/>
        <v>34.143660554629392</v>
      </c>
      <c r="BI30" s="367">
        <f t="shared" si="32"/>
        <v>38.805057282478828</v>
      </c>
      <c r="BJ30" s="367">
        <f t="shared" si="33"/>
        <v>38.270122883372068</v>
      </c>
      <c r="BK30" s="367">
        <f t="shared" si="34"/>
        <v>37.411771008682848</v>
      </c>
      <c r="BL30" s="367">
        <f t="shared" si="35"/>
        <v>40.519643182317964</v>
      </c>
      <c r="BM30" s="367"/>
    </row>
    <row r="31" spans="1:83" ht="15" x14ac:dyDescent="0.25">
      <c r="Z31" s="2"/>
      <c r="AA31" s="2"/>
      <c r="AB31" s="2"/>
      <c r="AC31" s="2"/>
      <c r="AD31" s="2"/>
      <c r="AE31" s="2"/>
      <c r="AF31" s="2"/>
      <c r="AH31" s="2">
        <f>AH24-AH28</f>
        <v>2.123499589560879</v>
      </c>
      <c r="AP31" s="2"/>
      <c r="AX31" s="367"/>
      <c r="AY31" s="367"/>
      <c r="AZ31" s="367"/>
      <c r="BA31" s="367"/>
      <c r="BB31" s="367"/>
      <c r="BC31" s="367"/>
    </row>
    <row r="32" spans="1:83" ht="15" x14ac:dyDescent="0.25">
      <c r="A32" s="290" t="s">
        <v>521</v>
      </c>
      <c r="I32" s="290" t="s">
        <v>521</v>
      </c>
      <c r="J32" s="290"/>
      <c r="K32" s="290"/>
      <c r="L32" s="290"/>
      <c r="M32" s="290"/>
      <c r="Q32" s="290" t="s">
        <v>521</v>
      </c>
      <c r="Y32" s="290" t="s">
        <v>521</v>
      </c>
      <c r="AG32" s="290" t="s">
        <v>521</v>
      </c>
      <c r="AO32" s="290" t="s">
        <v>521</v>
      </c>
      <c r="AW32" s="290" t="s">
        <v>521</v>
      </c>
      <c r="BF32" s="290" t="s">
        <v>521</v>
      </c>
      <c r="BO32" s="290" t="s">
        <v>521</v>
      </c>
    </row>
    <row r="33" spans="1:73" ht="15" x14ac:dyDescent="0.25">
      <c r="B33" s="290" t="s">
        <v>516</v>
      </c>
      <c r="C33" s="290" t="s">
        <v>68</v>
      </c>
      <c r="D33" s="290" t="s">
        <v>69</v>
      </c>
      <c r="E33" s="290" t="s">
        <v>158</v>
      </c>
      <c r="F33" s="290" t="s">
        <v>473</v>
      </c>
      <c r="G33" s="290" t="s">
        <v>475</v>
      </c>
      <c r="H33" s="290"/>
      <c r="J33" s="423" t="s">
        <v>516</v>
      </c>
      <c r="K33" s="423" t="s">
        <v>68</v>
      </c>
      <c r="L33" s="423" t="s">
        <v>69</v>
      </c>
      <c r="M33" s="423" t="s">
        <v>158</v>
      </c>
      <c r="N33" s="290" t="s">
        <v>473</v>
      </c>
      <c r="O33" s="290" t="s">
        <v>475</v>
      </c>
      <c r="P33" s="290"/>
      <c r="R33" s="290" t="s">
        <v>516</v>
      </c>
      <c r="S33" s="290" t="s">
        <v>68</v>
      </c>
      <c r="T33" s="290" t="s">
        <v>69</v>
      </c>
      <c r="U33" s="290" t="s">
        <v>158</v>
      </c>
      <c r="V33" s="290" t="s">
        <v>473</v>
      </c>
      <c r="W33" s="290" t="s">
        <v>475</v>
      </c>
      <c r="Z33" s="290" t="s">
        <v>516</v>
      </c>
      <c r="AA33" s="290" t="s">
        <v>68</v>
      </c>
      <c r="AB33" s="290" t="s">
        <v>69</v>
      </c>
      <c r="AC33" s="290" t="s">
        <v>158</v>
      </c>
      <c r="AD33" s="290" t="s">
        <v>473</v>
      </c>
      <c r="AE33" s="290" t="s">
        <v>475</v>
      </c>
      <c r="AF33" s="290"/>
      <c r="AH33" s="290" t="s">
        <v>516</v>
      </c>
      <c r="AI33" s="290" t="s">
        <v>68</v>
      </c>
      <c r="AJ33" s="290" t="s">
        <v>69</v>
      </c>
      <c r="AK33" s="290" t="s">
        <v>158</v>
      </c>
      <c r="AL33" s="290" t="s">
        <v>473</v>
      </c>
      <c r="AM33" s="290" t="s">
        <v>475</v>
      </c>
      <c r="AN33" s="290"/>
      <c r="AP33" s="290" t="s">
        <v>516</v>
      </c>
      <c r="AQ33" s="290" t="s">
        <v>68</v>
      </c>
      <c r="AR33" s="290" t="s">
        <v>69</v>
      </c>
      <c r="AS33" s="290" t="s">
        <v>158</v>
      </c>
      <c r="AT33" s="290" t="s">
        <v>473</v>
      </c>
      <c r="AU33" s="290" t="s">
        <v>475</v>
      </c>
      <c r="AX33" s="290" t="s">
        <v>516</v>
      </c>
      <c r="AY33" s="290" t="s">
        <v>68</v>
      </c>
      <c r="AZ33" s="290" t="s">
        <v>69</v>
      </c>
      <c r="BA33" s="290" t="s">
        <v>158</v>
      </c>
      <c r="BB33" s="290" t="s">
        <v>473</v>
      </c>
      <c r="BC33" s="290" t="s">
        <v>475</v>
      </c>
      <c r="BG33" s="290" t="s">
        <v>516</v>
      </c>
      <c r="BH33" s="290" t="s">
        <v>68</v>
      </c>
      <c r="BI33" s="290" t="s">
        <v>69</v>
      </c>
      <c r="BJ33" s="290" t="s">
        <v>158</v>
      </c>
      <c r="BK33" s="290" t="s">
        <v>473</v>
      </c>
      <c r="BL33" s="290" t="s">
        <v>475</v>
      </c>
      <c r="BM33" s="290"/>
      <c r="BO33" s="290" t="s">
        <v>516</v>
      </c>
      <c r="BP33" s="290" t="s">
        <v>68</v>
      </c>
      <c r="BQ33" s="290" t="s">
        <v>69</v>
      </c>
      <c r="BR33" s="290" t="s">
        <v>158</v>
      </c>
      <c r="BS33" s="290" t="s">
        <v>473</v>
      </c>
      <c r="BT33" s="290" t="s">
        <v>475</v>
      </c>
    </row>
    <row r="34" spans="1:73" ht="15" x14ac:dyDescent="0.25">
      <c r="A34" s="433">
        <v>0</v>
      </c>
      <c r="B34" s="367">
        <f>'GF diets L-Val + Fat'!$B353</f>
        <v>73.972551185589822</v>
      </c>
      <c r="C34" s="367">
        <f>'GF diets L-Val + Fat'!$C$353</f>
        <v>73.967590114943533</v>
      </c>
      <c r="D34" s="367">
        <f>'GF diets L-Val + Fat'!$D$353</f>
        <v>73.959502824315024</v>
      </c>
      <c r="E34" s="367">
        <f>'GF diets L-Val + Fat'!$E$353</f>
        <v>73.952564091992727</v>
      </c>
      <c r="F34" s="367">
        <f>'GF diets L-Val + Fat'!$F$353</f>
        <v>73.947050097444134</v>
      </c>
      <c r="G34" s="367">
        <f>'GF diets L-Val + Fat'!$G$353</f>
        <v>73.9437035156581</v>
      </c>
      <c r="H34" s="367"/>
      <c r="I34" s="433">
        <v>0</v>
      </c>
      <c r="J34" s="367">
        <f>'GF diets L-Val + Fat'!B$316</f>
        <v>8.5699292218715204</v>
      </c>
      <c r="K34" s="367">
        <f>'GF diets L-Val + Fat'!C$316</f>
        <v>8.6418600707376481</v>
      </c>
      <c r="L34" s="367">
        <f>'GF diets L-Val + Fat'!D$316</f>
        <v>8.7060121920111886</v>
      </c>
      <c r="M34" s="367">
        <f>'GF diets L-Val + Fat'!E$316</f>
        <v>8.7592542727281515</v>
      </c>
      <c r="N34" s="367">
        <f>'GF diets L-Val + Fat'!F$316</f>
        <v>8.7998937942372635</v>
      </c>
      <c r="O34" s="367">
        <f>'GF diets L-Val + Fat'!G$316</f>
        <v>8.8184122421246407</v>
      </c>
      <c r="P34" s="367"/>
      <c r="Q34" s="433">
        <v>0</v>
      </c>
      <c r="R34" s="367">
        <f>'GF diets L-Val + Fat'!B$351*'GF diets No L-Val'!B$353/100</f>
        <v>62.876858678395237</v>
      </c>
      <c r="S34" s="367">
        <f>'GF diets L-Val + Fat'!C$351*'GF diets No L-Val'!C$353/100</f>
        <v>88.761376359481872</v>
      </c>
      <c r="T34" s="367">
        <f>'GF diets L-Val + Fat'!D$351*'GF diets No L-Val'!D$353/100</f>
        <v>118.33551366385394</v>
      </c>
      <c r="U34" s="367">
        <f>'GF diets L-Val + Fat'!E$351*'GF diets No L-Val'!E$353/100</f>
        <v>147.90549325097103</v>
      </c>
      <c r="V34" s="367">
        <f>'GF diets L-Val + Fat'!F$351*'GF diets No L-Val'!F$353/100</f>
        <v>177.47338407631628</v>
      </c>
      <c r="W34" s="367">
        <f>'GF diets L-Val + Fat'!G$351*'GF diets No L-Val'!G$353/100</f>
        <v>210.74036224391301</v>
      </c>
      <c r="Y34" s="433">
        <v>0</v>
      </c>
      <c r="Z34" s="367">
        <f>'GF diets L-Val + Fat'!B$342</f>
        <v>740.32616660444182</v>
      </c>
      <c r="AA34" s="367">
        <f>'GF diets L-Val + Fat'!C$342</f>
        <v>862.50756659214221</v>
      </c>
      <c r="AB34" s="367">
        <f>'GF diets L-Val + Fat'!D$342</f>
        <v>944.95636803551065</v>
      </c>
      <c r="AC34" s="367">
        <f>'GF diets L-Val + Fat'!E$342</f>
        <v>984.20180073567008</v>
      </c>
      <c r="AD34" s="367">
        <f>'GF diets L-Val + Fat'!F$342</f>
        <v>982.04258582759257</v>
      </c>
      <c r="AE34" s="367">
        <f>'GF diets L-Val + Fat'!G$342</f>
        <v>932.08406418687355</v>
      </c>
      <c r="AF34" s="367"/>
      <c r="AG34" s="433">
        <v>0</v>
      </c>
      <c r="AH34" s="367">
        <f>'GF diets L-Val + Fat'!B$344</f>
        <v>544.53845340080113</v>
      </c>
      <c r="AI34" s="367">
        <f>'GF diets L-Val + Fat'!C$344</f>
        <v>471.75579583355693</v>
      </c>
      <c r="AJ34" s="367">
        <f>'GF diets L-Val + Fat'!D$344</f>
        <v>409.85407727163351</v>
      </c>
      <c r="AK34" s="367">
        <f>'GF diets L-Val + Fat'!E$344</f>
        <v>360.59074506150858</v>
      </c>
      <c r="AL34" s="367">
        <f>'GF diets L-Val + Fat'!F$344</f>
        <v>326.06282096567122</v>
      </c>
      <c r="AM34" s="367">
        <f>'GF diets L-Val + Fat'!G$344</f>
        <v>301.24235802326291</v>
      </c>
      <c r="AN34" s="367"/>
      <c r="AO34" s="433">
        <v>0</v>
      </c>
      <c r="AP34" s="367">
        <f t="shared" ref="AP34:AP40" si="36">1/(AH34/1000)</f>
        <v>1.8364176005472324</v>
      </c>
      <c r="AQ34" s="367">
        <f t="shared" ref="AQ34:AQ40" si="37">1/(AI34/1000)</f>
        <v>2.1197407829045862</v>
      </c>
      <c r="AR34" s="367">
        <f t="shared" ref="AR34:AR40" si="38">1/(AJ34/1000)</f>
        <v>2.4398927702681932</v>
      </c>
      <c r="AS34" s="367">
        <f t="shared" ref="AS34:AS40" si="39">1/(AK34/1000)</f>
        <v>2.7732270273032738</v>
      </c>
      <c r="AT34" s="367">
        <f t="shared" ref="AT34:AT40" si="40">1/(AL34/1000)</f>
        <v>3.0668936649642822</v>
      </c>
      <c r="AU34" s="367">
        <f t="shared" ref="AU34:AU40" si="41">1/(AM34/1000)</f>
        <v>3.3195862844851876</v>
      </c>
      <c r="AW34" s="433">
        <v>0</v>
      </c>
      <c r="AX34" s="367">
        <f>'GF diets L-Val + Fat'!B$351</f>
        <v>84.999929826400006</v>
      </c>
      <c r="AY34" s="367">
        <f>'GF diets L-Val + Fat'!C$351</f>
        <v>119.99992982640001</v>
      </c>
      <c r="AZ34" s="367">
        <f>'GF diets L-Val + Fat'!D$351</f>
        <v>159.99991980159999</v>
      </c>
      <c r="BA34" s="367">
        <f>'GF diets L-Val + Fat'!E$351</f>
        <v>199.99991980160002</v>
      </c>
      <c r="BB34" s="367">
        <f>'GF diets L-Val + Fat'!F$351</f>
        <v>239.99991980159999</v>
      </c>
      <c r="BC34" s="367">
        <f>'GF diets L-Val + Fat'!G$351</f>
        <v>284.9999097768</v>
      </c>
      <c r="BF34" s="433">
        <v>0</v>
      </c>
      <c r="BG34" s="367">
        <f>AX34-50</f>
        <v>34.999929826400006</v>
      </c>
      <c r="BH34" s="367">
        <f>AY34-85</f>
        <v>34.999929826400006</v>
      </c>
      <c r="BI34" s="367">
        <f>AZ34-120</f>
        <v>39.999919801599987</v>
      </c>
      <c r="BJ34" s="367">
        <f>BA34-160</f>
        <v>39.999919801600015</v>
      </c>
      <c r="BK34" s="367">
        <f>BB34-200</f>
        <v>39.999919801599987</v>
      </c>
      <c r="BL34" s="367">
        <f>BC34-240</f>
        <v>44.999909776799996</v>
      </c>
      <c r="BM34" s="367"/>
      <c r="BN34" s="367" t="s">
        <v>570</v>
      </c>
      <c r="BO34" s="367">
        <f>VLOOKUP('DDGS Calculator'!$C$31,Performance!AW34:AX40,2,FALSE)</f>
        <v>84.999929826400006</v>
      </c>
      <c r="BP34" s="367">
        <f>BO34+VLOOKUP('DDGS Calculator'!$D$31,Performance!BF34:BL40,3,FALSE)</f>
        <v>119.99985965280001</v>
      </c>
      <c r="BQ34" s="367">
        <f>BP34+VLOOKUP('DDGS Calculator'!$E$31,Performance!BF34:BL40,4,FALSE)</f>
        <v>159.9997794544</v>
      </c>
      <c r="BR34" s="367">
        <f>BQ34+(VLOOKUP('DDGS Calculator'!$F$31,Performance!BF34:BL40,5,FALSE))</f>
        <v>199.99969925600001</v>
      </c>
      <c r="BS34" s="367">
        <f>BR34+VLOOKUP('DDGS Calculator'!$G$31,Performance!BF34:BL40,6,FALSE)</f>
        <v>239.9996190576</v>
      </c>
      <c r="BT34" s="367">
        <f>BS34+VLOOKUP('DDGS Calculator'!$H$31,Performance!BF34:BL40,7,FALSE)</f>
        <v>284.9995288344</v>
      </c>
      <c r="BU34" s="420"/>
    </row>
    <row r="35" spans="1:73" ht="15" x14ac:dyDescent="0.25">
      <c r="A35" s="433">
        <v>0.05</v>
      </c>
      <c r="B35" s="367">
        <f>'GF diets L-Val + Fat'!$I$353</f>
        <v>73.833828602114693</v>
      </c>
      <c r="C35" s="367">
        <f>'GF diets L-Val + Fat'!$J$353</f>
        <v>73.82896646785872</v>
      </c>
      <c r="D35" s="367">
        <f>'GF diets L-Val + Fat'!$K$353</f>
        <v>73.820901308605059</v>
      </c>
      <c r="E35" s="367">
        <f>'GF diets L-Val + Fat'!$L$353</f>
        <v>73.813967835662069</v>
      </c>
      <c r="F35" s="367">
        <f>'GF diets L-Val + Fat'!$M$353</f>
        <v>73.80848570379834</v>
      </c>
      <c r="G35" s="367">
        <f>'GF diets L-Val + Fat'!$N$353</f>
        <v>73.805158305063401</v>
      </c>
      <c r="H35" s="367"/>
      <c r="I35" s="433">
        <v>0.05</v>
      </c>
      <c r="J35" s="367">
        <f>'GF diets L-Val + Fat'!I$316</f>
        <v>9.727011409502925</v>
      </c>
      <c r="K35" s="367">
        <f>'GF diets L-Val + Fat'!J$316</f>
        <v>9.7975077739509313</v>
      </c>
      <c r="L35" s="367">
        <f>'GF diets L-Val + Fat'!K$316</f>
        <v>9.8623980795325394</v>
      </c>
      <c r="M35" s="367">
        <f>'GF diets L-Val + Fat'!L$316</f>
        <v>9.9150189086288005</v>
      </c>
      <c r="N35" s="367">
        <f>'GF diets L-Val + Fat'!M$316</f>
        <v>9.9556551163445857</v>
      </c>
      <c r="O35" s="367">
        <f>'GF diets L-Val + Fat'!N$316</f>
        <v>9.9738978746170215</v>
      </c>
      <c r="P35" s="367"/>
      <c r="Q35" s="433">
        <v>0.05</v>
      </c>
      <c r="R35" s="367">
        <f>'GF diets L-Val + Fat'!I$351*'GF diets No L-Val'!I$353/100</f>
        <v>62.666712283329389</v>
      </c>
      <c r="S35" s="367">
        <f>'GF diets L-Val + Fat'!J$351*'GF diets No L-Val'!J$353/100</f>
        <v>88.525688261376331</v>
      </c>
      <c r="T35" s="367">
        <f>'GF diets L-Val + Fat'!K$351*'GF diets No L-Val'!K$353/100</f>
        <v>118.02982714613464</v>
      </c>
      <c r="U35" s="367">
        <f>'GF diets L-Val + Fat'!L$351*'GF diets No L-Val'!L$353/100</f>
        <v>147.50871635536191</v>
      </c>
      <c r="V35" s="367">
        <f>'GF diets L-Val + Fat'!M$351*'GF diets No L-Val'!M$353/100</f>
        <v>176.95566370292386</v>
      </c>
      <c r="W35" s="367">
        <f>'GF diets L-Val + Fat'!N$351*'GF diets No L-Val'!N$353/100</f>
        <v>210.00601207624814</v>
      </c>
      <c r="Y35" s="433">
        <v>0.05</v>
      </c>
      <c r="Z35" s="367">
        <f>'GF diets L-Val + Fat'!I$342</f>
        <v>737.82281291393463</v>
      </c>
      <c r="AA35" s="367">
        <f>'GF diets L-Val + Fat'!J$342</f>
        <v>860.42380070965544</v>
      </c>
      <c r="AB35" s="367">
        <f>'GF diets L-Val + Fat'!K$342</f>
        <v>942.56282888497708</v>
      </c>
      <c r="AC35" s="367">
        <f>'GF diets L-Val + Fat'!L$342</f>
        <v>980.60177466022901</v>
      </c>
      <c r="AD35" s="367">
        <f>'GF diets L-Val + Fat'!M$342</f>
        <v>976.35154973514977</v>
      </c>
      <c r="AE35" s="367">
        <f>'GF diets L-Val + Fat'!N$342</f>
        <v>923.02620425658733</v>
      </c>
      <c r="AF35" s="420"/>
      <c r="AG35" s="433">
        <v>0.05</v>
      </c>
      <c r="AH35" s="367">
        <f>'GF diets L-Val + Fat'!I$344</f>
        <v>548.13616804173489</v>
      </c>
      <c r="AI35" s="367">
        <f>'GF diets L-Val + Fat'!J$344</f>
        <v>475.74147464882753</v>
      </c>
      <c r="AJ35" s="367">
        <f>'GF diets L-Val + Fat'!K$344</f>
        <v>413.49391362962149</v>
      </c>
      <c r="AK35" s="367">
        <f>'GF diets L-Val + Fat'!L$344</f>
        <v>363.13725449078942</v>
      </c>
      <c r="AL35" s="367">
        <f>'GF diets L-Val + Fat'!M$344</f>
        <v>326.79784463924585</v>
      </c>
      <c r="AM35" s="367">
        <f>'GF diets L-Val + Fat'!N$344</f>
        <v>299.30516388331944</v>
      </c>
      <c r="AN35" s="420"/>
      <c r="AO35" s="433">
        <v>0.05</v>
      </c>
      <c r="AP35" s="367">
        <f t="shared" si="36"/>
        <v>1.8243641968976225</v>
      </c>
      <c r="AQ35" s="367">
        <f t="shared" si="37"/>
        <v>2.1019819656004519</v>
      </c>
      <c r="AR35" s="367">
        <f t="shared" si="38"/>
        <v>2.4184152826387888</v>
      </c>
      <c r="AS35" s="367">
        <f t="shared" si="39"/>
        <v>2.7537797007422267</v>
      </c>
      <c r="AT35" s="367">
        <f t="shared" si="40"/>
        <v>3.059995701941995</v>
      </c>
      <c r="AU35" s="367">
        <f t="shared" si="41"/>
        <v>3.3410716575202093</v>
      </c>
      <c r="AW35" s="433">
        <v>0.05</v>
      </c>
      <c r="AX35" s="367">
        <f>'GF diets L-Val + Fat'!I$351</f>
        <v>84.881580127145668</v>
      </c>
      <c r="AY35" s="367">
        <f>'GF diets L-Val + Fat'!J$351</f>
        <v>119.91537195269322</v>
      </c>
      <c r="AZ35" s="367">
        <f>'GF diets L-Val + Fat'!K$351</f>
        <v>159.8986012971061</v>
      </c>
      <c r="BA35" s="367">
        <f>'GF diets L-Val + Fat'!L$351</f>
        <v>199.85360728427887</v>
      </c>
      <c r="BB35" s="367">
        <f>'GF diets L-Val + Fat'!M$351</f>
        <v>239.76811575666045</v>
      </c>
      <c r="BC35" s="367">
        <f>'GF diets L-Val + Fat'!N$351</f>
        <v>284.5626061981593</v>
      </c>
      <c r="BD35" s="420"/>
      <c r="BF35" s="433">
        <v>0.05</v>
      </c>
      <c r="BG35" s="367">
        <f t="shared" ref="BG35:BG40" si="42">AX35-50</f>
        <v>34.881580127145668</v>
      </c>
      <c r="BH35" s="367">
        <f t="shared" ref="BH35:BH40" si="43">AY35-85</f>
        <v>34.915371952693221</v>
      </c>
      <c r="BI35" s="367">
        <f t="shared" ref="BI35:BI40" si="44">AZ35-120</f>
        <v>39.898601297106097</v>
      </c>
      <c r="BJ35" s="367">
        <f t="shared" ref="BJ35:BJ40" si="45">BA35-160</f>
        <v>39.853607284278866</v>
      </c>
      <c r="BK35" s="367">
        <f t="shared" ref="BK35:BK40" si="46">BB35-200</f>
        <v>39.76811575666045</v>
      </c>
      <c r="BL35" s="367">
        <f t="shared" ref="BL35:BL40" si="47">BC35-240</f>
        <v>44.562606198159301</v>
      </c>
      <c r="BM35" s="367"/>
      <c r="BN35" s="367" t="s">
        <v>571</v>
      </c>
      <c r="BO35" s="367"/>
      <c r="BP35" s="367"/>
      <c r="BQ35" s="367"/>
      <c r="BR35" s="367"/>
      <c r="BS35" s="367"/>
      <c r="BT35" s="367">
        <f>((0.03492*0)-(0.05092*VLOOKUP('DDGS Calculator'!$G$31,Performance!I33:O40,6,FALSE))-(0.06897*VLOOKUP('DDGS Calculator'!$H$31,Performance!I33:O40,7,FALSE))-(0.00289*VLOOKUP('DDGS Calculator'!$H$31,Performance!I33:O40,7,FALSE)*0)+'DDGS Calculator'!$G$9)</f>
        <v>73.9437035156581</v>
      </c>
      <c r="BU35" s="420"/>
    </row>
    <row r="36" spans="1:73" ht="15" x14ac:dyDescent="0.25">
      <c r="A36" s="433">
        <v>0.1</v>
      </c>
      <c r="B36" s="367">
        <f>'GF diets L-Val + Fat'!$P$353</f>
        <v>73.695216362414754</v>
      </c>
      <c r="C36" s="367">
        <f>'GF diets L-Val + Fat'!$Q$353</f>
        <v>73.690379186489054</v>
      </c>
      <c r="D36" s="367">
        <f>'GF diets L-Val + Fat'!$R$353</f>
        <v>73.682358120126025</v>
      </c>
      <c r="E36" s="367">
        <f>'GF diets L-Val + Fat'!$S$353</f>
        <v>73.675436479325697</v>
      </c>
      <c r="F36" s="367">
        <f>'GF diets L-Val + Fat'!$T$353</f>
        <v>73.669932944937557</v>
      </c>
      <c r="G36" s="367">
        <f>'GF diets L-Val + Fat'!$U$353</f>
        <v>73.666600487089298</v>
      </c>
      <c r="H36" s="367"/>
      <c r="I36" s="433">
        <v>0.1</v>
      </c>
      <c r="J36" s="367">
        <f>'GF diets L-Val + Fat'!P$316</f>
        <v>10.883173221997206</v>
      </c>
      <c r="K36" s="367">
        <f>'GF diets L-Val + Fat'!Q$316</f>
        <v>10.953307714177852</v>
      </c>
      <c r="L36" s="367">
        <f>'GF diets L-Val + Fat'!R$316</f>
        <v>11.017825881804187</v>
      </c>
      <c r="M36" s="367">
        <f>'GF diets L-Val + Fat'!S$316</f>
        <v>11.07054990246252</v>
      </c>
      <c r="N36" s="367">
        <f>'GF diets L-Val + Fat'!T$316</f>
        <v>11.111420241105503</v>
      </c>
      <c r="O36" s="367">
        <f>'GF diets L-Val + Fat'!U$316</f>
        <v>11.129563494760202</v>
      </c>
      <c r="P36" s="367"/>
      <c r="Q36" s="433">
        <v>0.1</v>
      </c>
      <c r="R36" s="367">
        <f>'GF diets L-Val + Fat'!P$351*'GF diets No L-Val'!P$353/100</f>
        <v>62.458559516361881</v>
      </c>
      <c r="S36" s="367">
        <f>'GF diets L-Val + Fat'!Q$351*'GF diets No L-Val'!Q$353/100</f>
        <v>88.291211997502288</v>
      </c>
      <c r="T36" s="367">
        <f>'GF diets L-Val + Fat'!R$351*'GF diets No L-Val'!R$353/100</f>
        <v>117.72488848050294</v>
      </c>
      <c r="U36" s="367">
        <f>'GF diets L-Val + Fat'!S$351*'GF diets No L-Val'!S$353/100</f>
        <v>147.11214036426958</v>
      </c>
      <c r="V36" s="367">
        <f>'GF diets L-Val + Fat'!T$351*'GF diets No L-Val'!T$353/100</f>
        <v>176.43790951934477</v>
      </c>
      <c r="W36" s="367">
        <f>'GF diets L-Val + Fat'!U$351*'GF diets No L-Val'!U$353/100</f>
        <v>209.27542979856059</v>
      </c>
      <c r="Y36" s="433">
        <v>0.1</v>
      </c>
      <c r="Z36" s="367">
        <f>'GF diets L-Val + Fat'!P$342</f>
        <v>735.36391234255655</v>
      </c>
      <c r="AA36" s="367">
        <f>'GF diets L-Val + Fat'!Q$342</f>
        <v>858.36844770368066</v>
      </c>
      <c r="AB36" s="367">
        <f>'GF diets L-Val + Fat'!R$342</f>
        <v>940.18058238231538</v>
      </c>
      <c r="AC36" s="367">
        <f>'GF diets L-Val + Fat'!S$342</f>
        <v>976.98421807826821</v>
      </c>
      <c r="AD36" s="367">
        <f>'GF diets L-Val + Fat'!T$342</f>
        <v>970.61642674660789</v>
      </c>
      <c r="AE36" s="367">
        <f>'GF diets L-Val + Fat'!U$342</f>
        <v>914.01232612350691</v>
      </c>
      <c r="AF36" s="420"/>
      <c r="AG36" s="433">
        <v>0.1</v>
      </c>
      <c r="AH36" s="367">
        <f>'GF diets L-Val + Fat'!P$344</f>
        <v>551.71776264187986</v>
      </c>
      <c r="AI36" s="367">
        <f>'GF diets L-Val + Fat'!Q$344</f>
        <v>479.72040315004631</v>
      </c>
      <c r="AJ36" s="367">
        <f>'GF diets L-Val + Fat'!R$344</f>
        <v>417.13996726322972</v>
      </c>
      <c r="AK36" s="367">
        <f>'GF diets L-Val + Fat'!S$344</f>
        <v>365.68103520491923</v>
      </c>
      <c r="AL36" s="367">
        <f>'GF diets L-Val + Fat'!T$344</f>
        <v>327.53100961701546</v>
      </c>
      <c r="AM36" s="367">
        <f>'GF diets L-Val + Fat'!U$344</f>
        <v>297.36203691638764</v>
      </c>
      <c r="AN36" s="420"/>
      <c r="AO36" s="433">
        <v>0.1</v>
      </c>
      <c r="AP36" s="367">
        <f t="shared" si="36"/>
        <v>1.8125209440630248</v>
      </c>
      <c r="AQ36" s="367">
        <f t="shared" si="37"/>
        <v>2.0845475686120052</v>
      </c>
      <c r="AR36" s="367">
        <f t="shared" si="38"/>
        <v>2.3972768818121075</v>
      </c>
      <c r="AS36" s="367">
        <f t="shared" si="39"/>
        <v>2.7346236302345375</v>
      </c>
      <c r="AT36" s="367">
        <f t="shared" si="40"/>
        <v>3.0531460247666553</v>
      </c>
      <c r="AU36" s="367">
        <f t="shared" si="41"/>
        <v>3.3629040558434848</v>
      </c>
      <c r="AW36" s="433">
        <v>0.1</v>
      </c>
      <c r="AX36" s="367">
        <f>'GF diets L-Val + Fat'!P$351</f>
        <v>84.765332013975552</v>
      </c>
      <c r="AY36" s="367">
        <f>'GF diets L-Val + Fat'!Q$351</f>
        <v>119.8319670551648</v>
      </c>
      <c r="AZ36" s="367">
        <f>'GF diets L-Val + Fat'!R$351</f>
        <v>159.79776081036005</v>
      </c>
      <c r="BA36" s="367">
        <f>'GF diets L-Val + Fat'!S$351</f>
        <v>199.70658229085751</v>
      </c>
      <c r="BB36" s="367">
        <f>'GF diets L-Val + Fat'!T$351</f>
        <v>239.53451598934654</v>
      </c>
      <c r="BC36" s="367">
        <f>'GF diets L-Val + Fat'!U$351</f>
        <v>284.12742601262261</v>
      </c>
      <c r="BD36" s="420"/>
      <c r="BF36" s="433">
        <v>0.1</v>
      </c>
      <c r="BG36" s="367">
        <f t="shared" si="42"/>
        <v>34.765332013975552</v>
      </c>
      <c r="BH36" s="367">
        <f t="shared" si="43"/>
        <v>34.831967055164796</v>
      </c>
      <c r="BI36" s="367">
        <f t="shared" si="44"/>
        <v>39.797760810360046</v>
      </c>
      <c r="BJ36" s="367">
        <f t="shared" si="45"/>
        <v>39.706582290857511</v>
      </c>
      <c r="BK36" s="367">
        <f t="shared" si="46"/>
        <v>39.534515989346545</v>
      </c>
      <c r="BL36" s="367">
        <f t="shared" si="47"/>
        <v>44.127426012622607</v>
      </c>
      <c r="BM36" s="367"/>
      <c r="BN36" s="367" t="s">
        <v>572</v>
      </c>
      <c r="BT36" s="367">
        <f>BT34*(BT35/100)</f>
        <v>210.73920662233124</v>
      </c>
    </row>
    <row r="37" spans="1:73" ht="15" x14ac:dyDescent="0.25">
      <c r="A37" s="433">
        <v>0.15</v>
      </c>
      <c r="B37" s="367">
        <f>'GF diets L-Val + Fat'!$W$353</f>
        <v>73.556565520002735</v>
      </c>
      <c r="C37" s="367">
        <f>'GF diets L-Val + Fat'!$X$353</f>
        <v>73.551768592790381</v>
      </c>
      <c r="D37" s="367">
        <f>'GF diets L-Val + Fat'!$Y$353</f>
        <v>73.543770232630337</v>
      </c>
      <c r="E37" s="367">
        <f>'GF diets L-Val + Fat'!$Z$353</f>
        <v>73.536888779859581</v>
      </c>
      <c r="F37" s="367">
        <f>'GF diets L-Val + Fat'!$AA$353</f>
        <v>73.531464202881949</v>
      </c>
      <c r="G37" s="367">
        <f>'GF diets L-Val + Fat'!$AB$353</f>
        <v>73.528405209808014</v>
      </c>
      <c r="H37" s="367"/>
      <c r="I37" s="433">
        <v>0.15</v>
      </c>
      <c r="J37" s="367">
        <f>'GF diets L-Val + Fat'!W$316</f>
        <v>12.039657018911216</v>
      </c>
      <c r="K37" s="367">
        <f>'GF diets L-Val + Fat'!X$316</f>
        <v>12.109207942680387</v>
      </c>
      <c r="L37" s="367">
        <f>'GF diets L-Val + Fat'!Y$316</f>
        <v>12.17382773565863</v>
      </c>
      <c r="M37" s="367">
        <f>'GF diets L-Val + Fat'!Z$316</f>
        <v>12.225894038577438</v>
      </c>
      <c r="N37" s="367">
        <f>'GF diets L-Val + Fat'!AA$316</f>
        <v>12.266105156933367</v>
      </c>
      <c r="O37" s="367">
        <f>'GF diets L-Val + Fat'!AB$316</f>
        <v>12.280770126155319</v>
      </c>
      <c r="P37" s="367"/>
      <c r="Q37" s="433">
        <v>0.15</v>
      </c>
      <c r="R37" s="367">
        <f>'GF diets L-Val + Fat'!W$351*'GF diets No L-Val'!W$353/100</f>
        <v>62.251083127635319</v>
      </c>
      <c r="S37" s="367">
        <f>'GF diets L-Val + Fat'!X$351*'GF diets No L-Val'!X$353/100</f>
        <v>88.05770737455839</v>
      </c>
      <c r="T37" s="367">
        <f>'GF diets L-Val + Fat'!Y$351*'GF diets No L-Val'!Y$353/100</f>
        <v>117.4202877792507</v>
      </c>
      <c r="U37" s="367">
        <f>'GF diets L-Val + Fat'!Z$351*'GF diets No L-Val'!Z$353/100</f>
        <v>146.71622113459071</v>
      </c>
      <c r="V37" s="367">
        <f>'GF diets L-Val + Fat'!AA$351*'GF diets No L-Val'!AA$353/100</f>
        <v>175.91674667396629</v>
      </c>
      <c r="W37" s="367">
        <f>'GF diets L-Val + Fat'!AB$351*'GF diets No L-Val'!AB$353/100</f>
        <v>208.53676322003247</v>
      </c>
      <c r="Y37" s="433">
        <v>0.15</v>
      </c>
      <c r="Z37" s="367">
        <f>'GF diets L-Val + Fat'!W$342</f>
        <v>732.9152560783665</v>
      </c>
      <c r="AA37" s="367">
        <f>'GF diets L-Val + Fat'!X$342</f>
        <v>856.3384518252584</v>
      </c>
      <c r="AB37" s="367">
        <f>'GF diets L-Val + Fat'!Y$342</f>
        <v>937.80263712373403</v>
      </c>
      <c r="AC37" s="367">
        <f>'GF diets L-Val + Fat'!Z$342</f>
        <v>973.37564760546206</v>
      </c>
      <c r="AD37" s="367">
        <f>'GF diets L-Val + Fat'!AA$342</f>
        <v>964.7436980632217</v>
      </c>
      <c r="AE37" s="367">
        <f>'GF diets L-Val + Fat'!AB$342</f>
        <v>904.72562048712371</v>
      </c>
      <c r="AF37" s="420"/>
      <c r="AG37" s="433">
        <v>0.15</v>
      </c>
      <c r="AH37" s="367">
        <f>'GF diets L-Val + Fat'!W$344</f>
        <v>555.31056526434872</v>
      </c>
      <c r="AI37" s="367">
        <f>'GF diets L-Val + Fat'!X$344</f>
        <v>483.73901499139083</v>
      </c>
      <c r="AJ37" s="367">
        <f>'GF diets L-Val + Fat'!Y$344</f>
        <v>420.79283801219384</v>
      </c>
      <c r="AK37" s="367">
        <f>'GF diets L-Val + Fat'!Z$344</f>
        <v>368.26915264044965</v>
      </c>
      <c r="AL37" s="367">
        <f>'GF diets L-Val + Fat'!AA$344</f>
        <v>328.31826271900195</v>
      </c>
      <c r="AM37" s="367">
        <f>'GF diets L-Val + Fat'!AB$344</f>
        <v>295.44513442811183</v>
      </c>
      <c r="AN37" s="420"/>
      <c r="AO37" s="433">
        <v>0.15</v>
      </c>
      <c r="AP37" s="367">
        <f t="shared" si="36"/>
        <v>1.8007941187359948</v>
      </c>
      <c r="AQ37" s="367">
        <f t="shared" si="37"/>
        <v>2.0672304052584991</v>
      </c>
      <c r="AR37" s="367">
        <f t="shared" si="38"/>
        <v>2.3764663028105573</v>
      </c>
      <c r="AS37" s="367">
        <f t="shared" si="39"/>
        <v>2.7154052758155527</v>
      </c>
      <c r="AT37" s="367">
        <f t="shared" si="40"/>
        <v>3.0458250836197647</v>
      </c>
      <c r="AU37" s="367">
        <f t="shared" si="41"/>
        <v>3.3847231972043921</v>
      </c>
      <c r="AW37" s="433">
        <v>0.15</v>
      </c>
      <c r="AX37" s="367">
        <f>'GF diets L-Val + Fat'!W$351</f>
        <v>84.649568215378878</v>
      </c>
      <c r="AY37" s="367">
        <f>'GF diets L-Val + Fat'!X$351</f>
        <v>119.74959113349549</v>
      </c>
      <c r="AZ37" s="367">
        <f>'GF diets L-Val + Fat'!Y$351</f>
        <v>159.69710239526202</v>
      </c>
      <c r="BA37" s="367">
        <f>'GF diets L-Val + Fat'!Z$351</f>
        <v>199.55992251152736</v>
      </c>
      <c r="BB37" s="367">
        <f>'GF diets L-Val + Fat'!AA$351</f>
        <v>239.29531134514318</v>
      </c>
      <c r="BC37" s="367">
        <f>'GF diets L-Val + Fat'!AB$351</f>
        <v>283.67907401338334</v>
      </c>
      <c r="BD37" s="420"/>
      <c r="BF37" s="433">
        <v>0.15</v>
      </c>
      <c r="BG37" s="367">
        <f t="shared" si="42"/>
        <v>34.649568215378878</v>
      </c>
      <c r="BH37" s="367">
        <f t="shared" si="43"/>
        <v>34.749591133495485</v>
      </c>
      <c r="BI37" s="367">
        <f t="shared" si="44"/>
        <v>39.697102395262021</v>
      </c>
      <c r="BJ37" s="367">
        <f t="shared" si="45"/>
        <v>39.559922511527361</v>
      </c>
      <c r="BK37" s="367">
        <f t="shared" si="46"/>
        <v>39.295311345143176</v>
      </c>
      <c r="BL37" s="367">
        <f t="shared" si="47"/>
        <v>43.679074013383342</v>
      </c>
      <c r="BM37" s="367"/>
    </row>
    <row r="38" spans="1:73" ht="15" x14ac:dyDescent="0.25">
      <c r="A38" s="433">
        <v>0.2</v>
      </c>
      <c r="B38" s="367">
        <f>'GF diets L-Val + Fat'!$AD$353</f>
        <v>73.41798122197018</v>
      </c>
      <c r="C38" s="367">
        <f>'GF diets L-Val + Fat'!$AE$353</f>
        <v>73.413168348660989</v>
      </c>
      <c r="D38" s="367">
        <f>'GF diets L-Val + Fat'!$AF$353</f>
        <v>73.405213927237838</v>
      </c>
      <c r="E38" s="367">
        <f>'GF diets L-Val + Fat'!$AG$353</f>
        <v>73.398396856199682</v>
      </c>
      <c r="F38" s="367">
        <f>'GF diets L-Val + Fat'!$AH$353</f>
        <v>73.393772270364721</v>
      </c>
      <c r="G38" s="367">
        <f>'GF diets L-Val + Fat'!$AI$353</f>
        <v>73.391503293588016</v>
      </c>
      <c r="H38" s="367"/>
      <c r="I38" s="433">
        <v>0.2</v>
      </c>
      <c r="J38" s="367">
        <f>'GF diets L-Val + Fat'!AD$316</f>
        <v>13.195585770538168</v>
      </c>
      <c r="K38" s="367">
        <f>'GF diets L-Val + Fat'!AE$316</f>
        <v>13.265367897683115</v>
      </c>
      <c r="L38" s="367">
        <f>'GF diets L-Val + Fat'!AF$316</f>
        <v>13.329179924780918</v>
      </c>
      <c r="M38" s="367">
        <f>'GF diets L-Val + Fat'!AG$316</f>
        <v>13.380909120349052</v>
      </c>
      <c r="N38" s="367">
        <f>'GF diets L-Val + Fat'!AH$316</f>
        <v>13.409770004742649</v>
      </c>
      <c r="O38" s="367">
        <f>'GF diets L-Val + Fat'!AI$316</f>
        <v>13.421360269254606</v>
      </c>
      <c r="Q38" s="433">
        <v>0.2</v>
      </c>
      <c r="R38" s="367">
        <f>'GF diets L-Val + Fat'!AD$351*'GF diets No L-Val'!AD$353/100</f>
        <v>62.045628340908621</v>
      </c>
      <c r="S38" s="367">
        <f>'GF diets L-Val + Fat'!AE$351*'GF diets No L-Val'!AE$353/100</f>
        <v>87.824100875530107</v>
      </c>
      <c r="T38" s="367">
        <f>'GF diets L-Val + Fat'!AF$351*'GF diets No L-Val'!AF$353/100</f>
        <v>117.11667122583782</v>
      </c>
      <c r="U38" s="367">
        <f>'GF diets L-Val + Fat'!AG$351*'GF diets No L-Val'!AG$353/100</f>
        <v>146.32048812540503</v>
      </c>
      <c r="V38" s="367">
        <f>'GF diets L-Val + Fat'!AH$351*'GF diets No L-Val'!AH$353/100</f>
        <v>175.39902957948053</v>
      </c>
      <c r="W38" s="367">
        <f>'GF diets L-Val + Fat'!AI$351*'GF diets No L-Val'!AI$353/100</f>
        <v>207.8071629778029</v>
      </c>
      <c r="Y38" s="433">
        <v>0.2</v>
      </c>
      <c r="Z38" s="367">
        <f>'GF diets L-Val + Fat'!AD$342</f>
        <v>730.51508162544155</v>
      </c>
      <c r="AA38" s="367">
        <f>'GF diets L-Val + Fat'!AE$342</f>
        <v>854.29804278316578</v>
      </c>
      <c r="AB38" s="367">
        <f>'GF diets L-Val + Fat'!AF$342</f>
        <v>935.44765961534085</v>
      </c>
      <c r="AC38" s="367">
        <f>'GF diets L-Val + Fat'!AG$342</f>
        <v>969.75471744288711</v>
      </c>
      <c r="AD38" s="367">
        <f>'GF diets L-Val + Fat'!AH$342</f>
        <v>958.93141742963121</v>
      </c>
      <c r="AE38" s="367">
        <f>'GF diets L-Val + Fat'!AI$342</f>
        <v>895.60582793908202</v>
      </c>
      <c r="AF38" s="420"/>
      <c r="AG38" s="433">
        <v>0.2</v>
      </c>
      <c r="AH38" s="367">
        <f>'GF diets L-Val + Fat'!AD$344</f>
        <v>558.91156851249946</v>
      </c>
      <c r="AI38" s="367">
        <f>'GF diets L-Val + Fat'!AE$344</f>
        <v>487.73504180043989</v>
      </c>
      <c r="AJ38" s="367">
        <f>'GF diets L-Val + Fat'!AF$344</f>
        <v>424.4759228850063</v>
      </c>
      <c r="AK38" s="367">
        <f>'GF diets L-Val + Fat'!AG$344</f>
        <v>370.85566295655667</v>
      </c>
      <c r="AL38" s="367">
        <f>'GF diets L-Val + Fat'!AH$344</f>
        <v>329.06636226940708</v>
      </c>
      <c r="AM38" s="367">
        <f>'GF diets L-Val + Fat'!AI$344</f>
        <v>293.55327828828933</v>
      </c>
      <c r="AN38" s="420"/>
      <c r="AO38" s="433">
        <v>0.2</v>
      </c>
      <c r="AP38" s="367">
        <f t="shared" si="36"/>
        <v>1.7891918083954208</v>
      </c>
      <c r="AQ38" s="367">
        <f t="shared" si="37"/>
        <v>2.0502935288565074</v>
      </c>
      <c r="AR38" s="367">
        <f t="shared" si="38"/>
        <v>2.3558462237466116</v>
      </c>
      <c r="AS38" s="367">
        <f t="shared" si="39"/>
        <v>2.6964668465023371</v>
      </c>
      <c r="AT38" s="367">
        <f t="shared" si="40"/>
        <v>3.0389007041117702</v>
      </c>
      <c r="AU38" s="367">
        <f t="shared" si="41"/>
        <v>3.4065366458552435</v>
      </c>
      <c r="AW38" s="433">
        <v>0.2</v>
      </c>
      <c r="AX38" s="367">
        <f>'GF diets L-Val + Fat'!AD$351</f>
        <v>84.536096465166835</v>
      </c>
      <c r="AY38" s="367">
        <f>'GF diets L-Val + Fat'!AE$351</f>
        <v>119.66679265236979</v>
      </c>
      <c r="AZ38" s="367">
        <f>'GF diets L-Val + Fat'!AF$351</f>
        <v>159.5974162049551</v>
      </c>
      <c r="BA38" s="367">
        <f>'GF diets L-Val + Fat'!AG$351</f>
        <v>199.41276040880135</v>
      </c>
      <c r="BB38" s="367">
        <f>'GF diets L-Val + Fat'!AH$351</f>
        <v>239.05856883652001</v>
      </c>
      <c r="BC38" s="367">
        <f>'GF diets L-Val + Fat'!AI$351</f>
        <v>283.23878039563988</v>
      </c>
      <c r="BD38" s="420"/>
      <c r="BF38" s="433">
        <v>0.2</v>
      </c>
      <c r="BG38" s="367">
        <f t="shared" si="42"/>
        <v>34.536096465166835</v>
      </c>
      <c r="BH38" s="367">
        <f t="shared" si="43"/>
        <v>34.666792652369793</v>
      </c>
      <c r="BI38" s="367">
        <f t="shared" si="44"/>
        <v>39.597416204955096</v>
      </c>
      <c r="BJ38" s="367">
        <f t="shared" si="45"/>
        <v>39.412760408801347</v>
      </c>
      <c r="BK38" s="367">
        <f t="shared" si="46"/>
        <v>39.05856883652001</v>
      </c>
      <c r="BL38" s="367">
        <f t="shared" si="47"/>
        <v>43.238780395639878</v>
      </c>
      <c r="BM38" s="367"/>
    </row>
    <row r="39" spans="1:73" ht="15" x14ac:dyDescent="0.25">
      <c r="A39" s="433">
        <v>0.25</v>
      </c>
      <c r="B39" s="367">
        <f>'GF diets L-Val + Fat'!$AK$353</f>
        <v>73.279444508857026</v>
      </c>
      <c r="C39" s="367">
        <f>'GF diets L-Val + Fat'!$AL$353</f>
        <v>73.274644497285777</v>
      </c>
      <c r="D39" s="367">
        <f>'GF diets L-Val + Fat'!$AM$353</f>
        <v>73.266680746605687</v>
      </c>
      <c r="E39" s="367">
        <f>'GF diets L-Val + Fat'!$AN$353</f>
        <v>73.260562176703147</v>
      </c>
      <c r="F39" s="367">
        <f>'GF diets L-Val + Fat'!$AO$353</f>
        <v>73.256783538804285</v>
      </c>
      <c r="G39" s="367">
        <f>'GF diets L-Val + Fat'!$AP$353</f>
        <v>73.254756378206125</v>
      </c>
      <c r="H39" s="367"/>
      <c r="I39" s="433">
        <v>0.25</v>
      </c>
      <c r="J39" s="367">
        <f>'GF diets L-Val + Fat'!AK$316</f>
        <v>14.351117617340673</v>
      </c>
      <c r="K39" s="367">
        <f>'GF diets L-Val + Fat'!AL$316</f>
        <v>14.420713261406867</v>
      </c>
      <c r="L39" s="367">
        <f>'GF diets L-Val + Fat'!AM$316</f>
        <v>14.484798232905339</v>
      </c>
      <c r="M39" s="367">
        <f>'GF diets L-Val + Fat'!AN$316</f>
        <v>14.526198307631129</v>
      </c>
      <c r="N39" s="367">
        <f>'GF diets L-Val + Fat'!AO$316</f>
        <v>14.550419651604081</v>
      </c>
      <c r="O39" s="367">
        <f>'GF diets L-Val + Fat'!AP$316</f>
        <v>14.561929145051485</v>
      </c>
      <c r="Q39" s="433">
        <v>0.25</v>
      </c>
      <c r="R39" s="367">
        <f>'GF diets L-Val + Fat'!AK$351*'GF diets No L-Val'!AK$353/100</f>
        <v>61.840201884983884</v>
      </c>
      <c r="S39" s="367">
        <f>'GF diets L-Val + Fat'!AL$351*'GF diets No L-Val'!AL$353/100</f>
        <v>87.591192247272559</v>
      </c>
      <c r="T39" s="367">
        <f>'GF diets L-Val + Fat'!AM$351*'GF diets No L-Val'!AM$353/100</f>
        <v>116.81253860758963</v>
      </c>
      <c r="U39" s="367">
        <f>'GF diets L-Val + Fat'!AN$351*'GF diets No L-Val'!AN$353/100</f>
        <v>145.92550315955771</v>
      </c>
      <c r="V39" s="367">
        <f>'GF diets L-Val + Fat'!AO$351*'GF diets No L-Val'!AO$353/100</f>
        <v>174.88420964848902</v>
      </c>
      <c r="W39" s="367">
        <f>'GF diets L-Val + Fat'!AP$351*'GF diets No L-Val'!AP$353/100</f>
        <v>207.07928905085046</v>
      </c>
      <c r="Y39" s="433">
        <v>0.25</v>
      </c>
      <c r="Z39" s="367">
        <f>'GF diets L-Val + Fat'!AK$342</f>
        <v>728.10045668103191</v>
      </c>
      <c r="AA39" s="367">
        <f>'GF diets L-Val + Fat'!AL$342</f>
        <v>852.26887422429309</v>
      </c>
      <c r="AB39" s="367">
        <f>'GF diets L-Val + Fat'!AM$342</f>
        <v>933.06299604687842</v>
      </c>
      <c r="AC39" s="367">
        <f>'GF diets L-Val + Fat'!AN$342</f>
        <v>966.12397518923876</v>
      </c>
      <c r="AD39" s="367">
        <f>'GF diets L-Val + Fat'!AO$342</f>
        <v>953.16426326229521</v>
      </c>
      <c r="AE39" s="367">
        <f>'GF diets L-Val + Fat'!AP$342</f>
        <v>886.48861715083513</v>
      </c>
      <c r="AF39" s="420"/>
      <c r="AG39" s="433">
        <v>0.25</v>
      </c>
      <c r="AH39" s="367">
        <f>'GF diets L-Val + Fat'!AK$344</f>
        <v>562.47954762881193</v>
      </c>
      <c r="AI39" s="367">
        <f>'GF diets L-Val + Fat'!AL$344</f>
        <v>491.72132395957289</v>
      </c>
      <c r="AJ39" s="367">
        <f>'GF diets L-Val + Fat'!AM$344</f>
        <v>428.09323903250197</v>
      </c>
      <c r="AK39" s="367">
        <f>'GF diets L-Val + Fat'!AN$344</f>
        <v>373.36354614001243</v>
      </c>
      <c r="AL39" s="367">
        <f>'GF diets L-Val + Fat'!AO$344</f>
        <v>329.82936941959872</v>
      </c>
      <c r="AM39" s="367">
        <f>'GF diets L-Val + Fat'!AP$344</f>
        <v>291.66380583471283</v>
      </c>
      <c r="AN39" s="420"/>
      <c r="AO39" s="433">
        <v>0.25</v>
      </c>
      <c r="AP39" s="367">
        <f t="shared" si="36"/>
        <v>1.7778424197210347</v>
      </c>
      <c r="AQ39" s="367">
        <f t="shared" si="37"/>
        <v>2.0336722270808321</v>
      </c>
      <c r="AR39" s="367">
        <f t="shared" si="38"/>
        <v>2.3359397178521601</v>
      </c>
      <c r="AS39" s="367">
        <f t="shared" si="39"/>
        <v>2.6783546769319493</v>
      </c>
      <c r="AT39" s="367">
        <f t="shared" si="40"/>
        <v>3.0318706965353073</v>
      </c>
      <c r="AU39" s="367">
        <f t="shared" si="41"/>
        <v>3.4286050582728262</v>
      </c>
      <c r="AW39" s="433">
        <v>0.25</v>
      </c>
      <c r="AX39" s="367">
        <f>'GF diets L-Val + Fat'!AK$351</f>
        <v>84.421941546879992</v>
      </c>
      <c r="AY39" s="367">
        <f>'GF diets L-Val + Fat'!AL$351</f>
        <v>119.58445030279348</v>
      </c>
      <c r="AZ39" s="367">
        <f>'GF diets L-Val + Fat'!AM$351</f>
        <v>159.49647340382154</v>
      </c>
      <c r="BA39" s="367">
        <f>'GF diets L-Val + Fat'!AN$351</f>
        <v>199.26519952236791</v>
      </c>
      <c r="BB39" s="367">
        <f>'GF diets L-Val + Fat'!AO$351</f>
        <v>238.82366439345145</v>
      </c>
      <c r="BC39" s="367">
        <f>'GF diets L-Val + Fat'!AP$351</f>
        <v>282.79861142243789</v>
      </c>
      <c r="BD39" s="420"/>
      <c r="BF39" s="433">
        <v>0.25</v>
      </c>
      <c r="BG39" s="367">
        <f t="shared" si="42"/>
        <v>34.421941546879992</v>
      </c>
      <c r="BH39" s="367">
        <f t="shared" si="43"/>
        <v>34.584450302793485</v>
      </c>
      <c r="BI39" s="367">
        <f t="shared" si="44"/>
        <v>39.49647340382154</v>
      </c>
      <c r="BJ39" s="367">
        <f t="shared" si="45"/>
        <v>39.265199522367908</v>
      </c>
      <c r="BK39" s="367">
        <f t="shared" si="46"/>
        <v>38.823664393451452</v>
      </c>
      <c r="BL39" s="367">
        <f t="shared" si="47"/>
        <v>42.798611422437887</v>
      </c>
      <c r="BM39" s="367"/>
    </row>
    <row r="40" spans="1:73" ht="15" x14ac:dyDescent="0.25">
      <c r="A40" s="433">
        <v>0.3</v>
      </c>
      <c r="B40" s="367">
        <f>'GF diets L-Val + Fat'!$AR$353</f>
        <v>73.140996015976725</v>
      </c>
      <c r="C40" s="367">
        <f>'GF diets L-Val + Fat'!$AS$353</f>
        <v>73.136165723946505</v>
      </c>
      <c r="D40" s="367">
        <f>'GF diets L-Val + Fat'!$AT$353</f>
        <v>73.128282983890799</v>
      </c>
      <c r="E40" s="367">
        <f>'GF diets L-Val + Fat'!$AU$353</f>
        <v>73.123142129510427</v>
      </c>
      <c r="F40" s="367">
        <f>'GF diets L-Val + Fat'!$AV$353</f>
        <v>73.120030322064324</v>
      </c>
      <c r="G40" s="367">
        <f>'GF diets L-Val + Fat'!$AW$353</f>
        <v>73.118009642939882</v>
      </c>
      <c r="H40" s="367"/>
      <c r="I40" s="433">
        <v>0.3</v>
      </c>
      <c r="J40" s="367">
        <f>'GF diets L-Val + Fat'!AR$316</f>
        <v>15.505913621013237</v>
      </c>
      <c r="K40" s="367">
        <f>'GF diets L-Val + Fat'!AS$316</f>
        <v>15.57594830319705</v>
      </c>
      <c r="L40" s="367">
        <f>'GF diets L-Val + Fat'!AT$316</f>
        <v>15.638534558654516</v>
      </c>
      <c r="M40" s="367">
        <f>'GF diets L-Val + Fat'!AU$316</f>
        <v>15.666865169825762</v>
      </c>
      <c r="N40" s="367">
        <f>'GF diets L-Val + Fat'!AV$316</f>
        <v>15.691067181211277</v>
      </c>
      <c r="O40" s="367">
        <f>'GF diets L-Val + Fat'!AW$316</f>
        <v>15.702496972492927</v>
      </c>
      <c r="P40" s="367"/>
      <c r="Q40" s="433">
        <v>0.3</v>
      </c>
      <c r="R40" s="367">
        <f>'GF diets L-Val + Fat'!AR$351*'GF diets No L-Val'!AR$353/100</f>
        <v>61.63559908920368</v>
      </c>
      <c r="S40" s="367">
        <f>'GF diets L-Val + Fat'!AS$351*'GF diets No L-Val'!AS$353/100</f>
        <v>87.359066675375885</v>
      </c>
      <c r="T40" s="367">
        <f>'GF diets L-Val + Fat'!AT$351*'GF diets No L-Val'!AT$353/100</f>
        <v>116.50990514945639</v>
      </c>
      <c r="U40" s="367">
        <f>'GF diets L-Val + Fat'!AU$351*'GF diets No L-Val'!AU$353/100</f>
        <v>145.53282652827048</v>
      </c>
      <c r="V40" s="367">
        <f>'GF diets L-Val + Fat'!AV$351*'GF diets No L-Val'!AV$353/100</f>
        <v>174.37053196512889</v>
      </c>
      <c r="W40" s="367">
        <f>'GF diets L-Val + Fat'!AW$351*'GF diets No L-Val'!AW$353/100</f>
        <v>206.35266549462347</v>
      </c>
      <c r="Y40" s="433">
        <v>0.3</v>
      </c>
      <c r="Z40" s="367">
        <f>'GF diets L-Val + Fat'!AR$342</f>
        <v>725.70833548714313</v>
      </c>
      <c r="AA40" s="367">
        <f>'GF diets L-Val + Fat'!AS$342</f>
        <v>850.26358207143301</v>
      </c>
      <c r="AB40" s="367">
        <f>'GF diets L-Val + Fat'!AT$342</f>
        <v>930.71636813888495</v>
      </c>
      <c r="AC40" s="367">
        <f>'GF diets L-Val + Fat'!AU$342</f>
        <v>962.53800879494202</v>
      </c>
      <c r="AD40" s="367">
        <f>'GF diets L-Val + Fat'!AV$342</f>
        <v>947.39723970899036</v>
      </c>
      <c r="AE40" s="367">
        <f>'GF diets L-Val + Fat'!AW$342</f>
        <v>877.37148556115062</v>
      </c>
      <c r="AF40" s="420"/>
      <c r="AG40" s="433">
        <v>0.3</v>
      </c>
      <c r="AH40" s="367">
        <f>'GF diets L-Val + Fat'!AR$344</f>
        <v>566.12740071945211</v>
      </c>
      <c r="AI40" s="367">
        <f>'GF diets L-Val + Fat'!AS$344</f>
        <v>495.68312146732518</v>
      </c>
      <c r="AJ40" s="367">
        <f>'GF diets L-Val + Fat'!AT$344</f>
        <v>431.72916717503296</v>
      </c>
      <c r="AK40" s="367">
        <f>'GF diets L-Val + Fat'!AU$344</f>
        <v>375.90290387684212</v>
      </c>
      <c r="AL40" s="367">
        <f>'GF diets L-Val + Fat'!AV$344</f>
        <v>330.59292191323306</v>
      </c>
      <c r="AM40" s="367">
        <f>'GF diets L-Val + Fat'!AW$344</f>
        <v>289.77555148590523</v>
      </c>
      <c r="AN40" s="420"/>
      <c r="AO40" s="433">
        <v>0.3</v>
      </c>
      <c r="AP40" s="367">
        <f t="shared" si="36"/>
        <v>1.7663868569674763</v>
      </c>
      <c r="AQ40" s="367">
        <f t="shared" si="37"/>
        <v>2.0174178960134692</v>
      </c>
      <c r="AR40" s="367">
        <f t="shared" si="38"/>
        <v>2.3162669470385282</v>
      </c>
      <c r="AS40" s="367">
        <f t="shared" si="39"/>
        <v>2.6602614390221158</v>
      </c>
      <c r="AT40" s="367">
        <f t="shared" si="40"/>
        <v>3.0248681496649183</v>
      </c>
      <c r="AU40" s="367">
        <f t="shared" si="41"/>
        <v>3.4509467581796329</v>
      </c>
      <c r="AW40" s="433">
        <v>0.3</v>
      </c>
      <c r="AX40" s="367">
        <f>'GF diets L-Val + Fat'!AR$351</f>
        <v>84.308850526242281</v>
      </c>
      <c r="AY40" s="367">
        <f>'GF diets L-Val + Fat'!AS$351</f>
        <v>119.50307684235254</v>
      </c>
      <c r="AZ40" s="367">
        <f>'GF diets L-Val + Fat'!AT$351</f>
        <v>159.39714065207249</v>
      </c>
      <c r="BA40" s="367">
        <f>'GF diets L-Val + Fat'!AU$351</f>
        <v>199.11945841961372</v>
      </c>
      <c r="BB40" s="367">
        <f>'GF diets L-Val + Fat'!AV$351</f>
        <v>238.58876527047931</v>
      </c>
      <c r="BC40" s="367">
        <f>'GF diets L-Val + Fat'!AW$351</f>
        <v>282.35844627285587</v>
      </c>
      <c r="BD40" s="420"/>
      <c r="BF40" s="433">
        <v>0.3</v>
      </c>
      <c r="BG40" s="367">
        <f t="shared" si="42"/>
        <v>34.308850526242281</v>
      </c>
      <c r="BH40" s="367">
        <f t="shared" si="43"/>
        <v>34.503076842352542</v>
      </c>
      <c r="BI40" s="367">
        <f t="shared" si="44"/>
        <v>39.397140652072494</v>
      </c>
      <c r="BJ40" s="367">
        <f t="shared" si="45"/>
        <v>39.119458419613721</v>
      </c>
      <c r="BK40" s="367">
        <f t="shared" si="46"/>
        <v>38.588765270479314</v>
      </c>
      <c r="BL40" s="367">
        <f t="shared" si="47"/>
        <v>42.358446272855872</v>
      </c>
      <c r="BM40" s="367"/>
    </row>
    <row r="41" spans="1:73" x14ac:dyDescent="0.25">
      <c r="Z41" s="2"/>
      <c r="AA41" s="2"/>
      <c r="AB41" s="2"/>
      <c r="AC41" s="2"/>
      <c r="AD41" s="2"/>
      <c r="AE41" s="2"/>
    </row>
    <row r="42" spans="1:73" ht="15" x14ac:dyDescent="0.25">
      <c r="A42" s="290" t="s">
        <v>522</v>
      </c>
      <c r="I42" s="290" t="s">
        <v>522</v>
      </c>
      <c r="J42" s="290"/>
      <c r="K42" s="290"/>
      <c r="L42" s="290"/>
      <c r="M42" s="290"/>
      <c r="Q42" s="290" t="s">
        <v>522</v>
      </c>
      <c r="Y42" s="290" t="s">
        <v>522</v>
      </c>
      <c r="AG42" s="290" t="s">
        <v>522</v>
      </c>
      <c r="AO42" s="290" t="s">
        <v>522</v>
      </c>
      <c r="AW42" s="290" t="s">
        <v>522</v>
      </c>
      <c r="BF42" s="290" t="s">
        <v>522</v>
      </c>
      <c r="BO42" s="290" t="s">
        <v>522</v>
      </c>
    </row>
    <row r="43" spans="1:73" ht="15" x14ac:dyDescent="0.25">
      <c r="B43" s="290" t="s">
        <v>516</v>
      </c>
      <c r="C43" s="290" t="s">
        <v>68</v>
      </c>
      <c r="D43" s="290" t="s">
        <v>69</v>
      </c>
      <c r="E43" s="290" t="s">
        <v>158</v>
      </c>
      <c r="F43" s="290" t="s">
        <v>473</v>
      </c>
      <c r="G43" s="290" t="s">
        <v>475</v>
      </c>
      <c r="H43" s="290"/>
      <c r="J43" s="423" t="s">
        <v>516</v>
      </c>
      <c r="K43" s="423" t="s">
        <v>68</v>
      </c>
      <c r="L43" s="423" t="s">
        <v>69</v>
      </c>
      <c r="M43" s="423" t="s">
        <v>158</v>
      </c>
      <c r="N43" s="290" t="s">
        <v>473</v>
      </c>
      <c r="O43" s="290" t="s">
        <v>475</v>
      </c>
      <c r="P43" s="290"/>
      <c r="R43" s="290" t="s">
        <v>516</v>
      </c>
      <c r="S43" s="290" t="s">
        <v>68</v>
      </c>
      <c r="T43" s="290" t="s">
        <v>69</v>
      </c>
      <c r="U43" s="290" t="s">
        <v>158</v>
      </c>
      <c r="V43" s="290" t="s">
        <v>473</v>
      </c>
      <c r="W43" s="290" t="s">
        <v>475</v>
      </c>
      <c r="Z43" s="290" t="s">
        <v>516</v>
      </c>
      <c r="AA43" s="290" t="s">
        <v>68</v>
      </c>
      <c r="AB43" s="290" t="s">
        <v>69</v>
      </c>
      <c r="AC43" s="290" t="s">
        <v>158</v>
      </c>
      <c r="AD43" s="290" t="s">
        <v>473</v>
      </c>
      <c r="AE43" s="290" t="s">
        <v>475</v>
      </c>
      <c r="AF43" s="290"/>
      <c r="AH43" s="290" t="s">
        <v>516</v>
      </c>
      <c r="AI43" s="290" t="s">
        <v>68</v>
      </c>
      <c r="AJ43" s="290" t="s">
        <v>69</v>
      </c>
      <c r="AK43" s="290" t="s">
        <v>158</v>
      </c>
      <c r="AL43" s="290" t="s">
        <v>473</v>
      </c>
      <c r="AM43" s="290" t="s">
        <v>475</v>
      </c>
      <c r="AN43" s="290"/>
      <c r="AP43" s="290" t="s">
        <v>516</v>
      </c>
      <c r="AQ43" s="290" t="s">
        <v>68</v>
      </c>
      <c r="AR43" s="290" t="s">
        <v>69</v>
      </c>
      <c r="AS43" s="290" t="s">
        <v>158</v>
      </c>
      <c r="AT43" s="290" t="s">
        <v>473</v>
      </c>
      <c r="AU43" s="290" t="s">
        <v>475</v>
      </c>
      <c r="AX43" s="290" t="s">
        <v>516</v>
      </c>
      <c r="AY43" s="290" t="s">
        <v>68</v>
      </c>
      <c r="AZ43" s="290" t="s">
        <v>69</v>
      </c>
      <c r="BA43" s="290" t="s">
        <v>158</v>
      </c>
      <c r="BB43" s="290" t="s">
        <v>473</v>
      </c>
      <c r="BC43" s="290" t="s">
        <v>475</v>
      </c>
      <c r="BG43" s="290" t="s">
        <v>516</v>
      </c>
      <c r="BH43" s="290" t="s">
        <v>68</v>
      </c>
      <c r="BI43" s="290" t="s">
        <v>69</v>
      </c>
      <c r="BJ43" s="290" t="s">
        <v>158</v>
      </c>
      <c r="BK43" s="290" t="s">
        <v>473</v>
      </c>
      <c r="BL43" s="290" t="s">
        <v>475</v>
      </c>
      <c r="BM43" s="290"/>
      <c r="BO43" s="290" t="s">
        <v>516</v>
      </c>
      <c r="BP43" s="290" t="s">
        <v>68</v>
      </c>
      <c r="BQ43" s="290" t="s">
        <v>69</v>
      </c>
      <c r="BR43" s="290" t="s">
        <v>158</v>
      </c>
      <c r="BS43" s="290" t="s">
        <v>473</v>
      </c>
      <c r="BT43" s="290" t="s">
        <v>475</v>
      </c>
    </row>
    <row r="44" spans="1:73" ht="15" x14ac:dyDescent="0.25">
      <c r="A44" s="433">
        <v>0</v>
      </c>
      <c r="B44" s="367">
        <f>'GF diets No L-Val + WD'!B$353</f>
        <v>73.97283598564384</v>
      </c>
      <c r="C44" s="367">
        <f>'GF diets No L-Val + WD'!C$353</f>
        <v>73.967856887824908</v>
      </c>
      <c r="D44" s="367">
        <f>'GF diets No L-Val + WD'!D$353</f>
        <v>73.959733111485349</v>
      </c>
      <c r="E44" s="367">
        <f>'GF diets No L-Val + WD'!E$353</f>
        <v>73.952776279957178</v>
      </c>
      <c r="F44" s="367">
        <f>'GF diets No L-Val + WD'!F$353</f>
        <v>73.947268075350891</v>
      </c>
      <c r="G44" s="367">
        <f>'GF diets No L-Val + WD'!G$353</f>
        <v>73.944010160900064</v>
      </c>
      <c r="H44" s="367"/>
      <c r="I44" s="433">
        <v>0</v>
      </c>
      <c r="J44" s="367">
        <f>'GF diets No L-Val + WD'!B$316</f>
        <v>8.5675537105360302</v>
      </c>
      <c r="K44" s="367">
        <f>'GF diets No L-Val + WD'!C$316</f>
        <v>8.6397459364158564</v>
      </c>
      <c r="L44" s="367">
        <f>'GF diets No L-Val + WD'!D$316</f>
        <v>8.7042340935531328</v>
      </c>
      <c r="M44" s="367">
        <f>'GF diets No L-Val + WD'!E$316</f>
        <v>8.7574905031042753</v>
      </c>
      <c r="N44" s="367">
        <f>'GF diets No L-Val + WD'!F$316</f>
        <v>8.7980354970428483</v>
      </c>
      <c r="O44" s="367">
        <f>'GF diets No L-Val + WD'!G$316</f>
        <v>8.8153381410832843</v>
      </c>
      <c r="P44" s="367"/>
      <c r="Q44" s="433">
        <v>0</v>
      </c>
      <c r="R44" s="367">
        <f>'GF diets No L-Val + WD'!B$351*'GF diets No L-Val'!B$353/100</f>
        <v>62.876858678395237</v>
      </c>
      <c r="S44" s="367">
        <f>'GF diets No L-Val + WD'!C$351*'GF diets No L-Val'!C$353/100</f>
        <v>88.761376359481872</v>
      </c>
      <c r="T44" s="367">
        <f>'GF diets No L-Val + WD'!D$351*'GF diets No L-Val'!D$353/100</f>
        <v>118.33551366385396</v>
      </c>
      <c r="U44" s="367">
        <f>'GF diets No L-Val + WD'!E$351*'GF diets No L-Val'!E$353/100</f>
        <v>147.90549325097103</v>
      </c>
      <c r="V44" s="367">
        <f>'GF diets No L-Val + WD'!F$351*'GF diets No L-Val'!F$353/100</f>
        <v>177.47338407631634</v>
      </c>
      <c r="W44" s="367">
        <f>'GF diets No L-Val + WD'!G$351*'GF diets No L-Val'!G$353/100</f>
        <v>210.74036224391301</v>
      </c>
      <c r="Y44" s="433">
        <v>0</v>
      </c>
      <c r="Z44" s="367">
        <f>'GF diets No L-Val + WD'!B$342</f>
        <v>757.46635553023782</v>
      </c>
      <c r="AA44" s="367">
        <f>'GF diets No L-Val + WD'!C$342</f>
        <v>870.42326519783569</v>
      </c>
      <c r="AB44" s="367">
        <f>'GF diets No L-Val + WD'!D$342</f>
        <v>946.21888727648684</v>
      </c>
      <c r="AC44" s="367">
        <f>'GF diets No L-Val + WD'!E$342</f>
        <v>982.61557306834152</v>
      </c>
      <c r="AD44" s="367">
        <f>'GF diets No L-Val + WD'!F$342</f>
        <v>976.63637619430801</v>
      </c>
      <c r="AE44" s="367">
        <f>'GF diets No L-Val + WD'!G$342</f>
        <v>919.74779687896194</v>
      </c>
      <c r="AF44" s="367"/>
      <c r="AG44" s="433">
        <v>0</v>
      </c>
      <c r="AH44" s="367">
        <f>'GF diets No L-Val + WD'!B$344</f>
        <v>541.48123876174384</v>
      </c>
      <c r="AI44" s="367">
        <f>'GF diets No L-Val + WD'!C$344</f>
        <v>471.05106861362759</v>
      </c>
      <c r="AJ44" s="367">
        <f>'GF diets No L-Val + WD'!D$344</f>
        <v>410.02340376494885</v>
      </c>
      <c r="AK44" s="367">
        <f>'GF diets No L-Val + WD'!E$344</f>
        <v>360.7957609066396</v>
      </c>
      <c r="AL44" s="367">
        <f>'GF diets No L-Val + WD'!F$344</f>
        <v>326.28328855841602</v>
      </c>
      <c r="AM44" s="367">
        <f>'GF diets No L-Val + WD'!G$344</f>
        <v>301.12774430436968</v>
      </c>
      <c r="AN44" s="367"/>
      <c r="AO44" s="433">
        <v>0</v>
      </c>
      <c r="AP44" s="367">
        <f t="shared" ref="AP44:AP50" si="48">1/(AH44/1000)</f>
        <v>1.846786053542306</v>
      </c>
      <c r="AQ44" s="367">
        <f t="shared" ref="AQ44:AQ50" si="49">1/(AI44/1000)</f>
        <v>2.1229120718123977</v>
      </c>
      <c r="AR44" s="367">
        <f t="shared" ref="AR44:AR50" si="50">1/(AJ44/1000)</f>
        <v>2.4388851729382326</v>
      </c>
      <c r="AS44" s="367">
        <f t="shared" ref="AS44:AS50" si="51">1/(AK44/1000)</f>
        <v>2.7716511898230491</v>
      </c>
      <c r="AT44" s="367">
        <f t="shared" ref="AT44:AT50" si="52">1/(AL44/1000)</f>
        <v>3.0648213839519558</v>
      </c>
      <c r="AU44" s="367">
        <f t="shared" ref="AU44:AU50" si="53">1/(AM44/1000)</f>
        <v>3.3208497686258829</v>
      </c>
      <c r="AW44" s="433">
        <v>0</v>
      </c>
      <c r="AX44" s="367">
        <f>'GF diets No L-Val + WD'!B$351</f>
        <v>84.999929826400006</v>
      </c>
      <c r="AY44" s="367">
        <f>'GF diets No L-Val + WD'!C$351</f>
        <v>119.99992982640001</v>
      </c>
      <c r="AZ44" s="367">
        <f>'GF diets No L-Val + WD'!D$351</f>
        <v>159.99991980160002</v>
      </c>
      <c r="BA44" s="367">
        <f>'GF diets No L-Val + WD'!E$351</f>
        <v>199.99991980160002</v>
      </c>
      <c r="BB44" s="367">
        <f>'GF diets No L-Val + WD'!F$351</f>
        <v>239.99991980160002</v>
      </c>
      <c r="BC44" s="367">
        <f>'GF diets No L-Val + WD'!G$351</f>
        <v>284.9999097768</v>
      </c>
      <c r="BF44" s="433">
        <v>0</v>
      </c>
      <c r="BG44" s="367">
        <f>AX44-50</f>
        <v>34.999929826400006</v>
      </c>
      <c r="BH44" s="367">
        <f>AY44-85</f>
        <v>34.999929826400006</v>
      </c>
      <c r="BI44" s="367">
        <f>AZ44-120</f>
        <v>39.999919801600015</v>
      </c>
      <c r="BJ44" s="367">
        <f>BA44-160</f>
        <v>39.999919801600015</v>
      </c>
      <c r="BK44" s="367">
        <f>BB44-200</f>
        <v>39.999919801600015</v>
      </c>
      <c r="BL44" s="367">
        <f>BC44-240</f>
        <v>44.999909776799996</v>
      </c>
      <c r="BM44" s="367"/>
      <c r="BN44" s="367" t="s">
        <v>570</v>
      </c>
      <c r="BO44" s="367">
        <f>VLOOKUP('DDGS Calculator'!$C$31,Performance!AW44:AX50,2,FALSE)</f>
        <v>84.999929826400006</v>
      </c>
      <c r="BP44" s="367">
        <f>BO44+VLOOKUP('DDGS Calculator'!$D$31,Performance!BF44:BL50,3,FALSE)</f>
        <v>119.99985965280001</v>
      </c>
      <c r="BQ44" s="367">
        <f>BP44+VLOOKUP('DDGS Calculator'!$E$31,Performance!BF44:BL50,4,FALSE)</f>
        <v>159.99977945440003</v>
      </c>
      <c r="BR44" s="367">
        <f>BQ44+(VLOOKUP('DDGS Calculator'!$F$31,Performance!BF44:BL50,5,FALSE))</f>
        <v>199.99969925600004</v>
      </c>
      <c r="BS44" s="367">
        <f>BR44+VLOOKUP('DDGS Calculator'!$G$31,Performance!BF44:BL50,6,FALSE)</f>
        <v>239.99961905760006</v>
      </c>
      <c r="BT44" s="367">
        <f>BS44+VLOOKUP('DDGS Calculator'!$H$31,Performance!BF44:BL50,7,FALSE)</f>
        <v>284.99952883440005</v>
      </c>
      <c r="BU44" s="420"/>
    </row>
    <row r="45" spans="1:73" ht="15" x14ac:dyDescent="0.25">
      <c r="A45" s="433">
        <v>0.05</v>
      </c>
      <c r="B45" s="367">
        <f>'GF diets No L-Val + WD'!I$353</f>
        <v>73.828399741686923</v>
      </c>
      <c r="C45" s="367">
        <f>'GF diets No L-Val + WD'!J$353</f>
        <v>73.823469685187504</v>
      </c>
      <c r="D45" s="367">
        <f>'GF diets No L-Val + WD'!K$353</f>
        <v>73.815421891542698</v>
      </c>
      <c r="E45" s="367">
        <f>'GF diets No L-Val + WD'!L$353</f>
        <v>73.808383225998156</v>
      </c>
      <c r="F45" s="367">
        <f>'GF diets No L-Val + WD'!M$353</f>
        <v>73.802833685574498</v>
      </c>
      <c r="G45" s="367">
        <f>'GF diets No L-Val + WD'!N$353</f>
        <v>73.882678384173261</v>
      </c>
      <c r="H45" s="420"/>
      <c r="I45" s="433">
        <v>0.05</v>
      </c>
      <c r="J45" s="367">
        <f>'GF diets No L-Val + WD'!I$316</f>
        <v>9.7722934215788015</v>
      </c>
      <c r="K45" s="367">
        <f>'GF diets No L-Val + WD'!J$316</f>
        <v>9.8437745945440067</v>
      </c>
      <c r="L45" s="367">
        <f>'GF diets No L-Val + WD'!K$316</f>
        <v>9.9076860389027352</v>
      </c>
      <c r="M45" s="367">
        <f>'GF diets No L-Val + WD'!L$316</f>
        <v>9.9625547470046598</v>
      </c>
      <c r="N45" s="367">
        <f>'GF diets No L-Val + WD'!M$316</f>
        <v>10.002508724199311</v>
      </c>
      <c r="O45" s="367">
        <f>'GF diets No L-Val + WD'!N$316</f>
        <v>8.8153381410832843</v>
      </c>
      <c r="P45" s="367"/>
      <c r="Q45" s="433">
        <v>0.05</v>
      </c>
      <c r="R45" s="367">
        <f>'GF diets No L-Val + WD'!I$351*'GF diets No L-Val'!I$353/100</f>
        <v>62.587785907979068</v>
      </c>
      <c r="S45" s="367">
        <f>'GF diets No L-Val + WD'!J$351*'GF diets No L-Val'!J$353/100</f>
        <v>88.429721695930098</v>
      </c>
      <c r="T45" s="367">
        <f>'GF diets No L-Val + WD'!K$351*'GF diets No L-Val'!K$353/100</f>
        <v>117.91085330104403</v>
      </c>
      <c r="U45" s="367">
        <f>'GF diets No L-Val + WD'!L$351*'GF diets No L-Val'!L$353/100</f>
        <v>147.38175802596029</v>
      </c>
      <c r="V45" s="367">
        <f>'GF diets No L-Val + WD'!M$351*'GF diets No L-Val'!M$353/100</f>
        <v>176.80919659088778</v>
      </c>
      <c r="W45" s="367">
        <f>'GF diets No L-Val + WD'!N$351*'GF diets No L-Val'!N$353/100</f>
        <v>210.32874028654945</v>
      </c>
      <c r="Y45" s="433">
        <v>0.05</v>
      </c>
      <c r="Z45" s="367">
        <f>'GF diets No L-Val + WD'!I$342</f>
        <v>752.59141313154385</v>
      </c>
      <c r="AA45" s="367">
        <f>'GF diets No L-Val + WD'!J$342</f>
        <v>865.08750767091408</v>
      </c>
      <c r="AB45" s="367">
        <f>'GF diets No L-Val + WD'!K$342</f>
        <v>940.00942055353994</v>
      </c>
      <c r="AC45" s="367">
        <f>'GF diets No L-Val + WD'!L$342</f>
        <v>974.79583887856711</v>
      </c>
      <c r="AD45" s="367">
        <f>'GF diets No L-Val + WD'!M$342</f>
        <v>966.1311541434236</v>
      </c>
      <c r="AE45" s="367">
        <f>'GF diets No L-Val + WD'!N$342</f>
        <v>919.74779687896194</v>
      </c>
      <c r="AF45" s="420"/>
      <c r="AG45" s="433">
        <v>0.05</v>
      </c>
      <c r="AH45" s="367">
        <f>'GF diets No L-Val + WD'!I$344</f>
        <v>541.82150887571606</v>
      </c>
      <c r="AI45" s="367">
        <f>'GF diets No L-Val + WD'!J$344</f>
        <v>471.24993400174304</v>
      </c>
      <c r="AJ45" s="367">
        <f>'GF diets No L-Val + WD'!K$344</f>
        <v>409.94453044447192</v>
      </c>
      <c r="AK45" s="367">
        <f>'GF diets No L-Val + WD'!L$344</f>
        <v>360.09326303576006</v>
      </c>
      <c r="AL45" s="367">
        <f>'GF diets No L-Val + WD'!M$344</f>
        <v>324.24312512712072</v>
      </c>
      <c r="AM45" s="367">
        <f>'GF diets No L-Val + WD'!N$344</f>
        <v>301.12774430436968</v>
      </c>
      <c r="AN45" s="420"/>
      <c r="AO45" s="433">
        <v>0.05</v>
      </c>
      <c r="AP45" s="367">
        <f t="shared" si="48"/>
        <v>1.8456262507463166</v>
      </c>
      <c r="AQ45" s="367">
        <f t="shared" si="49"/>
        <v>2.1220162123063582</v>
      </c>
      <c r="AR45" s="367">
        <f t="shared" si="50"/>
        <v>2.4393544144027861</v>
      </c>
      <c r="AS45" s="367">
        <f t="shared" si="51"/>
        <v>2.7770583419681811</v>
      </c>
      <c r="AT45" s="367">
        <f t="shared" si="52"/>
        <v>3.0841054829086856</v>
      </c>
      <c r="AU45" s="367">
        <f t="shared" si="53"/>
        <v>3.3208497686258829</v>
      </c>
      <c r="AW45" s="433">
        <v>0.05</v>
      </c>
      <c r="AX45" s="367">
        <f>'GF diets No L-Val + WD'!I$351</f>
        <v>84.774674958367157</v>
      </c>
      <c r="AY45" s="367">
        <f>'GF diets No L-Val + WD'!J$351</f>
        <v>119.78537729671801</v>
      </c>
      <c r="AZ45" s="367">
        <f>'GF diets No L-Val + WD'!K$351</f>
        <v>159.73742380595064</v>
      </c>
      <c r="BA45" s="367">
        <f>'GF diets No L-Val + WD'!L$351</f>
        <v>199.68159656699643</v>
      </c>
      <c r="BB45" s="367">
        <f>'GF diets No L-Val + WD'!M$351</f>
        <v>239.5696584553323</v>
      </c>
      <c r="BC45" s="367">
        <f>'GF diets No L-Val + WD'!N$351</f>
        <v>284.9999097768</v>
      </c>
      <c r="BD45" s="420"/>
      <c r="BF45" s="433">
        <v>0.05</v>
      </c>
      <c r="BG45" s="367">
        <f t="shared" ref="BG45:BG50" si="54">AX45-50</f>
        <v>34.774674958367157</v>
      </c>
      <c r="BH45" s="367">
        <f t="shared" ref="BH45:BH50" si="55">AY45-85</f>
        <v>34.785377296718011</v>
      </c>
      <c r="BI45" s="367">
        <f t="shared" ref="BI45:BI50" si="56">AZ45-120</f>
        <v>39.737423805950641</v>
      </c>
      <c r="BJ45" s="367">
        <f t="shared" ref="BJ45:BJ50" si="57">BA45-160</f>
        <v>39.681596566996433</v>
      </c>
      <c r="BK45" s="367">
        <f t="shared" ref="BK45:BK50" si="58">BB45-200</f>
        <v>39.569658455332302</v>
      </c>
      <c r="BL45" s="367">
        <f t="shared" ref="BL45:BL50" si="59">BC45-240</f>
        <v>44.999909776799996</v>
      </c>
      <c r="BM45" s="367"/>
      <c r="BN45" s="367" t="s">
        <v>571</v>
      </c>
      <c r="BO45" s="367"/>
      <c r="BP45" s="367"/>
      <c r="BQ45" s="367"/>
      <c r="BR45" s="367"/>
      <c r="BS45" s="367"/>
      <c r="BT45" s="367">
        <f>((0.03492*22.19)-(0.05092*VLOOKUP('DDGS Calculator'!$G$31,Performance!I43:O50,6,FALSE))-(0.06897*VLOOKUP('DDGS Calculator'!$H$31,Performance!I43:O50,7,FALSE))-(0.00289*VLOOKUP('DDGS Calculator'!$H$31,Performance!I43:O50,7,FALSE)*22.19)+'DDGS Calculator'!$G$9)</f>
        <v>74.153565259716714</v>
      </c>
      <c r="BU45" s="420"/>
    </row>
    <row r="46" spans="1:73" ht="15" x14ac:dyDescent="0.25">
      <c r="A46" s="433">
        <v>0.1</v>
      </c>
      <c r="B46" s="367">
        <f>'GF diets No L-Val + WD'!P$353</f>
        <v>73.684085265028074</v>
      </c>
      <c r="C46" s="367">
        <f>'GF diets No L-Val + WD'!Q$353</f>
        <v>73.679181079333631</v>
      </c>
      <c r="D46" s="367">
        <f>'GF diets No L-Val + WD'!R$353</f>
        <v>73.671175292758278</v>
      </c>
      <c r="E46" s="367">
        <f>'GF diets No L-Val + WD'!S$353</f>
        <v>73.664142001094334</v>
      </c>
      <c r="F46" s="367">
        <f>'GF diets No L-Val + WD'!T$353</f>
        <v>73.658657830837186</v>
      </c>
      <c r="G46" s="367">
        <f>'GF diets No L-Val + WD'!U$353</f>
        <v>73.821466800500005</v>
      </c>
      <c r="H46" s="420"/>
      <c r="I46" s="433">
        <v>0.1</v>
      </c>
      <c r="J46" s="367">
        <f>'GF diets No L-Val + WD'!P$316</f>
        <v>10.97601747411734</v>
      </c>
      <c r="K46" s="367">
        <f>'GF diets No L-Val + WD'!Q$316</f>
        <v>11.047123544792175</v>
      </c>
      <c r="L46" s="367">
        <f>'GF diets No L-Val + WD'!R$316</f>
        <v>11.110702861257101</v>
      </c>
      <c r="M46" s="367">
        <f>'GF diets No L-Val + WD'!S$316</f>
        <v>11.165738860525623</v>
      </c>
      <c r="N46" s="367">
        <f>'GF diets No L-Val + WD'!T$316</f>
        <v>11.204621522181363</v>
      </c>
      <c r="O46" s="367">
        <f>'GF diets No L-Val + WD'!U$316</f>
        <v>8.8153381410832843</v>
      </c>
      <c r="P46" s="367"/>
      <c r="Q46" s="433">
        <v>0.1</v>
      </c>
      <c r="R46" s="367">
        <f>'GF diets No L-Val + WD'!P$351*'GF diets No L-Val'!P$353/100</f>
        <v>62.330267711476218</v>
      </c>
      <c r="S46" s="367">
        <f>'GF diets No L-Val + WD'!Q$351*'GF diets No L-Val'!Q$353/100</f>
        <v>88.12608270812423</v>
      </c>
      <c r="T46" s="367">
        <f>'GF diets No L-Val + WD'!R$351*'GF diets No L-Val'!R$353/100</f>
        <v>117.51328131359766</v>
      </c>
      <c r="U46" s="367">
        <f>'GF diets No L-Val + WD'!S$351*'GF diets No L-Val'!S$353/100</f>
        <v>146.86964479699714</v>
      </c>
      <c r="V46" s="367">
        <f>'GF diets No L-Val + WD'!T$351*'GF diets No L-Val'!T$353/100</f>
        <v>176.16325929404746</v>
      </c>
      <c r="W46" s="367">
        <f>'GF diets No L-Val + WD'!U$351*'GF diets No L-Val'!U$353/100</f>
        <v>209.91806193479221</v>
      </c>
      <c r="Y46" s="433">
        <v>0.1</v>
      </c>
      <c r="Z46" s="367">
        <f>'GF diets No L-Val + WD'!P$342</f>
        <v>748.62113056984265</v>
      </c>
      <c r="AA46" s="367">
        <f>'GF diets No L-Val + WD'!Q$342</f>
        <v>860.67248275182237</v>
      </c>
      <c r="AB46" s="367">
        <f>'GF diets No L-Val + WD'!R$342</f>
        <v>934.64211304565606</v>
      </c>
      <c r="AC46" s="367">
        <f>'GF diets No L-Val + WD'!S$342</f>
        <v>967.32292311801757</v>
      </c>
      <c r="AD46" s="367">
        <f>'GF diets No L-Val + WD'!T$342</f>
        <v>956.16918565871811</v>
      </c>
      <c r="AE46" s="367">
        <f>'GF diets No L-Val + WD'!U$342</f>
        <v>919.74779687896194</v>
      </c>
      <c r="AF46" s="420"/>
      <c r="AG46" s="433">
        <v>0.1</v>
      </c>
      <c r="AH46" s="367">
        <f>'GF diets No L-Val + WD'!P$344</f>
        <v>541.66115958367732</v>
      </c>
      <c r="AI46" s="367">
        <f>'GF diets No L-Val + WD'!Q$344</f>
        <v>471.06464741462037</v>
      </c>
      <c r="AJ46" s="367">
        <f>'GF diets No L-Val + WD'!R$344</f>
        <v>409.59769975491599</v>
      </c>
      <c r="AK46" s="367">
        <f>'GF diets No L-Val + WD'!S$344</f>
        <v>359.05749083225191</v>
      </c>
      <c r="AL46" s="367">
        <f>'GF diets No L-Val + WD'!T$344</f>
        <v>322.09014957201407</v>
      </c>
      <c r="AM46" s="367">
        <f>'GF diets No L-Val + WD'!U$344</f>
        <v>301.12774430436968</v>
      </c>
      <c r="AN46" s="420"/>
      <c r="AO46" s="433">
        <v>0.1</v>
      </c>
      <c r="AP46" s="367">
        <f t="shared" si="48"/>
        <v>1.8461726160476477</v>
      </c>
      <c r="AQ46" s="367">
        <f t="shared" si="49"/>
        <v>2.122850877238136</v>
      </c>
      <c r="AR46" s="367">
        <f t="shared" si="50"/>
        <v>2.4414199606061091</v>
      </c>
      <c r="AS46" s="367">
        <f t="shared" si="51"/>
        <v>2.7850693148947281</v>
      </c>
      <c r="AT46" s="367">
        <f t="shared" si="52"/>
        <v>3.1047208408229086</v>
      </c>
      <c r="AU46" s="367">
        <f t="shared" si="53"/>
        <v>3.3208497686258829</v>
      </c>
      <c r="AW46" s="433">
        <v>0.1</v>
      </c>
      <c r="AX46" s="367">
        <f>'GF diets No L-Val + WD'!P$351</f>
        <v>84.591221411361403</v>
      </c>
      <c r="AY46" s="367">
        <f>'GF diets No L-Val + WD'!Q$351</f>
        <v>119.60784772191616</v>
      </c>
      <c r="AZ46" s="367">
        <f>'GF diets No L-Val + WD'!R$351</f>
        <v>159.51052884200283</v>
      </c>
      <c r="BA46" s="367">
        <f>'GF diets No L-Val + WD'!S$351</f>
        <v>199.3773915059179</v>
      </c>
      <c r="BB46" s="367">
        <f>'GF diets No L-Val + WD'!T$351</f>
        <v>239.16164709194138</v>
      </c>
      <c r="BC46" s="367">
        <f>'GF diets No L-Val + WD'!U$351</f>
        <v>284.9999097768</v>
      </c>
      <c r="BD46" s="420"/>
      <c r="BF46" s="433">
        <v>0.1</v>
      </c>
      <c r="BG46" s="367">
        <f t="shared" si="54"/>
        <v>34.591221411361403</v>
      </c>
      <c r="BH46" s="367">
        <f t="shared" si="55"/>
        <v>34.607847721916158</v>
      </c>
      <c r="BI46" s="367">
        <f t="shared" si="56"/>
        <v>39.510528842002827</v>
      </c>
      <c r="BJ46" s="367">
        <f t="shared" si="57"/>
        <v>39.377391505917899</v>
      </c>
      <c r="BK46" s="367">
        <f t="shared" si="58"/>
        <v>39.161647091941376</v>
      </c>
      <c r="BL46" s="367">
        <f t="shared" si="59"/>
        <v>44.999909776799996</v>
      </c>
      <c r="BM46" s="367"/>
      <c r="BN46" s="367" t="s">
        <v>572</v>
      </c>
      <c r="BT46" s="367">
        <f>BT44*(BT45/100)</f>
        <v>211.33731160410198</v>
      </c>
    </row>
    <row r="47" spans="1:73" ht="15" x14ac:dyDescent="0.25">
      <c r="A47" s="433">
        <v>0.15</v>
      </c>
      <c r="B47" s="367">
        <f>'GF diets No L-Val + WD'!W$353</f>
        <v>73.539752700505488</v>
      </c>
      <c r="C47" s="367">
        <f>'GF diets No L-Val + WD'!X$353</f>
        <v>73.534871009615941</v>
      </c>
      <c r="D47" s="367">
        <f>'GF diets No L-Val + WD'!Y$353</f>
        <v>73.526874325262895</v>
      </c>
      <c r="E47" s="367">
        <f>'GF diets No L-Val + WD'!Z$353</f>
        <v>73.519882794159642</v>
      </c>
      <c r="F47" s="367">
        <f>'GF diets No L-Val + WD'!AA$353</f>
        <v>73.5144979168589</v>
      </c>
      <c r="G47" s="367">
        <f>'GF diets No L-Val + WD'!AB$353</f>
        <v>73.760259002602396</v>
      </c>
      <c r="H47" s="420"/>
      <c r="I47" s="433">
        <v>0.15</v>
      </c>
      <c r="J47" s="367">
        <f>'GF diets No L-Val + WD'!W$316</f>
        <v>12.179892397151711</v>
      </c>
      <c r="K47" s="367">
        <f>'GF diets No L-Val + WD'!X$316</f>
        <v>12.250672314355418</v>
      </c>
      <c r="L47" s="367">
        <f>'GF diets No L-Val + WD'!Y$316</f>
        <v>12.314360453677414</v>
      </c>
      <c r="M47" s="367">
        <f>'GF diets No L-Val + WD'!Z$316</f>
        <v>12.368710621126661</v>
      </c>
      <c r="N47" s="367">
        <f>'GF diets No L-Val + WD'!AA$316</f>
        <v>12.406659972645041</v>
      </c>
      <c r="O47" s="367">
        <f>'GF diets No L-Val + WD'!AB$316</f>
        <v>8.8153381410832843</v>
      </c>
      <c r="P47" s="367"/>
      <c r="Q47" s="433">
        <v>0.15</v>
      </c>
      <c r="R47" s="367">
        <f>'GF diets No L-Val + WD'!W$351*'GF diets No L-Val'!W$353/100</f>
        <v>62.096018202878938</v>
      </c>
      <c r="S47" s="367">
        <f>'GF diets No L-Val + WD'!X$351*'GF diets No L-Val'!X$353/100</f>
        <v>87.83959340042901</v>
      </c>
      <c r="T47" s="367">
        <f>'GF diets No L-Val + WD'!Y$351*'GF diets No L-Val'!Y$353/100</f>
        <v>117.11995900407761</v>
      </c>
      <c r="U47" s="367">
        <f>'GF diets No L-Val + WD'!Z$351*'GF diets No L-Val'!Z$353/100</f>
        <v>146.37566343464448</v>
      </c>
      <c r="V47" s="367">
        <f>'GF diets No L-Val + WD'!AA$351*'GF diets No L-Val'!AA$353/100</f>
        <v>175.53136064218339</v>
      </c>
      <c r="W47" s="367">
        <f>'GF diets No L-Val + WD'!AB$351*'GF diets No L-Val'!AB$353/100</f>
        <v>209.50772949876185</v>
      </c>
      <c r="Y47" s="433">
        <v>0.15</v>
      </c>
      <c r="Z47" s="367">
        <f>'GF diets No L-Val + WD'!W$342</f>
        <v>745.32048522697846</v>
      </c>
      <c r="AA47" s="367">
        <f>'GF diets No L-Val + WD'!X$342</f>
        <v>856.82099481867851</v>
      </c>
      <c r="AB47" s="367">
        <f>'GF diets No L-Val + WD'!Y$342</f>
        <v>929.39325528346376</v>
      </c>
      <c r="AC47" s="367">
        <f>'GF diets No L-Val + WD'!Z$342</f>
        <v>960.42772548353014</v>
      </c>
      <c r="AD47" s="367">
        <f>'GF diets No L-Val + WD'!AA$342</f>
        <v>946.63313524160253</v>
      </c>
      <c r="AE47" s="367">
        <f>'GF diets No L-Val + WD'!AB$342</f>
        <v>919.74779687896194</v>
      </c>
      <c r="AF47" s="420"/>
      <c r="AG47" s="433">
        <v>0.15</v>
      </c>
      <c r="AH47" s="367">
        <f>'GF diets No L-Val + WD'!W$344</f>
        <v>540.76312985901927</v>
      </c>
      <c r="AI47" s="367">
        <f>'GF diets No L-Val + WD'!X$344</f>
        <v>470.30487978575286</v>
      </c>
      <c r="AJ47" s="367">
        <f>'GF diets No L-Val + WD'!Y$344</f>
        <v>408.70380713621705</v>
      </c>
      <c r="AK47" s="367">
        <f>'GF diets No L-Val + WD'!Z$344</f>
        <v>357.81692622772732</v>
      </c>
      <c r="AL47" s="367">
        <f>'GF diets No L-Val + WD'!AA$344</f>
        <v>319.79448060749678</v>
      </c>
      <c r="AM47" s="367">
        <f>'GF diets No L-Val + WD'!AB$344</f>
        <v>301.12774430436968</v>
      </c>
      <c r="AN47" s="420"/>
      <c r="AO47" s="433">
        <v>0.15</v>
      </c>
      <c r="AP47" s="367">
        <f t="shared" si="48"/>
        <v>1.8492385016351003</v>
      </c>
      <c r="AQ47" s="367">
        <f t="shared" si="49"/>
        <v>2.1262802981239521</v>
      </c>
      <c r="AR47" s="367">
        <f t="shared" si="50"/>
        <v>2.4467596888979055</v>
      </c>
      <c r="AS47" s="367">
        <f t="shared" si="51"/>
        <v>2.7947252538958001</v>
      </c>
      <c r="AT47" s="367">
        <f t="shared" si="52"/>
        <v>3.1270083151540096</v>
      </c>
      <c r="AU47" s="367">
        <f t="shared" si="53"/>
        <v>3.3208497686258829</v>
      </c>
      <c r="AW47" s="433">
        <v>0.15</v>
      </c>
      <c r="AX47" s="367">
        <f>'GF diets No L-Val + WD'!W$351</f>
        <v>84.438709572179604</v>
      </c>
      <c r="AY47" s="367">
        <f>'GF diets No L-Val + WD'!X$351</f>
        <v>119.45297815092717</v>
      </c>
      <c r="AZ47" s="367">
        <f>'GF diets No L-Val + WD'!Y$351</f>
        <v>159.28864116536596</v>
      </c>
      <c r="BA47" s="367">
        <f>'GF diets No L-Val + WD'!Z$351</f>
        <v>199.09670400926214</v>
      </c>
      <c r="BB47" s="367">
        <f>'GF diets No L-Val + WD'!AA$351</f>
        <v>238.77108001295238</v>
      </c>
      <c r="BC47" s="367">
        <f>'GF diets No L-Val + WD'!AB$351</f>
        <v>284.9999097768</v>
      </c>
      <c r="BD47" s="420"/>
      <c r="BF47" s="433">
        <v>0.15</v>
      </c>
      <c r="BG47" s="367">
        <f t="shared" si="54"/>
        <v>34.438709572179604</v>
      </c>
      <c r="BH47" s="367">
        <f t="shared" si="55"/>
        <v>34.452978150927166</v>
      </c>
      <c r="BI47" s="367">
        <f t="shared" si="56"/>
        <v>39.288641165365959</v>
      </c>
      <c r="BJ47" s="367">
        <f t="shared" si="57"/>
        <v>39.09670400926214</v>
      </c>
      <c r="BK47" s="367">
        <f t="shared" si="58"/>
        <v>38.771080012952382</v>
      </c>
      <c r="BL47" s="367">
        <f t="shared" si="59"/>
        <v>44.999909776799996</v>
      </c>
      <c r="BM47" s="367"/>
    </row>
    <row r="48" spans="1:73" ht="15" x14ac:dyDescent="0.25">
      <c r="A48" s="433">
        <v>0.2</v>
      </c>
      <c r="B48" s="367">
        <f>'GF diets No L-Val + WD'!AD$353</f>
        <v>73.395426256137313</v>
      </c>
      <c r="C48" s="367">
        <f>'GF diets No L-Val + WD'!AE$353</f>
        <v>73.390536279064307</v>
      </c>
      <c r="D48" s="367">
        <f>'GF diets No L-Val + WD'!AF$353</f>
        <v>73.382560952889435</v>
      </c>
      <c r="E48" s="367">
        <f>'GF diets No L-Val + WD'!AG$353</f>
        <v>73.375689612562525</v>
      </c>
      <c r="F48" s="367">
        <f>'GF diets No L-Val + WD'!AH$353</f>
        <v>73.370735227410734</v>
      </c>
      <c r="G48" s="367">
        <f>'GF diets No L-Val + WD'!AI$353</f>
        <v>73.699311590799979</v>
      </c>
      <c r="H48" s="420"/>
      <c r="I48" s="433">
        <v>0.2</v>
      </c>
      <c r="J48" s="367">
        <f>'GF diets No L-Val + WD'!AD$316</f>
        <v>13.383716272105108</v>
      </c>
      <c r="K48" s="367">
        <f>'GF diets No L-Val + WD'!AE$316</f>
        <v>13.454616331160009</v>
      </c>
      <c r="L48" s="367">
        <f>'GF diets No L-Val + WD'!AF$316</f>
        <v>13.517906097258157</v>
      </c>
      <c r="M48" s="367">
        <f>'GF diets No L-Val + WD'!AG$316</f>
        <v>13.57080772749149</v>
      </c>
      <c r="N48" s="367">
        <f>'GF diets No L-Val + WD'!AH$316</f>
        <v>13.603584792016889</v>
      </c>
      <c r="O48" s="367">
        <f>'GF diets No L-Val + WD'!AI$316</f>
        <v>8.8153381410832843</v>
      </c>
      <c r="Q48" s="433">
        <v>0.2</v>
      </c>
      <c r="R48" s="367">
        <f>'GF diets No L-Val + WD'!AD$351*'GF diets No L-Val'!AD$353/100</f>
        <v>61.884960301276486</v>
      </c>
      <c r="S48" s="367">
        <f>'GF diets No L-Val + WD'!AE$351*'GF diets No L-Val'!AE$353/100</f>
        <v>87.564803976903434</v>
      </c>
      <c r="T48" s="367">
        <f>'GF diets No L-Val + WD'!AF$351*'GF diets No L-Val'!AF$353/100</f>
        <v>116.74658493182753</v>
      </c>
      <c r="U48" s="367">
        <f>'GF diets No L-Val + WD'!AG$351*'GF diets No L-Val'!AG$353/100</f>
        <v>145.89569557631646</v>
      </c>
      <c r="V48" s="367">
        <f>'GF diets No L-Val + WD'!AH$351*'GF diets No L-Val'!AH$353/100</f>
        <v>174.90465267311822</v>
      </c>
      <c r="W48" s="367">
        <f>'GF diets No L-Val + WD'!AI$351*'GF diets No L-Val'!AI$353/100</f>
        <v>209.09927170607989</v>
      </c>
      <c r="Y48" s="433">
        <v>0.2</v>
      </c>
      <c r="Z48" s="367">
        <f>'GF diets No L-Val + WD'!AD$342</f>
        <v>742.69055046940025</v>
      </c>
      <c r="AA48" s="367">
        <f>'GF diets No L-Val + WD'!AE$342</f>
        <v>853.35182138732102</v>
      </c>
      <c r="AB48" s="367">
        <f>'GF diets No L-Val + WD'!AF$342</f>
        <v>924.76743851556557</v>
      </c>
      <c r="AC48" s="367">
        <f>'GF diets No L-Val + WD'!AG$342</f>
        <v>953.97017769775789</v>
      </c>
      <c r="AD48" s="367">
        <f>'GF diets No L-Val + WD'!AH$342</f>
        <v>937.20083374915134</v>
      </c>
      <c r="AE48" s="367">
        <f>'GF diets No L-Val + WD'!AI$342</f>
        <v>919.74779687896194</v>
      </c>
      <c r="AF48" s="420"/>
      <c r="AG48" s="433">
        <v>0.2</v>
      </c>
      <c r="AH48" s="367">
        <f>'GF diets No L-Val + WD'!AD$344</f>
        <v>539.10584573159451</v>
      </c>
      <c r="AI48" s="367">
        <f>'GF diets No L-Val + WD'!AE$344</f>
        <v>468.85186337965195</v>
      </c>
      <c r="AJ48" s="367">
        <f>'GF diets No L-Val + WD'!AF$344</f>
        <v>407.44613010989991</v>
      </c>
      <c r="AK48" s="367">
        <f>'GF diets No L-Val + WD'!AG$344</f>
        <v>356.32917138007082</v>
      </c>
      <c r="AL48" s="367">
        <f>'GF diets No L-Val + WD'!AH$344</f>
        <v>317.15327272306877</v>
      </c>
      <c r="AM48" s="367">
        <f>'GF diets No L-Val + WD'!AI$344</f>
        <v>301.12774430436968</v>
      </c>
      <c r="AN48" s="420"/>
      <c r="AO48" s="433">
        <v>0.2</v>
      </c>
      <c r="AP48" s="367">
        <f t="shared" si="48"/>
        <v>1.8549233103620837</v>
      </c>
      <c r="AQ48" s="367">
        <f t="shared" si="49"/>
        <v>2.1328698424949031</v>
      </c>
      <c r="AR48" s="367">
        <f t="shared" si="50"/>
        <v>2.4543121804354144</v>
      </c>
      <c r="AS48" s="367">
        <f t="shared" si="51"/>
        <v>2.806393863648541</v>
      </c>
      <c r="AT48" s="367">
        <f t="shared" si="52"/>
        <v>3.1530496009517073</v>
      </c>
      <c r="AU48" s="367">
        <f t="shared" si="53"/>
        <v>3.3208497686258829</v>
      </c>
      <c r="AW48" s="433">
        <v>0.2</v>
      </c>
      <c r="AX48" s="367">
        <f>'GF diets No L-Val + WD'!AD$351</f>
        <v>84.317189037514012</v>
      </c>
      <c r="AY48" s="367">
        <f>'GF diets No L-Val + WD'!AE$351</f>
        <v>119.31348156926133</v>
      </c>
      <c r="AZ48" s="367">
        <f>'GF diets No L-Val + WD'!AF$351</f>
        <v>159.09309162265021</v>
      </c>
      <c r="BA48" s="367">
        <f>'GF diets No L-Val + WD'!AG$351</f>
        <v>198.83383222246121</v>
      </c>
      <c r="BB48" s="367">
        <f>'GF diets No L-Val + WD'!AH$351</f>
        <v>238.38476216846632</v>
      </c>
      <c r="BC48" s="367">
        <f>'GF diets No L-Val + WD'!AI$351</f>
        <v>284.9999097768</v>
      </c>
      <c r="BD48" s="420"/>
      <c r="BF48" s="433">
        <v>0.2</v>
      </c>
      <c r="BG48" s="367">
        <f t="shared" si="54"/>
        <v>34.317189037514012</v>
      </c>
      <c r="BH48" s="367">
        <f t="shared" si="55"/>
        <v>34.313481569261327</v>
      </c>
      <c r="BI48" s="367">
        <f t="shared" si="56"/>
        <v>39.093091622650206</v>
      </c>
      <c r="BJ48" s="367">
        <f t="shared" si="57"/>
        <v>38.833832222461211</v>
      </c>
      <c r="BK48" s="367">
        <f t="shared" si="58"/>
        <v>38.384762168466324</v>
      </c>
      <c r="BL48" s="367">
        <f t="shared" si="59"/>
        <v>44.999909776799996</v>
      </c>
      <c r="BM48" s="367"/>
    </row>
    <row r="49" spans="1:73" ht="15" x14ac:dyDescent="0.25">
      <c r="A49" s="433">
        <v>0.25</v>
      </c>
      <c r="B49" s="367">
        <f>'GF diets No L-Val + WD'!AK$353</f>
        <v>73.251338161470329</v>
      </c>
      <c r="C49" s="367">
        <f>'GF diets No L-Val + WD'!AL$353</f>
        <v>73.246305874624596</v>
      </c>
      <c r="D49" s="367">
        <f>'GF diets No L-Val + WD'!AM$353</f>
        <v>73.238320644142092</v>
      </c>
      <c r="E49" s="367">
        <f>'GF diets No L-Val + WD'!AN$353</f>
        <v>73.231805407736175</v>
      </c>
      <c r="F49" s="367">
        <f>'GF diets No L-Val + WD'!AO$353</f>
        <v>73.227337036573971</v>
      </c>
      <c r="G49" s="367">
        <f>'GF diets No L-Val + WD'!AP$353</f>
        <v>73.638493353340266</v>
      </c>
      <c r="H49" s="420"/>
      <c r="I49" s="433">
        <v>0.25</v>
      </c>
      <c r="J49" s="367">
        <f>'GF diets No L-Val + WD'!AK$316</f>
        <v>14.585552077151283</v>
      </c>
      <c r="K49" s="367">
        <f>'GF diets No L-Val + WD'!AL$316</f>
        <v>14.658515493792445</v>
      </c>
      <c r="L49" s="367">
        <f>'GF diets No L-Val + WD'!AM$316</f>
        <v>14.720425502595312</v>
      </c>
      <c r="M49" s="367">
        <f>'GF diets No L-Val + WD'!AN$316</f>
        <v>14.769182625368545</v>
      </c>
      <c r="N49" s="367">
        <f>'GF diets No L-Val + WD'!AO$316</f>
        <v>14.79797280183068</v>
      </c>
      <c r="O49" s="367">
        <f>'GF diets No L-Val + WD'!AP$316</f>
        <v>8.8153381410832843</v>
      </c>
      <c r="P49" s="367"/>
      <c r="Q49" s="433">
        <v>0.25</v>
      </c>
      <c r="R49" s="367">
        <f>'GF diets No L-Val + WD'!AK$351*'GF diets No L-Val'!AK$353/100</f>
        <v>61.688821079662397</v>
      </c>
      <c r="S49" s="367">
        <f>'GF diets No L-Val + WD'!AL$351*'GF diets No L-Val'!AL$353/100</f>
        <v>87.310951507741976</v>
      </c>
      <c r="T49" s="367">
        <f>'GF diets No L-Val + WD'!AM$351*'GF diets No L-Val'!AM$353/100</f>
        <v>116.39286849905606</v>
      </c>
      <c r="U49" s="367">
        <f>'GF diets No L-Val + WD'!AN$351*'GF diets No L-Val'!AN$353/100</f>
        <v>145.42549968216366</v>
      </c>
      <c r="V49" s="367">
        <f>'GF diets No L-Val + WD'!AO$351*'GF diets No L-Val'!AO$353/100</f>
        <v>174.28955684138649</v>
      </c>
      <c r="W49" s="367">
        <f>'GF diets No L-Val + WD'!AP$351*'GF diets No L-Val'!AP$353/100</f>
        <v>208.69118981626539</v>
      </c>
      <c r="Y49" s="433">
        <v>0.25</v>
      </c>
      <c r="Z49" s="367">
        <f>'GF diets No L-Val + WD'!AK$342</f>
        <v>740.485091285458</v>
      </c>
      <c r="AA49" s="367">
        <f>'GF diets No L-Val + WD'!AL$342</f>
        <v>850.57562438691457</v>
      </c>
      <c r="AB49" s="367">
        <f>'GF diets No L-Val + WD'!AM$342</f>
        <v>920.75457010940886</v>
      </c>
      <c r="AC49" s="367">
        <f>'GF diets No L-Val + WD'!AN$342</f>
        <v>947.79441678421176</v>
      </c>
      <c r="AD49" s="367">
        <f>'GF diets No L-Val + WD'!AO$342</f>
        <v>928.08975082836355</v>
      </c>
      <c r="AE49" s="367">
        <f>'GF diets No L-Val + WD'!AP$342</f>
        <v>919.74779687896194</v>
      </c>
      <c r="AF49" s="420"/>
      <c r="AG49" s="433">
        <v>0.25</v>
      </c>
      <c r="AH49" s="367">
        <f>'GF diets No L-Val + WD'!AK$344</f>
        <v>536.98229774250331</v>
      </c>
      <c r="AI49" s="367">
        <f>'GF diets No L-Val + WD'!AL$344</f>
        <v>466.88584266745625</v>
      </c>
      <c r="AJ49" s="367">
        <f>'GF diets No L-Val + WD'!AM$344</f>
        <v>405.83767670373345</v>
      </c>
      <c r="AK49" s="367">
        <f>'GF diets No L-Val + WD'!AN$344</f>
        <v>354.40157021852133</v>
      </c>
      <c r="AL49" s="367">
        <f>'GF diets No L-Val + WD'!AO$344</f>
        <v>314.27564432564225</v>
      </c>
      <c r="AM49" s="367">
        <f>'GF diets No L-Val + WD'!AP$344</f>
        <v>301.12774430436968</v>
      </c>
      <c r="AN49" s="420"/>
      <c r="AO49" s="433">
        <v>0.25</v>
      </c>
      <c r="AP49" s="367">
        <f t="shared" si="48"/>
        <v>1.8622587824664669</v>
      </c>
      <c r="AQ49" s="367">
        <f t="shared" si="49"/>
        <v>2.1418511949017467</v>
      </c>
      <c r="AR49" s="367">
        <f t="shared" si="50"/>
        <v>2.4640393374073359</v>
      </c>
      <c r="AS49" s="367">
        <f t="shared" si="51"/>
        <v>2.8216579271457731</v>
      </c>
      <c r="AT49" s="367">
        <f t="shared" si="52"/>
        <v>3.1819201330276563</v>
      </c>
      <c r="AU49" s="367">
        <f t="shared" si="53"/>
        <v>3.3208497686258829</v>
      </c>
      <c r="AW49" s="433">
        <v>0.25</v>
      </c>
      <c r="AX49" s="367">
        <f>'GF diets No L-Val + WD'!AK$351</f>
        <v>84.215282106764661</v>
      </c>
      <c r="AY49" s="367">
        <f>'GF diets No L-Val + WD'!AL$351</f>
        <v>119.20184979320564</v>
      </c>
      <c r="AZ49" s="367">
        <f>'GF diets No L-Val + WD'!AM$351</f>
        <v>158.92345356278406</v>
      </c>
      <c r="BA49" s="367">
        <f>'GF diets No L-Val + WD'!AN$351</f>
        <v>198.58243132539374</v>
      </c>
      <c r="BB49" s="367">
        <f>'GF diets No L-Val + WD'!AO$351</f>
        <v>238.01160044142554</v>
      </c>
      <c r="BC49" s="367">
        <f>'GF diets No L-Val + WD'!AP$351</f>
        <v>284.9999097768</v>
      </c>
      <c r="BD49" s="420"/>
      <c r="BF49" s="433">
        <v>0.25</v>
      </c>
      <c r="BG49" s="367">
        <f t="shared" si="54"/>
        <v>34.215282106764661</v>
      </c>
      <c r="BH49" s="367">
        <f t="shared" si="55"/>
        <v>34.201849793205639</v>
      </c>
      <c r="BI49" s="367">
        <f t="shared" si="56"/>
        <v>38.923453562784061</v>
      </c>
      <c r="BJ49" s="367">
        <f t="shared" si="57"/>
        <v>38.582431325393742</v>
      </c>
      <c r="BK49" s="367">
        <f t="shared" si="58"/>
        <v>38.011600441425543</v>
      </c>
      <c r="BL49" s="367">
        <f t="shared" si="59"/>
        <v>44.999909776799996</v>
      </c>
      <c r="BM49" s="367"/>
    </row>
    <row r="50" spans="1:73" ht="15" x14ac:dyDescent="0.25">
      <c r="A50" s="433">
        <v>0.3</v>
      </c>
      <c r="B50" s="367">
        <f>'GF diets No L-Val + WD'!AR$353</f>
        <v>73.106914285373577</v>
      </c>
      <c r="C50" s="367">
        <f>'GF diets No L-Val + WD'!AS$353</f>
        <v>73.10193928363806</v>
      </c>
      <c r="D50" s="367">
        <f>'GF diets No L-Val + WD'!AT$353</f>
        <v>73.094099851998521</v>
      </c>
      <c r="E50" s="367">
        <f>'GF diets No L-Val + WD'!AU$353</f>
        <v>73.088199256539951</v>
      </c>
      <c r="F50" s="367">
        <f>'GF diets No L-Val + WD'!AV$353</f>
        <v>73.084133600109567</v>
      </c>
      <c r="G50" s="367">
        <f>'GF diets No L-Val + WD'!AW$353</f>
        <v>73.577673285695212</v>
      </c>
      <c r="H50" s="420"/>
      <c r="I50" s="433">
        <v>0.3</v>
      </c>
      <c r="J50" s="367">
        <f>'GF diets No L-Val + WD'!AR$316</f>
        <v>15.79018862812935</v>
      </c>
      <c r="K50" s="367">
        <f>'GF diets No L-Val + WD'!AS$316</f>
        <v>15.862321464659933</v>
      </c>
      <c r="L50" s="367">
        <f>'GF diets No L-Val + WD'!AT$316</f>
        <v>15.922730738306432</v>
      </c>
      <c r="M50" s="367">
        <f>'GF diets No L-Val + WD'!AU$316</f>
        <v>15.963684127381153</v>
      </c>
      <c r="N50" s="367">
        <f>'GF diets No L-Val + WD'!AV$316</f>
        <v>15.992396754011763</v>
      </c>
      <c r="O50" s="367">
        <f>'GF diets No L-Val + WD'!AW$316</f>
        <v>8.8153381410832843</v>
      </c>
      <c r="P50" s="367"/>
      <c r="Q50" s="433">
        <v>0.3</v>
      </c>
      <c r="R50" s="367">
        <f>'GF diets No L-Val + WD'!AR$351*'GF diets No L-Val'!AR$353/100</f>
        <v>61.524195260945852</v>
      </c>
      <c r="S50" s="367">
        <f>'GF diets No L-Val + WD'!AS$351*'GF diets No L-Val'!AS$353/100</f>
        <v>87.075734348245206</v>
      </c>
      <c r="T50" s="367">
        <f>'GF diets No L-Val + WD'!AT$351*'GF diets No L-Val'!AT$353/100</f>
        <v>116.05741030963674</v>
      </c>
      <c r="U50" s="367">
        <f>'GF diets No L-Val + WD'!AU$351*'GF diets No L-Val'!AU$353/100</f>
        <v>144.9677492913174</v>
      </c>
      <c r="V50" s="367">
        <f>'GF diets No L-Val + WD'!AV$351*'GF diets No L-Val'!AV$353/100</f>
        <v>173.68991594372713</v>
      </c>
      <c r="W50" s="367">
        <f>'GF diets No L-Val + WD'!AW$351*'GF diets No L-Val'!AW$353/100</f>
        <v>208.28309485503618</v>
      </c>
      <c r="Y50" s="433">
        <v>0.3</v>
      </c>
      <c r="Z50" s="367">
        <f>'GF diets No L-Val + WD'!AR$342</f>
        <v>739.21219320971636</v>
      </c>
      <c r="AA50" s="367">
        <f>'GF diets No L-Val + WD'!AS$342</f>
        <v>848.42796213456415</v>
      </c>
      <c r="AB50" s="367">
        <f>'GF diets No L-Val + WD'!AT$342</f>
        <v>917.31575363788306</v>
      </c>
      <c r="AC50" s="367">
        <f>'GF diets No L-Val + WD'!AU$342</f>
        <v>941.99410601919431</v>
      </c>
      <c r="AD50" s="367">
        <f>'GF diets No L-Val + WD'!AV$342</f>
        <v>919.44377030358305</v>
      </c>
      <c r="AE50" s="367">
        <f>'GF diets No L-Val + WD'!AW$342</f>
        <v>919.74779687896194</v>
      </c>
      <c r="AF50" s="420"/>
      <c r="AG50" s="433">
        <v>0.3</v>
      </c>
      <c r="AH50" s="367">
        <f>'GF diets No L-Val + WD'!AR$344</f>
        <v>533.6457989086922</v>
      </c>
      <c r="AI50" s="367">
        <f>'GF diets No L-Val + WD'!AS$344</f>
        <v>464.35875049602089</v>
      </c>
      <c r="AJ50" s="367">
        <f>'GF diets No L-Val + WD'!AT$344</f>
        <v>403.82820905437643</v>
      </c>
      <c r="AK50" s="367">
        <f>'GF diets No L-Val + WD'!AU$344</f>
        <v>352.04701098428052</v>
      </c>
      <c r="AL50" s="367">
        <f>'GF diets No L-Val + WD'!AV$344</f>
        <v>311.24365634482672</v>
      </c>
      <c r="AM50" s="367">
        <f>'GF diets No L-Val + WD'!AW$344</f>
        <v>301.12774430436968</v>
      </c>
      <c r="AN50" s="420"/>
      <c r="AO50" s="433">
        <v>0.3</v>
      </c>
      <c r="AP50" s="367">
        <f t="shared" si="48"/>
        <v>1.8739021314231348</v>
      </c>
      <c r="AQ50" s="367">
        <f t="shared" si="49"/>
        <v>2.1535073882678324</v>
      </c>
      <c r="AR50" s="367">
        <f t="shared" si="50"/>
        <v>2.4763005099164519</v>
      </c>
      <c r="AS50" s="367">
        <f t="shared" si="51"/>
        <v>2.8405297269933407</v>
      </c>
      <c r="AT50" s="367">
        <f t="shared" si="52"/>
        <v>3.2129168887930697</v>
      </c>
      <c r="AU50" s="367">
        <f t="shared" si="53"/>
        <v>3.3208497686258829</v>
      </c>
      <c r="AW50" s="433">
        <v>0.3</v>
      </c>
      <c r="AX50" s="367">
        <f>'GF diets No L-Val + WD'!AR$351</f>
        <v>84.156465721950099</v>
      </c>
      <c r="AY50" s="367">
        <f>'GF diets No L-Val + WD'!AS$351</f>
        <v>119.11549160192362</v>
      </c>
      <c r="AZ50" s="367">
        <f>'GF diets No L-Val + WD'!AT$351</f>
        <v>158.77808269700381</v>
      </c>
      <c r="BA50" s="367">
        <f>'GF diets No L-Val + WD'!AU$351</f>
        <v>198.34631413270952</v>
      </c>
      <c r="BB50" s="367">
        <f>'GF diets No L-Val + WD'!AV$351</f>
        <v>237.65748786747162</v>
      </c>
      <c r="BC50" s="367">
        <f>'GF diets No L-Val + WD'!AW$351</f>
        <v>284.9999097768</v>
      </c>
      <c r="BD50" s="420"/>
      <c r="BF50" s="433">
        <v>0.3</v>
      </c>
      <c r="BG50" s="367">
        <f t="shared" si="54"/>
        <v>34.156465721950099</v>
      </c>
      <c r="BH50" s="367">
        <f t="shared" si="55"/>
        <v>34.115491601923623</v>
      </c>
      <c r="BI50" s="367">
        <f t="shared" si="56"/>
        <v>38.778082697003811</v>
      </c>
      <c r="BJ50" s="367">
        <f t="shared" si="57"/>
        <v>38.346314132709523</v>
      </c>
      <c r="BK50" s="367">
        <f t="shared" si="58"/>
        <v>37.657487867471616</v>
      </c>
      <c r="BL50" s="367">
        <f t="shared" si="59"/>
        <v>44.999909776799996</v>
      </c>
      <c r="BM50" s="367"/>
    </row>
    <row r="51" spans="1:73" ht="15" x14ac:dyDescent="0.25">
      <c r="I51" s="433"/>
      <c r="J51" s="433"/>
      <c r="K51" s="433"/>
      <c r="L51" s="433"/>
      <c r="M51" s="433"/>
      <c r="N51" s="367"/>
      <c r="O51" s="367"/>
      <c r="Z51" s="2"/>
      <c r="AA51" s="2"/>
      <c r="AB51" s="2"/>
      <c r="AC51" s="2"/>
      <c r="AD51" s="2"/>
      <c r="AE51" s="2"/>
    </row>
    <row r="52" spans="1:73" ht="15" x14ac:dyDescent="0.25">
      <c r="A52" s="290" t="s">
        <v>523</v>
      </c>
      <c r="I52" s="290" t="s">
        <v>523</v>
      </c>
      <c r="J52" s="290"/>
      <c r="K52" s="290"/>
      <c r="L52" s="290"/>
      <c r="M52" s="290"/>
      <c r="Q52" s="290" t="s">
        <v>523</v>
      </c>
      <c r="Y52" s="290" t="s">
        <v>523</v>
      </c>
      <c r="AG52" s="290" t="s">
        <v>523</v>
      </c>
      <c r="AO52" s="290" t="s">
        <v>523</v>
      </c>
      <c r="AW52" s="290" t="s">
        <v>523</v>
      </c>
      <c r="BF52" s="290" t="s">
        <v>523</v>
      </c>
      <c r="BO52" s="290" t="s">
        <v>523</v>
      </c>
    </row>
    <row r="53" spans="1:73" ht="15" x14ac:dyDescent="0.25">
      <c r="B53" s="290" t="s">
        <v>516</v>
      </c>
      <c r="C53" s="290" t="s">
        <v>68</v>
      </c>
      <c r="D53" s="290" t="s">
        <v>69</v>
      </c>
      <c r="E53" s="290" t="s">
        <v>158</v>
      </c>
      <c r="F53" s="290" t="s">
        <v>473</v>
      </c>
      <c r="G53" s="290" t="s">
        <v>475</v>
      </c>
      <c r="H53" s="290"/>
      <c r="J53" s="423" t="s">
        <v>516</v>
      </c>
      <c r="K53" s="423" t="s">
        <v>68</v>
      </c>
      <c r="L53" s="423" t="s">
        <v>69</v>
      </c>
      <c r="M53" s="423" t="s">
        <v>158</v>
      </c>
      <c r="N53" s="290" t="s">
        <v>473</v>
      </c>
      <c r="O53" s="290" t="s">
        <v>475</v>
      </c>
      <c r="P53" s="290"/>
      <c r="R53" s="290" t="s">
        <v>516</v>
      </c>
      <c r="S53" s="290" t="s">
        <v>68</v>
      </c>
      <c r="T53" s="290" t="s">
        <v>69</v>
      </c>
      <c r="U53" s="290" t="s">
        <v>158</v>
      </c>
      <c r="V53" s="290" t="s">
        <v>473</v>
      </c>
      <c r="W53" s="290" t="s">
        <v>475</v>
      </c>
      <c r="Z53" s="290" t="s">
        <v>516</v>
      </c>
      <c r="AA53" s="290" t="s">
        <v>68</v>
      </c>
      <c r="AB53" s="290" t="s">
        <v>69</v>
      </c>
      <c r="AC53" s="290" t="s">
        <v>158</v>
      </c>
      <c r="AD53" s="290" t="s">
        <v>473</v>
      </c>
      <c r="AE53" s="290" t="s">
        <v>475</v>
      </c>
      <c r="AF53" s="290"/>
      <c r="AH53" s="290" t="s">
        <v>516</v>
      </c>
      <c r="AI53" s="290" t="s">
        <v>68</v>
      </c>
      <c r="AJ53" s="290" t="s">
        <v>69</v>
      </c>
      <c r="AK53" s="290" t="s">
        <v>158</v>
      </c>
      <c r="AL53" s="290" t="s">
        <v>473</v>
      </c>
      <c r="AM53" s="290" t="s">
        <v>475</v>
      </c>
      <c r="AN53" s="290"/>
      <c r="AP53" s="290" t="s">
        <v>516</v>
      </c>
      <c r="AQ53" s="290" t="s">
        <v>68</v>
      </c>
      <c r="AR53" s="290" t="s">
        <v>69</v>
      </c>
      <c r="AS53" s="290" t="s">
        <v>158</v>
      </c>
      <c r="AT53" s="290" t="s">
        <v>473</v>
      </c>
      <c r="AU53" s="290" t="s">
        <v>475</v>
      </c>
      <c r="AX53" s="290" t="s">
        <v>516</v>
      </c>
      <c r="AY53" s="290" t="s">
        <v>68</v>
      </c>
      <c r="AZ53" s="290" t="s">
        <v>69</v>
      </c>
      <c r="BA53" s="290" t="s">
        <v>158</v>
      </c>
      <c r="BB53" s="290" t="s">
        <v>473</v>
      </c>
      <c r="BC53" s="290" t="s">
        <v>475</v>
      </c>
      <c r="BG53" s="290" t="s">
        <v>516</v>
      </c>
      <c r="BH53" s="290" t="s">
        <v>68</v>
      </c>
      <c r="BI53" s="290" t="s">
        <v>69</v>
      </c>
      <c r="BJ53" s="290" t="s">
        <v>158</v>
      </c>
      <c r="BK53" s="290" t="s">
        <v>473</v>
      </c>
      <c r="BL53" s="290" t="s">
        <v>475</v>
      </c>
      <c r="BM53" s="290"/>
      <c r="BO53" s="290" t="s">
        <v>516</v>
      </c>
      <c r="BP53" s="290" t="s">
        <v>68</v>
      </c>
      <c r="BQ53" s="290" t="s">
        <v>69</v>
      </c>
      <c r="BR53" s="290" t="s">
        <v>158</v>
      </c>
      <c r="BS53" s="290" t="s">
        <v>473</v>
      </c>
      <c r="BT53" s="290" t="s">
        <v>475</v>
      </c>
    </row>
    <row r="54" spans="1:73" ht="15" x14ac:dyDescent="0.25">
      <c r="A54" s="433">
        <v>0</v>
      </c>
      <c r="B54" s="367">
        <f>'GF diets No L-Val + Fat + WD'!B$353</f>
        <v>73.97283598564384</v>
      </c>
      <c r="C54" s="367">
        <f>'GF diets No L-Val + Fat + WD'!C$353</f>
        <v>73.967856887824908</v>
      </c>
      <c r="D54" s="367">
        <f>'GF diets No L-Val + Fat + WD'!D$353</f>
        <v>73.959733111485349</v>
      </c>
      <c r="E54" s="367">
        <f>'GF diets No L-Val + Fat + WD'!E$353</f>
        <v>73.952776279957178</v>
      </c>
      <c r="F54" s="367">
        <f>'GF diets No L-Val + Fat + WD'!F$353</f>
        <v>73.947268075350891</v>
      </c>
      <c r="G54" s="367">
        <f>'GF diets No L-Val + Fat + WD'!G$353</f>
        <v>73.944010160900064</v>
      </c>
      <c r="H54" s="367"/>
      <c r="I54" s="433">
        <v>0</v>
      </c>
      <c r="J54" s="367">
        <f>'GF diets No L-Val + Fat + WD'!B$316</f>
        <v>8.5675537105360302</v>
      </c>
      <c r="K54" s="367">
        <f>'GF diets No L-Val + Fat + WD'!C$316</f>
        <v>8.6397459364158564</v>
      </c>
      <c r="L54" s="367">
        <f>'GF diets No L-Val + Fat + WD'!D$316</f>
        <v>8.7042340935531328</v>
      </c>
      <c r="M54" s="367">
        <f>'GF diets No L-Val + Fat + WD'!E$316</f>
        <v>8.7574905031042753</v>
      </c>
      <c r="N54" s="367">
        <f>'GF diets No L-Val + Fat + WD'!F$316</f>
        <v>8.7980354970428483</v>
      </c>
      <c r="O54" s="367">
        <f>'GF diets No L-Val + Fat + WD'!G$316</f>
        <v>8.8153381410832843</v>
      </c>
      <c r="P54" s="367"/>
      <c r="Q54" s="433">
        <v>0</v>
      </c>
      <c r="R54" s="367">
        <f>'GF diets No L-Val + Fat + WD'!B$351*'GF diets No L-Val'!B$353/100</f>
        <v>62.876858678395237</v>
      </c>
      <c r="S54" s="367">
        <f>'GF diets No L-Val + Fat + WD'!C$351*'GF diets No L-Val'!C$353/100</f>
        <v>88.761376359481872</v>
      </c>
      <c r="T54" s="367">
        <f>'GF diets No L-Val + Fat + WD'!D$351*'GF diets No L-Val'!D$353/100</f>
        <v>118.33551366385396</v>
      </c>
      <c r="U54" s="367">
        <f>'GF diets No L-Val + Fat + WD'!E$351*'GF diets No L-Val'!E$353/100</f>
        <v>147.90549325097103</v>
      </c>
      <c r="V54" s="367">
        <f>'GF diets No L-Val + Fat + WD'!F$351*'GF diets No L-Val'!F$353/100</f>
        <v>177.47338407631634</v>
      </c>
      <c r="W54" s="367">
        <f>'GF diets No L-Val + Fat + WD'!G$351*'GF diets No L-Val'!G$353/100</f>
        <v>210.74036224391301</v>
      </c>
      <c r="Y54" s="433">
        <v>0</v>
      </c>
      <c r="Z54" s="367">
        <f>'GF diets No L-Val + Fat + WD'!B$342</f>
        <v>757.46635553023782</v>
      </c>
      <c r="AA54" s="367">
        <f>'GF diets No L-Val + Fat + WD'!C$342</f>
        <v>870.42326519783569</v>
      </c>
      <c r="AB54" s="367">
        <f>'GF diets No L-Val + Fat + WD'!D$342</f>
        <v>946.21888727648684</v>
      </c>
      <c r="AC54" s="367">
        <f>'GF diets No L-Val + Fat + WD'!E$342</f>
        <v>982.61557306834152</v>
      </c>
      <c r="AD54" s="367">
        <f>'GF diets No L-Val + Fat + WD'!F$342</f>
        <v>976.63637619430801</v>
      </c>
      <c r="AE54" s="367">
        <f>'GF diets No L-Val + Fat + WD'!G$342</f>
        <v>919.74779687896194</v>
      </c>
      <c r="AF54" s="367"/>
      <c r="AG54" s="433">
        <v>0</v>
      </c>
      <c r="AH54" s="367">
        <f>'GF diets No L-Val + Fat + WD'!B$344</f>
        <v>541.48123876174384</v>
      </c>
      <c r="AI54" s="367">
        <f>'GF diets No L-Val + Fat + WD'!C$344</f>
        <v>471.05106861362759</v>
      </c>
      <c r="AJ54" s="367">
        <f>'GF diets No L-Val + Fat + WD'!D$344</f>
        <v>410.02340376494885</v>
      </c>
      <c r="AK54" s="367">
        <f>'GF diets No L-Val + Fat + WD'!E$344</f>
        <v>360.7957609066396</v>
      </c>
      <c r="AL54" s="367">
        <f>'GF diets No L-Val + Fat + WD'!F$344</f>
        <v>326.28328855841602</v>
      </c>
      <c r="AM54" s="367">
        <f>'GF diets No L-Val + Fat + WD'!G$344</f>
        <v>301.12774430436968</v>
      </c>
      <c r="AN54" s="367"/>
      <c r="AO54" s="433">
        <v>0</v>
      </c>
      <c r="AP54" s="367">
        <f t="shared" ref="AP54:AP60" si="60">1/(AH54/1000)</f>
        <v>1.846786053542306</v>
      </c>
      <c r="AQ54" s="367">
        <f t="shared" ref="AQ54:AQ60" si="61">1/(AI54/1000)</f>
        <v>2.1229120718123977</v>
      </c>
      <c r="AR54" s="367">
        <f t="shared" ref="AR54:AR60" si="62">1/(AJ54/1000)</f>
        <v>2.4388851729382326</v>
      </c>
      <c r="AS54" s="367">
        <f t="shared" ref="AS54:AS60" si="63">1/(AK54/1000)</f>
        <v>2.7716511898230491</v>
      </c>
      <c r="AT54" s="367">
        <f t="shared" ref="AT54:AT60" si="64">1/(AL54/1000)</f>
        <v>3.0648213839519558</v>
      </c>
      <c r="AU54" s="367">
        <f t="shared" ref="AU54:AU60" si="65">1/(AM54/1000)</f>
        <v>3.3208497686258829</v>
      </c>
      <c r="AW54" s="433">
        <v>0</v>
      </c>
      <c r="AX54" s="367">
        <f>'GF diets No L-Val + Fat + WD'!B$351</f>
        <v>84.999929826400006</v>
      </c>
      <c r="AY54" s="367">
        <f>'GF diets No L-Val + Fat + WD'!C$351</f>
        <v>119.99992982640001</v>
      </c>
      <c r="AZ54" s="367">
        <f>'GF diets No L-Val + Fat + WD'!D$351</f>
        <v>159.99991980160002</v>
      </c>
      <c r="BA54" s="367">
        <f>'GF diets No L-Val + Fat + WD'!E$351</f>
        <v>199.99991980160002</v>
      </c>
      <c r="BB54" s="367">
        <f>'GF diets No L-Val + Fat + WD'!F$351</f>
        <v>239.99991980160002</v>
      </c>
      <c r="BC54" s="367">
        <f>'GF diets No L-Val + Fat + WD'!G$351</f>
        <v>284.9999097768</v>
      </c>
      <c r="BF54" s="433">
        <v>0</v>
      </c>
      <c r="BG54" s="367">
        <f>AX54-50</f>
        <v>34.999929826400006</v>
      </c>
      <c r="BH54" s="367">
        <f>AY54-85</f>
        <v>34.999929826400006</v>
      </c>
      <c r="BI54" s="367">
        <f>AZ54-120</f>
        <v>39.999919801600015</v>
      </c>
      <c r="BJ54" s="367">
        <f>BA54-160</f>
        <v>39.999919801600015</v>
      </c>
      <c r="BK54" s="367">
        <f>BB54-200</f>
        <v>39.999919801600015</v>
      </c>
      <c r="BL54" s="367">
        <f>BC54-240</f>
        <v>44.999909776799996</v>
      </c>
      <c r="BM54" s="367"/>
      <c r="BN54" s="367" t="s">
        <v>570</v>
      </c>
      <c r="BO54" s="367">
        <f>VLOOKUP('DDGS Calculator'!$C$31,Performance!AW54:AX60,2,FALSE)</f>
        <v>84.999929826400006</v>
      </c>
      <c r="BP54" s="367">
        <f>BO54+VLOOKUP('DDGS Calculator'!$D$31,Performance!BF54:BL60,3,FALSE)</f>
        <v>119.99985965280001</v>
      </c>
      <c r="BQ54" s="367">
        <f>BP54+VLOOKUP('DDGS Calculator'!$E$31,Performance!BF54:BL60,4,FALSE)</f>
        <v>159.99977945440003</v>
      </c>
      <c r="BR54" s="367">
        <f>BQ54+(VLOOKUP('DDGS Calculator'!$F$31,Performance!BF54:BL60,5,FALSE))</f>
        <v>199.99969925600004</v>
      </c>
      <c r="BS54" s="367">
        <f>BR54+VLOOKUP('DDGS Calculator'!$G$31,Performance!BF54:BL60,6,FALSE)</f>
        <v>239.99961905760006</v>
      </c>
      <c r="BT54" s="367">
        <f>BS54+VLOOKUP('DDGS Calculator'!$H$31,Performance!BF54:BL60,7,FALSE)</f>
        <v>284.99952883440005</v>
      </c>
      <c r="BU54" s="420"/>
    </row>
    <row r="55" spans="1:73" ht="15" x14ac:dyDescent="0.25">
      <c r="A55" s="433">
        <v>0.05</v>
      </c>
      <c r="B55" s="367">
        <f>'GF diets No L-Val + Fat + WD'!I$353</f>
        <v>73.834080431928655</v>
      </c>
      <c r="C55" s="367">
        <f>'GF diets No L-Val + Fat + WD'!J$353</f>
        <v>73.829143407400977</v>
      </c>
      <c r="D55" s="367">
        <f>'GF diets No L-Val + Fat + WD'!K$353</f>
        <v>73.820974753418596</v>
      </c>
      <c r="E55" s="367">
        <f>'GF diets No L-Val + Fat + WD'!L$353</f>
        <v>73.813849432711763</v>
      </c>
      <c r="F55" s="367">
        <f>'GF diets No L-Val + Fat + WD'!M$353</f>
        <v>73.808339005563724</v>
      </c>
      <c r="G55" s="367">
        <f>'GF diets No L-Val + Fat + WD'!N$353</f>
        <v>73.885029166201647</v>
      </c>
      <c r="H55" s="367"/>
      <c r="I55" s="433">
        <v>0.05</v>
      </c>
      <c r="J55" s="367">
        <f>'GF diets No L-Val + Fat + WD'!I$316</f>
        <v>9.7249109022549316</v>
      </c>
      <c r="K55" s="367">
        <f>'GF diets No L-Val + Fat + WD'!J$316</f>
        <v>9.7964931050631989</v>
      </c>
      <c r="L55" s="367">
        <f>'GF diets No L-Val + Fat + WD'!K$316</f>
        <v>9.8620823208871773</v>
      </c>
      <c r="M55" s="367">
        <f>'GF diets No L-Val + Fat + WD'!L$316</f>
        <v>9.9169687619060998</v>
      </c>
      <c r="N55" s="367">
        <f>'GF diets No L-Val + Fat + WD'!M$316</f>
        <v>9.9563425413950952</v>
      </c>
      <c r="O55" s="367">
        <f>'GF diets No L-Val + Fat + WD'!N$316</f>
        <v>8.8153381410832843</v>
      </c>
      <c r="P55" s="367"/>
      <c r="Q55" s="433">
        <v>0.05</v>
      </c>
      <c r="R55" s="367">
        <f>'GF diets No L-Val + Fat + WD'!I$351*'GF diets No L-Val'!I$353/100</f>
        <v>62.645570753983904</v>
      </c>
      <c r="S55" s="367">
        <f>'GF diets No L-Val + Fat + WD'!J$351*'GF diets No L-Val'!J$353/100</f>
        <v>88.511292250325567</v>
      </c>
      <c r="T55" s="367">
        <f>'GF diets No L-Val + Fat + WD'!K$351*'GF diets No L-Val'!K$353/100</f>
        <v>118.02461266179458</v>
      </c>
      <c r="U55" s="367">
        <f>'GF diets No L-Val + Fat + WD'!L$351*'GF diets No L-Val'!L$353/100</f>
        <v>147.51711668581481</v>
      </c>
      <c r="V55" s="367">
        <f>'GF diets No L-Val + Fat + WD'!M$351*'GF diets No L-Val'!M$353/100</f>
        <v>176.98075987042691</v>
      </c>
      <c r="W55" s="367">
        <f>'GF diets No L-Val + Fat + WD'!N$351*'GF diets No L-Val'!N$353/100</f>
        <v>210.32874028654945</v>
      </c>
      <c r="Y55" s="433">
        <v>0.05</v>
      </c>
      <c r="Z55" s="367">
        <f>'GF diets No L-Val + Fat + WD'!I$342</f>
        <v>754.2853054881557</v>
      </c>
      <c r="AA55" s="367">
        <f>'GF diets No L-Val + Fat + WD'!J$342</f>
        <v>867.83541072759328</v>
      </c>
      <c r="AB55" s="367">
        <f>'GF diets No L-Val + Fat + WD'!K$342</f>
        <v>943.65504273479746</v>
      </c>
      <c r="AC55" s="367">
        <f>'GF diets No L-Val + Fat + WD'!L$342</f>
        <v>979.30093441478289</v>
      </c>
      <c r="AD55" s="367">
        <f>'GF diets No L-Val + Fat + WD'!M$342</f>
        <v>971.80691655151008</v>
      </c>
      <c r="AE55" s="367">
        <f>'GF diets No L-Val + Fat + WD'!N$342</f>
        <v>919.74779687896194</v>
      </c>
      <c r="AF55" s="420"/>
      <c r="AG55" s="433">
        <v>0.05</v>
      </c>
      <c r="AH55" s="367">
        <f>'GF diets No L-Val + Fat + WD'!I$344</f>
        <v>544.68195539732392</v>
      </c>
      <c r="AI55" s="367">
        <f>'GF diets No L-Val + Fat + WD'!J$344</f>
        <v>474.77645657903764</v>
      </c>
      <c r="AJ55" s="367">
        <f>'GF diets No L-Val + Fat + WD'!K$344</f>
        <v>413.54184942601609</v>
      </c>
      <c r="AK55" s="367">
        <f>'GF diets No L-Val + Fat + WD'!L$344</f>
        <v>363.19410796302145</v>
      </c>
      <c r="AL55" s="367">
        <f>'GF diets No L-Val + Fat + WD'!M$344</f>
        <v>326.87384574181419</v>
      </c>
      <c r="AM55" s="367">
        <f>'GF diets No L-Val + Fat + WD'!N$344</f>
        <v>301.12774430436968</v>
      </c>
      <c r="AN55" s="420"/>
      <c r="AO55" s="433">
        <v>0.05</v>
      </c>
      <c r="AP55" s="367">
        <f t="shared" si="60"/>
        <v>1.8359337776676292</v>
      </c>
      <c r="AQ55" s="367">
        <f t="shared" si="61"/>
        <v>2.1062543985550946</v>
      </c>
      <c r="AR55" s="367">
        <f t="shared" si="62"/>
        <v>2.41813495148791</v>
      </c>
      <c r="AS55" s="367">
        <f t="shared" si="63"/>
        <v>2.7533486311452355</v>
      </c>
      <c r="AT55" s="367">
        <f t="shared" si="64"/>
        <v>3.0592842254802597</v>
      </c>
      <c r="AU55" s="367">
        <f t="shared" si="65"/>
        <v>3.3208497686258829</v>
      </c>
      <c r="AW55" s="433">
        <v>0.05</v>
      </c>
      <c r="AX55" s="367">
        <f>'GF diets No L-Val + Fat + WD'!I$351</f>
        <v>84.852944088142436</v>
      </c>
      <c r="AY55" s="367">
        <f>'GF diets No L-Val + Fat + WD'!J$351</f>
        <v>119.8958713641783</v>
      </c>
      <c r="AZ55" s="367">
        <f>'GF diets No L-Val + Fat + WD'!K$351</f>
        <v>159.89153707636953</v>
      </c>
      <c r="BA55" s="367">
        <f>'GF diets No L-Val + Fat + WD'!L$351</f>
        <v>199.86498855302605</v>
      </c>
      <c r="BB55" s="367">
        <f>'GF diets No L-Val + Fat + WD'!M$351</f>
        <v>239.80212009802489</v>
      </c>
      <c r="BC55" s="367">
        <f>'GF diets No L-Val + Fat + WD'!N$351</f>
        <v>284.9999097768</v>
      </c>
      <c r="BD55" s="420"/>
      <c r="BF55" s="433">
        <v>0.05</v>
      </c>
      <c r="BG55" s="367">
        <f t="shared" ref="BG55:BG60" si="66">AX55-50</f>
        <v>34.852944088142436</v>
      </c>
      <c r="BH55" s="367">
        <f t="shared" ref="BH55:BH60" si="67">AY55-85</f>
        <v>34.895871364178305</v>
      </c>
      <c r="BI55" s="367">
        <f t="shared" ref="BI55:BI60" si="68">AZ55-120</f>
        <v>39.891537076369531</v>
      </c>
      <c r="BJ55" s="367">
        <f t="shared" ref="BJ55:BJ60" si="69">BA55-160</f>
        <v>39.864988553026052</v>
      </c>
      <c r="BK55" s="367">
        <f t="shared" ref="BK55:BK60" si="70">BB55-200</f>
        <v>39.802120098024886</v>
      </c>
      <c r="BL55" s="367">
        <f t="shared" ref="BL55:BL60" si="71">BC55-240</f>
        <v>44.999909776799996</v>
      </c>
      <c r="BM55" s="367"/>
      <c r="BN55" s="367" t="s">
        <v>571</v>
      </c>
      <c r="BO55" s="367"/>
      <c r="BP55" s="367"/>
      <c r="BQ55" s="367"/>
      <c r="BR55" s="367"/>
      <c r="BS55" s="367"/>
      <c r="BT55" s="367">
        <f>((0.03492*22.19)-(0.05092*VLOOKUP('DDGS Calculator'!$G$31,Performance!I53:O60,6,FALSE))-(0.06897*VLOOKUP('DDGS Calculator'!$H$31,Performance!I53:O60,7,FALSE))-(0.00289*VLOOKUP('DDGS Calculator'!$H$31,Performance!I53:O60,7,FALSE)*22.19)+'DDGS Calculator'!$G$9)</f>
        <v>74.153565259716714</v>
      </c>
      <c r="BU55" s="420"/>
    </row>
    <row r="56" spans="1:73" ht="15" x14ac:dyDescent="0.25">
      <c r="A56" s="433">
        <v>0.1</v>
      </c>
      <c r="B56" s="367">
        <f>'GF diets No L-Val + Fat + WD'!P$353</f>
        <v>73.695335883530831</v>
      </c>
      <c r="C56" s="367">
        <f>'GF diets No L-Val + Fat + WD'!Q$353</f>
        <v>73.690410864041397</v>
      </c>
      <c r="D56" s="367">
        <f>'GF diets No L-Val + Fat + WD'!R$353</f>
        <v>73.68226919362229</v>
      </c>
      <c r="E56" s="367">
        <f>'GF diets No L-Val + Fat + WD'!S$353</f>
        <v>73.675150123701016</v>
      </c>
      <c r="F56" s="367">
        <f>'GF diets No L-Val + Fat + WD'!T$353</f>
        <v>73.669652206421773</v>
      </c>
      <c r="G56" s="367">
        <f>'GF diets No L-Val + Fat + WD'!U$353</f>
        <v>73.826131312350782</v>
      </c>
      <c r="H56" s="367"/>
      <c r="I56" s="433">
        <v>0.1</v>
      </c>
      <c r="J56" s="367">
        <f>'GF diets No L-Val + Fat + WD'!P$316</f>
        <v>10.88217629885041</v>
      </c>
      <c r="K56" s="367">
        <f>'GF diets No L-Val + Fat + WD'!Q$316</f>
        <v>10.953584439917918</v>
      </c>
      <c r="L56" s="367">
        <f>'GF diets No L-Val + Fat + WD'!R$316</f>
        <v>11.018910927897572</v>
      </c>
      <c r="M56" s="367">
        <f>'GF diets No L-Val + Fat + WD'!S$316</f>
        <v>11.073900708285247</v>
      </c>
      <c r="N56" s="367">
        <f>'GF diets No L-Val + Fat + WD'!T$316</f>
        <v>11.113016811836189</v>
      </c>
      <c r="O56" s="367">
        <f>'GF diets No L-Val + Fat + WD'!U$316</f>
        <v>8.8153381410832843</v>
      </c>
      <c r="P56" s="367"/>
      <c r="Q56" s="433">
        <v>0.1</v>
      </c>
      <c r="R56" s="367">
        <f>'GF diets No L-Val + Fat + WD'!P$351*'GF diets No L-Val'!P$353/100</f>
        <v>62.415520079916249</v>
      </c>
      <c r="S56" s="367">
        <f>'GF diets No L-Val + Fat + WD'!Q$351*'GF diets No L-Val'!Q$353/100</f>
        <v>88.262103737417661</v>
      </c>
      <c r="T56" s="367">
        <f>'GF diets No L-Val + Fat + WD'!R$351*'GF diets No L-Val'!R$353/100</f>
        <v>117.71401722992117</v>
      </c>
      <c r="U56" s="367">
        <f>'GF diets No L-Val + Fat + WD'!S$351*'GF diets No L-Val'!S$353/100</f>
        <v>147.13012514105145</v>
      </c>
      <c r="V56" s="367">
        <f>'GF diets No L-Val + Fat + WD'!T$351*'GF diets No L-Val'!T$353/100</f>
        <v>176.48958739581394</v>
      </c>
      <c r="W56" s="367">
        <f>'GF diets No L-Val + Fat + WD'!U$351*'GF diets No L-Val'!U$353/100</f>
        <v>209.91806193479221</v>
      </c>
      <c r="Y56" s="433">
        <v>0.1</v>
      </c>
      <c r="Z56" s="367">
        <f>'GF diets No L-Val + Fat + WD'!P$342</f>
        <v>751.12509445025091</v>
      </c>
      <c r="AA56" s="367">
        <f>'GF diets No L-Val + Fat + WD'!Q$342</f>
        <v>865.26365633587625</v>
      </c>
      <c r="AB56" s="367">
        <f>'GF diets No L-Val + Fat + WD'!R$342</f>
        <v>941.08765007643092</v>
      </c>
      <c r="AC56" s="367">
        <f>'GF diets No L-Val + Fat + WD'!S$342</f>
        <v>976.00937610562437</v>
      </c>
      <c r="AD56" s="367">
        <f>'GF diets No L-Val + Fat + WD'!T$342</f>
        <v>966.98610467900244</v>
      </c>
      <c r="AE56" s="367">
        <f>'GF diets No L-Val + Fat + WD'!U$342</f>
        <v>919.74779687896194</v>
      </c>
      <c r="AF56" s="420"/>
      <c r="AG56" s="433">
        <v>0.1</v>
      </c>
      <c r="AH56" s="367">
        <f>'GF diets No L-Val + Fat + WD'!P$344</f>
        <v>547.89662275074909</v>
      </c>
      <c r="AI56" s="367">
        <f>'GF diets No L-Val + Fat + WD'!Q$344</f>
        <v>478.5323901444587</v>
      </c>
      <c r="AJ56" s="367">
        <f>'GF diets No L-Val + Fat + WD'!R$344</f>
        <v>417.04800330636067</v>
      </c>
      <c r="AK56" s="367">
        <f>'GF diets No L-Val + Fat + WD'!S$344</f>
        <v>365.60182676552984</v>
      </c>
      <c r="AL56" s="367">
        <f>'GF diets No L-Val + Fat + WD'!T$344</f>
        <v>327.48823108189816</v>
      </c>
      <c r="AM56" s="367">
        <f>'GF diets No L-Val + Fat + WD'!U$344</f>
        <v>301.12774430436968</v>
      </c>
      <c r="AN56" s="420"/>
      <c r="AO56" s="433">
        <v>0.1</v>
      </c>
      <c r="AP56" s="367">
        <f t="shared" si="60"/>
        <v>1.8251618251987713</v>
      </c>
      <c r="AQ56" s="367">
        <f t="shared" si="61"/>
        <v>2.0897227034059731</v>
      </c>
      <c r="AR56" s="367">
        <f t="shared" si="62"/>
        <v>2.3978055093706003</v>
      </c>
      <c r="AS56" s="367">
        <f t="shared" si="63"/>
        <v>2.7352160924549391</v>
      </c>
      <c r="AT56" s="367">
        <f t="shared" si="64"/>
        <v>3.0535448455548324</v>
      </c>
      <c r="AU56" s="367">
        <f t="shared" si="65"/>
        <v>3.3208497686258829</v>
      </c>
      <c r="AW56" s="433">
        <v>0.1</v>
      </c>
      <c r="AX56" s="367">
        <f>'GF diets No L-Val + Fat + WD'!P$351</f>
        <v>84.706921250931089</v>
      </c>
      <c r="AY56" s="367">
        <f>'GF diets No L-Val + Fat + WD'!Q$351</f>
        <v>119.79246029130258</v>
      </c>
      <c r="AZ56" s="367">
        <f>'GF diets No L-Val + Fat + WD'!R$351</f>
        <v>159.78300435976919</v>
      </c>
      <c r="BA56" s="367">
        <f>'GF diets No L-Val + Fat + WD'!S$351</f>
        <v>199.73099685171888</v>
      </c>
      <c r="BB56" s="367">
        <f>'GF diets No L-Val + Fat + WD'!T$351</f>
        <v>239.60467458032696</v>
      </c>
      <c r="BC56" s="367">
        <f>'GF diets No L-Val + Fat + WD'!U$351</f>
        <v>284.9999097768</v>
      </c>
      <c r="BD56" s="420"/>
      <c r="BF56" s="433">
        <v>0.1</v>
      </c>
      <c r="BG56" s="367">
        <f t="shared" si="66"/>
        <v>34.706921250931089</v>
      </c>
      <c r="BH56" s="367">
        <f t="shared" si="67"/>
        <v>34.792460291302575</v>
      </c>
      <c r="BI56" s="367">
        <f t="shared" si="68"/>
        <v>39.783004359769194</v>
      </c>
      <c r="BJ56" s="367">
        <f t="shared" si="69"/>
        <v>39.730996851718885</v>
      </c>
      <c r="BK56" s="367">
        <f t="shared" si="70"/>
        <v>39.604674580326957</v>
      </c>
      <c r="BL56" s="367">
        <f t="shared" si="71"/>
        <v>44.999909776799996</v>
      </c>
      <c r="BM56" s="367"/>
      <c r="BN56" s="367" t="s">
        <v>572</v>
      </c>
      <c r="BT56" s="367">
        <f>BT54*(BT55/100)</f>
        <v>211.33731160410198</v>
      </c>
    </row>
    <row r="57" spans="1:73" ht="15" x14ac:dyDescent="0.25">
      <c r="A57" s="433">
        <v>0.15</v>
      </c>
      <c r="B57" s="367">
        <f>'GF diets No L-Val + Fat + WD'!W$353</f>
        <v>73.556607799367754</v>
      </c>
      <c r="C57" s="367">
        <f>'GF diets No L-Val + Fat + WD'!X$353</f>
        <v>73.551696681430258</v>
      </c>
      <c r="D57" s="367">
        <f>'GF diets No L-Val + Fat + WD'!Y$353</f>
        <v>73.543544892755449</v>
      </c>
      <c r="E57" s="367">
        <f>'GF diets No L-Val + Fat + WD'!Z$353</f>
        <v>73.53639754714915</v>
      </c>
      <c r="F57" s="367">
        <f>'GF diets No L-Val + Fat + WD'!AA$353</f>
        <v>73.530963176582731</v>
      </c>
      <c r="G57" s="367">
        <f>'GF diets No L-Val + Fat + WD'!AB$353</f>
        <v>73.767249927021339</v>
      </c>
      <c r="H57" s="367"/>
      <c r="I57" s="433">
        <v>0.15</v>
      </c>
      <c r="J57" s="367">
        <f>'GF diets No L-Val + Fat + WD'!W$316</f>
        <v>12.039304367605698</v>
      </c>
      <c r="K57" s="367">
        <f>'GF diets No L-Val + Fat + WD'!X$316</f>
        <v>12.110510949271651</v>
      </c>
      <c r="L57" s="367">
        <f>'GF diets No L-Val + Fat + WD'!Y$316</f>
        <v>12.176132952118794</v>
      </c>
      <c r="M57" s="367">
        <f>'GF diets No L-Val + Fat + WD'!Z$316</f>
        <v>12.231314527025717</v>
      </c>
      <c r="N57" s="367">
        <f>'GF diets No L-Val + Fat + WD'!AA$316</f>
        <v>12.26936766276811</v>
      </c>
      <c r="O57" s="367">
        <f>'GF diets No L-Val + Fat + WD'!AB$316</f>
        <v>8.8153381410832843</v>
      </c>
      <c r="P57" s="367"/>
      <c r="Q57" s="433">
        <v>0.15</v>
      </c>
      <c r="R57" s="367">
        <f>'GF diets No L-Val + Fat + WD'!W$351*'GF diets No L-Val'!W$353/100</f>
        <v>62.185969356435564</v>
      </c>
      <c r="S57" s="367">
        <f>'GF diets No L-Val + Fat + WD'!X$351*'GF diets No L-Val'!X$353/100</f>
        <v>88.013283036663736</v>
      </c>
      <c r="T57" s="367">
        <f>'GF diets No L-Val + Fat + WD'!Y$351*'GF diets No L-Val'!Y$353/100</f>
        <v>117.40354120804776</v>
      </c>
      <c r="U57" s="367">
        <f>'GF diets No L-Val + Fat + WD'!Z$351*'GF diets No L-Val'!Z$353/100</f>
        <v>146.7439358159431</v>
      </c>
      <c r="V57" s="367">
        <f>'GF diets No L-Val + Fat + WD'!AA$351*'GF diets No L-Val'!AA$353/100</f>
        <v>175.9985207709021</v>
      </c>
      <c r="W57" s="367">
        <f>'GF diets No L-Val + Fat + WD'!AB$351*'GF diets No L-Val'!AB$353/100</f>
        <v>209.50772949876185</v>
      </c>
      <c r="Y57" s="433">
        <v>0.15</v>
      </c>
      <c r="Z57" s="367">
        <f>'GF diets No L-Val + Fat + WD'!W$342</f>
        <v>747.96764329778819</v>
      </c>
      <c r="AA57" s="367">
        <f>'GF diets No L-Val + Fat + WD'!X$342</f>
        <v>862.69511755903864</v>
      </c>
      <c r="AB57" s="367">
        <f>'GF diets No L-Val + Fat + WD'!Y$342</f>
        <v>938.51681860484973</v>
      </c>
      <c r="AC57" s="367">
        <f>'GF diets No L-Val + Fat + WD'!Z$342</f>
        <v>972.73290617894054</v>
      </c>
      <c r="AD57" s="367">
        <f>'GF diets No L-Val + Fat + WD'!AA$342</f>
        <v>962.14863178115388</v>
      </c>
      <c r="AE57" s="367">
        <f>'GF diets No L-Val + Fat + WD'!AB$342</f>
        <v>919.74779687896194</v>
      </c>
      <c r="AF57" s="420"/>
      <c r="AG57" s="433">
        <v>0.15</v>
      </c>
      <c r="AH57" s="367">
        <f>'GF diets No L-Val + Fat + WD'!W$344</f>
        <v>551.11052476804502</v>
      </c>
      <c r="AI57" s="367">
        <f>'GF diets No L-Val + Fat + WD'!X$344</f>
        <v>482.29829943319055</v>
      </c>
      <c r="AJ57" s="367">
        <f>'GF diets No L-Val + Fat + WD'!Y$344</f>
        <v>420.54885370178459</v>
      </c>
      <c r="AK57" s="367">
        <f>'GF diets No L-Val + Fat + WD'!Z$344</f>
        <v>368.01249324880132</v>
      </c>
      <c r="AL57" s="367">
        <f>'GF diets No L-Val + Fat + WD'!AA$344</f>
        <v>328.12799231535098</v>
      </c>
      <c r="AM57" s="367">
        <f>'GF diets No L-Val + Fat + WD'!AB$344</f>
        <v>301.12774430436968</v>
      </c>
      <c r="AN57" s="420"/>
      <c r="AO57" s="433">
        <v>0.15</v>
      </c>
      <c r="AP57" s="367">
        <f t="shared" si="60"/>
        <v>1.814518059550553</v>
      </c>
      <c r="AQ57" s="367">
        <f t="shared" si="61"/>
        <v>2.073405610542741</v>
      </c>
      <c r="AR57" s="367">
        <f t="shared" si="62"/>
        <v>2.3778450260837234</v>
      </c>
      <c r="AS57" s="367">
        <f t="shared" si="63"/>
        <v>2.7172990546381599</v>
      </c>
      <c r="AT57" s="367">
        <f t="shared" si="64"/>
        <v>3.0475912553018003</v>
      </c>
      <c r="AU57" s="367">
        <f t="shared" si="65"/>
        <v>3.3208497686258829</v>
      </c>
      <c r="AW57" s="433">
        <v>0.15</v>
      </c>
      <c r="AX57" s="367">
        <f>'GF diets No L-Val + Fat + WD'!W$351</f>
        <v>84.561025938843159</v>
      </c>
      <c r="AY57" s="367">
        <f>'GF diets No L-Val + Fat + WD'!X$351</f>
        <v>119.68917851933745</v>
      </c>
      <c r="AZ57" s="367">
        <f>'GF diets No L-Val + Fat + WD'!Y$351</f>
        <v>159.67432627244077</v>
      </c>
      <c r="BA57" s="367">
        <f>'GF diets No L-Val + Fat + WD'!Z$351</f>
        <v>199.59761936345242</v>
      </c>
      <c r="BB57" s="367">
        <f>'GF diets No L-Val + Fat + WD'!AA$351</f>
        <v>239.40654667865289</v>
      </c>
      <c r="BC57" s="367">
        <f>'GF diets No L-Val + Fat + WD'!AB$351</f>
        <v>284.9999097768</v>
      </c>
      <c r="BD57" s="420"/>
      <c r="BF57" s="433">
        <v>0.15</v>
      </c>
      <c r="BG57" s="367">
        <f t="shared" si="66"/>
        <v>34.561025938843159</v>
      </c>
      <c r="BH57" s="367">
        <f t="shared" si="67"/>
        <v>34.689178519337446</v>
      </c>
      <c r="BI57" s="367">
        <f t="shared" si="68"/>
        <v>39.674326272440766</v>
      </c>
      <c r="BJ57" s="367">
        <f t="shared" si="69"/>
        <v>39.597619363452424</v>
      </c>
      <c r="BK57" s="367">
        <f t="shared" si="70"/>
        <v>39.406546678652887</v>
      </c>
      <c r="BL57" s="367">
        <f t="shared" si="71"/>
        <v>44.999909776799996</v>
      </c>
      <c r="BM57" s="367"/>
    </row>
    <row r="58" spans="1:73" ht="15" x14ac:dyDescent="0.25">
      <c r="A58" s="433">
        <v>0.2</v>
      </c>
      <c r="B58" s="367">
        <f>'GF diets No L-Val + Fat + WD'!AD$353</f>
        <v>73.417899922358515</v>
      </c>
      <c r="C58" s="367">
        <f>'GF diets No L-Val + Fat + WD'!AE$353</f>
        <v>73.412983680176325</v>
      </c>
      <c r="D58" s="367">
        <f>'GF diets No L-Val + Fat + WD'!AF$353</f>
        <v>73.404785487512427</v>
      </c>
      <c r="E58" s="367">
        <f>'GF diets No L-Val + Fat + WD'!AG$353</f>
        <v>73.397715984531047</v>
      </c>
      <c r="F58" s="367">
        <f>'GF diets No L-Val + Fat + WD'!AH$353</f>
        <v>73.393078886161902</v>
      </c>
      <c r="G58" s="367">
        <f>'GF diets No L-Val + Fat + WD'!AI$353</f>
        <v>73.708912038495924</v>
      </c>
      <c r="H58" s="367"/>
      <c r="I58" s="433">
        <v>0.2</v>
      </c>
      <c r="J58" s="367">
        <f>'GF diets No L-Val + Fat + WD'!AD$316</f>
        <v>13.196263888910565</v>
      </c>
      <c r="K58" s="367">
        <f>'GF diets No L-Val + Fat + WD'!AE$316</f>
        <v>13.26754476729513</v>
      </c>
      <c r="L58" s="367">
        <f>'GF diets No L-Val + Fat + WD'!AF$316</f>
        <v>13.333784731577465</v>
      </c>
      <c r="M58" s="367">
        <f>'GF diets No L-Val + Fat + WD'!AG$316</f>
        <v>13.387381425794249</v>
      </c>
      <c r="N58" s="367">
        <f>'GF diets No L-Val + Fat + WD'!AH$316</f>
        <v>13.41504497080839</v>
      </c>
      <c r="O58" s="367">
        <f>'GF diets No L-Val + Fat + WD'!AI$316</f>
        <v>8.8153381410832843</v>
      </c>
      <c r="Q58" s="433">
        <v>0.2</v>
      </c>
      <c r="R58" s="367">
        <f>'GF diets No L-Val + Fat + WD'!AD$351*'GF diets No L-Val'!AD$353/100</f>
        <v>61.95706319886213</v>
      </c>
      <c r="S58" s="367">
        <f>'GF diets No L-Val + Fat + WD'!AE$351*'GF diets No L-Val'!AE$353/100</f>
        <v>87.764754591584989</v>
      </c>
      <c r="T58" s="367">
        <f>'GF diets No L-Val + Fat + WD'!AF$351*'GF diets No L-Val'!AF$353/100</f>
        <v>117.09279356242821</v>
      </c>
      <c r="U58" s="367">
        <f>'GF diets No L-Val + Fat + WD'!AG$351*'GF diets No L-Val'!AG$353/100</f>
        <v>146.35788324373314</v>
      </c>
      <c r="V58" s="367">
        <f>'GF diets No L-Val + Fat + WD'!AH$351*'GF diets No L-Val'!AH$353/100</f>
        <v>175.5094863361779</v>
      </c>
      <c r="W58" s="367">
        <f>'GF diets No L-Val + Fat + WD'!AI$351*'GF diets No L-Val'!AI$353/100</f>
        <v>209.09927170607989</v>
      </c>
      <c r="Y58" s="433">
        <v>0.2</v>
      </c>
      <c r="Z58" s="367">
        <f>'GF diets No L-Val + Fat + WD'!AD$342</f>
        <v>744.81662763964982</v>
      </c>
      <c r="AA58" s="367">
        <f>'GF diets No L-Val + Fat + WD'!AE$342</f>
        <v>860.12738034446897</v>
      </c>
      <c r="AB58" s="367">
        <f>'GF diets No L-Val + Fat + WD'!AF$342</f>
        <v>935.92775852071054</v>
      </c>
      <c r="AC58" s="367">
        <f>'GF diets No L-Val + Fat + WD'!AG$342</f>
        <v>969.44372220826813</v>
      </c>
      <c r="AD58" s="367">
        <f>'GF diets No L-Val + Fat + WD'!AH$342</f>
        <v>957.32815546195934</v>
      </c>
      <c r="AE58" s="367">
        <f>'GF diets No L-Val + Fat + WD'!AI$342</f>
        <v>919.74779687896194</v>
      </c>
      <c r="AF58" s="420"/>
      <c r="AG58" s="433">
        <v>0.2</v>
      </c>
      <c r="AH58" s="367">
        <f>'GF diets No L-Val + Fat + WD'!AD$344</f>
        <v>554.34922340802814</v>
      </c>
      <c r="AI58" s="367">
        <f>'GF diets No L-Val + Fat + WD'!AE$344</f>
        <v>486.06870424698963</v>
      </c>
      <c r="AJ58" s="367">
        <f>'GF diets No L-Val + Fat + WD'!AF$344</f>
        <v>424.04778376643372</v>
      </c>
      <c r="AK58" s="367">
        <f>'GF diets No L-Val + Fat + WD'!AG$344</f>
        <v>370.46855332729479</v>
      </c>
      <c r="AL58" s="367">
        <f>'GF diets No L-Val + Fat + WD'!AH$344</f>
        <v>328.6862971059129</v>
      </c>
      <c r="AM58" s="367">
        <f>'GF diets No L-Val + Fat + WD'!AI$344</f>
        <v>301.12774430436968</v>
      </c>
      <c r="AN58" s="420"/>
      <c r="AO58" s="433">
        <v>0.2</v>
      </c>
      <c r="AP58" s="367">
        <f t="shared" si="60"/>
        <v>1.8039170215702658</v>
      </c>
      <c r="AQ58" s="367">
        <f t="shared" si="61"/>
        <v>2.0573223317250697</v>
      </c>
      <c r="AR58" s="367">
        <f t="shared" si="62"/>
        <v>2.3582247998513344</v>
      </c>
      <c r="AS58" s="367">
        <f t="shared" si="63"/>
        <v>2.6992844359357493</v>
      </c>
      <c r="AT58" s="367">
        <f t="shared" si="64"/>
        <v>3.0424146330559347</v>
      </c>
      <c r="AU58" s="367">
        <f t="shared" si="65"/>
        <v>3.3208497686258829</v>
      </c>
      <c r="AW58" s="433">
        <v>0.2</v>
      </c>
      <c r="AX58" s="367">
        <f>'GF diets No L-Val + Fat + WD'!AD$351</f>
        <v>84.415427989535374</v>
      </c>
      <c r="AY58" s="367">
        <f>'GF diets No L-Val + Fat + WD'!AE$351</f>
        <v>119.5859289784494</v>
      </c>
      <c r="AZ58" s="367">
        <f>'GF diets No L-Val + Fat + WD'!AF$351</f>
        <v>159.56487759755365</v>
      </c>
      <c r="BA58" s="367">
        <f>'GF diets No L-Val + Fat + WD'!AG$351</f>
        <v>199.4637243159558</v>
      </c>
      <c r="BB58" s="367">
        <f>'GF diets No L-Val + Fat + WD'!AH$351</f>
        <v>239.20911490417902</v>
      </c>
      <c r="BC58" s="367">
        <f>'GF diets No L-Val + Fat + WD'!AI$351</f>
        <v>284.9999097768</v>
      </c>
      <c r="BD58" s="420"/>
      <c r="BF58" s="433">
        <v>0.2</v>
      </c>
      <c r="BG58" s="367">
        <f t="shared" si="66"/>
        <v>34.415427989535374</v>
      </c>
      <c r="BH58" s="367">
        <f t="shared" si="67"/>
        <v>34.585928978449402</v>
      </c>
      <c r="BI58" s="367">
        <f t="shared" si="68"/>
        <v>39.564877597553647</v>
      </c>
      <c r="BJ58" s="367">
        <f t="shared" si="69"/>
        <v>39.463724315955801</v>
      </c>
      <c r="BK58" s="367">
        <f t="shared" si="70"/>
        <v>39.209114904179017</v>
      </c>
      <c r="BL58" s="367">
        <f t="shared" si="71"/>
        <v>44.999909776799996</v>
      </c>
      <c r="BM58" s="367"/>
    </row>
    <row r="59" spans="1:73" ht="15" x14ac:dyDescent="0.25">
      <c r="A59" s="433">
        <v>0.25</v>
      </c>
      <c r="B59" s="367">
        <f>'GF diets No L-Val + Fat + WD'!AK$353</f>
        <v>73.279333822363441</v>
      </c>
      <c r="C59" s="367">
        <f>'GF diets No L-Val + Fat + WD'!AL$353</f>
        <v>73.274329691252404</v>
      </c>
      <c r="D59" s="367">
        <f>'GF diets No L-Val + Fat + WD'!AM$353</f>
        <v>73.266113409254928</v>
      </c>
      <c r="E59" s="367">
        <f>'GF diets No L-Val + Fat + WD'!AN$353</f>
        <v>73.259732752503851</v>
      </c>
      <c r="F59" s="367">
        <f>'GF diets No L-Val + Fat + WD'!AO$353</f>
        <v>73.255847888088184</v>
      </c>
      <c r="G59" s="367">
        <f>'GF diets No L-Val + Fat + WD'!AP$353</f>
        <v>73.650711327997314</v>
      </c>
      <c r="H59" s="367"/>
      <c r="I59" s="433">
        <v>0.25</v>
      </c>
      <c r="J59" s="367">
        <f>'GF diets No L-Val + Fat + WD'!AK$316</f>
        <v>14.352040851084766</v>
      </c>
      <c r="K59" s="367">
        <f>'GF diets No L-Val + Fat + WD'!AL$316</f>
        <v>14.424596036107788</v>
      </c>
      <c r="L59" s="367">
        <f>'GF diets No L-Val + Fat + WD'!AM$316</f>
        <v>14.490157468268242</v>
      </c>
      <c r="M59" s="367">
        <f>'GF diets No L-Val + Fat + WD'!AN$316</f>
        <v>14.534267496185688</v>
      </c>
      <c r="N59" s="367">
        <f>'GF diets No L-Val + Fat + WD'!AO$316</f>
        <v>14.558028287748904</v>
      </c>
      <c r="O59" s="367">
        <f>'GF diets No L-Val + Fat + WD'!AP$316</f>
        <v>8.8153381410832843</v>
      </c>
      <c r="P59" s="367"/>
      <c r="Q59" s="433">
        <v>0.25</v>
      </c>
      <c r="R59" s="367">
        <f>'GF diets No L-Val + Fat + WD'!AK$351*'GF diets No L-Val'!AK$353/100</f>
        <v>61.729634141920734</v>
      </c>
      <c r="S59" s="367">
        <f>'GF diets No L-Val + Fat + WD'!AL$351*'GF diets No L-Val'!AL$353/100</f>
        <v>87.516681454225434</v>
      </c>
      <c r="T59" s="367">
        <f>'GF diets No L-Val + Fat + WD'!AM$351*'GF diets No L-Val'!AM$353/100</f>
        <v>116.78378175455806</v>
      </c>
      <c r="U59" s="367">
        <f>'GF diets No L-Val + Fat + WD'!AN$351*'GF diets No L-Val'!AN$353/100</f>
        <v>145.97139277513969</v>
      </c>
      <c r="V59" s="367">
        <f>'GF diets No L-Val + Fat + WD'!AO$351*'GF diets No L-Val'!AO$353/100</f>
        <v>175.02443468482605</v>
      </c>
      <c r="W59" s="367">
        <f>'GF diets No L-Val + Fat + WD'!AP$351*'GF diets No L-Val'!AP$353/100</f>
        <v>208.69118981626539</v>
      </c>
      <c r="Y59" s="433">
        <v>0.25</v>
      </c>
      <c r="Z59" s="367">
        <f>'GF diets No L-Val + Fat + WD'!AK$342</f>
        <v>741.69090139868376</v>
      </c>
      <c r="AA59" s="367">
        <f>'GF diets No L-Val + Fat + WD'!AL$342</f>
        <v>857.56075020428375</v>
      </c>
      <c r="AB59" s="367">
        <f>'GF diets No L-Val + Fat + WD'!AM$342</f>
        <v>933.38079850970121</v>
      </c>
      <c r="AC59" s="367">
        <f>'GF diets No L-Val + Fat + WD'!AN$342</f>
        <v>966.10623674420458</v>
      </c>
      <c r="AD59" s="367">
        <f>'GF diets No L-Val + Fat + WD'!AO$342</f>
        <v>952.59250017741692</v>
      </c>
      <c r="AE59" s="367">
        <f>'GF diets No L-Val + Fat + WD'!AP$342</f>
        <v>919.74779687896194</v>
      </c>
      <c r="AF59" s="420"/>
      <c r="AG59" s="433">
        <v>0.25</v>
      </c>
      <c r="AH59" s="367">
        <f>'GF diets No L-Val + Fat + WD'!AK$344</f>
        <v>557.74081209962173</v>
      </c>
      <c r="AI59" s="367">
        <f>'GF diets No L-Val + Fat + WD'!AL$344</f>
        <v>489.84693169406222</v>
      </c>
      <c r="AJ59" s="367">
        <f>'GF diets No L-Val + Fat + WD'!AM$344</f>
        <v>427.5797585417273</v>
      </c>
      <c r="AK59" s="367">
        <f>'GF diets No L-Val + Fat + WD'!AN$344</f>
        <v>372.73581436865857</v>
      </c>
      <c r="AL59" s="367">
        <f>'GF diets No L-Val + Fat + WD'!AO$344</f>
        <v>329.28751157066336</v>
      </c>
      <c r="AM59" s="367">
        <f>'GF diets No L-Val + Fat + WD'!AP$344</f>
        <v>301.12774430436968</v>
      </c>
      <c r="AN59" s="420"/>
      <c r="AO59" s="433">
        <v>0.25</v>
      </c>
      <c r="AP59" s="367">
        <f t="shared" si="60"/>
        <v>1.7929475094990599</v>
      </c>
      <c r="AQ59" s="367">
        <f t="shared" si="61"/>
        <v>2.0414540447189284</v>
      </c>
      <c r="AR59" s="367">
        <f t="shared" si="62"/>
        <v>2.3387449476339288</v>
      </c>
      <c r="AS59" s="367">
        <f t="shared" si="63"/>
        <v>2.6828653471193911</v>
      </c>
      <c r="AT59" s="367">
        <f t="shared" si="64"/>
        <v>3.036859780166322</v>
      </c>
      <c r="AU59" s="367">
        <f t="shared" si="65"/>
        <v>3.3208497686258829</v>
      </c>
      <c r="AW59" s="433">
        <v>0.25</v>
      </c>
      <c r="AX59" s="367">
        <f>'GF diets No L-Val + Fat + WD'!AK$351</f>
        <v>84.270998580050616</v>
      </c>
      <c r="AY59" s="367">
        <f>'GF diets No L-Val + Fat + WD'!AL$351</f>
        <v>119.48272395337915</v>
      </c>
      <c r="AZ59" s="367">
        <f>'GF diets No L-Val + Fat + WD'!AM$351</f>
        <v>159.45720864081406</v>
      </c>
      <c r="BA59" s="367">
        <f>'GF diets No L-Val + Fat + WD'!AN$351</f>
        <v>199.32786302673804</v>
      </c>
      <c r="BB59" s="367">
        <f>'GF diets No L-Val + Fat + WD'!AO$351</f>
        <v>239.01515713647859</v>
      </c>
      <c r="BC59" s="367">
        <f>'GF diets No L-Val + Fat + WD'!AP$351</f>
        <v>284.9999097768</v>
      </c>
      <c r="BD59" s="420"/>
      <c r="BF59" s="433">
        <v>0.25</v>
      </c>
      <c r="BG59" s="367">
        <f t="shared" si="66"/>
        <v>34.270998580050616</v>
      </c>
      <c r="BH59" s="367">
        <f t="shared" si="67"/>
        <v>34.48272395337915</v>
      </c>
      <c r="BI59" s="367">
        <f t="shared" si="68"/>
        <v>39.457208640814059</v>
      </c>
      <c r="BJ59" s="367">
        <f t="shared" si="69"/>
        <v>39.327863026738044</v>
      </c>
      <c r="BK59" s="367">
        <f t="shared" si="70"/>
        <v>39.015157136478592</v>
      </c>
      <c r="BL59" s="367">
        <f t="shared" si="71"/>
        <v>44.999909776799996</v>
      </c>
      <c r="BM59" s="367"/>
    </row>
    <row r="60" spans="1:73" ht="15" x14ac:dyDescent="0.25">
      <c r="A60" s="433">
        <v>0.3</v>
      </c>
      <c r="B60" s="367">
        <f>'GF diets No L-Val + Fat + WD'!AR$353</f>
        <v>73.140554622500986</v>
      </c>
      <c r="C60" s="367">
        <f>'GF diets No L-Val + Fat + WD'!AS$353</f>
        <v>73.135585857209648</v>
      </c>
      <c r="D60" s="367">
        <f>'GF diets No L-Val + Fat + WD'!AT$353</f>
        <v>73.127607321545909</v>
      </c>
      <c r="E60" s="367">
        <f>'GF diets No L-Val + Fat + WD'!AU$353</f>
        <v>73.122138400847618</v>
      </c>
      <c r="F60" s="367">
        <f>'GF diets No L-Val + Fat + WD'!AV$353</f>
        <v>73.118827146313436</v>
      </c>
      <c r="G60" s="367">
        <f>'GF diets No L-Val + Fat + WD'!AW$353</f>
        <v>73.592520480669378</v>
      </c>
      <c r="H60" s="367"/>
      <c r="I60" s="433">
        <v>0.3</v>
      </c>
      <c r="J60" s="367">
        <f>'GF diets No L-Val + Fat + WD'!AR$316</f>
        <v>15.509595274826999</v>
      </c>
      <c r="K60" s="367">
        <f>'GF diets No L-Val + Fat + WD'!AS$316</f>
        <v>15.581637688794629</v>
      </c>
      <c r="L60" s="367">
        <f>'GF diets No L-Val + Fat + WD'!AT$316</f>
        <v>15.644130597950809</v>
      </c>
      <c r="M60" s="367">
        <f>'GF diets No L-Val + Fat + WD'!AU$316</f>
        <v>15.677286778377889</v>
      </c>
      <c r="N60" s="367">
        <f>'GF diets No L-Val + Fat + WD'!AV$316</f>
        <v>15.700817905343778</v>
      </c>
      <c r="O60" s="367">
        <f>'GF diets No L-Val + Fat + WD'!AW$316</f>
        <v>8.8153381410832843</v>
      </c>
      <c r="P60" s="367"/>
      <c r="Q60" s="433">
        <v>0.3</v>
      </c>
      <c r="R60" s="367">
        <f>'GF diets No L-Val + Fat + WD'!AR$351*'GF diets No L-Val'!AR$353/100</f>
        <v>61.500340491536988</v>
      </c>
      <c r="S60" s="367">
        <f>'GF diets No L-Val + Fat + WD'!AS$351*'GF diets No L-Val'!AS$353/100</f>
        <v>87.268239722652126</v>
      </c>
      <c r="T60" s="367">
        <f>'GF diets No L-Val + Fat + WD'!AT$351*'GF diets No L-Val'!AT$353/100</f>
        <v>116.47379614247225</v>
      </c>
      <c r="U60" s="367">
        <f>'GF diets No L-Val + Fat + WD'!AU$351*'GF diets No L-Val'!AU$353/100</f>
        <v>145.58825734642971</v>
      </c>
      <c r="V60" s="367">
        <f>'GF diets No L-Val + Fat + WD'!AV$351*'GF diets No L-Val'!AV$353/100</f>
        <v>174.53994033519169</v>
      </c>
      <c r="W60" s="367">
        <f>'GF diets No L-Val + Fat + WD'!AW$351*'GF diets No L-Val'!AW$353/100</f>
        <v>208.28309485503618</v>
      </c>
      <c r="Y60" s="433">
        <v>0.3</v>
      </c>
      <c r="Z60" s="367">
        <f>'GF diets No L-Val + Fat + WD'!AR$342</f>
        <v>738.50601864243959</v>
      </c>
      <c r="AA60" s="367">
        <f>'GF diets No L-Val + Fat + WD'!AS$342</f>
        <v>854.97698349144969</v>
      </c>
      <c r="AB60" s="367">
        <f>'GF diets No L-Val + Fat + WD'!AT$342</f>
        <v>930.7912646648017</v>
      </c>
      <c r="AC60" s="367">
        <f>'GF diets No L-Val + Fat + WD'!AU$342</f>
        <v>962.84976002250392</v>
      </c>
      <c r="AD60" s="367">
        <f>'GF diets No L-Val + Fat + WD'!AV$342</f>
        <v>947.8413410368928</v>
      </c>
      <c r="AE60" s="367">
        <f>'GF diets No L-Val + Fat + WD'!AW$342</f>
        <v>919.74779687896194</v>
      </c>
      <c r="AF60" s="420"/>
      <c r="AG60" s="433">
        <v>0.3</v>
      </c>
      <c r="AH60" s="367">
        <f>'GF diets No L-Val + Fat + WD'!AR$344</f>
        <v>560.92456426101978</v>
      </c>
      <c r="AI60" s="367">
        <f>'GF diets No L-Val + Fat + WD'!AS$344</f>
        <v>493.61233476220207</v>
      </c>
      <c r="AJ60" s="367">
        <f>'GF diets No L-Val + Fat + WD'!AT$344</f>
        <v>430.93868169881779</v>
      </c>
      <c r="AK60" s="367">
        <f>'GF diets No L-Val + Fat + WD'!AU$344</f>
        <v>375.09757078441942</v>
      </c>
      <c r="AL60" s="367">
        <f>'GF diets No L-Val + Fat + WD'!AV$344</f>
        <v>329.89987224117283</v>
      </c>
      <c r="AM60" s="367">
        <f>'GF diets No L-Val + Fat + WD'!AW$344</f>
        <v>301.12774430436968</v>
      </c>
      <c r="AN60" s="420"/>
      <c r="AO60" s="433">
        <v>0.3</v>
      </c>
      <c r="AP60" s="367">
        <f t="shared" si="60"/>
        <v>1.7827709173646771</v>
      </c>
      <c r="AQ60" s="367">
        <f t="shared" si="61"/>
        <v>2.025881303152099</v>
      </c>
      <c r="AR60" s="367">
        <f t="shared" si="62"/>
        <v>2.320515754255029</v>
      </c>
      <c r="AS60" s="367">
        <f t="shared" si="63"/>
        <v>2.6659730104590094</v>
      </c>
      <c r="AT60" s="367">
        <f t="shared" si="64"/>
        <v>3.0312227561850991</v>
      </c>
      <c r="AU60" s="367">
        <f t="shared" si="65"/>
        <v>3.3208497686258829</v>
      </c>
      <c r="AW60" s="433">
        <v>0.3</v>
      </c>
      <c r="AX60" s="367">
        <f>'GF diets No L-Val + Fat + WD'!AR$351</f>
        <v>84.123835744824063</v>
      </c>
      <c r="AY60" s="367">
        <f>'GF diets No L-Val + Fat + WD'!AS$351</f>
        <v>119.37882986120016</v>
      </c>
      <c r="AZ60" s="367">
        <f>'GF diets No L-Val + Fat + WD'!AT$351</f>
        <v>159.34773993839349</v>
      </c>
      <c r="BA60" s="367">
        <f>'GF diets No L-Val + Fat + WD'!AU$351</f>
        <v>199.19529941545585</v>
      </c>
      <c r="BB60" s="367">
        <f>'GF diets No L-Val + Fat + WD'!AV$351</f>
        <v>238.82056437887363</v>
      </c>
      <c r="BC60" s="367">
        <f>'GF diets No L-Val + Fat + WD'!AW$351</f>
        <v>284.9999097768</v>
      </c>
      <c r="BD60" s="420"/>
      <c r="BF60" s="433">
        <v>0.3</v>
      </c>
      <c r="BG60" s="367">
        <f t="shared" si="66"/>
        <v>34.123835744824063</v>
      </c>
      <c r="BH60" s="367">
        <f t="shared" si="67"/>
        <v>34.37882986120016</v>
      </c>
      <c r="BI60" s="367">
        <f t="shared" si="68"/>
        <v>39.347739938393488</v>
      </c>
      <c r="BJ60" s="367">
        <f t="shared" si="69"/>
        <v>39.19529941545585</v>
      </c>
      <c r="BK60" s="367">
        <f t="shared" si="70"/>
        <v>38.820564378873627</v>
      </c>
      <c r="BL60" s="367">
        <f t="shared" si="71"/>
        <v>44.999909776799996</v>
      </c>
      <c r="BM60" s="367"/>
    </row>
    <row r="61" spans="1:73" x14ac:dyDescent="0.25">
      <c r="Z61" s="2"/>
      <c r="AA61" s="2"/>
      <c r="AB61" s="2"/>
      <c r="AC61" s="2"/>
      <c r="AD61" s="2"/>
      <c r="AE61" s="2"/>
    </row>
    <row r="62" spans="1:73" ht="15" x14ac:dyDescent="0.25">
      <c r="A62" s="290" t="s">
        <v>524</v>
      </c>
      <c r="I62" s="290" t="s">
        <v>524</v>
      </c>
      <c r="J62" s="290"/>
      <c r="K62" s="290"/>
      <c r="L62" s="290"/>
      <c r="M62" s="290"/>
      <c r="Q62" s="290" t="s">
        <v>524</v>
      </c>
      <c r="Y62" s="290" t="s">
        <v>524</v>
      </c>
      <c r="AG62" s="290" t="s">
        <v>524</v>
      </c>
      <c r="AO62" s="290" t="s">
        <v>524</v>
      </c>
      <c r="AW62" s="290" t="s">
        <v>524</v>
      </c>
      <c r="BF62" s="290" t="s">
        <v>524</v>
      </c>
      <c r="BO62" s="290" t="s">
        <v>524</v>
      </c>
    </row>
    <row r="63" spans="1:73" ht="15" x14ac:dyDescent="0.25">
      <c r="B63" s="290" t="s">
        <v>516</v>
      </c>
      <c r="C63" s="290" t="s">
        <v>68</v>
      </c>
      <c r="D63" s="290" t="s">
        <v>69</v>
      </c>
      <c r="E63" s="290" t="s">
        <v>158</v>
      </c>
      <c r="F63" s="290" t="s">
        <v>473</v>
      </c>
      <c r="G63" s="290" t="s">
        <v>475</v>
      </c>
      <c r="H63" s="290"/>
      <c r="J63" s="423" t="s">
        <v>516</v>
      </c>
      <c r="K63" s="423" t="s">
        <v>68</v>
      </c>
      <c r="L63" s="423" t="s">
        <v>69</v>
      </c>
      <c r="M63" s="423" t="s">
        <v>158</v>
      </c>
      <c r="N63" s="290" t="s">
        <v>473</v>
      </c>
      <c r="O63" s="290" t="s">
        <v>475</v>
      </c>
      <c r="P63" s="290"/>
      <c r="R63" s="290" t="s">
        <v>516</v>
      </c>
      <c r="S63" s="290" t="s">
        <v>68</v>
      </c>
      <c r="T63" s="290" t="s">
        <v>69</v>
      </c>
      <c r="U63" s="290" t="s">
        <v>158</v>
      </c>
      <c r="V63" s="290" t="s">
        <v>473</v>
      </c>
      <c r="W63" s="290" t="s">
        <v>475</v>
      </c>
      <c r="Z63" s="290" t="s">
        <v>516</v>
      </c>
      <c r="AA63" s="290" t="s">
        <v>68</v>
      </c>
      <c r="AB63" s="290" t="s">
        <v>69</v>
      </c>
      <c r="AC63" s="290" t="s">
        <v>158</v>
      </c>
      <c r="AD63" s="290" t="s">
        <v>473</v>
      </c>
      <c r="AE63" s="290" t="s">
        <v>475</v>
      </c>
      <c r="AF63" s="290"/>
      <c r="AH63" s="290" t="s">
        <v>516</v>
      </c>
      <c r="AI63" s="290" t="s">
        <v>68</v>
      </c>
      <c r="AJ63" s="290" t="s">
        <v>69</v>
      </c>
      <c r="AK63" s="290" t="s">
        <v>158</v>
      </c>
      <c r="AL63" s="290" t="s">
        <v>473</v>
      </c>
      <c r="AM63" s="290" t="s">
        <v>475</v>
      </c>
      <c r="AN63" s="290"/>
      <c r="AP63" s="290" t="s">
        <v>516</v>
      </c>
      <c r="AQ63" s="290" t="s">
        <v>68</v>
      </c>
      <c r="AR63" s="290" t="s">
        <v>69</v>
      </c>
      <c r="AS63" s="290" t="s">
        <v>158</v>
      </c>
      <c r="AT63" s="290" t="s">
        <v>473</v>
      </c>
      <c r="AU63" s="290" t="s">
        <v>475</v>
      </c>
      <c r="AX63" s="290" t="s">
        <v>516</v>
      </c>
      <c r="AY63" s="290" t="s">
        <v>68</v>
      </c>
      <c r="AZ63" s="290" t="s">
        <v>69</v>
      </c>
      <c r="BA63" s="290" t="s">
        <v>158</v>
      </c>
      <c r="BB63" s="290" t="s">
        <v>473</v>
      </c>
      <c r="BC63" s="290" t="s">
        <v>475</v>
      </c>
      <c r="BG63" s="290" t="s">
        <v>516</v>
      </c>
      <c r="BH63" s="290" t="s">
        <v>68</v>
      </c>
      <c r="BI63" s="290" t="s">
        <v>69</v>
      </c>
      <c r="BJ63" s="290" t="s">
        <v>158</v>
      </c>
      <c r="BK63" s="290" t="s">
        <v>473</v>
      </c>
      <c r="BL63" s="290" t="s">
        <v>475</v>
      </c>
      <c r="BM63" s="290"/>
      <c r="BO63" s="290" t="s">
        <v>516</v>
      </c>
      <c r="BP63" s="290" t="s">
        <v>68</v>
      </c>
      <c r="BQ63" s="290" t="s">
        <v>69</v>
      </c>
      <c r="BR63" s="290" t="s">
        <v>158</v>
      </c>
      <c r="BS63" s="290" t="s">
        <v>473</v>
      </c>
      <c r="BT63" s="290" t="s">
        <v>475</v>
      </c>
    </row>
    <row r="64" spans="1:73" ht="15" x14ac:dyDescent="0.25">
      <c r="A64" s="433">
        <v>0</v>
      </c>
      <c r="B64" s="367">
        <f>'GF diets L-Val + WD'!B$353</f>
        <v>73.972551185589822</v>
      </c>
      <c r="C64" s="367">
        <f>'GF diets L-Val + WD'!C$353</f>
        <v>73.967590114943533</v>
      </c>
      <c r="D64" s="367">
        <f>'GF diets L-Val + WD'!D$353</f>
        <v>73.959502824315024</v>
      </c>
      <c r="E64" s="367">
        <f>'GF diets L-Val + WD'!E$353</f>
        <v>73.952564091992727</v>
      </c>
      <c r="F64" s="367">
        <f>'GF diets L-Val + WD'!F$353</f>
        <v>73.947050097444134</v>
      </c>
      <c r="G64" s="367">
        <f>'GF diets L-Val + WD'!G$353</f>
        <v>73.9437035156581</v>
      </c>
      <c r="H64" s="367"/>
      <c r="I64" s="433">
        <v>0</v>
      </c>
      <c r="J64" s="367">
        <f>'GF diets L-Val + WD'!B$316</f>
        <v>8.5699292218715204</v>
      </c>
      <c r="K64" s="367">
        <f>'GF diets L-Val + WD'!C$316</f>
        <v>8.6418600707376481</v>
      </c>
      <c r="L64" s="367">
        <f>'GF diets L-Val + WD'!D$316</f>
        <v>8.7060121920111886</v>
      </c>
      <c r="M64" s="367">
        <f>'GF diets L-Val + WD'!E$316</f>
        <v>8.7592542727281515</v>
      </c>
      <c r="N64" s="367">
        <f>'GF diets L-Val + WD'!F$316</f>
        <v>8.7998937942372635</v>
      </c>
      <c r="O64" s="367">
        <f>'GF diets L-Val + WD'!G$316</f>
        <v>8.8184122421246407</v>
      </c>
      <c r="P64" s="367"/>
      <c r="Q64" s="433">
        <v>0</v>
      </c>
      <c r="R64" s="367">
        <f>'GF diets L-Val + WD'!B$351*'GF diets No L-Val'!B$353/100</f>
        <v>62.876858678395237</v>
      </c>
      <c r="S64" s="367">
        <f>'GF diets L-Val + WD'!C$351*'GF diets No L-Val'!C$353/100</f>
        <v>88.761376359481872</v>
      </c>
      <c r="T64" s="367">
        <f>'GF diets L-Val + WD'!D$351*'GF diets No L-Val'!D$353/100</f>
        <v>118.33551366385394</v>
      </c>
      <c r="U64" s="367">
        <f>'GF diets L-Val + WD'!E$351*'GF diets No L-Val'!E$353/100</f>
        <v>147.90549325097103</v>
      </c>
      <c r="V64" s="367">
        <f>'GF diets L-Val + WD'!F$351*'GF diets No L-Val'!F$353/100</f>
        <v>177.47338407631628</v>
      </c>
      <c r="W64" s="367">
        <f>'GF diets L-Val + WD'!G$351*'GF diets No L-Val'!G$353/100</f>
        <v>210.74036224391301</v>
      </c>
      <c r="Y64" s="433">
        <v>0</v>
      </c>
      <c r="Z64" s="367">
        <f>'GF diets L-Val + WD'!B$342</f>
        <v>740.32616660444182</v>
      </c>
      <c r="AA64" s="367">
        <f>'GF diets L-Val + WD'!C$342</f>
        <v>862.50756659214221</v>
      </c>
      <c r="AB64" s="367">
        <f>'GF diets L-Val + WD'!D$342</f>
        <v>944.95636803551065</v>
      </c>
      <c r="AC64" s="367">
        <f>'GF diets L-Val + WD'!E$342</f>
        <v>984.20180073567008</v>
      </c>
      <c r="AD64" s="367">
        <f>'GF diets L-Val + WD'!F$342</f>
        <v>982.04258582759257</v>
      </c>
      <c r="AE64" s="367">
        <f>'GF diets L-Val + WD'!G$342</f>
        <v>932.08406418687355</v>
      </c>
      <c r="AF64" s="367"/>
      <c r="AG64" s="433">
        <v>0</v>
      </c>
      <c r="AH64" s="367">
        <f>'GF diets L-Val + WD'!B$344</f>
        <v>544.53845340080113</v>
      </c>
      <c r="AI64" s="367">
        <f>'GF diets L-Val + WD'!C$344</f>
        <v>471.75579583355693</v>
      </c>
      <c r="AJ64" s="367">
        <f>'GF diets L-Val + WD'!D$344</f>
        <v>409.85407727163351</v>
      </c>
      <c r="AK64" s="367">
        <f>'GF diets L-Val + WD'!E$344</f>
        <v>360.59074506150858</v>
      </c>
      <c r="AL64" s="367">
        <f>'GF diets L-Val + WD'!F$344</f>
        <v>326.06282096567122</v>
      </c>
      <c r="AM64" s="367">
        <f>'GF diets L-Val + WD'!G$344</f>
        <v>301.24235802326291</v>
      </c>
      <c r="AN64" s="367"/>
      <c r="AO64" s="433">
        <v>0</v>
      </c>
      <c r="AP64" s="367">
        <f t="shared" ref="AP64:AP70" si="72">1/(AH64/1000)</f>
        <v>1.8364176005472324</v>
      </c>
      <c r="AQ64" s="367">
        <f t="shared" ref="AQ64:AQ70" si="73">1/(AI64/1000)</f>
        <v>2.1197407829045862</v>
      </c>
      <c r="AR64" s="367">
        <f t="shared" ref="AR64:AR70" si="74">1/(AJ64/1000)</f>
        <v>2.4398927702681932</v>
      </c>
      <c r="AS64" s="367">
        <f t="shared" ref="AS64:AS70" si="75">1/(AK64/1000)</f>
        <v>2.7732270273032738</v>
      </c>
      <c r="AT64" s="367">
        <f t="shared" ref="AT64:AT70" si="76">1/(AL64/1000)</f>
        <v>3.0668936649642822</v>
      </c>
      <c r="AU64" s="367">
        <f t="shared" ref="AU64:AU70" si="77">1/(AM64/1000)</f>
        <v>3.3195862844851876</v>
      </c>
      <c r="AW64" s="433">
        <v>0</v>
      </c>
      <c r="AX64" s="367">
        <f>'GF diets L-Val + WD'!B$351</f>
        <v>84.999929826400006</v>
      </c>
      <c r="AY64" s="367">
        <f>'GF diets L-Val + WD'!C$351</f>
        <v>119.99992982640001</v>
      </c>
      <c r="AZ64" s="367">
        <f>'GF diets L-Val + WD'!D$351</f>
        <v>159.99991980159999</v>
      </c>
      <c r="BA64" s="367">
        <f>'GF diets L-Val + WD'!E$351</f>
        <v>199.99991980160002</v>
      </c>
      <c r="BB64" s="367">
        <f>'GF diets L-Val + WD'!F$351</f>
        <v>239.99991980159999</v>
      </c>
      <c r="BC64" s="367">
        <f>'GF diets L-Val + WD'!G$351</f>
        <v>284.9999097768</v>
      </c>
      <c r="BF64" s="433">
        <v>0</v>
      </c>
      <c r="BG64" s="367">
        <f>AX64-50</f>
        <v>34.999929826400006</v>
      </c>
      <c r="BH64" s="367">
        <f>AY64-85</f>
        <v>34.999929826400006</v>
      </c>
      <c r="BI64" s="367">
        <f>AZ64-120</f>
        <v>39.999919801599987</v>
      </c>
      <c r="BJ64" s="367">
        <f>BA64-160</f>
        <v>39.999919801600015</v>
      </c>
      <c r="BK64" s="367">
        <f>BB64-200</f>
        <v>39.999919801599987</v>
      </c>
      <c r="BL64" s="367">
        <f>BC64-240</f>
        <v>44.999909776799996</v>
      </c>
      <c r="BM64" s="367"/>
      <c r="BN64" s="367" t="s">
        <v>570</v>
      </c>
      <c r="BO64" s="367">
        <f>VLOOKUP('DDGS Calculator'!$C$31,Performance!AW64:AX70,2,FALSE)</f>
        <v>84.999929826400006</v>
      </c>
      <c r="BP64" s="367">
        <f>BO64+VLOOKUP('DDGS Calculator'!$D$31,Performance!BF64:BL70,3,FALSE)</f>
        <v>119.99985965280001</v>
      </c>
      <c r="BQ64" s="367">
        <f>BP64+VLOOKUP('DDGS Calculator'!$E$31,Performance!BF64:BL70,4,FALSE)</f>
        <v>159.9997794544</v>
      </c>
      <c r="BR64" s="367">
        <f>BQ64+(VLOOKUP('DDGS Calculator'!$F$31,Performance!BF64:BL70,5,FALSE))</f>
        <v>199.99969925600001</v>
      </c>
      <c r="BS64" s="367">
        <f>BR64+VLOOKUP('DDGS Calculator'!$G$31,Performance!BF64:BL70,6,FALSE)</f>
        <v>239.9996190576</v>
      </c>
      <c r="BT64" s="367">
        <f>BS64+VLOOKUP('DDGS Calculator'!$H$31,Performance!BF64:BL70,7,FALSE)</f>
        <v>284.9995288344</v>
      </c>
      <c r="BU64" s="420"/>
    </row>
    <row r="65" spans="1:73" ht="15" x14ac:dyDescent="0.25">
      <c r="A65" s="433">
        <v>0.05</v>
      </c>
      <c r="B65" s="367">
        <f>'GF diets L-Val + WD'!I$353</f>
        <v>73.827969709053932</v>
      </c>
      <c r="C65" s="367">
        <f>'GF diets L-Val + WD'!J$353</f>
        <v>73.823095508682854</v>
      </c>
      <c r="D65" s="367">
        <f>'GF diets L-Val + WD'!K$353</f>
        <v>73.81509848572216</v>
      </c>
      <c r="E65" s="367">
        <f>'GF diets L-Val + WD'!L$353</f>
        <v>73.8082061056962</v>
      </c>
      <c r="F65" s="367">
        <f>'GF diets L-Val + WD'!M$353</f>
        <v>73.80269487037036</v>
      </c>
      <c r="G65" s="367">
        <f>'GF diets L-Val + WD'!N$353</f>
        <v>73.882387180120503</v>
      </c>
      <c r="H65" s="367"/>
      <c r="I65" s="433">
        <v>0.05</v>
      </c>
      <c r="J65" s="367">
        <f>'GF diets L-Val + WD'!I$316</f>
        <v>9.7758803148391742</v>
      </c>
      <c r="K65" s="367">
        <f>'GF diets L-Val + WD'!J$316</f>
        <v>9.8465516265845316</v>
      </c>
      <c r="L65" s="367">
        <f>'GF diets L-Val + WD'!K$316</f>
        <v>9.9103248579405285</v>
      </c>
      <c r="M65" s="367">
        <f>'GF diets L-Val + WD'!L$316</f>
        <v>9.9631746054439638</v>
      </c>
      <c r="N65" s="367">
        <f>'GF diets L-Val + WD'!M$316</f>
        <v>10.00406377730083</v>
      </c>
      <c r="O65" s="367">
        <f>'GF diets L-Val + WD'!N$316</f>
        <v>8.8184122421246407</v>
      </c>
      <c r="P65" s="367"/>
      <c r="Q65" s="433">
        <v>0.05</v>
      </c>
      <c r="R65" s="367">
        <f>'GF diets L-Val + WD'!I$351*'GF diets No L-Val'!I$353/100</f>
        <v>62.567558401276749</v>
      </c>
      <c r="S65" s="367">
        <f>'GF diets L-Val + WD'!J$351*'GF diets No L-Val'!J$353/100</f>
        <v>88.424288491497293</v>
      </c>
      <c r="T65" s="367">
        <f>'GF diets L-Val + WD'!K$351*'GF diets No L-Val'!K$353/100</f>
        <v>117.90829584813824</v>
      </c>
      <c r="U65" s="367">
        <f>'GF diets L-Val + WD'!L$351*'GF diets No L-Val'!L$353/100</f>
        <v>147.36693190565651</v>
      </c>
      <c r="V65" s="367">
        <f>'GF diets L-Val + WD'!M$351*'GF diets No L-Val'!M$353/100</f>
        <v>176.77590316896635</v>
      </c>
      <c r="W65" s="367">
        <f>'GF diets L-Val + WD'!N$351*'GF diets No L-Val'!N$353/100</f>
        <v>210.32874028654945</v>
      </c>
      <c r="Y65" s="433">
        <v>0.05</v>
      </c>
      <c r="Z65" s="367">
        <f>'GF diets L-Val + WD'!I$342</f>
        <v>734.98200857534789</v>
      </c>
      <c r="AA65" s="367">
        <f>'GF diets L-Val + WD'!J$342</f>
        <v>857.03896662430009</v>
      </c>
      <c r="AB65" s="367">
        <f>'GF diets L-Val + WD'!K$342</f>
        <v>938.67333767113405</v>
      </c>
      <c r="AC65" s="367">
        <f>'GF diets L-Val + WD'!L$342</f>
        <v>975.87519399902249</v>
      </c>
      <c r="AD65" s="367">
        <f>'GF diets L-Val + WD'!M$342</f>
        <v>970.37168111826622</v>
      </c>
      <c r="AE65" s="367">
        <f>'GF diets L-Val + WD'!N$342</f>
        <v>932.08406418687355</v>
      </c>
      <c r="AF65" s="420"/>
      <c r="AG65" s="433">
        <v>0.05</v>
      </c>
      <c r="AH65" s="367">
        <f>'GF diets L-Val + WD'!I$344</f>
        <v>544.92251618513285</v>
      </c>
      <c r="AI65" s="367">
        <f>'GF diets L-Val + WD'!J$344</f>
        <v>472.02046998180811</v>
      </c>
      <c r="AJ65" s="367">
        <f>'GF diets L-Val + WD'!K$344</f>
        <v>409.88899300995126</v>
      </c>
      <c r="AK65" s="367">
        <f>'GF diets L-Val + WD'!L$344</f>
        <v>359.91351940059508</v>
      </c>
      <c r="AL65" s="367">
        <f>'GF diets L-Val + WD'!M$344</f>
        <v>324.0636773047201</v>
      </c>
      <c r="AM65" s="367">
        <f>'GF diets L-Val + WD'!N$344</f>
        <v>301.24235802326291</v>
      </c>
      <c r="AN65" s="420"/>
      <c r="AO65" s="433">
        <v>0.05</v>
      </c>
      <c r="AP65" s="367">
        <f t="shared" si="72"/>
        <v>1.8351232887213975</v>
      </c>
      <c r="AQ65" s="367">
        <f t="shared" si="73"/>
        <v>2.1185521891424335</v>
      </c>
      <c r="AR65" s="367">
        <f t="shared" si="74"/>
        <v>2.4396849319047758</v>
      </c>
      <c r="AS65" s="367">
        <f t="shared" si="75"/>
        <v>2.7784452266906055</v>
      </c>
      <c r="AT65" s="367">
        <f t="shared" si="76"/>
        <v>3.0858132831088341</v>
      </c>
      <c r="AU65" s="367">
        <f t="shared" si="77"/>
        <v>3.3195862844851876</v>
      </c>
      <c r="AW65" s="433">
        <v>0.05</v>
      </c>
      <c r="AX65" s="367">
        <f>'GF diets L-Val + WD'!I$351</f>
        <v>84.747276956008861</v>
      </c>
      <c r="AY65" s="367">
        <f>'GF diets L-Val + WD'!J$351</f>
        <v>119.77801757161166</v>
      </c>
      <c r="AZ65" s="367">
        <f>'GF diets L-Val + WD'!K$351</f>
        <v>159.73395914661489</v>
      </c>
      <c r="BA65" s="367">
        <f>'GF diets L-Val + WD'!L$351</f>
        <v>199.66150925488392</v>
      </c>
      <c r="BB65" s="367">
        <f>'GF diets L-Val + WD'!M$351</f>
        <v>239.52454714962926</v>
      </c>
      <c r="BC65" s="367">
        <f>'GF diets L-Val + WD'!N$351</f>
        <v>284.9999097768</v>
      </c>
      <c r="BD65" s="420"/>
      <c r="BF65" s="433">
        <v>0.05</v>
      </c>
      <c r="BG65" s="367">
        <f t="shared" ref="BG65:BG70" si="78">AX65-50</f>
        <v>34.747276956008861</v>
      </c>
      <c r="BH65" s="367">
        <f t="shared" ref="BH65:BH70" si="79">AY65-85</f>
        <v>34.778017571611656</v>
      </c>
      <c r="BI65" s="367">
        <f t="shared" ref="BI65:BI70" si="80">AZ65-120</f>
        <v>39.733959146614893</v>
      </c>
      <c r="BJ65" s="367">
        <f t="shared" ref="BJ65:BJ70" si="81">BA65-160</f>
        <v>39.661509254883924</v>
      </c>
      <c r="BK65" s="367">
        <f t="shared" ref="BK65:BK70" si="82">BB65-200</f>
        <v>39.524547149629257</v>
      </c>
      <c r="BL65" s="367">
        <f t="shared" ref="BL65:BL70" si="83">BC65-240</f>
        <v>44.999909776799996</v>
      </c>
      <c r="BM65" s="367"/>
      <c r="BN65" s="367" t="s">
        <v>571</v>
      </c>
      <c r="BO65" s="367"/>
      <c r="BP65" s="367"/>
      <c r="BQ65" s="367"/>
      <c r="BR65" s="367"/>
      <c r="BS65" s="367"/>
      <c r="BT65" s="367">
        <f>((0.03492*22.19)-(0.05092*VLOOKUP('DDGS Calculator'!$G$31,Performance!I63:O70,6,FALSE))-(0.06897*VLOOKUP('DDGS Calculator'!$H$31,Performance!I63:O70,7,FALSE))-(0.00289*VLOOKUP('DDGS Calculator'!$H$31,Performance!I63:O70,7,FALSE)*22.19)+'DDGS Calculator'!$G$9)</f>
        <v>74.153061475141669</v>
      </c>
      <c r="BU65" s="420"/>
    </row>
    <row r="66" spans="1:73" ht="15" x14ac:dyDescent="0.25">
      <c r="A66" s="433">
        <v>0.1</v>
      </c>
      <c r="B66" s="367">
        <f>'GF diets L-Val + WD'!P$353</f>
        <v>73.683519915497129</v>
      </c>
      <c r="C66" s="367">
        <f>'GF diets L-Val + WD'!Q$353</f>
        <v>73.678710640693126</v>
      </c>
      <c r="D66" s="367">
        <f>'GF diets L-Val + WD'!R$353</f>
        <v>73.670780213230529</v>
      </c>
      <c r="E66" s="367">
        <f>'GF diets L-Val + WD'!S$353</f>
        <v>73.663905575179484</v>
      </c>
      <c r="F66" s="367">
        <f>'GF diets L-Val + WD'!T$353</f>
        <v>73.658424263577388</v>
      </c>
      <c r="G66" s="367">
        <f>'GF diets L-Val + WD'!U$353</f>
        <v>73.82112064928188</v>
      </c>
      <c r="H66" s="367"/>
      <c r="I66" s="433">
        <v>0.1</v>
      </c>
      <c r="J66" s="367">
        <f>'GF diets L-Val + WD'!P$316</f>
        <v>10.980733042813222</v>
      </c>
      <c r="K66" s="367">
        <f>'GF diets L-Val + WD'!Q$316</f>
        <v>11.050462995024263</v>
      </c>
      <c r="L66" s="367">
        <f>'GF diets L-Val + WD'!R$316</f>
        <v>11.113965652643751</v>
      </c>
      <c r="M66" s="367">
        <f>'GF diets L-Val + WD'!S$316</f>
        <v>11.166757920659718</v>
      </c>
      <c r="N66" s="367">
        <f>'GF diets L-Val + WD'!T$316</f>
        <v>11.207255663369779</v>
      </c>
      <c r="O66" s="367">
        <f>'GF diets L-Val + WD'!U$316</f>
        <v>8.8184122421246407</v>
      </c>
      <c r="P66" s="367"/>
      <c r="Q66" s="433">
        <v>0.1</v>
      </c>
      <c r="R66" s="367">
        <f>'GF diets L-Val + WD'!P$351*'GF diets No L-Val'!P$353/100</f>
        <v>62.301753156247003</v>
      </c>
      <c r="S66" s="367">
        <f>'GF diets L-Val + WD'!Q$351*'GF diets No L-Val'!Q$353/100</f>
        <v>88.121869703373989</v>
      </c>
      <c r="T66" s="367">
        <f>'GF diets L-Val + WD'!R$351*'GF diets No L-Val'!R$353/100</f>
        <v>117.5110057751222</v>
      </c>
      <c r="U66" s="367">
        <f>'GF diets L-Val + WD'!S$351*'GF diets No L-Val'!S$353/100</f>
        <v>146.84304668301445</v>
      </c>
      <c r="V66" s="367">
        <f>'GF diets L-Val + WD'!T$351*'GF diets No L-Val'!T$353/100</f>
        <v>176.09983381498122</v>
      </c>
      <c r="W66" s="367">
        <f>'GF diets L-Val + WD'!U$351*'GF diets No L-Val'!U$353/100</f>
        <v>209.91806193479221</v>
      </c>
      <c r="Y66" s="433">
        <v>0.1</v>
      </c>
      <c r="Z66" s="367">
        <f>'GF diets L-Val + WD'!P$342</f>
        <v>730.86253902058513</v>
      </c>
      <c r="AA66" s="367">
        <f>'GF diets L-Val + WD'!Q$342</f>
        <v>852.70454847034819</v>
      </c>
      <c r="AB66" s="367">
        <f>'GF diets L-Val + WD'!R$342</f>
        <v>933.32207144981544</v>
      </c>
      <c r="AC66" s="367">
        <f>'GF diets L-Val + WD'!S$342</f>
        <v>967.99604287988086</v>
      </c>
      <c r="AD66" s="367">
        <f>'GF diets L-Val + WD'!T$342</f>
        <v>959.34807253354575</v>
      </c>
      <c r="AE66" s="367">
        <f>'GF diets L-Val + WD'!U$342</f>
        <v>932.08406418687355</v>
      </c>
      <c r="AF66" s="420"/>
      <c r="AG66" s="433">
        <v>0.1</v>
      </c>
      <c r="AH66" s="367">
        <f>'GF diets L-Val + WD'!P$344</f>
        <v>544.85096467227618</v>
      </c>
      <c r="AI66" s="367">
        <f>'GF diets L-Val + WD'!Q$344</f>
        <v>471.93164836862832</v>
      </c>
      <c r="AJ66" s="367">
        <f>'GF diets L-Val + WD'!R$344</f>
        <v>409.62895773480216</v>
      </c>
      <c r="AK66" s="367">
        <f>'GF diets L-Val + WD'!S$344</f>
        <v>358.95851978872997</v>
      </c>
      <c r="AL66" s="367">
        <f>'GF diets L-Val + WD'!T$344</f>
        <v>321.97894228766768</v>
      </c>
      <c r="AM66" s="367">
        <f>'GF diets L-Val + WD'!U$344</f>
        <v>301.24235802326291</v>
      </c>
      <c r="AN66" s="420"/>
      <c r="AO66" s="433">
        <v>0.1</v>
      </c>
      <c r="AP66" s="367">
        <f t="shared" si="72"/>
        <v>1.8353642827841785</v>
      </c>
      <c r="AQ66" s="367">
        <f t="shared" si="73"/>
        <v>2.11895091896633</v>
      </c>
      <c r="AR66" s="367">
        <f t="shared" si="74"/>
        <v>2.4412336606520135</v>
      </c>
      <c r="AS66" s="367">
        <f t="shared" si="75"/>
        <v>2.7858372064509402</v>
      </c>
      <c r="AT66" s="367">
        <f t="shared" si="76"/>
        <v>3.1057931704942483</v>
      </c>
      <c r="AU66" s="367">
        <f t="shared" si="77"/>
        <v>3.3195862844851876</v>
      </c>
      <c r="AW66" s="433">
        <v>0.1</v>
      </c>
      <c r="AX66" s="367">
        <f>'GF diets L-Val + WD'!P$351</f>
        <v>84.55252302062118</v>
      </c>
      <c r="AY66" s="367">
        <f>'GF diets L-Val + WD'!Q$351</f>
        <v>119.60212968231728</v>
      </c>
      <c r="AZ66" s="367">
        <f>'GF diets L-Val + WD'!R$351</f>
        <v>159.50744006478919</v>
      </c>
      <c r="BA66" s="367">
        <f>'GF diets L-Val + WD'!S$351</f>
        <v>199.34128423138765</v>
      </c>
      <c r="BB66" s="367">
        <f>'GF diets L-Val + WD'!T$351</f>
        <v>239.07553979521069</v>
      </c>
      <c r="BC66" s="367">
        <f>'GF diets L-Val + WD'!U$351</f>
        <v>284.9999097768</v>
      </c>
      <c r="BD66" s="420"/>
      <c r="BF66" s="433">
        <v>0.1</v>
      </c>
      <c r="BG66" s="367">
        <f t="shared" si="78"/>
        <v>34.55252302062118</v>
      </c>
      <c r="BH66" s="367">
        <f t="shared" si="79"/>
        <v>34.602129682317283</v>
      </c>
      <c r="BI66" s="367">
        <f t="shared" si="80"/>
        <v>39.507440064789193</v>
      </c>
      <c r="BJ66" s="367">
        <f t="shared" si="81"/>
        <v>39.341284231387647</v>
      </c>
      <c r="BK66" s="367">
        <f t="shared" si="82"/>
        <v>39.075539795210688</v>
      </c>
      <c r="BL66" s="367">
        <f t="shared" si="83"/>
        <v>44.999909776799996</v>
      </c>
      <c r="BM66" s="367"/>
      <c r="BN66" s="367" t="s">
        <v>572</v>
      </c>
      <c r="BT66" s="367">
        <f>BT64*(BT65/100)</f>
        <v>211.33587582043674</v>
      </c>
    </row>
    <row r="67" spans="1:73" ht="15" x14ac:dyDescent="0.25">
      <c r="A67" s="433">
        <v>0.15</v>
      </c>
      <c r="B67" s="367">
        <f>'GF diets L-Val + WD'!W$353</f>
        <v>73.539097625975515</v>
      </c>
      <c r="C67" s="367">
        <f>'GF diets L-Val + WD'!X$353</f>
        <v>73.534325779816029</v>
      </c>
      <c r="D67" s="367">
        <f>'GF diets L-Val + WD'!Y$353</f>
        <v>73.526437114426912</v>
      </c>
      <c r="E67" s="367">
        <f>'GF diets L-Val + WD'!Z$353</f>
        <v>73.519635495324664</v>
      </c>
      <c r="F67" s="367">
        <f>'GF diets L-Val + WD'!AA$353</f>
        <v>73.514292556668451</v>
      </c>
      <c r="G67" s="367">
        <f>'GF diets L-Val + WD'!AB$353</f>
        <v>73.759933547068627</v>
      </c>
      <c r="H67" s="367"/>
      <c r="I67" s="433">
        <v>0.15</v>
      </c>
      <c r="J67" s="367">
        <f>'GF diets L-Val + WD'!W$316</f>
        <v>12.185356360200929</v>
      </c>
      <c r="K67" s="367">
        <f>'GF diets L-Val + WD'!X$316</f>
        <v>12.254543632340727</v>
      </c>
      <c r="L67" s="367">
        <f>'GF diets L-Val + WD'!Y$316</f>
        <v>12.317841435614078</v>
      </c>
      <c r="M67" s="367">
        <f>'GF diets L-Val + WD'!Z$316</f>
        <v>12.369726240015426</v>
      </c>
      <c r="N67" s="367">
        <f>'GF diets L-Val + WD'!AA$316</f>
        <v>12.408887678555427</v>
      </c>
      <c r="O67" s="367">
        <f>'GF diets L-Val + WD'!AB$316</f>
        <v>8.8184122421246407</v>
      </c>
      <c r="P67" s="367"/>
      <c r="Q67" s="433">
        <v>0.15</v>
      </c>
      <c r="R67" s="367">
        <f>'GF diets L-Val + WD'!W$351*'GF diets No L-Val'!W$353/100</f>
        <v>62.063350701483451</v>
      </c>
      <c r="S67" s="367">
        <f>'GF diets L-Val + WD'!X$351*'GF diets No L-Val'!X$353/100</f>
        <v>87.838683571128854</v>
      </c>
      <c r="T67" s="367">
        <f>'GF diets L-Val + WD'!Y$351*'GF diets No L-Val'!Y$353/100</f>
        <v>117.11902525208808</v>
      </c>
      <c r="U67" s="367">
        <f>'GF diets L-Val + WD'!Z$351*'GF diets No L-Val'!Z$353/100</f>
        <v>146.33908187928051</v>
      </c>
      <c r="V67" s="367">
        <f>'GF diets L-Val + WD'!AA$351*'GF diets No L-Val'!AA$353/100</f>
        <v>175.43662791902329</v>
      </c>
      <c r="W67" s="367">
        <f>'GF diets L-Val + WD'!AB$351*'GF diets No L-Val'!AB$353/100</f>
        <v>209.50772949876185</v>
      </c>
      <c r="Y67" s="433">
        <v>0.15</v>
      </c>
      <c r="Z67" s="367">
        <f>'GF diets L-Val + WD'!W$342</f>
        <v>727.51552435711903</v>
      </c>
      <c r="AA67" s="367">
        <f>'GF diets L-Val + WD'!X$342</f>
        <v>848.998506061993</v>
      </c>
      <c r="AB67" s="367">
        <f>'GF diets L-Val + WD'!Y$342</f>
        <v>928.12318501505911</v>
      </c>
      <c r="AC67" s="367">
        <f>'GF diets L-Val + WD'!Z$342</f>
        <v>960.75385333371219</v>
      </c>
      <c r="AD67" s="367">
        <f>'GF diets L-Val + WD'!AA$342</f>
        <v>948.70954572017718</v>
      </c>
      <c r="AE67" s="367">
        <f>'GF diets L-Val + WD'!AB$342</f>
        <v>932.08406418687355</v>
      </c>
      <c r="AF67" s="420"/>
      <c r="AG67" s="433">
        <v>0.15</v>
      </c>
      <c r="AH67" s="367">
        <f>'GF diets L-Val + WD'!W$344</f>
        <v>544.02090375649789</v>
      </c>
      <c r="AI67" s="367">
        <f>'GF diets L-Val + WD'!X$344</f>
        <v>471.24361438129569</v>
      </c>
      <c r="AJ67" s="367">
        <f>'GF diets L-Val + WD'!Y$344</f>
        <v>408.78610079742481</v>
      </c>
      <c r="AK67" s="367">
        <f>'GF diets L-Val + WD'!Z$344</f>
        <v>357.7790103051002</v>
      </c>
      <c r="AL67" s="367">
        <f>'GF diets L-Val + WD'!AA$344</f>
        <v>319.75849715832874</v>
      </c>
      <c r="AM67" s="367">
        <f>'GF diets L-Val + WD'!AB$344</f>
        <v>301.24235802326291</v>
      </c>
      <c r="AN67" s="420"/>
      <c r="AO67" s="433">
        <v>0.15</v>
      </c>
      <c r="AP67" s="367">
        <f t="shared" si="72"/>
        <v>1.8381646607601625</v>
      </c>
      <c r="AQ67" s="367">
        <f t="shared" si="73"/>
        <v>2.1220446696406023</v>
      </c>
      <c r="AR67" s="367">
        <f t="shared" si="74"/>
        <v>2.4462671261309663</v>
      </c>
      <c r="AS67" s="367">
        <f t="shared" si="75"/>
        <v>2.7950214271855649</v>
      </c>
      <c r="AT67" s="367">
        <f t="shared" si="76"/>
        <v>3.127360207428199</v>
      </c>
      <c r="AU67" s="367">
        <f t="shared" si="77"/>
        <v>3.3195862844851876</v>
      </c>
      <c r="AW67" s="433">
        <v>0.15</v>
      </c>
      <c r="AX67" s="367">
        <f>'GF diets L-Val + WD'!W$351</f>
        <v>84.39428801758379</v>
      </c>
      <c r="AY67" s="367">
        <f>'GF diets L-Val + WD'!X$351</f>
        <v>119.45174087494144</v>
      </c>
      <c r="AZ67" s="367">
        <f>'GF diets L-Val + WD'!Y$351</f>
        <v>159.2873712188354</v>
      </c>
      <c r="BA67" s="367">
        <f>'GF diets L-Val + WD'!Z$351</f>
        <v>199.04694664571142</v>
      </c>
      <c r="BB67" s="367">
        <f>'GF diets L-Val + WD'!AA$351</f>
        <v>238.64221737246044</v>
      </c>
      <c r="BC67" s="367">
        <f>'GF diets L-Val + WD'!AB$351</f>
        <v>284.9999097768</v>
      </c>
      <c r="BD67" s="420"/>
      <c r="BF67" s="433">
        <v>0.15</v>
      </c>
      <c r="BG67" s="367">
        <f t="shared" si="78"/>
        <v>34.39428801758379</v>
      </c>
      <c r="BH67" s="367">
        <f t="shared" si="79"/>
        <v>34.451740874941436</v>
      </c>
      <c r="BI67" s="367">
        <f t="shared" si="80"/>
        <v>39.287371218835403</v>
      </c>
      <c r="BJ67" s="367">
        <f t="shared" si="81"/>
        <v>39.046946645711415</v>
      </c>
      <c r="BK67" s="367">
        <f t="shared" si="82"/>
        <v>38.642217372460436</v>
      </c>
      <c r="BL67" s="367">
        <f t="shared" si="83"/>
        <v>44.999909776799996</v>
      </c>
      <c r="BM67" s="367"/>
    </row>
    <row r="68" spans="1:73" ht="15" x14ac:dyDescent="0.25">
      <c r="A68" s="433">
        <v>0.2</v>
      </c>
      <c r="B68" s="367">
        <f>'GF diets L-Val + WD'!AD$353</f>
        <v>73.394710737703804</v>
      </c>
      <c r="C68" s="367">
        <f>'GF diets L-Val + WD'!AE$353</f>
        <v>73.389942088275788</v>
      </c>
      <c r="D68" s="367">
        <f>'GF diets L-Val + WD'!AF$353</f>
        <v>73.382125449893522</v>
      </c>
      <c r="E68" s="367">
        <f>'GF diets L-Val + WD'!AG$353</f>
        <v>73.375489067781572</v>
      </c>
      <c r="F68" s="367">
        <f>'GF diets L-Val + WD'!AH$353</f>
        <v>73.370648209025447</v>
      </c>
      <c r="G68" s="367">
        <f>'GF diets L-Val + WD'!AI$353</f>
        <v>73.699055628231221</v>
      </c>
      <c r="H68" s="367"/>
      <c r="I68" s="433">
        <v>0.2</v>
      </c>
      <c r="J68" s="367">
        <f>'GF diets L-Val + WD'!AD$316</f>
        <v>13.389684396498479</v>
      </c>
      <c r="K68" s="367">
        <f>'GF diets L-Val + WD'!AE$316</f>
        <v>13.458825319044692</v>
      </c>
      <c r="L68" s="367">
        <f>'GF diets L-Val + WD'!AF$316</f>
        <v>13.521113018134308</v>
      </c>
      <c r="M68" s="367">
        <f>'GF diets L-Val + WD'!AG$316</f>
        <v>13.57134779375134</v>
      </c>
      <c r="N68" s="367">
        <f>'GF diets L-Val + WD'!AH$316</f>
        <v>13.604447749988939</v>
      </c>
      <c r="O68" s="367">
        <f>'GF diets L-Val + WD'!AI$316</f>
        <v>8.8184122421246407</v>
      </c>
      <c r="Q68" s="433">
        <v>0.2</v>
      </c>
      <c r="R68" s="367">
        <f>'GF diets L-Val + WD'!AD$351*'GF diets No L-Val'!AD$353/100</f>
        <v>61.852381927787022</v>
      </c>
      <c r="S68" s="367">
        <f>'GF diets L-Val + WD'!AE$351*'GF diets No L-Val'!AE$353/100</f>
        <v>87.567866722032235</v>
      </c>
      <c r="T68" s="367">
        <f>'GF diets L-Val + WD'!AF$351*'GF diets No L-Val'!AF$353/100</f>
        <v>116.75047103392433</v>
      </c>
      <c r="U68" s="367">
        <f>'GF diets L-Val + WD'!AG$351*'GF diets No L-Val'!AG$353/100</f>
        <v>145.8509624160437</v>
      </c>
      <c r="V68" s="367">
        <f>'GF diets L-Val + WD'!AH$351*'GF diets No L-Val'!AH$353/100</f>
        <v>174.77926855174871</v>
      </c>
      <c r="W68" s="367">
        <f>'GF diets L-Val + WD'!AI$351*'GF diets No L-Val'!AI$353/100</f>
        <v>209.09927170607989</v>
      </c>
      <c r="Y68" s="433">
        <v>0.2</v>
      </c>
      <c r="Z68" s="367">
        <f>'GF diets L-Val + WD'!AD$342</f>
        <v>724.94582154114494</v>
      </c>
      <c r="AA68" s="367">
        <f>'GF diets L-Val + WD'!AE$342</f>
        <v>845.69421270540624</v>
      </c>
      <c r="AB68" s="367">
        <f>'GF diets L-Val + WD'!AF$342</f>
        <v>923.65864602576949</v>
      </c>
      <c r="AC68" s="367">
        <f>'GF diets L-Val + WD'!AG$342</f>
        <v>954.01012781500322</v>
      </c>
      <c r="AD68" s="367">
        <f>'GF diets L-Val + WD'!AH$342</f>
        <v>938.19318574970953</v>
      </c>
      <c r="AE68" s="367">
        <f>'GF diets L-Val + WD'!AI$342</f>
        <v>932.08406418687355</v>
      </c>
      <c r="AF68" s="420"/>
      <c r="AG68" s="433">
        <v>0.2</v>
      </c>
      <c r="AH68" s="367">
        <f>'GF diets L-Val + WD'!AD$344</f>
        <v>542.41495381124025</v>
      </c>
      <c r="AI68" s="367">
        <f>'GF diets L-Val + WD'!AE$344</f>
        <v>469.82815603512751</v>
      </c>
      <c r="AJ68" s="367">
        <f>'GF diets L-Val + WD'!AF$344</f>
        <v>407.58466744044267</v>
      </c>
      <c r="AK68" s="367">
        <f>'GF diets L-Val + WD'!AG$344</f>
        <v>356.34303554371058</v>
      </c>
      <c r="AL68" s="367">
        <f>'GF diets L-Val + WD'!AH$344</f>
        <v>317.14306606759203</v>
      </c>
      <c r="AM68" s="367">
        <f>'GF diets L-Val + WD'!AI$344</f>
        <v>301.24235802326291</v>
      </c>
      <c r="AN68" s="420"/>
      <c r="AO68" s="433">
        <v>0.2</v>
      </c>
      <c r="AP68" s="367">
        <f t="shared" si="72"/>
        <v>1.8436069893972702</v>
      </c>
      <c r="AQ68" s="367">
        <f t="shared" si="73"/>
        <v>2.1284377855064807</v>
      </c>
      <c r="AR68" s="367">
        <f t="shared" si="74"/>
        <v>2.4534779639278814</v>
      </c>
      <c r="AS68" s="367">
        <f t="shared" si="75"/>
        <v>2.8062846758719258</v>
      </c>
      <c r="AT68" s="367">
        <f t="shared" si="76"/>
        <v>3.1531510759465009</v>
      </c>
      <c r="AU68" s="367">
        <f t="shared" si="77"/>
        <v>3.3195862844851876</v>
      </c>
      <c r="AW68" s="433">
        <v>0.2</v>
      </c>
      <c r="AX68" s="367">
        <f>'GF diets L-Val + WD'!AD$351</f>
        <v>84.272801566589351</v>
      </c>
      <c r="AY68" s="367">
        <f>'GF diets L-Val + WD'!AE$351</f>
        <v>119.3176547846159</v>
      </c>
      <c r="AZ68" s="367">
        <f>'GF diets L-Val + WD'!AF$351</f>
        <v>159.09838729787106</v>
      </c>
      <c r="BA68" s="367">
        <f>'GF diets L-Val + WD'!AG$351</f>
        <v>198.77286767070169</v>
      </c>
      <c r="BB68" s="367">
        <f>'GF diets L-Val + WD'!AH$351</f>
        <v>238.2138709800642</v>
      </c>
      <c r="BC68" s="367">
        <f>'GF diets L-Val + WD'!AI$351</f>
        <v>284.9999097768</v>
      </c>
      <c r="BD68" s="420"/>
      <c r="BF68" s="433">
        <v>0.2</v>
      </c>
      <c r="BG68" s="367">
        <f t="shared" si="78"/>
        <v>34.272801566589351</v>
      </c>
      <c r="BH68" s="367">
        <f t="shared" si="79"/>
        <v>34.317654784615897</v>
      </c>
      <c r="BI68" s="367">
        <f t="shared" si="80"/>
        <v>39.098387297871056</v>
      </c>
      <c r="BJ68" s="367">
        <f t="shared" si="81"/>
        <v>38.772867670701686</v>
      </c>
      <c r="BK68" s="367">
        <f t="shared" si="82"/>
        <v>38.2138709800642</v>
      </c>
      <c r="BL68" s="367">
        <f t="shared" si="83"/>
        <v>44.999909776799996</v>
      </c>
      <c r="BM68" s="367"/>
    </row>
    <row r="69" spans="1:73" ht="15" x14ac:dyDescent="0.25">
      <c r="A69" s="433">
        <v>0.25</v>
      </c>
      <c r="B69" s="367">
        <f>'GF diets L-Val + WD'!AK$353</f>
        <v>73.250352416994545</v>
      </c>
      <c r="C69" s="367">
        <f>'GF diets L-Val + WD'!AL$353</f>
        <v>73.245559424968391</v>
      </c>
      <c r="D69" s="367">
        <f>'GF diets L-Val + WD'!AM$353</f>
        <v>73.237843470397252</v>
      </c>
      <c r="E69" s="367">
        <f>'GF diets L-Val + WD'!AN$353</f>
        <v>73.231688746506677</v>
      </c>
      <c r="F69" s="367">
        <f>'GF diets L-Val + WD'!AO$353</f>
        <v>73.227380642912948</v>
      </c>
      <c r="G69" s="367">
        <f>'GF diets L-Val + WD'!AP$353</f>
        <v>73.638282475658968</v>
      </c>
      <c r="H69" s="367"/>
      <c r="I69" s="433">
        <v>0.25</v>
      </c>
      <c r="J69" s="367">
        <f>'GF diets L-Val + WD'!AK$316</f>
        <v>14.593774151350882</v>
      </c>
      <c r="K69" s="367">
        <f>'GF diets L-Val + WD'!AL$316</f>
        <v>14.663268018628695</v>
      </c>
      <c r="L69" s="367">
        <f>'GF diets L-Val + WD'!AM$316</f>
        <v>14.7238353210697</v>
      </c>
      <c r="M69" s="367">
        <f>'GF diets L-Val + WD'!AN$316</f>
        <v>14.768356661511596</v>
      </c>
      <c r="N69" s="367">
        <f>'GF diets L-Val + WD'!AO$316</f>
        <v>14.797950353528863</v>
      </c>
      <c r="O69" s="367">
        <f>'GF diets L-Val + WD'!AP$316</f>
        <v>8.8184122421246407</v>
      </c>
      <c r="P69" s="367"/>
      <c r="Q69" s="433">
        <v>0.25</v>
      </c>
      <c r="R69" s="367">
        <f>'GF diets L-Val + WD'!AK$351*'GF diets No L-Val'!AK$353/100</f>
        <v>61.669275613294005</v>
      </c>
      <c r="S69" s="367">
        <f>'GF diets L-Val + WD'!AL$351*'GF diets No L-Val'!AL$353/100</f>
        <v>87.320481073862666</v>
      </c>
      <c r="T69" s="367">
        <f>'GF diets L-Val + WD'!AM$351*'GF diets No L-Val'!AM$353/100</f>
        <v>116.40313614387624</v>
      </c>
      <c r="U69" s="367">
        <f>'GF diets L-Val + WD'!AN$351*'GF diets No L-Val'!AN$353/100</f>
        <v>145.37408097906393</v>
      </c>
      <c r="V69" s="367">
        <f>'GF diets L-Val + WD'!AO$351*'GF diets No L-Val'!AO$353/100</f>
        <v>174.13612410584238</v>
      </c>
      <c r="W69" s="367">
        <f>'GF diets L-Val + WD'!AP$351*'GF diets No L-Val'!AP$353/100</f>
        <v>208.69118981626539</v>
      </c>
      <c r="Y69" s="433">
        <v>0.25</v>
      </c>
      <c r="Z69" s="367">
        <f>'GF diets L-Val + WD'!AK$342</f>
        <v>723.16476170971032</v>
      </c>
      <c r="AA69" s="367">
        <f>'GF diets L-Val + WD'!AL$342</f>
        <v>843.16103565379217</v>
      </c>
      <c r="AB69" s="367">
        <f>'GF diets L-Val + WD'!AM$342</f>
        <v>919.85722269718804</v>
      </c>
      <c r="AC69" s="367">
        <f>'GF diets L-Val + WD'!AN$342</f>
        <v>947.59682363309821</v>
      </c>
      <c r="AD69" s="367">
        <f>'GF diets L-Val + WD'!AO$342</f>
        <v>928.08306099373704</v>
      </c>
      <c r="AE69" s="367">
        <f>'GF diets L-Val + WD'!AP$342</f>
        <v>932.08406418687355</v>
      </c>
      <c r="AF69" s="420"/>
      <c r="AG69" s="433">
        <v>0.25</v>
      </c>
      <c r="AH69" s="367">
        <f>'GF diets L-Val + WD'!AK$344</f>
        <v>540.06744965323378</v>
      </c>
      <c r="AI69" s="367">
        <f>'GF diets L-Val + WD'!AL$344</f>
        <v>467.87575223726196</v>
      </c>
      <c r="AJ69" s="367">
        <f>'GF diets L-Val + WD'!AM$344</f>
        <v>405.98913112498241</v>
      </c>
      <c r="AK69" s="367">
        <f>'GF diets L-Val + WD'!AN$344</f>
        <v>354.40368912897554</v>
      </c>
      <c r="AL69" s="367">
        <f>'GF diets L-Val + WD'!AO$344</f>
        <v>314.274818790317</v>
      </c>
      <c r="AM69" s="367">
        <f>'GF diets L-Val + WD'!AP$344</f>
        <v>301.24235802326291</v>
      </c>
      <c r="AN69" s="420"/>
      <c r="AO69" s="433">
        <v>0.25</v>
      </c>
      <c r="AP69" s="367">
        <f t="shared" si="72"/>
        <v>1.8516205719157475</v>
      </c>
      <c r="AQ69" s="367">
        <f t="shared" si="73"/>
        <v>2.1373195666119824</v>
      </c>
      <c r="AR69" s="367">
        <f t="shared" si="74"/>
        <v>2.4631201264650437</v>
      </c>
      <c r="AS69" s="367">
        <f t="shared" si="75"/>
        <v>2.8216410570040016</v>
      </c>
      <c r="AT69" s="367">
        <f t="shared" si="76"/>
        <v>3.1819284912775538</v>
      </c>
      <c r="AU69" s="367">
        <f t="shared" si="77"/>
        <v>3.3195862844851876</v>
      </c>
      <c r="AW69" s="433">
        <v>0.25</v>
      </c>
      <c r="AX69" s="367">
        <f>'GF diets L-Val + WD'!AK$351</f>
        <v>84.18859936367906</v>
      </c>
      <c r="AY69" s="367">
        <f>'GF diets L-Val + WD'!AL$351</f>
        <v>119.21486009591908</v>
      </c>
      <c r="AZ69" s="367">
        <f>'GF diets L-Val + WD'!AM$351</f>
        <v>158.93747306067789</v>
      </c>
      <c r="BA69" s="367">
        <f>'GF diets L-Val + WD'!AN$351</f>
        <v>198.51221770330227</v>
      </c>
      <c r="BB69" s="367">
        <f>'GF diets L-Val + WD'!AO$351</f>
        <v>237.80207112934988</v>
      </c>
      <c r="BC69" s="367">
        <f>'GF diets L-Val + WD'!AP$351</f>
        <v>284.9999097768</v>
      </c>
      <c r="BD69" s="420"/>
      <c r="BF69" s="433">
        <v>0.25</v>
      </c>
      <c r="BG69" s="367">
        <f t="shared" si="78"/>
        <v>34.18859936367906</v>
      </c>
      <c r="BH69" s="367">
        <f t="shared" si="79"/>
        <v>34.214860095919079</v>
      </c>
      <c r="BI69" s="367">
        <f t="shared" si="80"/>
        <v>38.937473060677888</v>
      </c>
      <c r="BJ69" s="367">
        <f t="shared" si="81"/>
        <v>38.512217703302269</v>
      </c>
      <c r="BK69" s="367">
        <f t="shared" si="82"/>
        <v>37.802071129349883</v>
      </c>
      <c r="BL69" s="367">
        <f t="shared" si="83"/>
        <v>44.999909776799996</v>
      </c>
      <c r="BM69" s="367"/>
    </row>
    <row r="70" spans="1:73" ht="15" x14ac:dyDescent="0.25">
      <c r="A70" s="433">
        <v>0.3</v>
      </c>
      <c r="B70" s="367">
        <f>'GF diets L-Val + WD'!AR$353</f>
        <v>73.106094390504623</v>
      </c>
      <c r="C70" s="367">
        <f>'GF diets L-Val + WD'!AS$353</f>
        <v>73.101272427249754</v>
      </c>
      <c r="D70" s="367">
        <f>'GF diets L-Val + WD'!AT$353</f>
        <v>73.093658387754516</v>
      </c>
      <c r="E70" s="367">
        <f>'GF diets L-Val + WD'!AU$353</f>
        <v>73.088165166049109</v>
      </c>
      <c r="F70" s="367">
        <f>'GF diets L-Val + WD'!AV$353</f>
        <v>73.084286128513853</v>
      </c>
      <c r="G70" s="367">
        <f>'GF diets L-Val + WD'!AW$353</f>
        <v>73.577509467959658</v>
      </c>
      <c r="H70" s="367"/>
      <c r="I70" s="433">
        <v>0.3</v>
      </c>
      <c r="J70" s="367">
        <f>'GF diets L-Val + WD'!AR$316</f>
        <v>15.79702735420287</v>
      </c>
      <c r="K70" s="367">
        <f>'GF diets L-Val + WD'!AS$316</f>
        <v>15.866941276993494</v>
      </c>
      <c r="L70" s="367">
        <f>'GF diets L-Val + WD'!AT$316</f>
        <v>15.925720783253233</v>
      </c>
      <c r="M70" s="367">
        <f>'GF diets L-Val + WD'!AU$316</f>
        <v>15.961970881073496</v>
      </c>
      <c r="N70" s="367">
        <f>'GF diets L-Val + WD'!AV$316</f>
        <v>15.991450111960036</v>
      </c>
      <c r="O70" s="367">
        <f>'GF diets L-Val + WD'!AW$316</f>
        <v>8.8184122421246407</v>
      </c>
      <c r="P70" s="367"/>
      <c r="Q70" s="433">
        <v>0.3</v>
      </c>
      <c r="R70" s="367">
        <f>'GF diets L-Val + WD'!AR$351*'GF diets No L-Val'!AR$353/100</f>
        <v>61.512145132875752</v>
      </c>
      <c r="S70" s="367">
        <f>'GF diets L-Val + WD'!AS$351*'GF diets No L-Val'!AS$353/100</f>
        <v>87.096326398949003</v>
      </c>
      <c r="T70" s="367">
        <f>'GF diets L-Val + WD'!AT$351*'GF diets No L-Val'!AT$353/100</f>
        <v>116.07712714007852</v>
      </c>
      <c r="U70" s="367">
        <f>'GF diets L-Val + WD'!AU$351*'GF diets No L-Val'!AU$353/100</f>
        <v>144.91206247918558</v>
      </c>
      <c r="V70" s="367">
        <f>'GF diets L-Val + WD'!AV$351*'GF diets No L-Val'!AV$353/100</f>
        <v>173.51033590637195</v>
      </c>
      <c r="W70" s="367">
        <f>'GF diets L-Val + WD'!AW$351*'GF diets No L-Val'!AW$353/100</f>
        <v>208.28309485503618</v>
      </c>
      <c r="Y70" s="433">
        <v>0.3</v>
      </c>
      <c r="Z70" s="367">
        <f>'GF diets L-Val + WD'!AR$342</f>
        <v>722.13641638624006</v>
      </c>
      <c r="AA70" s="367">
        <f>'GF diets L-Val + WD'!AS$342</f>
        <v>841.40646013664229</v>
      </c>
      <c r="AB70" s="367">
        <f>'GF diets L-Val + WD'!AT$342</f>
        <v>916.72904437624834</v>
      </c>
      <c r="AC70" s="367">
        <f>'GF diets L-Val + WD'!AU$342</f>
        <v>941.64006968999638</v>
      </c>
      <c r="AD70" s="367">
        <f>'GF diets L-Val + WD'!AV$342</f>
        <v>918.50077750001947</v>
      </c>
      <c r="AE70" s="367">
        <f>'GF diets L-Val + WD'!AW$342</f>
        <v>932.08406418687355</v>
      </c>
      <c r="AF70" s="420"/>
      <c r="AG70" s="433">
        <v>0.3</v>
      </c>
      <c r="AH70" s="367">
        <f>'GF diets L-Val + WD'!AR$344</f>
        <v>537.08188234721013</v>
      </c>
      <c r="AI70" s="367">
        <f>'GF diets L-Val + WD'!AS$344</f>
        <v>465.36423994865339</v>
      </c>
      <c r="AJ70" s="367">
        <f>'GF diets L-Val + WD'!AT$344</f>
        <v>403.98584612745401</v>
      </c>
      <c r="AK70" s="367">
        <f>'GF diets L-Val + WD'!AU$344</f>
        <v>352.02456023637109</v>
      </c>
      <c r="AL70" s="367">
        <f>'GF diets L-Val + WD'!AV$344</f>
        <v>311.22636410689336</v>
      </c>
      <c r="AM70" s="367">
        <f>'GF diets L-Val + WD'!AW$344</f>
        <v>301.24235802326291</v>
      </c>
      <c r="AN70" s="420"/>
      <c r="AO70" s="433">
        <v>0.3</v>
      </c>
      <c r="AP70" s="367">
        <f t="shared" si="72"/>
        <v>1.8619134863192515</v>
      </c>
      <c r="AQ70" s="367">
        <f t="shared" si="73"/>
        <v>2.1488544115687453</v>
      </c>
      <c r="AR70" s="367">
        <f t="shared" si="74"/>
        <v>2.4753342464490915</v>
      </c>
      <c r="AS70" s="367">
        <f t="shared" si="75"/>
        <v>2.840710884855699</v>
      </c>
      <c r="AT70" s="367">
        <f t="shared" si="76"/>
        <v>3.213095403628921</v>
      </c>
      <c r="AU70" s="367">
        <f t="shared" si="77"/>
        <v>3.3195862844851876</v>
      </c>
      <c r="AW70" s="433">
        <v>0.3</v>
      </c>
      <c r="AX70" s="367">
        <f>'GF diets L-Val + WD'!AR$351</f>
        <v>84.13998283768683</v>
      </c>
      <c r="AY70" s="367">
        <f>'GF diets L-Val + WD'!AS$351</f>
        <v>119.14366055462939</v>
      </c>
      <c r="AZ70" s="367">
        <f>'GF diets L-Val + WD'!AT$351</f>
        <v>158.80505728247883</v>
      </c>
      <c r="BA70" s="367">
        <f>'GF diets L-Val + WD'!AU$351</f>
        <v>198.27012288337207</v>
      </c>
      <c r="BB70" s="367">
        <f>'GF diets L-Val + WD'!AV$351</f>
        <v>237.41177100868285</v>
      </c>
      <c r="BC70" s="367">
        <f>'GF diets L-Val + WD'!AW$351</f>
        <v>284.9999097768</v>
      </c>
      <c r="BD70" s="420"/>
      <c r="BF70" s="433">
        <v>0.3</v>
      </c>
      <c r="BG70" s="367">
        <f t="shared" si="78"/>
        <v>34.13998283768683</v>
      </c>
      <c r="BH70" s="367">
        <f t="shared" si="79"/>
        <v>34.143660554629392</v>
      </c>
      <c r="BI70" s="367">
        <f t="shared" si="80"/>
        <v>38.805057282478828</v>
      </c>
      <c r="BJ70" s="367">
        <f t="shared" si="81"/>
        <v>38.270122883372068</v>
      </c>
      <c r="BK70" s="367">
        <f t="shared" si="82"/>
        <v>37.411771008682848</v>
      </c>
      <c r="BL70" s="367">
        <f t="shared" si="83"/>
        <v>44.999909776799996</v>
      </c>
      <c r="BM70" s="367"/>
    </row>
    <row r="71" spans="1:73" x14ac:dyDescent="0.25">
      <c r="Z71" s="2"/>
      <c r="AA71" s="2"/>
      <c r="AB71" s="2"/>
      <c r="AC71" s="2"/>
      <c r="AD71" s="2"/>
      <c r="AE71" s="2"/>
    </row>
    <row r="72" spans="1:73" ht="15" x14ac:dyDescent="0.25">
      <c r="A72" s="290" t="s">
        <v>525</v>
      </c>
      <c r="I72" s="290" t="s">
        <v>525</v>
      </c>
      <c r="J72" s="290"/>
      <c r="K72" s="290"/>
      <c r="L72" s="290"/>
      <c r="M72" s="290"/>
      <c r="Q72" s="290" t="s">
        <v>525</v>
      </c>
      <c r="Y72" s="290" t="s">
        <v>525</v>
      </c>
      <c r="AG72" s="290" t="s">
        <v>525</v>
      </c>
      <c r="AO72" s="290" t="s">
        <v>525</v>
      </c>
      <c r="AW72" s="290" t="s">
        <v>525</v>
      </c>
      <c r="BF72" s="290" t="s">
        <v>525</v>
      </c>
      <c r="BO72" s="290" t="s">
        <v>525</v>
      </c>
    </row>
    <row r="73" spans="1:73" ht="15" x14ac:dyDescent="0.25">
      <c r="B73" s="290" t="s">
        <v>516</v>
      </c>
      <c r="C73" s="290" t="s">
        <v>68</v>
      </c>
      <c r="D73" s="290" t="s">
        <v>69</v>
      </c>
      <c r="E73" s="290" t="s">
        <v>158</v>
      </c>
      <c r="F73" s="290" t="s">
        <v>473</v>
      </c>
      <c r="G73" s="290" t="s">
        <v>475</v>
      </c>
      <c r="H73" s="290"/>
      <c r="J73" s="423" t="s">
        <v>516</v>
      </c>
      <c r="K73" s="423" t="s">
        <v>68</v>
      </c>
      <c r="L73" s="423" t="s">
        <v>69</v>
      </c>
      <c r="M73" s="423" t="s">
        <v>158</v>
      </c>
      <c r="N73" s="290" t="s">
        <v>473</v>
      </c>
      <c r="O73" s="290" t="s">
        <v>475</v>
      </c>
      <c r="P73" s="290"/>
      <c r="R73" s="290" t="s">
        <v>516</v>
      </c>
      <c r="S73" s="290" t="s">
        <v>68</v>
      </c>
      <c r="T73" s="290" t="s">
        <v>69</v>
      </c>
      <c r="U73" s="290" t="s">
        <v>158</v>
      </c>
      <c r="V73" s="290" t="s">
        <v>473</v>
      </c>
      <c r="W73" s="290" t="s">
        <v>475</v>
      </c>
      <c r="Z73" s="290" t="s">
        <v>516</v>
      </c>
      <c r="AA73" s="290" t="s">
        <v>68</v>
      </c>
      <c r="AB73" s="290" t="s">
        <v>69</v>
      </c>
      <c r="AC73" s="290" t="s">
        <v>158</v>
      </c>
      <c r="AD73" s="290" t="s">
        <v>473</v>
      </c>
      <c r="AE73" s="290" t="s">
        <v>475</v>
      </c>
      <c r="AF73" s="290"/>
      <c r="AH73" s="290" t="s">
        <v>516</v>
      </c>
      <c r="AI73" s="290" t="s">
        <v>68</v>
      </c>
      <c r="AJ73" s="290" t="s">
        <v>69</v>
      </c>
      <c r="AK73" s="290" t="s">
        <v>158</v>
      </c>
      <c r="AL73" s="290" t="s">
        <v>473</v>
      </c>
      <c r="AM73" s="290" t="s">
        <v>475</v>
      </c>
      <c r="AN73" s="290"/>
      <c r="AP73" s="290" t="s">
        <v>516</v>
      </c>
      <c r="AQ73" s="290" t="s">
        <v>68</v>
      </c>
      <c r="AR73" s="290" t="s">
        <v>69</v>
      </c>
      <c r="AS73" s="290" t="s">
        <v>158</v>
      </c>
      <c r="AT73" s="290" t="s">
        <v>473</v>
      </c>
      <c r="AU73" s="290" t="s">
        <v>475</v>
      </c>
      <c r="AX73" s="290" t="s">
        <v>516</v>
      </c>
      <c r="AY73" s="290" t="s">
        <v>68</v>
      </c>
      <c r="AZ73" s="290" t="s">
        <v>69</v>
      </c>
      <c r="BA73" s="290" t="s">
        <v>158</v>
      </c>
      <c r="BB73" s="290" t="s">
        <v>473</v>
      </c>
      <c r="BC73" s="290" t="s">
        <v>475</v>
      </c>
      <c r="BG73" s="290" t="s">
        <v>516</v>
      </c>
      <c r="BH73" s="290" t="s">
        <v>68</v>
      </c>
      <c r="BI73" s="290" t="s">
        <v>69</v>
      </c>
      <c r="BJ73" s="290" t="s">
        <v>158</v>
      </c>
      <c r="BK73" s="290" t="s">
        <v>473</v>
      </c>
      <c r="BL73" s="290" t="s">
        <v>475</v>
      </c>
      <c r="BM73" s="290"/>
      <c r="BO73" s="290" t="s">
        <v>516</v>
      </c>
      <c r="BP73" s="290" t="s">
        <v>68</v>
      </c>
      <c r="BQ73" s="290" t="s">
        <v>69</v>
      </c>
      <c r="BR73" s="290" t="s">
        <v>158</v>
      </c>
      <c r="BS73" s="290" t="s">
        <v>473</v>
      </c>
      <c r="BT73" s="290" t="s">
        <v>475</v>
      </c>
    </row>
    <row r="74" spans="1:73" ht="15" x14ac:dyDescent="0.25">
      <c r="A74" s="433">
        <v>0</v>
      </c>
      <c r="B74" s="367">
        <f>'GF diets L-Val + Fat + WD'!B$353</f>
        <v>73.972551185589822</v>
      </c>
      <c r="C74" s="367">
        <f>'GF diets L-Val + Fat + WD'!C$353</f>
        <v>73.967590114943533</v>
      </c>
      <c r="D74" s="367">
        <f>'GF diets L-Val + Fat + WD'!D$353</f>
        <v>73.959502824315024</v>
      </c>
      <c r="E74" s="367">
        <f>'GF diets L-Val + Fat + WD'!E$353</f>
        <v>73.952564091992727</v>
      </c>
      <c r="F74" s="367">
        <f>'GF diets L-Val + Fat + WD'!F$353</f>
        <v>73.947050097444134</v>
      </c>
      <c r="G74" s="367">
        <f>'GF diets L-Val + Fat + WD'!G$353</f>
        <v>73.9437035156581</v>
      </c>
      <c r="H74" s="367"/>
      <c r="I74" s="433">
        <v>0</v>
      </c>
      <c r="J74" s="367">
        <f>'GF diets No L-Val + Fat + WD'!B$316</f>
        <v>8.5675537105360302</v>
      </c>
      <c r="K74" s="367">
        <f>'GF diets No L-Val + Fat + WD'!C$316</f>
        <v>8.6397459364158564</v>
      </c>
      <c r="L74" s="367">
        <f>'GF diets No L-Val + Fat + WD'!D$316</f>
        <v>8.7042340935531328</v>
      </c>
      <c r="M74" s="367">
        <f>'GF diets No L-Val + Fat + WD'!E$316</f>
        <v>8.7574905031042753</v>
      </c>
      <c r="N74" s="367">
        <f>'GF diets No L-Val + Fat + WD'!F$316</f>
        <v>8.7980354970428483</v>
      </c>
      <c r="O74" s="367">
        <f>'GF diets No L-Val + Fat + WD'!G$316</f>
        <v>8.8153381410832843</v>
      </c>
      <c r="P74" s="367"/>
      <c r="Q74" s="433">
        <v>0</v>
      </c>
      <c r="R74" s="367">
        <f>'GF diets L-Val + Fat + WD'!B$351*'GF diets No L-Val'!B$353/100</f>
        <v>62.876858678395237</v>
      </c>
      <c r="S74" s="367">
        <f>'GF diets L-Val + Fat + WD'!C$351*'GF diets No L-Val'!C$353/100</f>
        <v>88.761376359481872</v>
      </c>
      <c r="T74" s="367">
        <f>'GF diets L-Val + Fat + WD'!D$351*'GF diets No L-Val'!D$353/100</f>
        <v>118.33551366385394</v>
      </c>
      <c r="U74" s="367">
        <f>'GF diets L-Val + Fat + WD'!E$351*'GF diets No L-Val'!E$353/100</f>
        <v>147.90549325097103</v>
      </c>
      <c r="V74" s="367">
        <f>'GF diets L-Val + Fat + WD'!F$351*'GF diets No L-Val'!F$353/100</f>
        <v>177.47338407631628</v>
      </c>
      <c r="W74" s="367">
        <f>'GF diets L-Val + Fat + WD'!G$351*'GF diets No L-Val'!G$353/100</f>
        <v>210.74036224391301</v>
      </c>
      <c r="Y74" s="433">
        <v>0</v>
      </c>
      <c r="Z74" s="367">
        <f>'GF diets L-Val + Fat + WD'!B$342</f>
        <v>740.32616660444182</v>
      </c>
      <c r="AA74" s="367">
        <f>'GF diets L-Val + Fat + WD'!C$342</f>
        <v>862.50756659214221</v>
      </c>
      <c r="AB74" s="367">
        <f>'GF diets L-Val + Fat + WD'!D$342</f>
        <v>944.95636803551065</v>
      </c>
      <c r="AC74" s="367">
        <f>'GF diets L-Val + Fat + WD'!E$342</f>
        <v>984.20180073567008</v>
      </c>
      <c r="AD74" s="367">
        <f>'GF diets L-Val + Fat + WD'!F$342</f>
        <v>982.04258582759257</v>
      </c>
      <c r="AE74" s="367">
        <f>'GF diets L-Val + Fat + WD'!G$342</f>
        <v>932.08406418687355</v>
      </c>
      <c r="AF74" s="367"/>
      <c r="AG74" s="433">
        <v>0</v>
      </c>
      <c r="AH74" s="367">
        <f>'GF diets L-Val + Fat + WD'!B$344</f>
        <v>544.53845340080113</v>
      </c>
      <c r="AI74" s="367">
        <f>'GF diets L-Val + Fat + WD'!C$344</f>
        <v>471.75579583355693</v>
      </c>
      <c r="AJ74" s="367">
        <f>'GF diets L-Val + Fat + WD'!D$344</f>
        <v>409.85407727163351</v>
      </c>
      <c r="AK74" s="367">
        <f>'GF diets L-Val + Fat + WD'!E$344</f>
        <v>360.59074506150858</v>
      </c>
      <c r="AL74" s="367">
        <f>'GF diets L-Val + Fat + WD'!F$344</f>
        <v>326.06282096567122</v>
      </c>
      <c r="AM74" s="367">
        <f>'GF diets L-Val + Fat + WD'!G$344</f>
        <v>301.24235802326291</v>
      </c>
      <c r="AN74" s="367"/>
      <c r="AO74" s="433">
        <v>0</v>
      </c>
      <c r="AP74" s="367">
        <f t="shared" ref="AP74:AP80" si="84">1/(AH74/1000)</f>
        <v>1.8364176005472324</v>
      </c>
      <c r="AQ74" s="367">
        <f t="shared" ref="AQ74:AQ80" si="85">1/(AI74/1000)</f>
        <v>2.1197407829045862</v>
      </c>
      <c r="AR74" s="367">
        <f t="shared" ref="AR74:AR80" si="86">1/(AJ74/1000)</f>
        <v>2.4398927702681932</v>
      </c>
      <c r="AS74" s="367">
        <f t="shared" ref="AS74:AS80" si="87">1/(AK74/1000)</f>
        <v>2.7732270273032738</v>
      </c>
      <c r="AT74" s="367">
        <f t="shared" ref="AT74:AT80" si="88">1/(AL74/1000)</f>
        <v>3.0668936649642822</v>
      </c>
      <c r="AU74" s="367">
        <f t="shared" ref="AU74:AU80" si="89">1/(AM74/1000)</f>
        <v>3.3195862844851876</v>
      </c>
      <c r="AW74" s="433">
        <v>0</v>
      </c>
      <c r="AX74" s="367">
        <f>'GF diets L-Val + Fat + WD'!B$351</f>
        <v>84.999929826400006</v>
      </c>
      <c r="AY74" s="367">
        <f>'GF diets L-Val + Fat + WD'!C$351</f>
        <v>119.99992982640001</v>
      </c>
      <c r="AZ74" s="367">
        <f>'GF diets L-Val + Fat + WD'!D$351</f>
        <v>159.99991980159999</v>
      </c>
      <c r="BA74" s="367">
        <f>'GF diets L-Val + Fat + WD'!E$351</f>
        <v>199.99991980160002</v>
      </c>
      <c r="BB74" s="367">
        <f>'GF diets L-Val + Fat + WD'!F$351</f>
        <v>239.99991980159999</v>
      </c>
      <c r="BC74" s="367">
        <f>'GF diets L-Val + Fat + WD'!G$351</f>
        <v>284.9999097768</v>
      </c>
      <c r="BF74" s="433">
        <v>0</v>
      </c>
      <c r="BG74" s="367">
        <f>AX74-50</f>
        <v>34.999929826400006</v>
      </c>
      <c r="BH74" s="367">
        <f>AY74-85</f>
        <v>34.999929826400006</v>
      </c>
      <c r="BI74" s="367">
        <f>AZ74-120</f>
        <v>39.999919801599987</v>
      </c>
      <c r="BJ74" s="367">
        <f>BA74-160</f>
        <v>39.999919801600015</v>
      </c>
      <c r="BK74" s="367">
        <f>BB74-200</f>
        <v>39.999919801599987</v>
      </c>
      <c r="BL74" s="367">
        <f>BC74-240</f>
        <v>44.999909776799996</v>
      </c>
      <c r="BM74" s="367"/>
      <c r="BN74" s="367" t="s">
        <v>570</v>
      </c>
      <c r="BO74" s="367">
        <f>VLOOKUP('DDGS Calculator'!$C$31,Performance!AW74:AX80,2,FALSE)</f>
        <v>84.999929826400006</v>
      </c>
      <c r="BP74" s="367">
        <f>BO74+VLOOKUP('DDGS Calculator'!$D$31,Performance!BF74:BL80,3,FALSE)</f>
        <v>119.99985965280001</v>
      </c>
      <c r="BQ74" s="367">
        <f>BP74+VLOOKUP('DDGS Calculator'!$E$31,Performance!BF74:BL80,4,FALSE)</f>
        <v>159.9997794544</v>
      </c>
      <c r="BR74" s="367">
        <f>BQ74+(VLOOKUP('DDGS Calculator'!$F$31,Performance!BF74:BL80,5,FALSE))</f>
        <v>199.99969925600001</v>
      </c>
      <c r="BS74" s="367">
        <f>BR74+VLOOKUP('DDGS Calculator'!$G$31,Performance!BF74:BL80,6,FALSE)</f>
        <v>239.9996190576</v>
      </c>
      <c r="BT74" s="367">
        <f>BS74+VLOOKUP('DDGS Calculator'!$H$31,Performance!BF74:BL80,7,FALSE)</f>
        <v>284.9995288344</v>
      </c>
      <c r="BU74" s="420"/>
    </row>
    <row r="75" spans="1:73" ht="15" x14ac:dyDescent="0.25">
      <c r="A75" s="433">
        <v>0.05</v>
      </c>
      <c r="B75" s="367">
        <f>'GF diets L-Val + Fat + WD'!I$353</f>
        <v>73.833828602114693</v>
      </c>
      <c r="C75" s="367">
        <f>'GF diets L-Val + Fat + WD'!J$353</f>
        <v>73.82896646785872</v>
      </c>
      <c r="D75" s="367">
        <f>'GF diets L-Val + Fat + WD'!K$353</f>
        <v>73.820901308605059</v>
      </c>
      <c r="E75" s="367">
        <f>'GF diets L-Val + Fat + WD'!L$353</f>
        <v>73.813967835662069</v>
      </c>
      <c r="F75" s="367">
        <f>'GF diets L-Val + Fat + WD'!M$353</f>
        <v>73.80848570379834</v>
      </c>
      <c r="G75" s="367">
        <f>'GF diets L-Val + Fat + WD'!N$353</f>
        <v>73.884852149136393</v>
      </c>
      <c r="H75" s="367"/>
      <c r="I75" s="433">
        <v>0.05</v>
      </c>
      <c r="J75" s="367">
        <f>'GF diets No L-Val + Fat + WD'!I$316</f>
        <v>9.7249109022549316</v>
      </c>
      <c r="K75" s="367">
        <f>'GF diets No L-Val + Fat + WD'!J$316</f>
        <v>9.7964931050631989</v>
      </c>
      <c r="L75" s="367">
        <f>'GF diets No L-Val + Fat + WD'!K$316</f>
        <v>9.8620823208871773</v>
      </c>
      <c r="M75" s="367">
        <f>'GF diets No L-Val + Fat + WD'!L$316</f>
        <v>9.9169687619060998</v>
      </c>
      <c r="N75" s="367">
        <f>'GF diets No L-Val + Fat + WD'!M$316</f>
        <v>9.9563425413950952</v>
      </c>
      <c r="O75" s="367">
        <f>'GF diets No L-Val + Fat + WD'!N$316</f>
        <v>8.8153381410832843</v>
      </c>
      <c r="P75" s="367"/>
      <c r="Q75" s="433">
        <v>0.05</v>
      </c>
      <c r="R75" s="367">
        <f>'GF diets L-Val + Fat + WD'!I$351*'GF diets No L-Val'!I$353/100</f>
        <v>62.666712283329389</v>
      </c>
      <c r="S75" s="367">
        <f>'GF diets L-Val + Fat + WD'!J$351*'GF diets No L-Val'!J$353/100</f>
        <v>88.525688261376331</v>
      </c>
      <c r="T75" s="367">
        <f>'GF diets L-Val + Fat + WD'!K$351*'GF diets No L-Val'!K$353/100</f>
        <v>118.02982714613464</v>
      </c>
      <c r="U75" s="367">
        <f>'GF diets L-Val + Fat + WD'!L$351*'GF diets No L-Val'!L$353/100</f>
        <v>147.50871635536191</v>
      </c>
      <c r="V75" s="367">
        <f>'GF diets L-Val + Fat + WD'!M$351*'GF diets No L-Val'!M$353/100</f>
        <v>176.95566370292386</v>
      </c>
      <c r="W75" s="367">
        <f>'GF diets L-Val + Fat + WD'!N$351*'GF diets No L-Val'!N$353/100</f>
        <v>210.32874028654945</v>
      </c>
      <c r="Y75" s="433">
        <v>0.05</v>
      </c>
      <c r="Z75" s="367">
        <f>'GF diets L-Val + Fat + WD'!I$342</f>
        <v>737.82281291393463</v>
      </c>
      <c r="AA75" s="367">
        <f>'GF diets L-Val + Fat + WD'!J$342</f>
        <v>860.42380070965544</v>
      </c>
      <c r="AB75" s="367">
        <f>'GF diets L-Val + Fat + WD'!K$342</f>
        <v>942.56282888497708</v>
      </c>
      <c r="AC75" s="367">
        <f>'GF diets L-Val + Fat + WD'!L$342</f>
        <v>980.60177466022901</v>
      </c>
      <c r="AD75" s="367">
        <f>'GF diets L-Val + Fat + WD'!M$342</f>
        <v>976.35154973514977</v>
      </c>
      <c r="AE75" s="367">
        <f>'GF diets L-Val + Fat + WD'!N$342</f>
        <v>932.08406418687355</v>
      </c>
      <c r="AF75" s="420"/>
      <c r="AG75" s="433">
        <v>0.05</v>
      </c>
      <c r="AH75" s="367">
        <f>'GF diets L-Val + Fat + WD'!I$344</f>
        <v>548.13616804173489</v>
      </c>
      <c r="AI75" s="367">
        <f>'GF diets L-Val + Fat + WD'!J$344</f>
        <v>475.74147464882753</v>
      </c>
      <c r="AJ75" s="367">
        <f>'GF diets L-Val + Fat + WD'!K$344</f>
        <v>413.49391362962149</v>
      </c>
      <c r="AK75" s="367">
        <f>'GF diets L-Val + Fat + WD'!L$344</f>
        <v>363.13725449078942</v>
      </c>
      <c r="AL75" s="367">
        <f>'GF diets L-Val + Fat + WD'!M$344</f>
        <v>326.79784463924585</v>
      </c>
      <c r="AM75" s="367">
        <f>'GF diets L-Val + Fat + WD'!N$344</f>
        <v>301.24235802326291</v>
      </c>
      <c r="AN75" s="420"/>
      <c r="AO75" s="433">
        <v>0.05</v>
      </c>
      <c r="AP75" s="367">
        <f t="shared" si="84"/>
        <v>1.8243641968976225</v>
      </c>
      <c r="AQ75" s="367">
        <f t="shared" si="85"/>
        <v>2.1019819656004519</v>
      </c>
      <c r="AR75" s="367">
        <f t="shared" si="86"/>
        <v>2.4184152826387888</v>
      </c>
      <c r="AS75" s="367">
        <f t="shared" si="87"/>
        <v>2.7537797007422267</v>
      </c>
      <c r="AT75" s="367">
        <f t="shared" si="88"/>
        <v>3.059995701941995</v>
      </c>
      <c r="AU75" s="367">
        <f t="shared" si="89"/>
        <v>3.3195862844851876</v>
      </c>
      <c r="AW75" s="433">
        <v>0.05</v>
      </c>
      <c r="AX75" s="367">
        <f>'GF diets L-Val + Fat + WD'!I$351</f>
        <v>84.881580127145668</v>
      </c>
      <c r="AY75" s="367">
        <f>'GF diets L-Val + Fat + WD'!J$351</f>
        <v>119.91537195269322</v>
      </c>
      <c r="AZ75" s="367">
        <f>'GF diets L-Val + Fat + WD'!K$351</f>
        <v>159.8986012971061</v>
      </c>
      <c r="BA75" s="367">
        <f>'GF diets L-Val + Fat + WD'!L$351</f>
        <v>199.85360728427887</v>
      </c>
      <c r="BB75" s="367">
        <f>'GF diets L-Val + Fat + WD'!M$351</f>
        <v>239.76811575666045</v>
      </c>
      <c r="BC75" s="367">
        <f>'GF diets L-Val + Fat + WD'!N$351</f>
        <v>284.9999097768</v>
      </c>
      <c r="BD75" s="420"/>
      <c r="BF75" s="433">
        <v>0.05</v>
      </c>
      <c r="BG75" s="367">
        <f t="shared" ref="BG75:BG80" si="90">AX75-50</f>
        <v>34.881580127145668</v>
      </c>
      <c r="BH75" s="367">
        <f t="shared" ref="BH75:BH80" si="91">AY75-85</f>
        <v>34.915371952693221</v>
      </c>
      <c r="BI75" s="367">
        <f t="shared" ref="BI75:BI80" si="92">AZ75-120</f>
        <v>39.898601297106097</v>
      </c>
      <c r="BJ75" s="367">
        <f t="shared" ref="BJ75:BJ80" si="93">BA75-160</f>
        <v>39.853607284278866</v>
      </c>
      <c r="BK75" s="367">
        <f t="shared" ref="BK75:BK80" si="94">BB75-200</f>
        <v>39.76811575666045</v>
      </c>
      <c r="BL75" s="367">
        <f t="shared" ref="BL75:BL80" si="95">BC75-240</f>
        <v>44.999909776799996</v>
      </c>
      <c r="BM75" s="367"/>
      <c r="BN75" s="367" t="s">
        <v>571</v>
      </c>
      <c r="BO75" s="367"/>
      <c r="BP75" s="367"/>
      <c r="BQ75" s="367"/>
      <c r="BR75" s="367"/>
      <c r="BS75" s="367"/>
      <c r="BT75" s="367">
        <f>((0.03492*22.19)-(0.05092*VLOOKUP('DDGS Calculator'!$G$31,Performance!I73:O80,6,FALSE))-(0.06897*VLOOKUP('DDGS Calculator'!$H$31,Performance!I73:O80,7,FALSE))-(0.00289*VLOOKUP('DDGS Calculator'!$H$31,Performance!I73:O80,7,FALSE)*22.19)+'DDGS Calculator'!$G$9)</f>
        <v>74.153565259716714</v>
      </c>
      <c r="BU75" s="420"/>
    </row>
    <row r="76" spans="1:73" ht="15" x14ac:dyDescent="0.25">
      <c r="A76" s="433">
        <v>0.1</v>
      </c>
      <c r="B76" s="367">
        <f>'GF diets L-Val + Fat + WD'!P$353</f>
        <v>73.695216362414754</v>
      </c>
      <c r="C76" s="367">
        <f>'GF diets L-Val + Fat + WD'!Q$353</f>
        <v>73.690379186489054</v>
      </c>
      <c r="D76" s="367">
        <f>'GF diets L-Val + Fat + WD'!R$353</f>
        <v>73.682358120126025</v>
      </c>
      <c r="E76" s="367">
        <f>'GF diets L-Val + Fat + WD'!S$353</f>
        <v>73.675436479325697</v>
      </c>
      <c r="F76" s="367">
        <f>'GF diets L-Val + Fat + WD'!T$353</f>
        <v>73.669932944937557</v>
      </c>
      <c r="G76" s="367">
        <f>'GF diets L-Val + Fat + WD'!U$353</f>
        <v>73.826000588983575</v>
      </c>
      <c r="H76" s="367"/>
      <c r="I76" s="433">
        <v>0.1</v>
      </c>
      <c r="J76" s="367">
        <f>'GF diets No L-Val + Fat + WD'!P$316</f>
        <v>10.88217629885041</v>
      </c>
      <c r="K76" s="367">
        <f>'GF diets No L-Val + Fat + WD'!Q$316</f>
        <v>10.953584439917918</v>
      </c>
      <c r="L76" s="367">
        <f>'GF diets No L-Val + Fat + WD'!R$316</f>
        <v>11.018910927897572</v>
      </c>
      <c r="M76" s="367">
        <f>'GF diets No L-Val + Fat + WD'!S$316</f>
        <v>11.073900708285247</v>
      </c>
      <c r="N76" s="367">
        <f>'GF diets No L-Val + Fat + WD'!T$316</f>
        <v>11.113016811836189</v>
      </c>
      <c r="O76" s="367">
        <f>'GF diets No L-Val + Fat + WD'!U$316</f>
        <v>8.8153381410832843</v>
      </c>
      <c r="P76" s="367"/>
      <c r="Q76" s="433">
        <v>0.1</v>
      </c>
      <c r="R76" s="367">
        <f>'GF diets L-Val + Fat + WD'!P$351*'GF diets No L-Val'!P$353/100</f>
        <v>62.458559516361881</v>
      </c>
      <c r="S76" s="367">
        <f>'GF diets L-Val + Fat + WD'!Q$351*'GF diets No L-Val'!Q$353/100</f>
        <v>88.291211997502288</v>
      </c>
      <c r="T76" s="367">
        <f>'GF diets L-Val + Fat + WD'!R$351*'GF diets No L-Val'!R$353/100</f>
        <v>117.72488848050294</v>
      </c>
      <c r="U76" s="367">
        <f>'GF diets L-Val + Fat + WD'!S$351*'GF diets No L-Val'!S$353/100</f>
        <v>147.11214036426958</v>
      </c>
      <c r="V76" s="367">
        <f>'GF diets L-Val + Fat + WD'!T$351*'GF diets No L-Val'!T$353/100</f>
        <v>176.43790951934477</v>
      </c>
      <c r="W76" s="367">
        <f>'GF diets L-Val + Fat + WD'!U$351*'GF diets No L-Val'!U$353/100</f>
        <v>209.91806193479221</v>
      </c>
      <c r="Y76" s="433">
        <v>0.1</v>
      </c>
      <c r="Z76" s="367">
        <f>'GF diets L-Val + Fat + WD'!P$342</f>
        <v>735.36391234255655</v>
      </c>
      <c r="AA76" s="367">
        <f>'GF diets L-Val + Fat + WD'!Q$342</f>
        <v>858.36844770368066</v>
      </c>
      <c r="AB76" s="367">
        <f>'GF diets L-Val + Fat + WD'!R$342</f>
        <v>940.18058238231538</v>
      </c>
      <c r="AC76" s="367">
        <f>'GF diets L-Val + Fat + WD'!S$342</f>
        <v>976.98421807826821</v>
      </c>
      <c r="AD76" s="367">
        <f>'GF diets L-Val + Fat + WD'!T$342</f>
        <v>970.61642674660789</v>
      </c>
      <c r="AE76" s="367">
        <f>'GF diets L-Val + Fat + WD'!U$342</f>
        <v>932.08406418687355</v>
      </c>
      <c r="AF76" s="420"/>
      <c r="AG76" s="433">
        <v>0.1</v>
      </c>
      <c r="AH76" s="367">
        <f>'GF diets L-Val + Fat + WD'!P$344</f>
        <v>551.71776264187986</v>
      </c>
      <c r="AI76" s="367">
        <f>'GF diets L-Val + Fat + WD'!Q$344</f>
        <v>479.72040315004631</v>
      </c>
      <c r="AJ76" s="367">
        <f>'GF diets L-Val + Fat + WD'!R$344</f>
        <v>417.13996726322972</v>
      </c>
      <c r="AK76" s="367">
        <f>'GF diets L-Val + Fat + WD'!S$344</f>
        <v>365.68103520491923</v>
      </c>
      <c r="AL76" s="367">
        <f>'GF diets L-Val + Fat + WD'!T$344</f>
        <v>327.53100961701546</v>
      </c>
      <c r="AM76" s="367">
        <f>'GF diets L-Val + Fat + WD'!U$344</f>
        <v>301.24235802326291</v>
      </c>
      <c r="AN76" s="420"/>
      <c r="AO76" s="433">
        <v>0.1</v>
      </c>
      <c r="AP76" s="367">
        <f t="shared" si="84"/>
        <v>1.8125209440630248</v>
      </c>
      <c r="AQ76" s="367">
        <f t="shared" si="85"/>
        <v>2.0845475686120052</v>
      </c>
      <c r="AR76" s="367">
        <f t="shared" si="86"/>
        <v>2.3972768818121075</v>
      </c>
      <c r="AS76" s="367">
        <f t="shared" si="87"/>
        <v>2.7346236302345375</v>
      </c>
      <c r="AT76" s="367">
        <f t="shared" si="88"/>
        <v>3.0531460247666553</v>
      </c>
      <c r="AU76" s="367">
        <f t="shared" si="89"/>
        <v>3.3195862844851876</v>
      </c>
      <c r="AW76" s="433">
        <v>0.1</v>
      </c>
      <c r="AX76" s="367">
        <f>'GF diets L-Val + Fat + WD'!P$351</f>
        <v>84.765332013975552</v>
      </c>
      <c r="AY76" s="367">
        <f>'GF diets L-Val + Fat + WD'!Q$351</f>
        <v>119.8319670551648</v>
      </c>
      <c r="AZ76" s="367">
        <f>'GF diets L-Val + Fat + WD'!R$351</f>
        <v>159.79776081036005</v>
      </c>
      <c r="BA76" s="367">
        <f>'GF diets L-Val + Fat + WD'!S$351</f>
        <v>199.70658229085751</v>
      </c>
      <c r="BB76" s="367">
        <f>'GF diets L-Val + Fat + WD'!T$351</f>
        <v>239.53451598934654</v>
      </c>
      <c r="BC76" s="367">
        <f>'GF diets L-Val + Fat + WD'!U$351</f>
        <v>284.9999097768</v>
      </c>
      <c r="BD76" s="420"/>
      <c r="BF76" s="433">
        <v>0.1</v>
      </c>
      <c r="BG76" s="367">
        <f t="shared" si="90"/>
        <v>34.765332013975552</v>
      </c>
      <c r="BH76" s="367">
        <f t="shared" si="91"/>
        <v>34.831967055164796</v>
      </c>
      <c r="BI76" s="367">
        <f t="shared" si="92"/>
        <v>39.797760810360046</v>
      </c>
      <c r="BJ76" s="367">
        <f t="shared" si="93"/>
        <v>39.706582290857511</v>
      </c>
      <c r="BK76" s="367">
        <f t="shared" si="94"/>
        <v>39.534515989346545</v>
      </c>
      <c r="BL76" s="367">
        <f t="shared" si="95"/>
        <v>44.999909776799996</v>
      </c>
      <c r="BM76" s="367"/>
      <c r="BN76" s="367" t="s">
        <v>572</v>
      </c>
      <c r="BT76" s="367">
        <f>BT74*(BT75/100)</f>
        <v>211.33731160410196</v>
      </c>
    </row>
    <row r="77" spans="1:73" ht="15" x14ac:dyDescent="0.25">
      <c r="A77" s="433">
        <v>0.15</v>
      </c>
      <c r="B77" s="367">
        <f>'GF diets L-Val + Fat + WD'!W$353</f>
        <v>73.556565520002735</v>
      </c>
      <c r="C77" s="367">
        <f>'GF diets L-Val + Fat + WD'!X$353</f>
        <v>73.551768592790381</v>
      </c>
      <c r="D77" s="367">
        <f>'GF diets L-Val + Fat + WD'!Y$353</f>
        <v>73.543770232630337</v>
      </c>
      <c r="E77" s="367">
        <f>'GF diets L-Val + Fat + WD'!Z$353</f>
        <v>73.536888779859581</v>
      </c>
      <c r="F77" s="367">
        <f>'GF diets L-Val + Fat + WD'!AA$353</f>
        <v>73.531464202881949</v>
      </c>
      <c r="G77" s="367">
        <f>'GF diets L-Val + Fat + WD'!AB$353</f>
        <v>73.767204033069618</v>
      </c>
      <c r="H77" s="367"/>
      <c r="I77" s="433">
        <v>0.15</v>
      </c>
      <c r="J77" s="367">
        <f>'GF diets No L-Val + Fat + WD'!W$316</f>
        <v>12.039304367605698</v>
      </c>
      <c r="K77" s="367">
        <f>'GF diets No L-Val + Fat + WD'!X$316</f>
        <v>12.110510949271651</v>
      </c>
      <c r="L77" s="367">
        <f>'GF diets No L-Val + Fat + WD'!Y$316</f>
        <v>12.176132952118794</v>
      </c>
      <c r="M77" s="367">
        <f>'GF diets No L-Val + Fat + WD'!Z$316</f>
        <v>12.231314527025717</v>
      </c>
      <c r="N77" s="367">
        <f>'GF diets No L-Val + Fat + WD'!AA$316</f>
        <v>12.26936766276811</v>
      </c>
      <c r="O77" s="367">
        <f>'GF diets No L-Val + Fat + WD'!AB$316</f>
        <v>8.8153381410832843</v>
      </c>
      <c r="P77" s="367"/>
      <c r="Q77" s="433">
        <v>0.15</v>
      </c>
      <c r="R77" s="367">
        <f>'GF diets L-Val + Fat + WD'!W$351*'GF diets No L-Val'!W$353/100</f>
        <v>62.251083127635319</v>
      </c>
      <c r="S77" s="367">
        <f>'GF diets L-Val + Fat + WD'!X$351*'GF diets No L-Val'!X$353/100</f>
        <v>88.05770737455839</v>
      </c>
      <c r="T77" s="367">
        <f>'GF diets L-Val + Fat + WD'!Y$351*'GF diets No L-Val'!Y$353/100</f>
        <v>117.4202877792507</v>
      </c>
      <c r="U77" s="367">
        <f>'GF diets L-Val + Fat + WD'!Z$351*'GF diets No L-Val'!Z$353/100</f>
        <v>146.71622113459071</v>
      </c>
      <c r="V77" s="367">
        <f>'GF diets L-Val + Fat + WD'!AA$351*'GF diets No L-Val'!AA$353/100</f>
        <v>175.91674667396629</v>
      </c>
      <c r="W77" s="367">
        <f>'GF diets L-Val + Fat + WD'!AB$351*'GF diets No L-Val'!AB$353/100</f>
        <v>209.50772949876185</v>
      </c>
      <c r="Y77" s="433">
        <v>0.15</v>
      </c>
      <c r="Z77" s="367">
        <f>'GF diets L-Val + Fat + WD'!W$342</f>
        <v>732.9152560783665</v>
      </c>
      <c r="AA77" s="367">
        <f>'GF diets L-Val + Fat + WD'!X$342</f>
        <v>856.3384518252584</v>
      </c>
      <c r="AB77" s="367">
        <f>'GF diets L-Val + Fat + WD'!Y$342</f>
        <v>937.80263712373403</v>
      </c>
      <c r="AC77" s="367">
        <f>'GF diets L-Val + Fat + WD'!Z$342</f>
        <v>973.37564760546206</v>
      </c>
      <c r="AD77" s="367">
        <f>'GF diets L-Val + Fat + WD'!AA$342</f>
        <v>964.7436980632217</v>
      </c>
      <c r="AE77" s="367">
        <f>'GF diets L-Val + Fat + WD'!AB$342</f>
        <v>932.08406418687355</v>
      </c>
      <c r="AF77" s="420"/>
      <c r="AG77" s="433">
        <v>0.15</v>
      </c>
      <c r="AH77" s="367">
        <f>'GF diets L-Val + Fat + WD'!W$344</f>
        <v>555.31056526434872</v>
      </c>
      <c r="AI77" s="367">
        <f>'GF diets L-Val + Fat + WD'!X$344</f>
        <v>483.73901499139083</v>
      </c>
      <c r="AJ77" s="367">
        <f>'GF diets L-Val + Fat + WD'!Y$344</f>
        <v>420.79283801219384</v>
      </c>
      <c r="AK77" s="367">
        <f>'GF diets L-Val + Fat + WD'!Z$344</f>
        <v>368.26915264044965</v>
      </c>
      <c r="AL77" s="367">
        <f>'GF diets L-Val + Fat + WD'!AA$344</f>
        <v>328.31826271900195</v>
      </c>
      <c r="AM77" s="367">
        <f>'GF diets L-Val + Fat + WD'!AB$344</f>
        <v>301.24235802326291</v>
      </c>
      <c r="AN77" s="420"/>
      <c r="AO77" s="433">
        <v>0.15</v>
      </c>
      <c r="AP77" s="367">
        <f t="shared" si="84"/>
        <v>1.8007941187359948</v>
      </c>
      <c r="AQ77" s="367">
        <f t="shared" si="85"/>
        <v>2.0672304052584991</v>
      </c>
      <c r="AR77" s="367">
        <f t="shared" si="86"/>
        <v>2.3764663028105573</v>
      </c>
      <c r="AS77" s="367">
        <f t="shared" si="87"/>
        <v>2.7154052758155527</v>
      </c>
      <c r="AT77" s="367">
        <f t="shared" si="88"/>
        <v>3.0458250836197647</v>
      </c>
      <c r="AU77" s="367">
        <f t="shared" si="89"/>
        <v>3.3195862844851876</v>
      </c>
      <c r="AW77" s="433">
        <v>0.15</v>
      </c>
      <c r="AX77" s="367">
        <f>'GF diets L-Val + Fat + WD'!W$351</f>
        <v>84.649568215378878</v>
      </c>
      <c r="AY77" s="367">
        <f>'GF diets L-Val + Fat + WD'!X$351</f>
        <v>119.74959113349549</v>
      </c>
      <c r="AZ77" s="367">
        <f>'GF diets L-Val + Fat + WD'!Y$351</f>
        <v>159.69710239526202</v>
      </c>
      <c r="BA77" s="367">
        <f>'GF diets L-Val + Fat + WD'!Z$351</f>
        <v>199.55992251152736</v>
      </c>
      <c r="BB77" s="367">
        <f>'GF diets L-Val + Fat + WD'!AA$351</f>
        <v>239.29531134514318</v>
      </c>
      <c r="BC77" s="367">
        <f>'GF diets L-Val + Fat + WD'!AB$351</f>
        <v>284.9999097768</v>
      </c>
      <c r="BD77" s="420"/>
      <c r="BF77" s="433">
        <v>0.15</v>
      </c>
      <c r="BG77" s="367">
        <f t="shared" si="90"/>
        <v>34.649568215378878</v>
      </c>
      <c r="BH77" s="367">
        <f t="shared" si="91"/>
        <v>34.749591133495485</v>
      </c>
      <c r="BI77" s="367">
        <f t="shared" si="92"/>
        <v>39.697102395262021</v>
      </c>
      <c r="BJ77" s="367">
        <f t="shared" si="93"/>
        <v>39.559922511527361</v>
      </c>
      <c r="BK77" s="367">
        <f t="shared" si="94"/>
        <v>39.295311345143176</v>
      </c>
      <c r="BL77" s="367">
        <f t="shared" si="95"/>
        <v>44.999909776799996</v>
      </c>
      <c r="BM77" s="367"/>
    </row>
    <row r="78" spans="1:73" ht="15" x14ac:dyDescent="0.25">
      <c r="A78" s="433">
        <v>0.2</v>
      </c>
      <c r="B78" s="367">
        <f>'GF diets L-Val + Fat + WD'!AD$353</f>
        <v>73.41798122197018</v>
      </c>
      <c r="C78" s="367">
        <f>'GF diets L-Val + Fat + WD'!AE$353</f>
        <v>73.413168348660989</v>
      </c>
      <c r="D78" s="367">
        <f>'GF diets L-Val + Fat + WD'!AF$353</f>
        <v>73.405213927237838</v>
      </c>
      <c r="E78" s="367">
        <f>'GF diets L-Val + Fat + WD'!AG$353</f>
        <v>73.398396856199682</v>
      </c>
      <c r="F78" s="367">
        <f>'GF diets L-Val + Fat + WD'!AH$353</f>
        <v>73.393772270364721</v>
      </c>
      <c r="G78" s="367">
        <f>'GF diets L-Val + Fat + WD'!AI$353</f>
        <v>73.708968619019174</v>
      </c>
      <c r="H78" s="367"/>
      <c r="I78" s="433">
        <v>0.2</v>
      </c>
      <c r="J78" s="367">
        <f>'GF diets No L-Val + Fat + WD'!AD$316</f>
        <v>13.196263888910565</v>
      </c>
      <c r="K78" s="367">
        <f>'GF diets No L-Val + Fat + WD'!AE$316</f>
        <v>13.26754476729513</v>
      </c>
      <c r="L78" s="367">
        <f>'GF diets No L-Val + Fat + WD'!AF$316</f>
        <v>13.333784731577465</v>
      </c>
      <c r="M78" s="367">
        <f>'GF diets No L-Val + Fat + WD'!AG$316</f>
        <v>13.387381425794249</v>
      </c>
      <c r="N78" s="367">
        <f>'GF diets No L-Val + Fat + WD'!AH$316</f>
        <v>13.41504497080839</v>
      </c>
      <c r="O78" s="367">
        <f>'GF diets No L-Val + Fat + WD'!AI$316</f>
        <v>8.8153381410832843</v>
      </c>
      <c r="Q78" s="433">
        <v>0.2</v>
      </c>
      <c r="R78" s="367">
        <f>'GF diets L-Val + Fat + WD'!AD$351*'GF diets No L-Val'!AD$353/100</f>
        <v>62.045628340908621</v>
      </c>
      <c r="S78" s="367">
        <f>'GF diets L-Val + Fat + WD'!AE$351*'GF diets No L-Val'!AE$353/100</f>
        <v>87.824100875530107</v>
      </c>
      <c r="T78" s="367">
        <f>'GF diets L-Val + Fat + WD'!AF$351*'GF diets No L-Val'!AF$353/100</f>
        <v>117.11667122583782</v>
      </c>
      <c r="U78" s="367">
        <f>'GF diets L-Val + Fat + WD'!AG$351*'GF diets No L-Val'!AG$353/100</f>
        <v>146.32048812540503</v>
      </c>
      <c r="V78" s="367">
        <f>'GF diets L-Val + Fat + WD'!AH$351*'GF diets No L-Val'!AH$353/100</f>
        <v>175.39902957948053</v>
      </c>
      <c r="W78" s="367">
        <f>'GF diets L-Val + Fat + WD'!AI$351*'GF diets No L-Val'!AI$353/100</f>
        <v>209.09927170607989</v>
      </c>
      <c r="Y78" s="433">
        <v>0.2</v>
      </c>
      <c r="Z78" s="367">
        <f>'GF diets L-Val + Fat + WD'!AD$342</f>
        <v>730.51508162544155</v>
      </c>
      <c r="AA78" s="367">
        <f>'GF diets L-Val + Fat + WD'!AE$342</f>
        <v>854.29804278316578</v>
      </c>
      <c r="AB78" s="367">
        <f>'GF diets L-Val + Fat + WD'!AF$342</f>
        <v>935.44765961534085</v>
      </c>
      <c r="AC78" s="367">
        <f>'GF diets L-Val + Fat + WD'!AG$342</f>
        <v>969.75471744288711</v>
      </c>
      <c r="AD78" s="367">
        <f>'GF diets L-Val + Fat + WD'!AH$342</f>
        <v>958.93141742963121</v>
      </c>
      <c r="AE78" s="367">
        <f>'GF diets L-Val + Fat + WD'!AI$342</f>
        <v>932.08406418687355</v>
      </c>
      <c r="AF78" s="420"/>
      <c r="AG78" s="433">
        <v>0.2</v>
      </c>
      <c r="AH78" s="367">
        <f>'GF diets L-Val + Fat + WD'!AD$344</f>
        <v>558.91156851249946</v>
      </c>
      <c r="AI78" s="367">
        <f>'GF diets L-Val + Fat + WD'!AE$344</f>
        <v>487.73504180043989</v>
      </c>
      <c r="AJ78" s="367">
        <f>'GF diets L-Val + Fat + WD'!AF$344</f>
        <v>424.4759228850063</v>
      </c>
      <c r="AK78" s="367">
        <f>'GF diets L-Val + Fat + WD'!AG$344</f>
        <v>370.85566295655667</v>
      </c>
      <c r="AL78" s="367">
        <f>'GF diets L-Val + Fat + WD'!AH$344</f>
        <v>329.06636226940708</v>
      </c>
      <c r="AM78" s="367">
        <f>'GF diets L-Val + Fat + WD'!AI$344</f>
        <v>301.24235802326291</v>
      </c>
      <c r="AN78" s="420"/>
      <c r="AO78" s="433">
        <v>0.2</v>
      </c>
      <c r="AP78" s="367">
        <f t="shared" si="84"/>
        <v>1.7891918083954208</v>
      </c>
      <c r="AQ78" s="367">
        <f t="shared" si="85"/>
        <v>2.0502935288565074</v>
      </c>
      <c r="AR78" s="367">
        <f t="shared" si="86"/>
        <v>2.3558462237466116</v>
      </c>
      <c r="AS78" s="367">
        <f t="shared" si="87"/>
        <v>2.6964668465023371</v>
      </c>
      <c r="AT78" s="367">
        <f t="shared" si="88"/>
        <v>3.0389007041117702</v>
      </c>
      <c r="AU78" s="367">
        <f t="shared" si="89"/>
        <v>3.3195862844851876</v>
      </c>
      <c r="AW78" s="433">
        <v>0.2</v>
      </c>
      <c r="AX78" s="367">
        <f>'GF diets L-Val + Fat + WD'!AD$351</f>
        <v>84.536096465166835</v>
      </c>
      <c r="AY78" s="367">
        <f>'GF diets L-Val + Fat + WD'!AE$351</f>
        <v>119.66679265236979</v>
      </c>
      <c r="AZ78" s="367">
        <f>'GF diets L-Val + Fat + WD'!AF$351</f>
        <v>159.5974162049551</v>
      </c>
      <c r="BA78" s="367">
        <f>'GF diets L-Val + Fat + WD'!AG$351</f>
        <v>199.41276040880135</v>
      </c>
      <c r="BB78" s="367">
        <f>'GF diets L-Val + Fat + WD'!AH$351</f>
        <v>239.05856883652001</v>
      </c>
      <c r="BC78" s="367">
        <f>'GF diets L-Val + Fat + WD'!AI$351</f>
        <v>284.9999097768</v>
      </c>
      <c r="BD78" s="420"/>
      <c r="BF78" s="433">
        <v>0.2</v>
      </c>
      <c r="BG78" s="367">
        <f t="shared" si="90"/>
        <v>34.536096465166835</v>
      </c>
      <c r="BH78" s="367">
        <f t="shared" si="91"/>
        <v>34.666792652369793</v>
      </c>
      <c r="BI78" s="367">
        <f t="shared" si="92"/>
        <v>39.597416204955096</v>
      </c>
      <c r="BJ78" s="367">
        <f t="shared" si="93"/>
        <v>39.412760408801347</v>
      </c>
      <c r="BK78" s="367">
        <f t="shared" si="94"/>
        <v>39.05856883652001</v>
      </c>
      <c r="BL78" s="367">
        <f t="shared" si="95"/>
        <v>44.999909776799996</v>
      </c>
      <c r="BM78" s="367"/>
    </row>
    <row r="79" spans="1:73" ht="15" x14ac:dyDescent="0.25">
      <c r="A79" s="433">
        <v>0.25</v>
      </c>
      <c r="B79" s="367">
        <f>'GF diets L-Val + Fat + WD'!AK$353</f>
        <v>73.279444508857026</v>
      </c>
      <c r="C79" s="367">
        <f>'GF diets L-Val + Fat + WD'!AL$353</f>
        <v>73.274644497285777</v>
      </c>
      <c r="D79" s="367">
        <f>'GF diets L-Val + Fat + WD'!AM$353</f>
        <v>73.266680746605687</v>
      </c>
      <c r="E79" s="367">
        <f>'GF diets L-Val + Fat + WD'!AN$353</f>
        <v>73.260562176703147</v>
      </c>
      <c r="F79" s="367">
        <f>'GF diets L-Val + Fat + WD'!AO$353</f>
        <v>73.256783538804285</v>
      </c>
      <c r="G79" s="367">
        <f>'GF diets L-Val + Fat + WD'!AP$353</f>
        <v>73.650886739000981</v>
      </c>
      <c r="H79" s="367"/>
      <c r="I79" s="433">
        <v>0.25</v>
      </c>
      <c r="J79" s="367">
        <f>'GF diets No L-Val + Fat + WD'!AK$316</f>
        <v>14.352040851084766</v>
      </c>
      <c r="K79" s="367">
        <f>'GF diets No L-Val + Fat + WD'!AL$316</f>
        <v>14.424596036107788</v>
      </c>
      <c r="L79" s="367">
        <f>'GF diets No L-Val + Fat + WD'!AM$316</f>
        <v>14.490157468268242</v>
      </c>
      <c r="M79" s="367">
        <f>'GF diets No L-Val + Fat + WD'!AN$316</f>
        <v>14.534267496185688</v>
      </c>
      <c r="N79" s="367">
        <f>'GF diets No L-Val + Fat + WD'!AO$316</f>
        <v>14.558028287748904</v>
      </c>
      <c r="O79" s="367">
        <f>'GF diets No L-Val + Fat + WD'!AP$316</f>
        <v>8.8153381410832843</v>
      </c>
      <c r="P79" s="367"/>
      <c r="Q79" s="433">
        <v>0.25</v>
      </c>
      <c r="R79" s="367">
        <f>'GF diets L-Val + Fat + WD'!AK$351*'GF diets No L-Val'!AK$353/100</f>
        <v>61.840201884983884</v>
      </c>
      <c r="S79" s="367">
        <f>'GF diets L-Val + Fat + WD'!AL$351*'GF diets No L-Val'!AL$353/100</f>
        <v>87.591192247272559</v>
      </c>
      <c r="T79" s="367">
        <f>'GF diets L-Val + Fat + WD'!AM$351*'GF diets No L-Val'!AM$353/100</f>
        <v>116.81253860758963</v>
      </c>
      <c r="U79" s="367">
        <f>'GF diets L-Val + Fat + WD'!AN$351*'GF diets No L-Val'!AN$353/100</f>
        <v>145.92550315955771</v>
      </c>
      <c r="V79" s="367">
        <f>'GF diets L-Val + Fat + WD'!AO$351*'GF diets No L-Val'!AO$353/100</f>
        <v>174.88420964848902</v>
      </c>
      <c r="W79" s="367">
        <f>'GF diets L-Val + Fat + WD'!AP$351*'GF diets No L-Val'!AP$353/100</f>
        <v>208.69118981626539</v>
      </c>
      <c r="Y79" s="433">
        <v>0.25</v>
      </c>
      <c r="Z79" s="367">
        <f>'GF diets L-Val + Fat + WD'!AK$342</f>
        <v>728.10045668103191</v>
      </c>
      <c r="AA79" s="367">
        <f>'GF diets L-Val + Fat + WD'!AL$342</f>
        <v>852.26887422429309</v>
      </c>
      <c r="AB79" s="367">
        <f>'GF diets L-Val + Fat + WD'!AM$342</f>
        <v>933.06299604687842</v>
      </c>
      <c r="AC79" s="367">
        <f>'GF diets L-Val + Fat + WD'!AN$342</f>
        <v>966.12397518923876</v>
      </c>
      <c r="AD79" s="367">
        <f>'GF diets L-Val + Fat + WD'!AO$342</f>
        <v>953.16426326229521</v>
      </c>
      <c r="AE79" s="367">
        <f>'GF diets L-Val + Fat + WD'!AP$342</f>
        <v>932.08406418687355</v>
      </c>
      <c r="AF79" s="420"/>
      <c r="AG79" s="433">
        <v>0.25</v>
      </c>
      <c r="AH79" s="367">
        <f>'GF diets L-Val + Fat + WD'!AK$344</f>
        <v>562.47954762881193</v>
      </c>
      <c r="AI79" s="367">
        <f>'GF diets L-Val + Fat + WD'!AL$344</f>
        <v>491.72132395957289</v>
      </c>
      <c r="AJ79" s="367">
        <f>'GF diets L-Val + Fat + WD'!AM$344</f>
        <v>428.09323903250197</v>
      </c>
      <c r="AK79" s="367">
        <f>'GF diets L-Val + Fat + WD'!AN$344</f>
        <v>373.36354614001243</v>
      </c>
      <c r="AL79" s="367">
        <f>'GF diets L-Val + Fat + WD'!AO$344</f>
        <v>329.82936941959872</v>
      </c>
      <c r="AM79" s="367">
        <f>'GF diets L-Val + Fat + WD'!AP$344</f>
        <v>301.24235802326291</v>
      </c>
      <c r="AN79" s="420"/>
      <c r="AO79" s="433">
        <v>0.25</v>
      </c>
      <c r="AP79" s="367">
        <f t="shared" si="84"/>
        <v>1.7778424197210347</v>
      </c>
      <c r="AQ79" s="367">
        <f t="shared" si="85"/>
        <v>2.0336722270808321</v>
      </c>
      <c r="AR79" s="367">
        <f t="shared" si="86"/>
        <v>2.3359397178521601</v>
      </c>
      <c r="AS79" s="367">
        <f t="shared" si="87"/>
        <v>2.6783546769319493</v>
      </c>
      <c r="AT79" s="367">
        <f t="shared" si="88"/>
        <v>3.0318706965353073</v>
      </c>
      <c r="AU79" s="367">
        <f t="shared" si="89"/>
        <v>3.3195862844851876</v>
      </c>
      <c r="AW79" s="433">
        <v>0.25</v>
      </c>
      <c r="AX79" s="367">
        <f>'GF diets L-Val + Fat + WD'!AK$351</f>
        <v>84.421941546879992</v>
      </c>
      <c r="AY79" s="367">
        <f>'GF diets L-Val + Fat + WD'!AL$351</f>
        <v>119.58445030279348</v>
      </c>
      <c r="AZ79" s="367">
        <f>'GF diets L-Val + Fat + WD'!AM$351</f>
        <v>159.49647340382154</v>
      </c>
      <c r="BA79" s="367">
        <f>'GF diets L-Val + Fat + WD'!AN$351</f>
        <v>199.26519952236791</v>
      </c>
      <c r="BB79" s="367">
        <f>'GF diets L-Val + Fat + WD'!AO$351</f>
        <v>238.82366439345145</v>
      </c>
      <c r="BC79" s="367">
        <f>'GF diets L-Val + Fat + WD'!AP$351</f>
        <v>284.9999097768</v>
      </c>
      <c r="BD79" s="420"/>
      <c r="BF79" s="433">
        <v>0.25</v>
      </c>
      <c r="BG79" s="367">
        <f t="shared" si="90"/>
        <v>34.421941546879992</v>
      </c>
      <c r="BH79" s="367">
        <f t="shared" si="91"/>
        <v>34.584450302793485</v>
      </c>
      <c r="BI79" s="367">
        <f t="shared" si="92"/>
        <v>39.49647340382154</v>
      </c>
      <c r="BJ79" s="367">
        <f t="shared" si="93"/>
        <v>39.265199522367908</v>
      </c>
      <c r="BK79" s="367">
        <f t="shared" si="94"/>
        <v>38.823664393451452</v>
      </c>
      <c r="BL79" s="367">
        <f t="shared" si="95"/>
        <v>44.999909776799996</v>
      </c>
      <c r="BM79" s="367"/>
    </row>
    <row r="80" spans="1:73" ht="15" x14ac:dyDescent="0.25">
      <c r="A80" s="433">
        <v>0.3</v>
      </c>
      <c r="B80" s="367">
        <f>'GF diets L-Val + Fat + WD'!AR$353</f>
        <v>73.140996015976725</v>
      </c>
      <c r="C80" s="367">
        <f>'GF diets L-Val + Fat + WD'!AS$353</f>
        <v>73.136165723946505</v>
      </c>
      <c r="D80" s="367">
        <f>'GF diets L-Val + Fat + WD'!AT$353</f>
        <v>73.128282983890799</v>
      </c>
      <c r="E80" s="367">
        <f>'GF diets L-Val + Fat + WD'!AU$353</f>
        <v>73.123142129510427</v>
      </c>
      <c r="F80" s="367">
        <f>'GF diets L-Val + Fat + WD'!AV$353</f>
        <v>73.120030322064324</v>
      </c>
      <c r="G80" s="367">
        <f>'GF diets L-Val + Fat + WD'!AW$353</f>
        <v>73.592804966793381</v>
      </c>
      <c r="H80" s="367"/>
      <c r="I80" s="433">
        <v>0.3</v>
      </c>
      <c r="J80" s="367">
        <f>'GF diets No L-Val + Fat + WD'!AR$316</f>
        <v>15.509595274826999</v>
      </c>
      <c r="K80" s="367">
        <f>'GF diets No L-Val + Fat + WD'!AS$316</f>
        <v>15.581637688794629</v>
      </c>
      <c r="L80" s="367">
        <f>'GF diets No L-Val + Fat + WD'!AT$316</f>
        <v>15.644130597950809</v>
      </c>
      <c r="M80" s="367">
        <f>'GF diets No L-Val + Fat + WD'!AU$316</f>
        <v>15.677286778377889</v>
      </c>
      <c r="N80" s="367">
        <f>'GF diets No L-Val + Fat + WD'!AV$316</f>
        <v>15.700817905343778</v>
      </c>
      <c r="O80" s="367">
        <f>'GF diets No L-Val + Fat + WD'!AW$316</f>
        <v>8.8153381410832843</v>
      </c>
      <c r="P80" s="367"/>
      <c r="Q80" s="433">
        <v>0.3</v>
      </c>
      <c r="R80" s="367">
        <f>'GF diets L-Val + Fat + WD'!AR$351*'GF diets No L-Val'!AR$353/100</f>
        <v>61.63559908920368</v>
      </c>
      <c r="S80" s="367">
        <f>'GF diets L-Val + Fat + WD'!AS$351*'GF diets No L-Val'!AS$353/100</f>
        <v>87.359066675375885</v>
      </c>
      <c r="T80" s="367">
        <f>'GF diets L-Val + Fat + WD'!AT$351*'GF diets No L-Val'!AT$353/100</f>
        <v>116.50990514945639</v>
      </c>
      <c r="U80" s="367">
        <f>'GF diets L-Val + Fat + WD'!AU$351*'GF diets No L-Val'!AU$353/100</f>
        <v>145.53282652827048</v>
      </c>
      <c r="V80" s="367">
        <f>'GF diets L-Val + Fat + WD'!AV$351*'GF diets No L-Val'!AV$353/100</f>
        <v>174.37053196512889</v>
      </c>
      <c r="W80" s="367">
        <f>'GF diets L-Val + Fat + WD'!AW$351*'GF diets No L-Val'!AW$353/100</f>
        <v>208.28309485503618</v>
      </c>
      <c r="Y80" s="433">
        <v>0.3</v>
      </c>
      <c r="Z80" s="367">
        <f>'GF diets L-Val + Fat + WD'!AR$342</f>
        <v>725.70833548714313</v>
      </c>
      <c r="AA80" s="367">
        <f>'GF diets L-Val + Fat + WD'!AS$342</f>
        <v>850.26358207143301</v>
      </c>
      <c r="AB80" s="367">
        <f>'GF diets L-Val + Fat + WD'!AT$342</f>
        <v>930.71636813888495</v>
      </c>
      <c r="AC80" s="367">
        <f>'GF diets L-Val + Fat + WD'!AU$342</f>
        <v>962.53800879494202</v>
      </c>
      <c r="AD80" s="367">
        <f>'GF diets L-Val + Fat + WD'!AV$342</f>
        <v>947.39723970899036</v>
      </c>
      <c r="AE80" s="367">
        <f>'GF diets L-Val + Fat + WD'!AW$342</f>
        <v>932.08406418687355</v>
      </c>
      <c r="AF80" s="420"/>
      <c r="AG80" s="433">
        <v>0.3</v>
      </c>
      <c r="AH80" s="367">
        <f>'GF diets L-Val + Fat + WD'!AR$344</f>
        <v>566.12740071945211</v>
      </c>
      <c r="AI80" s="367">
        <f>'GF diets L-Val + Fat + WD'!AS$344</f>
        <v>495.68312146732518</v>
      </c>
      <c r="AJ80" s="367">
        <f>'GF diets L-Val + Fat + WD'!AT$344</f>
        <v>431.72916717503296</v>
      </c>
      <c r="AK80" s="367">
        <f>'GF diets L-Val + Fat + WD'!AU$344</f>
        <v>375.90290387684212</v>
      </c>
      <c r="AL80" s="367">
        <f>'GF diets L-Val + Fat + WD'!AV$344</f>
        <v>330.59292191323306</v>
      </c>
      <c r="AM80" s="367">
        <f>'GF diets L-Val + Fat + WD'!AW$344</f>
        <v>301.24235802326291</v>
      </c>
      <c r="AN80" s="420"/>
      <c r="AO80" s="433">
        <v>0.3</v>
      </c>
      <c r="AP80" s="367">
        <f t="shared" si="84"/>
        <v>1.7663868569674763</v>
      </c>
      <c r="AQ80" s="367">
        <f t="shared" si="85"/>
        <v>2.0174178960134692</v>
      </c>
      <c r="AR80" s="367">
        <f t="shared" si="86"/>
        <v>2.3162669470385282</v>
      </c>
      <c r="AS80" s="367">
        <f t="shared" si="87"/>
        <v>2.6602614390221158</v>
      </c>
      <c r="AT80" s="367">
        <f t="shared" si="88"/>
        <v>3.0248681496649183</v>
      </c>
      <c r="AU80" s="367">
        <f t="shared" si="89"/>
        <v>3.3195862844851876</v>
      </c>
      <c r="AW80" s="433">
        <v>0.3</v>
      </c>
      <c r="AX80" s="367">
        <f>'GF diets L-Val + Fat + WD'!AR$351</f>
        <v>84.308850526242281</v>
      </c>
      <c r="AY80" s="367">
        <f>'GF diets L-Val + Fat + WD'!AS$351</f>
        <v>119.50307684235254</v>
      </c>
      <c r="AZ80" s="367">
        <f>'GF diets L-Val + Fat + WD'!AT$351</f>
        <v>159.39714065207249</v>
      </c>
      <c r="BA80" s="367">
        <f>'GF diets L-Val + Fat + WD'!AU$351</f>
        <v>199.11945841961372</v>
      </c>
      <c r="BB80" s="367">
        <f>'GF diets L-Val + Fat + WD'!AV$351</f>
        <v>238.58876527047931</v>
      </c>
      <c r="BC80" s="367">
        <f>'GF diets L-Val + Fat + WD'!AW$351</f>
        <v>284.9999097768</v>
      </c>
      <c r="BD80" s="420"/>
      <c r="BF80" s="433">
        <v>0.3</v>
      </c>
      <c r="BG80" s="367">
        <f t="shared" si="90"/>
        <v>34.308850526242281</v>
      </c>
      <c r="BH80" s="367">
        <f t="shared" si="91"/>
        <v>34.503076842352542</v>
      </c>
      <c r="BI80" s="367">
        <f t="shared" si="92"/>
        <v>39.397140652072494</v>
      </c>
      <c r="BJ80" s="367">
        <f t="shared" si="93"/>
        <v>39.119458419613721</v>
      </c>
      <c r="BK80" s="367">
        <f t="shared" si="94"/>
        <v>38.588765270479314</v>
      </c>
      <c r="BL80" s="367">
        <f t="shared" si="95"/>
        <v>44.999909776799996</v>
      </c>
      <c r="BM80" s="367"/>
    </row>
    <row r="81" spans="26:31" x14ac:dyDescent="0.25">
      <c r="Z81" s="2"/>
      <c r="AA81" s="2"/>
      <c r="AB81" s="2"/>
      <c r="AC81" s="2"/>
      <c r="AD81" s="2"/>
      <c r="AE81" s="2"/>
    </row>
  </sheetData>
  <mergeCells count="9">
    <mergeCell ref="BN1:BT1"/>
    <mergeCell ref="BF1:BL1"/>
    <mergeCell ref="A1:G1"/>
    <mergeCell ref="Y1:AE1"/>
    <mergeCell ref="AG1:AM1"/>
    <mergeCell ref="Q1:W1"/>
    <mergeCell ref="AW1:BC1"/>
    <mergeCell ref="I1:O1"/>
    <mergeCell ref="AO1:AU1"/>
  </mergeCells>
  <phoneticPr fontId="27" type="noConversion"/>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V238"/>
  <sheetViews>
    <sheetView zoomScaleNormal="100" workbookViewId="0">
      <pane xSplit="2" ySplit="7" topLeftCell="C10" activePane="bottomRight" state="frozen"/>
      <selection pane="topRight" activeCell="D1" sqref="D1"/>
      <selection pane="bottomLeft" activeCell="A8" sqref="A8"/>
      <selection pane="bottomRight" activeCell="I229" sqref="I229"/>
    </sheetView>
  </sheetViews>
  <sheetFormatPr defaultColWidth="8.77734375" defaultRowHeight="13.2" x14ac:dyDescent="0.25"/>
  <cols>
    <col min="2" max="2" width="36.6640625" customWidth="1"/>
    <col min="4" max="4" width="12.44140625" customWidth="1"/>
    <col min="5" max="6" width="9.44140625" bestFit="1" customWidth="1"/>
    <col min="8" max="8" width="34.44140625" bestFit="1" customWidth="1"/>
    <col min="9" max="9" width="10.77734375" customWidth="1"/>
    <col min="10" max="10" width="10.109375" customWidth="1"/>
    <col min="11" max="11" width="9" customWidth="1"/>
    <col min="12" max="12" width="11.33203125" customWidth="1"/>
    <col min="13" max="13" width="9.44140625" bestFit="1" customWidth="1"/>
    <col min="15" max="16" width="8.77734375" bestFit="1" customWidth="1"/>
    <col min="17" max="17" width="10.44140625" customWidth="1"/>
    <col min="18" max="18" width="11.109375" customWidth="1"/>
    <col min="19" max="19" width="15.77734375" bestFit="1" customWidth="1"/>
    <col min="27" max="27" width="4.6640625" customWidth="1"/>
    <col min="28" max="28" width="11.33203125" customWidth="1"/>
    <col min="29" max="29" width="11" customWidth="1"/>
    <col min="31" max="31" width="4.44140625" customWidth="1"/>
    <col min="32" max="36" width="9.44140625" bestFit="1" customWidth="1"/>
    <col min="37" max="37" width="10" customWidth="1"/>
    <col min="38" max="39" width="9.44140625" bestFit="1" customWidth="1"/>
    <col min="40" max="40" width="12" customWidth="1"/>
    <col min="41" max="49" width="9.44140625" bestFit="1" customWidth="1"/>
    <col min="50" max="50" width="4.6640625" customWidth="1"/>
    <col min="57" max="57" width="9.77734375" customWidth="1"/>
    <col min="60" max="60" width="11.44140625" customWidth="1"/>
    <col min="70" max="70" width="4.6640625" customWidth="1"/>
    <col min="71" max="71" width="10.109375" customWidth="1"/>
    <col min="72" max="73" width="7.44140625" customWidth="1"/>
    <col min="75" max="75" width="7.44140625" customWidth="1"/>
    <col min="76" max="76" width="13.109375" customWidth="1"/>
    <col min="78" max="78" width="4.6640625" customWidth="1"/>
    <col min="84" max="84" width="13.44140625" bestFit="1" customWidth="1"/>
    <col min="85" max="85" width="4.6640625" customWidth="1"/>
    <col min="99" max="99" width="4.6640625" customWidth="1"/>
    <col min="106" max="106" width="9.77734375" customWidth="1"/>
    <col min="111" max="111" width="10.44140625" customWidth="1"/>
    <col min="126" max="126" width="10" bestFit="1" customWidth="1"/>
    <col min="127" max="127" width="9.44140625" bestFit="1" customWidth="1"/>
    <col min="128" max="128" width="9.109375" customWidth="1"/>
    <col min="129" max="129" width="11.44140625" customWidth="1"/>
    <col min="130" max="130" width="12.44140625" customWidth="1"/>
    <col min="131" max="131" width="10" customWidth="1"/>
    <col min="132" max="132" width="8.33203125" customWidth="1"/>
    <col min="133" max="133" width="9.77734375" customWidth="1"/>
    <col min="134" max="134" width="8.33203125" customWidth="1"/>
    <col min="135" max="136" width="11.109375" customWidth="1"/>
    <col min="137" max="137" width="10.109375" style="203" customWidth="1"/>
    <col min="138" max="138" width="8.33203125" customWidth="1"/>
    <col min="139" max="139" width="9.109375" customWidth="1"/>
    <col min="140" max="140" width="4.6640625" customWidth="1"/>
    <col min="141" max="146" width="9.109375" customWidth="1"/>
    <col min="147" max="147" width="12.44140625" customWidth="1"/>
    <col min="148" max="148" width="4.6640625" customWidth="1"/>
    <col min="149" max="161" width="9.109375" customWidth="1"/>
    <col min="162" max="162" width="4.6640625" customWidth="1"/>
    <col min="163" max="163" width="9.109375" customWidth="1"/>
    <col min="168" max="168" width="4.6640625" customWidth="1"/>
  </cols>
  <sheetData>
    <row r="1" spans="1:173" x14ac:dyDescent="0.25">
      <c r="B1" s="16" t="s">
        <v>34</v>
      </c>
      <c r="EG1" s="6"/>
    </row>
    <row r="2" spans="1:173" x14ac:dyDescent="0.25">
      <c r="B2" s="31" t="s">
        <v>345</v>
      </c>
      <c r="EG2" s="6"/>
    </row>
    <row r="3" spans="1:173" hidden="1" x14ac:dyDescent="0.25">
      <c r="B3" s="31"/>
      <c r="EG3" s="6"/>
    </row>
    <row r="4" spans="1:173" x14ac:dyDescent="0.25">
      <c r="EG4" s="6"/>
    </row>
    <row r="5" spans="1:173" ht="14.4" x14ac:dyDescent="0.3">
      <c r="A5" s="60" t="s">
        <v>227</v>
      </c>
      <c r="B5" t="s">
        <v>25</v>
      </c>
      <c r="C5" s="58"/>
      <c r="G5" s="58"/>
      <c r="H5" s="58"/>
      <c r="L5" s="58"/>
      <c r="M5" s="58"/>
      <c r="N5" s="58"/>
      <c r="O5" s="58"/>
      <c r="P5" s="58"/>
      <c r="Q5" s="58"/>
      <c r="R5" s="58"/>
      <c r="S5" s="58"/>
      <c r="T5" s="58"/>
      <c r="U5" s="58"/>
      <c r="V5" s="58"/>
      <c r="W5" s="58"/>
      <c r="X5" s="58"/>
      <c r="Y5" s="58"/>
      <c r="Z5" s="58"/>
      <c r="AA5" s="58"/>
      <c r="AB5" s="58"/>
      <c r="AC5" s="58"/>
      <c r="AD5" s="58"/>
      <c r="AE5" s="58"/>
      <c r="AF5" s="58"/>
      <c r="AG5" s="58"/>
      <c r="AL5" s="58"/>
      <c r="AW5" s="58"/>
      <c r="AX5" s="58"/>
      <c r="AY5" s="58"/>
      <c r="AZ5" s="58"/>
      <c r="BA5" s="58"/>
      <c r="BF5" s="58"/>
      <c r="BQ5" s="58"/>
      <c r="BR5" s="58"/>
      <c r="BV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DC5" s="58"/>
      <c r="DD5" s="58"/>
      <c r="DE5" s="58"/>
      <c r="DP5" s="58"/>
      <c r="DQ5" s="58"/>
      <c r="DR5" s="58"/>
      <c r="DS5" s="58"/>
      <c r="DT5" s="58"/>
      <c r="DV5" s="12">
        <v>12</v>
      </c>
      <c r="DW5" s="15" t="s">
        <v>26</v>
      </c>
      <c r="EG5" s="6"/>
    </row>
    <row r="6" spans="1:173" ht="14.4" x14ac:dyDescent="0.3">
      <c r="A6" s="60"/>
      <c r="C6" s="59" t="s">
        <v>178</v>
      </c>
      <c r="D6" s="17"/>
      <c r="E6" s="17"/>
      <c r="F6" s="17"/>
      <c r="G6" s="59"/>
      <c r="H6" s="259" t="s">
        <v>179</v>
      </c>
      <c r="I6" s="260"/>
      <c r="J6" s="260"/>
      <c r="K6" s="260"/>
      <c r="L6" s="259"/>
      <c r="M6" s="259"/>
      <c r="N6" s="259"/>
      <c r="O6" s="259"/>
      <c r="P6" s="259"/>
      <c r="Q6" s="259"/>
      <c r="R6" s="259"/>
      <c r="S6" s="259"/>
      <c r="T6" s="259"/>
      <c r="U6" s="259"/>
      <c r="V6" s="259"/>
      <c r="W6" s="259"/>
      <c r="X6" s="259"/>
      <c r="Y6" s="259"/>
      <c r="Z6" s="259"/>
      <c r="AA6" s="58"/>
      <c r="AB6" s="59" t="s">
        <v>180</v>
      </c>
      <c r="AC6" s="59"/>
      <c r="AD6" s="59"/>
      <c r="AE6" s="58"/>
      <c r="AF6" s="250" t="s">
        <v>181</v>
      </c>
      <c r="AG6" s="251"/>
      <c r="AH6" s="252"/>
      <c r="AI6" s="252"/>
      <c r="AJ6" s="252"/>
      <c r="AK6" s="252"/>
      <c r="AL6" s="251"/>
      <c r="AM6" s="252"/>
      <c r="AN6" s="252"/>
      <c r="AO6" s="252"/>
      <c r="AP6" s="252"/>
      <c r="AQ6" s="252"/>
      <c r="AR6" s="252"/>
      <c r="AS6" s="252"/>
      <c r="AT6" s="252"/>
      <c r="AU6" s="252"/>
      <c r="AV6" s="252"/>
      <c r="AW6" s="253"/>
      <c r="AX6" s="58"/>
      <c r="AY6" s="254" t="s">
        <v>182</v>
      </c>
      <c r="AZ6" s="255"/>
      <c r="BA6" s="255"/>
      <c r="BB6" s="256"/>
      <c r="BC6" s="256"/>
      <c r="BD6" s="257"/>
      <c r="BE6" s="256"/>
      <c r="BF6" s="255"/>
      <c r="BG6" s="256"/>
      <c r="BH6" s="256"/>
      <c r="BI6" s="256"/>
      <c r="BJ6" s="256"/>
      <c r="BK6" s="256"/>
      <c r="BL6" s="256"/>
      <c r="BM6" s="256"/>
      <c r="BN6" s="256"/>
      <c r="BO6" s="256"/>
      <c r="BP6" s="256"/>
      <c r="BQ6" s="258"/>
      <c r="BR6" s="58"/>
      <c r="BS6" s="243" t="s">
        <v>461</v>
      </c>
      <c r="BT6" s="244"/>
      <c r="BU6" s="244"/>
      <c r="BV6" s="245"/>
      <c r="BW6" s="244"/>
      <c r="BX6" s="244"/>
      <c r="BY6" s="246"/>
      <c r="BZ6" s="58"/>
      <c r="CA6" s="283" t="s">
        <v>183</v>
      </c>
      <c r="CB6" s="284"/>
      <c r="CC6" s="284"/>
      <c r="CD6" s="284"/>
      <c r="CE6" s="285"/>
      <c r="CF6" s="58"/>
      <c r="CG6" s="58"/>
      <c r="CH6" s="254" t="s">
        <v>184</v>
      </c>
      <c r="CI6" s="255"/>
      <c r="CJ6" s="255"/>
      <c r="CK6" s="255"/>
      <c r="CL6" s="255"/>
      <c r="CM6" s="255"/>
      <c r="CN6" s="255"/>
      <c r="CO6" s="255"/>
      <c r="CP6" s="255"/>
      <c r="CQ6" s="255"/>
      <c r="CR6" s="255"/>
      <c r="CS6" s="255"/>
      <c r="CT6" s="258"/>
      <c r="CU6" s="58"/>
      <c r="CV6" s="254" t="s">
        <v>185</v>
      </c>
      <c r="CW6" s="255"/>
      <c r="CX6" s="255"/>
      <c r="CY6" s="256"/>
      <c r="CZ6" s="256"/>
      <c r="DA6" s="257"/>
      <c r="DB6" s="256"/>
      <c r="DC6" s="255"/>
      <c r="DD6" s="255"/>
      <c r="DE6" s="255"/>
      <c r="DF6" s="256"/>
      <c r="DG6" s="256"/>
      <c r="DH6" s="256"/>
      <c r="DI6" s="256"/>
      <c r="DJ6" s="256"/>
      <c r="DK6" s="256"/>
      <c r="DL6" s="256"/>
      <c r="DM6" s="256"/>
      <c r="DN6" s="256"/>
      <c r="DO6" s="256"/>
      <c r="DP6" s="258"/>
      <c r="DQ6" s="58" t="s">
        <v>186</v>
      </c>
      <c r="DR6" s="58"/>
      <c r="DS6" s="72" t="s">
        <v>373</v>
      </c>
      <c r="DT6" s="72"/>
      <c r="EG6" s="6"/>
      <c r="EI6" s="240"/>
      <c r="EK6" s="286" t="s">
        <v>80</v>
      </c>
      <c r="EL6" s="287"/>
      <c r="EM6" s="287"/>
      <c r="EN6" s="287"/>
      <c r="EO6" s="287"/>
      <c r="EP6" s="287"/>
      <c r="EQ6" s="288"/>
      <c r="ES6" s="247" t="s">
        <v>82</v>
      </c>
      <c r="ET6" s="248"/>
      <c r="EU6" s="248"/>
      <c r="EV6" s="248"/>
      <c r="EW6" s="248"/>
      <c r="EX6" s="248"/>
      <c r="EY6" s="248"/>
      <c r="EZ6" s="248"/>
      <c r="FA6" s="248"/>
      <c r="FB6" s="248"/>
      <c r="FC6" s="248"/>
      <c r="FD6" s="248"/>
      <c r="FE6" s="249"/>
    </row>
    <row r="7" spans="1:173" ht="42" customHeight="1" thickBot="1" x14ac:dyDescent="0.35">
      <c r="A7" s="60"/>
      <c r="B7" s="19" t="s">
        <v>15</v>
      </c>
      <c r="C7" s="242" t="s">
        <v>187</v>
      </c>
      <c r="D7" s="32" t="s">
        <v>60</v>
      </c>
      <c r="E7" s="32" t="s">
        <v>11</v>
      </c>
      <c r="F7" s="32" t="s">
        <v>29</v>
      </c>
      <c r="G7" s="241"/>
      <c r="H7" s="242" t="s">
        <v>188</v>
      </c>
      <c r="I7" s="35" t="s">
        <v>12</v>
      </c>
      <c r="J7" s="35" t="s">
        <v>53</v>
      </c>
      <c r="K7" s="35" t="s">
        <v>52</v>
      </c>
      <c r="L7" s="279" t="s">
        <v>190</v>
      </c>
      <c r="M7" s="279" t="s">
        <v>191</v>
      </c>
      <c r="N7" s="280" t="s">
        <v>3</v>
      </c>
      <c r="O7" s="280" t="s">
        <v>192</v>
      </c>
      <c r="P7" s="280" t="s">
        <v>193</v>
      </c>
      <c r="Q7" s="280" t="s">
        <v>194</v>
      </c>
      <c r="R7" s="280" t="s">
        <v>195</v>
      </c>
      <c r="S7" s="280" t="s">
        <v>196</v>
      </c>
      <c r="T7" s="280" t="s">
        <v>197</v>
      </c>
      <c r="U7" s="280" t="s">
        <v>198</v>
      </c>
      <c r="V7" s="280" t="s">
        <v>199</v>
      </c>
      <c r="W7" s="280" t="s">
        <v>200</v>
      </c>
      <c r="X7" s="280" t="s">
        <v>201</v>
      </c>
      <c r="Y7" s="280" t="s">
        <v>202</v>
      </c>
      <c r="Z7" s="280" t="s">
        <v>203</v>
      </c>
      <c r="AA7" s="58"/>
      <c r="AB7" s="279" t="s">
        <v>204</v>
      </c>
      <c r="AC7" s="279" t="s">
        <v>205</v>
      </c>
      <c r="AD7" s="279" t="s">
        <v>206</v>
      </c>
      <c r="AE7" s="282"/>
      <c r="AF7" s="279" t="s">
        <v>207</v>
      </c>
      <c r="AG7" s="279" t="s">
        <v>208</v>
      </c>
      <c r="AH7" s="35" t="s">
        <v>5</v>
      </c>
      <c r="AI7" s="35" t="s">
        <v>6</v>
      </c>
      <c r="AJ7" s="35" t="s">
        <v>4</v>
      </c>
      <c r="AK7" s="35" t="s">
        <v>7</v>
      </c>
      <c r="AL7" s="279" t="s">
        <v>213</v>
      </c>
      <c r="AM7" s="35" t="s">
        <v>8</v>
      </c>
      <c r="AN7" s="35" t="s">
        <v>9</v>
      </c>
      <c r="AO7" s="35" t="s">
        <v>10</v>
      </c>
      <c r="AP7" s="35" t="s">
        <v>404</v>
      </c>
      <c r="AQ7" s="35" t="s">
        <v>405</v>
      </c>
      <c r="AR7" s="35" t="s">
        <v>47</v>
      </c>
      <c r="AS7" s="35" t="s">
        <v>406</v>
      </c>
      <c r="AT7" s="35" t="s">
        <v>354</v>
      </c>
      <c r="AU7" s="35" t="s">
        <v>355</v>
      </c>
      <c r="AV7" s="35" t="s">
        <v>353</v>
      </c>
      <c r="AW7" s="279" t="s">
        <v>217</v>
      </c>
      <c r="AX7" s="282"/>
      <c r="AY7" s="279" t="s">
        <v>218</v>
      </c>
      <c r="AZ7" s="279" t="s">
        <v>207</v>
      </c>
      <c r="BA7" s="279" t="s">
        <v>208</v>
      </c>
      <c r="BB7" s="35" t="s">
        <v>5</v>
      </c>
      <c r="BC7" s="35" t="s">
        <v>6</v>
      </c>
      <c r="BD7" s="35" t="s">
        <v>4</v>
      </c>
      <c r="BE7" s="35" t="s">
        <v>7</v>
      </c>
      <c r="BF7" s="279" t="s">
        <v>213</v>
      </c>
      <c r="BG7" s="35" t="s">
        <v>8</v>
      </c>
      <c r="BH7" s="35" t="s">
        <v>9</v>
      </c>
      <c r="BI7" s="35" t="s">
        <v>10</v>
      </c>
      <c r="BJ7" s="35" t="s">
        <v>404</v>
      </c>
      <c r="BK7" s="35" t="s">
        <v>405</v>
      </c>
      <c r="BL7" s="35" t="s">
        <v>47</v>
      </c>
      <c r="BM7" s="35" t="s">
        <v>406</v>
      </c>
      <c r="BN7" s="35" t="s">
        <v>354</v>
      </c>
      <c r="BO7" s="35" t="s">
        <v>355</v>
      </c>
      <c r="BP7" s="35" t="s">
        <v>353</v>
      </c>
      <c r="BQ7" s="279" t="s">
        <v>217</v>
      </c>
      <c r="BR7" s="282"/>
      <c r="BS7" s="35" t="s">
        <v>13</v>
      </c>
      <c r="BT7" s="35" t="s">
        <v>66</v>
      </c>
      <c r="BU7" s="35" t="s">
        <v>67</v>
      </c>
      <c r="BV7" s="279" t="s">
        <v>219</v>
      </c>
      <c r="BW7" s="35" t="s">
        <v>65</v>
      </c>
      <c r="BX7" s="35" t="s">
        <v>14</v>
      </c>
      <c r="BY7" s="279" t="s">
        <v>220</v>
      </c>
      <c r="BZ7" s="282"/>
      <c r="CA7" s="279" t="s">
        <v>221</v>
      </c>
      <c r="CB7" s="279" t="s">
        <v>222</v>
      </c>
      <c r="CC7" s="279" t="s">
        <v>223</v>
      </c>
      <c r="CD7" s="35" t="s">
        <v>371</v>
      </c>
      <c r="CE7" s="35" t="s">
        <v>372</v>
      </c>
      <c r="CF7" s="279" t="s">
        <v>224</v>
      </c>
      <c r="CG7" s="282"/>
      <c r="CH7" s="279" t="s">
        <v>189</v>
      </c>
      <c r="CI7" s="279" t="s">
        <v>207</v>
      </c>
      <c r="CJ7" s="279" t="s">
        <v>208</v>
      </c>
      <c r="CK7" s="279" t="s">
        <v>209</v>
      </c>
      <c r="CL7" s="279" t="s">
        <v>210</v>
      </c>
      <c r="CM7" s="279" t="s">
        <v>211</v>
      </c>
      <c r="CN7" s="279" t="s">
        <v>212</v>
      </c>
      <c r="CO7" s="279" t="s">
        <v>225</v>
      </c>
      <c r="CP7" s="279" t="s">
        <v>213</v>
      </c>
      <c r="CQ7" s="279" t="s">
        <v>226</v>
      </c>
      <c r="CR7" s="279" t="s">
        <v>214</v>
      </c>
      <c r="CS7" s="279" t="s">
        <v>215</v>
      </c>
      <c r="CT7" s="279" t="s">
        <v>216</v>
      </c>
      <c r="CU7" s="282"/>
      <c r="CV7" s="279" t="s">
        <v>189</v>
      </c>
      <c r="CW7" s="279" t="s">
        <v>207</v>
      </c>
      <c r="CX7" s="279" t="s">
        <v>208</v>
      </c>
      <c r="CY7" s="35" t="s">
        <v>5</v>
      </c>
      <c r="CZ7" s="35" t="s">
        <v>6</v>
      </c>
      <c r="DA7" s="35" t="s">
        <v>4</v>
      </c>
      <c r="DB7" s="35" t="s">
        <v>7</v>
      </c>
      <c r="DC7" s="279" t="s">
        <v>225</v>
      </c>
      <c r="DD7" s="279" t="s">
        <v>213</v>
      </c>
      <c r="DE7" s="279" t="s">
        <v>226</v>
      </c>
      <c r="DF7" s="35" t="s">
        <v>8</v>
      </c>
      <c r="DG7" s="35" t="s">
        <v>9</v>
      </c>
      <c r="DH7" s="35" t="s">
        <v>10</v>
      </c>
      <c r="DI7" s="35" t="s">
        <v>407</v>
      </c>
      <c r="DJ7" s="35" t="s">
        <v>405</v>
      </c>
      <c r="DK7" s="35" t="s">
        <v>47</v>
      </c>
      <c r="DL7" s="35" t="s">
        <v>406</v>
      </c>
      <c r="DM7" s="35" t="s">
        <v>354</v>
      </c>
      <c r="DN7" s="35" t="s">
        <v>355</v>
      </c>
      <c r="DO7" s="35" t="s">
        <v>353</v>
      </c>
      <c r="DP7" s="279" t="s">
        <v>217</v>
      </c>
      <c r="DQ7" s="279" t="s">
        <v>222</v>
      </c>
      <c r="DR7" s="279" t="s">
        <v>223</v>
      </c>
      <c r="DS7" s="281" t="s">
        <v>223</v>
      </c>
      <c r="DT7" s="281" t="s">
        <v>374</v>
      </c>
      <c r="DU7" s="75"/>
      <c r="DV7" s="35" t="s">
        <v>63</v>
      </c>
      <c r="DW7" s="35" t="s">
        <v>20</v>
      </c>
      <c r="DX7" s="35" t="s">
        <v>19</v>
      </c>
      <c r="DY7" s="35" t="s">
        <v>46</v>
      </c>
      <c r="DZ7" s="35" t="s">
        <v>33</v>
      </c>
      <c r="EA7" s="35" t="s">
        <v>44</v>
      </c>
      <c r="EB7" s="35" t="s">
        <v>43</v>
      </c>
      <c r="EC7" s="35" t="s">
        <v>59</v>
      </c>
      <c r="ED7" s="35" t="s">
        <v>54</v>
      </c>
      <c r="EE7" s="35" t="s">
        <v>107</v>
      </c>
      <c r="EF7" s="35" t="s">
        <v>363</v>
      </c>
      <c r="EG7" s="35" t="s">
        <v>457</v>
      </c>
      <c r="EH7" s="35" t="s">
        <v>55</v>
      </c>
      <c r="EI7" s="35" t="s">
        <v>22</v>
      </c>
      <c r="EJ7" s="75"/>
      <c r="EK7" s="35" t="s">
        <v>75</v>
      </c>
      <c r="EL7" s="35" t="s">
        <v>76</v>
      </c>
      <c r="EM7" s="35" t="s">
        <v>77</v>
      </c>
      <c r="EN7" s="35" t="s">
        <v>91</v>
      </c>
      <c r="EO7" s="35" t="s">
        <v>78</v>
      </c>
      <c r="EP7" s="35" t="s">
        <v>79</v>
      </c>
      <c r="EQ7" s="35" t="s">
        <v>81</v>
      </c>
      <c r="ER7" s="75"/>
      <c r="ES7" s="35" t="s">
        <v>83</v>
      </c>
      <c r="ET7" s="35" t="s">
        <v>84</v>
      </c>
      <c r="EU7" s="35" t="s">
        <v>85</v>
      </c>
      <c r="EV7" s="35" t="s">
        <v>86</v>
      </c>
      <c r="EW7" s="35" t="s">
        <v>87</v>
      </c>
      <c r="EX7" s="35" t="s">
        <v>88</v>
      </c>
      <c r="EY7" s="35" t="s">
        <v>89</v>
      </c>
      <c r="EZ7" s="35" t="s">
        <v>90</v>
      </c>
      <c r="FA7" s="35" t="s">
        <v>92</v>
      </c>
      <c r="FB7" s="35" t="s">
        <v>93</v>
      </c>
      <c r="FC7" s="35" t="s">
        <v>94</v>
      </c>
      <c r="FD7" s="35" t="s">
        <v>95</v>
      </c>
      <c r="FE7" s="35" t="s">
        <v>96</v>
      </c>
      <c r="FF7" s="75"/>
      <c r="FG7" s="35" t="s">
        <v>170</v>
      </c>
      <c r="FH7" s="35" t="s">
        <v>171</v>
      </c>
      <c r="FI7" s="35" t="s">
        <v>356</v>
      </c>
      <c r="FJ7" s="35" t="s">
        <v>357</v>
      </c>
      <c r="FK7" s="35" t="s">
        <v>358</v>
      </c>
      <c r="FL7" s="75"/>
      <c r="FM7" s="35" t="s">
        <v>410</v>
      </c>
      <c r="FN7" s="35" t="s">
        <v>411</v>
      </c>
      <c r="FO7" s="35" t="s">
        <v>412</v>
      </c>
      <c r="FP7" s="35" t="s">
        <v>413</v>
      </c>
      <c r="FQ7" s="35" t="s">
        <v>414</v>
      </c>
    </row>
    <row r="8" spans="1:173" ht="12.75" hidden="1" customHeight="1" x14ac:dyDescent="0.3">
      <c r="A8" s="60"/>
      <c r="B8" s="36" t="s">
        <v>1</v>
      </c>
      <c r="C8">
        <f>C24</f>
        <v>3933</v>
      </c>
      <c r="D8">
        <f t="shared" ref="D8:CA8" si="0">D24</f>
        <v>3451</v>
      </c>
      <c r="E8">
        <f t="shared" si="0"/>
        <v>3395</v>
      </c>
      <c r="F8">
        <f t="shared" si="0"/>
        <v>2672</v>
      </c>
      <c r="G8">
        <f t="shared" si="0"/>
        <v>0</v>
      </c>
      <c r="H8">
        <f t="shared" si="0"/>
        <v>88.31</v>
      </c>
      <c r="I8">
        <f t="shared" si="0"/>
        <v>8.24</v>
      </c>
      <c r="J8">
        <f t="shared" si="0"/>
        <v>1.98</v>
      </c>
      <c r="K8">
        <f t="shared" si="0"/>
        <v>3.48</v>
      </c>
      <c r="L8">
        <f t="shared" si="0"/>
        <v>3.68</v>
      </c>
      <c r="M8">
        <f t="shared" si="0"/>
        <v>1.3</v>
      </c>
      <c r="N8">
        <f t="shared" si="0"/>
        <v>0</v>
      </c>
      <c r="O8">
        <f t="shared" si="0"/>
        <v>0.09</v>
      </c>
      <c r="P8">
        <f t="shared" si="0"/>
        <v>0.01</v>
      </c>
      <c r="Q8">
        <f t="shared" si="0"/>
        <v>0.01</v>
      </c>
      <c r="R8">
        <f t="shared" si="0"/>
        <v>0.01</v>
      </c>
      <c r="S8">
        <f t="shared" si="0"/>
        <v>0</v>
      </c>
      <c r="T8">
        <f t="shared" si="0"/>
        <v>62.55</v>
      </c>
      <c r="U8">
        <f t="shared" si="0"/>
        <v>9.11</v>
      </c>
      <c r="V8">
        <f t="shared" si="0"/>
        <v>2.88</v>
      </c>
      <c r="W8">
        <f t="shared" si="0"/>
        <v>0.32</v>
      </c>
      <c r="X8">
        <f t="shared" si="0"/>
        <v>13.73</v>
      </c>
      <c r="Y8">
        <f t="shared" si="0"/>
        <v>0</v>
      </c>
      <c r="Z8">
        <f t="shared" si="0"/>
        <v>0</v>
      </c>
      <c r="AA8">
        <f t="shared" si="0"/>
        <v>0</v>
      </c>
      <c r="AB8">
        <f t="shared" si="0"/>
        <v>12.650000000000006</v>
      </c>
      <c r="AC8">
        <f t="shared" si="0"/>
        <v>55</v>
      </c>
      <c r="AD8">
        <f t="shared" si="0"/>
        <v>40.263400000000004</v>
      </c>
      <c r="AE8">
        <f t="shared" si="0"/>
        <v>0</v>
      </c>
      <c r="AF8">
        <f t="shared" si="0"/>
        <v>0.37</v>
      </c>
      <c r="AG8">
        <f t="shared" si="0"/>
        <v>0.24</v>
      </c>
      <c r="AH8">
        <f t="shared" si="0"/>
        <v>0.28000000000000003</v>
      </c>
      <c r="AI8">
        <f t="shared" si="0"/>
        <v>0.96</v>
      </c>
      <c r="AJ8">
        <f t="shared" si="0"/>
        <v>0.25</v>
      </c>
      <c r="AK8">
        <f t="shared" si="0"/>
        <v>0.18</v>
      </c>
      <c r="AL8">
        <f t="shared" si="0"/>
        <v>0.39</v>
      </c>
      <c r="AM8">
        <f t="shared" si="0"/>
        <v>0.28000000000000003</v>
      </c>
      <c r="AN8">
        <f t="shared" si="0"/>
        <v>0.06</v>
      </c>
      <c r="AO8">
        <f t="shared" si="0"/>
        <v>0.38</v>
      </c>
      <c r="AP8">
        <f t="shared" ref="AP8:AW8" si="1">AP24</f>
        <v>0.6</v>
      </c>
      <c r="AQ8">
        <f t="shared" si="1"/>
        <v>0.54</v>
      </c>
      <c r="AR8">
        <f t="shared" si="1"/>
        <v>0.19</v>
      </c>
      <c r="AS8">
        <f t="shared" si="1"/>
        <v>1.48</v>
      </c>
      <c r="AT8">
        <f t="shared" si="1"/>
        <v>0.31</v>
      </c>
      <c r="AU8">
        <f t="shared" si="1"/>
        <v>0.71</v>
      </c>
      <c r="AV8">
        <f t="shared" si="1"/>
        <v>0.38</v>
      </c>
      <c r="AW8">
        <f t="shared" si="1"/>
        <v>0.26</v>
      </c>
      <c r="AX8">
        <f t="shared" si="0"/>
        <v>0</v>
      </c>
      <c r="AY8">
        <f t="shared" si="0"/>
        <v>80</v>
      </c>
      <c r="AZ8">
        <f t="shared" si="0"/>
        <v>87</v>
      </c>
      <c r="BA8">
        <f t="shared" si="0"/>
        <v>83</v>
      </c>
      <c r="BB8">
        <f t="shared" si="0"/>
        <v>82</v>
      </c>
      <c r="BC8">
        <f t="shared" si="0"/>
        <v>87</v>
      </c>
      <c r="BD8">
        <f t="shared" si="0"/>
        <v>74</v>
      </c>
      <c r="BE8">
        <f t="shared" si="0"/>
        <v>83</v>
      </c>
      <c r="BF8">
        <f t="shared" si="0"/>
        <v>85</v>
      </c>
      <c r="BG8">
        <f t="shared" si="0"/>
        <v>77</v>
      </c>
      <c r="BH8">
        <f t="shared" si="0"/>
        <v>80</v>
      </c>
      <c r="BI8">
        <f t="shared" si="0"/>
        <v>82</v>
      </c>
      <c r="BJ8">
        <f t="shared" ref="BJ8:BQ8" si="2">BJ24</f>
        <v>81</v>
      </c>
      <c r="BK8">
        <f t="shared" si="2"/>
        <v>79</v>
      </c>
      <c r="BL8">
        <f t="shared" si="2"/>
        <v>80</v>
      </c>
      <c r="BM8">
        <f t="shared" si="2"/>
        <v>84</v>
      </c>
      <c r="BN8">
        <f t="shared" si="2"/>
        <v>84</v>
      </c>
      <c r="BO8">
        <f t="shared" si="2"/>
        <v>93</v>
      </c>
      <c r="BP8">
        <f t="shared" si="2"/>
        <v>82</v>
      </c>
      <c r="BQ8">
        <f t="shared" si="2"/>
        <v>79</v>
      </c>
      <c r="BR8">
        <f t="shared" si="0"/>
        <v>0</v>
      </c>
      <c r="BS8">
        <f t="shared" si="0"/>
        <v>0.02</v>
      </c>
      <c r="BT8">
        <f t="shared" si="0"/>
        <v>0.05</v>
      </c>
      <c r="BU8">
        <f t="shared" si="0"/>
        <v>0.32</v>
      </c>
      <c r="BV8">
        <f t="shared" si="0"/>
        <v>0.12</v>
      </c>
      <c r="BW8">
        <f t="shared" si="0"/>
        <v>0.02</v>
      </c>
      <c r="BX8">
        <f t="shared" si="0"/>
        <v>0.26</v>
      </c>
      <c r="BY8">
        <f t="shared" si="0"/>
        <v>0</v>
      </c>
      <c r="BZ8">
        <f t="shared" si="0"/>
        <v>0</v>
      </c>
      <c r="CA8">
        <f t="shared" si="0"/>
        <v>0.21</v>
      </c>
      <c r="CB8">
        <f t="shared" ref="CB8:ET8" si="3">CB24</f>
        <v>26</v>
      </c>
      <c r="CC8">
        <f t="shared" si="3"/>
        <v>34</v>
      </c>
      <c r="CD8">
        <f t="shared" si="3"/>
        <v>50</v>
      </c>
      <c r="CE8">
        <f t="shared" si="3"/>
        <v>60</v>
      </c>
      <c r="CF8">
        <f t="shared" si="3"/>
        <v>6.9575000000000031</v>
      </c>
      <c r="CG8">
        <f t="shared" si="3"/>
        <v>0</v>
      </c>
      <c r="CH8">
        <f t="shared" si="3"/>
        <v>5.3559999999999999</v>
      </c>
      <c r="CI8">
        <f t="shared" si="3"/>
        <v>0.27750000000000002</v>
      </c>
      <c r="CJ8">
        <f t="shared" si="3"/>
        <v>0.18479999999999999</v>
      </c>
      <c r="CK8">
        <f t="shared" si="3"/>
        <v>0.20440000000000003</v>
      </c>
      <c r="CL8">
        <f t="shared" si="3"/>
        <v>0.78720000000000001</v>
      </c>
      <c r="CM8">
        <f t="shared" si="3"/>
        <v>0.15</v>
      </c>
      <c r="CN8">
        <f t="shared" si="3"/>
        <v>0.1386</v>
      </c>
      <c r="CO8">
        <f t="shared" si="3"/>
        <v>0.28110000000000002</v>
      </c>
      <c r="CP8">
        <f t="shared" si="3"/>
        <v>0.30420000000000003</v>
      </c>
      <c r="CQ8">
        <f t="shared" si="3"/>
        <v>0.49660000000000004</v>
      </c>
      <c r="CR8">
        <f t="shared" si="3"/>
        <v>0.17080000000000001</v>
      </c>
      <c r="CS8">
        <f t="shared" si="3"/>
        <v>3.7199999999999997E-2</v>
      </c>
      <c r="CT8">
        <f t="shared" si="3"/>
        <v>0.26979999999999998</v>
      </c>
      <c r="CU8">
        <f t="shared" si="3"/>
        <v>0</v>
      </c>
      <c r="CV8">
        <f t="shared" si="3"/>
        <v>6.5920000000000005</v>
      </c>
      <c r="CW8" s="47">
        <f t="shared" ref="CW8:DB9" si="4">AF8*AZ8/100</f>
        <v>0.32189999999999996</v>
      </c>
      <c r="CX8" s="47">
        <f t="shared" si="4"/>
        <v>0.19919999999999999</v>
      </c>
      <c r="CY8" s="47">
        <f t="shared" si="4"/>
        <v>0.2296</v>
      </c>
      <c r="CZ8" s="47">
        <f t="shared" si="4"/>
        <v>0.83519999999999994</v>
      </c>
      <c r="DA8" s="47">
        <f t="shared" si="4"/>
        <v>0.185</v>
      </c>
      <c r="DB8" s="47">
        <f t="shared" si="4"/>
        <v>0.14940000000000001</v>
      </c>
      <c r="DC8" s="47">
        <f>(AK8*BE8+BL8*AR8)/100</f>
        <v>0.3014</v>
      </c>
      <c r="DD8" s="47">
        <f>AL8*BF8/100</f>
        <v>0.33149999999999996</v>
      </c>
      <c r="DE8" s="47">
        <f t="shared" ref="DE8:DE71" si="5">DD8+BQ8*AW8/100</f>
        <v>0.53689999999999993</v>
      </c>
      <c r="DF8" s="47">
        <f>AM8*BG8/100</f>
        <v>0.21560000000000001</v>
      </c>
      <c r="DG8" s="47">
        <f>AN8*BH8/100</f>
        <v>4.8000000000000001E-2</v>
      </c>
      <c r="DH8" s="47">
        <f>AO8*BI8/100</f>
        <v>0.31159999999999999</v>
      </c>
      <c r="DI8" s="47">
        <f t="shared" ref="DI8:DP9" si="6">AP8*BJ8/100</f>
        <v>0.48599999999999999</v>
      </c>
      <c r="DJ8" s="47">
        <f t="shared" si="6"/>
        <v>0.42660000000000003</v>
      </c>
      <c r="DK8" s="47">
        <f t="shared" si="6"/>
        <v>0.152</v>
      </c>
      <c r="DL8" s="47">
        <f t="shared" si="6"/>
        <v>1.2431999999999999</v>
      </c>
      <c r="DM8" s="47">
        <f t="shared" si="6"/>
        <v>0.26039999999999996</v>
      </c>
      <c r="DN8" s="47">
        <f t="shared" si="6"/>
        <v>0.6603</v>
      </c>
      <c r="DO8" s="47">
        <f t="shared" si="6"/>
        <v>0.31159999999999999</v>
      </c>
      <c r="DP8" s="47">
        <f t="shared" si="6"/>
        <v>0.2054</v>
      </c>
      <c r="DQ8">
        <f t="shared" si="3"/>
        <v>6.7599999999999993E-2</v>
      </c>
      <c r="DR8">
        <f t="shared" si="3"/>
        <v>8.8399999999999992E-2</v>
      </c>
      <c r="DS8">
        <f>DS24</f>
        <v>0.01</v>
      </c>
      <c r="DT8">
        <f>DT24</f>
        <v>1.2E-2</v>
      </c>
      <c r="DU8">
        <f t="shared" si="3"/>
        <v>0</v>
      </c>
      <c r="DV8">
        <f t="shared" si="3"/>
        <v>0</v>
      </c>
      <c r="DW8">
        <f t="shared" si="3"/>
        <v>160.71428571428572</v>
      </c>
      <c r="DX8">
        <f t="shared" si="3"/>
        <v>8.0357142857142863E-2</v>
      </c>
      <c r="DY8">
        <f t="shared" si="3"/>
        <v>2650</v>
      </c>
      <c r="DZ8">
        <f t="shared" si="3"/>
        <v>2730</v>
      </c>
      <c r="EA8">
        <f t="shared" si="3"/>
        <v>0.14000000000000001</v>
      </c>
      <c r="EB8">
        <f t="shared" si="3"/>
        <v>3.6400000000000002E-2</v>
      </c>
      <c r="EC8">
        <f t="shared" si="3"/>
        <v>1.92</v>
      </c>
      <c r="ED8">
        <f t="shared" si="3"/>
        <v>0</v>
      </c>
      <c r="EE8">
        <f t="shared" si="3"/>
        <v>0</v>
      </c>
      <c r="EG8" s="6">
        <f t="shared" si="3"/>
        <v>0.19</v>
      </c>
      <c r="EH8">
        <f t="shared" si="3"/>
        <v>43.5</v>
      </c>
      <c r="EI8">
        <f t="shared" si="3"/>
        <v>15.2</v>
      </c>
      <c r="EJ8">
        <f t="shared" si="3"/>
        <v>0</v>
      </c>
      <c r="EK8">
        <f t="shared" si="3"/>
        <v>0</v>
      </c>
      <c r="EL8">
        <f t="shared" si="3"/>
        <v>0</v>
      </c>
      <c r="EM8">
        <f t="shared" si="3"/>
        <v>0</v>
      </c>
      <c r="EN8">
        <f t="shared" si="3"/>
        <v>0</v>
      </c>
      <c r="EO8">
        <f t="shared" si="3"/>
        <v>0</v>
      </c>
      <c r="EP8">
        <f t="shared" si="3"/>
        <v>0</v>
      </c>
      <c r="EQ8">
        <f t="shared" si="3"/>
        <v>0</v>
      </c>
      <c r="ER8">
        <f t="shared" si="3"/>
        <v>0</v>
      </c>
      <c r="ES8">
        <f t="shared" si="3"/>
        <v>0</v>
      </c>
      <c r="ET8">
        <f t="shared" si="3"/>
        <v>0</v>
      </c>
      <c r="EU8">
        <f t="shared" ref="EU8:FN8" si="7">EU24</f>
        <v>0</v>
      </c>
      <c r="EV8">
        <f t="shared" si="7"/>
        <v>0</v>
      </c>
      <c r="EW8">
        <f t="shared" si="7"/>
        <v>0</v>
      </c>
      <c r="EX8">
        <f t="shared" si="7"/>
        <v>0</v>
      </c>
      <c r="EY8">
        <f t="shared" si="7"/>
        <v>0</v>
      </c>
      <c r="EZ8">
        <f t="shared" si="7"/>
        <v>0</v>
      </c>
      <c r="FA8">
        <f t="shared" si="7"/>
        <v>0</v>
      </c>
      <c r="FB8">
        <f t="shared" si="7"/>
        <v>0</v>
      </c>
      <c r="FC8">
        <f t="shared" si="7"/>
        <v>0</v>
      </c>
      <c r="FD8">
        <f t="shared" si="7"/>
        <v>0</v>
      </c>
      <c r="FE8">
        <f t="shared" si="7"/>
        <v>0</v>
      </c>
      <c r="FF8">
        <f t="shared" si="7"/>
        <v>0</v>
      </c>
      <c r="FG8">
        <f t="shared" si="7"/>
        <v>0</v>
      </c>
      <c r="FH8">
        <f t="shared" si="7"/>
        <v>0</v>
      </c>
      <c r="FI8">
        <f t="shared" si="7"/>
        <v>51.69</v>
      </c>
      <c r="FJ8">
        <f t="shared" si="7"/>
        <v>1.6</v>
      </c>
      <c r="FK8">
        <f t="shared" si="7"/>
        <v>1.854492</v>
      </c>
      <c r="FL8">
        <f t="shared" si="7"/>
        <v>0</v>
      </c>
      <c r="FM8">
        <f t="shared" si="7"/>
        <v>0.37308429118773945</v>
      </c>
      <c r="FN8">
        <f t="shared" si="7"/>
        <v>0.27490421455938702</v>
      </c>
    </row>
    <row r="9" spans="1:173" ht="12.75" hidden="1" customHeight="1" x14ac:dyDescent="0.3">
      <c r="A9" s="60"/>
      <c r="B9" s="37" t="s">
        <v>0</v>
      </c>
      <c r="C9">
        <f>C70</f>
        <v>3881</v>
      </c>
      <c r="D9">
        <f t="shared" ref="D9:CA9" si="8">D70</f>
        <v>3596</v>
      </c>
      <c r="E9">
        <f t="shared" si="8"/>
        <v>3532</v>
      </c>
      <c r="F9">
        <f t="shared" si="8"/>
        <v>2780</v>
      </c>
      <c r="G9">
        <f t="shared" si="8"/>
        <v>0</v>
      </c>
      <c r="H9">
        <f t="shared" si="8"/>
        <v>89.39</v>
      </c>
      <c r="I9">
        <f t="shared" si="8"/>
        <v>9.36</v>
      </c>
      <c r="J9">
        <f t="shared" si="8"/>
        <v>2.14</v>
      </c>
      <c r="K9">
        <f t="shared" si="8"/>
        <v>3.42</v>
      </c>
      <c r="L9">
        <f t="shared" si="8"/>
        <v>2.12</v>
      </c>
      <c r="M9">
        <f t="shared" si="8"/>
        <v>1.64</v>
      </c>
      <c r="N9">
        <f t="shared" si="8"/>
        <v>0</v>
      </c>
      <c r="O9">
        <f t="shared" si="8"/>
        <v>0</v>
      </c>
      <c r="P9">
        <f t="shared" si="8"/>
        <v>0</v>
      </c>
      <c r="Q9">
        <f t="shared" si="8"/>
        <v>0</v>
      </c>
      <c r="R9">
        <f t="shared" si="8"/>
        <v>0</v>
      </c>
      <c r="S9">
        <f t="shared" si="8"/>
        <v>0</v>
      </c>
      <c r="T9">
        <f t="shared" si="8"/>
        <v>70.05</v>
      </c>
      <c r="U9">
        <f t="shared" si="8"/>
        <v>10.63</v>
      </c>
      <c r="V9">
        <f t="shared" si="8"/>
        <v>4.93</v>
      </c>
      <c r="W9">
        <f t="shared" si="8"/>
        <v>0.44</v>
      </c>
      <c r="X9">
        <f t="shared" si="8"/>
        <v>4.3499999999999996</v>
      </c>
      <c r="Y9">
        <f t="shared" si="8"/>
        <v>0</v>
      </c>
      <c r="Z9">
        <f t="shared" si="8"/>
        <v>0</v>
      </c>
      <c r="AA9">
        <f t="shared" si="8"/>
        <v>0</v>
      </c>
      <c r="AB9">
        <f t="shared" si="8"/>
        <v>4.9200000000000017</v>
      </c>
      <c r="AC9">
        <f t="shared" si="8"/>
        <v>66</v>
      </c>
      <c r="AD9">
        <f t="shared" si="8"/>
        <v>40.595999999999997</v>
      </c>
      <c r="AE9">
        <f t="shared" si="8"/>
        <v>0</v>
      </c>
      <c r="AF9">
        <f t="shared" si="8"/>
        <v>0.36</v>
      </c>
      <c r="AG9">
        <f t="shared" si="8"/>
        <v>0.21</v>
      </c>
      <c r="AH9">
        <f t="shared" si="8"/>
        <v>0.36</v>
      </c>
      <c r="AI9">
        <f t="shared" si="8"/>
        <v>1.21</v>
      </c>
      <c r="AJ9">
        <f t="shared" si="8"/>
        <v>0.2</v>
      </c>
      <c r="AK9">
        <f t="shared" si="8"/>
        <v>0.16</v>
      </c>
      <c r="AL9">
        <f t="shared" si="8"/>
        <v>0.48</v>
      </c>
      <c r="AM9">
        <f t="shared" si="8"/>
        <v>0.3</v>
      </c>
      <c r="AN9">
        <f t="shared" si="8"/>
        <v>7.0000000000000007E-2</v>
      </c>
      <c r="AO9">
        <f t="shared" si="8"/>
        <v>0.46</v>
      </c>
      <c r="AP9">
        <f t="shared" ref="AP9:AW9" si="9">AP70</f>
        <v>0</v>
      </c>
      <c r="AQ9">
        <f t="shared" si="9"/>
        <v>0</v>
      </c>
      <c r="AR9">
        <f t="shared" si="9"/>
        <v>0.18</v>
      </c>
      <c r="AS9">
        <f t="shared" si="9"/>
        <v>0</v>
      </c>
      <c r="AT9">
        <f t="shared" si="9"/>
        <v>0</v>
      </c>
      <c r="AU9">
        <f t="shared" si="9"/>
        <v>0</v>
      </c>
      <c r="AV9">
        <f t="shared" si="9"/>
        <v>0</v>
      </c>
      <c r="AW9">
        <f t="shared" si="9"/>
        <v>0.32</v>
      </c>
      <c r="AX9">
        <f t="shared" si="8"/>
        <v>0</v>
      </c>
      <c r="AY9">
        <f t="shared" si="8"/>
        <v>77</v>
      </c>
      <c r="AZ9">
        <f t="shared" si="8"/>
        <v>80</v>
      </c>
      <c r="BA9">
        <f t="shared" si="8"/>
        <v>74</v>
      </c>
      <c r="BB9">
        <f t="shared" si="8"/>
        <v>78</v>
      </c>
      <c r="BC9">
        <f t="shared" si="8"/>
        <v>83</v>
      </c>
      <c r="BD9">
        <f t="shared" si="8"/>
        <v>74</v>
      </c>
      <c r="BE9">
        <f t="shared" si="8"/>
        <v>79</v>
      </c>
      <c r="BF9">
        <f t="shared" si="8"/>
        <v>83</v>
      </c>
      <c r="BG9">
        <f t="shared" si="8"/>
        <v>75</v>
      </c>
      <c r="BH9">
        <f t="shared" si="8"/>
        <v>74</v>
      </c>
      <c r="BI9">
        <f t="shared" si="8"/>
        <v>77</v>
      </c>
      <c r="BJ9">
        <f t="shared" ref="BJ9:BQ9" si="10">BJ70</f>
        <v>0</v>
      </c>
      <c r="BK9">
        <f t="shared" si="10"/>
        <v>0</v>
      </c>
      <c r="BL9">
        <f t="shared" si="10"/>
        <v>67</v>
      </c>
      <c r="BM9">
        <f t="shared" si="10"/>
        <v>0</v>
      </c>
      <c r="BN9">
        <f t="shared" si="10"/>
        <v>0</v>
      </c>
      <c r="BO9">
        <f t="shared" si="10"/>
        <v>0</v>
      </c>
      <c r="BP9">
        <f t="shared" si="10"/>
        <v>0</v>
      </c>
      <c r="BQ9">
        <f t="shared" si="10"/>
        <v>75</v>
      </c>
      <c r="BR9">
        <f t="shared" si="8"/>
        <v>0</v>
      </c>
      <c r="BS9">
        <f t="shared" si="8"/>
        <v>0.02</v>
      </c>
      <c r="BT9">
        <f t="shared" si="8"/>
        <v>0.09</v>
      </c>
      <c r="BU9">
        <f t="shared" si="8"/>
        <v>0.35</v>
      </c>
      <c r="BV9">
        <f t="shared" si="8"/>
        <v>0.15</v>
      </c>
      <c r="BW9">
        <f t="shared" si="8"/>
        <v>0.01</v>
      </c>
      <c r="BX9">
        <f t="shared" si="8"/>
        <v>0.27</v>
      </c>
      <c r="BY9">
        <f t="shared" si="8"/>
        <v>0.08</v>
      </c>
      <c r="BZ9">
        <f t="shared" si="8"/>
        <v>0</v>
      </c>
      <c r="CA9">
        <f t="shared" si="8"/>
        <v>0.18</v>
      </c>
      <c r="CB9">
        <f t="shared" ref="CB9:ET9" si="11">CB70</f>
        <v>30</v>
      </c>
      <c r="CC9">
        <f t="shared" si="11"/>
        <v>40</v>
      </c>
      <c r="CD9">
        <f t="shared" si="11"/>
        <v>0</v>
      </c>
      <c r="CE9">
        <f t="shared" si="11"/>
        <v>0</v>
      </c>
      <c r="CF9">
        <f t="shared" si="11"/>
        <v>3.2472000000000012</v>
      </c>
      <c r="CG9">
        <f t="shared" si="11"/>
        <v>0</v>
      </c>
      <c r="CH9">
        <f t="shared" si="11"/>
        <v>5.8967999999999998</v>
      </c>
      <c r="CI9">
        <f t="shared" si="11"/>
        <v>0.24480000000000002</v>
      </c>
      <c r="CJ9">
        <f t="shared" si="11"/>
        <v>0.13439999999999999</v>
      </c>
      <c r="CK9">
        <f t="shared" si="11"/>
        <v>0.24840000000000001</v>
      </c>
      <c r="CL9">
        <f t="shared" si="11"/>
        <v>0.94379999999999997</v>
      </c>
      <c r="CM9">
        <f t="shared" si="11"/>
        <v>0.10600000000000001</v>
      </c>
      <c r="CN9">
        <f t="shared" si="11"/>
        <v>0.11840000000000001</v>
      </c>
      <c r="CO9">
        <f t="shared" si="11"/>
        <v>0.21920000000000001</v>
      </c>
      <c r="CP9">
        <f t="shared" si="11"/>
        <v>0.36479999999999996</v>
      </c>
      <c r="CQ9">
        <f t="shared" si="11"/>
        <v>0.58560000000000001</v>
      </c>
      <c r="CR9">
        <f t="shared" si="11"/>
        <v>0.16200000000000001</v>
      </c>
      <c r="CS9">
        <f t="shared" si="11"/>
        <v>4.5500000000000006E-2</v>
      </c>
      <c r="CT9">
        <f t="shared" si="11"/>
        <v>0.30360000000000004</v>
      </c>
      <c r="CU9">
        <f t="shared" si="11"/>
        <v>0</v>
      </c>
      <c r="CV9">
        <f t="shared" si="11"/>
        <v>7.2071999999999994</v>
      </c>
      <c r="CW9" s="47">
        <f t="shared" si="4"/>
        <v>0.28799999999999998</v>
      </c>
      <c r="CX9" s="47">
        <f t="shared" si="4"/>
        <v>0.15539999999999998</v>
      </c>
      <c r="CY9" s="47">
        <f t="shared" si="4"/>
        <v>0.28079999999999999</v>
      </c>
      <c r="CZ9" s="47">
        <f t="shared" si="4"/>
        <v>1.0043</v>
      </c>
      <c r="DA9" s="47">
        <f t="shared" si="4"/>
        <v>0.14800000000000002</v>
      </c>
      <c r="DB9" s="47">
        <f t="shared" si="4"/>
        <v>0.12640000000000001</v>
      </c>
      <c r="DC9" s="47">
        <f>(AK9*BE9+BL9*AR9)/100</f>
        <v>0.247</v>
      </c>
      <c r="DD9" s="47">
        <f t="shared" ref="DD9:DD72" si="12">AL9*BF9/100</f>
        <v>0.39839999999999998</v>
      </c>
      <c r="DE9" s="47">
        <f t="shared" si="5"/>
        <v>0.63839999999999997</v>
      </c>
      <c r="DF9" s="47">
        <f t="shared" ref="DF9:DF72" si="13">AM9*BG9/100</f>
        <v>0.22500000000000001</v>
      </c>
      <c r="DG9" s="47">
        <f t="shared" ref="DG9:DG72" si="14">AN9*BH9/100</f>
        <v>5.1800000000000006E-2</v>
      </c>
      <c r="DH9" s="47">
        <f t="shared" ref="DH9:DH72" si="15">AO9*BI9/100</f>
        <v>0.35420000000000001</v>
      </c>
      <c r="DI9" s="47">
        <f t="shared" si="6"/>
        <v>0</v>
      </c>
      <c r="DJ9" s="47">
        <f t="shared" si="6"/>
        <v>0</v>
      </c>
      <c r="DK9" s="47">
        <f t="shared" si="6"/>
        <v>0.12059999999999998</v>
      </c>
      <c r="DL9" s="47">
        <f t="shared" si="6"/>
        <v>0</v>
      </c>
      <c r="DM9" s="47">
        <f t="shared" si="6"/>
        <v>0</v>
      </c>
      <c r="DN9" s="47">
        <f t="shared" si="6"/>
        <v>0</v>
      </c>
      <c r="DO9" s="47">
        <f t="shared" si="6"/>
        <v>0</v>
      </c>
      <c r="DP9" s="47">
        <f t="shared" si="6"/>
        <v>0.24</v>
      </c>
      <c r="DQ9">
        <f t="shared" si="11"/>
        <v>8.1000000000000016E-2</v>
      </c>
      <c r="DR9">
        <f t="shared" si="11"/>
        <v>0.10800000000000001</v>
      </c>
      <c r="DS9">
        <f>DS70</f>
        <v>0</v>
      </c>
      <c r="DT9">
        <f>DT70</f>
        <v>0</v>
      </c>
      <c r="DU9">
        <f t="shared" si="11"/>
        <v>0</v>
      </c>
      <c r="DV9">
        <f t="shared" si="11"/>
        <v>0</v>
      </c>
      <c r="DW9">
        <f t="shared" si="11"/>
        <v>200</v>
      </c>
      <c r="DX9">
        <f t="shared" si="11"/>
        <v>0.1</v>
      </c>
      <c r="DY9">
        <f t="shared" si="11"/>
        <v>2620</v>
      </c>
      <c r="DZ9">
        <f t="shared" si="11"/>
        <v>2650</v>
      </c>
      <c r="EA9">
        <f t="shared" si="11"/>
        <v>0.2</v>
      </c>
      <c r="EB9">
        <f t="shared" si="11"/>
        <v>5.4000000000000006E-2</v>
      </c>
      <c r="EC9">
        <f t="shared" si="11"/>
        <v>1.1299999999999999</v>
      </c>
      <c r="ED9">
        <f t="shared" si="11"/>
        <v>0</v>
      </c>
      <c r="EE9">
        <f t="shared" si="11"/>
        <v>0</v>
      </c>
      <c r="EG9" s="6">
        <f t="shared" si="11"/>
        <v>0.23</v>
      </c>
      <c r="EH9">
        <f t="shared" si="11"/>
        <v>41.04</v>
      </c>
      <c r="EI9">
        <f t="shared" si="11"/>
        <v>12.059999999999999</v>
      </c>
      <c r="EJ9">
        <f t="shared" si="11"/>
        <v>0</v>
      </c>
      <c r="EK9">
        <f t="shared" si="11"/>
        <v>0</v>
      </c>
      <c r="EL9">
        <f t="shared" si="11"/>
        <v>0</v>
      </c>
      <c r="EM9">
        <f t="shared" si="11"/>
        <v>0</v>
      </c>
      <c r="EN9">
        <f t="shared" si="11"/>
        <v>0</v>
      </c>
      <c r="EO9">
        <f t="shared" si="11"/>
        <v>0</v>
      </c>
      <c r="EP9">
        <f t="shared" si="11"/>
        <v>0</v>
      </c>
      <c r="EQ9">
        <f t="shared" si="11"/>
        <v>0</v>
      </c>
      <c r="ER9">
        <f t="shared" si="11"/>
        <v>0</v>
      </c>
      <c r="ES9">
        <f t="shared" si="11"/>
        <v>0</v>
      </c>
      <c r="ET9">
        <f t="shared" si="11"/>
        <v>0</v>
      </c>
      <c r="EU9">
        <f t="shared" ref="EU9:FN9" si="16">EU70</f>
        <v>0</v>
      </c>
      <c r="EV9">
        <f t="shared" si="16"/>
        <v>0</v>
      </c>
      <c r="EW9">
        <f t="shared" si="16"/>
        <v>0</v>
      </c>
      <c r="EX9">
        <f t="shared" si="16"/>
        <v>0</v>
      </c>
      <c r="EY9">
        <f t="shared" si="16"/>
        <v>0</v>
      </c>
      <c r="EZ9">
        <f t="shared" si="16"/>
        <v>0</v>
      </c>
      <c r="FA9">
        <f t="shared" si="16"/>
        <v>0</v>
      </c>
      <c r="FB9">
        <f t="shared" si="16"/>
        <v>0</v>
      </c>
      <c r="FC9">
        <f t="shared" si="16"/>
        <v>0</v>
      </c>
      <c r="FD9">
        <f t="shared" si="16"/>
        <v>0</v>
      </c>
      <c r="FE9">
        <f t="shared" si="16"/>
        <v>0</v>
      </c>
      <c r="FF9">
        <f t="shared" si="16"/>
        <v>0</v>
      </c>
      <c r="FG9">
        <f t="shared" si="16"/>
        <v>0</v>
      </c>
      <c r="FH9">
        <f t="shared" si="16"/>
        <v>0</v>
      </c>
      <c r="FI9">
        <f t="shared" si="16"/>
        <v>46.26</v>
      </c>
      <c r="FJ9">
        <f t="shared" si="16"/>
        <v>2.2999999999999998</v>
      </c>
      <c r="FK9">
        <f t="shared" si="16"/>
        <v>1.6607519999999998</v>
      </c>
      <c r="FL9">
        <f t="shared" si="16"/>
        <v>0</v>
      </c>
      <c r="FM9">
        <f t="shared" si="16"/>
        <v>0.35268346111719606</v>
      </c>
      <c r="FN9">
        <f t="shared" si="16"/>
        <v>0.27959772976202329</v>
      </c>
    </row>
    <row r="10" spans="1:173" ht="12.75" customHeight="1" x14ac:dyDescent="0.25">
      <c r="A10" s="61">
        <v>1</v>
      </c>
      <c r="B10" t="s">
        <v>228</v>
      </c>
      <c r="C10">
        <v>4038</v>
      </c>
      <c r="D10">
        <v>1830</v>
      </c>
      <c r="E10">
        <v>1720</v>
      </c>
      <c r="F10">
        <v>897</v>
      </c>
      <c r="H10">
        <v>92.3</v>
      </c>
      <c r="I10">
        <v>16.25</v>
      </c>
      <c r="K10">
        <v>1.7</v>
      </c>
      <c r="L10">
        <v>1.7</v>
      </c>
      <c r="M10">
        <v>10.1</v>
      </c>
      <c r="T10">
        <v>3.4</v>
      </c>
      <c r="U10">
        <v>42</v>
      </c>
      <c r="V10">
        <v>32.15</v>
      </c>
      <c r="W10">
        <v>8.3000000000000007</v>
      </c>
      <c r="X10">
        <v>3.4</v>
      </c>
      <c r="Y10" t="s">
        <v>157</v>
      </c>
      <c r="Z10" t="s">
        <v>157</v>
      </c>
      <c r="AB10">
        <v>60.85</v>
      </c>
      <c r="AC10">
        <v>45</v>
      </c>
      <c r="AD10" s="9">
        <v>38.783000000000001</v>
      </c>
      <c r="AF10">
        <v>0.71</v>
      </c>
      <c r="AG10">
        <v>0.37</v>
      </c>
      <c r="AH10">
        <v>0.68</v>
      </c>
      <c r="AI10">
        <v>1.21</v>
      </c>
      <c r="AJ10">
        <v>0.74</v>
      </c>
      <c r="AK10">
        <v>0.25</v>
      </c>
      <c r="AL10">
        <v>0.84</v>
      </c>
      <c r="AM10">
        <v>0.7</v>
      </c>
      <c r="AN10">
        <v>0.24</v>
      </c>
      <c r="AO10">
        <v>0.86</v>
      </c>
      <c r="AR10">
        <v>0.18</v>
      </c>
      <c r="AW10">
        <v>0.55000000000000004</v>
      </c>
      <c r="AY10" s="13">
        <v>62.083333333333336</v>
      </c>
      <c r="AZ10">
        <v>74</v>
      </c>
      <c r="BA10">
        <v>59</v>
      </c>
      <c r="BB10">
        <v>68</v>
      </c>
      <c r="BC10">
        <v>71</v>
      </c>
      <c r="BD10">
        <v>56</v>
      </c>
      <c r="BE10">
        <v>71</v>
      </c>
      <c r="BF10">
        <v>70</v>
      </c>
      <c r="BG10">
        <v>63</v>
      </c>
      <c r="BH10">
        <v>46</v>
      </c>
      <c r="BI10">
        <v>64</v>
      </c>
      <c r="BL10">
        <v>37</v>
      </c>
      <c r="BQ10">
        <v>66</v>
      </c>
      <c r="BS10">
        <v>1.1399999999999999</v>
      </c>
      <c r="BT10">
        <v>0.47</v>
      </c>
      <c r="BU10">
        <v>2.2999999999999998</v>
      </c>
      <c r="BV10">
        <v>0.23</v>
      </c>
      <c r="BW10">
        <v>0.09</v>
      </c>
      <c r="BX10">
        <v>0.3</v>
      </c>
      <c r="BY10">
        <v>0.28999999999999998</v>
      </c>
      <c r="CB10">
        <v>50</v>
      </c>
      <c r="CC10">
        <v>55</v>
      </c>
      <c r="CF10" s="2">
        <v>27.3825</v>
      </c>
      <c r="CH10" s="47">
        <v>6.3375000000000004</v>
      </c>
      <c r="CI10" s="47">
        <v>0.45439999999999997</v>
      </c>
      <c r="CJ10" s="47">
        <v>0.185</v>
      </c>
      <c r="CK10" s="47">
        <v>0.40120000000000006</v>
      </c>
      <c r="CL10" s="47">
        <v>0.76230000000000009</v>
      </c>
      <c r="CM10" s="47">
        <v>0.37</v>
      </c>
      <c r="CN10" s="47">
        <v>0.16</v>
      </c>
      <c r="CO10" s="47">
        <v>0.19600000000000001</v>
      </c>
      <c r="CP10" s="47">
        <v>0.52079999999999993</v>
      </c>
      <c r="CQ10" s="47">
        <v>0.84529999999999994</v>
      </c>
      <c r="CR10" s="47">
        <v>0.35699999999999998</v>
      </c>
      <c r="CS10" s="47">
        <v>9.3599999999999989E-2</v>
      </c>
      <c r="CT10" s="47">
        <v>0.47299999999999998</v>
      </c>
      <c r="CU10" s="47"/>
      <c r="CV10" s="47">
        <v>10.088541666666668</v>
      </c>
      <c r="CW10" s="47">
        <f t="shared" ref="CW10:DB10" si="17">AF10*AZ10/100</f>
        <v>0.52539999999999998</v>
      </c>
      <c r="CX10" s="47">
        <f t="shared" si="17"/>
        <v>0.21829999999999999</v>
      </c>
      <c r="CY10" s="47">
        <f t="shared" si="17"/>
        <v>0.46240000000000003</v>
      </c>
      <c r="CZ10" s="47">
        <f t="shared" si="17"/>
        <v>0.85909999999999997</v>
      </c>
      <c r="DA10" s="47">
        <f t="shared" si="17"/>
        <v>0.41439999999999999</v>
      </c>
      <c r="DB10" s="47">
        <f t="shared" si="17"/>
        <v>0.17749999999999999</v>
      </c>
      <c r="DC10" s="47">
        <f>(AK10*BE10+BL10*AR10)/100</f>
        <v>0.24410000000000001</v>
      </c>
      <c r="DD10" s="47">
        <f t="shared" si="12"/>
        <v>0.58799999999999997</v>
      </c>
      <c r="DE10" s="47">
        <f t="shared" si="5"/>
        <v>0.95100000000000007</v>
      </c>
      <c r="DF10" s="47">
        <f t="shared" si="13"/>
        <v>0.44099999999999995</v>
      </c>
      <c r="DG10" s="47">
        <f t="shared" si="14"/>
        <v>0.1104</v>
      </c>
      <c r="DH10" s="47">
        <f t="shared" si="15"/>
        <v>0.5504</v>
      </c>
      <c r="DI10" s="47"/>
      <c r="DJ10" s="47"/>
      <c r="DK10" s="47"/>
      <c r="DL10" s="47"/>
      <c r="DM10" s="47"/>
      <c r="DN10" s="47"/>
      <c r="DO10" s="47"/>
      <c r="DP10" s="47"/>
      <c r="DQ10">
        <f t="shared" ref="DQ10:DQ73" si="18">CB10*BX10/100</f>
        <v>0.15</v>
      </c>
      <c r="DR10">
        <f t="shared" ref="DR10:DR73" si="19">CC10*BX10/100</f>
        <v>0.16500000000000001</v>
      </c>
      <c r="DS10">
        <f>BS10*CD10/100</f>
        <v>0</v>
      </c>
      <c r="DT10">
        <f>BS10*CE10/100</f>
        <v>0</v>
      </c>
      <c r="DV10" s="264"/>
      <c r="DW10" s="111">
        <f>DX10*2000</f>
        <v>160</v>
      </c>
      <c r="DX10" s="265">
        <v>0.08</v>
      </c>
      <c r="DY10" s="266">
        <v>860</v>
      </c>
      <c r="DZ10" s="266">
        <v>1027</v>
      </c>
      <c r="EA10" s="267">
        <v>1</v>
      </c>
      <c r="EB10" s="268">
        <f t="shared" ref="EB10:EB16" si="20">BX10*EA10</f>
        <v>0.3</v>
      </c>
      <c r="EC10" s="105">
        <v>0.35</v>
      </c>
      <c r="ED10" s="87">
        <v>0</v>
      </c>
      <c r="EE10" s="92">
        <v>0</v>
      </c>
      <c r="EF10" s="92"/>
      <c r="EG10" s="204">
        <v>0.01</v>
      </c>
      <c r="EH10" s="107">
        <f>125*K10/10</f>
        <v>21.25</v>
      </c>
      <c r="EI10" s="269">
        <f>IF(AR10="","",AR10*BL10)</f>
        <v>6.66</v>
      </c>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270">
        <f t="shared" ref="FM10:FM73" si="21">DH10/CZ10</f>
        <v>0.64067046909556513</v>
      </c>
      <c r="FN10" s="270">
        <f t="shared" ref="FN10:FN73" si="22">CY10/CZ10</f>
        <v>0.53823769060644866</v>
      </c>
      <c r="FO10" s="66">
        <f t="shared" ref="FO10:FO73" si="23">DH10/CY10</f>
        <v>1.1903114186851209</v>
      </c>
      <c r="FP10" s="66">
        <f t="shared" ref="FP10:FP73" si="24">DG10/CZ10</f>
        <v>0.12850657664998255</v>
      </c>
      <c r="FQ10" s="83">
        <f t="shared" ref="FQ10:FQ73" si="25">CZ10/I10</f>
        <v>5.2867692307692303E-2</v>
      </c>
    </row>
    <row r="11" spans="1:173" ht="12.75" customHeight="1" x14ac:dyDescent="0.25">
      <c r="A11" s="61">
        <v>2</v>
      </c>
      <c r="B11" t="s">
        <v>229</v>
      </c>
      <c r="C11">
        <v>4558</v>
      </c>
      <c r="D11">
        <v>3940</v>
      </c>
      <c r="E11">
        <v>3856</v>
      </c>
      <c r="F11">
        <v>2981</v>
      </c>
      <c r="H11">
        <v>90.8</v>
      </c>
      <c r="I11">
        <v>12.3</v>
      </c>
      <c r="K11">
        <v>8.0500000000000007</v>
      </c>
      <c r="M11">
        <v>2.9</v>
      </c>
      <c r="T11">
        <v>52.8</v>
      </c>
      <c r="U11">
        <v>2</v>
      </c>
      <c r="V11">
        <v>5.51</v>
      </c>
      <c r="AB11">
        <v>14.75</v>
      </c>
      <c r="AC11">
        <v>53</v>
      </c>
      <c r="AD11" s="9">
        <v>42.506500000000003</v>
      </c>
      <c r="AF11">
        <v>0.57999999999999996</v>
      </c>
      <c r="AG11">
        <v>0.22</v>
      </c>
      <c r="AH11">
        <v>0.51</v>
      </c>
      <c r="AI11">
        <v>0.88</v>
      </c>
      <c r="AJ11">
        <v>0.41</v>
      </c>
      <c r="AK11">
        <v>0.19</v>
      </c>
      <c r="AL11">
        <v>0.5</v>
      </c>
      <c r="AM11">
        <v>0.42</v>
      </c>
      <c r="AN11">
        <v>0.15</v>
      </c>
      <c r="AO11">
        <v>0.53</v>
      </c>
      <c r="AR11">
        <v>0.18</v>
      </c>
      <c r="AW11">
        <v>0.55000000000000004</v>
      </c>
      <c r="AY11" s="13">
        <v>86.875</v>
      </c>
      <c r="BB11">
        <v>94</v>
      </c>
      <c r="BC11">
        <v>90</v>
      </c>
      <c r="BD11">
        <v>77</v>
      </c>
      <c r="BE11">
        <v>90</v>
      </c>
      <c r="BG11">
        <v>69</v>
      </c>
      <c r="BH11">
        <v>91</v>
      </c>
      <c r="BI11">
        <v>93</v>
      </c>
      <c r="BL11">
        <v>91</v>
      </c>
      <c r="BS11">
        <v>0.13</v>
      </c>
      <c r="BT11">
        <v>1.48</v>
      </c>
      <c r="BU11">
        <v>0.39</v>
      </c>
      <c r="BV11">
        <v>0.24</v>
      </c>
      <c r="BW11">
        <v>1.1399999999999999</v>
      </c>
      <c r="BX11">
        <v>0.25</v>
      </c>
      <c r="BY11">
        <v>0.02</v>
      </c>
      <c r="CB11">
        <v>55</v>
      </c>
      <c r="CC11">
        <v>59</v>
      </c>
      <c r="CF11" s="2">
        <v>7.8174999999999999</v>
      </c>
      <c r="CH11" s="47">
        <v>0</v>
      </c>
      <c r="CI11" s="47">
        <v>0</v>
      </c>
      <c r="CJ11" s="47">
        <v>0</v>
      </c>
      <c r="CK11" s="47">
        <v>0</v>
      </c>
      <c r="CL11" s="47">
        <v>0</v>
      </c>
      <c r="CM11" s="47">
        <v>0</v>
      </c>
      <c r="CN11" s="47">
        <v>0</v>
      </c>
      <c r="CO11" s="47">
        <v>0</v>
      </c>
      <c r="CP11" s="47">
        <v>0</v>
      </c>
      <c r="CQ11" s="47">
        <v>0</v>
      </c>
      <c r="CR11" s="47">
        <v>0</v>
      </c>
      <c r="CS11" s="47">
        <v>0</v>
      </c>
      <c r="CT11" s="47">
        <v>0</v>
      </c>
      <c r="CU11" s="47"/>
      <c r="CV11" s="47">
        <v>10.685625</v>
      </c>
      <c r="CW11" s="47">
        <f t="shared" ref="CW11:CW37" si="26">AF11*AZ11/100</f>
        <v>0</v>
      </c>
      <c r="CX11" s="47">
        <f t="shared" ref="CX11:CX37" si="27">AG11*BA11/100</f>
        <v>0</v>
      </c>
      <c r="CY11" s="47">
        <f t="shared" ref="CY11:CY37" si="28">AH11*BB11/100</f>
        <v>0.47939999999999999</v>
      </c>
      <c r="CZ11" s="47">
        <f t="shared" ref="CZ11:CZ37" si="29">AI11*BC11/100</f>
        <v>0.79200000000000004</v>
      </c>
      <c r="DA11" s="47">
        <f t="shared" ref="DA11:DA37" si="30">AJ11*BD11/100</f>
        <v>0.31569999999999998</v>
      </c>
      <c r="DB11" s="47">
        <f t="shared" ref="DB11:DB37" si="31">AK11*BE11/100</f>
        <v>0.17100000000000001</v>
      </c>
      <c r="DC11" s="47">
        <f t="shared" ref="DC11:DC74" si="32">(AK11*BE11+BL11*AR11)/100</f>
        <v>0.33480000000000004</v>
      </c>
      <c r="DD11" s="47">
        <f t="shared" si="12"/>
        <v>0</v>
      </c>
      <c r="DE11" s="47">
        <f t="shared" si="5"/>
        <v>0</v>
      </c>
      <c r="DF11" s="47">
        <f t="shared" si="13"/>
        <v>0.2898</v>
      </c>
      <c r="DG11" s="47">
        <f t="shared" si="14"/>
        <v>0.13650000000000001</v>
      </c>
      <c r="DH11" s="47">
        <f t="shared" si="15"/>
        <v>0.4929</v>
      </c>
      <c r="DI11" s="47"/>
      <c r="DJ11" s="47"/>
      <c r="DK11" s="47"/>
      <c r="DL11" s="47"/>
      <c r="DM11" s="47"/>
      <c r="DN11" s="47"/>
      <c r="DO11" s="47"/>
      <c r="DP11" s="47"/>
      <c r="DQ11">
        <f t="shared" si="18"/>
        <v>0.13750000000000001</v>
      </c>
      <c r="DR11">
        <f t="shared" si="19"/>
        <v>0.14749999999999999</v>
      </c>
      <c r="DS11">
        <f t="shared" ref="DS11:DS74" si="33">BS11*CD11/100</f>
        <v>0</v>
      </c>
      <c r="DT11">
        <f t="shared" ref="DT11:DT74" si="34">BS11*CE11/100</f>
        <v>0</v>
      </c>
      <c r="DV11" s="110"/>
      <c r="DW11" s="111">
        <f>DX11*2000</f>
        <v>100</v>
      </c>
      <c r="DX11" s="112">
        <v>0.05</v>
      </c>
      <c r="DY11" s="94"/>
      <c r="DZ11" s="94"/>
      <c r="EA11" s="122">
        <v>0.2</v>
      </c>
      <c r="EB11" s="113">
        <f t="shared" si="20"/>
        <v>0.05</v>
      </c>
      <c r="EC11" s="6">
        <v>5.7</v>
      </c>
      <c r="ED11" s="92">
        <v>0</v>
      </c>
      <c r="EE11" s="92">
        <v>0</v>
      </c>
      <c r="EF11" s="92"/>
      <c r="EG11" s="204">
        <v>0.18</v>
      </c>
      <c r="EH11" s="107">
        <f>125*K11/10</f>
        <v>100.62500000000001</v>
      </c>
      <c r="EI11" s="82">
        <f>IF(AR11="","",AR11*BL11)</f>
        <v>16.38</v>
      </c>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80">
        <f t="shared" si="21"/>
        <v>0.62234848484848482</v>
      </c>
      <c r="FN11" s="80">
        <f t="shared" si="22"/>
        <v>0.60530303030303023</v>
      </c>
      <c r="FO11" s="115">
        <f t="shared" si="23"/>
        <v>1.028160200250313</v>
      </c>
      <c r="FP11" s="115">
        <f t="shared" si="24"/>
        <v>0.17234848484848486</v>
      </c>
      <c r="FQ11" s="116">
        <f t="shared" si="25"/>
        <v>6.4390243902439026E-2</v>
      </c>
    </row>
    <row r="12" spans="1:173" ht="12.75" customHeight="1" x14ac:dyDescent="0.25">
      <c r="A12" s="61">
        <v>3</v>
      </c>
      <c r="B12" t="s">
        <v>2</v>
      </c>
      <c r="C12">
        <v>3939</v>
      </c>
      <c r="D12">
        <v>3150</v>
      </c>
      <c r="E12">
        <v>3073</v>
      </c>
      <c r="F12">
        <v>2327</v>
      </c>
      <c r="H12">
        <v>89.9</v>
      </c>
      <c r="I12">
        <v>11.33</v>
      </c>
      <c r="J12">
        <v>3.9</v>
      </c>
      <c r="K12">
        <v>2.11</v>
      </c>
      <c r="L12">
        <v>2.1</v>
      </c>
      <c r="M12">
        <v>2.38</v>
      </c>
      <c r="T12">
        <v>50.21</v>
      </c>
      <c r="U12">
        <v>18.29</v>
      </c>
      <c r="V12">
        <v>5.78</v>
      </c>
      <c r="W12">
        <v>2.2799999999999998</v>
      </c>
      <c r="X12">
        <v>15.35</v>
      </c>
      <c r="AB12">
        <v>23.870000000000012</v>
      </c>
      <c r="AC12">
        <v>45</v>
      </c>
      <c r="AD12" s="9">
        <v>40.442400000000006</v>
      </c>
      <c r="AF12">
        <v>0.53</v>
      </c>
      <c r="AG12">
        <v>0.27</v>
      </c>
      <c r="AH12">
        <v>0.37</v>
      </c>
      <c r="AI12">
        <v>0.72</v>
      </c>
      <c r="AJ12">
        <v>0.4</v>
      </c>
      <c r="AK12">
        <v>0.2</v>
      </c>
      <c r="AL12">
        <v>0.53</v>
      </c>
      <c r="AM12">
        <v>0.36</v>
      </c>
      <c r="AN12">
        <v>0.13</v>
      </c>
      <c r="AO12">
        <v>0.52</v>
      </c>
      <c r="AR12">
        <v>0.26</v>
      </c>
      <c r="AW12">
        <v>0.28000000000000003</v>
      </c>
      <c r="AY12">
        <v>79</v>
      </c>
      <c r="AZ12">
        <v>85</v>
      </c>
      <c r="BA12">
        <v>81</v>
      </c>
      <c r="BB12">
        <v>79</v>
      </c>
      <c r="BC12">
        <v>81</v>
      </c>
      <c r="BD12">
        <v>75</v>
      </c>
      <c r="BE12">
        <v>82</v>
      </c>
      <c r="BF12">
        <v>81</v>
      </c>
      <c r="BG12">
        <v>76</v>
      </c>
      <c r="BH12">
        <v>82</v>
      </c>
      <c r="BI12">
        <v>80</v>
      </c>
      <c r="BL12">
        <v>81</v>
      </c>
      <c r="BQ12">
        <v>78</v>
      </c>
      <c r="BS12">
        <v>0.06</v>
      </c>
      <c r="BT12">
        <v>0.12</v>
      </c>
      <c r="BU12">
        <v>0.38</v>
      </c>
      <c r="BV12">
        <v>0.14000000000000001</v>
      </c>
      <c r="BW12">
        <v>0.02</v>
      </c>
      <c r="BX12">
        <v>0.35</v>
      </c>
      <c r="BY12">
        <v>0.13</v>
      </c>
      <c r="CA12">
        <v>0.22</v>
      </c>
      <c r="CB12">
        <v>39</v>
      </c>
      <c r="CC12">
        <v>45</v>
      </c>
      <c r="CF12" s="2">
        <v>10.741500000000006</v>
      </c>
      <c r="CH12" s="47">
        <v>7.4777999999999993</v>
      </c>
      <c r="CI12" s="47">
        <v>0.39750000000000002</v>
      </c>
      <c r="CJ12" s="47">
        <v>0.1971</v>
      </c>
      <c r="CK12" s="47">
        <v>0.26640000000000003</v>
      </c>
      <c r="CL12" s="47">
        <v>0.53280000000000005</v>
      </c>
      <c r="CM12" s="47">
        <v>0.26400000000000001</v>
      </c>
      <c r="CN12" s="47">
        <v>0.15200000000000002</v>
      </c>
      <c r="CO12" s="47">
        <v>0.34179999999999999</v>
      </c>
      <c r="CP12" s="47">
        <v>0.40279999999999999</v>
      </c>
      <c r="CQ12" s="47">
        <v>0.59319999999999995</v>
      </c>
      <c r="CR12" s="47">
        <v>0.21599999999999997</v>
      </c>
      <c r="CS12" s="47">
        <v>9.4899999999999998E-2</v>
      </c>
      <c r="CT12" s="47">
        <v>0.36920000000000003</v>
      </c>
      <c r="CU12" s="47"/>
      <c r="CV12" s="47">
        <v>8.9507000000000012</v>
      </c>
      <c r="CW12" s="47">
        <f t="shared" si="26"/>
        <v>0.45050000000000007</v>
      </c>
      <c r="CX12" s="47">
        <f t="shared" si="27"/>
        <v>0.21870000000000001</v>
      </c>
      <c r="CY12" s="47">
        <f t="shared" si="28"/>
        <v>0.2923</v>
      </c>
      <c r="CZ12" s="47">
        <f t="shared" si="29"/>
        <v>0.58320000000000005</v>
      </c>
      <c r="DA12" s="47">
        <f t="shared" si="30"/>
        <v>0.3</v>
      </c>
      <c r="DB12" s="47">
        <f t="shared" si="31"/>
        <v>0.16400000000000003</v>
      </c>
      <c r="DC12" s="47">
        <f t="shared" si="32"/>
        <v>0.3746000000000001</v>
      </c>
      <c r="DD12" s="47">
        <f t="shared" si="12"/>
        <v>0.42930000000000001</v>
      </c>
      <c r="DE12" s="47">
        <f t="shared" si="5"/>
        <v>0.64770000000000005</v>
      </c>
      <c r="DF12" s="47">
        <f t="shared" si="13"/>
        <v>0.27360000000000001</v>
      </c>
      <c r="DG12" s="47">
        <f t="shared" si="14"/>
        <v>0.1066</v>
      </c>
      <c r="DH12" s="47">
        <f t="shared" si="15"/>
        <v>0.41600000000000004</v>
      </c>
      <c r="DI12" s="47"/>
      <c r="DJ12" s="47"/>
      <c r="DK12" s="47"/>
      <c r="DL12" s="47"/>
      <c r="DM12" s="47"/>
      <c r="DN12" s="47"/>
      <c r="DO12" s="47"/>
      <c r="DP12" s="47"/>
      <c r="DQ12">
        <f t="shared" si="18"/>
        <v>0.13649999999999998</v>
      </c>
      <c r="DR12">
        <f t="shared" si="19"/>
        <v>0.15749999999999997</v>
      </c>
      <c r="DS12">
        <f t="shared" si="33"/>
        <v>0</v>
      </c>
      <c r="DT12">
        <f t="shared" si="34"/>
        <v>0</v>
      </c>
      <c r="DV12" s="110"/>
      <c r="DW12" s="111">
        <f t="shared" ref="DW12:DW75" si="35">DX12*2000</f>
        <v>85.714285714285708</v>
      </c>
      <c r="DX12" s="112">
        <f>1.8/42</f>
        <v>4.2857142857142858E-2</v>
      </c>
      <c r="DY12" s="94">
        <v>2280</v>
      </c>
      <c r="DZ12" s="94">
        <v>2320</v>
      </c>
      <c r="EA12" s="81">
        <v>0.3</v>
      </c>
      <c r="EB12" s="113">
        <f t="shared" si="20"/>
        <v>0.105</v>
      </c>
      <c r="EC12" s="6">
        <v>0.91</v>
      </c>
      <c r="ED12" s="92">
        <v>0</v>
      </c>
      <c r="EE12" s="92">
        <v>0</v>
      </c>
      <c r="EF12" s="92"/>
      <c r="EG12" s="204">
        <v>0.2</v>
      </c>
      <c r="EH12" s="107">
        <f>100*K12/10</f>
        <v>21.1</v>
      </c>
      <c r="EI12" s="82">
        <f>IF(AR12="","",AR12*BL12)</f>
        <v>21.060000000000002</v>
      </c>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v>54.7</v>
      </c>
      <c r="FJ12" s="6">
        <v>5.5</v>
      </c>
      <c r="FK12" s="7">
        <f>SUM(FI12:FJ12)/100*K12</f>
        <v>1.2702199999999999</v>
      </c>
      <c r="FL12" s="6"/>
      <c r="FM12" s="80">
        <f t="shared" si="21"/>
        <v>0.71330589849108372</v>
      </c>
      <c r="FN12" s="80">
        <f t="shared" si="22"/>
        <v>0.50120027434842251</v>
      </c>
      <c r="FO12" s="115">
        <f t="shared" si="23"/>
        <v>1.4231953472459802</v>
      </c>
      <c r="FP12" s="115">
        <f t="shared" si="24"/>
        <v>0.18278463648834017</v>
      </c>
      <c r="FQ12" s="116">
        <f t="shared" si="25"/>
        <v>5.1473962930273613E-2</v>
      </c>
    </row>
    <row r="13" spans="1:173" ht="12.75" customHeight="1" x14ac:dyDescent="0.25">
      <c r="A13" s="61">
        <v>4</v>
      </c>
      <c r="B13" t="s">
        <v>230</v>
      </c>
      <c r="C13">
        <v>3959</v>
      </c>
      <c r="D13">
        <v>3266</v>
      </c>
      <c r="E13">
        <v>3179</v>
      </c>
      <c r="F13">
        <v>2464</v>
      </c>
      <c r="H13">
        <v>89.58</v>
      </c>
      <c r="I13">
        <v>12.77</v>
      </c>
      <c r="J13">
        <v>1.1000000000000001</v>
      </c>
      <c r="K13">
        <v>3.17</v>
      </c>
      <c r="M13">
        <v>1.94</v>
      </c>
      <c r="T13">
        <v>54.56</v>
      </c>
      <c r="U13">
        <v>12.55</v>
      </c>
      <c r="V13">
        <v>2.1800000000000002</v>
      </c>
      <c r="AB13">
        <v>17.14</v>
      </c>
      <c r="AC13">
        <v>45</v>
      </c>
      <c r="AD13" s="9">
        <v>40.896700000000003</v>
      </c>
      <c r="AF13">
        <v>0.68</v>
      </c>
      <c r="AG13">
        <v>0.4</v>
      </c>
      <c r="AH13">
        <v>0.35</v>
      </c>
      <c r="AI13">
        <v>0.74</v>
      </c>
      <c r="AJ13">
        <v>0.51</v>
      </c>
      <c r="AK13">
        <v>0.2</v>
      </c>
      <c r="AL13">
        <v>0.54</v>
      </c>
      <c r="AM13">
        <v>0.37</v>
      </c>
      <c r="AN13">
        <v>0.13</v>
      </c>
      <c r="AO13">
        <v>0.55000000000000004</v>
      </c>
      <c r="AR13">
        <v>0.23</v>
      </c>
      <c r="AW13">
        <v>0.25</v>
      </c>
      <c r="AY13">
        <v>69</v>
      </c>
      <c r="AZ13">
        <v>77</v>
      </c>
      <c r="BA13">
        <v>77</v>
      </c>
      <c r="BB13">
        <v>75</v>
      </c>
      <c r="BC13">
        <v>75</v>
      </c>
      <c r="BD13">
        <v>65</v>
      </c>
      <c r="BE13">
        <v>73</v>
      </c>
      <c r="BF13">
        <v>75</v>
      </c>
      <c r="BG13">
        <v>70</v>
      </c>
      <c r="BI13">
        <v>75</v>
      </c>
      <c r="BL13">
        <v>72</v>
      </c>
      <c r="BQ13">
        <v>74</v>
      </c>
      <c r="BS13">
        <v>0.06</v>
      </c>
      <c r="BT13">
        <v>0.1</v>
      </c>
      <c r="BU13">
        <v>0.44</v>
      </c>
      <c r="BV13">
        <v>0.12</v>
      </c>
      <c r="BW13">
        <v>0.02</v>
      </c>
      <c r="BX13">
        <v>0.36</v>
      </c>
      <c r="CA13">
        <v>0.26</v>
      </c>
      <c r="CB13">
        <v>31</v>
      </c>
      <c r="CC13">
        <v>36</v>
      </c>
      <c r="CF13" s="2">
        <v>7.713000000000001</v>
      </c>
      <c r="CH13" s="47">
        <v>8.0450999999999997</v>
      </c>
      <c r="CI13" s="47">
        <v>0.46240000000000003</v>
      </c>
      <c r="CJ13" s="47">
        <v>0.28400000000000003</v>
      </c>
      <c r="CK13" s="47">
        <v>0.22750000000000001</v>
      </c>
      <c r="CL13" s="47">
        <v>0.50319999999999998</v>
      </c>
      <c r="CM13" s="47">
        <v>0.28560000000000002</v>
      </c>
      <c r="CN13" s="47">
        <v>0.13600000000000001</v>
      </c>
      <c r="CO13" s="47">
        <v>0.28320000000000001</v>
      </c>
      <c r="CP13" s="47">
        <v>0.37800000000000006</v>
      </c>
      <c r="CQ13" s="47">
        <v>0.54050000000000009</v>
      </c>
      <c r="CR13" s="47">
        <v>0.2072</v>
      </c>
      <c r="CS13" s="47">
        <v>0</v>
      </c>
      <c r="CT13" s="47">
        <v>0.36300000000000004</v>
      </c>
      <c r="CU13" s="47"/>
      <c r="CV13" s="47">
        <v>8.8112999999999992</v>
      </c>
      <c r="CW13" s="47">
        <f t="shared" si="26"/>
        <v>0.52360000000000007</v>
      </c>
      <c r="CX13" s="47">
        <f t="shared" si="27"/>
        <v>0.308</v>
      </c>
      <c r="CY13" s="47">
        <f t="shared" si="28"/>
        <v>0.26250000000000001</v>
      </c>
      <c r="CZ13" s="47">
        <f t="shared" si="29"/>
        <v>0.55500000000000005</v>
      </c>
      <c r="DA13" s="47">
        <f t="shared" si="30"/>
        <v>0.33149999999999996</v>
      </c>
      <c r="DB13" s="47">
        <f t="shared" si="31"/>
        <v>0.14600000000000002</v>
      </c>
      <c r="DC13" s="47">
        <f t="shared" si="32"/>
        <v>0.31160000000000004</v>
      </c>
      <c r="DD13" s="47">
        <f t="shared" si="12"/>
        <v>0.40500000000000003</v>
      </c>
      <c r="DE13" s="47">
        <f t="shared" si="5"/>
        <v>0.59000000000000008</v>
      </c>
      <c r="DF13" s="47">
        <f t="shared" si="13"/>
        <v>0.25900000000000001</v>
      </c>
      <c r="DG13" s="47">
        <f t="shared" si="14"/>
        <v>0</v>
      </c>
      <c r="DH13" s="47">
        <f t="shared" si="15"/>
        <v>0.41249999999999998</v>
      </c>
      <c r="DI13" s="47"/>
      <c r="DJ13" s="47"/>
      <c r="DK13" s="47"/>
      <c r="DL13" s="47"/>
      <c r="DM13" s="47"/>
      <c r="DN13" s="47"/>
      <c r="DO13" s="47"/>
      <c r="DP13" s="47"/>
      <c r="DQ13">
        <f t="shared" si="18"/>
        <v>0.1116</v>
      </c>
      <c r="DR13">
        <f t="shared" si="19"/>
        <v>0.12959999999999999</v>
      </c>
      <c r="DS13">
        <f t="shared" si="33"/>
        <v>0</v>
      </c>
      <c r="DT13">
        <f t="shared" si="34"/>
        <v>0</v>
      </c>
      <c r="DV13" s="110"/>
      <c r="DW13" s="111">
        <f t="shared" si="35"/>
        <v>0</v>
      </c>
      <c r="DX13" s="112"/>
      <c r="DY13" s="271"/>
      <c r="DZ13" s="271"/>
      <c r="EA13" s="81"/>
      <c r="EB13" s="113">
        <f t="shared" si="20"/>
        <v>0</v>
      </c>
      <c r="EC13" s="52"/>
      <c r="ED13" s="92"/>
      <c r="EE13" s="92"/>
      <c r="EF13" s="92"/>
      <c r="EG13" s="204">
        <v>0.26</v>
      </c>
      <c r="EH13" s="52"/>
      <c r="EI13" s="82"/>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v>54.7</v>
      </c>
      <c r="FJ13" s="6">
        <v>5.5</v>
      </c>
      <c r="FK13" s="7">
        <f>SUM(FI13:FJ13)/100*K13</f>
        <v>1.9083399999999999</v>
      </c>
      <c r="FL13" s="6"/>
      <c r="FM13" s="80">
        <f t="shared" si="21"/>
        <v>0.74324324324324309</v>
      </c>
      <c r="FN13" s="80">
        <f t="shared" si="22"/>
        <v>0.47297297297297297</v>
      </c>
      <c r="FO13" s="115">
        <f t="shared" si="23"/>
        <v>1.5714285714285712</v>
      </c>
      <c r="FP13" s="115">
        <f t="shared" si="24"/>
        <v>0</v>
      </c>
      <c r="FQ13" s="116">
        <f t="shared" si="25"/>
        <v>4.3461237274862966E-2</v>
      </c>
    </row>
    <row r="14" spans="1:173" x14ac:dyDescent="0.25">
      <c r="A14" s="61">
        <v>5</v>
      </c>
      <c r="B14" t="s">
        <v>231</v>
      </c>
      <c r="C14">
        <v>4473</v>
      </c>
      <c r="D14">
        <v>3245</v>
      </c>
      <c r="E14">
        <v>3060</v>
      </c>
      <c r="F14">
        <v>2143</v>
      </c>
      <c r="H14">
        <v>88.12</v>
      </c>
      <c r="I14">
        <v>27.16</v>
      </c>
      <c r="J14">
        <v>8.5500000000000007</v>
      </c>
      <c r="K14">
        <v>1.3</v>
      </c>
      <c r="M14">
        <v>3.43</v>
      </c>
      <c r="N14">
        <v>0</v>
      </c>
      <c r="O14">
        <v>0</v>
      </c>
      <c r="P14">
        <v>0</v>
      </c>
      <c r="Q14">
        <v>0</v>
      </c>
      <c r="R14">
        <v>0</v>
      </c>
      <c r="T14">
        <v>39.22</v>
      </c>
      <c r="U14">
        <v>13.29</v>
      </c>
      <c r="V14">
        <v>10.33</v>
      </c>
      <c r="W14">
        <v>0.48</v>
      </c>
      <c r="AB14">
        <v>17.010000000000012</v>
      </c>
      <c r="AC14">
        <v>60</v>
      </c>
      <c r="AD14" s="9">
        <v>40.294100000000007</v>
      </c>
      <c r="AF14">
        <v>2.4300000000000002</v>
      </c>
      <c r="AG14">
        <v>0.72</v>
      </c>
      <c r="AH14">
        <v>1.1299999999999999</v>
      </c>
      <c r="AI14">
        <v>1.94</v>
      </c>
      <c r="AJ14">
        <v>1.65</v>
      </c>
      <c r="AK14">
        <v>0.19</v>
      </c>
      <c r="AL14">
        <v>1.19</v>
      </c>
      <c r="AM14">
        <v>0.91</v>
      </c>
      <c r="AN14">
        <v>0.22</v>
      </c>
      <c r="AO14">
        <v>1.22</v>
      </c>
      <c r="AR14">
        <v>0.34</v>
      </c>
      <c r="AW14">
        <v>0.84</v>
      </c>
      <c r="AY14">
        <v>79</v>
      </c>
      <c r="AZ14">
        <v>90</v>
      </c>
      <c r="BA14">
        <v>79</v>
      </c>
      <c r="BB14">
        <v>81</v>
      </c>
      <c r="BC14">
        <v>82</v>
      </c>
      <c r="BD14">
        <v>85</v>
      </c>
      <c r="BE14">
        <v>73</v>
      </c>
      <c r="BF14">
        <v>80</v>
      </c>
      <c r="BG14">
        <v>78</v>
      </c>
      <c r="BH14">
        <v>64</v>
      </c>
      <c r="BI14">
        <v>78</v>
      </c>
      <c r="BL14">
        <v>62</v>
      </c>
      <c r="BQ14">
        <v>82</v>
      </c>
      <c r="BS14">
        <v>0.14000000000000001</v>
      </c>
      <c r="BT14">
        <v>7.0000000000000007E-2</v>
      </c>
      <c r="BU14">
        <v>1.2</v>
      </c>
      <c r="BV14">
        <v>0.15</v>
      </c>
      <c r="BW14">
        <v>0.03</v>
      </c>
      <c r="BX14">
        <v>0.42</v>
      </c>
      <c r="BY14">
        <v>0.28999999999999998</v>
      </c>
      <c r="CA14">
        <v>0.23</v>
      </c>
      <c r="CB14">
        <v>32</v>
      </c>
      <c r="CC14">
        <v>36</v>
      </c>
      <c r="CF14" s="2">
        <v>10.206000000000007</v>
      </c>
      <c r="CH14" s="47">
        <v>19.826800000000002</v>
      </c>
      <c r="CI14" s="47">
        <v>2.1383999999999999</v>
      </c>
      <c r="CJ14" s="47">
        <v>0.54720000000000002</v>
      </c>
      <c r="CK14" s="47">
        <v>0.87009999999999987</v>
      </c>
      <c r="CL14" s="47">
        <v>1.5326</v>
      </c>
      <c r="CM14" s="47">
        <v>1.3529999999999998</v>
      </c>
      <c r="CN14" s="47">
        <v>0.1235</v>
      </c>
      <c r="CO14" s="47">
        <v>0.31390000000000001</v>
      </c>
      <c r="CP14" s="47">
        <v>0.9163</v>
      </c>
      <c r="CQ14" s="47">
        <v>1.5379</v>
      </c>
      <c r="CR14" s="47">
        <v>0.63700000000000001</v>
      </c>
      <c r="CS14" s="47">
        <v>0.13419999999999999</v>
      </c>
      <c r="CT14" s="47">
        <v>0.89060000000000006</v>
      </c>
      <c r="CU14" s="47"/>
      <c r="CV14" s="47">
        <v>21.456399999999999</v>
      </c>
      <c r="CW14" s="47">
        <f t="shared" si="26"/>
        <v>2.1870000000000003</v>
      </c>
      <c r="CX14" s="47">
        <f t="shared" si="27"/>
        <v>0.56879999999999997</v>
      </c>
      <c r="CY14" s="47">
        <f t="shared" si="28"/>
        <v>0.91529999999999989</v>
      </c>
      <c r="CZ14" s="47">
        <f t="shared" si="29"/>
        <v>1.5907999999999998</v>
      </c>
      <c r="DA14" s="47">
        <f t="shared" si="30"/>
        <v>1.4025000000000001</v>
      </c>
      <c r="DB14" s="47">
        <f t="shared" si="31"/>
        <v>0.13870000000000002</v>
      </c>
      <c r="DC14" s="47">
        <f t="shared" si="32"/>
        <v>0.34950000000000003</v>
      </c>
      <c r="DD14" s="47">
        <f t="shared" si="12"/>
        <v>0.95199999999999985</v>
      </c>
      <c r="DE14" s="47">
        <f t="shared" si="5"/>
        <v>1.6407999999999998</v>
      </c>
      <c r="DF14" s="47">
        <f t="shared" si="13"/>
        <v>0.70979999999999999</v>
      </c>
      <c r="DG14" s="47">
        <f t="shared" si="14"/>
        <v>0.14080000000000001</v>
      </c>
      <c r="DH14" s="47">
        <f t="shared" si="15"/>
        <v>0.9516</v>
      </c>
      <c r="DI14" s="47"/>
      <c r="DJ14" s="47"/>
      <c r="DK14" s="47"/>
      <c r="DL14" s="47"/>
      <c r="DM14" s="47"/>
      <c r="DN14" s="47"/>
      <c r="DO14" s="47"/>
      <c r="DP14" s="47"/>
      <c r="DQ14">
        <f t="shared" si="18"/>
        <v>0.13439999999999999</v>
      </c>
      <c r="DR14">
        <f t="shared" si="19"/>
        <v>0.1512</v>
      </c>
      <c r="DS14">
        <f t="shared" si="33"/>
        <v>0</v>
      </c>
      <c r="DT14">
        <f t="shared" si="34"/>
        <v>0</v>
      </c>
      <c r="DV14" s="110"/>
      <c r="DW14" s="111">
        <f t="shared" si="35"/>
        <v>0</v>
      </c>
      <c r="DX14" s="112"/>
      <c r="DY14" s="94"/>
      <c r="DZ14" s="94"/>
      <c r="EA14" s="272"/>
      <c r="EB14" s="113">
        <f t="shared" si="20"/>
        <v>0</v>
      </c>
      <c r="EC14" s="6"/>
      <c r="ED14" s="92"/>
      <c r="EE14" s="92"/>
      <c r="EF14" s="92"/>
      <c r="EG14" s="204">
        <v>0.23</v>
      </c>
      <c r="EH14" s="118"/>
      <c r="EI14" s="82"/>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80">
        <f t="shared" si="21"/>
        <v>0.59818959014332418</v>
      </c>
      <c r="FN14" s="80">
        <f t="shared" si="22"/>
        <v>0.57537088257480518</v>
      </c>
      <c r="FO14" s="115">
        <f t="shared" si="23"/>
        <v>1.0396591281547034</v>
      </c>
      <c r="FP14" s="115">
        <f t="shared" si="24"/>
        <v>8.8508926326376677E-2</v>
      </c>
      <c r="FQ14" s="116">
        <f t="shared" si="25"/>
        <v>5.8571428571428566E-2</v>
      </c>
    </row>
    <row r="15" spans="1:173" x14ac:dyDescent="0.25">
      <c r="A15" s="61">
        <v>6</v>
      </c>
      <c r="B15" t="s">
        <v>232</v>
      </c>
      <c r="C15">
        <v>5330</v>
      </c>
      <c r="D15">
        <v>4376</v>
      </c>
      <c r="E15">
        <v>3773</v>
      </c>
      <c r="F15">
        <v>2279</v>
      </c>
      <c r="H15">
        <v>93.23</v>
      </c>
      <c r="I15">
        <v>88.65</v>
      </c>
      <c r="K15">
        <v>1.45</v>
      </c>
      <c r="L15">
        <v>2</v>
      </c>
      <c r="M15">
        <v>5.82</v>
      </c>
      <c r="T15">
        <v>0</v>
      </c>
      <c r="V15">
        <v>0</v>
      </c>
      <c r="AB15">
        <v>0</v>
      </c>
      <c r="AC15">
        <v>0</v>
      </c>
      <c r="AD15" s="9">
        <v>48.086500000000001</v>
      </c>
      <c r="AF15">
        <v>3.83</v>
      </c>
      <c r="AG15">
        <v>5.39</v>
      </c>
      <c r="AH15">
        <v>0.97</v>
      </c>
      <c r="AI15">
        <v>11.45</v>
      </c>
      <c r="AJ15">
        <v>8.6</v>
      </c>
      <c r="AK15">
        <v>1.18</v>
      </c>
      <c r="AL15">
        <v>6.15</v>
      </c>
      <c r="AM15">
        <v>4.3600000000000003</v>
      </c>
      <c r="AN15">
        <v>1.34</v>
      </c>
      <c r="AO15">
        <v>7.96</v>
      </c>
      <c r="AR15">
        <v>1.26</v>
      </c>
      <c r="AW15">
        <v>2.66</v>
      </c>
      <c r="AY15">
        <v>89</v>
      </c>
      <c r="AZ15">
        <v>92</v>
      </c>
      <c r="BA15">
        <v>91</v>
      </c>
      <c r="BB15">
        <v>73</v>
      </c>
      <c r="BC15">
        <v>93</v>
      </c>
      <c r="BD15">
        <v>93</v>
      </c>
      <c r="BE15">
        <v>88</v>
      </c>
      <c r="BF15">
        <v>92</v>
      </c>
      <c r="BG15">
        <v>87</v>
      </c>
      <c r="BH15">
        <v>91</v>
      </c>
      <c r="BI15">
        <v>92</v>
      </c>
      <c r="BL15">
        <v>86</v>
      </c>
      <c r="BQ15">
        <v>88</v>
      </c>
      <c r="BS15">
        <v>0.05</v>
      </c>
      <c r="BT15">
        <v>0.63</v>
      </c>
      <c r="BU15">
        <v>0.15</v>
      </c>
      <c r="BV15">
        <v>0.11</v>
      </c>
      <c r="BW15">
        <v>0.63</v>
      </c>
      <c r="BX15">
        <v>0.21</v>
      </c>
      <c r="BY15">
        <v>0.47</v>
      </c>
      <c r="CB15">
        <v>67</v>
      </c>
      <c r="CC15">
        <v>88</v>
      </c>
      <c r="CF15" s="2">
        <v>0</v>
      </c>
      <c r="CH15" s="47">
        <v>77.125500000000002</v>
      </c>
      <c r="CI15" s="47">
        <v>3.4853000000000005</v>
      </c>
      <c r="CJ15" s="47">
        <v>4.851</v>
      </c>
      <c r="CK15" s="47">
        <v>0.65959999999999996</v>
      </c>
      <c r="CL15" s="47">
        <v>9.7324999999999982</v>
      </c>
      <c r="CM15" s="47">
        <v>7.9979999999999993</v>
      </c>
      <c r="CN15" s="47">
        <v>0.9675999999999999</v>
      </c>
      <c r="CO15" s="47">
        <v>1.9882</v>
      </c>
      <c r="CP15" s="47">
        <v>5.5964999999999998</v>
      </c>
      <c r="CQ15" s="47">
        <v>7.7776999999999994</v>
      </c>
      <c r="CR15" s="47">
        <v>3.7496000000000005</v>
      </c>
      <c r="CS15" s="47">
        <v>1.1926000000000001</v>
      </c>
      <c r="CT15" s="47">
        <v>7.2435999999999998</v>
      </c>
      <c r="CU15" s="47"/>
      <c r="CV15" s="47">
        <v>78.898499999999999</v>
      </c>
      <c r="CW15" s="47">
        <f t="shared" si="26"/>
        <v>3.5236000000000001</v>
      </c>
      <c r="CX15" s="47">
        <f t="shared" si="27"/>
        <v>4.9048999999999996</v>
      </c>
      <c r="CY15" s="47">
        <f t="shared" si="28"/>
        <v>0.70810000000000006</v>
      </c>
      <c r="CZ15" s="47">
        <f t="shared" si="29"/>
        <v>10.648499999999999</v>
      </c>
      <c r="DA15" s="47">
        <f t="shared" si="30"/>
        <v>7.9979999999999993</v>
      </c>
      <c r="DB15" s="47">
        <f t="shared" si="31"/>
        <v>1.0384</v>
      </c>
      <c r="DC15" s="47">
        <f t="shared" si="32"/>
        <v>2.1219999999999999</v>
      </c>
      <c r="DD15" s="47">
        <f t="shared" si="12"/>
        <v>5.6580000000000004</v>
      </c>
      <c r="DE15" s="47">
        <f t="shared" si="5"/>
        <v>7.998800000000001</v>
      </c>
      <c r="DF15" s="47">
        <f t="shared" si="13"/>
        <v>3.7932000000000006</v>
      </c>
      <c r="DG15" s="47">
        <f t="shared" si="14"/>
        <v>1.2194</v>
      </c>
      <c r="DH15" s="47">
        <f t="shared" si="15"/>
        <v>7.3232000000000008</v>
      </c>
      <c r="DI15" s="47"/>
      <c r="DJ15" s="47"/>
      <c r="DK15" s="47"/>
      <c r="DL15" s="47"/>
      <c r="DM15" s="47"/>
      <c r="DN15" s="47"/>
      <c r="DO15" s="47"/>
      <c r="DP15" s="47"/>
      <c r="DQ15">
        <f t="shared" si="18"/>
        <v>0.14069999999999999</v>
      </c>
      <c r="DR15">
        <f t="shared" si="19"/>
        <v>0.18479999999999999</v>
      </c>
      <c r="DS15">
        <f t="shared" si="33"/>
        <v>0</v>
      </c>
      <c r="DT15">
        <f t="shared" si="34"/>
        <v>0</v>
      </c>
      <c r="DV15" s="110"/>
      <c r="DW15" s="111">
        <f t="shared" si="35"/>
        <v>1600</v>
      </c>
      <c r="DX15" s="112">
        <v>0.8</v>
      </c>
      <c r="DY15" s="88">
        <v>2070</v>
      </c>
      <c r="DZ15" s="88">
        <v>2070</v>
      </c>
      <c r="EA15" s="81">
        <v>0.92</v>
      </c>
      <c r="EB15" s="113">
        <f t="shared" si="20"/>
        <v>0.19320000000000001</v>
      </c>
      <c r="EC15" s="6">
        <v>0.17</v>
      </c>
      <c r="ED15" s="92">
        <v>0</v>
      </c>
      <c r="EE15" s="92">
        <v>0</v>
      </c>
      <c r="EF15" s="92"/>
      <c r="EG15" s="204"/>
      <c r="EH15" s="107">
        <f>44*K15/10</f>
        <v>6.38</v>
      </c>
      <c r="EI15" s="82">
        <f>IF(AR15="","",AR15*BL15)</f>
        <v>108.36</v>
      </c>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80">
        <f t="shared" si="21"/>
        <v>0.68772127529699034</v>
      </c>
      <c r="FN15" s="80">
        <f t="shared" si="22"/>
        <v>6.6497628774005738E-2</v>
      </c>
      <c r="FO15" s="115">
        <f t="shared" si="23"/>
        <v>10.342042084451348</v>
      </c>
      <c r="FP15" s="115">
        <f t="shared" si="24"/>
        <v>0.11451378128374891</v>
      </c>
      <c r="FQ15" s="116">
        <f t="shared" si="25"/>
        <v>0.12011844331641283</v>
      </c>
    </row>
    <row r="16" spans="1:173" x14ac:dyDescent="0.25">
      <c r="A16" s="61">
        <v>7</v>
      </c>
      <c r="B16" t="s">
        <v>233</v>
      </c>
      <c r="C16">
        <v>4733</v>
      </c>
      <c r="D16">
        <v>4546</v>
      </c>
      <c r="E16">
        <v>4017</v>
      </c>
      <c r="F16">
        <v>2506</v>
      </c>
      <c r="H16">
        <v>91.97</v>
      </c>
      <c r="I16">
        <v>77.84</v>
      </c>
      <c r="K16">
        <v>2</v>
      </c>
      <c r="L16">
        <v>2.7</v>
      </c>
      <c r="M16">
        <v>8.68</v>
      </c>
      <c r="T16">
        <v>0</v>
      </c>
      <c r="V16">
        <v>0</v>
      </c>
      <c r="AB16">
        <v>0</v>
      </c>
      <c r="AC16">
        <v>0</v>
      </c>
      <c r="AD16" s="9">
        <v>42.775200000000005</v>
      </c>
      <c r="AF16">
        <v>4.3899999999999997</v>
      </c>
      <c r="AG16">
        <v>2.5299999999999998</v>
      </c>
      <c r="AH16">
        <v>2.69</v>
      </c>
      <c r="AI16">
        <v>7.39</v>
      </c>
      <c r="AJ16">
        <v>6.9</v>
      </c>
      <c r="AK16">
        <v>0.79</v>
      </c>
      <c r="AL16">
        <v>4.25</v>
      </c>
      <c r="AM16">
        <v>4.47</v>
      </c>
      <c r="AN16">
        <v>1.41</v>
      </c>
      <c r="AO16">
        <v>5.12</v>
      </c>
      <c r="AR16">
        <v>2.6</v>
      </c>
      <c r="AW16">
        <v>3.89</v>
      </c>
      <c r="AY16">
        <v>81</v>
      </c>
      <c r="AZ16">
        <v>91</v>
      </c>
      <c r="BA16">
        <v>87</v>
      </c>
      <c r="BB16">
        <v>85</v>
      </c>
      <c r="BC16">
        <v>87</v>
      </c>
      <c r="BD16">
        <v>87</v>
      </c>
      <c r="BE16">
        <v>84</v>
      </c>
      <c r="BF16">
        <v>86</v>
      </c>
      <c r="BG16">
        <v>80</v>
      </c>
      <c r="BH16">
        <v>92</v>
      </c>
      <c r="BI16">
        <v>82</v>
      </c>
      <c r="BL16">
        <v>85</v>
      </c>
      <c r="BQ16">
        <v>76</v>
      </c>
      <c r="BS16">
        <v>0.13</v>
      </c>
      <c r="BT16">
        <v>1.19</v>
      </c>
      <c r="BU16">
        <v>0.02</v>
      </c>
      <c r="BV16">
        <v>0.03</v>
      </c>
      <c r="BW16">
        <v>2.76</v>
      </c>
      <c r="BX16">
        <v>1.28</v>
      </c>
      <c r="BY16">
        <v>1.02</v>
      </c>
      <c r="CB16">
        <v>92</v>
      </c>
      <c r="CC16">
        <v>98</v>
      </c>
      <c r="CF16" s="2">
        <v>0</v>
      </c>
      <c r="CH16" s="47">
        <v>59.1584</v>
      </c>
      <c r="CI16" s="47">
        <v>3.8632</v>
      </c>
      <c r="CJ16" s="47">
        <v>2.1504999999999996</v>
      </c>
      <c r="CK16" s="47">
        <v>2.1789000000000001</v>
      </c>
      <c r="CL16" s="47">
        <v>6.2076000000000002</v>
      </c>
      <c r="CM16" s="47">
        <v>5.8650000000000002</v>
      </c>
      <c r="CN16" s="47">
        <v>0.63200000000000001</v>
      </c>
      <c r="CO16" s="47">
        <v>2.7640000000000002</v>
      </c>
      <c r="CP16" s="47">
        <v>3.5274999999999999</v>
      </c>
      <c r="CQ16" s="47">
        <v>6.4061000000000003</v>
      </c>
      <c r="CR16" s="47">
        <v>3.4419</v>
      </c>
      <c r="CS16" s="47">
        <v>1.1984999999999999</v>
      </c>
      <c r="CT16" s="47">
        <v>4.0448000000000004</v>
      </c>
      <c r="CU16" s="47"/>
      <c r="CV16" s="47">
        <v>63.050399999999996</v>
      </c>
      <c r="CW16" s="47">
        <f t="shared" si="26"/>
        <v>3.9948999999999995</v>
      </c>
      <c r="CX16" s="47">
        <f t="shared" si="27"/>
        <v>2.2010999999999998</v>
      </c>
      <c r="CY16" s="47">
        <f t="shared" si="28"/>
        <v>2.2865000000000002</v>
      </c>
      <c r="CZ16" s="47">
        <f t="shared" si="29"/>
        <v>6.4292999999999996</v>
      </c>
      <c r="DA16" s="47">
        <f t="shared" si="30"/>
        <v>6.003000000000001</v>
      </c>
      <c r="DB16" s="47">
        <f t="shared" si="31"/>
        <v>0.66359999999999997</v>
      </c>
      <c r="DC16" s="47">
        <f t="shared" si="32"/>
        <v>2.8736000000000002</v>
      </c>
      <c r="DD16" s="47">
        <f t="shared" si="12"/>
        <v>3.6549999999999998</v>
      </c>
      <c r="DE16" s="47">
        <f t="shared" si="5"/>
        <v>6.6113999999999997</v>
      </c>
      <c r="DF16" s="47">
        <f t="shared" si="13"/>
        <v>3.5759999999999996</v>
      </c>
      <c r="DG16" s="47">
        <f t="shared" si="14"/>
        <v>1.2971999999999999</v>
      </c>
      <c r="DH16" s="47">
        <f t="shared" si="15"/>
        <v>4.1984000000000004</v>
      </c>
      <c r="DI16" s="47"/>
      <c r="DJ16" s="47"/>
      <c r="DK16" s="47"/>
      <c r="DL16" s="47"/>
      <c r="DM16" s="47"/>
      <c r="DN16" s="47"/>
      <c r="DO16" s="47"/>
      <c r="DP16" s="47"/>
      <c r="DQ16">
        <f t="shared" si="18"/>
        <v>1.1776</v>
      </c>
      <c r="DR16">
        <f t="shared" si="19"/>
        <v>1.2544</v>
      </c>
      <c r="DS16">
        <f t="shared" si="33"/>
        <v>0</v>
      </c>
      <c r="DT16">
        <f t="shared" si="34"/>
        <v>0</v>
      </c>
      <c r="DV16" s="110"/>
      <c r="DW16" s="111">
        <f t="shared" si="35"/>
        <v>4000</v>
      </c>
      <c r="DX16" s="112">
        <v>2</v>
      </c>
      <c r="DY16" s="88">
        <v>2027.337080405933</v>
      </c>
      <c r="DZ16" s="88">
        <v>2027.337080405933</v>
      </c>
      <c r="EA16" s="69">
        <v>0.92</v>
      </c>
      <c r="EB16" s="113">
        <f t="shared" si="20"/>
        <v>1.1776</v>
      </c>
      <c r="EC16" s="6"/>
      <c r="ED16" s="92">
        <v>0</v>
      </c>
      <c r="EE16" s="92">
        <v>0</v>
      </c>
      <c r="EF16" s="92"/>
      <c r="EG16" s="219"/>
      <c r="EH16" s="107">
        <f>44*K16/10</f>
        <v>8.8000000000000007</v>
      </c>
      <c r="EI16" s="220">
        <f>IF(AR16="","",AR16*BL16)</f>
        <v>221</v>
      </c>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200">
        <f t="shared" si="21"/>
        <v>0.65301043659496383</v>
      </c>
      <c r="FN16" s="200">
        <f t="shared" si="22"/>
        <v>0.35563747219759545</v>
      </c>
      <c r="FO16" s="191">
        <f t="shared" si="23"/>
        <v>1.8361688169691668</v>
      </c>
      <c r="FP16" s="191">
        <f t="shared" si="24"/>
        <v>0.20176380010265504</v>
      </c>
      <c r="FQ16" s="194">
        <f t="shared" si="25"/>
        <v>8.2596351490236378E-2</v>
      </c>
    </row>
    <row r="17" spans="1:173" x14ac:dyDescent="0.25">
      <c r="A17" s="61">
        <v>8</v>
      </c>
      <c r="B17" t="s">
        <v>234</v>
      </c>
      <c r="C17">
        <v>4805</v>
      </c>
      <c r="D17">
        <v>2100</v>
      </c>
      <c r="E17">
        <v>1920</v>
      </c>
      <c r="F17">
        <v>1155</v>
      </c>
      <c r="H17">
        <v>92</v>
      </c>
      <c r="I17">
        <v>26.5</v>
      </c>
      <c r="K17">
        <v>4.72</v>
      </c>
      <c r="L17">
        <v>7.3</v>
      </c>
      <c r="M17">
        <v>4.4000000000000004</v>
      </c>
      <c r="T17">
        <v>5.3</v>
      </c>
      <c r="U17">
        <v>48.7</v>
      </c>
      <c r="V17">
        <v>20.14</v>
      </c>
      <c r="AB17">
        <v>51.080000000000005</v>
      </c>
      <c r="AC17">
        <v>34</v>
      </c>
      <c r="AD17" s="9">
        <v>42.950200000000009</v>
      </c>
      <c r="AF17">
        <v>1.53</v>
      </c>
      <c r="AG17">
        <v>0.53</v>
      </c>
      <c r="AH17">
        <v>1.02</v>
      </c>
      <c r="AI17">
        <v>2.08</v>
      </c>
      <c r="AJ17">
        <v>1.08</v>
      </c>
      <c r="AK17">
        <v>0.45</v>
      </c>
      <c r="AL17">
        <v>1.22</v>
      </c>
      <c r="AM17">
        <v>0.95</v>
      </c>
      <c r="AN17">
        <v>0.26</v>
      </c>
      <c r="AO17">
        <v>1.26</v>
      </c>
      <c r="AR17">
        <v>0.49</v>
      </c>
      <c r="AW17">
        <v>0.88</v>
      </c>
      <c r="AY17">
        <v>85</v>
      </c>
      <c r="AZ17">
        <v>93</v>
      </c>
      <c r="BA17">
        <v>83</v>
      </c>
      <c r="BB17">
        <v>87</v>
      </c>
      <c r="BC17">
        <v>86</v>
      </c>
      <c r="BD17">
        <v>80</v>
      </c>
      <c r="BE17">
        <v>87</v>
      </c>
      <c r="BF17">
        <v>90</v>
      </c>
      <c r="BG17">
        <v>80</v>
      </c>
      <c r="BH17">
        <v>81</v>
      </c>
      <c r="BI17">
        <v>84</v>
      </c>
      <c r="BL17">
        <v>76</v>
      </c>
      <c r="BQ17">
        <v>93</v>
      </c>
      <c r="BS17">
        <v>0.21</v>
      </c>
      <c r="BT17">
        <v>0.15</v>
      </c>
      <c r="BU17">
        <v>0.08</v>
      </c>
      <c r="BV17">
        <v>0.16</v>
      </c>
      <c r="BW17">
        <v>0.26</v>
      </c>
      <c r="BX17">
        <v>0.57999999999999996</v>
      </c>
      <c r="BY17">
        <v>0.31</v>
      </c>
      <c r="CA17">
        <v>0.35</v>
      </c>
      <c r="CB17">
        <v>32</v>
      </c>
      <c r="CC17">
        <v>39</v>
      </c>
      <c r="CF17" s="2">
        <v>17.367200000000004</v>
      </c>
      <c r="CH17" s="47">
        <v>18.55</v>
      </c>
      <c r="CI17" s="47">
        <v>1.2393000000000001</v>
      </c>
      <c r="CJ17" s="47">
        <v>0.371</v>
      </c>
      <c r="CK17" s="47">
        <v>0.82620000000000005</v>
      </c>
      <c r="CL17" s="47">
        <v>1.5184</v>
      </c>
      <c r="CM17" s="47">
        <v>0.74520000000000008</v>
      </c>
      <c r="CN17" s="47">
        <v>0.33300000000000002</v>
      </c>
      <c r="CO17" s="47">
        <v>0.6613</v>
      </c>
      <c r="CP17" s="47">
        <v>0.98819999999999997</v>
      </c>
      <c r="CQ17" s="47">
        <v>1.7889999999999999</v>
      </c>
      <c r="CR17" s="47">
        <v>0.66500000000000004</v>
      </c>
      <c r="CS17" s="47">
        <v>0.1898</v>
      </c>
      <c r="CT17" s="47">
        <v>0.91980000000000006</v>
      </c>
      <c r="CU17" s="47"/>
      <c r="CV17" s="47">
        <v>22.524999999999999</v>
      </c>
      <c r="CW17" s="47">
        <f t="shared" si="26"/>
        <v>1.4228999999999998</v>
      </c>
      <c r="CX17" s="47">
        <f t="shared" si="27"/>
        <v>0.43990000000000001</v>
      </c>
      <c r="CY17" s="47">
        <f t="shared" si="28"/>
        <v>0.88739999999999997</v>
      </c>
      <c r="CZ17" s="47">
        <f t="shared" si="29"/>
        <v>1.7887999999999999</v>
      </c>
      <c r="DA17" s="47">
        <f t="shared" si="30"/>
        <v>0.8640000000000001</v>
      </c>
      <c r="DB17" s="47">
        <f t="shared" si="31"/>
        <v>0.39149999999999996</v>
      </c>
      <c r="DC17" s="47">
        <f t="shared" si="32"/>
        <v>0.76390000000000002</v>
      </c>
      <c r="DD17" s="47">
        <f t="shared" si="12"/>
        <v>1.0979999999999999</v>
      </c>
      <c r="DE17" s="47">
        <f t="shared" si="5"/>
        <v>1.9163999999999999</v>
      </c>
      <c r="DF17" s="47">
        <f t="shared" si="13"/>
        <v>0.76</v>
      </c>
      <c r="DG17" s="47">
        <f t="shared" si="14"/>
        <v>0.21060000000000001</v>
      </c>
      <c r="DH17" s="47">
        <f t="shared" si="15"/>
        <v>1.0584</v>
      </c>
      <c r="DI17" s="47"/>
      <c r="DJ17" s="47"/>
      <c r="DK17" s="47"/>
      <c r="DL17" s="47"/>
      <c r="DM17" s="47"/>
      <c r="DN17" s="47"/>
      <c r="DO17" s="47"/>
      <c r="DP17" s="47"/>
      <c r="DQ17">
        <f t="shared" si="18"/>
        <v>0.18559999999999999</v>
      </c>
      <c r="DR17">
        <f t="shared" si="19"/>
        <v>0.22619999999999998</v>
      </c>
      <c r="DS17">
        <f t="shared" si="33"/>
        <v>0</v>
      </c>
      <c r="DT17">
        <f t="shared" si="34"/>
        <v>0</v>
      </c>
      <c r="DV17" s="110"/>
      <c r="DW17" s="111">
        <f t="shared" si="35"/>
        <v>0</v>
      </c>
      <c r="DX17" s="112"/>
      <c r="DY17" s="94"/>
      <c r="DZ17" s="94"/>
      <c r="EA17" s="272"/>
      <c r="EB17" s="113">
        <f t="shared" ref="EB17:EB80" si="36">BX17*EA17</f>
        <v>0</v>
      </c>
      <c r="EC17" s="118"/>
      <c r="ED17" s="92"/>
      <c r="EE17" s="92"/>
      <c r="EF17" s="92"/>
      <c r="EG17" s="204">
        <v>0.35</v>
      </c>
      <c r="EH17" s="118"/>
      <c r="EI17" s="82"/>
      <c r="EJ17" s="6"/>
      <c r="EK17" s="6"/>
      <c r="EL17" s="6"/>
      <c r="EM17" s="6"/>
      <c r="EN17" s="6"/>
      <c r="EO17" s="6"/>
      <c r="EP17" s="6"/>
      <c r="EQ17" s="6"/>
      <c r="ER17" s="6"/>
      <c r="ES17" s="6"/>
      <c r="ET17" s="6"/>
      <c r="EU17" s="6"/>
      <c r="EV17" s="6"/>
      <c r="EW17" s="6"/>
      <c r="EX17" s="6"/>
      <c r="EY17" s="6"/>
      <c r="EZ17" s="6"/>
      <c r="FA17" s="6"/>
      <c r="FB17" s="6"/>
      <c r="FC17" s="6"/>
      <c r="FD17" s="6"/>
      <c r="FE17" s="6"/>
      <c r="FF17" s="6"/>
      <c r="FG17" s="125"/>
      <c r="FH17" s="125"/>
      <c r="FI17" s="6"/>
      <c r="FJ17" s="6"/>
      <c r="FK17" s="6"/>
      <c r="FL17" s="6"/>
      <c r="FM17" s="80">
        <f t="shared" si="21"/>
        <v>0.59168157423971379</v>
      </c>
      <c r="FN17" s="80">
        <f t="shared" si="22"/>
        <v>0.49608676207513419</v>
      </c>
      <c r="FO17" s="115">
        <f t="shared" si="23"/>
        <v>1.1926977687626776</v>
      </c>
      <c r="FP17" s="115">
        <f t="shared" si="24"/>
        <v>0.1177325581395349</v>
      </c>
      <c r="FQ17" s="116">
        <f t="shared" si="25"/>
        <v>6.7501886792452823E-2</v>
      </c>
    </row>
    <row r="18" spans="1:173" x14ac:dyDescent="0.25">
      <c r="A18" s="61">
        <v>9</v>
      </c>
      <c r="B18" t="s">
        <v>235</v>
      </c>
      <c r="C18">
        <v>6371</v>
      </c>
      <c r="D18">
        <v>5234</v>
      </c>
      <c r="E18">
        <v>5084</v>
      </c>
      <c r="F18">
        <v>4059</v>
      </c>
      <c r="H18">
        <v>94.57</v>
      </c>
      <c r="I18">
        <v>22.06</v>
      </c>
      <c r="J18">
        <v>6.1</v>
      </c>
      <c r="K18">
        <v>43.61</v>
      </c>
      <c r="M18">
        <v>3.71</v>
      </c>
      <c r="T18">
        <v>0.7</v>
      </c>
      <c r="U18">
        <v>16.71</v>
      </c>
      <c r="V18">
        <v>12.57</v>
      </c>
      <c r="W18">
        <v>5.4</v>
      </c>
      <c r="AB18">
        <v>24.489999999999991</v>
      </c>
      <c r="AC18">
        <v>58</v>
      </c>
      <c r="AD18" s="9">
        <v>56.163899999999998</v>
      </c>
      <c r="AF18">
        <v>1</v>
      </c>
      <c r="AG18">
        <v>0.6</v>
      </c>
      <c r="AH18">
        <v>0.6</v>
      </c>
      <c r="AI18">
        <v>1.1399999999999999</v>
      </c>
      <c r="AJ18">
        <v>1.01</v>
      </c>
      <c r="AK18">
        <v>0.38</v>
      </c>
      <c r="AL18">
        <v>0.73</v>
      </c>
      <c r="AM18">
        <v>0.83</v>
      </c>
      <c r="AN18">
        <v>0.23</v>
      </c>
      <c r="AO18">
        <v>0.83</v>
      </c>
      <c r="AR18">
        <v>0.46</v>
      </c>
      <c r="AW18">
        <v>0.55000000000000004</v>
      </c>
      <c r="AY18">
        <v>64</v>
      </c>
      <c r="AZ18">
        <v>84</v>
      </c>
      <c r="BA18">
        <v>80</v>
      </c>
      <c r="BB18">
        <v>74</v>
      </c>
      <c r="BC18">
        <v>76</v>
      </c>
      <c r="BD18">
        <v>73</v>
      </c>
      <c r="BE18">
        <v>81</v>
      </c>
      <c r="BF18">
        <v>77</v>
      </c>
      <c r="BG18">
        <v>70</v>
      </c>
      <c r="BH18">
        <v>71</v>
      </c>
      <c r="BI18">
        <v>71</v>
      </c>
      <c r="BL18">
        <v>70</v>
      </c>
      <c r="BQ18">
        <v>75</v>
      </c>
      <c r="BS18">
        <v>0.36</v>
      </c>
      <c r="BU18">
        <v>1.02</v>
      </c>
      <c r="BV18">
        <v>0.19</v>
      </c>
      <c r="BX18">
        <v>0.7</v>
      </c>
      <c r="CA18">
        <v>0.79</v>
      </c>
      <c r="CB18">
        <v>28</v>
      </c>
      <c r="CC18">
        <v>32</v>
      </c>
      <c r="CD18">
        <v>42</v>
      </c>
      <c r="CE18" s="64">
        <v>50</v>
      </c>
      <c r="CF18" s="2">
        <v>14.204199999999993</v>
      </c>
      <c r="CH18" s="47">
        <v>14.559599999999998</v>
      </c>
      <c r="CI18" s="47">
        <v>0.81</v>
      </c>
      <c r="CJ18" s="47">
        <v>0.46199999999999997</v>
      </c>
      <c r="CK18" s="47">
        <v>0.43799999999999994</v>
      </c>
      <c r="CL18" s="47">
        <v>0.83219999999999994</v>
      </c>
      <c r="CM18" s="47">
        <v>0.70700000000000007</v>
      </c>
      <c r="CN18" s="47">
        <v>0.2964</v>
      </c>
      <c r="CO18" s="47">
        <v>0.60000000000000009</v>
      </c>
      <c r="CP18" s="47">
        <v>0.53290000000000004</v>
      </c>
      <c r="CQ18" s="47">
        <v>0.91790000000000005</v>
      </c>
      <c r="CR18" s="47">
        <v>0.53120000000000001</v>
      </c>
      <c r="CS18" s="47">
        <v>0.15180000000000002</v>
      </c>
      <c r="CT18" s="47">
        <v>0.54779999999999995</v>
      </c>
      <c r="CU18" s="47"/>
      <c r="CV18" s="47">
        <v>14.118399999999999</v>
      </c>
      <c r="CW18" s="47">
        <f t="shared" si="26"/>
        <v>0.84</v>
      </c>
      <c r="CX18" s="47">
        <f t="shared" si="27"/>
        <v>0.48</v>
      </c>
      <c r="CY18" s="47">
        <f t="shared" si="28"/>
        <v>0.44400000000000001</v>
      </c>
      <c r="CZ18" s="47">
        <f t="shared" si="29"/>
        <v>0.86639999999999984</v>
      </c>
      <c r="DA18" s="47">
        <f t="shared" si="30"/>
        <v>0.73730000000000007</v>
      </c>
      <c r="DB18" s="47">
        <f t="shared" si="31"/>
        <v>0.30780000000000002</v>
      </c>
      <c r="DC18" s="47">
        <f t="shared" si="32"/>
        <v>0.62980000000000003</v>
      </c>
      <c r="DD18" s="47">
        <f t="shared" si="12"/>
        <v>0.56210000000000004</v>
      </c>
      <c r="DE18" s="47">
        <f t="shared" si="5"/>
        <v>0.97460000000000002</v>
      </c>
      <c r="DF18" s="47">
        <f t="shared" si="13"/>
        <v>0.58099999999999996</v>
      </c>
      <c r="DG18" s="47">
        <f t="shared" si="14"/>
        <v>0.16330000000000003</v>
      </c>
      <c r="DH18" s="47">
        <f t="shared" si="15"/>
        <v>0.58930000000000005</v>
      </c>
      <c r="DI18" s="47"/>
      <c r="DJ18" s="47"/>
      <c r="DK18" s="47"/>
      <c r="DL18" s="47"/>
      <c r="DM18" s="47"/>
      <c r="DN18" s="47"/>
      <c r="DO18" s="47"/>
      <c r="DP18" s="47"/>
      <c r="DQ18">
        <f t="shared" si="18"/>
        <v>0.19599999999999998</v>
      </c>
      <c r="DR18">
        <f t="shared" si="19"/>
        <v>0.22399999999999998</v>
      </c>
      <c r="DS18">
        <f t="shared" si="33"/>
        <v>0.1512</v>
      </c>
      <c r="DT18">
        <f t="shared" si="34"/>
        <v>0.18</v>
      </c>
      <c r="DV18" s="110"/>
      <c r="DW18" s="111">
        <f t="shared" si="35"/>
        <v>0</v>
      </c>
      <c r="DX18" s="112"/>
      <c r="DY18" s="94"/>
      <c r="DZ18" s="94"/>
      <c r="EA18" s="272"/>
      <c r="EB18" s="113">
        <f t="shared" si="36"/>
        <v>0</v>
      </c>
      <c r="EC18" s="118"/>
      <c r="ED18" s="92"/>
      <c r="EE18" s="92"/>
      <c r="EF18" s="92"/>
      <c r="EG18" s="204">
        <v>0.79</v>
      </c>
      <c r="EH18" s="118"/>
      <c r="EI18" s="82"/>
      <c r="EJ18" s="6"/>
      <c r="EK18" s="6"/>
      <c r="EL18" s="6"/>
      <c r="EM18" s="6"/>
      <c r="EN18" s="6"/>
      <c r="EO18" s="6"/>
      <c r="EP18" s="6"/>
      <c r="EQ18" s="6"/>
      <c r="ER18" s="6"/>
      <c r="ES18" s="6"/>
      <c r="ET18" s="6"/>
      <c r="EU18" s="6"/>
      <c r="EV18" s="6"/>
      <c r="EW18" s="6"/>
      <c r="EX18" s="6"/>
      <c r="EY18" s="6"/>
      <c r="EZ18" s="6"/>
      <c r="FA18" s="6"/>
      <c r="FB18" s="6"/>
      <c r="FC18" s="6"/>
      <c r="FD18" s="6"/>
      <c r="FE18" s="6"/>
      <c r="FF18" s="6"/>
      <c r="FG18" s="125"/>
      <c r="FH18" s="125"/>
      <c r="FI18" s="6"/>
      <c r="FJ18" s="6"/>
      <c r="FK18" s="6"/>
      <c r="FL18" s="6"/>
      <c r="FM18" s="80">
        <f t="shared" si="21"/>
        <v>0.6801708217913206</v>
      </c>
      <c r="FN18" s="80">
        <f t="shared" si="22"/>
        <v>0.51246537396121894</v>
      </c>
      <c r="FO18" s="115">
        <f t="shared" si="23"/>
        <v>1.3272522522522523</v>
      </c>
      <c r="FP18" s="115">
        <f t="shared" si="24"/>
        <v>0.18848107109879969</v>
      </c>
      <c r="FQ18" s="116">
        <f t="shared" si="25"/>
        <v>3.9274705349048047E-2</v>
      </c>
    </row>
    <row r="19" spans="1:173" x14ac:dyDescent="0.25">
      <c r="A19" s="61">
        <v>10</v>
      </c>
      <c r="B19" t="s">
        <v>236</v>
      </c>
      <c r="C19">
        <v>4873</v>
      </c>
      <c r="D19">
        <v>3779</v>
      </c>
      <c r="E19">
        <v>3540</v>
      </c>
      <c r="F19">
        <v>2351</v>
      </c>
      <c r="H19">
        <v>93.11</v>
      </c>
      <c r="I19">
        <v>35.19</v>
      </c>
      <c r="J19">
        <v>9.77</v>
      </c>
      <c r="K19">
        <v>9.9700000000000006</v>
      </c>
      <c r="M19">
        <v>6.39</v>
      </c>
      <c r="T19">
        <v>3.8</v>
      </c>
      <c r="U19">
        <v>23.77</v>
      </c>
      <c r="V19">
        <v>17.57</v>
      </c>
      <c r="W19">
        <v>7.31</v>
      </c>
      <c r="X19">
        <v>25.81</v>
      </c>
      <c r="AB19">
        <v>37.760000000000005</v>
      </c>
      <c r="AC19">
        <v>58</v>
      </c>
      <c r="AD19" s="9">
        <v>44.891900000000007</v>
      </c>
      <c r="AF19">
        <v>1.76</v>
      </c>
      <c r="AG19">
        <v>0.82</v>
      </c>
      <c r="AH19">
        <v>1.67</v>
      </c>
      <c r="AI19">
        <v>1.95</v>
      </c>
      <c r="AJ19">
        <v>1.58</v>
      </c>
      <c r="AK19">
        <v>0.61</v>
      </c>
      <c r="AL19">
        <v>1.48</v>
      </c>
      <c r="AM19">
        <v>1.22</v>
      </c>
      <c r="AN19">
        <v>0.32</v>
      </c>
      <c r="AO19">
        <v>1.63</v>
      </c>
      <c r="AR19">
        <v>0.79</v>
      </c>
      <c r="AW19">
        <v>0.78</v>
      </c>
      <c r="AY19">
        <v>75</v>
      </c>
      <c r="AZ19">
        <v>83</v>
      </c>
      <c r="BA19">
        <v>78</v>
      </c>
      <c r="BB19">
        <v>78</v>
      </c>
      <c r="BC19">
        <v>78</v>
      </c>
      <c r="BD19">
        <v>71</v>
      </c>
      <c r="BE19">
        <v>83</v>
      </c>
      <c r="BF19">
        <v>80</v>
      </c>
      <c r="BG19">
        <v>70</v>
      </c>
      <c r="BH19">
        <v>73</v>
      </c>
      <c r="BI19">
        <v>73</v>
      </c>
      <c r="BL19">
        <v>76</v>
      </c>
      <c r="BQ19">
        <v>74</v>
      </c>
      <c r="BS19">
        <v>0.69</v>
      </c>
      <c r="BV19">
        <v>0.52</v>
      </c>
      <c r="BX19">
        <v>1.1499999999999999</v>
      </c>
      <c r="CA19">
        <v>0.87</v>
      </c>
      <c r="CB19">
        <v>28</v>
      </c>
      <c r="CC19">
        <v>32</v>
      </c>
      <c r="CD19">
        <v>42</v>
      </c>
      <c r="CE19" s="64">
        <v>50</v>
      </c>
      <c r="CF19" s="2">
        <v>21.900800000000004</v>
      </c>
      <c r="CH19" s="47">
        <v>24.632999999999996</v>
      </c>
      <c r="CI19" s="47">
        <v>1.4080000000000001</v>
      </c>
      <c r="CJ19" s="47">
        <v>0.62319999999999998</v>
      </c>
      <c r="CK19" s="47">
        <v>1.2691999999999999</v>
      </c>
      <c r="CL19" s="47">
        <v>1.5015000000000001</v>
      </c>
      <c r="CM19" s="47">
        <v>1.1060000000000001</v>
      </c>
      <c r="CN19" s="47">
        <v>0.50019999999999998</v>
      </c>
      <c r="CO19" s="47">
        <v>1.0848</v>
      </c>
      <c r="CP19" s="47">
        <v>1.1692</v>
      </c>
      <c r="CQ19" s="47">
        <v>1.7307999999999999</v>
      </c>
      <c r="CR19" s="47">
        <v>0.8173999999999999</v>
      </c>
      <c r="CS19" s="47">
        <v>0.23039999999999999</v>
      </c>
      <c r="CT19" s="47">
        <v>1.1573</v>
      </c>
      <c r="CU19" s="47"/>
      <c r="CV19" s="47">
        <v>26.392499999999998</v>
      </c>
      <c r="CW19" s="47">
        <f t="shared" si="26"/>
        <v>1.4608000000000001</v>
      </c>
      <c r="CX19" s="47">
        <f t="shared" si="27"/>
        <v>0.63959999999999995</v>
      </c>
      <c r="CY19" s="47">
        <f t="shared" si="28"/>
        <v>1.3026</v>
      </c>
      <c r="CZ19" s="47">
        <f t="shared" si="29"/>
        <v>1.5209999999999999</v>
      </c>
      <c r="DA19" s="47">
        <f t="shared" si="30"/>
        <v>1.1218000000000001</v>
      </c>
      <c r="DB19" s="47">
        <f t="shared" si="31"/>
        <v>0.50629999999999997</v>
      </c>
      <c r="DC19" s="47">
        <f t="shared" si="32"/>
        <v>1.1067</v>
      </c>
      <c r="DD19" s="47">
        <f t="shared" si="12"/>
        <v>1.1840000000000002</v>
      </c>
      <c r="DE19" s="47">
        <f t="shared" si="5"/>
        <v>1.7612000000000001</v>
      </c>
      <c r="DF19" s="47">
        <f t="shared" si="13"/>
        <v>0.85399999999999987</v>
      </c>
      <c r="DG19" s="47">
        <f t="shared" si="14"/>
        <v>0.2336</v>
      </c>
      <c r="DH19" s="47">
        <f t="shared" si="15"/>
        <v>1.1899</v>
      </c>
      <c r="DI19" s="47"/>
      <c r="DJ19" s="47"/>
      <c r="DK19" s="47"/>
      <c r="DL19" s="47"/>
      <c r="DM19" s="47"/>
      <c r="DN19" s="47"/>
      <c r="DO19" s="47"/>
      <c r="DP19" s="47"/>
      <c r="DQ19">
        <f t="shared" si="18"/>
        <v>0.32199999999999995</v>
      </c>
      <c r="DR19">
        <f t="shared" si="19"/>
        <v>0.36799999999999999</v>
      </c>
      <c r="DS19">
        <f t="shared" si="33"/>
        <v>0.28979999999999995</v>
      </c>
      <c r="DT19">
        <f t="shared" si="34"/>
        <v>0.34499999999999997</v>
      </c>
      <c r="DV19" s="110"/>
      <c r="DW19" s="111">
        <f t="shared" si="35"/>
        <v>160</v>
      </c>
      <c r="DX19" s="112">
        <v>0.08</v>
      </c>
      <c r="DY19" s="94">
        <v>1505</v>
      </c>
      <c r="DZ19" s="94">
        <v>1625</v>
      </c>
      <c r="EA19" s="81">
        <v>0.21</v>
      </c>
      <c r="EB19" s="113">
        <f t="shared" si="36"/>
        <v>0.24149999999999996</v>
      </c>
      <c r="EC19" s="6">
        <v>0.42</v>
      </c>
      <c r="ED19" s="92">
        <v>0</v>
      </c>
      <c r="EE19" s="92">
        <v>0</v>
      </c>
      <c r="EF19" s="92"/>
      <c r="EG19" s="204">
        <v>0.89</v>
      </c>
      <c r="EH19" s="107">
        <f>125*K19/10</f>
        <v>124.625</v>
      </c>
      <c r="EI19" s="82">
        <f>IF(AR19="","",AR19*BL19)</f>
        <v>60.040000000000006</v>
      </c>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80">
        <f t="shared" si="21"/>
        <v>0.78231426692965156</v>
      </c>
      <c r="FN19" s="80">
        <f t="shared" si="22"/>
        <v>0.85641025641025648</v>
      </c>
      <c r="FO19" s="115">
        <f t="shared" si="23"/>
        <v>0.91348073084600034</v>
      </c>
      <c r="FP19" s="115">
        <f t="shared" si="24"/>
        <v>0.15358316896778437</v>
      </c>
      <c r="FQ19" s="116">
        <f t="shared" si="25"/>
        <v>4.3222506393861895E-2</v>
      </c>
    </row>
    <row r="20" spans="1:173" x14ac:dyDescent="0.25">
      <c r="A20" s="61">
        <v>11</v>
      </c>
      <c r="B20" t="s">
        <v>237</v>
      </c>
      <c r="C20">
        <v>4332</v>
      </c>
      <c r="D20">
        <v>3273</v>
      </c>
      <c r="E20">
        <v>3013</v>
      </c>
      <c r="F20">
        <v>1890</v>
      </c>
      <c r="H20">
        <v>91.33</v>
      </c>
      <c r="I20">
        <v>37.5</v>
      </c>
      <c r="J20">
        <v>10.5</v>
      </c>
      <c r="K20">
        <v>3.22</v>
      </c>
      <c r="M20">
        <v>6.89</v>
      </c>
      <c r="S20">
        <v>26.77</v>
      </c>
      <c r="T20">
        <v>6.07</v>
      </c>
      <c r="U20">
        <v>22.64</v>
      </c>
      <c r="V20">
        <v>15.42</v>
      </c>
      <c r="W20">
        <v>3.36</v>
      </c>
      <c r="X20">
        <v>26.6</v>
      </c>
      <c r="AB20">
        <v>37.65</v>
      </c>
      <c r="AC20">
        <v>58</v>
      </c>
      <c r="AD20" s="9">
        <v>41.935499999999998</v>
      </c>
      <c r="AF20">
        <v>2.2799999999999998</v>
      </c>
      <c r="AG20">
        <v>1.07</v>
      </c>
      <c r="AH20">
        <v>1.42</v>
      </c>
      <c r="AI20">
        <v>2.4500000000000002</v>
      </c>
      <c r="AJ20">
        <v>2.0699999999999998</v>
      </c>
      <c r="AK20">
        <v>0.71</v>
      </c>
      <c r="AL20">
        <v>1.48</v>
      </c>
      <c r="AM20">
        <v>1.55</v>
      </c>
      <c r="AN20">
        <v>0.43</v>
      </c>
      <c r="AO20">
        <v>1.78</v>
      </c>
      <c r="AR20">
        <v>0.86</v>
      </c>
      <c r="AW20">
        <v>1.06</v>
      </c>
      <c r="AY20">
        <v>74</v>
      </c>
      <c r="AZ20">
        <v>85</v>
      </c>
      <c r="BA20">
        <v>78</v>
      </c>
      <c r="BB20">
        <v>76</v>
      </c>
      <c r="BC20">
        <v>78</v>
      </c>
      <c r="BD20">
        <v>74</v>
      </c>
      <c r="BE20">
        <v>85</v>
      </c>
      <c r="BF20">
        <v>77</v>
      </c>
      <c r="BG20">
        <v>70</v>
      </c>
      <c r="BH20">
        <v>71</v>
      </c>
      <c r="BI20">
        <v>74</v>
      </c>
      <c r="BL20">
        <v>74</v>
      </c>
      <c r="BQ20">
        <v>77</v>
      </c>
      <c r="BS20">
        <v>0.69</v>
      </c>
      <c r="BT20">
        <v>0.11</v>
      </c>
      <c r="BU20">
        <v>1.69</v>
      </c>
      <c r="BV20">
        <v>0.28000000000000003</v>
      </c>
      <c r="BW20">
        <v>7.0000000000000007E-2</v>
      </c>
      <c r="BX20">
        <v>1.08</v>
      </c>
      <c r="BY20">
        <v>0.85</v>
      </c>
      <c r="CA20">
        <v>0.65</v>
      </c>
      <c r="CB20">
        <v>28</v>
      </c>
      <c r="CC20">
        <v>32</v>
      </c>
      <c r="CD20">
        <v>42</v>
      </c>
      <c r="CE20" s="64">
        <v>50</v>
      </c>
      <c r="CF20" s="2">
        <v>21.837</v>
      </c>
      <c r="CH20" s="47">
        <v>25.5</v>
      </c>
      <c r="CI20" s="47">
        <v>1.8695999999999997</v>
      </c>
      <c r="CJ20" s="47">
        <v>0.80249999999999999</v>
      </c>
      <c r="CK20" s="47">
        <v>1.0224</v>
      </c>
      <c r="CL20" s="47">
        <v>1.8130000000000002</v>
      </c>
      <c r="CM20" s="47">
        <v>1.4697</v>
      </c>
      <c r="CN20" s="47">
        <v>0.58219999999999994</v>
      </c>
      <c r="CO20" s="47">
        <v>1.1841999999999999</v>
      </c>
      <c r="CP20" s="47">
        <v>1.0952</v>
      </c>
      <c r="CQ20" s="47">
        <v>1.8584000000000001</v>
      </c>
      <c r="CR20" s="47">
        <v>1.0075000000000001</v>
      </c>
      <c r="CS20" s="47">
        <v>0.2838</v>
      </c>
      <c r="CT20" s="47">
        <v>1.2282000000000002</v>
      </c>
      <c r="CU20" s="47"/>
      <c r="CV20" s="47">
        <v>27.75</v>
      </c>
      <c r="CW20" s="47">
        <f t="shared" si="26"/>
        <v>1.9379999999999997</v>
      </c>
      <c r="CX20" s="47">
        <f t="shared" si="27"/>
        <v>0.83460000000000012</v>
      </c>
      <c r="CY20" s="47">
        <f t="shared" si="28"/>
        <v>1.0791999999999999</v>
      </c>
      <c r="CZ20" s="47">
        <f t="shared" si="29"/>
        <v>1.9110000000000003</v>
      </c>
      <c r="DA20" s="47">
        <f t="shared" si="30"/>
        <v>1.5317999999999998</v>
      </c>
      <c r="DB20" s="47">
        <f t="shared" si="31"/>
        <v>0.60349999999999993</v>
      </c>
      <c r="DC20" s="47">
        <f t="shared" si="32"/>
        <v>1.2399</v>
      </c>
      <c r="DD20" s="47">
        <f t="shared" si="12"/>
        <v>1.1395999999999999</v>
      </c>
      <c r="DE20" s="47">
        <f t="shared" si="5"/>
        <v>1.9558</v>
      </c>
      <c r="DF20" s="47">
        <f t="shared" si="13"/>
        <v>1.085</v>
      </c>
      <c r="DG20" s="47">
        <f t="shared" si="14"/>
        <v>0.30530000000000002</v>
      </c>
      <c r="DH20" s="47">
        <f t="shared" si="15"/>
        <v>1.3171999999999999</v>
      </c>
      <c r="DI20" s="47"/>
      <c r="DJ20" s="47"/>
      <c r="DK20" s="47"/>
      <c r="DL20" s="47"/>
      <c r="DM20" s="47"/>
      <c r="DN20" s="47"/>
      <c r="DO20" s="47"/>
      <c r="DP20" s="47"/>
      <c r="DQ20">
        <f t="shared" si="18"/>
        <v>0.3024</v>
      </c>
      <c r="DR20">
        <f t="shared" si="19"/>
        <v>0.34560000000000002</v>
      </c>
      <c r="DS20">
        <f t="shared" si="33"/>
        <v>0.28979999999999995</v>
      </c>
      <c r="DT20">
        <f t="shared" si="34"/>
        <v>0.34499999999999997</v>
      </c>
      <c r="DV20" s="110"/>
      <c r="DW20" s="111">
        <f t="shared" si="35"/>
        <v>0</v>
      </c>
      <c r="DX20" s="112"/>
      <c r="DY20" s="94"/>
      <c r="DZ20" s="94"/>
      <c r="EA20" s="272"/>
      <c r="EB20" s="113">
        <f t="shared" si="36"/>
        <v>0</v>
      </c>
      <c r="EC20" s="6"/>
      <c r="ED20" s="92"/>
      <c r="EE20" s="92"/>
      <c r="EF20" s="92"/>
      <c r="EG20" s="204">
        <v>0.87</v>
      </c>
      <c r="EH20" s="118"/>
      <c r="EI20" s="82"/>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80">
        <f t="shared" si="21"/>
        <v>0.68927263212977485</v>
      </c>
      <c r="FN20" s="80">
        <f t="shared" si="22"/>
        <v>0.56473050758765031</v>
      </c>
      <c r="FO20" s="115">
        <f t="shared" si="23"/>
        <v>1.220533728687917</v>
      </c>
      <c r="FP20" s="115">
        <f t="shared" si="24"/>
        <v>0.1597592883307169</v>
      </c>
      <c r="FQ20" s="116">
        <f t="shared" si="25"/>
        <v>5.0960000000000005E-2</v>
      </c>
    </row>
    <row r="21" spans="1:173" x14ac:dyDescent="0.25">
      <c r="A21" s="61">
        <v>12</v>
      </c>
      <c r="B21" t="s">
        <v>238</v>
      </c>
      <c r="C21">
        <v>3451</v>
      </c>
      <c r="D21">
        <v>3407</v>
      </c>
      <c r="E21">
        <v>3387</v>
      </c>
      <c r="F21">
        <v>2647</v>
      </c>
      <c r="H21">
        <v>88.09</v>
      </c>
      <c r="I21">
        <v>2.88</v>
      </c>
      <c r="J21">
        <v>4.18</v>
      </c>
      <c r="K21">
        <v>0.94</v>
      </c>
      <c r="M21">
        <v>5.7</v>
      </c>
      <c r="N21">
        <v>0</v>
      </c>
      <c r="O21">
        <v>0</v>
      </c>
      <c r="P21">
        <v>0</v>
      </c>
      <c r="Q21">
        <v>0</v>
      </c>
      <c r="R21">
        <v>0</v>
      </c>
      <c r="T21">
        <v>67.849999999999994</v>
      </c>
      <c r="U21">
        <v>6.55</v>
      </c>
      <c r="V21">
        <v>5.99</v>
      </c>
      <c r="AB21">
        <v>10.720000000000013</v>
      </c>
      <c r="AC21">
        <v>36</v>
      </c>
      <c r="AD21" s="9">
        <v>36.918800000000005</v>
      </c>
      <c r="AF21">
        <v>0.18</v>
      </c>
      <c r="AG21">
        <v>0.08</v>
      </c>
      <c r="AH21">
        <v>0.11</v>
      </c>
      <c r="AI21">
        <v>0.19</v>
      </c>
      <c r="AJ21">
        <v>0.12</v>
      </c>
      <c r="AK21">
        <v>0.04</v>
      </c>
      <c r="AL21">
        <v>0.15</v>
      </c>
      <c r="AM21">
        <v>0.11</v>
      </c>
      <c r="AN21">
        <v>0.04</v>
      </c>
      <c r="AO21">
        <v>0.14000000000000001</v>
      </c>
      <c r="AR21">
        <v>0.05</v>
      </c>
      <c r="AW21">
        <v>0.04</v>
      </c>
      <c r="AY21" s="13">
        <v>77.916666666666671</v>
      </c>
      <c r="AZ21">
        <v>90</v>
      </c>
      <c r="BA21">
        <v>80</v>
      </c>
      <c r="BB21">
        <v>81</v>
      </c>
      <c r="BC21">
        <v>79</v>
      </c>
      <c r="BD21">
        <v>71</v>
      </c>
      <c r="BE21">
        <v>84</v>
      </c>
      <c r="BF21">
        <v>80</v>
      </c>
      <c r="BG21">
        <v>73</v>
      </c>
      <c r="BH21">
        <v>77</v>
      </c>
      <c r="BI21">
        <v>76</v>
      </c>
      <c r="BL21">
        <v>68</v>
      </c>
      <c r="BQ21">
        <v>76</v>
      </c>
      <c r="BS21">
        <v>0.28000000000000003</v>
      </c>
      <c r="BT21">
        <v>7.0000000000000007E-2</v>
      </c>
      <c r="BU21">
        <v>0.49</v>
      </c>
      <c r="BV21">
        <v>0.11</v>
      </c>
      <c r="BW21">
        <v>0.03</v>
      </c>
      <c r="BX21">
        <v>0.12</v>
      </c>
      <c r="BY21">
        <v>0.5</v>
      </c>
      <c r="CA21">
        <v>0.04</v>
      </c>
      <c r="CB21">
        <v>10</v>
      </c>
      <c r="CC21">
        <v>24</v>
      </c>
      <c r="CF21" s="2">
        <v>3.8592000000000048</v>
      </c>
      <c r="CH21" s="47">
        <v>0</v>
      </c>
      <c r="CI21" s="47">
        <v>0</v>
      </c>
      <c r="CJ21" s="47">
        <v>0</v>
      </c>
      <c r="CK21" s="47">
        <v>0</v>
      </c>
      <c r="CL21" s="47">
        <v>0</v>
      </c>
      <c r="CM21" s="47">
        <v>0</v>
      </c>
      <c r="CN21" s="47">
        <v>0</v>
      </c>
      <c r="CO21" s="47">
        <v>0</v>
      </c>
      <c r="CP21" s="47">
        <v>0</v>
      </c>
      <c r="CQ21" s="47">
        <v>0</v>
      </c>
      <c r="CR21" s="47">
        <v>0</v>
      </c>
      <c r="CS21" s="47">
        <v>0</v>
      </c>
      <c r="CT21" s="47">
        <v>0</v>
      </c>
      <c r="CU21" s="47"/>
      <c r="CV21" s="47">
        <v>2.2440000000000002</v>
      </c>
      <c r="CW21" s="47">
        <f t="shared" si="26"/>
        <v>0.16200000000000001</v>
      </c>
      <c r="CX21" s="47">
        <f t="shared" si="27"/>
        <v>6.4000000000000001E-2</v>
      </c>
      <c r="CY21" s="47">
        <f t="shared" si="28"/>
        <v>8.9099999999999999E-2</v>
      </c>
      <c r="CZ21" s="47">
        <f t="shared" si="29"/>
        <v>0.15010000000000001</v>
      </c>
      <c r="DA21" s="47">
        <f t="shared" si="30"/>
        <v>8.5199999999999998E-2</v>
      </c>
      <c r="DB21" s="47">
        <f t="shared" si="31"/>
        <v>3.3599999999999998E-2</v>
      </c>
      <c r="DC21" s="47">
        <f t="shared" si="32"/>
        <v>6.7599999999999993E-2</v>
      </c>
      <c r="DD21" s="47">
        <f t="shared" si="12"/>
        <v>0.12</v>
      </c>
      <c r="DE21" s="47">
        <f t="shared" si="5"/>
        <v>0.15040000000000001</v>
      </c>
      <c r="DF21" s="47">
        <f t="shared" si="13"/>
        <v>8.0299999999999996E-2</v>
      </c>
      <c r="DG21" s="47">
        <f t="shared" si="14"/>
        <v>3.0800000000000001E-2</v>
      </c>
      <c r="DH21" s="47">
        <f t="shared" si="15"/>
        <v>0.10640000000000001</v>
      </c>
      <c r="DI21" s="47"/>
      <c r="DJ21" s="47"/>
      <c r="DK21" s="47"/>
      <c r="DL21" s="47"/>
      <c r="DM21" s="47"/>
      <c r="DN21" s="47"/>
      <c r="DO21" s="47"/>
      <c r="DP21" s="47"/>
      <c r="DQ21">
        <f t="shared" si="18"/>
        <v>1.2E-2</v>
      </c>
      <c r="DR21">
        <f t="shared" si="19"/>
        <v>2.8799999999999999E-2</v>
      </c>
      <c r="DS21">
        <f t="shared" si="33"/>
        <v>0</v>
      </c>
      <c r="DT21">
        <f t="shared" si="34"/>
        <v>0</v>
      </c>
      <c r="DV21" s="110"/>
      <c r="DW21" s="111">
        <f t="shared" si="35"/>
        <v>0</v>
      </c>
      <c r="DX21" s="112"/>
      <c r="DY21" s="94"/>
      <c r="DZ21" s="94"/>
      <c r="EA21" s="272"/>
      <c r="EB21" s="113">
        <f t="shared" si="36"/>
        <v>0</v>
      </c>
      <c r="EC21" s="6"/>
      <c r="ED21" s="92"/>
      <c r="EE21" s="92"/>
      <c r="EF21" s="92"/>
      <c r="EG21" s="204">
        <v>0.04</v>
      </c>
      <c r="EH21" s="118"/>
      <c r="EI21" s="82"/>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80">
        <f t="shared" si="21"/>
        <v>0.70886075949367089</v>
      </c>
      <c r="FN21" s="80">
        <f t="shared" si="22"/>
        <v>0.59360426382411724</v>
      </c>
      <c r="FO21" s="115">
        <f t="shared" si="23"/>
        <v>1.1941638608305276</v>
      </c>
      <c r="FP21" s="115">
        <f t="shared" si="24"/>
        <v>0.20519653564290471</v>
      </c>
      <c r="FQ21" s="116">
        <f t="shared" si="25"/>
        <v>5.2118055555555563E-2</v>
      </c>
    </row>
    <row r="22" spans="1:173" x14ac:dyDescent="0.25">
      <c r="A22" s="61">
        <v>13</v>
      </c>
      <c r="B22" t="s">
        <v>239</v>
      </c>
      <c r="C22">
        <v>3828</v>
      </c>
      <c r="D22">
        <v>2773</v>
      </c>
      <c r="E22">
        <v>2728</v>
      </c>
      <c r="F22">
        <v>1757</v>
      </c>
      <c r="H22">
        <v>90.9</v>
      </c>
      <c r="I22">
        <v>6.64</v>
      </c>
      <c r="K22">
        <v>2.4900000000000002</v>
      </c>
      <c r="M22">
        <v>7.73</v>
      </c>
      <c r="T22">
        <v>2.5299999999999998</v>
      </c>
      <c r="U22">
        <v>21.23</v>
      </c>
      <c r="V22">
        <v>20.2</v>
      </c>
      <c r="AB22">
        <v>71.510000000000005</v>
      </c>
      <c r="AC22">
        <v>78</v>
      </c>
      <c r="AD22" s="9">
        <v>38.704300000000003</v>
      </c>
      <c r="AF22">
        <v>0.26</v>
      </c>
      <c r="AG22">
        <v>0.12</v>
      </c>
      <c r="AH22">
        <v>0.18</v>
      </c>
      <c r="AI22">
        <v>0.32</v>
      </c>
      <c r="AJ22">
        <v>0.19</v>
      </c>
      <c r="AK22">
        <v>7.0000000000000007E-2</v>
      </c>
      <c r="AL22">
        <v>0.24</v>
      </c>
      <c r="AM22">
        <v>0.18</v>
      </c>
      <c r="AN22">
        <v>0.05</v>
      </c>
      <c r="AO22">
        <v>0.24</v>
      </c>
      <c r="AR22">
        <v>0.08</v>
      </c>
      <c r="AW22">
        <v>0.16</v>
      </c>
      <c r="AY22" s="13">
        <v>81.083333333333329</v>
      </c>
      <c r="AZ22">
        <v>89</v>
      </c>
      <c r="BA22">
        <v>84</v>
      </c>
      <c r="BB22">
        <v>81</v>
      </c>
      <c r="BC22">
        <v>83</v>
      </c>
      <c r="BD22">
        <v>77</v>
      </c>
      <c r="BE22">
        <v>85</v>
      </c>
      <c r="BF22">
        <v>84</v>
      </c>
      <c r="BG22">
        <v>76</v>
      </c>
      <c r="BH22">
        <v>77</v>
      </c>
      <c r="BI22">
        <v>78</v>
      </c>
      <c r="BL22">
        <v>73</v>
      </c>
      <c r="BQ22">
        <v>86</v>
      </c>
      <c r="BS22">
        <v>1.71</v>
      </c>
      <c r="BU22">
        <v>0.74</v>
      </c>
      <c r="BV22">
        <v>0.11</v>
      </c>
      <c r="BW22">
        <v>0.52</v>
      </c>
      <c r="BX22">
        <v>0.09</v>
      </c>
      <c r="BY22">
        <v>7.0000000000000007E-2</v>
      </c>
      <c r="CA22">
        <v>0.04</v>
      </c>
      <c r="CB22">
        <v>69</v>
      </c>
      <c r="CC22">
        <v>50</v>
      </c>
      <c r="CF22" s="2">
        <v>55.777800000000006</v>
      </c>
      <c r="CH22" s="47">
        <v>0</v>
      </c>
      <c r="CI22" s="47">
        <v>0</v>
      </c>
      <c r="CJ22" s="47">
        <v>0</v>
      </c>
      <c r="CK22" s="47">
        <v>0</v>
      </c>
      <c r="CL22" s="47">
        <v>0</v>
      </c>
      <c r="CM22" s="47">
        <v>0</v>
      </c>
      <c r="CN22" s="47">
        <v>0</v>
      </c>
      <c r="CO22" s="47">
        <v>0</v>
      </c>
      <c r="CP22" s="47">
        <v>0</v>
      </c>
      <c r="CQ22" s="47">
        <v>0</v>
      </c>
      <c r="CR22" s="47">
        <v>0</v>
      </c>
      <c r="CS22" s="47">
        <v>0</v>
      </c>
      <c r="CT22" s="47">
        <v>0</v>
      </c>
      <c r="CU22" s="47"/>
      <c r="CV22" s="47">
        <v>5.3839333333333332</v>
      </c>
      <c r="CW22" s="47">
        <f t="shared" si="26"/>
        <v>0.23139999999999999</v>
      </c>
      <c r="CX22" s="47">
        <f t="shared" si="27"/>
        <v>0.1008</v>
      </c>
      <c r="CY22" s="47">
        <f t="shared" si="28"/>
        <v>0.14580000000000001</v>
      </c>
      <c r="CZ22" s="47">
        <f t="shared" si="29"/>
        <v>0.2656</v>
      </c>
      <c r="DA22" s="47">
        <f t="shared" si="30"/>
        <v>0.14630000000000001</v>
      </c>
      <c r="DB22" s="47">
        <f t="shared" si="31"/>
        <v>5.9500000000000004E-2</v>
      </c>
      <c r="DC22" s="47">
        <f t="shared" si="32"/>
        <v>0.11789999999999999</v>
      </c>
      <c r="DD22" s="47">
        <f t="shared" si="12"/>
        <v>0.2016</v>
      </c>
      <c r="DE22" s="47">
        <f t="shared" si="5"/>
        <v>0.3392</v>
      </c>
      <c r="DF22" s="47">
        <f t="shared" si="13"/>
        <v>0.1368</v>
      </c>
      <c r="DG22" s="47">
        <f t="shared" si="14"/>
        <v>3.85E-2</v>
      </c>
      <c r="DH22" s="47">
        <f t="shared" si="15"/>
        <v>0.18719999999999998</v>
      </c>
      <c r="DI22" s="47"/>
      <c r="DJ22" s="47"/>
      <c r="DK22" s="47"/>
      <c r="DL22" s="47"/>
      <c r="DM22" s="47"/>
      <c r="DN22" s="47"/>
      <c r="DO22" s="47"/>
      <c r="DP22" s="47"/>
      <c r="DQ22">
        <f t="shared" si="18"/>
        <v>6.2100000000000002E-2</v>
      </c>
      <c r="DR22">
        <f t="shared" si="19"/>
        <v>4.4999999999999998E-2</v>
      </c>
      <c r="DS22">
        <f t="shared" si="33"/>
        <v>0</v>
      </c>
      <c r="DT22">
        <f t="shared" si="34"/>
        <v>0</v>
      </c>
      <c r="DV22" s="273"/>
      <c r="DW22" s="111">
        <f t="shared" si="35"/>
        <v>0</v>
      </c>
      <c r="DX22" s="112"/>
      <c r="DY22" s="8"/>
      <c r="DZ22" s="8"/>
      <c r="EA22" s="81"/>
      <c r="EB22" s="113">
        <f t="shared" si="36"/>
        <v>0</v>
      </c>
      <c r="EC22" s="117"/>
      <c r="ED22" s="92"/>
      <c r="EE22" s="92"/>
      <c r="EF22" s="92"/>
      <c r="EG22" s="204">
        <v>0.04</v>
      </c>
      <c r="EH22" s="118"/>
      <c r="EI22" s="82"/>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80">
        <f t="shared" si="21"/>
        <v>0.70481927710843362</v>
      </c>
      <c r="FN22" s="80">
        <f t="shared" si="22"/>
        <v>0.54894578313253017</v>
      </c>
      <c r="FO22" s="115">
        <f t="shared" si="23"/>
        <v>1.2839506172839503</v>
      </c>
      <c r="FP22" s="115">
        <f t="shared" si="24"/>
        <v>0.14495481927710843</v>
      </c>
      <c r="FQ22" s="116">
        <f t="shared" si="25"/>
        <v>0.04</v>
      </c>
    </row>
    <row r="23" spans="1:173" x14ac:dyDescent="0.25">
      <c r="A23" s="61">
        <v>14</v>
      </c>
      <c r="B23" t="s">
        <v>240</v>
      </c>
      <c r="C23">
        <v>4199</v>
      </c>
      <c r="D23">
        <v>3010</v>
      </c>
      <c r="E23">
        <v>2861</v>
      </c>
      <c r="F23">
        <v>1747</v>
      </c>
      <c r="H23">
        <v>92</v>
      </c>
      <c r="I23">
        <v>21.9</v>
      </c>
      <c r="K23">
        <v>3</v>
      </c>
      <c r="M23">
        <v>6.2</v>
      </c>
      <c r="T23">
        <v>2.6</v>
      </c>
      <c r="U23">
        <v>51.3</v>
      </c>
      <c r="V23">
        <v>25.5</v>
      </c>
      <c r="AB23">
        <v>58.29999999999999</v>
      </c>
      <c r="AC23">
        <v>79</v>
      </c>
      <c r="AD23" s="9">
        <v>41.265999999999998</v>
      </c>
      <c r="AF23">
        <v>2.38</v>
      </c>
      <c r="AG23">
        <v>0.39</v>
      </c>
      <c r="AH23">
        <v>0.75</v>
      </c>
      <c r="AI23">
        <v>1.36</v>
      </c>
      <c r="AJ23">
        <v>0.57999999999999996</v>
      </c>
      <c r="AK23">
        <v>0.35</v>
      </c>
      <c r="AL23">
        <v>0.84</v>
      </c>
      <c r="AM23">
        <v>0.67</v>
      </c>
      <c r="AN23">
        <v>0.19</v>
      </c>
      <c r="AO23">
        <v>1.07</v>
      </c>
      <c r="AR23">
        <v>0.28999999999999998</v>
      </c>
      <c r="AW23">
        <v>0.57999999999999996</v>
      </c>
      <c r="AY23" s="13">
        <v>71.916666666666671</v>
      </c>
      <c r="AZ23">
        <v>88</v>
      </c>
      <c r="BA23">
        <v>70</v>
      </c>
      <c r="BB23">
        <v>72</v>
      </c>
      <c r="BC23">
        <v>73</v>
      </c>
      <c r="BD23">
        <v>64</v>
      </c>
      <c r="BE23">
        <v>77</v>
      </c>
      <c r="BF23">
        <v>75</v>
      </c>
      <c r="BG23">
        <v>67</v>
      </c>
      <c r="BH23">
        <v>69</v>
      </c>
      <c r="BI23">
        <v>71</v>
      </c>
      <c r="BL23">
        <v>65</v>
      </c>
      <c r="BQ23">
        <v>72</v>
      </c>
      <c r="BS23">
        <v>0.13</v>
      </c>
      <c r="BT23">
        <v>0.37</v>
      </c>
      <c r="BU23">
        <v>1.83</v>
      </c>
      <c r="BV23">
        <v>0.31</v>
      </c>
      <c r="BW23">
        <v>0.04</v>
      </c>
      <c r="BX23">
        <v>0.57999999999999996</v>
      </c>
      <c r="BY23">
        <v>0.31</v>
      </c>
      <c r="CA23">
        <v>0.26</v>
      </c>
      <c r="CB23">
        <v>34</v>
      </c>
      <c r="CC23">
        <v>44</v>
      </c>
      <c r="CD23" s="64">
        <v>50</v>
      </c>
      <c r="CE23" s="64">
        <f>CD23+10</f>
        <v>60</v>
      </c>
      <c r="CF23" s="2">
        <v>46.056999999999988</v>
      </c>
      <c r="CH23" s="47">
        <v>11.388</v>
      </c>
      <c r="CI23" s="47">
        <v>1.9278</v>
      </c>
      <c r="CJ23" s="47">
        <v>0.2457</v>
      </c>
      <c r="CK23" s="47">
        <v>0.48</v>
      </c>
      <c r="CL23" s="47">
        <v>0.92480000000000007</v>
      </c>
      <c r="CM23" s="47">
        <v>0.29580000000000001</v>
      </c>
      <c r="CN23" s="47">
        <v>0.23449999999999999</v>
      </c>
      <c r="CO23" s="47">
        <v>0.3911</v>
      </c>
      <c r="CP23" s="47">
        <v>0.59640000000000004</v>
      </c>
      <c r="CQ23" s="47">
        <v>0.90380000000000005</v>
      </c>
      <c r="CR23" s="47">
        <v>0.3417</v>
      </c>
      <c r="CS23" s="47">
        <v>0.1197</v>
      </c>
      <c r="CT23" s="47">
        <v>0.72760000000000002</v>
      </c>
      <c r="CU23" s="47"/>
      <c r="CV23" s="47">
        <v>15.749749999999999</v>
      </c>
      <c r="CW23" s="47">
        <f t="shared" si="26"/>
        <v>2.0943999999999998</v>
      </c>
      <c r="CX23" s="47">
        <f t="shared" si="27"/>
        <v>0.27300000000000002</v>
      </c>
      <c r="CY23" s="47">
        <f t="shared" si="28"/>
        <v>0.54</v>
      </c>
      <c r="CZ23" s="47">
        <f t="shared" si="29"/>
        <v>0.99280000000000002</v>
      </c>
      <c r="DA23" s="47">
        <f t="shared" si="30"/>
        <v>0.37119999999999997</v>
      </c>
      <c r="DB23" s="47">
        <f t="shared" si="31"/>
        <v>0.26950000000000002</v>
      </c>
      <c r="DC23" s="47">
        <f t="shared" si="32"/>
        <v>0.45799999999999996</v>
      </c>
      <c r="DD23" s="47">
        <f t="shared" si="12"/>
        <v>0.63</v>
      </c>
      <c r="DE23" s="47">
        <f t="shared" si="5"/>
        <v>1.0476000000000001</v>
      </c>
      <c r="DF23" s="47">
        <f t="shared" si="13"/>
        <v>0.44890000000000002</v>
      </c>
      <c r="DG23" s="47">
        <f t="shared" si="14"/>
        <v>0.13109999999999999</v>
      </c>
      <c r="DH23" s="47">
        <f t="shared" si="15"/>
        <v>0.75970000000000004</v>
      </c>
      <c r="DI23" s="47"/>
      <c r="DJ23" s="47"/>
      <c r="DK23" s="47"/>
      <c r="DL23" s="47"/>
      <c r="DM23" s="47"/>
      <c r="DN23" s="47"/>
      <c r="DO23" s="47"/>
      <c r="DP23" s="47"/>
      <c r="DQ23">
        <f t="shared" si="18"/>
        <v>0.19719999999999999</v>
      </c>
      <c r="DR23">
        <f t="shared" si="19"/>
        <v>0.25519999999999998</v>
      </c>
      <c r="DS23">
        <f t="shared" si="33"/>
        <v>6.5000000000000002E-2</v>
      </c>
      <c r="DT23">
        <f t="shared" si="34"/>
        <v>7.8000000000000014E-2</v>
      </c>
      <c r="DV23" s="273"/>
      <c r="DW23" s="111">
        <f t="shared" si="35"/>
        <v>0</v>
      </c>
      <c r="DX23" s="112"/>
      <c r="DY23" s="8"/>
      <c r="DZ23" s="8"/>
      <c r="EA23" s="81"/>
      <c r="EB23" s="113">
        <f t="shared" si="36"/>
        <v>0</v>
      </c>
      <c r="EC23" s="117"/>
      <c r="ED23" s="92"/>
      <c r="EE23" s="92"/>
      <c r="EF23" s="92"/>
      <c r="EG23" s="204">
        <v>0.22</v>
      </c>
      <c r="EH23" s="118"/>
      <c r="EI23" s="82"/>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80">
        <f t="shared" si="21"/>
        <v>0.76520950846091862</v>
      </c>
      <c r="FN23" s="80">
        <f t="shared" si="22"/>
        <v>0.54391619661563262</v>
      </c>
      <c r="FO23" s="115">
        <f t="shared" si="23"/>
        <v>1.4068518518518518</v>
      </c>
      <c r="FP23" s="115">
        <f t="shared" si="24"/>
        <v>0.13205076551168413</v>
      </c>
      <c r="FQ23" s="116">
        <f t="shared" si="25"/>
        <v>4.5333333333333337E-2</v>
      </c>
    </row>
    <row r="24" spans="1:173" x14ac:dyDescent="0.25">
      <c r="A24" s="61">
        <v>15</v>
      </c>
      <c r="B24" t="s">
        <v>241</v>
      </c>
      <c r="C24">
        <v>3933</v>
      </c>
      <c r="D24">
        <v>3451</v>
      </c>
      <c r="E24">
        <v>3395</v>
      </c>
      <c r="F24">
        <v>2672</v>
      </c>
      <c r="H24">
        <v>88.31</v>
      </c>
      <c r="I24">
        <v>8.24</v>
      </c>
      <c r="J24">
        <v>1.98</v>
      </c>
      <c r="K24">
        <v>3.48</v>
      </c>
      <c r="L24">
        <v>3.68</v>
      </c>
      <c r="M24">
        <v>1.3</v>
      </c>
      <c r="N24">
        <v>0</v>
      </c>
      <c r="O24">
        <v>0.09</v>
      </c>
      <c r="P24">
        <v>0.01</v>
      </c>
      <c r="Q24">
        <v>0.01</v>
      </c>
      <c r="R24">
        <v>0.01</v>
      </c>
      <c r="T24">
        <v>62.55</v>
      </c>
      <c r="U24">
        <v>9.11</v>
      </c>
      <c r="V24">
        <v>2.88</v>
      </c>
      <c r="W24">
        <v>0.32</v>
      </c>
      <c r="X24">
        <v>13.73</v>
      </c>
      <c r="AB24">
        <v>12.650000000000006</v>
      </c>
      <c r="AC24">
        <v>55</v>
      </c>
      <c r="AD24" s="9">
        <v>40.263400000000004</v>
      </c>
      <c r="AF24">
        <v>0.37</v>
      </c>
      <c r="AG24">
        <v>0.24</v>
      </c>
      <c r="AH24">
        <v>0.28000000000000003</v>
      </c>
      <c r="AI24">
        <v>0.96</v>
      </c>
      <c r="AJ24">
        <v>0.25</v>
      </c>
      <c r="AK24">
        <v>0.18</v>
      </c>
      <c r="AL24">
        <v>0.39</v>
      </c>
      <c r="AM24">
        <v>0.28000000000000003</v>
      </c>
      <c r="AN24">
        <v>0.06</v>
      </c>
      <c r="AO24">
        <v>0.38</v>
      </c>
      <c r="AP24">
        <v>0.6</v>
      </c>
      <c r="AQ24">
        <v>0.54</v>
      </c>
      <c r="AR24">
        <v>0.19</v>
      </c>
      <c r="AS24">
        <v>1.48</v>
      </c>
      <c r="AT24">
        <v>0.31</v>
      </c>
      <c r="AU24">
        <v>0.71</v>
      </c>
      <c r="AV24">
        <v>0.38</v>
      </c>
      <c r="AW24">
        <v>0.26</v>
      </c>
      <c r="AY24">
        <v>80</v>
      </c>
      <c r="AZ24">
        <v>87</v>
      </c>
      <c r="BA24">
        <v>83</v>
      </c>
      <c r="BB24">
        <v>82</v>
      </c>
      <c r="BC24">
        <v>87</v>
      </c>
      <c r="BD24">
        <v>74</v>
      </c>
      <c r="BE24">
        <v>83</v>
      </c>
      <c r="BF24">
        <v>85</v>
      </c>
      <c r="BG24">
        <v>77</v>
      </c>
      <c r="BH24">
        <v>80</v>
      </c>
      <c r="BI24">
        <v>82</v>
      </c>
      <c r="BJ24">
        <v>81</v>
      </c>
      <c r="BK24">
        <v>79</v>
      </c>
      <c r="BL24">
        <v>80</v>
      </c>
      <c r="BM24">
        <v>84</v>
      </c>
      <c r="BN24">
        <v>84</v>
      </c>
      <c r="BO24">
        <v>93</v>
      </c>
      <c r="BP24">
        <v>82</v>
      </c>
      <c r="BQ24">
        <v>79</v>
      </c>
      <c r="BS24">
        <v>0.02</v>
      </c>
      <c r="BT24">
        <v>0.05</v>
      </c>
      <c r="BU24">
        <v>0.32</v>
      </c>
      <c r="BV24">
        <v>0.12</v>
      </c>
      <c r="BW24">
        <v>0.02</v>
      </c>
      <c r="BX24">
        <v>0.26</v>
      </c>
      <c r="CA24">
        <v>0.21</v>
      </c>
      <c r="CB24">
        <v>26</v>
      </c>
      <c r="CC24">
        <v>34</v>
      </c>
      <c r="CD24" s="64">
        <v>50</v>
      </c>
      <c r="CE24" s="64">
        <f t="shared" ref="CE24:CE36" si="37">CD24+10</f>
        <v>60</v>
      </c>
      <c r="CF24" s="2">
        <v>6.9575000000000031</v>
      </c>
      <c r="CH24" s="47">
        <v>5.3559999999999999</v>
      </c>
      <c r="CI24" s="47">
        <v>0.27750000000000002</v>
      </c>
      <c r="CJ24" s="47">
        <v>0.18479999999999999</v>
      </c>
      <c r="CK24" s="47">
        <v>0.20440000000000003</v>
      </c>
      <c r="CL24" s="47">
        <v>0.78720000000000001</v>
      </c>
      <c r="CM24" s="47">
        <v>0.15</v>
      </c>
      <c r="CN24" s="47">
        <v>0.1386</v>
      </c>
      <c r="CO24" s="47">
        <v>0.28110000000000002</v>
      </c>
      <c r="CP24" s="47">
        <v>0.30420000000000003</v>
      </c>
      <c r="CQ24" s="47">
        <v>0.49660000000000004</v>
      </c>
      <c r="CR24" s="47">
        <v>0.17080000000000001</v>
      </c>
      <c r="CS24" s="47">
        <v>3.7199999999999997E-2</v>
      </c>
      <c r="CT24" s="47">
        <v>0.26979999999999998</v>
      </c>
      <c r="CU24" s="47"/>
      <c r="CV24" s="47">
        <v>6.5920000000000005</v>
      </c>
      <c r="CW24" s="47">
        <f t="shared" si="26"/>
        <v>0.32189999999999996</v>
      </c>
      <c r="CX24" s="47">
        <f t="shared" si="27"/>
        <v>0.19919999999999999</v>
      </c>
      <c r="CY24" s="47">
        <f t="shared" si="28"/>
        <v>0.2296</v>
      </c>
      <c r="CZ24" s="47">
        <f t="shared" si="29"/>
        <v>0.83519999999999994</v>
      </c>
      <c r="DA24" s="47">
        <f t="shared" si="30"/>
        <v>0.185</v>
      </c>
      <c r="DB24" s="47">
        <f t="shared" si="31"/>
        <v>0.14940000000000001</v>
      </c>
      <c r="DC24" s="47">
        <f t="shared" si="32"/>
        <v>0.3014</v>
      </c>
      <c r="DD24" s="47">
        <f t="shared" si="12"/>
        <v>0.33149999999999996</v>
      </c>
      <c r="DE24" s="47">
        <f t="shared" si="5"/>
        <v>0.53689999999999993</v>
      </c>
      <c r="DF24" s="47">
        <f t="shared" si="13"/>
        <v>0.21560000000000001</v>
      </c>
      <c r="DG24" s="47">
        <f t="shared" si="14"/>
        <v>4.8000000000000001E-2</v>
      </c>
      <c r="DH24" s="47">
        <f t="shared" si="15"/>
        <v>0.31159999999999999</v>
      </c>
      <c r="DI24" s="47">
        <f t="shared" ref="DI24:DP24" si="38">AP24*BJ24/100</f>
        <v>0.48599999999999999</v>
      </c>
      <c r="DJ24" s="47">
        <f t="shared" si="38"/>
        <v>0.42660000000000003</v>
      </c>
      <c r="DK24" s="47">
        <f t="shared" si="38"/>
        <v>0.152</v>
      </c>
      <c r="DL24" s="47">
        <f t="shared" si="38"/>
        <v>1.2431999999999999</v>
      </c>
      <c r="DM24" s="47">
        <f t="shared" si="38"/>
        <v>0.26039999999999996</v>
      </c>
      <c r="DN24" s="47">
        <f t="shared" si="38"/>
        <v>0.6603</v>
      </c>
      <c r="DO24" s="47">
        <f t="shared" si="38"/>
        <v>0.31159999999999999</v>
      </c>
      <c r="DP24" s="47">
        <f t="shared" si="38"/>
        <v>0.2054</v>
      </c>
      <c r="DQ24">
        <f t="shared" si="18"/>
        <v>6.7599999999999993E-2</v>
      </c>
      <c r="DR24">
        <f t="shared" si="19"/>
        <v>8.8399999999999992E-2</v>
      </c>
      <c r="DS24">
        <f t="shared" si="33"/>
        <v>0.01</v>
      </c>
      <c r="DT24">
        <f t="shared" si="34"/>
        <v>1.2E-2</v>
      </c>
      <c r="DV24" s="110"/>
      <c r="DW24" s="111">
        <f t="shared" si="35"/>
        <v>160.71428571428572</v>
      </c>
      <c r="DX24" s="112">
        <f>'DDGS Calculator'!D5/56</f>
        <v>8.0357142857142863E-2</v>
      </c>
      <c r="DY24" s="94">
        <v>2650</v>
      </c>
      <c r="DZ24" s="94">
        <v>2730</v>
      </c>
      <c r="EA24" s="81">
        <v>0.14000000000000001</v>
      </c>
      <c r="EB24" s="113">
        <f t="shared" si="36"/>
        <v>3.6400000000000002E-2</v>
      </c>
      <c r="EC24" s="6">
        <v>1.92</v>
      </c>
      <c r="ED24" s="92">
        <v>0</v>
      </c>
      <c r="EE24" s="92">
        <v>0</v>
      </c>
      <c r="EF24" s="92"/>
      <c r="EG24" s="204">
        <v>0.19</v>
      </c>
      <c r="EH24" s="118">
        <f>125*K24/10</f>
        <v>43.5</v>
      </c>
      <c r="EI24" s="82">
        <f>IF(AR24="","",AR24*BL24)</f>
        <v>15.2</v>
      </c>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v>51.69</v>
      </c>
      <c r="FJ24" s="6">
        <v>1.6</v>
      </c>
      <c r="FK24" s="7">
        <f>SUM(FI24:FJ24)/100*K24</f>
        <v>1.854492</v>
      </c>
      <c r="FL24" s="6"/>
      <c r="FM24" s="80">
        <f t="shared" si="21"/>
        <v>0.37308429118773945</v>
      </c>
      <c r="FN24" s="80">
        <f t="shared" si="22"/>
        <v>0.27490421455938702</v>
      </c>
      <c r="FO24" s="115">
        <f t="shared" si="23"/>
        <v>1.3571428571428572</v>
      </c>
      <c r="FP24" s="115">
        <f t="shared" si="24"/>
        <v>5.7471264367816098E-2</v>
      </c>
      <c r="FQ24" s="116">
        <f t="shared" si="25"/>
        <v>0.10135922330097086</v>
      </c>
    </row>
    <row r="25" spans="1:173" x14ac:dyDescent="0.25">
      <c r="A25" s="61">
        <v>16</v>
      </c>
      <c r="B25" t="s">
        <v>242</v>
      </c>
      <c r="C25">
        <v>3987</v>
      </c>
      <c r="D25">
        <v>3455</v>
      </c>
      <c r="E25">
        <v>3394</v>
      </c>
      <c r="F25">
        <v>2718</v>
      </c>
      <c r="H25">
        <v>87.93</v>
      </c>
      <c r="I25">
        <v>9.02</v>
      </c>
      <c r="J25">
        <v>2.2200000000000002</v>
      </c>
      <c r="K25">
        <v>4.8499999999999996</v>
      </c>
      <c r="L25">
        <v>5.01</v>
      </c>
      <c r="M25">
        <v>1.44</v>
      </c>
      <c r="T25">
        <v>67.44</v>
      </c>
      <c r="U25">
        <v>6.98</v>
      </c>
      <c r="V25">
        <v>2.33</v>
      </c>
      <c r="X25">
        <v>9.6</v>
      </c>
      <c r="AB25">
        <v>5.180000000000021</v>
      </c>
      <c r="AC25">
        <v>55</v>
      </c>
      <c r="AD25" s="9">
        <v>40.47120000000001</v>
      </c>
      <c r="AF25">
        <v>0.44</v>
      </c>
      <c r="AG25">
        <v>0.26</v>
      </c>
      <c r="AH25">
        <v>0.32</v>
      </c>
      <c r="AI25">
        <v>1.0900000000000001</v>
      </c>
      <c r="AJ25">
        <v>0.27</v>
      </c>
      <c r="AK25">
        <v>0.2</v>
      </c>
      <c r="AL25">
        <v>0.43</v>
      </c>
      <c r="AM25">
        <v>0.31</v>
      </c>
      <c r="AN25">
        <v>7.0000000000000007E-2</v>
      </c>
      <c r="AO25">
        <v>0.44</v>
      </c>
      <c r="AR25">
        <v>0.22</v>
      </c>
      <c r="AW25">
        <v>0.28000000000000003</v>
      </c>
      <c r="AY25">
        <v>83</v>
      </c>
      <c r="AZ25">
        <v>83</v>
      </c>
      <c r="BA25">
        <v>82</v>
      </c>
      <c r="BB25">
        <v>85</v>
      </c>
      <c r="BC25">
        <v>87</v>
      </c>
      <c r="BD25">
        <v>79</v>
      </c>
      <c r="BE25">
        <v>83</v>
      </c>
      <c r="BF25">
        <v>86</v>
      </c>
      <c r="BG25">
        <v>78</v>
      </c>
      <c r="BH25">
        <v>76</v>
      </c>
      <c r="BI25">
        <v>81</v>
      </c>
      <c r="BL25">
        <v>82</v>
      </c>
      <c r="BQ25">
        <v>80</v>
      </c>
      <c r="BS25">
        <v>0.04</v>
      </c>
      <c r="BU25">
        <v>0.3</v>
      </c>
      <c r="BV25">
        <v>0.11</v>
      </c>
      <c r="BX25">
        <v>0.27</v>
      </c>
      <c r="CA25">
        <v>0.16</v>
      </c>
      <c r="CB25">
        <v>26</v>
      </c>
      <c r="CC25">
        <v>34</v>
      </c>
      <c r="CD25" s="64">
        <v>50</v>
      </c>
      <c r="CE25" s="64">
        <f t="shared" si="37"/>
        <v>60</v>
      </c>
      <c r="CF25" s="2">
        <v>2.8490000000000117</v>
      </c>
      <c r="CH25" s="47">
        <v>6.6748000000000003</v>
      </c>
      <c r="CI25" s="47">
        <v>0.33</v>
      </c>
      <c r="CJ25" s="47">
        <v>0.20019999999999999</v>
      </c>
      <c r="CK25" s="47">
        <v>0.2432</v>
      </c>
      <c r="CL25" s="47">
        <v>0.90470000000000017</v>
      </c>
      <c r="CM25" s="47">
        <v>0.17550000000000002</v>
      </c>
      <c r="CN25" s="47">
        <v>0.158</v>
      </c>
      <c r="CO25" s="47">
        <v>0.3296</v>
      </c>
      <c r="CP25" s="47">
        <v>0.34399999999999997</v>
      </c>
      <c r="CQ25" s="47">
        <v>0.54</v>
      </c>
      <c r="CR25" s="47">
        <v>0.19219999999999998</v>
      </c>
      <c r="CS25" s="47">
        <v>4.5500000000000006E-2</v>
      </c>
      <c r="CT25" s="47">
        <v>0.31679999999999997</v>
      </c>
      <c r="CU25" s="47"/>
      <c r="CV25" s="47">
        <v>7.4865999999999993</v>
      </c>
      <c r="CW25" s="47">
        <f t="shared" si="26"/>
        <v>0.36520000000000002</v>
      </c>
      <c r="CX25" s="47">
        <f t="shared" si="27"/>
        <v>0.2132</v>
      </c>
      <c r="CY25" s="47">
        <f t="shared" si="28"/>
        <v>0.27200000000000002</v>
      </c>
      <c r="CZ25" s="47">
        <f t="shared" si="29"/>
        <v>0.94830000000000014</v>
      </c>
      <c r="DA25" s="47">
        <f t="shared" si="30"/>
        <v>0.21330000000000002</v>
      </c>
      <c r="DB25" s="47">
        <f t="shared" si="31"/>
        <v>0.16600000000000001</v>
      </c>
      <c r="DC25" s="47">
        <f t="shared" si="32"/>
        <v>0.34639999999999999</v>
      </c>
      <c r="DD25" s="47">
        <f t="shared" si="12"/>
        <v>0.36979999999999996</v>
      </c>
      <c r="DE25" s="47">
        <f t="shared" si="5"/>
        <v>0.59379999999999999</v>
      </c>
      <c r="DF25" s="47">
        <f t="shared" si="13"/>
        <v>0.24179999999999999</v>
      </c>
      <c r="DG25" s="47">
        <f t="shared" si="14"/>
        <v>5.3200000000000004E-2</v>
      </c>
      <c r="DH25" s="47">
        <f t="shared" si="15"/>
        <v>0.35639999999999999</v>
      </c>
      <c r="DI25" s="47"/>
      <c r="DJ25" s="47"/>
      <c r="DK25" s="47"/>
      <c r="DL25" s="47"/>
      <c r="DM25" s="47"/>
      <c r="DN25" s="47"/>
      <c r="DO25" s="47"/>
      <c r="DP25" s="47"/>
      <c r="DQ25">
        <f t="shared" si="18"/>
        <v>7.0199999999999999E-2</v>
      </c>
      <c r="DR25">
        <f t="shared" si="19"/>
        <v>9.1799999999999993E-2</v>
      </c>
      <c r="DS25">
        <f t="shared" si="33"/>
        <v>0.02</v>
      </c>
      <c r="DT25">
        <f t="shared" si="34"/>
        <v>2.4E-2</v>
      </c>
      <c r="DV25" s="110"/>
      <c r="DW25" s="111">
        <f t="shared" si="35"/>
        <v>96</v>
      </c>
      <c r="DX25" s="112">
        <v>4.8000000000000001E-2</v>
      </c>
      <c r="DY25" s="94"/>
      <c r="DZ25" s="94"/>
      <c r="EA25" s="81">
        <v>0.14000000000000001</v>
      </c>
      <c r="EB25" s="113">
        <f t="shared" si="36"/>
        <v>3.7800000000000007E-2</v>
      </c>
      <c r="EC25" s="107">
        <f>0.59*K25</f>
        <v>2.8614999999999995</v>
      </c>
      <c r="ED25" s="92">
        <v>0</v>
      </c>
      <c r="EE25" s="92">
        <v>0</v>
      </c>
      <c r="EF25" s="92"/>
      <c r="EG25" s="204">
        <v>0.16</v>
      </c>
      <c r="EH25" s="107">
        <f>125*K25/10</f>
        <v>60.625</v>
      </c>
      <c r="EI25" s="82">
        <f>IF(AR25="","",AR25*BL25)</f>
        <v>18.04</v>
      </c>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80">
        <f t="shared" si="21"/>
        <v>0.37583043340714956</v>
      </c>
      <c r="FN25" s="80">
        <f t="shared" si="22"/>
        <v>0.2868290625329537</v>
      </c>
      <c r="FO25" s="115">
        <f t="shared" si="23"/>
        <v>1.3102941176470586</v>
      </c>
      <c r="FP25" s="115">
        <f t="shared" si="24"/>
        <v>5.6100390171886533E-2</v>
      </c>
      <c r="FQ25" s="116">
        <f t="shared" si="25"/>
        <v>0.10513303769401332</v>
      </c>
    </row>
    <row r="26" spans="1:173" x14ac:dyDescent="0.25">
      <c r="A26" s="61">
        <v>17</v>
      </c>
      <c r="B26" t="s">
        <v>243</v>
      </c>
      <c r="C26">
        <v>4652</v>
      </c>
      <c r="D26">
        <v>2649</v>
      </c>
      <c r="E26">
        <v>2584</v>
      </c>
      <c r="F26">
        <v>1977</v>
      </c>
      <c r="H26">
        <v>88.5</v>
      </c>
      <c r="I26">
        <v>9.5299999999999994</v>
      </c>
      <c r="J26">
        <v>6.61</v>
      </c>
      <c r="K26">
        <v>8.52</v>
      </c>
      <c r="M26">
        <v>2.5299999999999998</v>
      </c>
      <c r="N26">
        <v>0</v>
      </c>
      <c r="O26">
        <v>0</v>
      </c>
      <c r="P26">
        <v>0</v>
      </c>
      <c r="Q26">
        <v>0</v>
      </c>
      <c r="R26">
        <v>0</v>
      </c>
      <c r="T26">
        <v>31.73</v>
      </c>
      <c r="U26">
        <v>32.96</v>
      </c>
      <c r="V26">
        <v>9.23</v>
      </c>
      <c r="AB26">
        <v>36.19</v>
      </c>
      <c r="AC26">
        <v>43</v>
      </c>
      <c r="AD26" s="9">
        <v>41.772799999999997</v>
      </c>
      <c r="AF26">
        <v>0.56000000000000005</v>
      </c>
      <c r="AG26">
        <v>0.28999999999999998</v>
      </c>
      <c r="AH26">
        <v>0.3</v>
      </c>
      <c r="AI26">
        <v>0.97</v>
      </c>
      <c r="AJ26">
        <v>0.35</v>
      </c>
      <c r="AK26">
        <v>0.19</v>
      </c>
      <c r="AL26">
        <v>0.37</v>
      </c>
      <c r="AM26">
        <v>0.35</v>
      </c>
      <c r="AN26">
        <v>0.08</v>
      </c>
      <c r="AO26">
        <v>0.46</v>
      </c>
      <c r="AR26">
        <v>0.2</v>
      </c>
      <c r="AW26">
        <v>0.3</v>
      </c>
      <c r="AY26" s="13">
        <v>80.5</v>
      </c>
      <c r="AZ26">
        <v>89</v>
      </c>
      <c r="BA26">
        <v>83</v>
      </c>
      <c r="BB26">
        <v>81</v>
      </c>
      <c r="BC26">
        <v>84</v>
      </c>
      <c r="BD26">
        <v>74</v>
      </c>
      <c r="BE26">
        <v>86</v>
      </c>
      <c r="BF26">
        <v>83</v>
      </c>
      <c r="BG26">
        <v>74</v>
      </c>
      <c r="BH26">
        <v>75</v>
      </c>
      <c r="BI26">
        <v>79</v>
      </c>
      <c r="BL26">
        <v>73</v>
      </c>
      <c r="BQ26">
        <v>85</v>
      </c>
      <c r="BS26">
        <v>0.47</v>
      </c>
      <c r="BX26">
        <v>0.28999999999999998</v>
      </c>
      <c r="CB26">
        <v>20</v>
      </c>
      <c r="CC26">
        <v>27</v>
      </c>
      <c r="CD26" s="64">
        <v>50</v>
      </c>
      <c r="CE26" s="64">
        <f t="shared" si="37"/>
        <v>60</v>
      </c>
      <c r="CF26" s="2">
        <v>15.561699999999998</v>
      </c>
      <c r="CH26" s="47">
        <v>6.0038999999999998</v>
      </c>
      <c r="CI26" s="47">
        <v>0</v>
      </c>
      <c r="CJ26" s="47">
        <v>0</v>
      </c>
      <c r="CK26" s="47">
        <v>0.21</v>
      </c>
      <c r="CL26" s="47">
        <v>0.77599999999999991</v>
      </c>
      <c r="CM26" s="47">
        <v>0.20649999999999999</v>
      </c>
      <c r="CN26" s="47">
        <v>0.15579999999999999</v>
      </c>
      <c r="CO26" s="47">
        <v>0.2838</v>
      </c>
      <c r="CP26" s="47">
        <v>0.27379999999999999</v>
      </c>
      <c r="CQ26" s="47">
        <v>0.50180000000000002</v>
      </c>
      <c r="CR26" s="47">
        <v>0.1925</v>
      </c>
      <c r="CS26" s="47">
        <v>4.3200000000000002E-2</v>
      </c>
      <c r="CT26" s="47">
        <v>0.31740000000000002</v>
      </c>
      <c r="CU26" s="47"/>
      <c r="CV26" s="47">
        <v>7.6716499999999996</v>
      </c>
      <c r="CW26" s="47">
        <f t="shared" si="26"/>
        <v>0.49840000000000001</v>
      </c>
      <c r="CX26" s="47">
        <f t="shared" si="27"/>
        <v>0.24069999999999997</v>
      </c>
      <c r="CY26" s="47">
        <f t="shared" si="28"/>
        <v>0.24299999999999999</v>
      </c>
      <c r="CZ26" s="47">
        <f t="shared" si="29"/>
        <v>0.81480000000000008</v>
      </c>
      <c r="DA26" s="47">
        <f t="shared" si="30"/>
        <v>0.25900000000000001</v>
      </c>
      <c r="DB26" s="47">
        <f t="shared" si="31"/>
        <v>0.16339999999999999</v>
      </c>
      <c r="DC26" s="47">
        <f t="shared" si="32"/>
        <v>0.30940000000000001</v>
      </c>
      <c r="DD26" s="47">
        <f t="shared" si="12"/>
        <v>0.30709999999999998</v>
      </c>
      <c r="DE26" s="47">
        <f t="shared" si="5"/>
        <v>0.56210000000000004</v>
      </c>
      <c r="DF26" s="47">
        <f t="shared" si="13"/>
        <v>0.25900000000000001</v>
      </c>
      <c r="DG26" s="47">
        <f t="shared" si="14"/>
        <v>0.06</v>
      </c>
      <c r="DH26" s="47">
        <f t="shared" si="15"/>
        <v>0.36340000000000006</v>
      </c>
      <c r="DI26" s="47"/>
      <c r="DJ26" s="47"/>
      <c r="DK26" s="47"/>
      <c r="DL26" s="47"/>
      <c r="DM26" s="47"/>
      <c r="DN26" s="47"/>
      <c r="DO26" s="47"/>
      <c r="DP26" s="47"/>
      <c r="DQ26">
        <f t="shared" si="18"/>
        <v>5.7999999999999996E-2</v>
      </c>
      <c r="DR26">
        <f t="shared" si="19"/>
        <v>7.8299999999999995E-2</v>
      </c>
      <c r="DS26">
        <f t="shared" si="33"/>
        <v>0.23499999999999999</v>
      </c>
      <c r="DT26">
        <f t="shared" si="34"/>
        <v>0.28199999999999997</v>
      </c>
      <c r="DV26" s="273"/>
      <c r="DW26" s="111">
        <f t="shared" si="35"/>
        <v>0</v>
      </c>
      <c r="DX26" s="112"/>
      <c r="DY26" s="8"/>
      <c r="DZ26" s="8"/>
      <c r="EA26" s="81"/>
      <c r="EB26" s="113">
        <f t="shared" si="36"/>
        <v>0</v>
      </c>
      <c r="EC26" s="117"/>
      <c r="ED26" s="92"/>
      <c r="EE26" s="92"/>
      <c r="EF26" s="92"/>
      <c r="EG26" s="204">
        <v>0.35</v>
      </c>
      <c r="EH26" s="118"/>
      <c r="EI26" s="82"/>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80">
        <f t="shared" si="21"/>
        <v>0.44599901816396664</v>
      </c>
      <c r="FN26" s="80">
        <f t="shared" si="22"/>
        <v>0.29823269513991157</v>
      </c>
      <c r="FO26" s="115">
        <f t="shared" si="23"/>
        <v>1.4954732510288069</v>
      </c>
      <c r="FP26" s="115">
        <f t="shared" si="24"/>
        <v>7.3637702503681873E-2</v>
      </c>
      <c r="FQ26" s="116">
        <f t="shared" si="25"/>
        <v>8.5498426023085008E-2</v>
      </c>
    </row>
    <row r="27" spans="1:173" x14ac:dyDescent="0.25">
      <c r="A27" s="61">
        <v>18</v>
      </c>
      <c r="B27" t="s">
        <v>244</v>
      </c>
      <c r="C27">
        <v>4919</v>
      </c>
      <c r="D27">
        <v>3355</v>
      </c>
      <c r="E27">
        <v>3158</v>
      </c>
      <c r="F27">
        <v>2109</v>
      </c>
      <c r="H27">
        <v>90.82</v>
      </c>
      <c r="I27">
        <v>28.89</v>
      </c>
      <c r="J27">
        <v>9.48</v>
      </c>
      <c r="K27">
        <v>8.69</v>
      </c>
      <c r="M27">
        <v>3.04</v>
      </c>
      <c r="T27">
        <v>3.83</v>
      </c>
      <c r="U27">
        <v>41.86</v>
      </c>
      <c r="V27">
        <v>15.55</v>
      </c>
      <c r="X27">
        <v>43.9</v>
      </c>
      <c r="AB27">
        <v>46.37</v>
      </c>
      <c r="AC27">
        <v>43</v>
      </c>
      <c r="AD27" s="9">
        <v>44.467799999999997</v>
      </c>
      <c r="AF27">
        <v>1.22</v>
      </c>
      <c r="AG27">
        <v>0.78</v>
      </c>
      <c r="AH27">
        <v>1.19</v>
      </c>
      <c r="AI27">
        <v>4.03</v>
      </c>
      <c r="AJ27">
        <v>0.87</v>
      </c>
      <c r="AK27">
        <v>0.62</v>
      </c>
      <c r="AL27">
        <v>1.62</v>
      </c>
      <c r="AM27">
        <v>1.1299999999999999</v>
      </c>
      <c r="AN27">
        <v>0.21</v>
      </c>
      <c r="AO27">
        <v>1.56</v>
      </c>
      <c r="AR27">
        <v>0.56999999999999995</v>
      </c>
      <c r="AW27">
        <v>1.31</v>
      </c>
      <c r="AY27">
        <v>76</v>
      </c>
      <c r="AZ27">
        <v>83</v>
      </c>
      <c r="BA27">
        <v>84</v>
      </c>
      <c r="BB27">
        <v>83</v>
      </c>
      <c r="BC27">
        <v>86</v>
      </c>
      <c r="BD27">
        <v>78</v>
      </c>
      <c r="BE27">
        <v>89</v>
      </c>
      <c r="BF27">
        <v>87</v>
      </c>
      <c r="BG27">
        <v>78</v>
      </c>
      <c r="BH27">
        <v>71</v>
      </c>
      <c r="BI27">
        <v>81</v>
      </c>
      <c r="BL27">
        <v>81</v>
      </c>
      <c r="BQ27">
        <v>80</v>
      </c>
      <c r="BS27">
        <v>0.08</v>
      </c>
      <c r="BT27">
        <v>0.08</v>
      </c>
      <c r="BU27">
        <v>0.17</v>
      </c>
      <c r="BV27">
        <v>0.25</v>
      </c>
      <c r="BW27">
        <v>0.09</v>
      </c>
      <c r="BX27">
        <v>0.56000000000000005</v>
      </c>
      <c r="CB27">
        <v>60</v>
      </c>
      <c r="CC27">
        <v>65</v>
      </c>
      <c r="CD27" s="64">
        <v>50</v>
      </c>
      <c r="CE27" s="64">
        <f t="shared" si="37"/>
        <v>60</v>
      </c>
      <c r="CF27" s="2">
        <v>19.9391</v>
      </c>
      <c r="CH27" s="47">
        <v>19.356300000000001</v>
      </c>
      <c r="CI27" s="47">
        <v>0.91500000000000004</v>
      </c>
      <c r="CJ27" s="47">
        <v>0.63180000000000003</v>
      </c>
      <c r="CK27" s="47">
        <v>0.95199999999999985</v>
      </c>
      <c r="CL27" s="47">
        <v>3.3852000000000002</v>
      </c>
      <c r="CM27" s="47">
        <v>0.6351</v>
      </c>
      <c r="CN27" s="47">
        <v>0.54559999999999997</v>
      </c>
      <c r="CO27" s="47">
        <v>0.98449999999999993</v>
      </c>
      <c r="CP27" s="47">
        <v>1.3446</v>
      </c>
      <c r="CQ27" s="47">
        <v>1.3446</v>
      </c>
      <c r="CR27" s="47">
        <v>0.8022999999999999</v>
      </c>
      <c r="CS27" s="47">
        <v>0.13229999999999997</v>
      </c>
      <c r="CT27" s="47">
        <v>1.2168000000000001</v>
      </c>
      <c r="CU27" s="47"/>
      <c r="CV27" s="47">
        <v>21.956399999999999</v>
      </c>
      <c r="CW27" s="47">
        <f t="shared" si="26"/>
        <v>1.0125999999999999</v>
      </c>
      <c r="CX27" s="47">
        <f t="shared" si="27"/>
        <v>0.6552</v>
      </c>
      <c r="CY27" s="47">
        <f t="shared" si="28"/>
        <v>0.98769999999999991</v>
      </c>
      <c r="CZ27" s="47">
        <f t="shared" si="29"/>
        <v>3.4658000000000002</v>
      </c>
      <c r="DA27" s="47">
        <f t="shared" si="30"/>
        <v>0.67859999999999998</v>
      </c>
      <c r="DB27" s="47">
        <f t="shared" si="31"/>
        <v>0.55179999999999996</v>
      </c>
      <c r="DC27" s="47">
        <f t="shared" si="32"/>
        <v>1.0134999999999998</v>
      </c>
      <c r="DD27" s="47">
        <f t="shared" si="12"/>
        <v>1.4094</v>
      </c>
      <c r="DE27" s="47">
        <f t="shared" si="5"/>
        <v>2.4573999999999998</v>
      </c>
      <c r="DF27" s="47">
        <f t="shared" si="13"/>
        <v>0.88139999999999985</v>
      </c>
      <c r="DG27" s="47">
        <f t="shared" si="14"/>
        <v>0.14910000000000001</v>
      </c>
      <c r="DH27" s="47">
        <f t="shared" si="15"/>
        <v>1.2636000000000001</v>
      </c>
      <c r="DI27" s="47"/>
      <c r="DJ27" s="47"/>
      <c r="DK27" s="47"/>
      <c r="DL27" s="47"/>
      <c r="DM27" s="47"/>
      <c r="DN27" s="47"/>
      <c r="DO27" s="47"/>
      <c r="DP27" s="47"/>
      <c r="DQ27">
        <f t="shared" si="18"/>
        <v>0.33600000000000002</v>
      </c>
      <c r="DR27">
        <f t="shared" si="19"/>
        <v>0.36400000000000005</v>
      </c>
      <c r="DS27">
        <f t="shared" si="33"/>
        <v>0.04</v>
      </c>
      <c r="DT27">
        <f t="shared" si="34"/>
        <v>4.8000000000000001E-2</v>
      </c>
      <c r="DV27" s="273"/>
      <c r="DW27" s="111">
        <f t="shared" si="35"/>
        <v>0</v>
      </c>
      <c r="DX27" s="112"/>
      <c r="DY27" s="8"/>
      <c r="DZ27" s="8"/>
      <c r="EA27" s="81"/>
      <c r="EB27" s="113">
        <f t="shared" si="36"/>
        <v>0</v>
      </c>
      <c r="EC27" s="117"/>
      <c r="ED27" s="92"/>
      <c r="EE27" s="92"/>
      <c r="EF27" s="92"/>
      <c r="EG27" s="204">
        <v>0.15</v>
      </c>
      <c r="EH27" s="118"/>
      <c r="EI27" s="82"/>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7">
        <f t="shared" ref="FK27:FK33" si="39">SUM(FI27:FJ27)/100*K27</f>
        <v>0</v>
      </c>
      <c r="FL27" s="6"/>
      <c r="FM27" s="80">
        <f t="shared" si="21"/>
        <v>0.36459114778694673</v>
      </c>
      <c r="FN27" s="80">
        <f t="shared" si="22"/>
        <v>0.28498470771539036</v>
      </c>
      <c r="FO27" s="115">
        <f t="shared" si="23"/>
        <v>1.2793358307178295</v>
      </c>
      <c r="FP27" s="115">
        <f t="shared" si="24"/>
        <v>4.3020370477234691E-2</v>
      </c>
      <c r="FQ27" s="116">
        <f t="shared" si="25"/>
        <v>0.11996538594669437</v>
      </c>
    </row>
    <row r="28" spans="1:173" x14ac:dyDescent="0.25">
      <c r="A28" s="61">
        <v>19</v>
      </c>
      <c r="B28" t="s">
        <v>245</v>
      </c>
      <c r="C28">
        <v>4849</v>
      </c>
      <c r="D28">
        <v>3620</v>
      </c>
      <c r="E28">
        <v>3434</v>
      </c>
      <c r="F28">
        <v>2384</v>
      </c>
      <c r="H28">
        <v>89.31</v>
      </c>
      <c r="I28">
        <v>27.33</v>
      </c>
      <c r="J28">
        <v>7.06</v>
      </c>
      <c r="K28">
        <v>10.43</v>
      </c>
      <c r="L28">
        <v>11.27</v>
      </c>
      <c r="M28">
        <v>4.1100000000000003</v>
      </c>
      <c r="T28">
        <v>6.73</v>
      </c>
      <c r="U28">
        <v>32.5</v>
      </c>
      <c r="V28">
        <v>11.75</v>
      </c>
      <c r="W28">
        <v>2.61</v>
      </c>
      <c r="X28">
        <v>31.35</v>
      </c>
      <c r="AB28">
        <v>40.710000000000008</v>
      </c>
      <c r="AC28">
        <v>70</v>
      </c>
      <c r="AD28" s="9">
        <v>43.692400000000006</v>
      </c>
      <c r="AF28">
        <v>1.1599999999999999</v>
      </c>
      <c r="AG28">
        <v>0.71</v>
      </c>
      <c r="AH28">
        <v>1.02</v>
      </c>
      <c r="AI28">
        <v>3.13</v>
      </c>
      <c r="AJ28">
        <v>0.77</v>
      </c>
      <c r="AK28">
        <v>0.55000000000000004</v>
      </c>
      <c r="AL28">
        <v>1.34</v>
      </c>
      <c r="AM28">
        <v>0.99</v>
      </c>
      <c r="AN28">
        <v>0.21</v>
      </c>
      <c r="AO28">
        <v>1.35</v>
      </c>
      <c r="AR28">
        <v>0.51</v>
      </c>
      <c r="AW28">
        <v>1.04</v>
      </c>
      <c r="AY28">
        <v>74</v>
      </c>
      <c r="AZ28">
        <v>81</v>
      </c>
      <c r="BA28">
        <v>78</v>
      </c>
      <c r="BB28">
        <v>76</v>
      </c>
      <c r="BC28">
        <v>84</v>
      </c>
      <c r="BD28">
        <v>61</v>
      </c>
      <c r="BE28">
        <v>82</v>
      </c>
      <c r="BF28">
        <v>81</v>
      </c>
      <c r="BG28">
        <v>71</v>
      </c>
      <c r="BH28">
        <v>71</v>
      </c>
      <c r="BI28">
        <v>75</v>
      </c>
      <c r="BL28">
        <v>73</v>
      </c>
      <c r="BQ28">
        <v>81</v>
      </c>
      <c r="BS28">
        <v>0.12</v>
      </c>
      <c r="BU28">
        <v>0.9</v>
      </c>
      <c r="BV28">
        <v>0.28999999999999998</v>
      </c>
      <c r="BW28">
        <v>0.22</v>
      </c>
      <c r="BX28">
        <v>0.73</v>
      </c>
      <c r="BY28">
        <v>0.66</v>
      </c>
      <c r="CA28">
        <v>0.26</v>
      </c>
      <c r="CB28">
        <v>60</v>
      </c>
      <c r="CC28">
        <v>65</v>
      </c>
      <c r="CD28" s="64">
        <v>50</v>
      </c>
      <c r="CE28" s="64">
        <f t="shared" si="37"/>
        <v>60</v>
      </c>
      <c r="CF28" s="2">
        <v>28.497000000000007</v>
      </c>
      <c r="CH28" s="47">
        <v>17.491199999999999</v>
      </c>
      <c r="CI28" s="47">
        <v>0.85839999999999994</v>
      </c>
      <c r="CJ28" s="47">
        <v>0.52539999999999998</v>
      </c>
      <c r="CK28" s="47">
        <v>0.73439999999999994</v>
      </c>
      <c r="CL28" s="47">
        <v>2.5665999999999998</v>
      </c>
      <c r="CM28" s="47">
        <v>0.42349999999999999</v>
      </c>
      <c r="CN28" s="47">
        <v>0.44</v>
      </c>
      <c r="CO28" s="47">
        <v>0.79190000000000005</v>
      </c>
      <c r="CP28" s="47">
        <v>1.0452000000000001</v>
      </c>
      <c r="CQ28" s="47">
        <v>1.8564000000000003</v>
      </c>
      <c r="CR28" s="47">
        <v>0.63359999999999994</v>
      </c>
      <c r="CS28" s="47">
        <v>0.13229999999999997</v>
      </c>
      <c r="CT28" s="47">
        <v>0.95850000000000013</v>
      </c>
      <c r="CU28" s="47"/>
      <c r="CV28" s="47">
        <v>20.2242</v>
      </c>
      <c r="CW28" s="47">
        <f t="shared" si="26"/>
        <v>0.93959999999999999</v>
      </c>
      <c r="CX28" s="47">
        <f t="shared" si="27"/>
        <v>0.55379999999999996</v>
      </c>
      <c r="CY28" s="47">
        <f t="shared" si="28"/>
        <v>0.7752</v>
      </c>
      <c r="CZ28" s="47">
        <f t="shared" si="29"/>
        <v>2.6292</v>
      </c>
      <c r="DA28" s="47">
        <f t="shared" si="30"/>
        <v>0.46970000000000001</v>
      </c>
      <c r="DB28" s="47">
        <f t="shared" si="31"/>
        <v>0.45100000000000001</v>
      </c>
      <c r="DC28" s="47">
        <f t="shared" si="32"/>
        <v>0.82330000000000014</v>
      </c>
      <c r="DD28" s="47">
        <f t="shared" si="12"/>
        <v>1.0854000000000001</v>
      </c>
      <c r="DE28" s="47">
        <f t="shared" si="5"/>
        <v>1.9278000000000002</v>
      </c>
      <c r="DF28" s="47">
        <f t="shared" si="13"/>
        <v>0.70290000000000008</v>
      </c>
      <c r="DG28" s="47">
        <f t="shared" si="14"/>
        <v>0.14910000000000001</v>
      </c>
      <c r="DH28" s="47">
        <f t="shared" si="15"/>
        <v>1.0125</v>
      </c>
      <c r="DI28" s="47"/>
      <c r="DJ28" s="47"/>
      <c r="DK28" s="47"/>
      <c r="DL28" s="47"/>
      <c r="DM28" s="47"/>
      <c r="DN28" s="47"/>
      <c r="DO28" s="47"/>
      <c r="DP28" s="47"/>
      <c r="DQ28">
        <f t="shared" si="18"/>
        <v>0.43799999999999994</v>
      </c>
      <c r="DR28">
        <f t="shared" si="19"/>
        <v>0.47449999999999998</v>
      </c>
      <c r="DS28">
        <f t="shared" si="33"/>
        <v>0.06</v>
      </c>
      <c r="DT28">
        <f t="shared" si="34"/>
        <v>7.1999999999999995E-2</v>
      </c>
      <c r="DW28" s="111">
        <f t="shared" si="35"/>
        <v>250</v>
      </c>
      <c r="DX28" s="112">
        <v>0.125</v>
      </c>
      <c r="DY28" s="88">
        <f>DY20</f>
        <v>0</v>
      </c>
      <c r="DZ28" s="88">
        <f>DZ20</f>
        <v>0</v>
      </c>
      <c r="EA28" s="122">
        <v>0.77</v>
      </c>
      <c r="EB28" s="113">
        <f t="shared" si="36"/>
        <v>0.56210000000000004</v>
      </c>
      <c r="EC28" s="107">
        <f>0.59*K28</f>
        <v>6.1536999999999997</v>
      </c>
      <c r="ED28" s="6"/>
      <c r="EE28" s="92">
        <v>0</v>
      </c>
      <c r="EF28" s="92"/>
      <c r="EG28" s="204">
        <v>0.15</v>
      </c>
      <c r="EH28" s="107">
        <f>125*K28/10</f>
        <v>130.375</v>
      </c>
      <c r="EI28" s="82">
        <f>IF(AR28="","",AR28*BL28)</f>
        <v>37.230000000000004</v>
      </c>
      <c r="EJ28" s="6"/>
      <c r="EK28" s="6"/>
      <c r="EL28" s="6"/>
      <c r="EM28" s="6"/>
      <c r="EN28" s="6"/>
      <c r="EO28" s="6"/>
      <c r="EP28" s="6"/>
      <c r="EQ28" s="6"/>
      <c r="ER28" s="6"/>
      <c r="ES28" s="6"/>
      <c r="ET28" s="6"/>
      <c r="EU28" s="6"/>
      <c r="EV28" s="6"/>
      <c r="EW28" s="6"/>
      <c r="EX28" s="6"/>
      <c r="EY28" s="6"/>
      <c r="EZ28" s="6"/>
      <c r="FA28" s="6"/>
      <c r="FB28" s="6"/>
      <c r="FC28" s="6"/>
      <c r="FD28" s="6"/>
      <c r="FE28" s="6"/>
      <c r="FF28" s="6"/>
      <c r="FG28" s="125">
        <v>4.1500000000000002E-2</v>
      </c>
      <c r="FH28" s="125">
        <v>0.88500000000000001</v>
      </c>
      <c r="FI28" s="6">
        <v>56.21</v>
      </c>
      <c r="FJ28" s="6">
        <v>1.22</v>
      </c>
      <c r="FK28" s="7">
        <f t="shared" si="39"/>
        <v>5.9899490000000002</v>
      </c>
      <c r="FL28" s="6"/>
      <c r="FM28" s="80">
        <f t="shared" si="21"/>
        <v>0.38509812870835236</v>
      </c>
      <c r="FN28" s="80">
        <f t="shared" si="22"/>
        <v>0.29484253765403923</v>
      </c>
      <c r="FO28" s="115">
        <f t="shared" si="23"/>
        <v>1.3061145510835912</v>
      </c>
      <c r="FP28" s="115">
        <f t="shared" si="24"/>
        <v>5.6709265175718851E-2</v>
      </c>
      <c r="FQ28" s="116">
        <f t="shared" si="25"/>
        <v>9.6201975850713509E-2</v>
      </c>
    </row>
    <row r="29" spans="1:173" x14ac:dyDescent="0.25">
      <c r="A29" s="61">
        <v>20</v>
      </c>
      <c r="B29" t="s">
        <v>246</v>
      </c>
      <c r="C29">
        <v>4710</v>
      </c>
      <c r="D29">
        <v>3582</v>
      </c>
      <c r="E29">
        <v>3396</v>
      </c>
      <c r="F29">
        <v>2343</v>
      </c>
      <c r="H29">
        <v>89.35</v>
      </c>
      <c r="I29">
        <v>27.36</v>
      </c>
      <c r="J29">
        <v>8.92</v>
      </c>
      <c r="K29">
        <v>8.9</v>
      </c>
      <c r="L29">
        <v>8.7100000000000009</v>
      </c>
      <c r="M29">
        <v>4.04</v>
      </c>
      <c r="T29">
        <v>9.6300000000000008</v>
      </c>
      <c r="U29">
        <v>30.46</v>
      </c>
      <c r="V29">
        <v>12.02</v>
      </c>
      <c r="AB29">
        <v>39.419999999999995</v>
      </c>
      <c r="AC29">
        <v>70</v>
      </c>
      <c r="AD29" s="9">
        <v>43.241</v>
      </c>
      <c r="AF29">
        <v>1.23</v>
      </c>
      <c r="AG29">
        <v>0.74</v>
      </c>
      <c r="AH29">
        <v>1.06</v>
      </c>
      <c r="AI29">
        <v>3.25</v>
      </c>
      <c r="AJ29">
        <v>0.9</v>
      </c>
      <c r="AK29">
        <v>0.56999999999999995</v>
      </c>
      <c r="AL29">
        <v>1.37</v>
      </c>
      <c r="AM29">
        <v>0.99</v>
      </c>
      <c r="AN29">
        <v>0.2</v>
      </c>
      <c r="AO29">
        <v>1.39</v>
      </c>
      <c r="AR29">
        <v>0.44</v>
      </c>
      <c r="AW29">
        <v>1.22</v>
      </c>
      <c r="AY29">
        <v>74</v>
      </c>
      <c r="AZ29">
        <v>81</v>
      </c>
      <c r="BA29">
        <v>78</v>
      </c>
      <c r="BB29">
        <v>76</v>
      </c>
      <c r="BC29">
        <v>84</v>
      </c>
      <c r="BD29">
        <v>61</v>
      </c>
      <c r="BE29">
        <v>82</v>
      </c>
      <c r="BF29">
        <v>81</v>
      </c>
      <c r="BG29">
        <v>71</v>
      </c>
      <c r="BH29">
        <v>71</v>
      </c>
      <c r="BI29">
        <v>75</v>
      </c>
      <c r="BL29">
        <v>73</v>
      </c>
      <c r="BQ29">
        <v>81</v>
      </c>
      <c r="BS29">
        <v>0.08</v>
      </c>
      <c r="BT29">
        <v>0.2</v>
      </c>
      <c r="BU29">
        <v>0.88</v>
      </c>
      <c r="BV29">
        <v>0.49</v>
      </c>
      <c r="BW29">
        <v>0.3</v>
      </c>
      <c r="BX29">
        <v>0.6</v>
      </c>
      <c r="BY29">
        <v>0.48</v>
      </c>
      <c r="CA29">
        <v>0.26</v>
      </c>
      <c r="CB29">
        <v>60</v>
      </c>
      <c r="CC29">
        <v>65</v>
      </c>
      <c r="CD29" s="64">
        <v>50</v>
      </c>
      <c r="CE29" s="64">
        <f t="shared" si="37"/>
        <v>60</v>
      </c>
      <c r="CF29" s="2">
        <v>27.593999999999998</v>
      </c>
      <c r="CH29" s="47">
        <v>17.510400000000001</v>
      </c>
      <c r="CI29" s="47">
        <v>0.91020000000000001</v>
      </c>
      <c r="CJ29" s="47">
        <v>0.54759999999999998</v>
      </c>
      <c r="CK29" s="47">
        <v>0.7632000000000001</v>
      </c>
      <c r="CL29" s="47">
        <v>2.665</v>
      </c>
      <c r="CM29" s="47">
        <v>0.495</v>
      </c>
      <c r="CN29" s="47">
        <v>0.45599999999999996</v>
      </c>
      <c r="CO29" s="47">
        <v>0.75959999999999994</v>
      </c>
      <c r="CP29" s="47">
        <v>1.0686000000000002</v>
      </c>
      <c r="CQ29" s="47">
        <v>2.0202</v>
      </c>
      <c r="CR29" s="47">
        <v>0.63359999999999994</v>
      </c>
      <c r="CS29" s="47">
        <v>0.126</v>
      </c>
      <c r="CT29" s="47">
        <v>0.9869</v>
      </c>
      <c r="CU29" s="47"/>
      <c r="CV29" s="47">
        <v>20.246399999999998</v>
      </c>
      <c r="CW29" s="47">
        <f t="shared" si="26"/>
        <v>0.99629999999999996</v>
      </c>
      <c r="CX29" s="47">
        <f t="shared" si="27"/>
        <v>0.57719999999999994</v>
      </c>
      <c r="CY29" s="47">
        <f t="shared" si="28"/>
        <v>0.80559999999999998</v>
      </c>
      <c r="CZ29" s="47">
        <f t="shared" si="29"/>
        <v>2.73</v>
      </c>
      <c r="DA29" s="47">
        <f t="shared" si="30"/>
        <v>0.54899999999999993</v>
      </c>
      <c r="DB29" s="47">
        <f t="shared" si="31"/>
        <v>0.46739999999999993</v>
      </c>
      <c r="DC29" s="47">
        <f t="shared" si="32"/>
        <v>0.78859999999999986</v>
      </c>
      <c r="DD29" s="47">
        <f t="shared" si="12"/>
        <v>1.1097000000000001</v>
      </c>
      <c r="DE29" s="47">
        <f t="shared" si="5"/>
        <v>2.0979000000000001</v>
      </c>
      <c r="DF29" s="47">
        <f t="shared" si="13"/>
        <v>0.70290000000000008</v>
      </c>
      <c r="DG29" s="47">
        <f t="shared" si="14"/>
        <v>0.14200000000000002</v>
      </c>
      <c r="DH29" s="47">
        <f t="shared" si="15"/>
        <v>1.0424999999999998</v>
      </c>
      <c r="DI29" s="47"/>
      <c r="DJ29" s="47"/>
      <c r="DK29" s="47"/>
      <c r="DL29" s="47"/>
      <c r="DM29" s="47"/>
      <c r="DN29" s="47"/>
      <c r="DO29" s="47"/>
      <c r="DP29" s="47"/>
      <c r="DQ29">
        <f t="shared" si="18"/>
        <v>0.36</v>
      </c>
      <c r="DR29">
        <f t="shared" si="19"/>
        <v>0.39</v>
      </c>
      <c r="DS29">
        <f t="shared" si="33"/>
        <v>0.04</v>
      </c>
      <c r="DT29">
        <f t="shared" si="34"/>
        <v>4.8000000000000001E-2</v>
      </c>
      <c r="DV29" s="273"/>
      <c r="DW29" s="111">
        <f t="shared" si="35"/>
        <v>250</v>
      </c>
      <c r="DX29" s="112">
        <v>0.125</v>
      </c>
      <c r="DY29" s="8"/>
      <c r="DZ29" s="8"/>
      <c r="EA29" s="122">
        <v>0.77</v>
      </c>
      <c r="EB29" s="113">
        <f t="shared" si="36"/>
        <v>0.46199999999999997</v>
      </c>
      <c r="EC29" s="107">
        <f>0.59*K29</f>
        <v>5.2510000000000003</v>
      </c>
      <c r="ED29" s="92"/>
      <c r="EE29" s="92"/>
      <c r="EF29" s="92"/>
      <c r="EG29" s="204">
        <v>0.32</v>
      </c>
      <c r="EH29" s="107">
        <f>125*K29/10</f>
        <v>111.25</v>
      </c>
      <c r="EI29" s="82"/>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v>56.21</v>
      </c>
      <c r="FJ29" s="6">
        <v>1.22</v>
      </c>
      <c r="FK29" s="7">
        <f t="shared" si="39"/>
        <v>5.1112700000000002</v>
      </c>
      <c r="FL29" s="6"/>
      <c r="FM29" s="80">
        <f t="shared" si="21"/>
        <v>0.38186813186813179</v>
      </c>
      <c r="FN29" s="80">
        <f t="shared" si="22"/>
        <v>0.29509157509157508</v>
      </c>
      <c r="FO29" s="115">
        <f t="shared" si="23"/>
        <v>1.2940665342601785</v>
      </c>
      <c r="FP29" s="115">
        <f t="shared" si="24"/>
        <v>5.2014652014652017E-2</v>
      </c>
      <c r="FQ29" s="116">
        <f t="shared" si="25"/>
        <v>9.978070175438597E-2</v>
      </c>
    </row>
    <row r="30" spans="1:173" x14ac:dyDescent="0.25">
      <c r="A30" s="61">
        <v>21</v>
      </c>
      <c r="B30" t="s">
        <v>247</v>
      </c>
      <c r="C30">
        <v>5098</v>
      </c>
      <c r="D30">
        <v>3291</v>
      </c>
      <c r="E30">
        <v>3102</v>
      </c>
      <c r="F30">
        <v>2009</v>
      </c>
      <c r="H30">
        <v>89.25</v>
      </c>
      <c r="I30">
        <v>27.86</v>
      </c>
      <c r="J30">
        <v>6.19</v>
      </c>
      <c r="K30">
        <v>3.57</v>
      </c>
      <c r="M30">
        <v>4.6399999999999997</v>
      </c>
      <c r="T30">
        <v>10</v>
      </c>
      <c r="U30">
        <v>33.75</v>
      </c>
      <c r="V30">
        <v>16.91</v>
      </c>
      <c r="AB30">
        <v>43.18</v>
      </c>
      <c r="AC30">
        <v>70</v>
      </c>
      <c r="AD30" s="9">
        <v>41.31</v>
      </c>
      <c r="AF30">
        <v>1.31</v>
      </c>
      <c r="AG30">
        <v>0.82</v>
      </c>
      <c r="AH30">
        <v>1.02</v>
      </c>
      <c r="AI30">
        <v>3.64</v>
      </c>
      <c r="AJ30">
        <v>0.68</v>
      </c>
      <c r="AK30">
        <v>0.5</v>
      </c>
      <c r="AL30">
        <v>1.69</v>
      </c>
      <c r="AM30">
        <v>0.97</v>
      </c>
      <c r="AN30">
        <v>0.18</v>
      </c>
      <c r="AO30">
        <v>1.34</v>
      </c>
      <c r="AR30">
        <v>0.51</v>
      </c>
      <c r="AW30">
        <v>1.1299999999999999</v>
      </c>
      <c r="AY30">
        <v>74</v>
      </c>
      <c r="AZ30">
        <v>81</v>
      </c>
      <c r="BA30">
        <v>78</v>
      </c>
      <c r="BB30">
        <v>76</v>
      </c>
      <c r="BC30">
        <v>84</v>
      </c>
      <c r="BD30">
        <v>61</v>
      </c>
      <c r="BE30">
        <v>82</v>
      </c>
      <c r="BF30">
        <v>81</v>
      </c>
      <c r="BG30">
        <v>71</v>
      </c>
      <c r="BH30">
        <v>71</v>
      </c>
      <c r="BI30">
        <v>75</v>
      </c>
      <c r="BL30">
        <v>73</v>
      </c>
      <c r="BQ30">
        <v>81</v>
      </c>
      <c r="BS30">
        <v>0.05</v>
      </c>
      <c r="BX30">
        <v>0.76</v>
      </c>
      <c r="CA30">
        <v>0.26</v>
      </c>
      <c r="CB30">
        <v>60</v>
      </c>
      <c r="CC30">
        <v>65</v>
      </c>
      <c r="CD30" s="64">
        <v>50</v>
      </c>
      <c r="CE30" s="64">
        <f t="shared" si="37"/>
        <v>60</v>
      </c>
      <c r="CF30" s="2">
        <v>30.225999999999999</v>
      </c>
      <c r="CH30" s="47">
        <v>17.830400000000001</v>
      </c>
      <c r="CI30" s="47">
        <v>0.96939999999999993</v>
      </c>
      <c r="CJ30" s="47">
        <v>0.60680000000000001</v>
      </c>
      <c r="CK30" s="47">
        <v>0.73439999999999994</v>
      </c>
      <c r="CL30" s="47">
        <v>2.9848000000000003</v>
      </c>
      <c r="CM30" s="47">
        <v>0.37400000000000005</v>
      </c>
      <c r="CN30" s="47">
        <v>0.4</v>
      </c>
      <c r="CO30" s="47">
        <v>0.75190000000000001</v>
      </c>
      <c r="CP30" s="47">
        <v>1.3182</v>
      </c>
      <c r="CQ30" s="47">
        <v>2.1995999999999998</v>
      </c>
      <c r="CR30" s="47">
        <v>0.62080000000000002</v>
      </c>
      <c r="CS30" s="47">
        <v>0.1134</v>
      </c>
      <c r="CT30" s="47">
        <v>0.95140000000000002</v>
      </c>
      <c r="CU30" s="47"/>
      <c r="CV30" s="47">
        <v>20.616399999999999</v>
      </c>
      <c r="CW30" s="47">
        <f t="shared" si="26"/>
        <v>1.0610999999999999</v>
      </c>
      <c r="CX30" s="47">
        <f t="shared" si="27"/>
        <v>0.63959999999999995</v>
      </c>
      <c r="CY30" s="47">
        <f t="shared" si="28"/>
        <v>0.7752</v>
      </c>
      <c r="CZ30" s="47">
        <f t="shared" si="29"/>
        <v>3.0575999999999999</v>
      </c>
      <c r="DA30" s="47">
        <f t="shared" si="30"/>
        <v>0.41480000000000006</v>
      </c>
      <c r="DB30" s="47">
        <f t="shared" si="31"/>
        <v>0.41</v>
      </c>
      <c r="DC30" s="47">
        <f t="shared" si="32"/>
        <v>0.7823</v>
      </c>
      <c r="DD30" s="47">
        <f t="shared" si="12"/>
        <v>1.3688999999999998</v>
      </c>
      <c r="DE30" s="47">
        <f t="shared" si="5"/>
        <v>2.2841999999999998</v>
      </c>
      <c r="DF30" s="47">
        <f t="shared" si="13"/>
        <v>0.68870000000000009</v>
      </c>
      <c r="DG30" s="47">
        <f t="shared" si="14"/>
        <v>0.1278</v>
      </c>
      <c r="DH30" s="47">
        <f t="shared" si="15"/>
        <v>1.0049999999999999</v>
      </c>
      <c r="DI30" s="47"/>
      <c r="DJ30" s="47"/>
      <c r="DK30" s="47"/>
      <c r="DL30" s="47"/>
      <c r="DM30" s="47"/>
      <c r="DN30" s="47"/>
      <c r="DO30" s="47"/>
      <c r="DP30" s="47"/>
      <c r="DQ30">
        <f t="shared" si="18"/>
        <v>0.45600000000000002</v>
      </c>
      <c r="DR30">
        <f t="shared" si="19"/>
        <v>0.49399999999999999</v>
      </c>
      <c r="DS30">
        <f t="shared" si="33"/>
        <v>2.5000000000000001E-2</v>
      </c>
      <c r="DT30">
        <f t="shared" si="34"/>
        <v>0.03</v>
      </c>
      <c r="DV30" s="273"/>
      <c r="DW30" s="111">
        <f t="shared" si="35"/>
        <v>0</v>
      </c>
      <c r="DX30" s="112"/>
      <c r="DY30" s="8"/>
      <c r="DZ30" s="8"/>
      <c r="EA30" s="81"/>
      <c r="EB30" s="113">
        <f t="shared" si="36"/>
        <v>0</v>
      </c>
      <c r="EC30" s="117"/>
      <c r="ED30" s="92"/>
      <c r="EE30" s="92"/>
      <c r="EF30" s="92"/>
      <c r="EG30" s="204">
        <v>0.04</v>
      </c>
      <c r="EH30" s="107">
        <f>125*K30/10</f>
        <v>44.625</v>
      </c>
      <c r="EI30" s="82"/>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v>56.21</v>
      </c>
      <c r="FJ30" s="6">
        <v>1.22</v>
      </c>
      <c r="FK30" s="7">
        <f t="shared" si="39"/>
        <v>2.0502509999999998</v>
      </c>
      <c r="FL30" s="6"/>
      <c r="FM30" s="80">
        <f t="shared" si="21"/>
        <v>0.32868916797488223</v>
      </c>
      <c r="FN30" s="80">
        <f t="shared" si="22"/>
        <v>0.25353218210361067</v>
      </c>
      <c r="FO30" s="115">
        <f t="shared" si="23"/>
        <v>1.296439628482972</v>
      </c>
      <c r="FP30" s="115">
        <f t="shared" si="24"/>
        <v>4.1797488226059658E-2</v>
      </c>
      <c r="FQ30" s="116">
        <f t="shared" si="25"/>
        <v>0.10974874371859296</v>
      </c>
    </row>
    <row r="31" spans="1:173" x14ac:dyDescent="0.25">
      <c r="A31" s="61">
        <v>22</v>
      </c>
      <c r="B31" t="s">
        <v>248</v>
      </c>
      <c r="C31">
        <v>5173</v>
      </c>
      <c r="D31">
        <v>4040</v>
      </c>
      <c r="E31">
        <v>3732</v>
      </c>
      <c r="F31">
        <v>2342</v>
      </c>
      <c r="H31">
        <v>91.2</v>
      </c>
      <c r="I31">
        <v>45.35</v>
      </c>
      <c r="J31">
        <v>7.3</v>
      </c>
      <c r="K31">
        <v>3.54</v>
      </c>
      <c r="L31">
        <v>3.7</v>
      </c>
      <c r="M31">
        <v>2.39</v>
      </c>
      <c r="T31">
        <v>10.15</v>
      </c>
      <c r="U31">
        <v>33.630000000000003</v>
      </c>
      <c r="V31">
        <v>20.63</v>
      </c>
      <c r="W31">
        <v>3.77</v>
      </c>
      <c r="AB31">
        <v>29.770000000000003</v>
      </c>
      <c r="AC31">
        <v>43</v>
      </c>
      <c r="AD31" s="9">
        <v>44.588400000000007</v>
      </c>
      <c r="AF31">
        <v>1.62</v>
      </c>
      <c r="AG31">
        <v>1.07</v>
      </c>
      <c r="AH31">
        <v>1.83</v>
      </c>
      <c r="AI31">
        <v>6.18</v>
      </c>
      <c r="AJ31">
        <v>1.22</v>
      </c>
      <c r="AK31">
        <v>0.93</v>
      </c>
      <c r="AL31">
        <v>2.42</v>
      </c>
      <c r="AM31">
        <v>1.59</v>
      </c>
      <c r="AN31">
        <v>0.24</v>
      </c>
      <c r="AO31">
        <v>2.12</v>
      </c>
      <c r="AR31">
        <v>0.82</v>
      </c>
      <c r="AW31">
        <v>1.92</v>
      </c>
      <c r="AY31">
        <v>76</v>
      </c>
      <c r="AZ31">
        <v>85</v>
      </c>
      <c r="BA31">
        <v>79</v>
      </c>
      <c r="BB31">
        <v>80</v>
      </c>
      <c r="BC31">
        <v>86</v>
      </c>
      <c r="BD31">
        <v>69</v>
      </c>
      <c r="BE31">
        <v>86</v>
      </c>
      <c r="BF31">
        <v>84</v>
      </c>
      <c r="BG31">
        <v>75</v>
      </c>
      <c r="BH31">
        <v>82</v>
      </c>
      <c r="BI31">
        <v>78</v>
      </c>
      <c r="BL31">
        <v>78</v>
      </c>
      <c r="BQ31">
        <v>85</v>
      </c>
      <c r="BS31">
        <v>0.02</v>
      </c>
      <c r="BU31">
        <v>0.37</v>
      </c>
      <c r="BV31">
        <v>0.09</v>
      </c>
      <c r="BW31">
        <v>0.06</v>
      </c>
      <c r="BX31">
        <v>0.36</v>
      </c>
      <c r="BY31">
        <v>0.75</v>
      </c>
      <c r="CA31">
        <v>0.11</v>
      </c>
      <c r="CB31">
        <v>64</v>
      </c>
      <c r="CC31">
        <v>73</v>
      </c>
      <c r="CD31" s="64">
        <v>50</v>
      </c>
      <c r="CE31" s="64">
        <f t="shared" si="37"/>
        <v>60</v>
      </c>
      <c r="CF31" s="2">
        <v>12.801100000000002</v>
      </c>
      <c r="CH31" s="47">
        <v>31.745000000000001</v>
      </c>
      <c r="CI31" s="47">
        <v>1.3122</v>
      </c>
      <c r="CJ31" s="47">
        <v>0.82389999999999997</v>
      </c>
      <c r="CK31" s="47">
        <v>1.4091</v>
      </c>
      <c r="CL31" s="47">
        <v>5.2529999999999992</v>
      </c>
      <c r="CM31" s="47">
        <v>0.79299999999999993</v>
      </c>
      <c r="CN31" s="47">
        <v>0.79049999999999998</v>
      </c>
      <c r="CO31" s="47">
        <v>1.4055</v>
      </c>
      <c r="CP31" s="47">
        <v>1.9843999999999999</v>
      </c>
      <c r="CQ31" s="47">
        <v>3.5779999999999998</v>
      </c>
      <c r="CR31" s="47">
        <v>1.1130000000000002</v>
      </c>
      <c r="CS31" s="47">
        <v>0.18239999999999998</v>
      </c>
      <c r="CT31" s="47">
        <v>1.59</v>
      </c>
      <c r="CU31" s="47"/>
      <c r="CV31" s="47">
        <v>34.466000000000001</v>
      </c>
      <c r="CW31" s="47">
        <f t="shared" si="26"/>
        <v>1.3770000000000002</v>
      </c>
      <c r="CX31" s="47">
        <f t="shared" si="27"/>
        <v>0.84530000000000005</v>
      </c>
      <c r="CY31" s="47">
        <f t="shared" si="28"/>
        <v>1.464</v>
      </c>
      <c r="CZ31" s="47">
        <f t="shared" si="29"/>
        <v>5.3148</v>
      </c>
      <c r="DA31" s="47">
        <f t="shared" si="30"/>
        <v>0.84179999999999988</v>
      </c>
      <c r="DB31" s="47">
        <f t="shared" si="31"/>
        <v>0.79980000000000007</v>
      </c>
      <c r="DC31" s="47">
        <f t="shared" si="32"/>
        <v>1.4394</v>
      </c>
      <c r="DD31" s="47">
        <f t="shared" si="12"/>
        <v>2.0327999999999999</v>
      </c>
      <c r="DE31" s="47">
        <f t="shared" si="5"/>
        <v>3.6647999999999996</v>
      </c>
      <c r="DF31" s="47">
        <f t="shared" si="13"/>
        <v>1.1924999999999999</v>
      </c>
      <c r="DG31" s="47">
        <f t="shared" si="14"/>
        <v>0.1968</v>
      </c>
      <c r="DH31" s="47">
        <f t="shared" si="15"/>
        <v>1.6536000000000002</v>
      </c>
      <c r="DI31" s="47"/>
      <c r="DJ31" s="47"/>
      <c r="DK31" s="47"/>
      <c r="DL31" s="47"/>
      <c r="DM31" s="47"/>
      <c r="DN31" s="47"/>
      <c r="DO31" s="47"/>
      <c r="DP31" s="47"/>
      <c r="DQ31">
        <f t="shared" si="18"/>
        <v>0.23039999999999999</v>
      </c>
      <c r="DR31">
        <f t="shared" si="19"/>
        <v>0.26279999999999998</v>
      </c>
      <c r="DS31">
        <f t="shared" si="33"/>
        <v>0.01</v>
      </c>
      <c r="DT31">
        <f t="shared" si="34"/>
        <v>1.2E-2</v>
      </c>
      <c r="DV31" s="110">
        <v>36.5</v>
      </c>
      <c r="DW31" s="111">
        <f t="shared" si="35"/>
        <v>120</v>
      </c>
      <c r="DX31" s="112">
        <v>0.06</v>
      </c>
      <c r="DY31" s="94"/>
      <c r="DZ31" s="94"/>
      <c r="EA31" s="122">
        <v>0.77</v>
      </c>
      <c r="EB31" s="113">
        <f t="shared" si="36"/>
        <v>0.2772</v>
      </c>
      <c r="EC31" s="107">
        <f>0.59*K31</f>
        <v>2.0886</v>
      </c>
      <c r="ED31" s="92"/>
      <c r="EE31" s="92"/>
      <c r="EF31" s="92"/>
      <c r="EG31" s="204">
        <v>0.11</v>
      </c>
      <c r="EH31" s="107">
        <f>125*K31/10</f>
        <v>44.25</v>
      </c>
      <c r="EI31" s="82">
        <f>IF(AR31="","",AR31*BL31)</f>
        <v>63.959999999999994</v>
      </c>
      <c r="EJ31" s="6"/>
      <c r="EK31" s="6"/>
      <c r="EL31" s="6"/>
      <c r="EM31" s="6"/>
      <c r="EN31" s="6"/>
      <c r="EO31" s="6"/>
      <c r="EP31" s="6"/>
      <c r="EQ31" s="6"/>
      <c r="ER31" s="6"/>
      <c r="ES31" s="6"/>
      <c r="ET31" s="6"/>
      <c r="EU31" s="6"/>
      <c r="EV31" s="6"/>
      <c r="EW31" s="6"/>
      <c r="EX31" s="6"/>
      <c r="EY31" s="6"/>
      <c r="EZ31" s="6"/>
      <c r="FA31" s="6"/>
      <c r="FB31" s="6"/>
      <c r="FC31" s="6"/>
      <c r="FD31" s="6"/>
      <c r="FE31" s="6"/>
      <c r="FF31" s="6"/>
      <c r="FG31" s="80">
        <v>1.6500000000000001E-2</v>
      </c>
      <c r="FH31" s="125">
        <v>0.89539999999999997</v>
      </c>
      <c r="FI31" s="6">
        <v>56.21</v>
      </c>
      <c r="FJ31" s="6">
        <v>1.22</v>
      </c>
      <c r="FK31" s="7">
        <f t="shared" si="39"/>
        <v>2.0330220000000003</v>
      </c>
      <c r="FL31" s="6"/>
      <c r="FM31" s="80">
        <f t="shared" si="21"/>
        <v>0.31113118085346581</v>
      </c>
      <c r="FN31" s="80">
        <f t="shared" si="22"/>
        <v>0.27545721381801763</v>
      </c>
      <c r="FO31" s="115">
        <f t="shared" si="23"/>
        <v>1.1295081967213116</v>
      </c>
      <c r="FP31" s="115">
        <f t="shared" si="24"/>
        <v>3.7028674644389255E-2</v>
      </c>
      <c r="FQ31" s="116">
        <f t="shared" si="25"/>
        <v>0.11719514884233737</v>
      </c>
    </row>
    <row r="32" spans="1:173" x14ac:dyDescent="0.25">
      <c r="A32" s="61">
        <v>23</v>
      </c>
      <c r="B32" t="s">
        <v>249</v>
      </c>
      <c r="C32">
        <v>4919</v>
      </c>
      <c r="D32">
        <v>3670</v>
      </c>
      <c r="E32">
        <v>3569</v>
      </c>
      <c r="F32">
        <v>2807</v>
      </c>
      <c r="H32">
        <v>90.87</v>
      </c>
      <c r="I32">
        <v>14.79</v>
      </c>
      <c r="K32">
        <v>19.739999999999998</v>
      </c>
      <c r="L32">
        <v>17.600000000000001</v>
      </c>
      <c r="M32">
        <v>5.54</v>
      </c>
      <c r="N32">
        <v>0</v>
      </c>
      <c r="O32">
        <v>0</v>
      </c>
      <c r="P32">
        <v>0</v>
      </c>
      <c r="Q32">
        <v>0</v>
      </c>
      <c r="R32">
        <v>0</v>
      </c>
      <c r="T32">
        <v>23.51</v>
      </c>
      <c r="U32">
        <v>18.27</v>
      </c>
      <c r="V32">
        <v>6.67</v>
      </c>
      <c r="W32">
        <v>2.37</v>
      </c>
      <c r="AB32">
        <v>27.290000000000017</v>
      </c>
      <c r="AC32">
        <v>55</v>
      </c>
      <c r="AD32" s="9">
        <v>45.466000000000008</v>
      </c>
      <c r="AF32">
        <v>1.1100000000000001</v>
      </c>
      <c r="AG32">
        <v>0.42</v>
      </c>
      <c r="AH32">
        <v>0.43</v>
      </c>
      <c r="AI32">
        <v>1.05</v>
      </c>
      <c r="AJ32">
        <v>0.78</v>
      </c>
      <c r="AK32">
        <v>0.26</v>
      </c>
      <c r="AL32">
        <v>0.56999999999999995</v>
      </c>
      <c r="AM32">
        <v>0.52</v>
      </c>
      <c r="AN32">
        <v>0.1</v>
      </c>
      <c r="AO32">
        <v>0.72</v>
      </c>
      <c r="AR32">
        <v>0.32</v>
      </c>
      <c r="AW32">
        <v>0.41</v>
      </c>
      <c r="AY32">
        <v>56</v>
      </c>
      <c r="AZ32">
        <v>87</v>
      </c>
      <c r="BA32">
        <v>72</v>
      </c>
      <c r="BB32">
        <v>61</v>
      </c>
      <c r="BC32">
        <v>69</v>
      </c>
      <c r="BD32">
        <v>64</v>
      </c>
      <c r="BE32">
        <v>72</v>
      </c>
      <c r="BF32">
        <v>66</v>
      </c>
      <c r="BG32">
        <v>57</v>
      </c>
      <c r="BH32">
        <v>63</v>
      </c>
      <c r="BI32">
        <v>67</v>
      </c>
      <c r="BL32">
        <v>66</v>
      </c>
      <c r="BQ32">
        <v>61</v>
      </c>
      <c r="BS32">
        <v>0.02</v>
      </c>
      <c r="BU32">
        <v>1.53</v>
      </c>
      <c r="BV32">
        <v>0.52</v>
      </c>
      <c r="BW32">
        <v>0.01</v>
      </c>
      <c r="BX32">
        <v>1.27</v>
      </c>
      <c r="BY32">
        <v>0.17</v>
      </c>
      <c r="CA32">
        <v>1.07</v>
      </c>
      <c r="CB32">
        <v>33</v>
      </c>
      <c r="CC32">
        <v>37</v>
      </c>
      <c r="CD32" s="64">
        <v>50</v>
      </c>
      <c r="CE32" s="64">
        <f t="shared" si="37"/>
        <v>60</v>
      </c>
      <c r="CF32" s="2">
        <v>15.00950000000001</v>
      </c>
      <c r="CH32" s="47">
        <v>4.8807</v>
      </c>
      <c r="CI32" s="47">
        <v>0.87690000000000012</v>
      </c>
      <c r="CJ32" s="47">
        <v>0.27300000000000002</v>
      </c>
      <c r="CK32" s="47">
        <v>0.21929999999999999</v>
      </c>
      <c r="CL32" s="47">
        <v>0.64049999999999996</v>
      </c>
      <c r="CM32" s="47">
        <v>0.43680000000000002</v>
      </c>
      <c r="CN32" s="47">
        <v>0.17420000000000002</v>
      </c>
      <c r="CO32" s="47">
        <v>0.35980000000000001</v>
      </c>
      <c r="CP32" s="47">
        <v>0.32489999999999997</v>
      </c>
      <c r="CQ32" s="47">
        <v>0.53400000000000003</v>
      </c>
      <c r="CR32" s="47">
        <v>0.21840000000000001</v>
      </c>
      <c r="CS32" s="47">
        <v>0.05</v>
      </c>
      <c r="CT32" s="47">
        <v>0.41039999999999999</v>
      </c>
      <c r="CU32" s="47"/>
      <c r="CV32" s="47">
        <v>8.2824000000000009</v>
      </c>
      <c r="CW32" s="47">
        <f t="shared" si="26"/>
        <v>0.96570000000000011</v>
      </c>
      <c r="CX32" s="47">
        <f t="shared" si="27"/>
        <v>0.3024</v>
      </c>
      <c r="CY32" s="47">
        <f t="shared" si="28"/>
        <v>0.26229999999999998</v>
      </c>
      <c r="CZ32" s="47">
        <f t="shared" si="29"/>
        <v>0.72450000000000003</v>
      </c>
      <c r="DA32" s="47">
        <f t="shared" si="30"/>
        <v>0.49920000000000003</v>
      </c>
      <c r="DB32" s="47">
        <f t="shared" si="31"/>
        <v>0.18719999999999998</v>
      </c>
      <c r="DC32" s="47">
        <f t="shared" si="32"/>
        <v>0.39840000000000003</v>
      </c>
      <c r="DD32" s="47">
        <f t="shared" si="12"/>
        <v>0.37619999999999998</v>
      </c>
      <c r="DE32" s="47">
        <f t="shared" si="5"/>
        <v>0.62629999999999997</v>
      </c>
      <c r="DF32" s="47">
        <f t="shared" si="13"/>
        <v>0.2964</v>
      </c>
      <c r="DG32" s="47">
        <f t="shared" si="14"/>
        <v>6.3E-2</v>
      </c>
      <c r="DH32" s="47">
        <f t="shared" si="15"/>
        <v>0.48239999999999994</v>
      </c>
      <c r="DI32" s="47"/>
      <c r="DJ32" s="47"/>
      <c r="DK32" s="47"/>
      <c r="DL32" s="47"/>
      <c r="DM32" s="47"/>
      <c r="DN32" s="47"/>
      <c r="DO32" s="47"/>
      <c r="DP32" s="47"/>
      <c r="DQ32">
        <f t="shared" si="18"/>
        <v>0.41910000000000003</v>
      </c>
      <c r="DR32">
        <f t="shared" si="19"/>
        <v>0.46990000000000004</v>
      </c>
      <c r="DS32">
        <f t="shared" si="33"/>
        <v>0.01</v>
      </c>
      <c r="DT32">
        <f t="shared" si="34"/>
        <v>1.2E-2</v>
      </c>
      <c r="DW32" s="111">
        <f t="shared" si="35"/>
        <v>0</v>
      </c>
      <c r="DX32" s="112"/>
      <c r="EA32" s="115"/>
      <c r="EB32" s="113">
        <f t="shared" si="36"/>
        <v>0</v>
      </c>
      <c r="EG32" s="204">
        <v>0.84</v>
      </c>
      <c r="FI32" s="6">
        <v>57.2</v>
      </c>
      <c r="FJ32" s="6">
        <v>1.1000000000000001</v>
      </c>
      <c r="FK32" s="7">
        <f t="shared" si="39"/>
        <v>11.508420000000001</v>
      </c>
      <c r="FM32" s="80">
        <f t="shared" si="21"/>
        <v>0.66583850931677002</v>
      </c>
      <c r="FN32" s="80">
        <f t="shared" si="22"/>
        <v>0.36204278812974461</v>
      </c>
      <c r="FO32" s="115">
        <f t="shared" si="23"/>
        <v>1.839115516584064</v>
      </c>
      <c r="FP32" s="115">
        <f t="shared" si="24"/>
        <v>8.6956521739130432E-2</v>
      </c>
      <c r="FQ32" s="116">
        <f t="shared" si="25"/>
        <v>4.8985801217038542E-2</v>
      </c>
    </row>
    <row r="33" spans="1:173" x14ac:dyDescent="0.25">
      <c r="A33" s="61">
        <v>24</v>
      </c>
      <c r="B33" t="s">
        <v>250</v>
      </c>
      <c r="C33">
        <v>4178</v>
      </c>
      <c r="D33">
        <v>2988</v>
      </c>
      <c r="E33">
        <v>2830</v>
      </c>
      <c r="F33">
        <v>1888</v>
      </c>
      <c r="H33">
        <v>90.1</v>
      </c>
      <c r="I33">
        <v>23.33</v>
      </c>
      <c r="J33">
        <v>9.5299999999999994</v>
      </c>
      <c r="K33">
        <v>2.12</v>
      </c>
      <c r="L33">
        <v>5.41</v>
      </c>
      <c r="M33">
        <v>2.96</v>
      </c>
      <c r="T33">
        <v>14.2</v>
      </c>
      <c r="U33">
        <v>44.46</v>
      </c>
      <c r="V33">
        <v>10.75</v>
      </c>
      <c r="W33">
        <v>1.0900000000000001</v>
      </c>
      <c r="X33">
        <v>41.56</v>
      </c>
      <c r="AB33">
        <v>47.489999999999995</v>
      </c>
      <c r="AC33">
        <v>55</v>
      </c>
      <c r="AD33" s="9">
        <v>41.5946</v>
      </c>
      <c r="AF33">
        <v>1.49</v>
      </c>
      <c r="AG33">
        <v>1.17</v>
      </c>
      <c r="AH33">
        <v>0.64</v>
      </c>
      <c r="AI33">
        <v>0.75</v>
      </c>
      <c r="AJ33">
        <v>1.7</v>
      </c>
      <c r="AK33">
        <v>1.04</v>
      </c>
      <c r="AL33">
        <v>0.37</v>
      </c>
      <c r="AM33">
        <v>0.89</v>
      </c>
      <c r="AN33">
        <v>0.78</v>
      </c>
      <c r="AO33">
        <v>0.63</v>
      </c>
      <c r="AR33">
        <v>0.25</v>
      </c>
      <c r="AW33">
        <v>0.63</v>
      </c>
      <c r="AZ33">
        <v>83</v>
      </c>
      <c r="BA33">
        <v>78</v>
      </c>
      <c r="BB33">
        <v>75</v>
      </c>
      <c r="BC33">
        <v>78</v>
      </c>
      <c r="BD33">
        <v>62</v>
      </c>
      <c r="BE33">
        <v>80</v>
      </c>
      <c r="BF33">
        <v>81</v>
      </c>
      <c r="BG33">
        <v>70</v>
      </c>
      <c r="BH33">
        <v>66</v>
      </c>
      <c r="BI33">
        <v>73</v>
      </c>
      <c r="BL33">
        <v>63</v>
      </c>
      <c r="BQ33">
        <v>79</v>
      </c>
      <c r="BS33">
        <v>0.03</v>
      </c>
      <c r="BU33">
        <v>0.54</v>
      </c>
      <c r="BV33">
        <v>0.36</v>
      </c>
      <c r="BX33">
        <v>0.9</v>
      </c>
      <c r="BY33">
        <v>0.36</v>
      </c>
      <c r="CB33">
        <v>33</v>
      </c>
      <c r="CC33">
        <v>37</v>
      </c>
      <c r="CD33" s="64">
        <v>50</v>
      </c>
      <c r="CE33" s="64">
        <f t="shared" si="37"/>
        <v>60</v>
      </c>
      <c r="CF33" s="2">
        <v>26.119499999999999</v>
      </c>
      <c r="CH33" s="47">
        <v>13.997999999999999</v>
      </c>
      <c r="CI33" s="47">
        <v>1.1323999999999999</v>
      </c>
      <c r="CJ33" s="47">
        <v>0.83069999999999988</v>
      </c>
      <c r="CK33" s="47">
        <v>0.4224</v>
      </c>
      <c r="CL33" s="47">
        <v>0.54</v>
      </c>
      <c r="CM33" s="47">
        <v>0.90099999999999991</v>
      </c>
      <c r="CN33" s="47">
        <v>0.80079999999999996</v>
      </c>
      <c r="CO33" s="47">
        <v>0.94829999999999992</v>
      </c>
      <c r="CP33" s="47">
        <v>0.27750000000000002</v>
      </c>
      <c r="CQ33" s="47">
        <v>0.75</v>
      </c>
      <c r="CR33" s="47">
        <v>0.52510000000000001</v>
      </c>
      <c r="CS33" s="47">
        <v>0.41340000000000005</v>
      </c>
      <c r="CT33" s="47">
        <v>0.4032</v>
      </c>
      <c r="CU33" s="47"/>
      <c r="CV33" s="47">
        <v>0</v>
      </c>
      <c r="CW33" s="47">
        <f t="shared" si="26"/>
        <v>1.2366999999999999</v>
      </c>
      <c r="CX33" s="47">
        <f t="shared" si="27"/>
        <v>0.91259999999999986</v>
      </c>
      <c r="CY33" s="47">
        <f t="shared" si="28"/>
        <v>0.48</v>
      </c>
      <c r="CZ33" s="47">
        <f t="shared" si="29"/>
        <v>0.58499999999999996</v>
      </c>
      <c r="DA33" s="47">
        <f t="shared" si="30"/>
        <v>1.0539999999999998</v>
      </c>
      <c r="DB33" s="47">
        <f t="shared" si="31"/>
        <v>0.83200000000000007</v>
      </c>
      <c r="DC33" s="47">
        <f t="shared" si="32"/>
        <v>0.98950000000000005</v>
      </c>
      <c r="DD33" s="47">
        <f t="shared" si="12"/>
        <v>0.29969999999999997</v>
      </c>
      <c r="DE33" s="47">
        <f t="shared" si="5"/>
        <v>0.7974</v>
      </c>
      <c r="DF33" s="47">
        <f t="shared" si="13"/>
        <v>0.623</v>
      </c>
      <c r="DG33" s="47">
        <f t="shared" si="14"/>
        <v>0.51480000000000004</v>
      </c>
      <c r="DH33" s="47">
        <f t="shared" si="15"/>
        <v>0.45990000000000003</v>
      </c>
      <c r="DI33" s="47"/>
      <c r="DJ33" s="47"/>
      <c r="DK33" s="47"/>
      <c r="DL33" s="47"/>
      <c r="DM33" s="47"/>
      <c r="DN33" s="47"/>
      <c r="DO33" s="47"/>
      <c r="DP33" s="47"/>
      <c r="DQ33">
        <f t="shared" si="18"/>
        <v>0.29699999999999999</v>
      </c>
      <c r="DR33">
        <f t="shared" si="19"/>
        <v>0.33300000000000002</v>
      </c>
      <c r="DS33">
        <f t="shared" si="33"/>
        <v>1.4999999999999999E-2</v>
      </c>
      <c r="DT33">
        <f t="shared" si="34"/>
        <v>1.7999999999999999E-2</v>
      </c>
      <c r="DW33" s="111">
        <f t="shared" si="35"/>
        <v>0</v>
      </c>
      <c r="DX33" s="112"/>
      <c r="EA33" s="115"/>
      <c r="EB33" s="113">
        <f t="shared" si="36"/>
        <v>0</v>
      </c>
      <c r="EG33" s="204">
        <v>0.54</v>
      </c>
      <c r="FI33" s="6">
        <v>57.2</v>
      </c>
      <c r="FJ33" s="6">
        <v>1.1000000000000001</v>
      </c>
      <c r="FK33" s="7">
        <f t="shared" si="39"/>
        <v>1.2359600000000002</v>
      </c>
      <c r="FM33" s="80">
        <f t="shared" si="21"/>
        <v>0.7861538461538462</v>
      </c>
      <c r="FN33" s="80">
        <f t="shared" si="22"/>
        <v>0.82051282051282048</v>
      </c>
      <c r="FO33" s="115">
        <f t="shared" si="23"/>
        <v>0.95812500000000012</v>
      </c>
      <c r="FP33" s="115">
        <f t="shared" si="24"/>
        <v>0.88000000000000012</v>
      </c>
      <c r="FQ33" s="116">
        <f t="shared" si="25"/>
        <v>2.5075010715816547E-2</v>
      </c>
    </row>
    <row r="34" spans="1:173" x14ac:dyDescent="0.25">
      <c r="A34" s="61">
        <v>25</v>
      </c>
      <c r="B34" t="s">
        <v>251</v>
      </c>
      <c r="C34">
        <v>3989</v>
      </c>
      <c r="D34">
        <v>2990</v>
      </c>
      <c r="E34">
        <v>2872</v>
      </c>
      <c r="F34">
        <v>2043</v>
      </c>
      <c r="H34">
        <v>87.13</v>
      </c>
      <c r="I34">
        <v>17.39</v>
      </c>
      <c r="J34">
        <v>7.08</v>
      </c>
      <c r="K34">
        <v>4.21</v>
      </c>
      <c r="M34">
        <v>5.14</v>
      </c>
      <c r="N34">
        <v>0</v>
      </c>
      <c r="O34">
        <v>0</v>
      </c>
      <c r="P34">
        <v>0</v>
      </c>
      <c r="Q34">
        <v>0</v>
      </c>
      <c r="R34">
        <v>0</v>
      </c>
      <c r="T34">
        <v>23.67</v>
      </c>
      <c r="U34">
        <v>27.5</v>
      </c>
      <c r="V34">
        <v>8.43</v>
      </c>
      <c r="X34">
        <v>26.8</v>
      </c>
      <c r="AB34">
        <v>36.72</v>
      </c>
      <c r="AC34">
        <v>48</v>
      </c>
      <c r="AD34" s="9">
        <v>39.355100000000007</v>
      </c>
      <c r="AF34">
        <v>1.04</v>
      </c>
      <c r="AG34">
        <v>0.67</v>
      </c>
      <c r="AH34">
        <v>0.66</v>
      </c>
      <c r="AI34">
        <v>1.96</v>
      </c>
      <c r="AJ34">
        <v>0.63</v>
      </c>
      <c r="AK34">
        <v>0.35</v>
      </c>
      <c r="AL34">
        <v>0.76</v>
      </c>
      <c r="AM34">
        <v>0.74</v>
      </c>
      <c r="AN34">
        <v>7.0000000000000007E-2</v>
      </c>
      <c r="AO34">
        <v>1.01</v>
      </c>
      <c r="AR34">
        <v>0.46</v>
      </c>
      <c r="AW34">
        <v>0.57999999999999996</v>
      </c>
      <c r="AY34" s="13">
        <v>76.583333333333329</v>
      </c>
      <c r="AZ34">
        <v>86</v>
      </c>
      <c r="BA34">
        <v>75</v>
      </c>
      <c r="BB34">
        <v>80</v>
      </c>
      <c r="BC34">
        <v>85</v>
      </c>
      <c r="BD34">
        <v>66</v>
      </c>
      <c r="BE34">
        <v>82</v>
      </c>
      <c r="BF34">
        <v>85</v>
      </c>
      <c r="BG34">
        <v>71</v>
      </c>
      <c r="BH34">
        <v>66</v>
      </c>
      <c r="BI34">
        <v>77</v>
      </c>
      <c r="BL34">
        <v>62</v>
      </c>
      <c r="BQ34">
        <v>84</v>
      </c>
      <c r="BS34">
        <v>0.09</v>
      </c>
      <c r="BT34">
        <v>0.22</v>
      </c>
      <c r="BU34">
        <v>0.98</v>
      </c>
      <c r="BV34">
        <v>0.33</v>
      </c>
      <c r="BW34">
        <v>0.15</v>
      </c>
      <c r="BX34">
        <v>0.78</v>
      </c>
      <c r="BY34">
        <v>0.22</v>
      </c>
      <c r="CA34">
        <v>0.62</v>
      </c>
      <c r="CB34">
        <v>26</v>
      </c>
      <c r="CC34">
        <v>32</v>
      </c>
      <c r="CD34" s="64">
        <v>50</v>
      </c>
      <c r="CE34" s="64">
        <f t="shared" si="37"/>
        <v>60</v>
      </c>
      <c r="CF34" s="2">
        <v>17.625599999999999</v>
      </c>
      <c r="CH34" s="47">
        <v>11.1296</v>
      </c>
      <c r="CI34" s="47">
        <v>0.8216</v>
      </c>
      <c r="CJ34" s="47">
        <v>0.46230000000000004</v>
      </c>
      <c r="CK34" s="47">
        <v>0.44880000000000003</v>
      </c>
      <c r="CL34" s="47">
        <v>1.5875999999999999</v>
      </c>
      <c r="CM34" s="47">
        <v>0.32130000000000003</v>
      </c>
      <c r="CN34" s="47">
        <v>0.27649999999999997</v>
      </c>
      <c r="CO34" s="47">
        <v>0.52029999999999998</v>
      </c>
      <c r="CP34" s="47">
        <v>0.60799999999999998</v>
      </c>
      <c r="CQ34" s="47">
        <v>1.0720000000000001</v>
      </c>
      <c r="CR34" s="47">
        <v>0.42180000000000001</v>
      </c>
      <c r="CS34" s="47">
        <v>3.2900000000000006E-2</v>
      </c>
      <c r="CT34" s="47">
        <v>0.71709999999999996</v>
      </c>
      <c r="CU34" s="47"/>
      <c r="CV34" s="47">
        <v>13.317841666666666</v>
      </c>
      <c r="CW34" s="47">
        <f t="shared" si="26"/>
        <v>0.89439999999999997</v>
      </c>
      <c r="CX34" s="47">
        <f t="shared" si="27"/>
        <v>0.50249999999999995</v>
      </c>
      <c r="CY34" s="47">
        <f t="shared" si="28"/>
        <v>0.52800000000000002</v>
      </c>
      <c r="CZ34" s="47">
        <f t="shared" si="29"/>
        <v>1.6659999999999999</v>
      </c>
      <c r="DA34" s="47">
        <f t="shared" si="30"/>
        <v>0.4158</v>
      </c>
      <c r="DB34" s="47">
        <f t="shared" si="31"/>
        <v>0.28699999999999998</v>
      </c>
      <c r="DC34" s="47">
        <f t="shared" si="32"/>
        <v>0.57220000000000004</v>
      </c>
      <c r="DD34" s="47">
        <f t="shared" si="12"/>
        <v>0.64599999999999991</v>
      </c>
      <c r="DE34" s="47">
        <f t="shared" si="5"/>
        <v>1.1332</v>
      </c>
      <c r="DF34" s="47">
        <f t="shared" si="13"/>
        <v>0.52539999999999998</v>
      </c>
      <c r="DG34" s="47">
        <f t="shared" si="14"/>
        <v>4.6199999999999998E-2</v>
      </c>
      <c r="DH34" s="47">
        <f t="shared" si="15"/>
        <v>0.77769999999999995</v>
      </c>
      <c r="DI34" s="47"/>
      <c r="DJ34" s="47"/>
      <c r="DK34" s="47"/>
      <c r="DL34" s="47"/>
      <c r="DM34" s="47"/>
      <c r="DN34" s="47"/>
      <c r="DO34" s="47"/>
      <c r="DP34" s="47"/>
      <c r="DQ34">
        <f t="shared" si="18"/>
        <v>0.20280000000000001</v>
      </c>
      <c r="DR34">
        <f t="shared" si="19"/>
        <v>0.24960000000000002</v>
      </c>
      <c r="DS34">
        <f t="shared" si="33"/>
        <v>4.4999999999999998E-2</v>
      </c>
      <c r="DT34">
        <f t="shared" si="34"/>
        <v>5.3999999999999992E-2</v>
      </c>
      <c r="DW34" s="111">
        <f t="shared" si="35"/>
        <v>0</v>
      </c>
      <c r="DX34" s="112"/>
      <c r="EA34" s="115"/>
      <c r="EB34" s="113">
        <f t="shared" si="36"/>
        <v>0</v>
      </c>
      <c r="EG34" s="204">
        <v>0.2</v>
      </c>
      <c r="FM34" s="80">
        <f t="shared" si="21"/>
        <v>0.46680672268907564</v>
      </c>
      <c r="FN34" s="80">
        <f t="shared" si="22"/>
        <v>0.31692677070828335</v>
      </c>
      <c r="FO34" s="115">
        <f t="shared" si="23"/>
        <v>1.4729166666666664</v>
      </c>
      <c r="FP34" s="115">
        <f t="shared" si="24"/>
        <v>2.7731092436974789E-2</v>
      </c>
      <c r="FQ34" s="116">
        <f t="shared" si="25"/>
        <v>9.5802185163887291E-2</v>
      </c>
    </row>
    <row r="35" spans="1:173" x14ac:dyDescent="0.25">
      <c r="A35" s="61">
        <v>26</v>
      </c>
      <c r="B35" t="s">
        <v>252</v>
      </c>
      <c r="C35">
        <v>4865</v>
      </c>
      <c r="D35">
        <v>4133</v>
      </c>
      <c r="E35">
        <v>3737</v>
      </c>
      <c r="F35">
        <v>2464</v>
      </c>
      <c r="H35">
        <v>90.04</v>
      </c>
      <c r="I35">
        <v>58.25</v>
      </c>
      <c r="J35">
        <v>0.7</v>
      </c>
      <c r="K35">
        <v>4.74</v>
      </c>
      <c r="L35">
        <v>0.63</v>
      </c>
      <c r="M35">
        <v>1.46</v>
      </c>
      <c r="N35">
        <v>0</v>
      </c>
      <c r="O35">
        <v>0</v>
      </c>
      <c r="P35">
        <v>0</v>
      </c>
      <c r="Q35">
        <v>0</v>
      </c>
      <c r="R35">
        <v>0</v>
      </c>
      <c r="T35">
        <v>17.93</v>
      </c>
      <c r="U35">
        <v>1.57</v>
      </c>
      <c r="V35">
        <v>7.08</v>
      </c>
      <c r="AB35">
        <v>7.6600000000000037</v>
      </c>
      <c r="AC35">
        <v>97</v>
      </c>
      <c r="AD35" s="9">
        <v>45.81110000000001</v>
      </c>
      <c r="AF35">
        <v>1.66</v>
      </c>
      <c r="AG35">
        <v>1.32</v>
      </c>
      <c r="AH35">
        <v>2.23</v>
      </c>
      <c r="AI35">
        <v>9.82</v>
      </c>
      <c r="AJ35">
        <v>0.93</v>
      </c>
      <c r="AK35">
        <v>1.21</v>
      </c>
      <c r="AL35">
        <v>3.52</v>
      </c>
      <c r="AM35">
        <v>1.81</v>
      </c>
      <c r="AN35">
        <v>0.27</v>
      </c>
      <c r="AO35">
        <v>2.42</v>
      </c>
      <c r="AR35">
        <v>1.01</v>
      </c>
      <c r="AW35">
        <v>2.86</v>
      </c>
      <c r="AY35">
        <v>75</v>
      </c>
      <c r="AZ35">
        <v>91</v>
      </c>
      <c r="BA35">
        <v>87</v>
      </c>
      <c r="BB35">
        <v>93</v>
      </c>
      <c r="BC35">
        <v>96</v>
      </c>
      <c r="BD35">
        <v>81</v>
      </c>
      <c r="BE35">
        <v>93</v>
      </c>
      <c r="BF35">
        <v>94</v>
      </c>
      <c r="BG35">
        <v>87</v>
      </c>
      <c r="BH35">
        <v>77</v>
      </c>
      <c r="BI35">
        <v>91</v>
      </c>
      <c r="BL35">
        <v>88</v>
      </c>
      <c r="BQ35">
        <v>94</v>
      </c>
      <c r="BS35">
        <v>0.03</v>
      </c>
      <c r="BT35">
        <v>0.06</v>
      </c>
      <c r="BU35">
        <v>0.18</v>
      </c>
      <c r="BV35">
        <v>0.09</v>
      </c>
      <c r="BW35">
        <v>0.02</v>
      </c>
      <c r="BX35">
        <v>0.49</v>
      </c>
      <c r="BY35">
        <v>1</v>
      </c>
      <c r="CB35">
        <v>38</v>
      </c>
      <c r="CC35">
        <v>47</v>
      </c>
      <c r="CD35" s="64">
        <v>50</v>
      </c>
      <c r="CE35" s="64">
        <f t="shared" si="37"/>
        <v>60</v>
      </c>
      <c r="CF35" s="2">
        <v>7.4302000000000028</v>
      </c>
      <c r="CH35" s="47">
        <v>41.94</v>
      </c>
      <c r="CI35" s="47">
        <v>1.4607999999999999</v>
      </c>
      <c r="CJ35" s="47">
        <v>1.1352000000000002</v>
      </c>
      <c r="CK35" s="47">
        <v>2.0293000000000001</v>
      </c>
      <c r="CL35" s="47">
        <v>9.4272000000000009</v>
      </c>
      <c r="CM35" s="47">
        <v>0.71609999999999996</v>
      </c>
      <c r="CN35" s="47">
        <v>1.1132</v>
      </c>
      <c r="CO35" s="47">
        <v>1.9818</v>
      </c>
      <c r="CP35" s="47">
        <v>3.2736000000000001</v>
      </c>
      <c r="CQ35" s="47">
        <v>5.9333999999999998</v>
      </c>
      <c r="CR35" s="47">
        <v>1.5204</v>
      </c>
      <c r="CS35" s="47">
        <v>0.16470000000000001</v>
      </c>
      <c r="CT35" s="47">
        <v>2.1537999999999999</v>
      </c>
      <c r="CU35" s="47"/>
      <c r="CV35" s="47">
        <v>43.6875</v>
      </c>
      <c r="CW35" s="47">
        <f t="shared" si="26"/>
        <v>1.5105999999999999</v>
      </c>
      <c r="CX35" s="47">
        <f t="shared" si="27"/>
        <v>1.1484000000000001</v>
      </c>
      <c r="CY35" s="47">
        <f t="shared" si="28"/>
        <v>2.0739000000000001</v>
      </c>
      <c r="CZ35" s="47">
        <f t="shared" si="29"/>
        <v>9.4272000000000009</v>
      </c>
      <c r="DA35" s="47">
        <f t="shared" si="30"/>
        <v>0.75329999999999997</v>
      </c>
      <c r="DB35" s="47">
        <f t="shared" si="31"/>
        <v>1.1253</v>
      </c>
      <c r="DC35" s="47">
        <f t="shared" si="32"/>
        <v>2.0141</v>
      </c>
      <c r="DD35" s="47">
        <f t="shared" si="12"/>
        <v>3.3087999999999997</v>
      </c>
      <c r="DE35" s="47">
        <f t="shared" si="5"/>
        <v>5.9971999999999994</v>
      </c>
      <c r="DF35" s="47">
        <f t="shared" si="13"/>
        <v>1.5747</v>
      </c>
      <c r="DG35" s="47">
        <f t="shared" si="14"/>
        <v>0.20790000000000003</v>
      </c>
      <c r="DH35" s="47">
        <f t="shared" si="15"/>
        <v>2.2021999999999999</v>
      </c>
      <c r="DI35" s="47"/>
      <c r="DJ35" s="47"/>
      <c r="DK35" s="47"/>
      <c r="DL35" s="47"/>
      <c r="DM35" s="47"/>
      <c r="DN35" s="47"/>
      <c r="DO35" s="47"/>
      <c r="DP35" s="47"/>
      <c r="DQ35">
        <f t="shared" si="18"/>
        <v>0.1862</v>
      </c>
      <c r="DR35">
        <f t="shared" si="19"/>
        <v>0.2303</v>
      </c>
      <c r="DS35">
        <f t="shared" si="33"/>
        <v>1.4999999999999999E-2</v>
      </c>
      <c r="DT35">
        <f t="shared" si="34"/>
        <v>1.7999999999999999E-2</v>
      </c>
      <c r="DV35" s="110"/>
      <c r="DW35" s="111">
        <f t="shared" si="35"/>
        <v>0</v>
      </c>
      <c r="DX35" s="112"/>
      <c r="DY35" s="94"/>
      <c r="DZ35" s="94"/>
      <c r="EA35" s="81"/>
      <c r="EB35" s="113">
        <f t="shared" si="36"/>
        <v>0</v>
      </c>
      <c r="EC35" s="6"/>
      <c r="ED35" s="92"/>
      <c r="EE35" s="92"/>
      <c r="EF35" s="92"/>
      <c r="EG35" s="204">
        <v>0.47</v>
      </c>
      <c r="EH35" s="118"/>
      <c r="EI35" s="82"/>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80">
        <f t="shared" si="21"/>
        <v>0.2336006449422946</v>
      </c>
      <c r="FN35" s="80">
        <f t="shared" si="22"/>
        <v>0.21999108961303462</v>
      </c>
      <c r="FO35" s="115">
        <f t="shared" si="23"/>
        <v>1.0618641207387047</v>
      </c>
      <c r="FP35" s="115">
        <f t="shared" si="24"/>
        <v>2.2053207739307537E-2</v>
      </c>
      <c r="FQ35" s="116">
        <f t="shared" si="25"/>
        <v>0.1618403433476395</v>
      </c>
    </row>
    <row r="36" spans="1:173" x14ac:dyDescent="0.25">
      <c r="A36" s="61">
        <v>27</v>
      </c>
      <c r="B36" t="s">
        <v>253</v>
      </c>
      <c r="C36">
        <v>4145</v>
      </c>
      <c r="D36">
        <v>3355</v>
      </c>
      <c r="E36">
        <v>3293</v>
      </c>
      <c r="F36">
        <v>2574</v>
      </c>
      <c r="H36">
        <v>87.47</v>
      </c>
      <c r="I36">
        <v>9.1199999999999992</v>
      </c>
      <c r="J36">
        <v>3.19</v>
      </c>
      <c r="K36">
        <v>7.4</v>
      </c>
      <c r="M36">
        <v>2.34</v>
      </c>
      <c r="N36">
        <v>0</v>
      </c>
      <c r="O36">
        <v>0</v>
      </c>
      <c r="P36">
        <v>0</v>
      </c>
      <c r="Q36">
        <v>0</v>
      </c>
      <c r="R36">
        <v>0</v>
      </c>
      <c r="T36">
        <v>47.58</v>
      </c>
      <c r="U36">
        <v>14.3</v>
      </c>
      <c r="V36">
        <v>4.51</v>
      </c>
      <c r="X36">
        <v>10.11</v>
      </c>
      <c r="AB36">
        <v>21.029999999999987</v>
      </c>
      <c r="AC36">
        <v>43</v>
      </c>
      <c r="AD36" s="9">
        <v>40.85629999999999</v>
      </c>
      <c r="AF36">
        <v>0.56000000000000005</v>
      </c>
      <c r="AG36">
        <v>0.28000000000000003</v>
      </c>
      <c r="AH36">
        <v>0.36</v>
      </c>
      <c r="AI36">
        <v>0.98</v>
      </c>
      <c r="AJ36">
        <v>0.38</v>
      </c>
      <c r="AK36">
        <v>0.18</v>
      </c>
      <c r="AL36">
        <v>0.43</v>
      </c>
      <c r="AM36">
        <v>0.4</v>
      </c>
      <c r="AN36">
        <v>0.1</v>
      </c>
      <c r="AO36">
        <v>0.52</v>
      </c>
      <c r="AR36">
        <v>0.18</v>
      </c>
      <c r="AW36">
        <v>0.4</v>
      </c>
      <c r="AY36" s="13">
        <v>80.083333333333329</v>
      </c>
      <c r="AZ36">
        <v>87</v>
      </c>
      <c r="BA36">
        <v>80</v>
      </c>
      <c r="BB36">
        <v>81</v>
      </c>
      <c r="BC36">
        <v>86</v>
      </c>
      <c r="BD36">
        <v>71</v>
      </c>
      <c r="BE36">
        <v>87</v>
      </c>
      <c r="BF36">
        <v>86</v>
      </c>
      <c r="BG36">
        <v>73</v>
      </c>
      <c r="BH36">
        <v>68</v>
      </c>
      <c r="BI36">
        <v>80</v>
      </c>
      <c r="BL36">
        <v>74</v>
      </c>
      <c r="BQ36">
        <v>88</v>
      </c>
      <c r="BS36">
        <v>0.28999999999999998</v>
      </c>
      <c r="BT36">
        <v>7.0000000000000007E-2</v>
      </c>
      <c r="BU36">
        <v>0.61</v>
      </c>
      <c r="BV36">
        <v>0.24</v>
      </c>
      <c r="BW36">
        <v>0.08</v>
      </c>
      <c r="BX36">
        <v>0.73</v>
      </c>
      <c r="BY36">
        <v>0.03</v>
      </c>
      <c r="CA36">
        <v>0.49</v>
      </c>
      <c r="CB36">
        <v>26</v>
      </c>
      <c r="CC36">
        <v>34</v>
      </c>
      <c r="CD36" s="64">
        <v>50</v>
      </c>
      <c r="CE36" s="64">
        <f t="shared" si="37"/>
        <v>60</v>
      </c>
      <c r="CF36" s="2">
        <v>9.0428999999999942</v>
      </c>
      <c r="CH36" s="47">
        <v>0</v>
      </c>
      <c r="CI36" s="47">
        <v>0</v>
      </c>
      <c r="CJ36" s="47">
        <v>0</v>
      </c>
      <c r="CK36" s="47">
        <v>0</v>
      </c>
      <c r="CL36" s="47">
        <v>0</v>
      </c>
      <c r="CM36" s="47">
        <v>0</v>
      </c>
      <c r="CN36" s="47">
        <v>0</v>
      </c>
      <c r="CO36" s="47">
        <v>0</v>
      </c>
      <c r="CP36" s="47">
        <v>0</v>
      </c>
      <c r="CQ36" s="47">
        <v>0</v>
      </c>
      <c r="CR36" s="47">
        <v>0</v>
      </c>
      <c r="CS36" s="47">
        <v>0</v>
      </c>
      <c r="CT36" s="47">
        <v>0</v>
      </c>
      <c r="CU36" s="47"/>
      <c r="CV36" s="47">
        <v>7.3035999999999994</v>
      </c>
      <c r="CW36" s="47">
        <f t="shared" si="26"/>
        <v>0.48720000000000008</v>
      </c>
      <c r="CX36" s="47">
        <f t="shared" si="27"/>
        <v>0.22400000000000003</v>
      </c>
      <c r="CY36" s="47">
        <f t="shared" si="28"/>
        <v>0.29160000000000003</v>
      </c>
      <c r="CZ36" s="47">
        <f t="shared" si="29"/>
        <v>0.84279999999999999</v>
      </c>
      <c r="DA36" s="47">
        <f t="shared" si="30"/>
        <v>0.26979999999999998</v>
      </c>
      <c r="DB36" s="47">
        <f t="shared" si="31"/>
        <v>0.15659999999999999</v>
      </c>
      <c r="DC36" s="47">
        <f t="shared" si="32"/>
        <v>0.2898</v>
      </c>
      <c r="DD36" s="47">
        <f t="shared" si="12"/>
        <v>0.36979999999999996</v>
      </c>
      <c r="DE36" s="47">
        <f t="shared" si="5"/>
        <v>0.7218</v>
      </c>
      <c r="DF36" s="47">
        <f t="shared" si="13"/>
        <v>0.29200000000000004</v>
      </c>
      <c r="DG36" s="47">
        <f t="shared" si="14"/>
        <v>6.8000000000000005E-2</v>
      </c>
      <c r="DH36" s="47">
        <f t="shared" si="15"/>
        <v>0.41600000000000004</v>
      </c>
      <c r="DI36" s="47"/>
      <c r="DJ36" s="47"/>
      <c r="DK36" s="47"/>
      <c r="DL36" s="47"/>
      <c r="DM36" s="47"/>
      <c r="DN36" s="47"/>
      <c r="DO36" s="47"/>
      <c r="DP36" s="47"/>
      <c r="DQ36">
        <f t="shared" si="18"/>
        <v>0.1898</v>
      </c>
      <c r="DR36">
        <f t="shared" si="19"/>
        <v>0.2482</v>
      </c>
      <c r="DS36">
        <f t="shared" si="33"/>
        <v>0.14499999999999999</v>
      </c>
      <c r="DT36">
        <f t="shared" si="34"/>
        <v>0.17399999999999999</v>
      </c>
      <c r="DV36" s="110"/>
      <c r="DW36" s="111">
        <f t="shared" si="35"/>
        <v>90</v>
      </c>
      <c r="DX36" s="112">
        <v>4.4999999999999998E-2</v>
      </c>
      <c r="DY36" s="94">
        <v>2714</v>
      </c>
      <c r="DZ36" s="94">
        <v>2389</v>
      </c>
      <c r="EA36" s="122">
        <v>0.14000000000000001</v>
      </c>
      <c r="EB36" s="113">
        <f t="shared" si="36"/>
        <v>0.10220000000000001</v>
      </c>
      <c r="EC36" s="6">
        <v>2.97</v>
      </c>
      <c r="ED36" s="92">
        <v>0</v>
      </c>
      <c r="EE36" s="92">
        <v>0</v>
      </c>
      <c r="EF36" s="92"/>
      <c r="EG36" s="204">
        <v>0.57999999999999996</v>
      </c>
      <c r="EH36" s="107">
        <f>125*K36/10</f>
        <v>92.5</v>
      </c>
      <c r="EI36" s="82">
        <f>IF(AR36="","",AR36*BL36)</f>
        <v>13.32</v>
      </c>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80">
        <f t="shared" si="21"/>
        <v>0.49359278595159001</v>
      </c>
      <c r="FN36" s="80">
        <f t="shared" si="22"/>
        <v>0.34598955861414338</v>
      </c>
      <c r="FO36" s="115">
        <f t="shared" si="23"/>
        <v>1.4266117969821674</v>
      </c>
      <c r="FP36" s="115">
        <f t="shared" si="24"/>
        <v>8.0683436165163741E-2</v>
      </c>
      <c r="FQ36" s="116">
        <f t="shared" si="25"/>
        <v>9.241228070175439E-2</v>
      </c>
    </row>
    <row r="37" spans="1:173" x14ac:dyDescent="0.25">
      <c r="A37" s="61">
        <v>28</v>
      </c>
      <c r="B37" t="s">
        <v>254</v>
      </c>
      <c r="C37">
        <v>5248</v>
      </c>
      <c r="D37">
        <v>3207</v>
      </c>
      <c r="E37">
        <v>3045</v>
      </c>
      <c r="F37">
        <v>1970</v>
      </c>
      <c r="H37">
        <v>92.56</v>
      </c>
      <c r="I37">
        <v>23.77</v>
      </c>
      <c r="K37">
        <v>16.510000000000002</v>
      </c>
      <c r="M37">
        <v>4</v>
      </c>
      <c r="T37">
        <v>2.2999999999999998</v>
      </c>
      <c r="U37">
        <v>51.04</v>
      </c>
      <c r="V37">
        <v>38.590000000000003</v>
      </c>
      <c r="W37">
        <v>10.75</v>
      </c>
      <c r="AB37">
        <v>45.980000000000004</v>
      </c>
      <c r="AC37">
        <v>31</v>
      </c>
      <c r="AD37" s="9">
        <v>46.848700000000008</v>
      </c>
      <c r="AF37">
        <v>2.41</v>
      </c>
      <c r="AG37">
        <v>0.61</v>
      </c>
      <c r="AH37">
        <v>0.7</v>
      </c>
      <c r="AI37">
        <v>1.18</v>
      </c>
      <c r="AJ37">
        <v>0.87</v>
      </c>
      <c r="AK37">
        <v>0.33</v>
      </c>
      <c r="AL37">
        <v>1.17</v>
      </c>
      <c r="AM37">
        <v>0.67</v>
      </c>
      <c r="AN37">
        <v>0.25</v>
      </c>
      <c r="AO37">
        <v>0.98</v>
      </c>
      <c r="AR37">
        <v>0.33</v>
      </c>
      <c r="AW37">
        <v>0.56000000000000005</v>
      </c>
      <c r="BS37">
        <v>0.15</v>
      </c>
      <c r="BX37">
        <v>0.65</v>
      </c>
      <c r="CB37">
        <v>31</v>
      </c>
      <c r="CC37">
        <v>36</v>
      </c>
      <c r="CF37" s="2">
        <v>14.253800000000002</v>
      </c>
      <c r="CH37" s="47">
        <v>17.3521</v>
      </c>
      <c r="CI37" s="47">
        <v>2.0967000000000002</v>
      </c>
      <c r="CJ37" s="47">
        <v>0.43920000000000003</v>
      </c>
      <c r="CK37" s="47">
        <v>0.46899999999999997</v>
      </c>
      <c r="CL37" s="47">
        <v>0.82599999999999996</v>
      </c>
      <c r="CM37" s="47">
        <v>0.51329999999999998</v>
      </c>
      <c r="CN37" s="47">
        <v>0.23100000000000001</v>
      </c>
      <c r="CO37" s="47">
        <v>0.47189999999999999</v>
      </c>
      <c r="CP37" s="47">
        <v>0.9242999999999999</v>
      </c>
      <c r="CQ37" s="47">
        <v>1.3331</v>
      </c>
      <c r="CR37" s="47">
        <v>0.42880000000000001</v>
      </c>
      <c r="CS37" s="47">
        <v>0.17</v>
      </c>
      <c r="CT37" s="47">
        <v>0.67620000000000002</v>
      </c>
      <c r="CU37" s="47"/>
      <c r="CV37" s="47">
        <v>0</v>
      </c>
      <c r="CW37" s="47">
        <f t="shared" si="26"/>
        <v>0</v>
      </c>
      <c r="CX37" s="47">
        <f t="shared" si="27"/>
        <v>0</v>
      </c>
      <c r="CY37" s="47">
        <f t="shared" si="28"/>
        <v>0</v>
      </c>
      <c r="CZ37" s="47">
        <f t="shared" si="29"/>
        <v>0</v>
      </c>
      <c r="DA37" s="47">
        <f t="shared" si="30"/>
        <v>0</v>
      </c>
      <c r="DB37" s="47">
        <f t="shared" si="31"/>
        <v>0</v>
      </c>
      <c r="DC37" s="47">
        <f t="shared" si="32"/>
        <v>0</v>
      </c>
      <c r="DD37" s="47">
        <f t="shared" si="12"/>
        <v>0</v>
      </c>
      <c r="DE37" s="47">
        <f t="shared" si="5"/>
        <v>0</v>
      </c>
      <c r="DF37" s="47">
        <f t="shared" si="13"/>
        <v>0</v>
      </c>
      <c r="DG37" s="47">
        <f t="shared" si="14"/>
        <v>0</v>
      </c>
      <c r="DH37" s="47">
        <f t="shared" si="15"/>
        <v>0</v>
      </c>
      <c r="DI37" s="47"/>
      <c r="DJ37" s="47"/>
      <c r="DK37" s="47"/>
      <c r="DL37" s="47"/>
      <c r="DM37" s="47"/>
      <c r="DN37" s="47"/>
      <c r="DO37" s="47"/>
      <c r="DP37" s="47"/>
      <c r="DQ37">
        <f t="shared" si="18"/>
        <v>0.20150000000000001</v>
      </c>
      <c r="DR37">
        <f t="shared" si="19"/>
        <v>0.23400000000000001</v>
      </c>
      <c r="DS37">
        <f t="shared" si="33"/>
        <v>0</v>
      </c>
      <c r="DT37">
        <f t="shared" si="34"/>
        <v>0</v>
      </c>
      <c r="DV37" s="110"/>
      <c r="DW37" s="111">
        <f t="shared" si="35"/>
        <v>0</v>
      </c>
      <c r="DX37" s="112"/>
      <c r="DY37" s="94"/>
      <c r="DZ37" s="94"/>
      <c r="EA37" s="272"/>
      <c r="EB37" s="113">
        <f t="shared" si="36"/>
        <v>0</v>
      </c>
      <c r="EC37" s="6"/>
      <c r="ED37" s="92"/>
      <c r="EE37" s="92"/>
      <c r="EF37" s="92"/>
      <c r="EG37" s="204">
        <v>0.51</v>
      </c>
      <c r="EH37" s="118"/>
      <c r="EI37" s="82"/>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80" t="e">
        <f t="shared" si="21"/>
        <v>#DIV/0!</v>
      </c>
      <c r="FN37" s="80" t="e">
        <f t="shared" si="22"/>
        <v>#DIV/0!</v>
      </c>
      <c r="FO37" s="115" t="e">
        <f t="shared" si="23"/>
        <v>#DIV/0!</v>
      </c>
      <c r="FP37" s="115" t="e">
        <f t="shared" si="24"/>
        <v>#DIV/0!</v>
      </c>
      <c r="FQ37" s="116">
        <f t="shared" si="25"/>
        <v>0</v>
      </c>
    </row>
    <row r="38" spans="1:173" x14ac:dyDescent="0.25">
      <c r="A38" s="61">
        <v>29</v>
      </c>
      <c r="B38" t="s">
        <v>255</v>
      </c>
      <c r="C38">
        <v>4383</v>
      </c>
      <c r="D38">
        <v>2912</v>
      </c>
      <c r="E38">
        <v>2645</v>
      </c>
      <c r="F38">
        <v>1624</v>
      </c>
      <c r="H38">
        <v>90.69</v>
      </c>
      <c r="I38">
        <v>39.22</v>
      </c>
      <c r="J38">
        <v>13.96</v>
      </c>
      <c r="K38">
        <v>5.5</v>
      </c>
      <c r="M38">
        <v>6.39</v>
      </c>
      <c r="N38">
        <v>0</v>
      </c>
      <c r="O38">
        <v>0</v>
      </c>
      <c r="P38">
        <v>0</v>
      </c>
      <c r="Q38">
        <v>0</v>
      </c>
      <c r="R38">
        <v>0</v>
      </c>
      <c r="T38">
        <v>1.95</v>
      </c>
      <c r="U38">
        <v>25.15</v>
      </c>
      <c r="V38">
        <v>17.920000000000002</v>
      </c>
      <c r="AB38">
        <v>37.629999999999995</v>
      </c>
      <c r="AC38">
        <v>31</v>
      </c>
      <c r="AD38" s="9">
        <v>42.758099999999999</v>
      </c>
      <c r="AF38">
        <v>4.04</v>
      </c>
      <c r="AG38">
        <v>1.1100000000000001</v>
      </c>
      <c r="AH38">
        <v>1.21</v>
      </c>
      <c r="AI38">
        <v>2.1800000000000002</v>
      </c>
      <c r="AJ38">
        <v>1.5</v>
      </c>
      <c r="AK38">
        <v>0.51</v>
      </c>
      <c r="AL38">
        <v>1.98</v>
      </c>
      <c r="AM38">
        <v>1.36</v>
      </c>
      <c r="AN38">
        <v>0.53</v>
      </c>
      <c r="AO38">
        <v>1.86</v>
      </c>
      <c r="AR38">
        <v>0.82</v>
      </c>
      <c r="AW38">
        <v>0.98</v>
      </c>
      <c r="AY38">
        <v>77</v>
      </c>
      <c r="AZ38">
        <v>88</v>
      </c>
      <c r="BA38">
        <v>74</v>
      </c>
      <c r="BB38">
        <v>70</v>
      </c>
      <c r="BC38">
        <v>73</v>
      </c>
      <c r="BD38">
        <v>63</v>
      </c>
      <c r="BE38">
        <v>73</v>
      </c>
      <c r="BF38">
        <v>81</v>
      </c>
      <c r="BG38">
        <v>68</v>
      </c>
      <c r="BH38">
        <v>71</v>
      </c>
      <c r="BI38">
        <v>73</v>
      </c>
      <c r="BL38">
        <v>76</v>
      </c>
      <c r="BQ38">
        <v>76</v>
      </c>
      <c r="BS38">
        <v>0.25</v>
      </c>
      <c r="BT38">
        <v>0.05</v>
      </c>
      <c r="BU38">
        <v>1.4</v>
      </c>
      <c r="BV38">
        <v>0.5</v>
      </c>
      <c r="BW38">
        <v>0.04</v>
      </c>
      <c r="BX38">
        <v>0.98</v>
      </c>
      <c r="BY38">
        <v>0.31</v>
      </c>
      <c r="CB38">
        <v>31</v>
      </c>
      <c r="CC38">
        <v>36</v>
      </c>
      <c r="CF38" s="2">
        <v>11.665299999999997</v>
      </c>
      <c r="CH38" s="47">
        <v>28.630600000000001</v>
      </c>
      <c r="CI38" s="47">
        <v>3.5148000000000001</v>
      </c>
      <c r="CJ38" s="47">
        <v>0.79920000000000002</v>
      </c>
      <c r="CK38" s="47">
        <v>0.81069999999999998</v>
      </c>
      <c r="CL38" s="47">
        <v>1.5260000000000002</v>
      </c>
      <c r="CM38" s="47">
        <v>0.88500000000000001</v>
      </c>
      <c r="CN38" s="47">
        <v>0.35700000000000004</v>
      </c>
      <c r="CO38" s="47">
        <v>0.9556</v>
      </c>
      <c r="CP38" s="47">
        <v>1.5641999999999998</v>
      </c>
      <c r="CQ38" s="47">
        <v>2.2795999999999998</v>
      </c>
      <c r="CR38" s="47">
        <v>0.87040000000000006</v>
      </c>
      <c r="CS38" s="47">
        <v>0.3604</v>
      </c>
      <c r="CT38" s="47">
        <v>1.2834000000000001</v>
      </c>
      <c r="CU38" s="47"/>
      <c r="CV38" s="47">
        <v>30.199400000000001</v>
      </c>
      <c r="CW38" s="47">
        <f t="shared" ref="CW38:CW101" si="40">AF38*AZ38/100</f>
        <v>3.5551999999999997</v>
      </c>
      <c r="CX38" s="47">
        <f t="shared" ref="CX38:CX101" si="41">AG38*BA38/100</f>
        <v>0.82140000000000002</v>
      </c>
      <c r="CY38" s="47">
        <f t="shared" ref="CY38:CY101" si="42">AH38*BB38/100</f>
        <v>0.84699999999999998</v>
      </c>
      <c r="CZ38" s="47">
        <f t="shared" ref="CZ38:CZ101" si="43">AI38*BC38/100</f>
        <v>1.5914000000000001</v>
      </c>
      <c r="DA38" s="47">
        <f t="shared" ref="DA38:DA101" si="44">AJ38*BD38/100</f>
        <v>0.94499999999999995</v>
      </c>
      <c r="DB38" s="47">
        <f t="shared" ref="DB38:DB101" si="45">AK38*BE38/100</f>
        <v>0.37230000000000002</v>
      </c>
      <c r="DC38" s="47">
        <f t="shared" si="32"/>
        <v>0.99549999999999994</v>
      </c>
      <c r="DD38" s="47">
        <f t="shared" si="12"/>
        <v>1.6037999999999999</v>
      </c>
      <c r="DE38" s="47">
        <f t="shared" si="5"/>
        <v>2.3485999999999998</v>
      </c>
      <c r="DF38" s="47">
        <f t="shared" si="13"/>
        <v>0.92480000000000007</v>
      </c>
      <c r="DG38" s="47">
        <f t="shared" si="14"/>
        <v>0.37630000000000002</v>
      </c>
      <c r="DH38" s="47">
        <f t="shared" si="15"/>
        <v>1.3578000000000001</v>
      </c>
      <c r="DI38" s="47"/>
      <c r="DJ38" s="47"/>
      <c r="DK38" s="47"/>
      <c r="DL38" s="47"/>
      <c r="DM38" s="47"/>
      <c r="DN38" s="47"/>
      <c r="DO38" s="47"/>
      <c r="DP38" s="47"/>
      <c r="DQ38">
        <f t="shared" si="18"/>
        <v>0.30380000000000001</v>
      </c>
      <c r="DR38">
        <f t="shared" si="19"/>
        <v>0.3528</v>
      </c>
      <c r="DS38">
        <f t="shared" si="33"/>
        <v>0</v>
      </c>
      <c r="DT38">
        <f t="shared" si="34"/>
        <v>0</v>
      </c>
      <c r="DV38" s="274"/>
      <c r="DW38" s="111">
        <f t="shared" si="35"/>
        <v>0</v>
      </c>
      <c r="DX38" s="112"/>
      <c r="DY38" s="94"/>
      <c r="DZ38" s="94"/>
      <c r="EA38" s="81"/>
      <c r="EB38" s="113">
        <f t="shared" si="36"/>
        <v>0</v>
      </c>
      <c r="EC38" s="6"/>
      <c r="ED38" s="92"/>
      <c r="EE38" s="92"/>
      <c r="EF38" s="92"/>
      <c r="EG38" s="204">
        <v>0.75</v>
      </c>
      <c r="EH38" s="118"/>
      <c r="EI38" s="82"/>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80">
        <f t="shared" si="21"/>
        <v>0.85321100917431192</v>
      </c>
      <c r="FN38" s="80">
        <f t="shared" si="22"/>
        <v>0.53223576724896315</v>
      </c>
      <c r="FO38" s="115">
        <f t="shared" si="23"/>
        <v>1.6030696576151124</v>
      </c>
      <c r="FP38" s="115">
        <f t="shared" si="24"/>
        <v>0.23645846424531858</v>
      </c>
      <c r="FQ38" s="116">
        <f t="shared" si="25"/>
        <v>4.0576236613972465E-2</v>
      </c>
    </row>
    <row r="39" spans="1:173" ht="12.75" customHeight="1" x14ac:dyDescent="0.25">
      <c r="A39" s="61">
        <v>30</v>
      </c>
      <c r="B39" t="s">
        <v>256</v>
      </c>
      <c r="C39">
        <v>5467</v>
      </c>
      <c r="D39">
        <v>3400</v>
      </c>
      <c r="E39">
        <v>2850</v>
      </c>
      <c r="F39">
        <v>1740</v>
      </c>
      <c r="H39">
        <v>94.24</v>
      </c>
      <c r="I39">
        <v>80.900000000000006</v>
      </c>
      <c r="J39">
        <v>0.32</v>
      </c>
      <c r="K39">
        <v>5.97</v>
      </c>
      <c r="M39">
        <v>5.08</v>
      </c>
      <c r="T39">
        <v>0</v>
      </c>
      <c r="V39">
        <v>0</v>
      </c>
      <c r="AB39">
        <v>2.2899999999999894</v>
      </c>
      <c r="AC39">
        <v>0</v>
      </c>
      <c r="AD39" s="9">
        <v>48.444699999999997</v>
      </c>
      <c r="AF39">
        <v>5.63</v>
      </c>
      <c r="AG39">
        <v>0.82</v>
      </c>
      <c r="AH39">
        <v>3.63</v>
      </c>
      <c r="AI39">
        <v>6.59</v>
      </c>
      <c r="AJ39">
        <v>2</v>
      </c>
      <c r="AK39">
        <v>0.59</v>
      </c>
      <c r="AL39">
        <v>3.95</v>
      </c>
      <c r="AM39">
        <v>3.72</v>
      </c>
      <c r="AN39">
        <v>0.6</v>
      </c>
      <c r="AO39">
        <v>5.75</v>
      </c>
      <c r="AR39">
        <v>4.32</v>
      </c>
      <c r="AW39">
        <v>2.12</v>
      </c>
      <c r="AY39">
        <v>68</v>
      </c>
      <c r="AZ39">
        <v>81</v>
      </c>
      <c r="BA39">
        <v>56</v>
      </c>
      <c r="BB39">
        <v>76</v>
      </c>
      <c r="BC39">
        <v>77</v>
      </c>
      <c r="BD39">
        <v>56</v>
      </c>
      <c r="BE39">
        <v>73</v>
      </c>
      <c r="BF39">
        <v>79</v>
      </c>
      <c r="BG39">
        <v>71</v>
      </c>
      <c r="BH39">
        <v>63</v>
      </c>
      <c r="BI39">
        <v>75</v>
      </c>
      <c r="BL39">
        <v>73</v>
      </c>
      <c r="BQ39">
        <v>79</v>
      </c>
      <c r="BS39">
        <v>0.41</v>
      </c>
      <c r="BT39">
        <v>0.26</v>
      </c>
      <c r="BU39">
        <v>0.19</v>
      </c>
      <c r="BV39">
        <v>0.2</v>
      </c>
      <c r="BW39">
        <v>0.34</v>
      </c>
      <c r="BX39">
        <v>0.28000000000000003</v>
      </c>
      <c r="BY39">
        <v>1.39</v>
      </c>
      <c r="CB39">
        <v>74</v>
      </c>
      <c r="CC39">
        <v>89</v>
      </c>
      <c r="CD39" s="71">
        <v>76</v>
      </c>
      <c r="CE39" s="71">
        <v>87</v>
      </c>
      <c r="CF39" s="2">
        <v>0</v>
      </c>
      <c r="CH39" s="47">
        <v>60.674999999999997</v>
      </c>
      <c r="CI39" s="47">
        <v>4.5602999999999998</v>
      </c>
      <c r="CJ39" s="47">
        <v>0.44279999999999992</v>
      </c>
      <c r="CK39" s="47">
        <v>2.7225000000000001</v>
      </c>
      <c r="CL39" s="47">
        <v>5.0743</v>
      </c>
      <c r="CM39" s="47">
        <v>1.08</v>
      </c>
      <c r="CN39" s="47">
        <v>0.38350000000000001</v>
      </c>
      <c r="CO39" s="47">
        <v>3.4507000000000003</v>
      </c>
      <c r="CP39" s="47">
        <v>3.0810000000000004</v>
      </c>
      <c r="CQ39" s="47">
        <v>4.6286000000000005</v>
      </c>
      <c r="CR39" s="47">
        <v>2.5668000000000002</v>
      </c>
      <c r="CS39" s="47">
        <v>0.36</v>
      </c>
      <c r="CT39" s="47">
        <v>4.3125</v>
      </c>
      <c r="CU39" s="47"/>
      <c r="CV39" s="47">
        <v>55.012000000000008</v>
      </c>
      <c r="CW39" s="47">
        <f t="shared" si="40"/>
        <v>4.5602999999999998</v>
      </c>
      <c r="CX39" s="47">
        <f t="shared" si="41"/>
        <v>0.45919999999999994</v>
      </c>
      <c r="CY39" s="47">
        <f t="shared" si="42"/>
        <v>2.7587999999999999</v>
      </c>
      <c r="CZ39" s="47">
        <f t="shared" si="43"/>
        <v>5.0743</v>
      </c>
      <c r="DA39" s="47">
        <f t="shared" si="44"/>
        <v>1.1200000000000001</v>
      </c>
      <c r="DB39" s="47">
        <f t="shared" si="45"/>
        <v>0.43070000000000003</v>
      </c>
      <c r="DC39" s="47">
        <f t="shared" si="32"/>
        <v>3.5843000000000003</v>
      </c>
      <c r="DD39" s="47">
        <f t="shared" si="12"/>
        <v>3.1205000000000003</v>
      </c>
      <c r="DE39" s="47">
        <f t="shared" si="5"/>
        <v>4.795300000000001</v>
      </c>
      <c r="DF39" s="47">
        <f t="shared" si="13"/>
        <v>2.6412</v>
      </c>
      <c r="DG39" s="47">
        <f t="shared" si="14"/>
        <v>0.37799999999999995</v>
      </c>
      <c r="DH39" s="47">
        <f t="shared" si="15"/>
        <v>4.3125</v>
      </c>
      <c r="DI39" s="47"/>
      <c r="DJ39" s="47"/>
      <c r="DK39" s="47"/>
      <c r="DL39" s="47"/>
      <c r="DM39" s="47"/>
      <c r="DN39" s="47"/>
      <c r="DO39" s="47"/>
      <c r="DP39" s="47"/>
      <c r="DQ39">
        <f t="shared" si="18"/>
        <v>0.20720000000000002</v>
      </c>
      <c r="DR39">
        <f t="shared" si="19"/>
        <v>0.2492</v>
      </c>
      <c r="DS39">
        <f t="shared" si="33"/>
        <v>0.31159999999999999</v>
      </c>
      <c r="DT39">
        <f t="shared" si="34"/>
        <v>0.35669999999999996</v>
      </c>
      <c r="DV39" s="274"/>
      <c r="DW39" s="111">
        <f t="shared" si="35"/>
        <v>0</v>
      </c>
      <c r="DX39" s="112"/>
      <c r="DY39" s="275"/>
      <c r="DZ39" s="275"/>
      <c r="EA39" s="81"/>
      <c r="EB39" s="113">
        <f t="shared" si="36"/>
        <v>0</v>
      </c>
      <c r="EC39" s="6"/>
      <c r="ED39" s="92"/>
      <c r="EE39" s="92"/>
      <c r="EF39" s="92"/>
      <c r="EG39" s="204"/>
      <c r="EH39" s="118"/>
      <c r="EI39" s="82"/>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80">
        <f t="shared" si="21"/>
        <v>0.84987091815619886</v>
      </c>
      <c r="FN39" s="80">
        <f t="shared" si="22"/>
        <v>0.54368090179926298</v>
      </c>
      <c r="FO39" s="115">
        <f t="shared" si="23"/>
        <v>1.5631796433231839</v>
      </c>
      <c r="FP39" s="115">
        <f t="shared" si="24"/>
        <v>7.4493033521865079E-2</v>
      </c>
      <c r="FQ39" s="116">
        <f t="shared" si="25"/>
        <v>6.2723114956736714E-2</v>
      </c>
    </row>
    <row r="40" spans="1:173" ht="12.75" customHeight="1" x14ac:dyDescent="0.25">
      <c r="A40" s="61">
        <v>31</v>
      </c>
      <c r="B40" t="s">
        <v>257</v>
      </c>
      <c r="C40">
        <v>4496</v>
      </c>
      <c r="D40">
        <v>3958</v>
      </c>
      <c r="E40">
        <v>3528</v>
      </c>
      <c r="F40">
        <v>2351</v>
      </c>
      <c r="H40">
        <v>93.7</v>
      </c>
      <c r="I40">
        <v>63.28</v>
      </c>
      <c r="J40">
        <v>0.24</v>
      </c>
      <c r="K40">
        <v>9.7100000000000009</v>
      </c>
      <c r="L40">
        <v>8.73</v>
      </c>
      <c r="M40">
        <v>16.07</v>
      </c>
      <c r="T40">
        <v>0</v>
      </c>
      <c r="V40">
        <v>0</v>
      </c>
      <c r="AB40">
        <v>4.6400000000000006</v>
      </c>
      <c r="AC40">
        <v>87</v>
      </c>
      <c r="AD40" s="9">
        <v>43.006000000000007</v>
      </c>
      <c r="AF40">
        <v>3.84</v>
      </c>
      <c r="AG40">
        <v>1.44</v>
      </c>
      <c r="AH40">
        <v>2.56</v>
      </c>
      <c r="AI40">
        <v>4.47</v>
      </c>
      <c r="AJ40">
        <v>4.5599999999999996</v>
      </c>
      <c r="AK40">
        <v>1.73</v>
      </c>
      <c r="AL40">
        <v>2.4700000000000002</v>
      </c>
      <c r="AM40">
        <v>2.58</v>
      </c>
      <c r="AN40">
        <v>0.63</v>
      </c>
      <c r="AO40">
        <v>3.06</v>
      </c>
      <c r="AR40">
        <v>0.61</v>
      </c>
      <c r="AW40">
        <v>1.88</v>
      </c>
      <c r="AY40">
        <v>85</v>
      </c>
      <c r="AZ40">
        <v>86</v>
      </c>
      <c r="BA40">
        <v>84</v>
      </c>
      <c r="BB40">
        <v>83</v>
      </c>
      <c r="BC40">
        <v>83</v>
      </c>
      <c r="BD40">
        <v>86</v>
      </c>
      <c r="BE40">
        <v>87</v>
      </c>
      <c r="BF40">
        <v>82</v>
      </c>
      <c r="BG40">
        <v>81</v>
      </c>
      <c r="BH40">
        <v>76</v>
      </c>
      <c r="BI40">
        <v>83</v>
      </c>
      <c r="BL40">
        <v>64</v>
      </c>
      <c r="BQ40">
        <v>74</v>
      </c>
      <c r="BS40">
        <v>4.28</v>
      </c>
      <c r="BT40" s="64">
        <v>0.55000000000000004</v>
      </c>
      <c r="BU40">
        <v>0.62</v>
      </c>
      <c r="BV40">
        <v>0.13</v>
      </c>
      <c r="BW40" s="64">
        <v>0.4</v>
      </c>
      <c r="BX40">
        <v>2.93</v>
      </c>
      <c r="CB40">
        <v>79</v>
      </c>
      <c r="CC40">
        <v>82</v>
      </c>
      <c r="CD40">
        <v>76</v>
      </c>
      <c r="CE40">
        <v>87</v>
      </c>
      <c r="CF40" s="2">
        <v>4.0368000000000004</v>
      </c>
      <c r="CH40" s="47">
        <v>51.889600000000002</v>
      </c>
      <c r="CI40" s="47">
        <v>3.2639999999999998</v>
      </c>
      <c r="CJ40" s="47">
        <v>1.1808000000000001</v>
      </c>
      <c r="CK40" s="47">
        <v>2.0992000000000002</v>
      </c>
      <c r="CL40" s="47">
        <v>3.6653999999999995</v>
      </c>
      <c r="CM40" s="47">
        <v>3.8759999999999994</v>
      </c>
      <c r="CN40" s="47">
        <v>1.4878</v>
      </c>
      <c r="CO40" s="47">
        <v>1.8660000000000001</v>
      </c>
      <c r="CP40" s="47">
        <v>1.9760000000000002</v>
      </c>
      <c r="CQ40" s="47">
        <v>3.3483999999999998</v>
      </c>
      <c r="CR40" s="47">
        <v>2.0124</v>
      </c>
      <c r="CS40" s="47">
        <v>0.45990000000000003</v>
      </c>
      <c r="CT40" s="47">
        <v>2.4786000000000001</v>
      </c>
      <c r="CU40" s="47"/>
      <c r="CV40" s="47">
        <v>53.788000000000004</v>
      </c>
      <c r="CW40" s="47">
        <f t="shared" si="40"/>
        <v>3.3024</v>
      </c>
      <c r="CX40" s="47">
        <f t="shared" si="41"/>
        <v>1.2096</v>
      </c>
      <c r="CY40" s="47">
        <f t="shared" si="42"/>
        <v>2.1248</v>
      </c>
      <c r="CZ40" s="47">
        <f t="shared" si="43"/>
        <v>3.7100999999999997</v>
      </c>
      <c r="DA40" s="47">
        <f t="shared" si="44"/>
        <v>3.9215999999999998</v>
      </c>
      <c r="DB40" s="47">
        <f t="shared" si="45"/>
        <v>1.5050999999999999</v>
      </c>
      <c r="DC40" s="47">
        <f t="shared" si="32"/>
        <v>1.8954999999999997</v>
      </c>
      <c r="DD40" s="47">
        <f t="shared" si="12"/>
        <v>2.0254000000000003</v>
      </c>
      <c r="DE40" s="47">
        <f t="shared" si="5"/>
        <v>3.4166000000000003</v>
      </c>
      <c r="DF40" s="47">
        <f t="shared" si="13"/>
        <v>2.0898000000000003</v>
      </c>
      <c r="DG40" s="47">
        <f t="shared" si="14"/>
        <v>0.4788</v>
      </c>
      <c r="DH40" s="47">
        <f t="shared" si="15"/>
        <v>2.5398000000000001</v>
      </c>
      <c r="DI40" s="47"/>
      <c r="DJ40" s="47"/>
      <c r="DK40" s="47"/>
      <c r="DL40" s="47"/>
      <c r="DM40" s="47"/>
      <c r="DN40" s="47"/>
      <c r="DO40" s="47"/>
      <c r="DP40" s="47"/>
      <c r="DQ40">
        <f t="shared" si="18"/>
        <v>2.3147000000000002</v>
      </c>
      <c r="DR40">
        <f t="shared" si="19"/>
        <v>2.4026000000000001</v>
      </c>
      <c r="DS40">
        <f t="shared" si="33"/>
        <v>3.2528000000000001</v>
      </c>
      <c r="DT40">
        <f t="shared" si="34"/>
        <v>3.7236000000000002</v>
      </c>
      <c r="DV40" s="110"/>
      <c r="DW40" s="111">
        <f t="shared" si="35"/>
        <v>1400</v>
      </c>
      <c r="DX40" s="112">
        <v>0.7</v>
      </c>
      <c r="DY40" s="94">
        <v>2190</v>
      </c>
      <c r="DZ40" s="94">
        <v>2180</v>
      </c>
      <c r="EA40" s="81">
        <v>0.94</v>
      </c>
      <c r="EB40" s="113">
        <f t="shared" si="36"/>
        <v>2.7542</v>
      </c>
      <c r="EC40" s="6">
        <v>0.12</v>
      </c>
      <c r="ED40" s="92">
        <v>0</v>
      </c>
      <c r="EE40" s="92">
        <v>0</v>
      </c>
      <c r="EF40" s="92"/>
      <c r="EG40" s="204"/>
      <c r="EH40" s="107">
        <f>75*K40/10</f>
        <v>72.825000000000017</v>
      </c>
      <c r="EI40" s="82">
        <f>IF(AR40="","",AR40*BL40)</f>
        <v>39.04</v>
      </c>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80">
        <f t="shared" si="21"/>
        <v>0.68456375838926176</v>
      </c>
      <c r="FN40" s="80">
        <f t="shared" si="22"/>
        <v>0.5727069351230426</v>
      </c>
      <c r="FO40" s="115">
        <f t="shared" si="23"/>
        <v>1.1953125</v>
      </c>
      <c r="FP40" s="115">
        <f t="shared" si="24"/>
        <v>0.12905312525268861</v>
      </c>
      <c r="FQ40" s="116">
        <f t="shared" si="25"/>
        <v>5.8629898862199742E-2</v>
      </c>
    </row>
    <row r="41" spans="1:173" ht="12.75" customHeight="1" x14ac:dyDescent="0.25">
      <c r="A41" s="61">
        <v>32</v>
      </c>
      <c r="B41" t="s">
        <v>258</v>
      </c>
      <c r="C41">
        <v>6117</v>
      </c>
      <c r="H41">
        <v>92.13</v>
      </c>
      <c r="I41">
        <v>22.53</v>
      </c>
      <c r="J41">
        <v>6</v>
      </c>
      <c r="K41">
        <v>33.770000000000003</v>
      </c>
      <c r="M41">
        <v>3.33</v>
      </c>
      <c r="T41">
        <v>4</v>
      </c>
      <c r="U41">
        <v>39.65</v>
      </c>
      <c r="V41">
        <v>24.85</v>
      </c>
      <c r="AB41">
        <v>28.499999999999993</v>
      </c>
      <c r="AC41">
        <v>60</v>
      </c>
      <c r="AD41" s="9">
        <v>52.191099999999999</v>
      </c>
      <c r="AF41">
        <v>2.2000000000000002</v>
      </c>
      <c r="AG41">
        <v>0.51</v>
      </c>
      <c r="AH41">
        <v>0.95</v>
      </c>
      <c r="AI41">
        <v>1.35</v>
      </c>
      <c r="AJ41">
        <v>0.91</v>
      </c>
      <c r="AK41">
        <v>0.43</v>
      </c>
      <c r="AL41">
        <v>1.08</v>
      </c>
      <c r="AM41">
        <v>0.85</v>
      </c>
      <c r="AO41">
        <v>1.1599999999999999</v>
      </c>
      <c r="AR41">
        <v>0.41</v>
      </c>
      <c r="AY41" s="13">
        <v>81.833333333333329</v>
      </c>
      <c r="BB41">
        <v>77</v>
      </c>
      <c r="BD41">
        <v>84</v>
      </c>
      <c r="BE41">
        <v>85</v>
      </c>
      <c r="BG41">
        <v>82</v>
      </c>
      <c r="BH41">
        <v>86</v>
      </c>
      <c r="BI41">
        <v>77</v>
      </c>
      <c r="BS41">
        <v>0.38</v>
      </c>
      <c r="BX41">
        <v>0.61</v>
      </c>
      <c r="CB41">
        <v>21</v>
      </c>
      <c r="CC41">
        <v>28</v>
      </c>
      <c r="CF41" s="2">
        <v>17.099999999999994</v>
      </c>
      <c r="CH41" s="47">
        <v>0</v>
      </c>
      <c r="CI41" s="47">
        <v>0</v>
      </c>
      <c r="CJ41" s="47">
        <v>0</v>
      </c>
      <c r="CK41" s="47">
        <v>0</v>
      </c>
      <c r="CL41" s="47">
        <v>0</v>
      </c>
      <c r="CM41" s="47">
        <v>0</v>
      </c>
      <c r="CN41" s="47">
        <v>0</v>
      </c>
      <c r="CO41" s="47">
        <v>0</v>
      </c>
      <c r="CP41" s="47">
        <v>0</v>
      </c>
      <c r="CQ41" s="47">
        <v>0</v>
      </c>
      <c r="CR41" s="47">
        <v>0</v>
      </c>
      <c r="CS41" s="47">
        <v>0</v>
      </c>
      <c r="CT41" s="47">
        <v>0</v>
      </c>
      <c r="CU41" s="47"/>
      <c r="CV41" s="47">
        <v>18.437049999999999</v>
      </c>
      <c r="CW41" s="47">
        <f t="shared" si="40"/>
        <v>0</v>
      </c>
      <c r="CX41" s="47">
        <f t="shared" si="41"/>
        <v>0</v>
      </c>
      <c r="CY41" s="47">
        <f t="shared" si="42"/>
        <v>0.73149999999999993</v>
      </c>
      <c r="CZ41" s="47">
        <f t="shared" si="43"/>
        <v>0</v>
      </c>
      <c r="DA41" s="47">
        <f t="shared" si="44"/>
        <v>0.76439999999999997</v>
      </c>
      <c r="DB41" s="47">
        <f t="shared" si="45"/>
        <v>0.36549999999999999</v>
      </c>
      <c r="DC41" s="47">
        <f t="shared" si="32"/>
        <v>0.36549999999999999</v>
      </c>
      <c r="DD41" s="47">
        <f t="shared" si="12"/>
        <v>0</v>
      </c>
      <c r="DE41" s="47">
        <f t="shared" si="5"/>
        <v>0</v>
      </c>
      <c r="DF41" s="47">
        <f t="shared" si="13"/>
        <v>0.69700000000000006</v>
      </c>
      <c r="DG41" s="47">
        <f t="shared" si="14"/>
        <v>0</v>
      </c>
      <c r="DH41" s="47">
        <f t="shared" si="15"/>
        <v>0.89319999999999988</v>
      </c>
      <c r="DI41" s="47"/>
      <c r="DJ41" s="47"/>
      <c r="DK41" s="47"/>
      <c r="DL41" s="47"/>
      <c r="DM41" s="47"/>
      <c r="DN41" s="47"/>
      <c r="DO41" s="47"/>
      <c r="DP41" s="47"/>
      <c r="DQ41">
        <f t="shared" si="18"/>
        <v>0.12809999999999999</v>
      </c>
      <c r="DR41">
        <f t="shared" si="19"/>
        <v>0.17079999999999998</v>
      </c>
      <c r="DS41">
        <f t="shared" si="33"/>
        <v>0</v>
      </c>
      <c r="DT41">
        <f t="shared" si="34"/>
        <v>0</v>
      </c>
      <c r="DV41" s="274"/>
      <c r="DW41" s="111">
        <f t="shared" si="35"/>
        <v>0</v>
      </c>
      <c r="DX41" s="112"/>
      <c r="DY41" s="275"/>
      <c r="DZ41" s="275"/>
      <c r="EA41" s="81"/>
      <c r="EB41" s="113">
        <f t="shared" si="36"/>
        <v>0</v>
      </c>
      <c r="EC41" s="6"/>
      <c r="ED41" s="92"/>
      <c r="EE41" s="92"/>
      <c r="EF41" s="92"/>
      <c r="EG41" s="204">
        <f>BX41*0.707</f>
        <v>0.43126999999999999</v>
      </c>
      <c r="EH41" s="118"/>
      <c r="EI41" s="82"/>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80" t="e">
        <f t="shared" si="21"/>
        <v>#DIV/0!</v>
      </c>
      <c r="FN41" s="80" t="e">
        <f t="shared" si="22"/>
        <v>#DIV/0!</v>
      </c>
      <c r="FO41" s="115">
        <f t="shared" si="23"/>
        <v>1.2210526315789474</v>
      </c>
      <c r="FP41" s="115" t="e">
        <f t="shared" si="24"/>
        <v>#DIV/0!</v>
      </c>
      <c r="FQ41" s="116">
        <f t="shared" si="25"/>
        <v>0</v>
      </c>
    </row>
    <row r="42" spans="1:173" ht="12.75" customHeight="1" x14ac:dyDescent="0.25">
      <c r="A42" s="61">
        <v>33</v>
      </c>
      <c r="B42" t="s">
        <v>259</v>
      </c>
      <c r="C42">
        <v>4887</v>
      </c>
      <c r="D42">
        <v>3060</v>
      </c>
      <c r="E42">
        <v>2834</v>
      </c>
      <c r="F42">
        <v>1830</v>
      </c>
      <c r="H42">
        <v>90.18</v>
      </c>
      <c r="I42">
        <v>33.28</v>
      </c>
      <c r="J42">
        <v>9.18</v>
      </c>
      <c r="K42">
        <v>6.45</v>
      </c>
      <c r="M42">
        <v>5.23</v>
      </c>
      <c r="O42">
        <v>4.67</v>
      </c>
      <c r="T42">
        <v>5.17</v>
      </c>
      <c r="U42">
        <v>24.93</v>
      </c>
      <c r="V42">
        <v>15.87</v>
      </c>
      <c r="W42">
        <v>5.89</v>
      </c>
      <c r="AB42">
        <v>35.379999999999995</v>
      </c>
      <c r="AC42">
        <v>60</v>
      </c>
      <c r="AD42" s="9">
        <v>42.697600000000001</v>
      </c>
      <c r="AF42">
        <v>3</v>
      </c>
      <c r="AG42">
        <v>0.67</v>
      </c>
      <c r="AH42">
        <v>1.33</v>
      </c>
      <c r="AI42">
        <v>1.91</v>
      </c>
      <c r="AJ42">
        <v>1.19</v>
      </c>
      <c r="AK42">
        <v>0.77</v>
      </c>
      <c r="AL42">
        <v>1.49</v>
      </c>
      <c r="AM42">
        <v>1.1299999999999999</v>
      </c>
      <c r="AN42">
        <v>0.51</v>
      </c>
      <c r="AO42">
        <v>1.55</v>
      </c>
      <c r="AR42">
        <v>0.59</v>
      </c>
      <c r="AW42">
        <v>0.72</v>
      </c>
      <c r="AY42">
        <v>78</v>
      </c>
      <c r="AZ42">
        <v>82</v>
      </c>
      <c r="BA42">
        <v>74</v>
      </c>
      <c r="BB42">
        <v>79</v>
      </c>
      <c r="BC42">
        <v>78</v>
      </c>
      <c r="BD42">
        <v>77</v>
      </c>
      <c r="BE42">
        <v>82</v>
      </c>
      <c r="BF42">
        <v>79</v>
      </c>
      <c r="BG42">
        <v>74</v>
      </c>
      <c r="BH42">
        <v>78</v>
      </c>
      <c r="BI42">
        <v>75</v>
      </c>
      <c r="BL42">
        <v>77</v>
      </c>
      <c r="BQ42">
        <v>78</v>
      </c>
      <c r="BS42">
        <v>0.37</v>
      </c>
      <c r="BT42">
        <v>0.06</v>
      </c>
      <c r="BU42">
        <v>1.26</v>
      </c>
      <c r="BV42">
        <v>0.5</v>
      </c>
      <c r="BW42">
        <v>0.13</v>
      </c>
      <c r="BX42">
        <v>0.87</v>
      </c>
      <c r="BY42">
        <v>0.39</v>
      </c>
      <c r="CB42">
        <v>21</v>
      </c>
      <c r="CC42">
        <v>28</v>
      </c>
      <c r="CF42" s="2">
        <v>21.227999999999998</v>
      </c>
      <c r="CH42" s="47">
        <v>20.300800000000002</v>
      </c>
      <c r="CI42" s="47">
        <v>2.4</v>
      </c>
      <c r="CJ42" s="47">
        <v>0.46230000000000004</v>
      </c>
      <c r="CK42" s="47">
        <v>0.98419999999999996</v>
      </c>
      <c r="CL42" s="47">
        <v>1.3943000000000001</v>
      </c>
      <c r="CM42" s="47">
        <v>0.77349999999999997</v>
      </c>
      <c r="CN42" s="47">
        <v>0.56980000000000008</v>
      </c>
      <c r="CO42" s="47">
        <v>0.92380000000000007</v>
      </c>
      <c r="CP42" s="47">
        <v>1.1174999999999999</v>
      </c>
      <c r="CQ42" s="47">
        <v>1.5854999999999999</v>
      </c>
      <c r="CR42" s="47">
        <v>0.66669999999999985</v>
      </c>
      <c r="CS42" s="47">
        <v>0.29070000000000001</v>
      </c>
      <c r="CT42" s="47">
        <v>1.054</v>
      </c>
      <c r="CU42" s="47"/>
      <c r="CV42" s="47">
        <v>25.958400000000001</v>
      </c>
      <c r="CW42" s="47">
        <f t="shared" si="40"/>
        <v>2.46</v>
      </c>
      <c r="CX42" s="47">
        <f t="shared" si="41"/>
        <v>0.49580000000000007</v>
      </c>
      <c r="CY42" s="47">
        <f t="shared" si="42"/>
        <v>1.0507</v>
      </c>
      <c r="CZ42" s="47">
        <f t="shared" si="43"/>
        <v>1.4897999999999998</v>
      </c>
      <c r="DA42" s="47">
        <f t="shared" si="44"/>
        <v>0.9163</v>
      </c>
      <c r="DB42" s="47">
        <f t="shared" si="45"/>
        <v>0.63139999999999996</v>
      </c>
      <c r="DC42" s="47">
        <f t="shared" si="32"/>
        <v>1.0856999999999999</v>
      </c>
      <c r="DD42" s="47">
        <f t="shared" si="12"/>
        <v>1.1771</v>
      </c>
      <c r="DE42" s="47">
        <f t="shared" si="5"/>
        <v>1.7387000000000001</v>
      </c>
      <c r="DF42" s="47">
        <f t="shared" si="13"/>
        <v>0.83619999999999994</v>
      </c>
      <c r="DG42" s="47">
        <f t="shared" si="14"/>
        <v>0.39779999999999999</v>
      </c>
      <c r="DH42" s="47">
        <f t="shared" si="15"/>
        <v>1.1625000000000001</v>
      </c>
      <c r="DI42" s="47"/>
      <c r="DJ42" s="47"/>
      <c r="DK42" s="47"/>
      <c r="DL42" s="47"/>
      <c r="DM42" s="47"/>
      <c r="DN42" s="47"/>
      <c r="DO42" s="47"/>
      <c r="DP42" s="47"/>
      <c r="DQ42">
        <f t="shared" si="18"/>
        <v>0.1827</v>
      </c>
      <c r="DR42">
        <f t="shared" si="19"/>
        <v>0.24359999999999998</v>
      </c>
      <c r="DS42">
        <f t="shared" si="33"/>
        <v>0</v>
      </c>
      <c r="DT42">
        <f t="shared" si="34"/>
        <v>0</v>
      </c>
      <c r="DV42" s="274"/>
      <c r="DW42" s="111">
        <f t="shared" si="35"/>
        <v>0</v>
      </c>
      <c r="DX42" s="112"/>
      <c r="DY42" s="275"/>
      <c r="DZ42" s="275"/>
      <c r="EA42" s="81"/>
      <c r="EB42" s="113">
        <f t="shared" si="36"/>
        <v>0</v>
      </c>
      <c r="EC42" s="6"/>
      <c r="ED42" s="92"/>
      <c r="EE42" s="92"/>
      <c r="EF42" s="92"/>
      <c r="EG42" s="204">
        <f>BX42*0.647</f>
        <v>0.56289</v>
      </c>
      <c r="EH42" s="118"/>
      <c r="EI42" s="82"/>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80">
        <f t="shared" si="21"/>
        <v>0.7803060813532019</v>
      </c>
      <c r="FN42" s="80">
        <f t="shared" si="22"/>
        <v>0.70526245133574983</v>
      </c>
      <c r="FO42" s="115">
        <f t="shared" si="23"/>
        <v>1.1064052536404303</v>
      </c>
      <c r="FP42" s="115">
        <f t="shared" si="24"/>
        <v>0.26701570680628273</v>
      </c>
      <c r="FQ42" s="116">
        <f t="shared" si="25"/>
        <v>4.4765624999999989E-2</v>
      </c>
    </row>
    <row r="43" spans="1:173" ht="12.75" customHeight="1" x14ac:dyDescent="0.25">
      <c r="A43" s="61">
        <v>34</v>
      </c>
      <c r="B43" t="s">
        <v>260</v>
      </c>
      <c r="C43">
        <v>4366</v>
      </c>
      <c r="D43">
        <v>3397</v>
      </c>
      <c r="E43">
        <v>3176</v>
      </c>
      <c r="F43">
        <v>2043</v>
      </c>
      <c r="H43">
        <v>91.13</v>
      </c>
      <c r="I43">
        <v>32.44</v>
      </c>
      <c r="J43">
        <v>14.25</v>
      </c>
      <c r="K43">
        <v>6.08</v>
      </c>
      <c r="M43">
        <v>3.67</v>
      </c>
      <c r="T43">
        <v>7.44</v>
      </c>
      <c r="U43">
        <v>24.11</v>
      </c>
      <c r="V43">
        <v>19.899999999999999</v>
      </c>
      <c r="W43">
        <v>1.52</v>
      </c>
      <c r="Y43">
        <v>30.03</v>
      </c>
      <c r="Z43">
        <v>1.61</v>
      </c>
      <c r="AB43">
        <v>41.5</v>
      </c>
      <c r="AC43">
        <v>87</v>
      </c>
      <c r="AD43" s="9">
        <v>43.762600000000006</v>
      </c>
      <c r="AF43">
        <v>3.61</v>
      </c>
      <c r="AG43">
        <v>0.92</v>
      </c>
      <c r="AH43">
        <v>1.39</v>
      </c>
      <c r="AI43">
        <v>2.31</v>
      </c>
      <c r="AJ43">
        <v>1.58</v>
      </c>
      <c r="AK43">
        <v>0.21</v>
      </c>
      <c r="AL43">
        <v>1.34</v>
      </c>
      <c r="AM43">
        <v>1.2</v>
      </c>
      <c r="AN43">
        <v>0.26</v>
      </c>
      <c r="AO43">
        <v>1.32</v>
      </c>
      <c r="AR43">
        <v>0.46</v>
      </c>
      <c r="AW43">
        <v>1.1599999999999999</v>
      </c>
      <c r="AY43">
        <v>86</v>
      </c>
      <c r="AZ43">
        <v>93</v>
      </c>
      <c r="BA43">
        <v>86</v>
      </c>
      <c r="BB43">
        <v>85</v>
      </c>
      <c r="BC43">
        <v>85</v>
      </c>
      <c r="BD43">
        <v>85</v>
      </c>
      <c r="BE43">
        <v>81</v>
      </c>
      <c r="BF43">
        <v>84</v>
      </c>
      <c r="BG43">
        <v>82</v>
      </c>
      <c r="BH43">
        <v>82</v>
      </c>
      <c r="BI43">
        <v>81</v>
      </c>
      <c r="BL43">
        <v>83</v>
      </c>
      <c r="BQ43">
        <v>82</v>
      </c>
      <c r="BS43">
        <v>0.37</v>
      </c>
      <c r="BT43">
        <v>0.03</v>
      </c>
      <c r="BU43">
        <v>1.1000000000000001</v>
      </c>
      <c r="BV43">
        <v>0.19</v>
      </c>
      <c r="BW43">
        <v>0.02</v>
      </c>
      <c r="BX43">
        <v>0.31</v>
      </c>
      <c r="BY43">
        <v>0.24</v>
      </c>
      <c r="CA43">
        <v>0.21</v>
      </c>
      <c r="CB43">
        <v>50</v>
      </c>
      <c r="CC43">
        <v>57</v>
      </c>
      <c r="CF43" s="2">
        <v>36.104999999999997</v>
      </c>
      <c r="CH43" s="47">
        <v>25.951999999999998</v>
      </c>
      <c r="CI43" s="47">
        <v>3.3212000000000002</v>
      </c>
      <c r="CJ43" s="47">
        <v>0.76359999999999995</v>
      </c>
      <c r="CK43" s="47">
        <v>1.1536999999999999</v>
      </c>
      <c r="CL43" s="47">
        <v>1.8942000000000001</v>
      </c>
      <c r="CM43" s="47">
        <v>1.2956000000000001</v>
      </c>
      <c r="CN43" s="47">
        <v>0.1575</v>
      </c>
      <c r="CO43" s="47">
        <v>0.51629999999999998</v>
      </c>
      <c r="CP43" s="47">
        <v>1.0988</v>
      </c>
      <c r="CQ43" s="47">
        <v>2.0152000000000001</v>
      </c>
      <c r="CR43" s="47">
        <v>0.91200000000000003</v>
      </c>
      <c r="CS43" s="47">
        <v>0.20280000000000001</v>
      </c>
      <c r="CT43" s="47">
        <v>1.0164</v>
      </c>
      <c r="CU43" s="47"/>
      <c r="CV43" s="47">
        <v>27.898399999999995</v>
      </c>
      <c r="CW43" s="47">
        <f t="shared" si="40"/>
        <v>3.3572999999999995</v>
      </c>
      <c r="CX43" s="47">
        <f t="shared" si="41"/>
        <v>0.79120000000000001</v>
      </c>
      <c r="CY43" s="47">
        <f t="shared" si="42"/>
        <v>1.1815</v>
      </c>
      <c r="CZ43" s="47">
        <f t="shared" si="43"/>
        <v>1.9635</v>
      </c>
      <c r="DA43" s="47">
        <f t="shared" si="44"/>
        <v>1.3430000000000002</v>
      </c>
      <c r="DB43" s="47">
        <f t="shared" si="45"/>
        <v>0.17009999999999997</v>
      </c>
      <c r="DC43" s="47">
        <f t="shared" si="32"/>
        <v>0.55189999999999995</v>
      </c>
      <c r="DD43" s="47">
        <f t="shared" si="12"/>
        <v>1.1255999999999999</v>
      </c>
      <c r="DE43" s="47">
        <f t="shared" si="5"/>
        <v>2.0768</v>
      </c>
      <c r="DF43" s="47">
        <f t="shared" si="13"/>
        <v>0.98399999999999987</v>
      </c>
      <c r="DG43" s="47">
        <f t="shared" si="14"/>
        <v>0.2132</v>
      </c>
      <c r="DH43" s="47">
        <f t="shared" si="15"/>
        <v>1.0691999999999999</v>
      </c>
      <c r="DI43" s="47"/>
      <c r="DJ43" s="47"/>
      <c r="DK43" s="47"/>
      <c r="DL43" s="47"/>
      <c r="DM43" s="47"/>
      <c r="DN43" s="47"/>
      <c r="DO43" s="47"/>
      <c r="DP43" s="47"/>
      <c r="DQ43">
        <f t="shared" si="18"/>
        <v>0.155</v>
      </c>
      <c r="DR43">
        <f t="shared" si="19"/>
        <v>0.17669999999999997</v>
      </c>
      <c r="DS43">
        <f t="shared" si="33"/>
        <v>0</v>
      </c>
      <c r="DT43">
        <f t="shared" si="34"/>
        <v>0</v>
      </c>
      <c r="DV43" s="274"/>
      <c r="DW43" s="111">
        <f t="shared" si="35"/>
        <v>0</v>
      </c>
      <c r="DX43" s="112"/>
      <c r="DY43" s="275"/>
      <c r="DZ43" s="275"/>
      <c r="EA43" s="81"/>
      <c r="EB43" s="113">
        <f t="shared" si="36"/>
        <v>0</v>
      </c>
      <c r="EC43" s="6"/>
      <c r="ED43" s="92"/>
      <c r="EE43" s="92"/>
      <c r="EF43" s="92"/>
      <c r="EG43" s="204">
        <v>0.21</v>
      </c>
      <c r="EH43" s="118"/>
      <c r="EI43" s="82"/>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80">
        <f t="shared" si="21"/>
        <v>0.54453781512605037</v>
      </c>
      <c r="FN43" s="80">
        <f t="shared" si="22"/>
        <v>0.60173160173160167</v>
      </c>
      <c r="FO43" s="115">
        <f t="shared" si="23"/>
        <v>0.90495133305120601</v>
      </c>
      <c r="FP43" s="115">
        <f t="shared" si="24"/>
        <v>0.1085816144639674</v>
      </c>
      <c r="FQ43" s="116">
        <f t="shared" si="25"/>
        <v>6.0527127003699145E-2</v>
      </c>
    </row>
    <row r="44" spans="1:173" ht="12.75" customHeight="1" x14ac:dyDescent="0.25">
      <c r="A44" s="61">
        <v>35</v>
      </c>
      <c r="B44" t="s">
        <v>261</v>
      </c>
      <c r="C44">
        <v>4497</v>
      </c>
      <c r="D44">
        <v>3452</v>
      </c>
      <c r="E44">
        <v>3068</v>
      </c>
      <c r="F44">
        <v>2010</v>
      </c>
      <c r="H44">
        <v>96.12</v>
      </c>
      <c r="I44">
        <v>56.4</v>
      </c>
      <c r="K44">
        <v>11.09</v>
      </c>
      <c r="M44">
        <v>21.59</v>
      </c>
      <c r="T44">
        <v>0</v>
      </c>
      <c r="U44">
        <v>31.6</v>
      </c>
      <c r="V44">
        <v>8.3000000000000007</v>
      </c>
      <c r="AB44">
        <v>7.0400000000000063</v>
      </c>
      <c r="AC44">
        <v>57</v>
      </c>
      <c r="AD44" s="9">
        <v>41.488399999999999</v>
      </c>
      <c r="AF44">
        <v>3.65</v>
      </c>
      <c r="AG44">
        <v>1.24</v>
      </c>
      <c r="AH44">
        <v>1.82</v>
      </c>
      <c r="AI44">
        <v>3.7</v>
      </c>
      <c r="AJ44">
        <v>3.2</v>
      </c>
      <c r="AK44">
        <v>0.83</v>
      </c>
      <c r="AL44">
        <v>1.98</v>
      </c>
      <c r="AM44">
        <v>1.89</v>
      </c>
      <c r="AN44">
        <v>0.4</v>
      </c>
      <c r="AO44">
        <v>2.61</v>
      </c>
      <c r="AR44">
        <v>0.56000000000000005</v>
      </c>
      <c r="AW44">
        <v>1.35</v>
      </c>
      <c r="AY44">
        <v>76</v>
      </c>
      <c r="AZ44">
        <v>84</v>
      </c>
      <c r="BA44">
        <v>75</v>
      </c>
      <c r="BB44">
        <v>78</v>
      </c>
      <c r="BC44">
        <v>77</v>
      </c>
      <c r="BD44">
        <v>78</v>
      </c>
      <c r="BE44">
        <v>82</v>
      </c>
      <c r="BF44">
        <v>79</v>
      </c>
      <c r="BG44">
        <v>74</v>
      </c>
      <c r="BH44">
        <v>76</v>
      </c>
      <c r="BI44">
        <v>76</v>
      </c>
      <c r="BL44">
        <v>62</v>
      </c>
      <c r="BQ44">
        <v>78</v>
      </c>
      <c r="BS44">
        <v>6.37</v>
      </c>
      <c r="BT44">
        <v>0.97</v>
      </c>
      <c r="BU44">
        <v>0.56999999999999995</v>
      </c>
      <c r="BV44">
        <v>0.35</v>
      </c>
      <c r="BW44">
        <v>0.8</v>
      </c>
      <c r="BX44">
        <v>3.16</v>
      </c>
      <c r="BY44">
        <v>0.45</v>
      </c>
      <c r="CB44">
        <v>82</v>
      </c>
      <c r="CC44">
        <v>86</v>
      </c>
      <c r="CD44">
        <v>77</v>
      </c>
      <c r="CE44">
        <v>86</v>
      </c>
      <c r="CF44" s="2">
        <v>4.0128000000000039</v>
      </c>
      <c r="CH44" s="47">
        <v>41.171999999999997</v>
      </c>
      <c r="CI44" s="47">
        <v>3.0295000000000001</v>
      </c>
      <c r="CJ44" s="47">
        <v>0.9052</v>
      </c>
      <c r="CK44" s="47">
        <v>1.365</v>
      </c>
      <c r="CL44" s="47">
        <v>2.7749999999999999</v>
      </c>
      <c r="CM44" s="47">
        <v>2.4320000000000004</v>
      </c>
      <c r="CN44" s="47">
        <v>0.66399999999999992</v>
      </c>
      <c r="CO44" s="47">
        <v>0.99439999999999995</v>
      </c>
      <c r="CP44" s="47">
        <v>1.5246000000000002</v>
      </c>
      <c r="CQ44" s="47">
        <v>2.5641000000000003</v>
      </c>
      <c r="CR44" s="47">
        <v>1.3418999999999999</v>
      </c>
      <c r="CS44" s="47">
        <v>0.26800000000000002</v>
      </c>
      <c r="CT44" s="47">
        <v>1.9313999999999998</v>
      </c>
      <c r="CU44" s="47"/>
      <c r="CV44" s="47">
        <v>42.863999999999997</v>
      </c>
      <c r="CW44" s="47">
        <f t="shared" si="40"/>
        <v>3.0659999999999998</v>
      </c>
      <c r="CX44" s="47">
        <f t="shared" si="41"/>
        <v>0.93</v>
      </c>
      <c r="CY44" s="47">
        <f t="shared" si="42"/>
        <v>1.4196</v>
      </c>
      <c r="CZ44" s="47">
        <f t="shared" si="43"/>
        <v>2.8490000000000002</v>
      </c>
      <c r="DA44" s="47">
        <f t="shared" si="44"/>
        <v>2.4960000000000004</v>
      </c>
      <c r="DB44" s="47">
        <f t="shared" si="45"/>
        <v>0.68059999999999998</v>
      </c>
      <c r="DC44" s="47">
        <f t="shared" si="32"/>
        <v>1.0278</v>
      </c>
      <c r="DD44" s="47">
        <f t="shared" si="12"/>
        <v>1.5641999999999998</v>
      </c>
      <c r="DE44" s="47">
        <f t="shared" si="5"/>
        <v>2.6172</v>
      </c>
      <c r="DF44" s="47">
        <f t="shared" si="13"/>
        <v>1.3985999999999998</v>
      </c>
      <c r="DG44" s="47">
        <f t="shared" si="14"/>
        <v>0.30400000000000005</v>
      </c>
      <c r="DH44" s="47">
        <f t="shared" si="15"/>
        <v>1.9835999999999998</v>
      </c>
      <c r="DI44" s="47"/>
      <c r="DJ44" s="47"/>
      <c r="DK44" s="47"/>
      <c r="DL44" s="47"/>
      <c r="DM44" s="47"/>
      <c r="DN44" s="47"/>
      <c r="DO44" s="47"/>
      <c r="DP44" s="47"/>
      <c r="DQ44">
        <f t="shared" si="18"/>
        <v>2.5912000000000002</v>
      </c>
      <c r="DR44">
        <f t="shared" si="19"/>
        <v>2.7176</v>
      </c>
      <c r="DS44">
        <f t="shared" si="33"/>
        <v>4.9049000000000005</v>
      </c>
      <c r="DT44">
        <f t="shared" si="34"/>
        <v>5.4782000000000002</v>
      </c>
      <c r="DV44" s="274"/>
      <c r="DW44" s="111">
        <f t="shared" si="35"/>
        <v>0</v>
      </c>
      <c r="DX44" s="112"/>
      <c r="DY44" s="275"/>
      <c r="DZ44" s="275"/>
      <c r="EA44" s="81"/>
      <c r="EB44" s="113">
        <f t="shared" si="36"/>
        <v>0</v>
      </c>
      <c r="EC44" s="6"/>
      <c r="ED44" s="92"/>
      <c r="EE44" s="92"/>
      <c r="EF44" s="92"/>
      <c r="EG44" s="204"/>
      <c r="EH44" s="118"/>
      <c r="EI44" s="82"/>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80">
        <f t="shared" si="21"/>
        <v>0.69624429624429618</v>
      </c>
      <c r="FN44" s="80">
        <f t="shared" si="22"/>
        <v>0.49828009828009823</v>
      </c>
      <c r="FO44" s="115">
        <f t="shared" si="23"/>
        <v>1.397295012679628</v>
      </c>
      <c r="FP44" s="115">
        <f t="shared" si="24"/>
        <v>0.10670410670410671</v>
      </c>
      <c r="FQ44" s="116">
        <f t="shared" si="25"/>
        <v>5.0514184397163125E-2</v>
      </c>
    </row>
    <row r="45" spans="1:173" ht="12.75" customHeight="1" x14ac:dyDescent="0.25">
      <c r="A45" s="61">
        <v>36</v>
      </c>
      <c r="B45" t="s">
        <v>262</v>
      </c>
      <c r="C45">
        <v>3806</v>
      </c>
      <c r="D45">
        <v>3303</v>
      </c>
      <c r="E45">
        <v>2963</v>
      </c>
      <c r="F45">
        <v>1961</v>
      </c>
      <c r="H45">
        <v>95.16</v>
      </c>
      <c r="I45">
        <v>50.05</v>
      </c>
      <c r="K45">
        <v>9.2100000000000009</v>
      </c>
      <c r="M45">
        <v>31.95</v>
      </c>
      <c r="T45">
        <v>0</v>
      </c>
      <c r="U45">
        <v>32.5</v>
      </c>
      <c r="V45">
        <v>5.05</v>
      </c>
      <c r="AB45">
        <v>3.9499999999999993</v>
      </c>
      <c r="AC45">
        <v>0</v>
      </c>
      <c r="AD45" s="9">
        <v>35.303599999999996</v>
      </c>
      <c r="AF45">
        <v>3.53</v>
      </c>
      <c r="AG45">
        <v>0.91</v>
      </c>
      <c r="AH45">
        <v>1.47</v>
      </c>
      <c r="AI45">
        <v>3.06</v>
      </c>
      <c r="AJ45">
        <v>2.59</v>
      </c>
      <c r="AK45">
        <v>0.69</v>
      </c>
      <c r="AL45">
        <v>1.65</v>
      </c>
      <c r="AM45">
        <v>1.63</v>
      </c>
      <c r="AN45">
        <v>0.3</v>
      </c>
      <c r="AO45">
        <v>2.19</v>
      </c>
      <c r="AR45">
        <v>0.46</v>
      </c>
      <c r="AW45">
        <v>1.08</v>
      </c>
      <c r="AY45">
        <v>72</v>
      </c>
      <c r="AZ45">
        <v>83</v>
      </c>
      <c r="BA45">
        <v>71</v>
      </c>
      <c r="BB45">
        <v>73</v>
      </c>
      <c r="BC45">
        <v>76</v>
      </c>
      <c r="BD45">
        <v>73</v>
      </c>
      <c r="BE45">
        <v>84</v>
      </c>
      <c r="BF45">
        <v>79</v>
      </c>
      <c r="BG45">
        <v>69</v>
      </c>
      <c r="BH45">
        <v>62</v>
      </c>
      <c r="BI45">
        <v>76</v>
      </c>
      <c r="BL45">
        <v>56</v>
      </c>
      <c r="BQ45">
        <v>68</v>
      </c>
      <c r="BS45">
        <v>10.94</v>
      </c>
      <c r="BT45">
        <v>0.69</v>
      </c>
      <c r="BU45">
        <v>0.65</v>
      </c>
      <c r="BV45">
        <v>0.41</v>
      </c>
      <c r="BW45">
        <v>0.63</v>
      </c>
      <c r="BX45">
        <v>5.26</v>
      </c>
      <c r="BY45">
        <v>0.38</v>
      </c>
      <c r="CB45">
        <v>68</v>
      </c>
      <c r="CC45">
        <v>70</v>
      </c>
      <c r="CD45">
        <v>77</v>
      </c>
      <c r="CE45">
        <v>82</v>
      </c>
      <c r="CF45" s="2">
        <v>0</v>
      </c>
      <c r="CH45" s="47">
        <v>34.033999999999999</v>
      </c>
      <c r="CI45" s="47">
        <v>2.8239999999999998</v>
      </c>
      <c r="CJ45" s="47">
        <v>0.61880000000000002</v>
      </c>
      <c r="CK45" s="47">
        <v>1.0143</v>
      </c>
      <c r="CL45" s="47">
        <v>2.2031999999999998</v>
      </c>
      <c r="CM45" s="47">
        <v>1.8129999999999997</v>
      </c>
      <c r="CN45" s="47">
        <v>0.55889999999999995</v>
      </c>
      <c r="CO45" s="47">
        <v>0.77049999999999996</v>
      </c>
      <c r="CP45" s="47">
        <v>1.254</v>
      </c>
      <c r="CQ45" s="47">
        <v>1.8912</v>
      </c>
      <c r="CR45" s="47">
        <v>1.0431999999999999</v>
      </c>
      <c r="CS45" s="47">
        <v>0.156</v>
      </c>
      <c r="CT45" s="47">
        <v>1.5768</v>
      </c>
      <c r="CU45" s="47"/>
      <c r="CV45" s="47">
        <v>36.036000000000001</v>
      </c>
      <c r="CW45" s="47">
        <f t="shared" si="40"/>
        <v>2.9298999999999999</v>
      </c>
      <c r="CX45" s="47">
        <f t="shared" si="41"/>
        <v>0.64610000000000001</v>
      </c>
      <c r="CY45" s="47">
        <f t="shared" si="42"/>
        <v>1.0730999999999999</v>
      </c>
      <c r="CZ45" s="47">
        <f t="shared" si="43"/>
        <v>2.3256000000000001</v>
      </c>
      <c r="DA45" s="47">
        <f t="shared" si="44"/>
        <v>1.8906999999999998</v>
      </c>
      <c r="DB45" s="47">
        <f t="shared" si="45"/>
        <v>0.57959999999999989</v>
      </c>
      <c r="DC45" s="47">
        <f t="shared" si="32"/>
        <v>0.83719999999999994</v>
      </c>
      <c r="DD45" s="47">
        <f t="shared" si="12"/>
        <v>1.3034999999999999</v>
      </c>
      <c r="DE45" s="47">
        <f t="shared" si="5"/>
        <v>2.0378999999999996</v>
      </c>
      <c r="DF45" s="47">
        <f t="shared" si="13"/>
        <v>1.1247</v>
      </c>
      <c r="DG45" s="47">
        <f t="shared" si="14"/>
        <v>0.18599999999999997</v>
      </c>
      <c r="DH45" s="47">
        <f t="shared" si="15"/>
        <v>1.6643999999999999</v>
      </c>
      <c r="DI45" s="47"/>
      <c r="DJ45" s="47"/>
      <c r="DK45" s="47"/>
      <c r="DL45" s="47"/>
      <c r="DM45" s="47"/>
      <c r="DN45" s="47"/>
      <c r="DO45" s="47"/>
      <c r="DP45" s="47"/>
      <c r="DQ45">
        <f t="shared" si="18"/>
        <v>3.5768</v>
      </c>
      <c r="DR45">
        <f t="shared" si="19"/>
        <v>3.6819999999999999</v>
      </c>
      <c r="DS45">
        <f t="shared" si="33"/>
        <v>8.4238</v>
      </c>
      <c r="DT45">
        <f t="shared" si="34"/>
        <v>8.9707999999999988</v>
      </c>
      <c r="DV45" s="274">
        <v>51.5</v>
      </c>
      <c r="DW45" s="111">
        <f t="shared" si="35"/>
        <v>300</v>
      </c>
      <c r="DX45" s="112">
        <v>0.15</v>
      </c>
      <c r="DY45" s="275">
        <v>1724.0497076023391</v>
      </c>
      <c r="DZ45" s="275">
        <v>1672</v>
      </c>
      <c r="EA45" s="81">
        <v>0.9</v>
      </c>
      <c r="EB45" s="113">
        <f t="shared" si="36"/>
        <v>4.734</v>
      </c>
      <c r="EC45" s="6">
        <v>0.72</v>
      </c>
      <c r="ED45" s="92">
        <v>0</v>
      </c>
      <c r="EE45" s="92">
        <v>0</v>
      </c>
      <c r="EF45" s="92"/>
      <c r="EG45" s="204"/>
      <c r="EH45" s="107">
        <f>64*K45/10</f>
        <v>58.944000000000003</v>
      </c>
      <c r="EI45" s="82">
        <f>IF(AR45="","",AR45*BL45)</f>
        <v>25.76</v>
      </c>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80">
        <f t="shared" si="21"/>
        <v>0.71568627450980382</v>
      </c>
      <c r="FN45" s="80">
        <f t="shared" si="22"/>
        <v>0.46142930856553144</v>
      </c>
      <c r="FO45" s="115">
        <f t="shared" si="23"/>
        <v>1.5510204081632653</v>
      </c>
      <c r="FP45" s="115">
        <f t="shared" si="24"/>
        <v>7.9979360165118668E-2</v>
      </c>
      <c r="FQ45" s="116">
        <f t="shared" si="25"/>
        <v>4.6465534465534468E-2</v>
      </c>
    </row>
    <row r="46" spans="1:173" ht="12.75" customHeight="1" x14ac:dyDescent="0.25">
      <c r="A46" s="61">
        <v>37</v>
      </c>
      <c r="B46" t="s">
        <v>263</v>
      </c>
      <c r="C46">
        <v>5670</v>
      </c>
      <c r="D46">
        <v>4135</v>
      </c>
      <c r="E46">
        <v>3530</v>
      </c>
      <c r="F46">
        <v>2088</v>
      </c>
      <c r="H46">
        <v>91.72</v>
      </c>
      <c r="I46">
        <v>88.95</v>
      </c>
      <c r="J46">
        <v>0</v>
      </c>
      <c r="K46">
        <v>0.17</v>
      </c>
      <c r="M46">
        <v>0</v>
      </c>
      <c r="T46">
        <v>0</v>
      </c>
      <c r="V46">
        <v>0</v>
      </c>
      <c r="AB46">
        <v>2.5999999999999961</v>
      </c>
      <c r="AC46">
        <v>95</v>
      </c>
      <c r="AD46" s="9">
        <v>48.442700000000002</v>
      </c>
      <c r="AF46">
        <v>3.13</v>
      </c>
      <c r="AG46">
        <v>2.57</v>
      </c>
      <c r="AH46">
        <v>4.49</v>
      </c>
      <c r="AI46">
        <v>8.24</v>
      </c>
      <c r="AJ46">
        <v>6.87</v>
      </c>
      <c r="AK46">
        <v>2.52</v>
      </c>
      <c r="AL46">
        <v>4.49</v>
      </c>
      <c r="AM46">
        <v>3.77</v>
      </c>
      <c r="AN46">
        <v>1.33</v>
      </c>
      <c r="AO46">
        <v>5.81</v>
      </c>
      <c r="AR46">
        <v>0.45</v>
      </c>
      <c r="AW46">
        <v>4.87</v>
      </c>
      <c r="AY46">
        <v>94</v>
      </c>
      <c r="AZ46">
        <v>95</v>
      </c>
      <c r="BA46">
        <v>97</v>
      </c>
      <c r="BB46">
        <v>95</v>
      </c>
      <c r="BC46">
        <v>97</v>
      </c>
      <c r="BD46">
        <v>97</v>
      </c>
      <c r="BE46">
        <v>98</v>
      </c>
      <c r="BF46">
        <v>96</v>
      </c>
      <c r="BG46">
        <v>93</v>
      </c>
      <c r="BH46">
        <v>96</v>
      </c>
      <c r="BI46">
        <v>96</v>
      </c>
      <c r="BL46">
        <v>85</v>
      </c>
      <c r="BQ46">
        <v>97</v>
      </c>
      <c r="BS46">
        <v>0.2</v>
      </c>
      <c r="BT46">
        <v>0.04</v>
      </c>
      <c r="BU46">
        <v>0.01</v>
      </c>
      <c r="BV46">
        <v>0.01</v>
      </c>
      <c r="BW46">
        <v>0.01</v>
      </c>
      <c r="BX46">
        <v>0.68</v>
      </c>
      <c r="BY46">
        <v>0.6</v>
      </c>
      <c r="CB46">
        <v>87</v>
      </c>
      <c r="CC46">
        <v>98</v>
      </c>
      <c r="CF46" s="2">
        <v>2.4699999999999962</v>
      </c>
      <c r="CH46" s="47">
        <v>77.386500000000012</v>
      </c>
      <c r="CI46" s="47">
        <v>2.7544</v>
      </c>
      <c r="CJ46" s="47">
        <v>2.3900999999999999</v>
      </c>
      <c r="CK46" s="47">
        <v>4.0859000000000005</v>
      </c>
      <c r="CL46" s="47">
        <v>7.7456000000000005</v>
      </c>
      <c r="CM46" s="47">
        <v>6.5264999999999995</v>
      </c>
      <c r="CN46" s="47">
        <v>2.4192</v>
      </c>
      <c r="CO46" s="47">
        <v>2.7206999999999999</v>
      </c>
      <c r="CP46" s="47">
        <v>4.1757</v>
      </c>
      <c r="CQ46" s="47">
        <v>8.7534999999999989</v>
      </c>
      <c r="CR46" s="47">
        <v>3.2422000000000004</v>
      </c>
      <c r="CS46" s="47">
        <v>1.2236000000000002</v>
      </c>
      <c r="CT46" s="47">
        <v>5.3452000000000002</v>
      </c>
      <c r="CU46" s="47"/>
      <c r="CV46" s="47">
        <v>83.613000000000014</v>
      </c>
      <c r="CW46" s="47">
        <f t="shared" si="40"/>
        <v>2.9734999999999996</v>
      </c>
      <c r="CX46" s="47">
        <f t="shared" si="41"/>
        <v>2.4929000000000001</v>
      </c>
      <c r="CY46" s="47">
        <f t="shared" si="42"/>
        <v>4.2655000000000003</v>
      </c>
      <c r="CZ46" s="47">
        <f t="shared" si="43"/>
        <v>7.9927999999999999</v>
      </c>
      <c r="DA46" s="47">
        <f t="shared" si="44"/>
        <v>6.6638999999999999</v>
      </c>
      <c r="DB46" s="47">
        <f t="shared" si="45"/>
        <v>2.4696000000000002</v>
      </c>
      <c r="DC46" s="47">
        <f t="shared" si="32"/>
        <v>2.8521000000000005</v>
      </c>
      <c r="DD46" s="47">
        <f t="shared" si="12"/>
        <v>4.3104000000000005</v>
      </c>
      <c r="DE46" s="47">
        <f t="shared" si="5"/>
        <v>9.0343</v>
      </c>
      <c r="DF46" s="47">
        <f t="shared" si="13"/>
        <v>3.5061</v>
      </c>
      <c r="DG46" s="47">
        <f t="shared" si="14"/>
        <v>1.2768000000000002</v>
      </c>
      <c r="DH46" s="47">
        <f t="shared" si="15"/>
        <v>5.5776000000000003</v>
      </c>
      <c r="DI46" s="47"/>
      <c r="DJ46" s="47"/>
      <c r="DK46" s="47"/>
      <c r="DL46" s="47"/>
      <c r="DM46" s="47"/>
      <c r="DN46" s="47"/>
      <c r="DO46" s="47"/>
      <c r="DP46" s="47"/>
      <c r="DQ46">
        <f t="shared" si="18"/>
        <v>0.59160000000000001</v>
      </c>
      <c r="DR46">
        <f t="shared" si="19"/>
        <v>0.66639999999999999</v>
      </c>
      <c r="DS46">
        <f t="shared" si="33"/>
        <v>0</v>
      </c>
      <c r="DT46">
        <f t="shared" si="34"/>
        <v>0</v>
      </c>
      <c r="DV46" s="274"/>
      <c r="DW46" s="111">
        <f t="shared" si="35"/>
        <v>0</v>
      </c>
      <c r="DX46" s="112"/>
      <c r="DY46" s="275"/>
      <c r="DZ46" s="275"/>
      <c r="EA46" s="81"/>
      <c r="EB46" s="113">
        <f t="shared" si="36"/>
        <v>0</v>
      </c>
      <c r="EC46" s="6"/>
      <c r="ED46" s="92"/>
      <c r="EE46" s="92"/>
      <c r="EF46" s="92"/>
      <c r="EG46" s="204"/>
      <c r="EH46" s="118"/>
      <c r="EI46" s="82"/>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80">
        <f t="shared" si="21"/>
        <v>0.69782804524071673</v>
      </c>
      <c r="FN46" s="80">
        <f t="shared" si="22"/>
        <v>0.53366780102091882</v>
      </c>
      <c r="FO46" s="115">
        <f t="shared" si="23"/>
        <v>1.307607548939163</v>
      </c>
      <c r="FP46" s="115">
        <f t="shared" si="24"/>
        <v>0.15974376939245322</v>
      </c>
      <c r="FQ46" s="116">
        <f t="shared" si="25"/>
        <v>8.9857223159078126E-2</v>
      </c>
    </row>
    <row r="47" spans="1:173" ht="12.75" customHeight="1" x14ac:dyDescent="0.25">
      <c r="A47" s="61">
        <v>38</v>
      </c>
      <c r="B47" t="s">
        <v>264</v>
      </c>
      <c r="C47">
        <v>4143</v>
      </c>
      <c r="D47">
        <v>3525</v>
      </c>
      <c r="E47">
        <v>3525</v>
      </c>
      <c r="F47">
        <v>2923</v>
      </c>
      <c r="H47">
        <v>95</v>
      </c>
      <c r="I47">
        <v>0</v>
      </c>
      <c r="K47">
        <v>0</v>
      </c>
      <c r="M47">
        <v>0</v>
      </c>
      <c r="N47">
        <v>95</v>
      </c>
      <c r="T47">
        <v>0</v>
      </c>
      <c r="V47">
        <v>0</v>
      </c>
      <c r="AB47">
        <v>0</v>
      </c>
      <c r="AC47">
        <v>0</v>
      </c>
      <c r="AD47" s="9">
        <v>39.9</v>
      </c>
      <c r="CF47" s="2">
        <v>0</v>
      </c>
      <c r="CH47" s="47">
        <v>0</v>
      </c>
      <c r="CI47" s="47">
        <v>0</v>
      </c>
      <c r="CJ47" s="47">
        <v>0</v>
      </c>
      <c r="CK47" s="47">
        <v>0</v>
      </c>
      <c r="CL47" s="47">
        <v>0</v>
      </c>
      <c r="CM47" s="47">
        <v>0</v>
      </c>
      <c r="CN47" s="47">
        <v>0</v>
      </c>
      <c r="CO47" s="47">
        <v>0</v>
      </c>
      <c r="CP47" s="47">
        <v>0</v>
      </c>
      <c r="CQ47" s="47">
        <v>0</v>
      </c>
      <c r="CR47" s="47">
        <v>0</v>
      </c>
      <c r="CS47" s="47">
        <v>0</v>
      </c>
      <c r="CT47" s="47">
        <v>0</v>
      </c>
      <c r="CU47" s="47"/>
      <c r="CV47" s="47">
        <v>0</v>
      </c>
      <c r="CW47" s="47">
        <f t="shared" si="40"/>
        <v>0</v>
      </c>
      <c r="CX47" s="47">
        <f t="shared" si="41"/>
        <v>0</v>
      </c>
      <c r="CY47" s="47">
        <f t="shared" si="42"/>
        <v>0</v>
      </c>
      <c r="CZ47" s="47">
        <f t="shared" si="43"/>
        <v>0</v>
      </c>
      <c r="DA47" s="47">
        <f t="shared" si="44"/>
        <v>0</v>
      </c>
      <c r="DB47" s="47">
        <f t="shared" si="45"/>
        <v>0</v>
      </c>
      <c r="DC47" s="47">
        <f t="shared" si="32"/>
        <v>0</v>
      </c>
      <c r="DD47" s="47">
        <f t="shared" si="12"/>
        <v>0</v>
      </c>
      <c r="DE47" s="47">
        <f t="shared" si="5"/>
        <v>0</v>
      </c>
      <c r="DF47" s="47">
        <f t="shared" si="13"/>
        <v>0</v>
      </c>
      <c r="DG47" s="47">
        <f t="shared" si="14"/>
        <v>0</v>
      </c>
      <c r="DH47" s="47">
        <f t="shared" si="15"/>
        <v>0</v>
      </c>
      <c r="DI47" s="47"/>
      <c r="DJ47" s="47"/>
      <c r="DK47" s="47"/>
      <c r="DL47" s="47"/>
      <c r="DM47" s="47"/>
      <c r="DN47" s="47"/>
      <c r="DO47" s="47"/>
      <c r="DP47" s="47"/>
      <c r="DQ47">
        <f t="shared" si="18"/>
        <v>0</v>
      </c>
      <c r="DR47">
        <f t="shared" si="19"/>
        <v>0</v>
      </c>
      <c r="DS47">
        <f t="shared" si="33"/>
        <v>0</v>
      </c>
      <c r="DT47">
        <f t="shared" si="34"/>
        <v>0</v>
      </c>
      <c r="DV47" s="110"/>
      <c r="DW47" s="111">
        <f t="shared" si="35"/>
        <v>600</v>
      </c>
      <c r="DX47" s="112">
        <v>0.3</v>
      </c>
      <c r="DY47" s="88">
        <v>3038.7358916478556</v>
      </c>
      <c r="DZ47" s="88">
        <v>2995.9367945823928</v>
      </c>
      <c r="EA47" s="124">
        <v>0</v>
      </c>
      <c r="EB47" s="113">
        <f t="shared" si="36"/>
        <v>0</v>
      </c>
      <c r="EC47" s="92">
        <v>0</v>
      </c>
      <c r="ED47" s="6">
        <v>100</v>
      </c>
      <c r="EE47" s="92">
        <v>0</v>
      </c>
      <c r="EF47" s="92"/>
      <c r="EG47" s="204"/>
      <c r="EH47" s="6">
        <f>44*K47/10</f>
        <v>0</v>
      </c>
      <c r="EI47" s="82" t="str">
        <f>IF(AR47="","",AR47*BL47)</f>
        <v/>
      </c>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80" t="e">
        <f t="shared" si="21"/>
        <v>#DIV/0!</v>
      </c>
      <c r="FN47" s="80" t="e">
        <f t="shared" si="22"/>
        <v>#DIV/0!</v>
      </c>
      <c r="FO47" s="115" t="e">
        <f t="shared" si="23"/>
        <v>#DIV/0!</v>
      </c>
      <c r="FP47" s="115" t="e">
        <f t="shared" si="24"/>
        <v>#DIV/0!</v>
      </c>
      <c r="FQ47" s="116" t="e">
        <f t="shared" si="25"/>
        <v>#DIV/0!</v>
      </c>
    </row>
    <row r="48" spans="1:173" ht="12.75" customHeight="1" x14ac:dyDescent="0.25">
      <c r="A48" s="61">
        <v>39</v>
      </c>
      <c r="B48" t="s">
        <v>265</v>
      </c>
      <c r="C48">
        <v>4437</v>
      </c>
      <c r="D48">
        <v>3980</v>
      </c>
      <c r="E48">
        <v>3730</v>
      </c>
      <c r="F48">
        <v>2695</v>
      </c>
      <c r="H48">
        <v>94.6</v>
      </c>
      <c r="I48">
        <v>36.770000000000003</v>
      </c>
      <c r="K48">
        <v>0.9</v>
      </c>
      <c r="M48">
        <v>8</v>
      </c>
      <c r="N48">
        <v>47.82</v>
      </c>
      <c r="T48">
        <v>0</v>
      </c>
      <c r="V48">
        <v>0</v>
      </c>
      <c r="AB48">
        <v>1.1099999999999923</v>
      </c>
      <c r="AC48">
        <v>94</v>
      </c>
      <c r="AD48" s="9">
        <v>40.756</v>
      </c>
      <c r="AF48">
        <v>1.17</v>
      </c>
      <c r="AG48">
        <v>0.94</v>
      </c>
      <c r="AH48">
        <v>1.45</v>
      </c>
      <c r="AI48">
        <v>3.02</v>
      </c>
      <c r="AJ48">
        <v>2.42</v>
      </c>
      <c r="AK48">
        <v>0.82</v>
      </c>
      <c r="AL48">
        <v>1.51</v>
      </c>
      <c r="AM48">
        <v>1.44</v>
      </c>
      <c r="AN48">
        <v>0.44</v>
      </c>
      <c r="AO48">
        <v>1.85</v>
      </c>
      <c r="AR48">
        <v>0.33</v>
      </c>
      <c r="AW48">
        <v>1.48</v>
      </c>
      <c r="AY48">
        <v>90</v>
      </c>
      <c r="AZ48">
        <v>95</v>
      </c>
      <c r="BA48">
        <v>93</v>
      </c>
      <c r="BB48">
        <v>91</v>
      </c>
      <c r="BC48">
        <v>94</v>
      </c>
      <c r="BD48">
        <v>94</v>
      </c>
      <c r="BE48">
        <v>92</v>
      </c>
      <c r="BF48">
        <v>95</v>
      </c>
      <c r="BG48">
        <v>92</v>
      </c>
      <c r="BH48">
        <v>88</v>
      </c>
      <c r="BI48">
        <v>92</v>
      </c>
      <c r="BL48">
        <v>86</v>
      </c>
      <c r="BQ48">
        <v>93</v>
      </c>
      <c r="BS48">
        <v>1.27</v>
      </c>
      <c r="BT48">
        <v>1</v>
      </c>
      <c r="BU48">
        <v>1.6</v>
      </c>
      <c r="BV48">
        <v>0.12</v>
      </c>
      <c r="BW48">
        <v>0.48</v>
      </c>
      <c r="BX48">
        <v>1.06</v>
      </c>
      <c r="BY48">
        <v>0.32</v>
      </c>
      <c r="CB48">
        <v>91</v>
      </c>
      <c r="CC48">
        <v>98</v>
      </c>
      <c r="CD48">
        <v>93</v>
      </c>
      <c r="CE48">
        <v>97</v>
      </c>
      <c r="CF48" s="2">
        <v>1.0433999999999928</v>
      </c>
      <c r="CH48" s="47">
        <v>31.622200000000003</v>
      </c>
      <c r="CI48" s="47">
        <v>1.0529999999999999</v>
      </c>
      <c r="CJ48" s="47">
        <v>0.85539999999999994</v>
      </c>
      <c r="CK48" s="47">
        <v>1.2904999999999998</v>
      </c>
      <c r="CL48" s="47">
        <v>2.7783999999999995</v>
      </c>
      <c r="CM48" s="47">
        <v>2.2263999999999999</v>
      </c>
      <c r="CN48" s="47">
        <v>0.74619999999999986</v>
      </c>
      <c r="CO48" s="47">
        <v>1.0134999999999998</v>
      </c>
      <c r="CP48" s="47">
        <v>1.4043000000000001</v>
      </c>
      <c r="CQ48" s="47">
        <v>2.7511000000000001</v>
      </c>
      <c r="CR48" s="47">
        <v>1.2671999999999999</v>
      </c>
      <c r="CS48" s="47">
        <v>0.39600000000000002</v>
      </c>
      <c r="CT48" s="47">
        <v>1.6465000000000001</v>
      </c>
      <c r="CU48" s="47"/>
      <c r="CV48" s="47">
        <v>33.093000000000004</v>
      </c>
      <c r="CW48" s="47">
        <f t="shared" si="40"/>
        <v>1.1114999999999999</v>
      </c>
      <c r="CX48" s="47">
        <f t="shared" si="41"/>
        <v>0.87419999999999998</v>
      </c>
      <c r="CY48" s="47">
        <f t="shared" si="42"/>
        <v>1.3194999999999999</v>
      </c>
      <c r="CZ48" s="47">
        <f t="shared" si="43"/>
        <v>2.8388</v>
      </c>
      <c r="DA48" s="47">
        <f t="shared" si="44"/>
        <v>2.2747999999999999</v>
      </c>
      <c r="DB48" s="47">
        <f t="shared" si="45"/>
        <v>0.75439999999999996</v>
      </c>
      <c r="DC48" s="47">
        <f t="shared" si="32"/>
        <v>1.0382</v>
      </c>
      <c r="DD48" s="47">
        <f t="shared" si="12"/>
        <v>1.4344999999999999</v>
      </c>
      <c r="DE48" s="47">
        <f t="shared" si="5"/>
        <v>2.8108999999999997</v>
      </c>
      <c r="DF48" s="47">
        <f t="shared" si="13"/>
        <v>1.3248</v>
      </c>
      <c r="DG48" s="47">
        <f t="shared" si="14"/>
        <v>0.38719999999999999</v>
      </c>
      <c r="DH48" s="47">
        <f t="shared" si="15"/>
        <v>1.7020000000000002</v>
      </c>
      <c r="DI48" s="47"/>
      <c r="DJ48" s="47"/>
      <c r="DK48" s="47"/>
      <c r="DL48" s="47"/>
      <c r="DM48" s="47"/>
      <c r="DN48" s="47"/>
      <c r="DO48" s="47"/>
      <c r="DP48" s="47"/>
      <c r="DQ48">
        <f t="shared" si="18"/>
        <v>0.96460000000000012</v>
      </c>
      <c r="DR48">
        <f t="shared" si="19"/>
        <v>1.0388000000000002</v>
      </c>
      <c r="DS48">
        <f t="shared" si="33"/>
        <v>1.1811</v>
      </c>
      <c r="DT48">
        <f t="shared" si="34"/>
        <v>1.2319</v>
      </c>
      <c r="DV48" s="110"/>
      <c r="DW48" s="111">
        <f t="shared" si="35"/>
        <v>2400</v>
      </c>
      <c r="DX48" s="112">
        <v>1.2</v>
      </c>
      <c r="DY48" s="94">
        <v>2700</v>
      </c>
      <c r="DZ48" s="94">
        <v>2700</v>
      </c>
      <c r="EA48" s="81">
        <v>0.91</v>
      </c>
      <c r="EB48" s="113">
        <f t="shared" si="36"/>
        <v>0.96460000000000012</v>
      </c>
      <c r="EC48" s="117">
        <v>0.01</v>
      </c>
      <c r="ED48" s="6">
        <v>50</v>
      </c>
      <c r="EE48" s="92">
        <v>0</v>
      </c>
      <c r="EF48" s="92"/>
      <c r="EG48" s="204"/>
      <c r="EH48" s="107">
        <f>44*K48/10</f>
        <v>3.96</v>
      </c>
      <c r="EI48" s="82">
        <f>IF(AR48="","",AR48*BL48)</f>
        <v>28.380000000000003</v>
      </c>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80">
        <f t="shared" si="21"/>
        <v>0.5995491052557419</v>
      </c>
      <c r="FN48" s="80">
        <f t="shared" si="22"/>
        <v>0.46480907425672818</v>
      </c>
      <c r="FO48" s="115">
        <f t="shared" si="23"/>
        <v>1.2898825312618418</v>
      </c>
      <c r="FP48" s="115">
        <f t="shared" si="24"/>
        <v>0.13639566013808652</v>
      </c>
      <c r="FQ48" s="116">
        <f t="shared" si="25"/>
        <v>7.7204242589067162E-2</v>
      </c>
    </row>
    <row r="49" spans="1:173" x14ac:dyDescent="0.25">
      <c r="A49" s="61">
        <v>40</v>
      </c>
      <c r="B49" t="s">
        <v>266</v>
      </c>
      <c r="C49">
        <v>3647</v>
      </c>
      <c r="D49">
        <v>3494</v>
      </c>
      <c r="E49">
        <v>3415</v>
      </c>
      <c r="F49">
        <v>2704</v>
      </c>
      <c r="H49">
        <v>97.15</v>
      </c>
      <c r="I49">
        <v>11.55</v>
      </c>
      <c r="J49">
        <v>0.08</v>
      </c>
      <c r="K49">
        <v>0.83</v>
      </c>
      <c r="M49">
        <v>8</v>
      </c>
      <c r="N49">
        <v>72.88</v>
      </c>
      <c r="T49">
        <v>0</v>
      </c>
      <c r="V49">
        <v>0</v>
      </c>
      <c r="AB49">
        <v>3.8900000000000148</v>
      </c>
      <c r="AC49">
        <v>76</v>
      </c>
      <c r="AD49" s="9">
        <v>39.112400000000008</v>
      </c>
      <c r="AF49">
        <v>0.26</v>
      </c>
      <c r="AG49">
        <v>0.21</v>
      </c>
      <c r="AH49">
        <v>0.64</v>
      </c>
      <c r="AI49">
        <v>1.1100000000000001</v>
      </c>
      <c r="AJ49">
        <v>0.88</v>
      </c>
      <c r="AK49">
        <v>0.17</v>
      </c>
      <c r="AL49">
        <v>0.35</v>
      </c>
      <c r="AM49">
        <v>0.71</v>
      </c>
      <c r="AN49">
        <v>0.2</v>
      </c>
      <c r="AO49">
        <v>0.61</v>
      </c>
      <c r="AR49">
        <v>0.26</v>
      </c>
      <c r="AW49">
        <v>0.27</v>
      </c>
      <c r="AY49">
        <v>102</v>
      </c>
      <c r="AZ49">
        <v>98</v>
      </c>
      <c r="BA49">
        <v>96</v>
      </c>
      <c r="BB49">
        <v>96</v>
      </c>
      <c r="BC49">
        <v>98</v>
      </c>
      <c r="BD49">
        <v>97</v>
      </c>
      <c r="BE49">
        <v>98</v>
      </c>
      <c r="BF49">
        <v>90</v>
      </c>
      <c r="BG49">
        <v>89</v>
      </c>
      <c r="BH49">
        <v>97</v>
      </c>
      <c r="BI49">
        <v>96</v>
      </c>
      <c r="BL49">
        <v>93</v>
      </c>
      <c r="BQ49">
        <v>97</v>
      </c>
      <c r="BS49">
        <v>0.62</v>
      </c>
      <c r="BT49">
        <v>1.4</v>
      </c>
      <c r="BU49">
        <v>1.96</v>
      </c>
      <c r="BV49">
        <v>0.13</v>
      </c>
      <c r="BW49">
        <v>0.94</v>
      </c>
      <c r="BX49">
        <v>0.69</v>
      </c>
      <c r="BY49">
        <v>0.72</v>
      </c>
      <c r="CB49">
        <v>82</v>
      </c>
      <c r="CC49">
        <v>92</v>
      </c>
      <c r="CD49">
        <v>96</v>
      </c>
      <c r="CE49">
        <v>96</v>
      </c>
      <c r="CF49" s="2">
        <v>2.956400000000011</v>
      </c>
      <c r="CH49" s="47">
        <v>10.048500000000001</v>
      </c>
      <c r="CI49" s="47">
        <v>0.21580000000000002</v>
      </c>
      <c r="CJ49" s="47">
        <v>0.18899999999999997</v>
      </c>
      <c r="CK49" s="47">
        <v>0.60160000000000002</v>
      </c>
      <c r="CL49" s="47">
        <v>1.0434000000000001</v>
      </c>
      <c r="CM49" s="47">
        <v>0.82719999999999994</v>
      </c>
      <c r="CN49" s="47">
        <v>0.16150000000000003</v>
      </c>
      <c r="CO49" s="47">
        <v>0.3851</v>
      </c>
      <c r="CP49" s="47">
        <v>0.27299999999999996</v>
      </c>
      <c r="CQ49" s="47">
        <v>0.50519999999999998</v>
      </c>
      <c r="CR49" s="47">
        <v>0.60349999999999993</v>
      </c>
      <c r="CS49" s="47">
        <v>0.15600000000000003</v>
      </c>
      <c r="CT49" s="47">
        <v>0.55509999999999993</v>
      </c>
      <c r="CU49" s="47"/>
      <c r="CV49" s="47">
        <v>11.781000000000001</v>
      </c>
      <c r="CW49" s="47">
        <f t="shared" si="40"/>
        <v>0.25480000000000003</v>
      </c>
      <c r="CX49" s="47">
        <f t="shared" si="41"/>
        <v>0.2016</v>
      </c>
      <c r="CY49" s="47">
        <f t="shared" si="42"/>
        <v>0.61439999999999995</v>
      </c>
      <c r="CZ49" s="47">
        <f t="shared" si="43"/>
        <v>1.0878000000000001</v>
      </c>
      <c r="DA49" s="47">
        <f t="shared" si="44"/>
        <v>0.85360000000000003</v>
      </c>
      <c r="DB49" s="47">
        <f t="shared" si="45"/>
        <v>0.1666</v>
      </c>
      <c r="DC49" s="47">
        <f t="shared" si="32"/>
        <v>0.40840000000000004</v>
      </c>
      <c r="DD49" s="47">
        <f t="shared" si="12"/>
        <v>0.31499999999999995</v>
      </c>
      <c r="DE49" s="47">
        <f t="shared" si="5"/>
        <v>0.57689999999999997</v>
      </c>
      <c r="DF49" s="47">
        <f t="shared" si="13"/>
        <v>0.63190000000000002</v>
      </c>
      <c r="DG49" s="47">
        <f t="shared" si="14"/>
        <v>0.19400000000000003</v>
      </c>
      <c r="DH49" s="47">
        <f t="shared" si="15"/>
        <v>0.58560000000000001</v>
      </c>
      <c r="DI49" s="47"/>
      <c r="DJ49" s="47"/>
      <c r="DK49" s="47"/>
      <c r="DL49" s="47"/>
      <c r="DM49" s="47"/>
      <c r="DN49" s="47"/>
      <c r="DO49" s="47"/>
      <c r="DP49" s="47"/>
      <c r="DQ49">
        <f t="shared" si="18"/>
        <v>0.56579999999999997</v>
      </c>
      <c r="DR49">
        <f t="shared" si="19"/>
        <v>0.63479999999999992</v>
      </c>
      <c r="DS49">
        <f t="shared" si="33"/>
        <v>0.59519999999999995</v>
      </c>
      <c r="DT49">
        <f t="shared" si="34"/>
        <v>0.59519999999999995</v>
      </c>
      <c r="DV49" s="274"/>
      <c r="DW49" s="111">
        <f t="shared" si="35"/>
        <v>1100</v>
      </c>
      <c r="DX49" s="112">
        <v>0.55000000000000004</v>
      </c>
      <c r="DY49" s="94">
        <v>2840</v>
      </c>
      <c r="DZ49" s="94">
        <v>2800</v>
      </c>
      <c r="EA49" s="81">
        <v>0.97</v>
      </c>
      <c r="EB49" s="113">
        <f t="shared" si="36"/>
        <v>0.6692999999999999</v>
      </c>
      <c r="EC49" s="6">
        <v>1.1000000000000001</v>
      </c>
      <c r="ED49" s="6">
        <v>72</v>
      </c>
      <c r="EE49" s="92">
        <v>0</v>
      </c>
      <c r="EF49" s="92"/>
      <c r="EG49" s="204"/>
      <c r="EH49" s="107">
        <f>44*K49/10</f>
        <v>3.6519999999999997</v>
      </c>
      <c r="EI49" s="82">
        <f>IF(AR49="","",AR49*BL49)</f>
        <v>24.18</v>
      </c>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80">
        <f t="shared" si="21"/>
        <v>0.53833425261996681</v>
      </c>
      <c r="FN49" s="80">
        <f t="shared" si="22"/>
        <v>0.56480970766685046</v>
      </c>
      <c r="FO49" s="115">
        <f t="shared" si="23"/>
        <v>0.95312500000000011</v>
      </c>
      <c r="FP49" s="115">
        <f t="shared" si="24"/>
        <v>0.17834160691303549</v>
      </c>
      <c r="FQ49" s="116">
        <f t="shared" si="25"/>
        <v>9.4181818181818186E-2</v>
      </c>
    </row>
    <row r="50" spans="1:173" ht="12.75" customHeight="1" x14ac:dyDescent="0.25">
      <c r="A50" s="61">
        <v>41</v>
      </c>
      <c r="B50" s="34" t="s">
        <v>361</v>
      </c>
      <c r="C50">
        <v>3657</v>
      </c>
      <c r="D50">
        <v>3626</v>
      </c>
      <c r="E50">
        <v>3606</v>
      </c>
      <c r="F50">
        <v>2922</v>
      </c>
      <c r="H50">
        <v>98</v>
      </c>
      <c r="I50">
        <v>3</v>
      </c>
      <c r="K50">
        <v>0.2</v>
      </c>
      <c r="M50">
        <v>9</v>
      </c>
      <c r="N50" s="64">
        <v>80</v>
      </c>
      <c r="T50">
        <v>0</v>
      </c>
      <c r="V50">
        <v>0</v>
      </c>
      <c r="AB50">
        <v>0.79999999999999716</v>
      </c>
      <c r="AC50">
        <v>76</v>
      </c>
      <c r="AD50" s="9">
        <v>37.801999999999992</v>
      </c>
      <c r="AH50">
        <v>0.13</v>
      </c>
      <c r="AI50">
        <v>0.22</v>
      </c>
      <c r="AJ50">
        <v>0.2</v>
      </c>
      <c r="AK50">
        <v>0.04</v>
      </c>
      <c r="AM50">
        <v>0.13</v>
      </c>
      <c r="AN50">
        <v>0.13</v>
      </c>
      <c r="AO50">
        <v>0.13</v>
      </c>
      <c r="AR50">
        <v>0.05</v>
      </c>
      <c r="AY50" s="64">
        <f>AY49</f>
        <v>102</v>
      </c>
      <c r="AZ50" s="64">
        <f t="shared" ref="AZ50:BQ50" si="46">AZ49</f>
        <v>98</v>
      </c>
      <c r="BA50" s="64">
        <f t="shared" si="46"/>
        <v>96</v>
      </c>
      <c r="BB50" s="64">
        <f t="shared" si="46"/>
        <v>96</v>
      </c>
      <c r="BC50" s="64">
        <f t="shared" si="46"/>
        <v>98</v>
      </c>
      <c r="BD50" s="64">
        <f t="shared" si="46"/>
        <v>97</v>
      </c>
      <c r="BE50" s="64">
        <f t="shared" si="46"/>
        <v>98</v>
      </c>
      <c r="BF50" s="64">
        <f t="shared" si="46"/>
        <v>90</v>
      </c>
      <c r="BG50" s="64">
        <f t="shared" si="46"/>
        <v>89</v>
      </c>
      <c r="BH50" s="64">
        <f t="shared" si="46"/>
        <v>97</v>
      </c>
      <c r="BI50" s="64">
        <f t="shared" si="46"/>
        <v>96</v>
      </c>
      <c r="BJ50" s="64"/>
      <c r="BK50" s="64"/>
      <c r="BL50" s="64">
        <f t="shared" si="46"/>
        <v>93</v>
      </c>
      <c r="BM50" s="64"/>
      <c r="BN50" s="64"/>
      <c r="BO50" s="64"/>
      <c r="BP50" s="64"/>
      <c r="BQ50" s="64">
        <f t="shared" si="46"/>
        <v>97</v>
      </c>
      <c r="BS50">
        <v>0.27</v>
      </c>
      <c r="BT50" s="64">
        <v>2.23</v>
      </c>
      <c r="BU50" s="64">
        <v>2.1</v>
      </c>
      <c r="BV50" s="64"/>
      <c r="BW50" s="64">
        <v>1</v>
      </c>
      <c r="BX50">
        <v>0.34</v>
      </c>
      <c r="CB50">
        <v>82</v>
      </c>
      <c r="CC50">
        <v>92</v>
      </c>
      <c r="CD50">
        <v>58</v>
      </c>
      <c r="CE50">
        <v>71</v>
      </c>
      <c r="CF50" s="2">
        <v>0.60799999999999788</v>
      </c>
      <c r="CH50" s="47">
        <v>0</v>
      </c>
      <c r="CI50" s="47">
        <v>0</v>
      </c>
      <c r="CJ50" s="47">
        <v>0</v>
      </c>
      <c r="CK50" s="47">
        <v>0</v>
      </c>
      <c r="CL50" s="47">
        <v>0</v>
      </c>
      <c r="CM50" s="47">
        <v>0</v>
      </c>
      <c r="CN50" s="47">
        <v>0</v>
      </c>
      <c r="CO50" s="47">
        <v>0</v>
      </c>
      <c r="CP50" s="47">
        <v>0</v>
      </c>
      <c r="CQ50" s="47">
        <v>0</v>
      </c>
      <c r="CR50" s="47">
        <v>0</v>
      </c>
      <c r="CS50" s="47">
        <v>0</v>
      </c>
      <c r="CT50" s="47">
        <v>0</v>
      </c>
      <c r="CU50" s="47"/>
      <c r="CV50" s="47">
        <v>0</v>
      </c>
      <c r="CW50" s="47">
        <f t="shared" si="40"/>
        <v>0</v>
      </c>
      <c r="CX50" s="47">
        <f t="shared" si="41"/>
        <v>0</v>
      </c>
      <c r="CY50" s="47">
        <f t="shared" si="42"/>
        <v>0.12480000000000001</v>
      </c>
      <c r="CZ50" s="47">
        <f t="shared" si="43"/>
        <v>0.21559999999999999</v>
      </c>
      <c r="DA50" s="47">
        <f t="shared" si="44"/>
        <v>0.19400000000000003</v>
      </c>
      <c r="DB50" s="47">
        <f t="shared" si="45"/>
        <v>3.9199999999999999E-2</v>
      </c>
      <c r="DC50" s="47">
        <f t="shared" si="32"/>
        <v>8.5699999999999998E-2</v>
      </c>
      <c r="DD50" s="47">
        <f t="shared" si="12"/>
        <v>0</v>
      </c>
      <c r="DE50" s="47">
        <f t="shared" si="5"/>
        <v>0</v>
      </c>
      <c r="DF50" s="47">
        <f t="shared" si="13"/>
        <v>0.1157</v>
      </c>
      <c r="DG50" s="47">
        <f t="shared" si="14"/>
        <v>0.12610000000000002</v>
      </c>
      <c r="DH50" s="47">
        <f t="shared" si="15"/>
        <v>0.12480000000000001</v>
      </c>
      <c r="DI50" s="47"/>
      <c r="DJ50" s="47"/>
      <c r="DK50" s="47"/>
      <c r="DL50" s="47"/>
      <c r="DM50" s="47"/>
      <c r="DN50" s="47"/>
      <c r="DO50" s="47"/>
      <c r="DP50" s="47"/>
      <c r="DQ50">
        <f t="shared" si="18"/>
        <v>0.27880000000000005</v>
      </c>
      <c r="DR50">
        <f t="shared" si="19"/>
        <v>0.31280000000000002</v>
      </c>
      <c r="DS50">
        <f t="shared" si="33"/>
        <v>0.15659999999999999</v>
      </c>
      <c r="DT50">
        <f t="shared" si="34"/>
        <v>0.19170000000000001</v>
      </c>
      <c r="DV50" s="110"/>
      <c r="DW50" s="111">
        <f t="shared" si="35"/>
        <v>900</v>
      </c>
      <c r="DX50" s="112">
        <v>0.45</v>
      </c>
      <c r="DY50" s="88">
        <v>2840</v>
      </c>
      <c r="DZ50" s="88">
        <v>2800</v>
      </c>
      <c r="EA50" s="81">
        <v>0.97</v>
      </c>
      <c r="EB50" s="113">
        <f t="shared" si="36"/>
        <v>0.32980000000000004</v>
      </c>
      <c r="EC50" s="107">
        <v>0</v>
      </c>
      <c r="ED50" s="6">
        <v>80</v>
      </c>
      <c r="EE50" s="92">
        <v>0</v>
      </c>
      <c r="EF50" s="92"/>
      <c r="EG50" s="204"/>
      <c r="EH50" s="107">
        <f>44*K50/10</f>
        <v>0.88000000000000012</v>
      </c>
      <c r="EI50" s="82">
        <f>IF(AR50="","",AR50*BL50)</f>
        <v>4.6500000000000004</v>
      </c>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80">
        <f t="shared" si="21"/>
        <v>0.57884972170686466</v>
      </c>
      <c r="FN50" s="80">
        <f t="shared" si="22"/>
        <v>0.57884972170686466</v>
      </c>
      <c r="FO50" s="115">
        <f t="shared" si="23"/>
        <v>1</v>
      </c>
      <c r="FP50" s="115">
        <f t="shared" si="24"/>
        <v>0.58487940630797786</v>
      </c>
      <c r="FQ50" s="116">
        <f t="shared" si="25"/>
        <v>7.1866666666666662E-2</v>
      </c>
    </row>
    <row r="51" spans="1:173" ht="12.75" customHeight="1" x14ac:dyDescent="0.25">
      <c r="A51" s="61">
        <v>42</v>
      </c>
      <c r="B51" t="s">
        <v>267</v>
      </c>
      <c r="C51">
        <v>5245</v>
      </c>
      <c r="D51">
        <v>4949</v>
      </c>
      <c r="E51">
        <v>4430</v>
      </c>
      <c r="F51">
        <v>2797</v>
      </c>
      <c r="H51">
        <v>94.4</v>
      </c>
      <c r="I51">
        <v>76.319999999999993</v>
      </c>
      <c r="J51">
        <v>1.33</v>
      </c>
      <c r="K51">
        <v>0.2</v>
      </c>
      <c r="M51">
        <v>2.63</v>
      </c>
      <c r="N51">
        <v>5</v>
      </c>
      <c r="T51">
        <v>0</v>
      </c>
      <c r="V51">
        <v>0</v>
      </c>
      <c r="AB51">
        <v>10.250000000000014</v>
      </c>
      <c r="AC51">
        <v>76</v>
      </c>
      <c r="AD51" s="9">
        <v>47.314100000000003</v>
      </c>
      <c r="AF51">
        <v>2.0099999999999998</v>
      </c>
      <c r="AG51">
        <v>1.46</v>
      </c>
      <c r="AH51">
        <v>4.74</v>
      </c>
      <c r="AI51">
        <v>8.43</v>
      </c>
      <c r="AJ51">
        <v>6.85</v>
      </c>
      <c r="AK51">
        <v>1.65</v>
      </c>
      <c r="AL51">
        <v>2.7</v>
      </c>
      <c r="AM51">
        <v>4.82</v>
      </c>
      <c r="AN51">
        <v>1.59</v>
      </c>
      <c r="AO51">
        <v>4.54</v>
      </c>
      <c r="AR51">
        <v>1.79</v>
      </c>
      <c r="AW51">
        <v>2.34</v>
      </c>
      <c r="AY51">
        <v>86</v>
      </c>
      <c r="AZ51">
        <v>93</v>
      </c>
      <c r="BA51">
        <v>92</v>
      </c>
      <c r="BB51">
        <v>95</v>
      </c>
      <c r="BC51">
        <v>95</v>
      </c>
      <c r="BD51">
        <v>93</v>
      </c>
      <c r="BE51">
        <v>96</v>
      </c>
      <c r="BF51">
        <v>87</v>
      </c>
      <c r="BG51">
        <v>85</v>
      </c>
      <c r="BH51">
        <v>95</v>
      </c>
      <c r="BI51">
        <v>95</v>
      </c>
      <c r="BL51">
        <v>85</v>
      </c>
      <c r="BQ51">
        <v>86</v>
      </c>
      <c r="BS51">
        <v>0.63</v>
      </c>
      <c r="BX51">
        <v>0.38</v>
      </c>
      <c r="CB51">
        <v>82</v>
      </c>
      <c r="CC51">
        <v>92</v>
      </c>
      <c r="CF51" s="2">
        <v>7.7900000000000116</v>
      </c>
      <c r="CH51" s="47">
        <v>64.108799999999988</v>
      </c>
      <c r="CI51" s="47">
        <v>1.7687999999999999</v>
      </c>
      <c r="CJ51" s="47">
        <v>1.2556</v>
      </c>
      <c r="CK51" s="47">
        <v>4.2186000000000003</v>
      </c>
      <c r="CL51" s="47">
        <v>7.5869999999999997</v>
      </c>
      <c r="CM51" s="47">
        <v>6.3019999999999996</v>
      </c>
      <c r="CN51" s="47">
        <v>1.5015000000000001</v>
      </c>
      <c r="CO51" s="47">
        <v>3.0051000000000001</v>
      </c>
      <c r="CP51" s="47">
        <v>2.214</v>
      </c>
      <c r="CQ51" s="47">
        <v>4.1093999999999999</v>
      </c>
      <c r="CR51" s="47">
        <v>4.0006000000000004</v>
      </c>
      <c r="CS51" s="47">
        <v>1.3992000000000002</v>
      </c>
      <c r="CT51" s="47">
        <v>4.0860000000000003</v>
      </c>
      <c r="CU51" s="47"/>
      <c r="CV51" s="47">
        <v>65.635199999999998</v>
      </c>
      <c r="CW51" s="47">
        <f t="shared" si="40"/>
        <v>1.8692999999999997</v>
      </c>
      <c r="CX51" s="47">
        <f t="shared" si="41"/>
        <v>1.3431999999999999</v>
      </c>
      <c r="CY51" s="47">
        <f t="shared" si="42"/>
        <v>4.5030000000000001</v>
      </c>
      <c r="CZ51" s="47">
        <f t="shared" si="43"/>
        <v>8.0084999999999997</v>
      </c>
      <c r="DA51" s="47">
        <f t="shared" si="44"/>
        <v>6.3704999999999998</v>
      </c>
      <c r="DB51" s="47">
        <f t="shared" si="45"/>
        <v>1.5839999999999999</v>
      </c>
      <c r="DC51" s="47">
        <f t="shared" si="32"/>
        <v>3.1054999999999997</v>
      </c>
      <c r="DD51" s="47">
        <f t="shared" si="12"/>
        <v>2.3490000000000002</v>
      </c>
      <c r="DE51" s="47">
        <f t="shared" si="5"/>
        <v>4.3613999999999997</v>
      </c>
      <c r="DF51" s="47">
        <f t="shared" si="13"/>
        <v>4.0970000000000004</v>
      </c>
      <c r="DG51" s="47">
        <f t="shared" si="14"/>
        <v>1.5105000000000002</v>
      </c>
      <c r="DH51" s="47">
        <f t="shared" si="15"/>
        <v>4.3129999999999997</v>
      </c>
      <c r="DI51" s="47"/>
      <c r="DJ51" s="47"/>
      <c r="DK51" s="47"/>
      <c r="DL51" s="47"/>
      <c r="DM51" s="47"/>
      <c r="DN51" s="47"/>
      <c r="DO51" s="47"/>
      <c r="DP51" s="47"/>
      <c r="DQ51">
        <f t="shared" si="18"/>
        <v>0.31159999999999999</v>
      </c>
      <c r="DR51">
        <f t="shared" si="19"/>
        <v>0.34960000000000002</v>
      </c>
      <c r="DS51">
        <f t="shared" si="33"/>
        <v>0</v>
      </c>
      <c r="DT51">
        <f t="shared" si="34"/>
        <v>0</v>
      </c>
      <c r="DV51" s="110"/>
      <c r="DW51" s="111">
        <f t="shared" si="35"/>
        <v>0</v>
      </c>
      <c r="DX51" s="112"/>
      <c r="DY51" s="94"/>
      <c r="DZ51" s="94"/>
      <c r="EA51" s="81"/>
      <c r="EB51" s="113">
        <f t="shared" si="36"/>
        <v>0</v>
      </c>
      <c r="EC51" s="6"/>
      <c r="ED51" s="92"/>
      <c r="EE51" s="92"/>
      <c r="EF51" s="92"/>
      <c r="EG51" s="204"/>
      <c r="EH51" s="118"/>
      <c r="EI51" s="82"/>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80">
        <f t="shared" si="21"/>
        <v>0.53855278766310788</v>
      </c>
      <c r="FN51" s="80">
        <f t="shared" si="22"/>
        <v>0.56227758007117445</v>
      </c>
      <c r="FO51" s="115">
        <f t="shared" si="23"/>
        <v>0.95780590717299574</v>
      </c>
      <c r="FP51" s="115">
        <f t="shared" si="24"/>
        <v>0.18861209964412814</v>
      </c>
      <c r="FQ51" s="116">
        <f t="shared" si="25"/>
        <v>0.10493317610062894</v>
      </c>
    </row>
    <row r="52" spans="1:173" ht="12.75" customHeight="1" x14ac:dyDescent="0.25">
      <c r="A52" s="61">
        <v>43</v>
      </c>
      <c r="B52" t="s">
        <v>268</v>
      </c>
      <c r="C52">
        <v>4472</v>
      </c>
      <c r="D52">
        <v>3020</v>
      </c>
      <c r="E52">
        <v>2939</v>
      </c>
      <c r="F52">
        <v>2218</v>
      </c>
      <c r="H52">
        <v>88.5</v>
      </c>
      <c r="I52">
        <v>11.9</v>
      </c>
      <c r="K52">
        <v>4.25</v>
      </c>
      <c r="M52">
        <v>3.2</v>
      </c>
      <c r="T52">
        <v>54.95</v>
      </c>
      <c r="U52">
        <v>15.8</v>
      </c>
      <c r="V52">
        <v>13.8</v>
      </c>
      <c r="X52">
        <v>4.78</v>
      </c>
      <c r="AB52">
        <v>14.199999999999989</v>
      </c>
      <c r="AC52">
        <v>24</v>
      </c>
      <c r="AD52" s="9">
        <v>40.104999999999997</v>
      </c>
      <c r="AF52">
        <v>0.56999999999999995</v>
      </c>
      <c r="AG52">
        <v>0.28999999999999998</v>
      </c>
      <c r="AH52">
        <v>0.49</v>
      </c>
      <c r="AI52">
        <v>1.22</v>
      </c>
      <c r="AJ52">
        <v>0.37</v>
      </c>
      <c r="AK52">
        <v>0.28000000000000003</v>
      </c>
      <c r="AL52">
        <v>0.55000000000000004</v>
      </c>
      <c r="AM52">
        <v>0.45</v>
      </c>
      <c r="AN52">
        <v>0.17</v>
      </c>
      <c r="AO52">
        <v>0.66</v>
      </c>
      <c r="AR52">
        <v>0.32</v>
      </c>
      <c r="AW52">
        <v>0.57999999999999996</v>
      </c>
      <c r="AY52">
        <v>88</v>
      </c>
      <c r="AZ52">
        <v>89</v>
      </c>
      <c r="BA52">
        <v>90</v>
      </c>
      <c r="BB52">
        <v>89</v>
      </c>
      <c r="BC52">
        <v>91</v>
      </c>
      <c r="BD52">
        <v>83</v>
      </c>
      <c r="BE52">
        <v>75</v>
      </c>
      <c r="BF52">
        <v>91</v>
      </c>
      <c r="BG52">
        <v>86</v>
      </c>
      <c r="BH52">
        <v>97</v>
      </c>
      <c r="BI52">
        <v>87</v>
      </c>
      <c r="BL52">
        <v>88</v>
      </c>
      <c r="BQ52">
        <v>86</v>
      </c>
      <c r="BS52">
        <v>0.03</v>
      </c>
      <c r="BT52">
        <v>0.03</v>
      </c>
      <c r="BU52">
        <v>0.43</v>
      </c>
      <c r="BV52">
        <v>0.16</v>
      </c>
      <c r="BW52">
        <v>0.04</v>
      </c>
      <c r="BX52">
        <v>0.31</v>
      </c>
      <c r="BY52">
        <v>0.14000000000000001</v>
      </c>
      <c r="CB52">
        <v>50</v>
      </c>
      <c r="CC52">
        <v>55</v>
      </c>
      <c r="CF52" s="2">
        <v>3.4079999999999973</v>
      </c>
      <c r="CH52" s="47">
        <v>9.4009999999999998</v>
      </c>
      <c r="CI52" s="47">
        <v>0.46739999999999993</v>
      </c>
      <c r="CJ52" s="47">
        <v>0.2465</v>
      </c>
      <c r="CK52" s="47">
        <v>0.40670000000000001</v>
      </c>
      <c r="CL52" s="47">
        <v>1.0613999999999999</v>
      </c>
      <c r="CM52" s="47">
        <v>0.27379999999999999</v>
      </c>
      <c r="CN52" s="47">
        <v>0.20160000000000003</v>
      </c>
      <c r="CO52" s="47">
        <v>0.46400000000000008</v>
      </c>
      <c r="CP52" s="47">
        <v>0.46750000000000008</v>
      </c>
      <c r="CQ52" s="47">
        <v>0.93730000000000002</v>
      </c>
      <c r="CR52" s="47">
        <v>0.33750000000000002</v>
      </c>
      <c r="CS52" s="47">
        <v>0.14280000000000001</v>
      </c>
      <c r="CT52" s="47">
        <v>0.53459999999999996</v>
      </c>
      <c r="CU52" s="47"/>
      <c r="CV52" s="47">
        <v>10.472000000000001</v>
      </c>
      <c r="CW52" s="47">
        <f t="shared" si="40"/>
        <v>0.50729999999999997</v>
      </c>
      <c r="CX52" s="47">
        <f t="shared" si="41"/>
        <v>0.26099999999999995</v>
      </c>
      <c r="CY52" s="47">
        <f t="shared" si="42"/>
        <v>0.43609999999999999</v>
      </c>
      <c r="CZ52" s="47">
        <f t="shared" si="43"/>
        <v>1.1101999999999999</v>
      </c>
      <c r="DA52" s="47">
        <f t="shared" si="44"/>
        <v>0.30709999999999998</v>
      </c>
      <c r="DB52" s="47">
        <f t="shared" si="45"/>
        <v>0.21000000000000005</v>
      </c>
      <c r="DC52" s="47">
        <f t="shared" si="32"/>
        <v>0.49160000000000004</v>
      </c>
      <c r="DD52" s="47">
        <f t="shared" si="12"/>
        <v>0.50050000000000006</v>
      </c>
      <c r="DE52" s="47">
        <f t="shared" si="5"/>
        <v>0.99930000000000008</v>
      </c>
      <c r="DF52" s="47">
        <f t="shared" si="13"/>
        <v>0.38700000000000001</v>
      </c>
      <c r="DG52" s="47">
        <f t="shared" si="14"/>
        <v>0.16490000000000002</v>
      </c>
      <c r="DH52" s="47">
        <f t="shared" si="15"/>
        <v>0.57420000000000004</v>
      </c>
      <c r="DI52" s="47"/>
      <c r="DJ52" s="47"/>
      <c r="DK52" s="47"/>
      <c r="DL52" s="47"/>
      <c r="DM52" s="47"/>
      <c r="DN52" s="47"/>
      <c r="DO52" s="47"/>
      <c r="DP52" s="47"/>
      <c r="DQ52">
        <f t="shared" si="18"/>
        <v>0.155</v>
      </c>
      <c r="DR52">
        <f t="shared" si="19"/>
        <v>0.17050000000000001</v>
      </c>
      <c r="DS52">
        <f t="shared" si="33"/>
        <v>0</v>
      </c>
      <c r="DT52">
        <f t="shared" si="34"/>
        <v>0</v>
      </c>
      <c r="DV52" s="110"/>
      <c r="DW52" s="111">
        <f t="shared" si="35"/>
        <v>0</v>
      </c>
      <c r="DX52" s="112"/>
      <c r="DY52" s="90"/>
      <c r="DZ52" s="90"/>
      <c r="EA52" s="81"/>
      <c r="EB52" s="113">
        <f t="shared" si="36"/>
        <v>0</v>
      </c>
      <c r="EC52" s="6"/>
      <c r="ED52" s="92"/>
      <c r="EE52" s="92"/>
      <c r="EF52" s="92"/>
      <c r="EG52" s="204">
        <v>0.18</v>
      </c>
      <c r="EH52" s="118"/>
      <c r="EI52" s="82"/>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80">
        <f t="shared" si="21"/>
        <v>0.5172041073680419</v>
      </c>
      <c r="FN52" s="80">
        <f t="shared" si="22"/>
        <v>0.39281210592686006</v>
      </c>
      <c r="FO52" s="115">
        <f t="shared" si="23"/>
        <v>1.3166704884200873</v>
      </c>
      <c r="FP52" s="115">
        <f t="shared" si="24"/>
        <v>0.14853179607277972</v>
      </c>
      <c r="FQ52" s="116">
        <f t="shared" si="25"/>
        <v>9.3294117647058805E-2</v>
      </c>
    </row>
    <row r="53" spans="1:173" ht="12.75" customHeight="1" x14ac:dyDescent="0.25">
      <c r="A53" s="61">
        <v>44</v>
      </c>
      <c r="B53" t="s">
        <v>269</v>
      </c>
      <c r="C53">
        <v>3045</v>
      </c>
      <c r="D53">
        <v>2366</v>
      </c>
      <c r="E53">
        <v>2298</v>
      </c>
      <c r="F53">
        <v>1795</v>
      </c>
      <c r="H53">
        <v>72.2</v>
      </c>
      <c r="I53">
        <v>10</v>
      </c>
      <c r="K53">
        <v>0.16</v>
      </c>
      <c r="M53">
        <v>6.3</v>
      </c>
      <c r="O53">
        <v>47.5</v>
      </c>
      <c r="T53">
        <v>0</v>
      </c>
      <c r="V53">
        <v>0.08</v>
      </c>
      <c r="AB53">
        <v>8.2400000000000091</v>
      </c>
      <c r="AC53">
        <v>53</v>
      </c>
      <c r="AD53" s="9">
        <v>29.079600000000006</v>
      </c>
      <c r="AF53">
        <v>0.06</v>
      </c>
      <c r="AG53">
        <v>0.04</v>
      </c>
      <c r="AH53">
        <v>0.24</v>
      </c>
      <c r="AI53">
        <v>0.24</v>
      </c>
      <c r="AJ53">
        <v>0.1</v>
      </c>
      <c r="AK53">
        <v>0.03</v>
      </c>
      <c r="AL53">
        <v>0.06</v>
      </c>
      <c r="AM53">
        <v>0.08</v>
      </c>
      <c r="AN53">
        <v>0.05</v>
      </c>
      <c r="AO53">
        <v>0.15</v>
      </c>
      <c r="AR53">
        <v>0.05</v>
      </c>
      <c r="AW53">
        <v>0.24</v>
      </c>
      <c r="AY53" s="13">
        <v>88.25</v>
      </c>
      <c r="AZ53">
        <v>92</v>
      </c>
      <c r="BA53">
        <v>90</v>
      </c>
      <c r="BB53">
        <v>88</v>
      </c>
      <c r="BC53">
        <v>89</v>
      </c>
      <c r="BD53">
        <v>86</v>
      </c>
      <c r="BE53">
        <v>90</v>
      </c>
      <c r="BF53">
        <v>90</v>
      </c>
      <c r="BG53">
        <v>86</v>
      </c>
      <c r="BH53">
        <v>86</v>
      </c>
      <c r="BI53">
        <v>87</v>
      </c>
      <c r="BL53">
        <v>84</v>
      </c>
      <c r="BQ53">
        <v>91</v>
      </c>
      <c r="BS53">
        <v>0.25</v>
      </c>
      <c r="BX53">
        <v>0.16</v>
      </c>
      <c r="CB53">
        <v>50</v>
      </c>
      <c r="CC53">
        <v>63</v>
      </c>
      <c r="CF53" s="2">
        <v>4.3672000000000049</v>
      </c>
      <c r="CH53" s="47">
        <v>8.6</v>
      </c>
      <c r="CI53" s="47">
        <v>0</v>
      </c>
      <c r="CJ53" s="47">
        <v>0</v>
      </c>
      <c r="CK53" s="47">
        <v>0.18960000000000002</v>
      </c>
      <c r="CL53" s="47">
        <v>0.17759999999999998</v>
      </c>
      <c r="CM53" s="47">
        <v>3.7000000000000005E-2</v>
      </c>
      <c r="CN53" s="47">
        <v>2.0400000000000001E-2</v>
      </c>
      <c r="CO53" s="47">
        <v>4.2400000000000007E-2</v>
      </c>
      <c r="CP53" s="47">
        <v>2.76E-2</v>
      </c>
      <c r="CQ53" s="47">
        <v>0.22199999999999998</v>
      </c>
      <c r="CR53" s="47">
        <v>2.5600000000000001E-2</v>
      </c>
      <c r="CS53" s="47">
        <v>2.2000000000000002E-2</v>
      </c>
      <c r="CT53" s="47">
        <v>8.8499999999999995E-2</v>
      </c>
      <c r="CU53" s="47"/>
      <c r="CV53" s="47">
        <v>8.8249999999999993</v>
      </c>
      <c r="CW53" s="47">
        <f t="shared" si="40"/>
        <v>5.5199999999999999E-2</v>
      </c>
      <c r="CX53" s="47">
        <f t="shared" si="41"/>
        <v>3.6000000000000004E-2</v>
      </c>
      <c r="CY53" s="47">
        <f t="shared" si="42"/>
        <v>0.21119999999999997</v>
      </c>
      <c r="CZ53" s="47">
        <f t="shared" si="43"/>
        <v>0.21359999999999998</v>
      </c>
      <c r="DA53" s="47">
        <f t="shared" si="44"/>
        <v>8.5999999999999993E-2</v>
      </c>
      <c r="DB53" s="47">
        <f t="shared" si="45"/>
        <v>2.6999999999999996E-2</v>
      </c>
      <c r="DC53" s="47">
        <f t="shared" si="32"/>
        <v>6.9000000000000006E-2</v>
      </c>
      <c r="DD53" s="47">
        <f t="shared" si="12"/>
        <v>5.3999999999999992E-2</v>
      </c>
      <c r="DE53" s="47">
        <f t="shared" si="5"/>
        <v>0.27239999999999998</v>
      </c>
      <c r="DF53" s="47">
        <f t="shared" si="13"/>
        <v>6.88E-2</v>
      </c>
      <c r="DG53" s="47">
        <f t="shared" si="14"/>
        <v>4.2999999999999997E-2</v>
      </c>
      <c r="DH53" s="47">
        <f t="shared" si="15"/>
        <v>0.13049999999999998</v>
      </c>
      <c r="DI53" s="47"/>
      <c r="DJ53" s="47"/>
      <c r="DK53" s="47"/>
      <c r="DL53" s="47"/>
      <c r="DM53" s="47"/>
      <c r="DN53" s="47"/>
      <c r="DO53" s="47"/>
      <c r="DP53" s="47"/>
      <c r="DQ53">
        <f t="shared" si="18"/>
        <v>0.08</v>
      </c>
      <c r="DR53">
        <f t="shared" si="19"/>
        <v>0.1008</v>
      </c>
      <c r="DS53">
        <f t="shared" si="33"/>
        <v>0</v>
      </c>
      <c r="DT53">
        <f t="shared" si="34"/>
        <v>0</v>
      </c>
      <c r="DV53" s="110"/>
      <c r="DW53" s="111">
        <f t="shared" si="35"/>
        <v>0</v>
      </c>
      <c r="DX53" s="112"/>
      <c r="DY53" s="90"/>
      <c r="DZ53" s="90"/>
      <c r="EA53" s="81"/>
      <c r="EB53" s="113">
        <f t="shared" si="36"/>
        <v>0</v>
      </c>
      <c r="EC53" s="6"/>
      <c r="ED53" s="92"/>
      <c r="EE53" s="92"/>
      <c r="EF53" s="92"/>
      <c r="EG53" s="204">
        <v>0.01</v>
      </c>
      <c r="EH53" s="118"/>
      <c r="EI53" s="82"/>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80">
        <f t="shared" si="21"/>
        <v>0.61095505617977519</v>
      </c>
      <c r="FN53" s="80">
        <f t="shared" si="22"/>
        <v>0.9887640449438202</v>
      </c>
      <c r="FO53" s="115">
        <f t="shared" si="23"/>
        <v>0.61789772727272729</v>
      </c>
      <c r="FP53" s="115">
        <f t="shared" si="24"/>
        <v>0.20131086142322097</v>
      </c>
      <c r="FQ53" s="116">
        <f t="shared" si="25"/>
        <v>2.1359999999999997E-2</v>
      </c>
    </row>
    <row r="54" spans="1:173" ht="12.75" customHeight="1" x14ac:dyDescent="0.25">
      <c r="A54" s="61">
        <v>45</v>
      </c>
      <c r="B54" t="s">
        <v>270</v>
      </c>
      <c r="C54">
        <v>4223</v>
      </c>
      <c r="D54">
        <v>2366</v>
      </c>
      <c r="E54">
        <v>2333</v>
      </c>
      <c r="F54">
        <v>1842</v>
      </c>
      <c r="H54">
        <v>74.099999999999994</v>
      </c>
      <c r="I54">
        <v>4.8</v>
      </c>
      <c r="K54">
        <v>0.15</v>
      </c>
      <c r="M54">
        <v>10.8</v>
      </c>
      <c r="O54">
        <v>45</v>
      </c>
      <c r="T54">
        <v>0</v>
      </c>
      <c r="V54">
        <v>0.15</v>
      </c>
      <c r="AB54">
        <v>13.349999999999994</v>
      </c>
      <c r="AC54">
        <v>53</v>
      </c>
      <c r="AD54" s="9">
        <v>27.565499999999997</v>
      </c>
      <c r="AF54">
        <v>0.02</v>
      </c>
      <c r="AG54">
        <v>0.01</v>
      </c>
      <c r="AH54">
        <v>0.04</v>
      </c>
      <c r="AI54">
        <v>0.06</v>
      </c>
      <c r="AJ54">
        <v>0.02</v>
      </c>
      <c r="AK54">
        <v>0.02</v>
      </c>
      <c r="AL54">
        <v>0.03</v>
      </c>
      <c r="AM54">
        <v>0.05</v>
      </c>
      <c r="AN54">
        <v>0.01</v>
      </c>
      <c r="AO54">
        <v>0.11</v>
      </c>
      <c r="AR54">
        <v>0.04</v>
      </c>
      <c r="AW54">
        <v>0.03</v>
      </c>
      <c r="AY54" s="13">
        <v>88.25</v>
      </c>
      <c r="AZ54">
        <v>92</v>
      </c>
      <c r="BA54">
        <v>90</v>
      </c>
      <c r="BB54">
        <v>88</v>
      </c>
      <c r="BC54">
        <v>89</v>
      </c>
      <c r="BD54">
        <v>86</v>
      </c>
      <c r="BE54">
        <v>90</v>
      </c>
      <c r="BF54">
        <v>90</v>
      </c>
      <c r="BG54">
        <v>86</v>
      </c>
      <c r="BH54">
        <v>86</v>
      </c>
      <c r="BI54">
        <v>87</v>
      </c>
      <c r="BL54">
        <v>84</v>
      </c>
      <c r="BQ54">
        <v>91</v>
      </c>
      <c r="BS54">
        <v>0.82</v>
      </c>
      <c r="BX54">
        <v>0.08</v>
      </c>
      <c r="CA54">
        <v>0.01</v>
      </c>
      <c r="CB54">
        <v>50</v>
      </c>
      <c r="CC54">
        <v>63</v>
      </c>
      <c r="CF54" s="2">
        <v>7.0754999999999972</v>
      </c>
      <c r="CH54" s="47">
        <v>3.6959999999999997</v>
      </c>
      <c r="CI54" s="47">
        <v>0</v>
      </c>
      <c r="CJ54" s="47">
        <v>0</v>
      </c>
      <c r="CK54" s="47">
        <v>1.1599999999999999E-2</v>
      </c>
      <c r="CL54" s="47">
        <v>1.4999999999999999E-2</v>
      </c>
      <c r="CM54" s="47">
        <v>0</v>
      </c>
      <c r="CN54" s="47">
        <v>1.04E-2</v>
      </c>
      <c r="CO54" s="47">
        <v>2.64E-2</v>
      </c>
      <c r="CP54" s="47">
        <v>0</v>
      </c>
      <c r="CQ54" s="47">
        <v>0</v>
      </c>
      <c r="CR54" s="47">
        <v>0</v>
      </c>
      <c r="CS54" s="47">
        <v>0</v>
      </c>
      <c r="CT54" s="47">
        <v>5.6100000000000004E-2</v>
      </c>
      <c r="CU54" s="47"/>
      <c r="CV54" s="47">
        <v>4.2359999999999998</v>
      </c>
      <c r="CW54" s="47">
        <f t="shared" si="40"/>
        <v>1.84E-2</v>
      </c>
      <c r="CX54" s="47">
        <f t="shared" si="41"/>
        <v>9.0000000000000011E-3</v>
      </c>
      <c r="CY54" s="47">
        <f t="shared" si="42"/>
        <v>3.5200000000000002E-2</v>
      </c>
      <c r="CZ54" s="47">
        <f t="shared" si="43"/>
        <v>5.3399999999999996E-2</v>
      </c>
      <c r="DA54" s="47">
        <f t="shared" si="44"/>
        <v>1.72E-2</v>
      </c>
      <c r="DB54" s="47">
        <f t="shared" si="45"/>
        <v>1.8000000000000002E-2</v>
      </c>
      <c r="DC54" s="47">
        <f t="shared" si="32"/>
        <v>5.16E-2</v>
      </c>
      <c r="DD54" s="47">
        <f t="shared" si="12"/>
        <v>2.6999999999999996E-2</v>
      </c>
      <c r="DE54" s="47">
        <f t="shared" si="5"/>
        <v>5.4300000000000001E-2</v>
      </c>
      <c r="DF54" s="47">
        <f t="shared" si="13"/>
        <v>4.2999999999999997E-2</v>
      </c>
      <c r="DG54" s="47">
        <f t="shared" si="14"/>
        <v>8.6E-3</v>
      </c>
      <c r="DH54" s="47">
        <f t="shared" si="15"/>
        <v>9.5700000000000007E-2</v>
      </c>
      <c r="DI54" s="47"/>
      <c r="DJ54" s="47"/>
      <c r="DK54" s="47"/>
      <c r="DL54" s="47"/>
      <c r="DM54" s="47"/>
      <c r="DN54" s="47"/>
      <c r="DO54" s="47"/>
      <c r="DP54" s="47"/>
      <c r="DQ54">
        <f t="shared" si="18"/>
        <v>0.04</v>
      </c>
      <c r="DR54">
        <f t="shared" si="19"/>
        <v>5.04E-2</v>
      </c>
      <c r="DS54">
        <f t="shared" si="33"/>
        <v>0</v>
      </c>
      <c r="DT54">
        <f t="shared" si="34"/>
        <v>0</v>
      </c>
      <c r="DV54" s="274"/>
      <c r="DW54" s="111">
        <f t="shared" si="35"/>
        <v>0</v>
      </c>
      <c r="DX54" s="112"/>
      <c r="DY54" s="94"/>
      <c r="DZ54" s="94"/>
      <c r="EA54" s="81"/>
      <c r="EB54" s="113">
        <f t="shared" si="36"/>
        <v>0</v>
      </c>
      <c r="EC54" s="6"/>
      <c r="ED54" s="6"/>
      <c r="EE54" s="92"/>
      <c r="EF54" s="92"/>
      <c r="EG54" s="204">
        <v>0.01</v>
      </c>
      <c r="EH54" s="118"/>
      <c r="EI54" s="82"/>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80">
        <f t="shared" si="21"/>
        <v>1.7921348314606744</v>
      </c>
      <c r="FN54" s="80">
        <f t="shared" si="22"/>
        <v>0.65917602996254687</v>
      </c>
      <c r="FO54" s="115">
        <f t="shared" si="23"/>
        <v>2.71875</v>
      </c>
      <c r="FP54" s="115">
        <f t="shared" si="24"/>
        <v>0.16104868913857678</v>
      </c>
      <c r="FQ54" s="116">
        <f t="shared" si="25"/>
        <v>1.1124999999999999E-2</v>
      </c>
    </row>
    <row r="55" spans="1:173" ht="12.75" customHeight="1" x14ac:dyDescent="0.25">
      <c r="A55" s="61">
        <v>46</v>
      </c>
      <c r="B55" t="s">
        <v>271</v>
      </c>
      <c r="C55">
        <v>4272</v>
      </c>
      <c r="D55">
        <v>2627</v>
      </c>
      <c r="E55">
        <v>2551</v>
      </c>
      <c r="F55">
        <v>1893</v>
      </c>
      <c r="H55">
        <v>89.88</v>
      </c>
      <c r="I55">
        <v>11.16</v>
      </c>
      <c r="K55">
        <v>5.42</v>
      </c>
      <c r="L55">
        <v>4.2</v>
      </c>
      <c r="M55">
        <v>2.64</v>
      </c>
      <c r="T55">
        <v>39.06</v>
      </c>
      <c r="U55">
        <v>25.3</v>
      </c>
      <c r="V55">
        <v>13.73</v>
      </c>
      <c r="X55">
        <v>33.93</v>
      </c>
      <c r="AB55">
        <v>31.599999999999994</v>
      </c>
      <c r="AC55">
        <v>29</v>
      </c>
      <c r="AD55" s="9">
        <v>41.440400000000004</v>
      </c>
      <c r="AF55">
        <v>0.73</v>
      </c>
      <c r="AG55">
        <v>0.24</v>
      </c>
      <c r="AH55">
        <v>0.41</v>
      </c>
      <c r="AI55">
        <v>0.79</v>
      </c>
      <c r="AJ55">
        <v>0.49</v>
      </c>
      <c r="AK55" s="65">
        <f>0.68-AR55</f>
        <v>0.32000000000000006</v>
      </c>
      <c r="AL55">
        <v>0.52</v>
      </c>
      <c r="AM55">
        <v>0.42</v>
      </c>
      <c r="AN55">
        <v>0.14000000000000001</v>
      </c>
      <c r="AO55">
        <v>0.63</v>
      </c>
      <c r="AR55">
        <v>0.36</v>
      </c>
      <c r="AW55">
        <v>0.41</v>
      </c>
      <c r="AY55" s="13">
        <v>80.416666666666671</v>
      </c>
      <c r="AZ55">
        <v>90</v>
      </c>
      <c r="BA55">
        <v>85</v>
      </c>
      <c r="BB55">
        <v>81</v>
      </c>
      <c r="BC55">
        <v>83</v>
      </c>
      <c r="BD55">
        <v>76</v>
      </c>
      <c r="BE55">
        <v>83</v>
      </c>
      <c r="BF55">
        <v>84</v>
      </c>
      <c r="BG55">
        <v>71</v>
      </c>
      <c r="BH55">
        <v>75</v>
      </c>
      <c r="BI55">
        <v>80</v>
      </c>
      <c r="BL55">
        <v>75</v>
      </c>
      <c r="BQ55">
        <v>82</v>
      </c>
      <c r="BS55">
        <v>0.03</v>
      </c>
      <c r="BT55">
        <v>0.1</v>
      </c>
      <c r="BU55">
        <v>0.42</v>
      </c>
      <c r="BV55">
        <v>0.16</v>
      </c>
      <c r="BW55">
        <v>0.08</v>
      </c>
      <c r="BX55">
        <v>0.35</v>
      </c>
      <c r="BY55">
        <v>0.21</v>
      </c>
      <c r="CA55">
        <v>0.19</v>
      </c>
      <c r="CB55">
        <v>33</v>
      </c>
      <c r="CC55">
        <v>39</v>
      </c>
      <c r="CF55" s="2">
        <v>9.1639999999999979</v>
      </c>
      <c r="CH55" s="47">
        <v>6.9192</v>
      </c>
      <c r="CI55" s="47">
        <v>0.62049999999999994</v>
      </c>
      <c r="CJ55" s="47">
        <v>0.19439999999999999</v>
      </c>
      <c r="CK55" s="47">
        <v>0.29930000000000001</v>
      </c>
      <c r="CL55" s="47">
        <v>0.59250000000000003</v>
      </c>
      <c r="CM55" s="47">
        <v>0.34299999999999997</v>
      </c>
      <c r="CN55" s="47">
        <v>0.53720000000000001</v>
      </c>
      <c r="CO55" s="47">
        <v>0.78560000000000008</v>
      </c>
      <c r="CP55" s="47">
        <v>0.42120000000000002</v>
      </c>
      <c r="CQ55" s="47">
        <v>0.73280000000000001</v>
      </c>
      <c r="CR55" s="47">
        <v>0.24779999999999996</v>
      </c>
      <c r="CS55" s="47">
        <v>8.2600000000000021E-2</v>
      </c>
      <c r="CT55" s="47">
        <v>0.4536</v>
      </c>
      <c r="CU55" s="47"/>
      <c r="CV55" s="47">
        <v>8.9745000000000008</v>
      </c>
      <c r="CW55" s="47">
        <f t="shared" si="40"/>
        <v>0.65700000000000003</v>
      </c>
      <c r="CX55" s="47">
        <f t="shared" si="41"/>
        <v>0.20399999999999999</v>
      </c>
      <c r="CY55" s="47">
        <f t="shared" si="42"/>
        <v>0.33210000000000001</v>
      </c>
      <c r="CZ55" s="47">
        <f t="shared" si="43"/>
        <v>0.65570000000000006</v>
      </c>
      <c r="DA55" s="47">
        <f t="shared" si="44"/>
        <v>0.37240000000000001</v>
      </c>
      <c r="DB55" s="47">
        <f t="shared" si="45"/>
        <v>0.26560000000000006</v>
      </c>
      <c r="DC55" s="47">
        <f t="shared" si="32"/>
        <v>0.53560000000000008</v>
      </c>
      <c r="DD55" s="47">
        <f t="shared" si="12"/>
        <v>0.43680000000000002</v>
      </c>
      <c r="DE55" s="47">
        <f t="shared" si="5"/>
        <v>0.77300000000000002</v>
      </c>
      <c r="DF55" s="47">
        <f t="shared" si="13"/>
        <v>0.29820000000000002</v>
      </c>
      <c r="DG55" s="47">
        <f t="shared" si="14"/>
        <v>0.10500000000000002</v>
      </c>
      <c r="DH55" s="47">
        <f t="shared" si="15"/>
        <v>0.504</v>
      </c>
      <c r="DI55" s="47"/>
      <c r="DJ55" s="47"/>
      <c r="DK55" s="47"/>
      <c r="DL55" s="47"/>
      <c r="DM55" s="47"/>
      <c r="DN55" s="47"/>
      <c r="DO55" s="47"/>
      <c r="DP55" s="47"/>
      <c r="DQ55">
        <f t="shared" si="18"/>
        <v>0.11549999999999999</v>
      </c>
      <c r="DR55">
        <f t="shared" si="19"/>
        <v>0.13649999999999998</v>
      </c>
      <c r="DS55">
        <f t="shared" si="33"/>
        <v>0</v>
      </c>
      <c r="DT55">
        <f t="shared" si="34"/>
        <v>0</v>
      </c>
      <c r="DV55" s="110"/>
      <c r="DW55" s="111">
        <f t="shared" si="35"/>
        <v>0</v>
      </c>
      <c r="DX55" s="112"/>
      <c r="DY55" s="90"/>
      <c r="DZ55" s="90"/>
      <c r="EA55" s="81"/>
      <c r="EB55" s="113">
        <f t="shared" si="36"/>
        <v>0</v>
      </c>
      <c r="EC55" s="118"/>
      <c r="ED55" s="6"/>
      <c r="EE55" s="92"/>
      <c r="EF55" s="92"/>
      <c r="EG55" s="204">
        <v>0.19</v>
      </c>
      <c r="EH55" s="118"/>
      <c r="EI55" s="82"/>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80">
        <f t="shared" si="21"/>
        <v>0.7686441970413298</v>
      </c>
      <c r="FN55" s="80">
        <f t="shared" si="22"/>
        <v>0.50648162269330488</v>
      </c>
      <c r="FO55" s="115">
        <f t="shared" si="23"/>
        <v>1.5176151761517616</v>
      </c>
      <c r="FP55" s="115">
        <f t="shared" si="24"/>
        <v>0.16013420771694375</v>
      </c>
      <c r="FQ55" s="116">
        <f t="shared" si="25"/>
        <v>5.8754480286738353E-2</v>
      </c>
    </row>
    <row r="56" spans="1:173" ht="12.75" customHeight="1" x14ac:dyDescent="0.25">
      <c r="A56" s="61">
        <v>47</v>
      </c>
      <c r="B56" t="s">
        <v>272</v>
      </c>
      <c r="C56">
        <v>4422</v>
      </c>
      <c r="D56">
        <v>4126</v>
      </c>
      <c r="E56">
        <v>4026</v>
      </c>
      <c r="F56">
        <v>3164</v>
      </c>
      <c r="H56">
        <v>91.8</v>
      </c>
      <c r="I56">
        <v>14.7</v>
      </c>
      <c r="J56">
        <v>2.2000000000000002</v>
      </c>
      <c r="K56">
        <v>10.65</v>
      </c>
      <c r="L56">
        <v>7.2</v>
      </c>
      <c r="M56">
        <v>1.73</v>
      </c>
      <c r="T56">
        <v>56.35</v>
      </c>
      <c r="U56">
        <v>11.07</v>
      </c>
      <c r="V56">
        <v>3.7</v>
      </c>
      <c r="AB56">
        <v>8.3699999999999832</v>
      </c>
      <c r="AC56">
        <v>47</v>
      </c>
      <c r="AD56" s="9">
        <v>44.445499999999996</v>
      </c>
      <c r="AF56">
        <v>0.89</v>
      </c>
      <c r="AG56">
        <v>0.27</v>
      </c>
      <c r="AH56">
        <v>0.54</v>
      </c>
      <c r="AI56">
        <v>0.96</v>
      </c>
      <c r="AJ56">
        <v>0.56000000000000005</v>
      </c>
      <c r="AK56">
        <v>0.22</v>
      </c>
      <c r="AL56">
        <v>0.65</v>
      </c>
      <c r="AM56">
        <v>0.48</v>
      </c>
      <c r="AN56">
        <v>0.15</v>
      </c>
      <c r="AO56">
        <v>0.7</v>
      </c>
      <c r="AR56">
        <v>0.41</v>
      </c>
      <c r="AW56">
        <v>0.32</v>
      </c>
      <c r="AY56">
        <v>81</v>
      </c>
      <c r="AZ56">
        <v>95</v>
      </c>
      <c r="BA56">
        <v>93</v>
      </c>
      <c r="BB56">
        <v>89</v>
      </c>
      <c r="BC56">
        <v>91</v>
      </c>
      <c r="BD56">
        <v>90</v>
      </c>
      <c r="BE56">
        <v>89</v>
      </c>
      <c r="BF56">
        <v>92</v>
      </c>
      <c r="BG56">
        <v>85</v>
      </c>
      <c r="BI56">
        <v>90</v>
      </c>
      <c r="BL56">
        <v>81</v>
      </c>
      <c r="BQ56">
        <v>91</v>
      </c>
      <c r="BS56">
        <v>0.08</v>
      </c>
      <c r="BT56">
        <v>0.11</v>
      </c>
      <c r="BU56">
        <v>0.36</v>
      </c>
      <c r="BV56">
        <v>0.12</v>
      </c>
      <c r="BW56">
        <v>0.02</v>
      </c>
      <c r="BX56">
        <v>0.38</v>
      </c>
      <c r="BY56">
        <v>0.14000000000000001</v>
      </c>
      <c r="CB56">
        <v>33</v>
      </c>
      <c r="CC56">
        <v>39</v>
      </c>
      <c r="CF56" s="2">
        <v>3.933899999999992</v>
      </c>
      <c r="CH56" s="47">
        <v>10.731</v>
      </c>
      <c r="CI56" s="47">
        <v>0.79210000000000003</v>
      </c>
      <c r="CJ56" s="47">
        <v>0.2268</v>
      </c>
      <c r="CK56" s="47">
        <v>0.44819999999999999</v>
      </c>
      <c r="CL56" s="47">
        <v>0.81599999999999995</v>
      </c>
      <c r="CM56" s="47">
        <v>0.48160000000000003</v>
      </c>
      <c r="CN56" s="47">
        <v>0.18260000000000001</v>
      </c>
      <c r="CO56" s="47">
        <v>0.49419999999999997</v>
      </c>
      <c r="CP56" s="47">
        <v>0.5655</v>
      </c>
      <c r="CQ56" s="47">
        <v>0.82790000000000008</v>
      </c>
      <c r="CR56" s="47">
        <v>0.37439999999999996</v>
      </c>
      <c r="CS56" s="47">
        <v>0</v>
      </c>
      <c r="CT56" s="47">
        <v>0.59499999999999997</v>
      </c>
      <c r="CU56" s="47"/>
      <c r="CV56" s="47">
        <v>11.907</v>
      </c>
      <c r="CW56" s="47">
        <f t="shared" si="40"/>
        <v>0.84549999999999992</v>
      </c>
      <c r="CX56" s="47">
        <f t="shared" si="41"/>
        <v>0.25110000000000005</v>
      </c>
      <c r="CY56" s="47">
        <f t="shared" si="42"/>
        <v>0.48060000000000003</v>
      </c>
      <c r="CZ56" s="47">
        <f t="shared" si="43"/>
        <v>0.87360000000000004</v>
      </c>
      <c r="DA56" s="47">
        <f t="shared" si="44"/>
        <v>0.504</v>
      </c>
      <c r="DB56" s="47">
        <f t="shared" si="45"/>
        <v>0.19580000000000003</v>
      </c>
      <c r="DC56" s="47">
        <f t="shared" si="32"/>
        <v>0.52790000000000004</v>
      </c>
      <c r="DD56" s="47">
        <f t="shared" si="12"/>
        <v>0.59800000000000009</v>
      </c>
      <c r="DE56" s="47">
        <f t="shared" si="5"/>
        <v>0.8892000000000001</v>
      </c>
      <c r="DF56" s="47">
        <f t="shared" si="13"/>
        <v>0.40799999999999997</v>
      </c>
      <c r="DG56" s="47">
        <f t="shared" si="14"/>
        <v>0</v>
      </c>
      <c r="DH56" s="47">
        <f t="shared" si="15"/>
        <v>0.62999999999999989</v>
      </c>
      <c r="DI56" s="47"/>
      <c r="DJ56" s="47"/>
      <c r="DK56" s="47"/>
      <c r="DL56" s="47"/>
      <c r="DM56" s="47"/>
      <c r="DN56" s="47"/>
      <c r="DO56" s="47"/>
      <c r="DP56" s="47"/>
      <c r="DQ56">
        <f t="shared" si="18"/>
        <v>0.12540000000000001</v>
      </c>
      <c r="DR56">
        <f t="shared" si="19"/>
        <v>0.1482</v>
      </c>
      <c r="DS56">
        <f t="shared" si="33"/>
        <v>0</v>
      </c>
      <c r="DT56">
        <f t="shared" si="34"/>
        <v>0</v>
      </c>
      <c r="DV56" s="110"/>
      <c r="DW56" s="111">
        <f t="shared" si="35"/>
        <v>0</v>
      </c>
      <c r="DX56" s="112"/>
      <c r="DY56" s="90"/>
      <c r="DZ56" s="90"/>
      <c r="EA56" s="124"/>
      <c r="EB56" s="113">
        <f t="shared" si="36"/>
        <v>0</v>
      </c>
      <c r="EC56" s="92"/>
      <c r="ED56" s="6"/>
      <c r="EE56" s="92"/>
      <c r="EF56" s="92"/>
      <c r="EG56" s="204">
        <f>BX56*0.543</f>
        <v>0.20634000000000002</v>
      </c>
      <c r="EH56" s="6"/>
      <c r="EI56" s="82"/>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80">
        <f t="shared" si="21"/>
        <v>0.72115384615384603</v>
      </c>
      <c r="FN56" s="80">
        <f t="shared" si="22"/>
        <v>0.55013736263736268</v>
      </c>
      <c r="FO56" s="115">
        <f t="shared" si="23"/>
        <v>1.3108614232209734</v>
      </c>
      <c r="FP56" s="115">
        <f t="shared" si="24"/>
        <v>0</v>
      </c>
      <c r="FQ56" s="116">
        <f t="shared" si="25"/>
        <v>5.9428571428571435E-2</v>
      </c>
    </row>
    <row r="57" spans="1:173" x14ac:dyDescent="0.25">
      <c r="A57" s="61">
        <v>48</v>
      </c>
      <c r="B57" t="s">
        <v>273</v>
      </c>
      <c r="C57">
        <v>4576</v>
      </c>
      <c r="D57">
        <v>3690</v>
      </c>
      <c r="E57">
        <v>3595</v>
      </c>
      <c r="F57">
        <v>2720</v>
      </c>
      <c r="H57">
        <v>87.1</v>
      </c>
      <c r="I57">
        <v>13.9</v>
      </c>
      <c r="K57">
        <v>5.9</v>
      </c>
      <c r="M57">
        <v>2.4</v>
      </c>
      <c r="T57">
        <v>46.8</v>
      </c>
      <c r="U57">
        <v>9.6999999999999993</v>
      </c>
      <c r="V57">
        <v>6.5</v>
      </c>
      <c r="AB57">
        <v>18.09999999999998</v>
      </c>
      <c r="AC57">
        <v>47</v>
      </c>
      <c r="AD57" s="9">
        <v>40.587999999999987</v>
      </c>
      <c r="AF57">
        <v>0.85</v>
      </c>
      <c r="AG57">
        <v>0.24</v>
      </c>
      <c r="AH57">
        <v>0.55000000000000004</v>
      </c>
      <c r="AI57">
        <v>0.98</v>
      </c>
      <c r="AJ57">
        <v>0.48</v>
      </c>
      <c r="AK57">
        <v>0.2</v>
      </c>
      <c r="AL57">
        <v>0.66</v>
      </c>
      <c r="AM57">
        <v>0.44</v>
      </c>
      <c r="AN57">
        <v>0.18</v>
      </c>
      <c r="AO57">
        <v>0.72</v>
      </c>
      <c r="AR57">
        <v>0.22</v>
      </c>
      <c r="AW57">
        <v>0.51</v>
      </c>
      <c r="AY57" s="13">
        <v>83.25</v>
      </c>
      <c r="AZ57">
        <v>86</v>
      </c>
      <c r="BA57">
        <v>83</v>
      </c>
      <c r="BB57">
        <v>83</v>
      </c>
      <c r="BC57">
        <v>83</v>
      </c>
      <c r="BD57">
        <v>79</v>
      </c>
      <c r="BE57">
        <v>86</v>
      </c>
      <c r="BF57">
        <v>86</v>
      </c>
      <c r="BG57">
        <v>80</v>
      </c>
      <c r="BH57">
        <v>82</v>
      </c>
      <c r="BI57">
        <v>82</v>
      </c>
      <c r="BL57">
        <v>85</v>
      </c>
      <c r="BQ57">
        <v>84</v>
      </c>
      <c r="BS57">
        <v>0.08</v>
      </c>
      <c r="BT57">
        <v>0.09</v>
      </c>
      <c r="BU57">
        <v>0.38</v>
      </c>
      <c r="BV57">
        <v>0.11</v>
      </c>
      <c r="BW57">
        <v>0.05</v>
      </c>
      <c r="BX57">
        <v>0.41</v>
      </c>
      <c r="BY57">
        <v>0.2</v>
      </c>
      <c r="CB57">
        <v>33</v>
      </c>
      <c r="CC57">
        <v>39</v>
      </c>
      <c r="CF57" s="2">
        <v>8.5069999999999908</v>
      </c>
      <c r="CH57" s="47">
        <v>0</v>
      </c>
      <c r="CI57" s="47">
        <v>0.73099999999999998</v>
      </c>
      <c r="CJ57" s="47">
        <v>0.19919999999999999</v>
      </c>
      <c r="CK57" s="47">
        <v>0.45650000000000007</v>
      </c>
      <c r="CL57" s="47">
        <v>0.81340000000000001</v>
      </c>
      <c r="CM57" s="47">
        <v>0.37920000000000004</v>
      </c>
      <c r="CN57" s="47">
        <v>0.17</v>
      </c>
      <c r="CO57" s="47">
        <v>0.34600000000000003</v>
      </c>
      <c r="CP57" s="47">
        <v>0.5676000000000001</v>
      </c>
      <c r="CQ57" s="47">
        <v>0.98580000000000012</v>
      </c>
      <c r="CR57" s="47">
        <v>0.33439999999999998</v>
      </c>
      <c r="CS57" s="47">
        <v>0.14399999999999999</v>
      </c>
      <c r="CT57" s="47">
        <v>0.59040000000000004</v>
      </c>
      <c r="CU57" s="47"/>
      <c r="CV57" s="47">
        <v>11.57175</v>
      </c>
      <c r="CW57" s="47">
        <f t="shared" si="40"/>
        <v>0.73099999999999998</v>
      </c>
      <c r="CX57" s="47">
        <f t="shared" si="41"/>
        <v>0.19919999999999999</v>
      </c>
      <c r="CY57" s="47">
        <f t="shared" si="42"/>
        <v>0.45650000000000007</v>
      </c>
      <c r="CZ57" s="47">
        <f t="shared" si="43"/>
        <v>0.81340000000000001</v>
      </c>
      <c r="DA57" s="47">
        <f t="shared" si="44"/>
        <v>0.37920000000000004</v>
      </c>
      <c r="DB57" s="47">
        <f t="shared" si="45"/>
        <v>0.17199999999999999</v>
      </c>
      <c r="DC57" s="47">
        <f t="shared" si="32"/>
        <v>0.35899999999999999</v>
      </c>
      <c r="DD57" s="47">
        <f t="shared" si="12"/>
        <v>0.5676000000000001</v>
      </c>
      <c r="DE57" s="47">
        <f t="shared" si="5"/>
        <v>0.99600000000000022</v>
      </c>
      <c r="DF57" s="47">
        <f t="shared" si="13"/>
        <v>0.35200000000000004</v>
      </c>
      <c r="DG57" s="47">
        <f t="shared" si="14"/>
        <v>0.14760000000000001</v>
      </c>
      <c r="DH57" s="47">
        <f t="shared" si="15"/>
        <v>0.59040000000000004</v>
      </c>
      <c r="DI57" s="47"/>
      <c r="DJ57" s="47"/>
      <c r="DK57" s="47"/>
      <c r="DL57" s="47"/>
      <c r="DM57" s="47"/>
      <c r="DN57" s="47"/>
      <c r="DO57" s="47"/>
      <c r="DP57" s="47"/>
      <c r="DQ57">
        <f t="shared" si="18"/>
        <v>0.1353</v>
      </c>
      <c r="DR57">
        <f t="shared" si="19"/>
        <v>0.15989999999999999</v>
      </c>
      <c r="DS57">
        <f t="shared" si="33"/>
        <v>0</v>
      </c>
      <c r="DT57">
        <f t="shared" si="34"/>
        <v>0</v>
      </c>
      <c r="DV57" s="110"/>
      <c r="DW57" s="111">
        <f t="shared" si="35"/>
        <v>350</v>
      </c>
      <c r="DX57" s="112">
        <v>0.17499999999999999</v>
      </c>
      <c r="DY57" s="94">
        <v>2389</v>
      </c>
      <c r="DZ57" s="94">
        <v>2413</v>
      </c>
      <c r="EA57" s="81">
        <v>0.13</v>
      </c>
      <c r="EB57" s="113">
        <f t="shared" si="36"/>
        <v>5.33E-2</v>
      </c>
      <c r="EC57" s="6">
        <v>2.4</v>
      </c>
      <c r="ED57" s="92">
        <v>0</v>
      </c>
      <c r="EE57" s="92">
        <v>0</v>
      </c>
      <c r="EF57" s="92"/>
      <c r="EG57" s="204">
        <v>0.18</v>
      </c>
      <c r="EH57" s="107">
        <f>125*K57/10</f>
        <v>73.75</v>
      </c>
      <c r="EI57" s="82">
        <f>IF(AR57="","",AR57*BL57)</f>
        <v>18.7</v>
      </c>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80">
        <f t="shared" si="21"/>
        <v>0.72584214408655034</v>
      </c>
      <c r="FN57" s="80">
        <f t="shared" si="22"/>
        <v>0.56122448979591844</v>
      </c>
      <c r="FO57" s="115">
        <f t="shared" si="23"/>
        <v>1.2933187294633077</v>
      </c>
      <c r="FP57" s="115">
        <f t="shared" si="24"/>
        <v>0.18146053602163759</v>
      </c>
      <c r="FQ57" s="116">
        <f t="shared" si="25"/>
        <v>5.8517985611510788E-2</v>
      </c>
    </row>
    <row r="58" spans="1:173" x14ac:dyDescent="0.25">
      <c r="A58" s="61">
        <v>49</v>
      </c>
      <c r="B58" t="s">
        <v>274</v>
      </c>
      <c r="C58">
        <v>4906</v>
      </c>
      <c r="D58">
        <v>3895</v>
      </c>
      <c r="E58">
        <v>3594</v>
      </c>
      <c r="F58">
        <v>2381</v>
      </c>
      <c r="H58">
        <v>92</v>
      </c>
      <c r="I58">
        <v>44.23</v>
      </c>
      <c r="K58">
        <v>6.5</v>
      </c>
      <c r="M58">
        <v>6</v>
      </c>
      <c r="T58">
        <v>6.65</v>
      </c>
      <c r="U58">
        <v>14.6</v>
      </c>
      <c r="V58">
        <v>9.1</v>
      </c>
      <c r="AB58">
        <v>28.620000000000005</v>
      </c>
      <c r="AC58">
        <v>67</v>
      </c>
      <c r="AD58" s="9">
        <v>44.186900000000009</v>
      </c>
      <c r="AF58">
        <v>5.2</v>
      </c>
      <c r="AG58">
        <v>1.04</v>
      </c>
      <c r="AH58">
        <v>1.46</v>
      </c>
      <c r="AI58">
        <v>2.65</v>
      </c>
      <c r="AJ58">
        <v>1.55</v>
      </c>
      <c r="AK58">
        <v>0.5</v>
      </c>
      <c r="AL58">
        <v>2.12</v>
      </c>
      <c r="AM58">
        <v>1.1599999999999999</v>
      </c>
      <c r="AN58">
        <v>0.33</v>
      </c>
      <c r="AO58">
        <v>1.75</v>
      </c>
      <c r="AR58">
        <v>0.6</v>
      </c>
      <c r="AW58">
        <v>1.74</v>
      </c>
      <c r="AY58">
        <v>87</v>
      </c>
      <c r="AZ58">
        <v>93</v>
      </c>
      <c r="BA58">
        <v>81</v>
      </c>
      <c r="BB58">
        <v>81</v>
      </c>
      <c r="BC58">
        <v>81</v>
      </c>
      <c r="BD58">
        <v>76</v>
      </c>
      <c r="BE58">
        <v>83</v>
      </c>
      <c r="BF58">
        <v>88</v>
      </c>
      <c r="BG58">
        <v>74</v>
      </c>
      <c r="BH58">
        <v>76</v>
      </c>
      <c r="BI58">
        <v>78</v>
      </c>
      <c r="BL58">
        <v>81</v>
      </c>
      <c r="BQ58">
        <v>92</v>
      </c>
      <c r="BS58">
        <v>0.17</v>
      </c>
      <c r="BT58">
        <v>0.03</v>
      </c>
      <c r="BU58">
        <v>1.2</v>
      </c>
      <c r="BV58">
        <v>0.33</v>
      </c>
      <c r="BW58">
        <v>0.06</v>
      </c>
      <c r="BX58">
        <v>0.63</v>
      </c>
      <c r="BY58">
        <v>0.28999999999999998</v>
      </c>
      <c r="CB58">
        <v>28</v>
      </c>
      <c r="CC58">
        <v>32</v>
      </c>
      <c r="CF58" s="2">
        <v>19.175400000000003</v>
      </c>
      <c r="CH58" s="47">
        <v>34.941699999999997</v>
      </c>
      <c r="CI58" s="47">
        <v>4.8360000000000003</v>
      </c>
      <c r="CJ58" s="47">
        <v>0.8216</v>
      </c>
      <c r="CK58" s="47">
        <v>1.1388</v>
      </c>
      <c r="CL58" s="47">
        <v>2.0935000000000001</v>
      </c>
      <c r="CM58" s="47">
        <v>1.1315</v>
      </c>
      <c r="CN58" s="47">
        <v>0.4</v>
      </c>
      <c r="CO58" s="47">
        <v>0.86799999999999999</v>
      </c>
      <c r="CP58" s="47">
        <v>1.8232000000000002</v>
      </c>
      <c r="CQ58" s="47">
        <v>3.3544</v>
      </c>
      <c r="CR58" s="47">
        <v>0.81199999999999983</v>
      </c>
      <c r="CS58" s="47">
        <v>0.2409</v>
      </c>
      <c r="CT58" s="47">
        <v>1.3125</v>
      </c>
      <c r="CU58" s="47"/>
      <c r="CV58" s="47">
        <v>38.4801</v>
      </c>
      <c r="CW58" s="47">
        <f t="shared" si="40"/>
        <v>4.8360000000000003</v>
      </c>
      <c r="CX58" s="47">
        <f t="shared" si="41"/>
        <v>0.84240000000000004</v>
      </c>
      <c r="CY58" s="47">
        <f t="shared" si="42"/>
        <v>1.1825999999999999</v>
      </c>
      <c r="CZ58" s="47">
        <f t="shared" si="43"/>
        <v>2.1465000000000001</v>
      </c>
      <c r="DA58" s="47">
        <f t="shared" si="44"/>
        <v>1.1779999999999999</v>
      </c>
      <c r="DB58" s="47">
        <f t="shared" si="45"/>
        <v>0.41499999999999998</v>
      </c>
      <c r="DC58" s="47">
        <f t="shared" si="32"/>
        <v>0.90099999999999991</v>
      </c>
      <c r="DD58" s="47">
        <f t="shared" si="12"/>
        <v>1.8655999999999999</v>
      </c>
      <c r="DE58" s="47">
        <f t="shared" si="5"/>
        <v>3.4664000000000001</v>
      </c>
      <c r="DF58" s="47">
        <f t="shared" si="13"/>
        <v>0.85839999999999994</v>
      </c>
      <c r="DG58" s="47">
        <f t="shared" si="14"/>
        <v>0.25080000000000002</v>
      </c>
      <c r="DH58" s="47">
        <f t="shared" si="15"/>
        <v>1.365</v>
      </c>
      <c r="DI58" s="47"/>
      <c r="DJ58" s="47"/>
      <c r="DK58" s="47"/>
      <c r="DL58" s="47"/>
      <c r="DM58" s="47"/>
      <c r="DN58" s="47"/>
      <c r="DO58" s="47"/>
      <c r="DP58" s="47"/>
      <c r="DQ58">
        <f t="shared" si="18"/>
        <v>0.1764</v>
      </c>
      <c r="DR58">
        <f t="shared" si="19"/>
        <v>0.2016</v>
      </c>
      <c r="DS58">
        <f t="shared" si="33"/>
        <v>0</v>
      </c>
      <c r="DT58">
        <f t="shared" si="34"/>
        <v>0</v>
      </c>
      <c r="DV58" s="110"/>
      <c r="DW58" s="111">
        <f t="shared" si="35"/>
        <v>0</v>
      </c>
      <c r="DX58" s="112"/>
      <c r="DY58" s="94"/>
      <c r="DZ58" s="94"/>
      <c r="EA58" s="81"/>
      <c r="EB58" s="113">
        <f t="shared" si="36"/>
        <v>0</v>
      </c>
      <c r="EC58" s="117"/>
      <c r="ED58" s="92"/>
      <c r="EE58" s="92"/>
      <c r="EF58" s="92"/>
      <c r="EG58" s="204">
        <v>0.42</v>
      </c>
      <c r="EH58" s="118"/>
      <c r="EI58" s="82"/>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80">
        <f t="shared" si="21"/>
        <v>0.63591893780573028</v>
      </c>
      <c r="FN58" s="80">
        <f t="shared" si="22"/>
        <v>0.55094339622641497</v>
      </c>
      <c r="FO58" s="115">
        <f t="shared" si="23"/>
        <v>1.1542364282090312</v>
      </c>
      <c r="FP58" s="115">
        <f t="shared" si="24"/>
        <v>0.11684136967155835</v>
      </c>
      <c r="FQ58" s="116">
        <f t="shared" si="25"/>
        <v>4.8530409224508256E-2</v>
      </c>
    </row>
    <row r="59" spans="1:173" x14ac:dyDescent="0.25">
      <c r="A59" s="61">
        <v>50</v>
      </c>
      <c r="B59" t="s">
        <v>275</v>
      </c>
      <c r="C59">
        <v>4622</v>
      </c>
      <c r="D59">
        <v>3415</v>
      </c>
      <c r="E59">
        <v>3109</v>
      </c>
      <c r="F59">
        <v>1924</v>
      </c>
      <c r="H59">
        <v>91.8</v>
      </c>
      <c r="I59">
        <v>45.03</v>
      </c>
      <c r="K59">
        <v>1.2</v>
      </c>
      <c r="M59">
        <v>6</v>
      </c>
      <c r="T59">
        <v>6.7</v>
      </c>
      <c r="U59">
        <v>16.2</v>
      </c>
      <c r="V59">
        <v>12.46</v>
      </c>
      <c r="AB59">
        <v>32.86999999999999</v>
      </c>
      <c r="AC59">
        <v>67</v>
      </c>
      <c r="AD59" s="9">
        <v>42.517399999999995</v>
      </c>
      <c r="AF59">
        <v>5.27</v>
      </c>
      <c r="AG59">
        <v>0.98</v>
      </c>
      <c r="AH59">
        <v>1.42</v>
      </c>
      <c r="AI59">
        <v>2.61</v>
      </c>
      <c r="AJ59">
        <v>1.44</v>
      </c>
      <c r="AK59">
        <v>0.5</v>
      </c>
      <c r="AL59">
        <v>1.97</v>
      </c>
      <c r="AM59">
        <v>1.26</v>
      </c>
      <c r="AN59">
        <v>0.4</v>
      </c>
      <c r="AO59">
        <v>1.58</v>
      </c>
      <c r="AR59">
        <v>0.54</v>
      </c>
      <c r="AW59">
        <v>1.42</v>
      </c>
      <c r="AY59">
        <v>87</v>
      </c>
      <c r="AZ59">
        <v>93</v>
      </c>
      <c r="BA59">
        <v>81</v>
      </c>
      <c r="BB59">
        <v>81</v>
      </c>
      <c r="BC59">
        <v>81</v>
      </c>
      <c r="BD59">
        <v>76</v>
      </c>
      <c r="BE59">
        <v>83</v>
      </c>
      <c r="BF59">
        <v>88</v>
      </c>
      <c r="BG59">
        <v>74</v>
      </c>
      <c r="BH59">
        <v>76</v>
      </c>
      <c r="BI59">
        <v>78</v>
      </c>
      <c r="BL59">
        <v>81</v>
      </c>
      <c r="BQ59">
        <v>92</v>
      </c>
      <c r="BS59">
        <v>0.39</v>
      </c>
      <c r="BT59">
        <v>0.04</v>
      </c>
      <c r="BU59">
        <v>1.25</v>
      </c>
      <c r="BV59">
        <v>0.31</v>
      </c>
      <c r="BW59">
        <v>7.0000000000000007E-2</v>
      </c>
      <c r="BX59">
        <v>0.57999999999999996</v>
      </c>
      <c r="BY59">
        <v>0.3</v>
      </c>
      <c r="CB59">
        <v>28</v>
      </c>
      <c r="CC59">
        <v>32</v>
      </c>
      <c r="CF59" s="2">
        <v>22.022899999999996</v>
      </c>
      <c r="CH59" s="47">
        <v>35.573700000000002</v>
      </c>
      <c r="CI59" s="47">
        <v>4.9010999999999996</v>
      </c>
      <c r="CJ59" s="47">
        <v>0.7742</v>
      </c>
      <c r="CK59" s="47">
        <v>1.1075999999999999</v>
      </c>
      <c r="CL59" s="47">
        <v>2.0619000000000001</v>
      </c>
      <c r="CM59" s="47">
        <v>1.0511999999999999</v>
      </c>
      <c r="CN59" s="47">
        <v>0.4</v>
      </c>
      <c r="CO59" s="47">
        <v>0.82120000000000004</v>
      </c>
      <c r="CP59" s="47">
        <v>1.6941999999999999</v>
      </c>
      <c r="CQ59" s="47">
        <v>2.9438</v>
      </c>
      <c r="CR59" s="47">
        <v>0.88200000000000001</v>
      </c>
      <c r="CS59" s="47">
        <v>0.29200000000000004</v>
      </c>
      <c r="CT59" s="47">
        <v>1.1850000000000001</v>
      </c>
      <c r="CU59" s="47"/>
      <c r="CV59" s="47">
        <v>39.176099999999998</v>
      </c>
      <c r="CW59" s="47">
        <f t="shared" si="40"/>
        <v>4.9010999999999996</v>
      </c>
      <c r="CX59" s="47">
        <f t="shared" si="41"/>
        <v>0.79379999999999995</v>
      </c>
      <c r="CY59" s="47">
        <f t="shared" si="42"/>
        <v>1.1501999999999999</v>
      </c>
      <c r="CZ59" s="47">
        <f t="shared" si="43"/>
        <v>2.1141000000000001</v>
      </c>
      <c r="DA59" s="47">
        <f t="shared" si="44"/>
        <v>1.0944</v>
      </c>
      <c r="DB59" s="47">
        <f t="shared" si="45"/>
        <v>0.41499999999999998</v>
      </c>
      <c r="DC59" s="47">
        <f t="shared" si="32"/>
        <v>0.85240000000000005</v>
      </c>
      <c r="DD59" s="47">
        <f t="shared" si="12"/>
        <v>1.7335999999999998</v>
      </c>
      <c r="DE59" s="47">
        <f t="shared" si="5"/>
        <v>3.0399999999999996</v>
      </c>
      <c r="DF59" s="47">
        <f t="shared" si="13"/>
        <v>0.9323999999999999</v>
      </c>
      <c r="DG59" s="47">
        <f t="shared" si="14"/>
        <v>0.30400000000000005</v>
      </c>
      <c r="DH59" s="47">
        <f t="shared" si="15"/>
        <v>1.2324000000000002</v>
      </c>
      <c r="DI59" s="47"/>
      <c r="DJ59" s="47"/>
      <c r="DK59" s="47"/>
      <c r="DL59" s="47"/>
      <c r="DM59" s="47"/>
      <c r="DN59" s="47"/>
      <c r="DO59" s="47"/>
      <c r="DP59" s="47"/>
      <c r="DQ59">
        <f t="shared" si="18"/>
        <v>0.16239999999999999</v>
      </c>
      <c r="DR59">
        <f t="shared" si="19"/>
        <v>0.18559999999999999</v>
      </c>
      <c r="DS59">
        <f t="shared" si="33"/>
        <v>0</v>
      </c>
      <c r="DT59">
        <f t="shared" si="34"/>
        <v>0</v>
      </c>
      <c r="DV59" s="110"/>
      <c r="DW59" s="111">
        <f t="shared" si="35"/>
        <v>0</v>
      </c>
      <c r="DX59" s="112"/>
      <c r="DY59" s="94"/>
      <c r="DZ59" s="94"/>
      <c r="EA59" s="81"/>
      <c r="EB59" s="113">
        <f t="shared" si="36"/>
        <v>0</v>
      </c>
      <c r="EC59" s="6"/>
      <c r="ED59" s="92"/>
      <c r="EE59" s="92"/>
      <c r="EF59" s="92"/>
      <c r="EG59" s="204">
        <f>BX59*0.666</f>
        <v>0.38628000000000001</v>
      </c>
      <c r="EH59" s="118"/>
      <c r="EI59" s="82"/>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80">
        <f t="shared" si="21"/>
        <v>0.58294309635305808</v>
      </c>
      <c r="FN59" s="80">
        <f t="shared" si="22"/>
        <v>0.54406130268199226</v>
      </c>
      <c r="FO59" s="115">
        <f t="shared" si="23"/>
        <v>1.0714658320292125</v>
      </c>
      <c r="FP59" s="115">
        <f t="shared" si="24"/>
        <v>0.1437964145499267</v>
      </c>
      <c r="FQ59" s="116">
        <f t="shared" si="25"/>
        <v>4.6948700866089273E-2</v>
      </c>
    </row>
    <row r="60" spans="1:173" x14ac:dyDescent="0.25">
      <c r="A60" s="61">
        <v>51</v>
      </c>
      <c r="B60" t="s">
        <v>276</v>
      </c>
      <c r="C60">
        <v>4035</v>
      </c>
      <c r="D60">
        <v>3504</v>
      </c>
      <c r="E60">
        <v>3353</v>
      </c>
      <c r="F60">
        <v>2419</v>
      </c>
      <c r="H60">
        <v>88.1</v>
      </c>
      <c r="I60">
        <v>22.17</v>
      </c>
      <c r="J60">
        <v>6.16</v>
      </c>
      <c r="K60">
        <v>1.2</v>
      </c>
      <c r="M60">
        <v>2.86</v>
      </c>
      <c r="O60">
        <v>0.19</v>
      </c>
      <c r="P60">
        <v>0.04</v>
      </c>
      <c r="Q60">
        <v>0.23</v>
      </c>
      <c r="R60">
        <v>0.32</v>
      </c>
      <c r="T60">
        <v>43.46</v>
      </c>
      <c r="U60">
        <v>12.84</v>
      </c>
      <c r="V60">
        <v>6.9</v>
      </c>
      <c r="W60">
        <v>0.45</v>
      </c>
      <c r="AB60">
        <v>18.219999999999992</v>
      </c>
      <c r="AC60">
        <v>86</v>
      </c>
      <c r="AD60" s="9">
        <v>40.045599999999993</v>
      </c>
      <c r="AF60">
        <v>1.91</v>
      </c>
      <c r="AG60">
        <v>0.53</v>
      </c>
      <c r="AH60">
        <v>0.94</v>
      </c>
      <c r="AI60">
        <v>1.56</v>
      </c>
      <c r="AJ60">
        <v>1.63</v>
      </c>
      <c r="AK60">
        <v>0.21</v>
      </c>
      <c r="AL60">
        <v>1.02</v>
      </c>
      <c r="AM60">
        <v>0.83</v>
      </c>
      <c r="AN60">
        <v>0.21</v>
      </c>
      <c r="AO60">
        <v>1.03</v>
      </c>
      <c r="AR60">
        <v>0.31</v>
      </c>
      <c r="AW60">
        <v>0.59</v>
      </c>
      <c r="AY60">
        <v>80</v>
      </c>
      <c r="AZ60">
        <v>90</v>
      </c>
      <c r="BA60">
        <v>82</v>
      </c>
      <c r="BB60">
        <v>81</v>
      </c>
      <c r="BC60">
        <v>81</v>
      </c>
      <c r="BD60">
        <v>85</v>
      </c>
      <c r="BE60">
        <v>77</v>
      </c>
      <c r="BF60">
        <v>80</v>
      </c>
      <c r="BG60">
        <v>76</v>
      </c>
      <c r="BH60">
        <v>69</v>
      </c>
      <c r="BI60">
        <v>78</v>
      </c>
      <c r="BL60">
        <v>68</v>
      </c>
      <c r="BQ60">
        <v>78</v>
      </c>
      <c r="BS60">
        <v>0.09</v>
      </c>
      <c r="BX60">
        <v>0.42</v>
      </c>
      <c r="CA60">
        <v>0.17</v>
      </c>
      <c r="CB60">
        <v>49</v>
      </c>
      <c r="CC60">
        <v>56</v>
      </c>
      <c r="CF60" s="2">
        <v>15.669199999999995</v>
      </c>
      <c r="CH60" s="47">
        <v>16.184100000000001</v>
      </c>
      <c r="CI60" s="47">
        <v>1.6617</v>
      </c>
      <c r="CJ60" s="47">
        <v>0.41340000000000005</v>
      </c>
      <c r="CK60" s="47">
        <v>0.71439999999999992</v>
      </c>
      <c r="CL60" s="47">
        <v>1.2012</v>
      </c>
      <c r="CM60" s="47">
        <v>1.3366</v>
      </c>
      <c r="CN60" s="47">
        <v>0.1512</v>
      </c>
      <c r="CO60" s="47">
        <v>0.34029999999999999</v>
      </c>
      <c r="CP60" s="47">
        <v>0.7854000000000001</v>
      </c>
      <c r="CQ60" s="47">
        <v>1.222</v>
      </c>
      <c r="CR60" s="47">
        <v>0.56440000000000001</v>
      </c>
      <c r="CS60" s="47">
        <v>0.13229999999999997</v>
      </c>
      <c r="CT60" s="47">
        <v>0.74159999999999993</v>
      </c>
      <c r="CU60" s="47"/>
      <c r="CV60" s="47">
        <v>17.736000000000001</v>
      </c>
      <c r="CW60" s="47">
        <f t="shared" si="40"/>
        <v>1.7190000000000001</v>
      </c>
      <c r="CX60" s="47">
        <f t="shared" si="41"/>
        <v>0.43459999999999999</v>
      </c>
      <c r="CY60" s="47">
        <f t="shared" si="42"/>
        <v>0.76139999999999997</v>
      </c>
      <c r="CZ60" s="47">
        <f t="shared" si="43"/>
        <v>1.2636000000000001</v>
      </c>
      <c r="DA60" s="47">
        <f t="shared" si="44"/>
        <v>1.3854999999999997</v>
      </c>
      <c r="DB60" s="47">
        <f t="shared" si="45"/>
        <v>0.16169999999999998</v>
      </c>
      <c r="DC60" s="47">
        <f t="shared" si="32"/>
        <v>0.3725</v>
      </c>
      <c r="DD60" s="47">
        <f t="shared" si="12"/>
        <v>0.81599999999999995</v>
      </c>
      <c r="DE60" s="47">
        <f t="shared" si="5"/>
        <v>1.2761999999999998</v>
      </c>
      <c r="DF60" s="47">
        <f t="shared" si="13"/>
        <v>0.63080000000000003</v>
      </c>
      <c r="DG60" s="47">
        <f t="shared" si="14"/>
        <v>0.1449</v>
      </c>
      <c r="DH60" s="47">
        <f t="shared" si="15"/>
        <v>0.8034</v>
      </c>
      <c r="DI60" s="47"/>
      <c r="DJ60" s="47"/>
      <c r="DK60" s="47"/>
      <c r="DL60" s="47"/>
      <c r="DM60" s="47"/>
      <c r="DN60" s="47"/>
      <c r="DO60" s="47"/>
      <c r="DP60" s="47"/>
      <c r="DQ60">
        <f t="shared" si="18"/>
        <v>0.20579999999999998</v>
      </c>
      <c r="DR60">
        <f t="shared" si="19"/>
        <v>0.23519999999999999</v>
      </c>
      <c r="DS60">
        <f t="shared" si="33"/>
        <v>0</v>
      </c>
      <c r="DT60">
        <f t="shared" si="34"/>
        <v>0</v>
      </c>
      <c r="DV60" s="110"/>
      <c r="DW60" s="111">
        <f t="shared" si="35"/>
        <v>160</v>
      </c>
      <c r="DX60" s="112">
        <v>0.08</v>
      </c>
      <c r="DY60" s="94">
        <v>2317</v>
      </c>
      <c r="DZ60" s="94">
        <v>2389</v>
      </c>
      <c r="EA60" s="122">
        <v>0.21</v>
      </c>
      <c r="EB60" s="113">
        <f t="shared" si="36"/>
        <v>8.8199999999999987E-2</v>
      </c>
      <c r="EC60" s="6">
        <v>0.47</v>
      </c>
      <c r="ED60" s="92">
        <v>0</v>
      </c>
      <c r="EE60" s="92">
        <v>0</v>
      </c>
      <c r="EF60" s="92"/>
      <c r="EG60" s="204">
        <v>0.17</v>
      </c>
      <c r="EH60" s="107">
        <f>125*K60/10</f>
        <v>15</v>
      </c>
      <c r="EI60" s="82">
        <f>IF(AR60="","",AR60*BL60)</f>
        <v>21.08</v>
      </c>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80">
        <f t="shared" si="21"/>
        <v>0.63580246913580241</v>
      </c>
      <c r="FN60" s="80">
        <f t="shared" si="22"/>
        <v>0.60256410256410253</v>
      </c>
      <c r="FO60" s="115">
        <f t="shared" si="23"/>
        <v>1.0551615445232467</v>
      </c>
      <c r="FP60" s="115">
        <f t="shared" si="24"/>
        <v>0.11467236467236466</v>
      </c>
      <c r="FQ60" s="116">
        <f t="shared" si="25"/>
        <v>5.699594046008119E-2</v>
      </c>
    </row>
    <row r="61" spans="1:173" x14ac:dyDescent="0.25">
      <c r="A61" s="61">
        <v>52</v>
      </c>
      <c r="B61" t="s">
        <v>277</v>
      </c>
      <c r="C61">
        <v>5562</v>
      </c>
      <c r="D61">
        <v>4620</v>
      </c>
      <c r="E61">
        <v>4057</v>
      </c>
      <c r="F61">
        <v>2610</v>
      </c>
      <c r="H61">
        <v>94.31</v>
      </c>
      <c r="I61">
        <v>82.82</v>
      </c>
      <c r="K61">
        <v>8.0399999999999991</v>
      </c>
      <c r="M61">
        <v>6.22</v>
      </c>
      <c r="T61">
        <v>0</v>
      </c>
      <c r="V61">
        <v>0</v>
      </c>
      <c r="AB61">
        <v>0</v>
      </c>
      <c r="AC61">
        <v>0</v>
      </c>
      <c r="AD61" s="9">
        <v>50.004999999999995</v>
      </c>
      <c r="AF61">
        <v>6.46</v>
      </c>
      <c r="AG61">
        <v>1.96</v>
      </c>
      <c r="AH61">
        <v>3.73</v>
      </c>
      <c r="AI61">
        <v>6.57</v>
      </c>
      <c r="AJ61">
        <v>5.78</v>
      </c>
      <c r="AK61">
        <v>0.8</v>
      </c>
      <c r="AL61">
        <v>4.4800000000000004</v>
      </c>
      <c r="AM61">
        <v>3.01</v>
      </c>
      <c r="AN61">
        <v>0.83</v>
      </c>
      <c r="AO61">
        <v>4.0599999999999996</v>
      </c>
      <c r="AR61">
        <v>0.8</v>
      </c>
      <c r="AY61">
        <v>80</v>
      </c>
      <c r="AZ61">
        <v>90</v>
      </c>
      <c r="BA61">
        <v>82</v>
      </c>
      <c r="BB61">
        <v>81</v>
      </c>
      <c r="BC61">
        <v>81</v>
      </c>
      <c r="BD61">
        <v>85</v>
      </c>
      <c r="BE61">
        <v>77</v>
      </c>
      <c r="BF61">
        <v>80</v>
      </c>
      <c r="BG61">
        <v>76</v>
      </c>
      <c r="BH61">
        <v>69</v>
      </c>
      <c r="BI61">
        <v>78</v>
      </c>
      <c r="BL61">
        <v>68</v>
      </c>
      <c r="BX61">
        <v>0.46</v>
      </c>
      <c r="CF61" s="2">
        <v>0</v>
      </c>
      <c r="CH61" s="47">
        <v>60.458599999999997</v>
      </c>
      <c r="CI61" s="47">
        <v>5.6201999999999996</v>
      </c>
      <c r="CJ61" s="47">
        <v>1.5287999999999999</v>
      </c>
      <c r="CK61" s="47">
        <v>2.8348</v>
      </c>
      <c r="CL61" s="47">
        <v>5.0589000000000004</v>
      </c>
      <c r="CM61" s="47">
        <v>4.7396000000000003</v>
      </c>
      <c r="CN61" s="47">
        <v>0.57600000000000007</v>
      </c>
      <c r="CO61" s="47">
        <v>1.0640000000000001</v>
      </c>
      <c r="CP61" s="47">
        <v>3.4496000000000002</v>
      </c>
      <c r="CQ61" s="47">
        <v>3.4496000000000002</v>
      </c>
      <c r="CR61" s="47">
        <v>2.0467999999999997</v>
      </c>
      <c r="CS61" s="47">
        <v>0.52290000000000003</v>
      </c>
      <c r="CT61" s="47">
        <v>2.9232</v>
      </c>
      <c r="CU61" s="47"/>
      <c r="CV61" s="47">
        <v>66.256</v>
      </c>
      <c r="CW61" s="47">
        <f t="shared" si="40"/>
        <v>5.8140000000000001</v>
      </c>
      <c r="CX61" s="47">
        <f t="shared" si="41"/>
        <v>1.6072</v>
      </c>
      <c r="CY61" s="47">
        <f t="shared" si="42"/>
        <v>3.0213000000000001</v>
      </c>
      <c r="CZ61" s="47">
        <f t="shared" si="43"/>
        <v>5.3217000000000008</v>
      </c>
      <c r="DA61" s="47">
        <f t="shared" si="44"/>
        <v>4.9130000000000003</v>
      </c>
      <c r="DB61" s="47">
        <f t="shared" si="45"/>
        <v>0.61599999999999999</v>
      </c>
      <c r="DC61" s="47">
        <f t="shared" si="32"/>
        <v>1.1599999999999999</v>
      </c>
      <c r="DD61" s="47">
        <f t="shared" si="12"/>
        <v>3.5840000000000005</v>
      </c>
      <c r="DE61" s="47">
        <f t="shared" si="5"/>
        <v>3.5840000000000005</v>
      </c>
      <c r="DF61" s="47">
        <f t="shared" si="13"/>
        <v>2.2875999999999999</v>
      </c>
      <c r="DG61" s="47">
        <f t="shared" si="14"/>
        <v>0.57269999999999999</v>
      </c>
      <c r="DH61" s="47">
        <f t="shared" si="15"/>
        <v>3.1667999999999994</v>
      </c>
      <c r="DI61" s="47"/>
      <c r="DJ61" s="47"/>
      <c r="DK61" s="47"/>
      <c r="DL61" s="47"/>
      <c r="DM61" s="47"/>
      <c r="DN61" s="47"/>
      <c r="DO61" s="47"/>
      <c r="DP61" s="47"/>
      <c r="DQ61">
        <f t="shared" si="18"/>
        <v>0</v>
      </c>
      <c r="DR61">
        <f t="shared" si="19"/>
        <v>0</v>
      </c>
      <c r="DS61">
        <f t="shared" si="33"/>
        <v>0</v>
      </c>
      <c r="DT61">
        <f t="shared" si="34"/>
        <v>0</v>
      </c>
      <c r="DV61" s="110"/>
      <c r="DW61" s="111">
        <f t="shared" si="35"/>
        <v>0</v>
      </c>
      <c r="DX61" s="112"/>
      <c r="DY61" s="94"/>
      <c r="DZ61" s="94"/>
      <c r="EA61" s="124"/>
      <c r="EB61" s="113">
        <f t="shared" si="36"/>
        <v>0</v>
      </c>
      <c r="EC61" s="92"/>
      <c r="ED61" s="92"/>
      <c r="EE61" s="92"/>
      <c r="EF61" s="92"/>
      <c r="EG61" s="204">
        <f>BX61*0.405</f>
        <v>0.18630000000000002</v>
      </c>
      <c r="EH61" s="107"/>
      <c r="EI61" s="82"/>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80">
        <f t="shared" si="21"/>
        <v>0.59507300298776689</v>
      </c>
      <c r="FN61" s="80">
        <f t="shared" si="22"/>
        <v>0.56773211567732107</v>
      </c>
      <c r="FO61" s="115">
        <f t="shared" si="23"/>
        <v>1.0481580776486941</v>
      </c>
      <c r="FP61" s="115">
        <f t="shared" si="24"/>
        <v>0.10761598737245615</v>
      </c>
      <c r="FQ61" s="116">
        <f t="shared" si="25"/>
        <v>6.425621830475732E-2</v>
      </c>
    </row>
    <row r="62" spans="1:173" x14ac:dyDescent="0.25">
      <c r="A62" s="61">
        <v>53</v>
      </c>
      <c r="B62" t="s">
        <v>278</v>
      </c>
      <c r="C62">
        <v>5439</v>
      </c>
      <c r="D62">
        <v>4140</v>
      </c>
      <c r="E62">
        <v>3597</v>
      </c>
      <c r="H62">
        <v>93.39</v>
      </c>
      <c r="I62">
        <v>79.8</v>
      </c>
      <c r="J62">
        <v>1.43</v>
      </c>
      <c r="K62">
        <v>2.78</v>
      </c>
      <c r="M62">
        <v>1.28</v>
      </c>
      <c r="T62">
        <v>0</v>
      </c>
      <c r="AB62">
        <v>9.5300000000000047</v>
      </c>
      <c r="AC62">
        <v>0</v>
      </c>
      <c r="AD62" s="9">
        <v>48.695300000000003</v>
      </c>
      <c r="AF62">
        <v>4.1399999999999997</v>
      </c>
      <c r="AG62">
        <v>1.76</v>
      </c>
      <c r="AH62">
        <v>4.18</v>
      </c>
      <c r="AI62">
        <v>8.14</v>
      </c>
      <c r="AJ62">
        <v>6.18</v>
      </c>
      <c r="AK62">
        <v>1.74</v>
      </c>
      <c r="AL62">
        <v>5.0999999999999996</v>
      </c>
      <c r="AM62">
        <v>4.6100000000000003</v>
      </c>
      <c r="AN62">
        <v>1.1000000000000001</v>
      </c>
      <c r="AO62">
        <v>5.36</v>
      </c>
      <c r="AR62">
        <v>1.1299999999999999</v>
      </c>
      <c r="AW62">
        <v>3.93</v>
      </c>
      <c r="AY62">
        <v>87</v>
      </c>
      <c r="AZ62">
        <v>92</v>
      </c>
      <c r="BA62">
        <v>88</v>
      </c>
      <c r="BB62">
        <v>87</v>
      </c>
      <c r="BC62">
        <v>89</v>
      </c>
      <c r="BD62">
        <v>88</v>
      </c>
      <c r="BE62">
        <v>91</v>
      </c>
      <c r="BF62">
        <v>82</v>
      </c>
      <c r="BG62">
        <v>85</v>
      </c>
      <c r="BH62">
        <v>79</v>
      </c>
      <c r="BI62">
        <v>88</v>
      </c>
      <c r="BL62">
        <v>67</v>
      </c>
      <c r="BQ62">
        <v>85</v>
      </c>
      <c r="BX62">
        <v>0.41</v>
      </c>
      <c r="CF62" s="2">
        <v>0</v>
      </c>
      <c r="CH62" s="47">
        <v>67.83</v>
      </c>
      <c r="CI62" s="47">
        <v>3.7673999999999994</v>
      </c>
      <c r="CJ62" s="47">
        <v>1.5312000000000001</v>
      </c>
      <c r="CK62" s="47">
        <v>3.6365999999999996</v>
      </c>
      <c r="CL62" s="47">
        <v>7.2446000000000002</v>
      </c>
      <c r="CM62" s="47">
        <v>5.4383999999999988</v>
      </c>
      <c r="CN62" s="47">
        <v>1.5659999999999998</v>
      </c>
      <c r="CO62" s="47">
        <v>2.3004999999999995</v>
      </c>
      <c r="CP62" s="47">
        <v>4.1819999999999995</v>
      </c>
      <c r="CQ62" s="47">
        <v>7.2473999999999998</v>
      </c>
      <c r="CR62" s="47">
        <v>3.8724000000000003</v>
      </c>
      <c r="CS62" s="47">
        <v>0.8580000000000001</v>
      </c>
      <c r="CT62" s="47">
        <v>4.7168000000000001</v>
      </c>
      <c r="CU62" s="47"/>
      <c r="CV62" s="47">
        <v>69.425999999999988</v>
      </c>
      <c r="CW62" s="47">
        <f t="shared" si="40"/>
        <v>3.8087999999999997</v>
      </c>
      <c r="CX62" s="47">
        <f t="shared" si="41"/>
        <v>1.5488</v>
      </c>
      <c r="CY62" s="47">
        <f t="shared" si="42"/>
        <v>3.6365999999999996</v>
      </c>
      <c r="CZ62" s="47">
        <f t="shared" si="43"/>
        <v>7.2446000000000002</v>
      </c>
      <c r="DA62" s="47">
        <f t="shared" si="44"/>
        <v>5.4383999999999988</v>
      </c>
      <c r="DB62" s="47">
        <f t="shared" si="45"/>
        <v>1.5834000000000001</v>
      </c>
      <c r="DC62" s="47">
        <f t="shared" si="32"/>
        <v>2.3405</v>
      </c>
      <c r="DD62" s="47">
        <f t="shared" si="12"/>
        <v>4.1819999999999995</v>
      </c>
      <c r="DE62" s="47">
        <f t="shared" si="5"/>
        <v>7.5224999999999991</v>
      </c>
      <c r="DF62" s="47">
        <f t="shared" si="13"/>
        <v>3.9185000000000003</v>
      </c>
      <c r="DG62" s="47">
        <f t="shared" si="14"/>
        <v>0.86900000000000011</v>
      </c>
      <c r="DH62" s="47">
        <f t="shared" si="15"/>
        <v>4.7168000000000001</v>
      </c>
      <c r="DI62" s="47"/>
      <c r="DJ62" s="47"/>
      <c r="DK62" s="47"/>
      <c r="DL62" s="47"/>
      <c r="DM62" s="47"/>
      <c r="DN62" s="47"/>
      <c r="DO62" s="47"/>
      <c r="DP62" s="47"/>
      <c r="DQ62">
        <f t="shared" si="18"/>
        <v>0</v>
      </c>
      <c r="DR62">
        <f t="shared" si="19"/>
        <v>0</v>
      </c>
      <c r="DS62">
        <f t="shared" si="33"/>
        <v>0</v>
      </c>
      <c r="DT62">
        <f t="shared" si="34"/>
        <v>0</v>
      </c>
      <c r="DV62" s="110"/>
      <c r="DW62" s="111">
        <f t="shared" si="35"/>
        <v>0</v>
      </c>
      <c r="DX62" s="112"/>
      <c r="DY62" s="94"/>
      <c r="DZ62" s="94"/>
      <c r="EA62" s="81"/>
      <c r="EB62" s="113">
        <f t="shared" si="36"/>
        <v>0</v>
      </c>
      <c r="EC62" s="92"/>
      <c r="ED62" s="92"/>
      <c r="EE62" s="92"/>
      <c r="EF62" s="92"/>
      <c r="EG62" s="204">
        <v>0.06</v>
      </c>
      <c r="EH62" s="107"/>
      <c r="EI62" s="82"/>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80">
        <f t="shared" si="21"/>
        <v>0.65107804433647132</v>
      </c>
      <c r="FN62" s="80">
        <f t="shared" si="22"/>
        <v>0.5019738839963559</v>
      </c>
      <c r="FO62" s="115">
        <f t="shared" si="23"/>
        <v>1.297035692679976</v>
      </c>
      <c r="FP62" s="115">
        <f t="shared" si="24"/>
        <v>0.11995141208624356</v>
      </c>
      <c r="FQ62" s="116">
        <f t="shared" si="25"/>
        <v>9.0784461152882204E-2</v>
      </c>
    </row>
    <row r="63" spans="1:173" x14ac:dyDescent="0.25">
      <c r="A63" s="61">
        <v>54</v>
      </c>
      <c r="B63" t="s">
        <v>279</v>
      </c>
      <c r="C63">
        <v>5300</v>
      </c>
      <c r="D63">
        <v>3090</v>
      </c>
      <c r="E63">
        <v>2655</v>
      </c>
      <c r="F63">
        <v>1774</v>
      </c>
      <c r="H63">
        <v>92.08</v>
      </c>
      <c r="I63">
        <v>64.03</v>
      </c>
      <c r="J63">
        <v>0.35</v>
      </c>
      <c r="K63">
        <v>12.02</v>
      </c>
      <c r="L63">
        <v>18.3</v>
      </c>
      <c r="M63">
        <v>13.32</v>
      </c>
      <c r="T63">
        <v>0</v>
      </c>
      <c r="V63">
        <v>0</v>
      </c>
      <c r="AB63">
        <v>2.7099999999999973</v>
      </c>
      <c r="AC63">
        <v>0</v>
      </c>
      <c r="AD63" s="9">
        <v>44.290599999999998</v>
      </c>
      <c r="AF63">
        <v>4.3499999999999996</v>
      </c>
      <c r="AG63">
        <v>1.28</v>
      </c>
      <c r="AH63">
        <v>2.38</v>
      </c>
      <c r="AI63">
        <v>4.42</v>
      </c>
      <c r="AJ63">
        <v>3.69</v>
      </c>
      <c r="AK63">
        <v>1.25</v>
      </c>
      <c r="AL63">
        <v>2.23</v>
      </c>
      <c r="AM63">
        <v>2.35</v>
      </c>
      <c r="AN63">
        <v>0.46</v>
      </c>
      <c r="AO63">
        <v>2.91</v>
      </c>
      <c r="AR63">
        <v>0.63</v>
      </c>
      <c r="AW63">
        <v>1.93</v>
      </c>
      <c r="AY63">
        <v>78</v>
      </c>
      <c r="AZ63">
        <v>89</v>
      </c>
      <c r="BA63">
        <v>82</v>
      </c>
      <c r="BB63">
        <v>81</v>
      </c>
      <c r="BC63">
        <v>82</v>
      </c>
      <c r="BD63">
        <v>85</v>
      </c>
      <c r="BE63">
        <v>77</v>
      </c>
      <c r="BF63">
        <v>84</v>
      </c>
      <c r="BG63">
        <v>77</v>
      </c>
      <c r="BH63">
        <v>78</v>
      </c>
      <c r="BI63">
        <v>80</v>
      </c>
      <c r="BL63">
        <v>72</v>
      </c>
      <c r="BQ63">
        <v>69</v>
      </c>
      <c r="BS63">
        <v>4.54</v>
      </c>
      <c r="BT63">
        <v>0.49</v>
      </c>
      <c r="BU63">
        <v>0.53</v>
      </c>
      <c r="BV63">
        <v>0.18</v>
      </c>
      <c r="BW63">
        <v>0.49</v>
      </c>
      <c r="BX63">
        <v>2.5099999999999998</v>
      </c>
      <c r="BY63">
        <v>0.52</v>
      </c>
      <c r="CB63">
        <v>48</v>
      </c>
      <c r="CC63">
        <v>53</v>
      </c>
      <c r="CF63" s="2">
        <v>0</v>
      </c>
      <c r="CH63" s="47">
        <v>48.022500000000001</v>
      </c>
      <c r="CI63" s="47">
        <v>3.7845</v>
      </c>
      <c r="CJ63" s="47">
        <v>1.024</v>
      </c>
      <c r="CK63" s="47">
        <v>1.8801999999999999</v>
      </c>
      <c r="CL63" s="47">
        <v>3.536</v>
      </c>
      <c r="CM63" s="47">
        <v>3.0995999999999997</v>
      </c>
      <c r="CN63" s="47">
        <v>0.92500000000000004</v>
      </c>
      <c r="CO63" s="47">
        <v>1.3660000000000001</v>
      </c>
      <c r="CP63" s="47">
        <v>1.8285999999999998</v>
      </c>
      <c r="CQ63" s="47">
        <v>2.8129</v>
      </c>
      <c r="CR63" s="47">
        <v>1.7390000000000001</v>
      </c>
      <c r="CS63" s="47">
        <v>0.34039999999999998</v>
      </c>
      <c r="CT63" s="47">
        <v>2.2698</v>
      </c>
      <c r="CU63" s="47"/>
      <c r="CV63" s="47">
        <v>49.943400000000004</v>
      </c>
      <c r="CW63" s="47">
        <f t="shared" si="40"/>
        <v>3.8714999999999997</v>
      </c>
      <c r="CX63" s="47">
        <f t="shared" si="41"/>
        <v>1.0496000000000001</v>
      </c>
      <c r="CY63" s="47">
        <f t="shared" si="42"/>
        <v>1.9278</v>
      </c>
      <c r="CZ63" s="47">
        <f t="shared" si="43"/>
        <v>3.6244000000000001</v>
      </c>
      <c r="DA63" s="47">
        <f t="shared" si="44"/>
        <v>3.1364999999999998</v>
      </c>
      <c r="DB63" s="47">
        <f t="shared" si="45"/>
        <v>0.96250000000000002</v>
      </c>
      <c r="DC63" s="47">
        <f t="shared" si="32"/>
        <v>1.4161000000000001</v>
      </c>
      <c r="DD63" s="47">
        <f t="shared" si="12"/>
        <v>1.8732</v>
      </c>
      <c r="DE63" s="47">
        <f t="shared" si="5"/>
        <v>3.2048999999999999</v>
      </c>
      <c r="DF63" s="47">
        <f t="shared" si="13"/>
        <v>1.8095000000000001</v>
      </c>
      <c r="DG63" s="47">
        <f t="shared" si="14"/>
        <v>0.35880000000000001</v>
      </c>
      <c r="DH63" s="47">
        <f t="shared" si="15"/>
        <v>2.3280000000000003</v>
      </c>
      <c r="DI63" s="47"/>
      <c r="DJ63" s="47"/>
      <c r="DK63" s="47"/>
      <c r="DL63" s="47"/>
      <c r="DM63" s="47"/>
      <c r="DN63" s="47"/>
      <c r="DO63" s="47"/>
      <c r="DP63" s="47"/>
      <c r="DQ63">
        <f t="shared" si="18"/>
        <v>1.2047999999999999</v>
      </c>
      <c r="DR63">
        <f t="shared" si="19"/>
        <v>1.3303</v>
      </c>
      <c r="DS63">
        <f t="shared" si="33"/>
        <v>0</v>
      </c>
      <c r="DT63">
        <f t="shared" si="34"/>
        <v>0</v>
      </c>
      <c r="DV63" s="110"/>
      <c r="DW63" s="111">
        <f t="shared" si="35"/>
        <v>240</v>
      </c>
      <c r="DX63" s="112">
        <v>0.12</v>
      </c>
      <c r="DY63" s="94"/>
      <c r="DZ63" s="94"/>
      <c r="EA63" s="122">
        <v>0.9</v>
      </c>
      <c r="EB63" s="113">
        <f t="shared" si="36"/>
        <v>2.2589999999999999</v>
      </c>
      <c r="EC63" s="6">
        <v>2.54</v>
      </c>
      <c r="ED63" s="92">
        <v>0</v>
      </c>
      <c r="EE63" s="92">
        <v>0</v>
      </c>
      <c r="EF63" s="92"/>
      <c r="EG63" s="204"/>
      <c r="EH63" s="107">
        <f>78*K63/10</f>
        <v>93.756</v>
      </c>
      <c r="EI63" s="82">
        <f>IF(AR63="","",AR63*BL63)</f>
        <v>45.36</v>
      </c>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80">
        <f t="shared" si="21"/>
        <v>0.6423132104624214</v>
      </c>
      <c r="FN63" s="80">
        <f t="shared" si="22"/>
        <v>0.53189493433395874</v>
      </c>
      <c r="FO63" s="115">
        <f t="shared" si="23"/>
        <v>1.2075941487706194</v>
      </c>
      <c r="FP63" s="115">
        <f t="shared" si="24"/>
        <v>9.8995695839311337E-2</v>
      </c>
      <c r="FQ63" s="116">
        <f t="shared" si="25"/>
        <v>5.6604716539122288E-2</v>
      </c>
    </row>
    <row r="64" spans="1:173" x14ac:dyDescent="0.25">
      <c r="A64" s="61">
        <v>55</v>
      </c>
      <c r="B64" t="s">
        <v>280</v>
      </c>
      <c r="C64">
        <v>3723</v>
      </c>
      <c r="D64">
        <v>3681</v>
      </c>
      <c r="E64">
        <v>3627</v>
      </c>
      <c r="F64">
        <v>2881</v>
      </c>
      <c r="H64">
        <v>87.78</v>
      </c>
      <c r="I64">
        <v>7.87</v>
      </c>
      <c r="J64">
        <v>0.52</v>
      </c>
      <c r="K64">
        <v>1.3</v>
      </c>
      <c r="L64">
        <v>1.71</v>
      </c>
      <c r="M64">
        <v>0.81</v>
      </c>
      <c r="N64">
        <v>0</v>
      </c>
      <c r="O64">
        <v>0.19</v>
      </c>
      <c r="P64">
        <v>0</v>
      </c>
      <c r="Q64">
        <v>0</v>
      </c>
      <c r="R64">
        <v>0</v>
      </c>
      <c r="T64">
        <v>75.19</v>
      </c>
      <c r="U64">
        <v>1.28</v>
      </c>
      <c r="V64">
        <v>0.64</v>
      </c>
      <c r="AB64">
        <v>2.4200000000000017</v>
      </c>
      <c r="AC64">
        <v>34</v>
      </c>
      <c r="AD64" s="9">
        <v>39.411499999999997</v>
      </c>
      <c r="AF64">
        <v>0.44</v>
      </c>
      <c r="AG64">
        <v>0.33</v>
      </c>
      <c r="AH64">
        <v>0.32</v>
      </c>
      <c r="AI64">
        <v>0.56000000000000005</v>
      </c>
      <c r="AJ64">
        <v>0.35</v>
      </c>
      <c r="AK64">
        <v>0.25</v>
      </c>
      <c r="AL64">
        <v>0.44</v>
      </c>
      <c r="AM64">
        <v>0.23</v>
      </c>
      <c r="AN64">
        <v>0.11</v>
      </c>
      <c r="AO64">
        <v>0.42</v>
      </c>
      <c r="AR64">
        <v>0.18</v>
      </c>
      <c r="AW64">
        <v>0.18</v>
      </c>
      <c r="AY64">
        <v>94</v>
      </c>
      <c r="AZ64">
        <v>93</v>
      </c>
      <c r="BA64">
        <v>85</v>
      </c>
      <c r="BB64">
        <v>81</v>
      </c>
      <c r="BC64">
        <v>83</v>
      </c>
      <c r="BD64">
        <v>89</v>
      </c>
      <c r="BE64">
        <v>87</v>
      </c>
      <c r="BF64">
        <v>80</v>
      </c>
      <c r="BG64">
        <v>85</v>
      </c>
      <c r="BH64">
        <v>77</v>
      </c>
      <c r="BI64">
        <v>86</v>
      </c>
      <c r="BL64">
        <v>77</v>
      </c>
      <c r="BQ64">
        <v>84</v>
      </c>
      <c r="BS64">
        <v>0.09</v>
      </c>
      <c r="BX64">
        <v>0.34</v>
      </c>
      <c r="CA64">
        <v>0.18</v>
      </c>
      <c r="CB64">
        <v>29</v>
      </c>
      <c r="CC64">
        <v>33</v>
      </c>
      <c r="CF64" s="2">
        <v>0.82280000000000053</v>
      </c>
      <c r="CH64" s="47">
        <v>6.2960000000000003</v>
      </c>
      <c r="CI64" s="47">
        <v>0.38719999999999999</v>
      </c>
      <c r="CJ64" s="47">
        <v>0.26400000000000001</v>
      </c>
      <c r="CK64" s="47">
        <v>0.2336</v>
      </c>
      <c r="CL64" s="47">
        <v>0.43120000000000003</v>
      </c>
      <c r="CM64" s="47">
        <v>0.28000000000000003</v>
      </c>
      <c r="CN64" s="47">
        <v>0.21249999999999999</v>
      </c>
      <c r="CO64" s="47">
        <v>0.32589999999999997</v>
      </c>
      <c r="CP64" s="47">
        <v>0.33</v>
      </c>
      <c r="CQ64" s="47">
        <v>0.4506</v>
      </c>
      <c r="CR64" s="47">
        <v>0.16560000000000002</v>
      </c>
      <c r="CS64" s="47">
        <v>6.93E-2</v>
      </c>
      <c r="CT64" s="47">
        <v>0.30659999999999998</v>
      </c>
      <c r="CU64" s="47"/>
      <c r="CV64" s="47">
        <v>7.3978000000000002</v>
      </c>
      <c r="CW64" s="47">
        <f t="shared" si="40"/>
        <v>0.40920000000000001</v>
      </c>
      <c r="CX64" s="47">
        <f t="shared" si="41"/>
        <v>0.28050000000000003</v>
      </c>
      <c r="CY64" s="47">
        <f t="shared" si="42"/>
        <v>0.25920000000000004</v>
      </c>
      <c r="CZ64" s="47">
        <f t="shared" si="43"/>
        <v>0.46480000000000005</v>
      </c>
      <c r="DA64" s="47">
        <f t="shared" si="44"/>
        <v>0.3115</v>
      </c>
      <c r="DB64" s="47">
        <f t="shared" si="45"/>
        <v>0.2175</v>
      </c>
      <c r="DC64" s="47">
        <f t="shared" si="32"/>
        <v>0.35609999999999997</v>
      </c>
      <c r="DD64" s="47">
        <f t="shared" si="12"/>
        <v>0.35200000000000004</v>
      </c>
      <c r="DE64" s="47">
        <f t="shared" si="5"/>
        <v>0.50320000000000009</v>
      </c>
      <c r="DF64" s="47">
        <f t="shared" si="13"/>
        <v>0.19550000000000001</v>
      </c>
      <c r="DG64" s="47">
        <f t="shared" si="14"/>
        <v>8.4700000000000011E-2</v>
      </c>
      <c r="DH64" s="47">
        <f t="shared" si="15"/>
        <v>0.36119999999999997</v>
      </c>
      <c r="DI64" s="47"/>
      <c r="DJ64" s="47"/>
      <c r="DK64" s="47"/>
      <c r="DL64" s="47"/>
      <c r="DM64" s="47"/>
      <c r="DN64" s="47"/>
      <c r="DO64" s="47"/>
      <c r="DP64" s="47"/>
      <c r="DQ64">
        <f t="shared" si="18"/>
        <v>9.8600000000000007E-2</v>
      </c>
      <c r="DR64">
        <f t="shared" si="19"/>
        <v>0.11220000000000001</v>
      </c>
      <c r="DS64">
        <f t="shared" si="33"/>
        <v>0</v>
      </c>
      <c r="DT64">
        <f t="shared" si="34"/>
        <v>0</v>
      </c>
      <c r="DV64" s="110"/>
      <c r="DW64" s="111">
        <f t="shared" si="35"/>
        <v>0</v>
      </c>
      <c r="DX64" s="112"/>
      <c r="DY64" s="94"/>
      <c r="DZ64" s="94"/>
      <c r="EA64" s="124"/>
      <c r="EB64" s="113">
        <f t="shared" si="36"/>
        <v>0</v>
      </c>
      <c r="EC64" s="92"/>
      <c r="ED64" s="92"/>
      <c r="EE64" s="92"/>
      <c r="EF64" s="92"/>
      <c r="EG64" s="204">
        <v>0.18</v>
      </c>
      <c r="EH64" s="118"/>
      <c r="EI64" s="82"/>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80">
        <f t="shared" si="21"/>
        <v>0.77710843373493965</v>
      </c>
      <c r="FN64" s="80">
        <f t="shared" si="22"/>
        <v>0.55765920826161797</v>
      </c>
      <c r="FO64" s="115">
        <f t="shared" si="23"/>
        <v>1.3935185185185182</v>
      </c>
      <c r="FP64" s="115">
        <f t="shared" si="24"/>
        <v>0.18222891566265062</v>
      </c>
      <c r="FQ64" s="116">
        <f t="shared" si="25"/>
        <v>5.9059720457433296E-2</v>
      </c>
    </row>
    <row r="65" spans="1:173" x14ac:dyDescent="0.25">
      <c r="A65" s="61">
        <v>56</v>
      </c>
      <c r="B65" t="s">
        <v>281</v>
      </c>
      <c r="C65">
        <v>4772</v>
      </c>
      <c r="D65">
        <v>3100</v>
      </c>
      <c r="E65">
        <v>2997</v>
      </c>
      <c r="F65">
        <v>2281</v>
      </c>
      <c r="H65">
        <v>91.6</v>
      </c>
      <c r="I65">
        <v>15.11</v>
      </c>
      <c r="K65">
        <v>13.77</v>
      </c>
      <c r="M65">
        <v>14.8</v>
      </c>
      <c r="T65">
        <v>27</v>
      </c>
      <c r="U65">
        <v>26.28</v>
      </c>
      <c r="V65">
        <v>11.87</v>
      </c>
      <c r="AB65">
        <v>20.92</v>
      </c>
      <c r="AC65">
        <v>26</v>
      </c>
      <c r="AD65" s="9">
        <v>39.767500000000005</v>
      </c>
      <c r="AF65">
        <v>1.24</v>
      </c>
      <c r="AG65">
        <v>0.42</v>
      </c>
      <c r="AH65">
        <v>0.51</v>
      </c>
      <c r="AI65">
        <v>1.04</v>
      </c>
      <c r="AJ65">
        <v>0.67</v>
      </c>
      <c r="AK65">
        <v>0.3</v>
      </c>
      <c r="AL65">
        <v>0.65</v>
      </c>
      <c r="AM65">
        <v>0.56000000000000005</v>
      </c>
      <c r="AN65">
        <v>0.19</v>
      </c>
      <c r="AO65">
        <v>0.78</v>
      </c>
      <c r="AR65">
        <v>0.27</v>
      </c>
      <c r="AW65">
        <v>0.4</v>
      </c>
      <c r="AY65" s="13">
        <v>75.416666666666671</v>
      </c>
      <c r="AZ65">
        <v>89</v>
      </c>
      <c r="BA65">
        <v>87</v>
      </c>
      <c r="BB65">
        <v>69</v>
      </c>
      <c r="BC65">
        <v>70</v>
      </c>
      <c r="BD65">
        <v>78</v>
      </c>
      <c r="BE65">
        <v>77</v>
      </c>
      <c r="BF65">
        <v>73</v>
      </c>
      <c r="BG65">
        <v>71</v>
      </c>
      <c r="BH65">
        <v>73</v>
      </c>
      <c r="BI65">
        <v>69</v>
      </c>
      <c r="BL65">
        <v>68</v>
      </c>
      <c r="BQ65">
        <v>81</v>
      </c>
      <c r="BS65">
        <v>0.22</v>
      </c>
      <c r="BT65">
        <v>7.0000000000000007E-2</v>
      </c>
      <c r="BU65">
        <v>1.56</v>
      </c>
      <c r="BV65">
        <v>0.9</v>
      </c>
      <c r="BW65">
        <v>0.03</v>
      </c>
      <c r="BX65">
        <v>2.16</v>
      </c>
      <c r="BY65">
        <v>0.18</v>
      </c>
      <c r="CA65">
        <v>1.74</v>
      </c>
      <c r="CB65">
        <v>13</v>
      </c>
      <c r="CC65">
        <v>23</v>
      </c>
      <c r="CF65" s="2">
        <v>5.4392000000000005</v>
      </c>
      <c r="CH65" s="47">
        <v>8.6127000000000002</v>
      </c>
      <c r="CI65" s="47">
        <v>1.054</v>
      </c>
      <c r="CJ65" s="47">
        <v>0.3276</v>
      </c>
      <c r="CK65" s="47">
        <v>0.32640000000000002</v>
      </c>
      <c r="CL65" s="47">
        <v>0.67600000000000005</v>
      </c>
      <c r="CM65" s="47">
        <v>0.4824</v>
      </c>
      <c r="CN65" s="47">
        <v>0.222</v>
      </c>
      <c r="CO65" s="47">
        <v>0.4002</v>
      </c>
      <c r="CP65" s="47">
        <v>0.442</v>
      </c>
      <c r="CQ65" s="47">
        <v>0.75</v>
      </c>
      <c r="CR65" s="47">
        <v>0.34160000000000001</v>
      </c>
      <c r="CS65" s="47">
        <v>0.1216</v>
      </c>
      <c r="CT65" s="47">
        <v>0.51480000000000004</v>
      </c>
      <c r="CU65" s="47"/>
      <c r="CV65" s="47">
        <v>11.395458333333334</v>
      </c>
      <c r="CW65" s="47">
        <f t="shared" si="40"/>
        <v>1.1035999999999999</v>
      </c>
      <c r="CX65" s="47">
        <f t="shared" si="41"/>
        <v>0.3654</v>
      </c>
      <c r="CY65" s="47">
        <f t="shared" si="42"/>
        <v>0.35189999999999999</v>
      </c>
      <c r="CZ65" s="47">
        <f t="shared" si="43"/>
        <v>0.72799999999999998</v>
      </c>
      <c r="DA65" s="47">
        <f t="shared" si="44"/>
        <v>0.52260000000000006</v>
      </c>
      <c r="DB65" s="47">
        <f t="shared" si="45"/>
        <v>0.23099999999999998</v>
      </c>
      <c r="DC65" s="47">
        <f t="shared" si="32"/>
        <v>0.41459999999999991</v>
      </c>
      <c r="DD65" s="47">
        <f t="shared" si="12"/>
        <v>0.47450000000000003</v>
      </c>
      <c r="DE65" s="47">
        <f t="shared" si="5"/>
        <v>0.79849999999999999</v>
      </c>
      <c r="DF65" s="47">
        <f t="shared" si="13"/>
        <v>0.39760000000000006</v>
      </c>
      <c r="DG65" s="47">
        <f t="shared" si="14"/>
        <v>0.13870000000000002</v>
      </c>
      <c r="DH65" s="47">
        <f t="shared" si="15"/>
        <v>0.53820000000000001</v>
      </c>
      <c r="DI65" s="47"/>
      <c r="DJ65" s="47"/>
      <c r="DK65" s="47"/>
      <c r="DL65" s="47"/>
      <c r="DM65" s="47"/>
      <c r="DN65" s="47"/>
      <c r="DO65" s="47"/>
      <c r="DP65" s="47"/>
      <c r="DQ65">
        <f t="shared" si="18"/>
        <v>0.28079999999999999</v>
      </c>
      <c r="DR65">
        <f t="shared" si="19"/>
        <v>0.49680000000000007</v>
      </c>
      <c r="DS65">
        <f t="shared" si="33"/>
        <v>0</v>
      </c>
      <c r="DT65">
        <f t="shared" si="34"/>
        <v>0</v>
      </c>
      <c r="DV65" s="110"/>
      <c r="DW65" s="111">
        <f t="shared" si="35"/>
        <v>0</v>
      </c>
      <c r="DX65" s="112"/>
      <c r="DY65" s="94"/>
      <c r="DZ65" s="94"/>
      <c r="EA65" s="124"/>
      <c r="EB65" s="113">
        <f t="shared" si="36"/>
        <v>0</v>
      </c>
      <c r="EC65" s="92"/>
      <c r="ED65" s="92"/>
      <c r="EE65" s="92"/>
      <c r="EF65" s="92"/>
      <c r="EG65" s="204">
        <v>1.66</v>
      </c>
      <c r="EH65" s="118"/>
      <c r="EI65" s="82"/>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80">
        <f t="shared" si="21"/>
        <v>0.73928571428571432</v>
      </c>
      <c r="FN65" s="80">
        <f t="shared" si="22"/>
        <v>0.48337912087912088</v>
      </c>
      <c r="FO65" s="115">
        <f t="shared" si="23"/>
        <v>1.5294117647058825</v>
      </c>
      <c r="FP65" s="115">
        <f t="shared" si="24"/>
        <v>0.19052197802197804</v>
      </c>
      <c r="FQ65" s="116">
        <f t="shared" si="25"/>
        <v>4.8180013236267374E-2</v>
      </c>
    </row>
    <row r="66" spans="1:173" x14ac:dyDescent="0.25">
      <c r="A66" s="61">
        <v>57</v>
      </c>
      <c r="B66" t="s">
        <v>282</v>
      </c>
      <c r="C66">
        <v>4056</v>
      </c>
      <c r="D66">
        <v>2199</v>
      </c>
      <c r="E66">
        <v>2081</v>
      </c>
      <c r="F66">
        <v>1553</v>
      </c>
      <c r="H66">
        <v>91.35</v>
      </c>
      <c r="I66">
        <v>17.3</v>
      </c>
      <c r="K66">
        <v>3.52</v>
      </c>
      <c r="M66">
        <v>11.51</v>
      </c>
      <c r="T66">
        <v>26.25</v>
      </c>
      <c r="U66">
        <v>23.56</v>
      </c>
      <c r="V66">
        <v>1.31</v>
      </c>
      <c r="X66">
        <v>25.79</v>
      </c>
      <c r="AB66">
        <v>32.770000000000003</v>
      </c>
      <c r="AC66">
        <v>26</v>
      </c>
      <c r="AD66" s="9">
        <v>38.140700000000002</v>
      </c>
      <c r="AF66">
        <v>1.57</v>
      </c>
      <c r="AG66">
        <v>0.55000000000000004</v>
      </c>
      <c r="AH66">
        <v>0.62</v>
      </c>
      <c r="AI66">
        <v>1.25</v>
      </c>
      <c r="AJ66">
        <v>0.8</v>
      </c>
      <c r="AK66">
        <v>0.36</v>
      </c>
      <c r="AL66">
        <v>0.78</v>
      </c>
      <c r="AM66">
        <v>0.68</v>
      </c>
      <c r="AN66">
        <v>0.25</v>
      </c>
      <c r="AO66">
        <v>0.94</v>
      </c>
      <c r="AR66">
        <v>0.36</v>
      </c>
      <c r="AW66">
        <v>0.31</v>
      </c>
      <c r="AY66" s="13">
        <v>74.75</v>
      </c>
      <c r="AZ66">
        <v>83</v>
      </c>
      <c r="BA66">
        <v>75</v>
      </c>
      <c r="BB66">
        <v>75</v>
      </c>
      <c r="BC66">
        <v>75</v>
      </c>
      <c r="BD66">
        <v>70</v>
      </c>
      <c r="BE66">
        <v>78</v>
      </c>
      <c r="BF66">
        <v>74</v>
      </c>
      <c r="BG66">
        <v>69</v>
      </c>
      <c r="BH66">
        <v>76</v>
      </c>
      <c r="BI66">
        <v>73</v>
      </c>
      <c r="BL66">
        <v>63</v>
      </c>
      <c r="BQ66">
        <v>86</v>
      </c>
      <c r="BS66">
        <v>0.1</v>
      </c>
      <c r="BX66">
        <v>1.89</v>
      </c>
      <c r="CB66">
        <v>24</v>
      </c>
      <c r="CC66">
        <v>28</v>
      </c>
      <c r="CF66" s="2">
        <v>8.5202000000000009</v>
      </c>
      <c r="CH66" s="47">
        <v>0</v>
      </c>
      <c r="CI66" s="47">
        <v>0</v>
      </c>
      <c r="CJ66" s="47">
        <v>0</v>
      </c>
      <c r="CK66" s="47">
        <v>0</v>
      </c>
      <c r="CL66" s="47">
        <v>0</v>
      </c>
      <c r="CM66" s="47">
        <v>0</v>
      </c>
      <c r="CN66" s="47">
        <v>0</v>
      </c>
      <c r="CO66" s="47">
        <v>0</v>
      </c>
      <c r="CP66" s="47">
        <v>0</v>
      </c>
      <c r="CQ66" s="47">
        <v>0</v>
      </c>
      <c r="CR66" s="47">
        <v>0</v>
      </c>
      <c r="CS66" s="47">
        <v>0</v>
      </c>
      <c r="CT66" s="47">
        <v>0</v>
      </c>
      <c r="CU66" s="47"/>
      <c r="CV66" s="47">
        <v>12.931749999999999</v>
      </c>
      <c r="CW66" s="47">
        <f t="shared" si="40"/>
        <v>1.3030999999999999</v>
      </c>
      <c r="CX66" s="47">
        <f t="shared" si="41"/>
        <v>0.41249999999999998</v>
      </c>
      <c r="CY66" s="47">
        <f t="shared" si="42"/>
        <v>0.46500000000000002</v>
      </c>
      <c r="CZ66" s="47">
        <f t="shared" si="43"/>
        <v>0.9375</v>
      </c>
      <c r="DA66" s="47">
        <f t="shared" si="44"/>
        <v>0.56000000000000005</v>
      </c>
      <c r="DB66" s="47">
        <f t="shared" si="45"/>
        <v>0.28079999999999999</v>
      </c>
      <c r="DC66" s="47">
        <f t="shared" si="32"/>
        <v>0.50759999999999994</v>
      </c>
      <c r="DD66" s="47">
        <f t="shared" si="12"/>
        <v>0.57719999999999994</v>
      </c>
      <c r="DE66" s="47">
        <f t="shared" si="5"/>
        <v>0.84379999999999988</v>
      </c>
      <c r="DF66" s="47">
        <f t="shared" si="13"/>
        <v>0.46920000000000001</v>
      </c>
      <c r="DG66" s="47">
        <f t="shared" si="14"/>
        <v>0.19</v>
      </c>
      <c r="DH66" s="47">
        <f t="shared" si="15"/>
        <v>0.68619999999999992</v>
      </c>
      <c r="DI66" s="47"/>
      <c r="DJ66" s="47"/>
      <c r="DK66" s="47"/>
      <c r="DL66" s="47"/>
      <c r="DM66" s="47"/>
      <c r="DN66" s="47"/>
      <c r="DO66" s="47"/>
      <c r="DP66" s="47"/>
      <c r="DQ66">
        <f t="shared" si="18"/>
        <v>0.4536</v>
      </c>
      <c r="DR66">
        <f t="shared" si="19"/>
        <v>0.52919999999999989</v>
      </c>
      <c r="DS66">
        <f t="shared" si="33"/>
        <v>0</v>
      </c>
      <c r="DT66">
        <f t="shared" si="34"/>
        <v>0</v>
      </c>
      <c r="DV66" s="110"/>
      <c r="DW66" s="111">
        <f t="shared" si="35"/>
        <v>0</v>
      </c>
      <c r="DX66" s="112"/>
      <c r="DY66" s="94"/>
      <c r="DZ66" s="94"/>
      <c r="EA66" s="124"/>
      <c r="EB66" s="113">
        <f t="shared" si="36"/>
        <v>0</v>
      </c>
      <c r="EC66" s="92"/>
      <c r="ED66" s="92"/>
      <c r="EE66" s="92"/>
      <c r="EF66" s="92"/>
      <c r="EG66" s="204">
        <v>2.11</v>
      </c>
      <c r="EH66" s="118"/>
      <c r="EI66" s="82"/>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80">
        <f t="shared" si="21"/>
        <v>0.73194666666666663</v>
      </c>
      <c r="FN66" s="80">
        <f t="shared" si="22"/>
        <v>0.49600000000000005</v>
      </c>
      <c r="FO66" s="115">
        <f t="shared" si="23"/>
        <v>1.4756989247311825</v>
      </c>
      <c r="FP66" s="115">
        <f t="shared" si="24"/>
        <v>0.20266666666666666</v>
      </c>
      <c r="FQ66" s="116">
        <f t="shared" si="25"/>
        <v>5.4190751445086706E-2</v>
      </c>
    </row>
    <row r="67" spans="1:173" x14ac:dyDescent="0.25">
      <c r="A67" s="61">
        <v>58</v>
      </c>
      <c r="B67" t="s">
        <v>283</v>
      </c>
      <c r="C67">
        <v>4290</v>
      </c>
      <c r="D67">
        <v>3565</v>
      </c>
      <c r="E67">
        <v>3511</v>
      </c>
      <c r="F67">
        <v>2778</v>
      </c>
      <c r="H67">
        <v>89</v>
      </c>
      <c r="I67">
        <v>7.9</v>
      </c>
      <c r="K67">
        <v>1.3</v>
      </c>
      <c r="M67">
        <v>0.8</v>
      </c>
      <c r="T67">
        <v>75.19</v>
      </c>
      <c r="U67">
        <v>12.2</v>
      </c>
      <c r="V67">
        <v>6.4</v>
      </c>
      <c r="AB67">
        <v>3.8100000000000023</v>
      </c>
      <c r="AC67">
        <v>34</v>
      </c>
      <c r="AD67" s="9">
        <v>39.973100000000002</v>
      </c>
      <c r="AF67">
        <v>0.52</v>
      </c>
      <c r="AG67">
        <v>0.18</v>
      </c>
      <c r="AH67">
        <v>0.34</v>
      </c>
      <c r="AI67">
        <v>0.67</v>
      </c>
      <c r="AJ67">
        <v>0.3</v>
      </c>
      <c r="AK67">
        <v>0.18</v>
      </c>
      <c r="AL67">
        <v>0.39</v>
      </c>
      <c r="AM67">
        <v>0.26</v>
      </c>
      <c r="AN67">
        <v>0.1</v>
      </c>
      <c r="AO67">
        <v>0.49</v>
      </c>
      <c r="AR67">
        <v>0.11</v>
      </c>
      <c r="AW67">
        <v>0.38</v>
      </c>
      <c r="AY67" s="13">
        <v>81.083333333333329</v>
      </c>
      <c r="AZ67">
        <v>89</v>
      </c>
      <c r="BA67">
        <v>84</v>
      </c>
      <c r="BB67">
        <v>81</v>
      </c>
      <c r="BC67">
        <v>83</v>
      </c>
      <c r="BD67">
        <v>77</v>
      </c>
      <c r="BE67">
        <v>85</v>
      </c>
      <c r="BF67">
        <v>84</v>
      </c>
      <c r="BG67">
        <v>76</v>
      </c>
      <c r="BH67">
        <v>77</v>
      </c>
      <c r="BI67">
        <v>78</v>
      </c>
      <c r="BL67">
        <v>73</v>
      </c>
      <c r="BQ67">
        <v>86</v>
      </c>
      <c r="BS67">
        <v>0.04</v>
      </c>
      <c r="BT67">
        <v>7.0000000000000007E-2</v>
      </c>
      <c r="BU67">
        <v>0.13</v>
      </c>
      <c r="BV67">
        <v>0.11</v>
      </c>
      <c r="BW67">
        <v>0.04</v>
      </c>
      <c r="BX67">
        <v>0.21</v>
      </c>
      <c r="BY67">
        <v>0.06</v>
      </c>
      <c r="CA67">
        <v>0.14000000000000001</v>
      </c>
      <c r="CB67">
        <v>31</v>
      </c>
      <c r="CC67">
        <v>38</v>
      </c>
      <c r="CF67" s="2">
        <v>1.2954000000000008</v>
      </c>
      <c r="CH67" s="47">
        <v>0</v>
      </c>
      <c r="CI67" s="47">
        <v>0</v>
      </c>
      <c r="CJ67" s="47">
        <v>0</v>
      </c>
      <c r="CK67" s="47">
        <v>0</v>
      </c>
      <c r="CL67" s="47">
        <v>0</v>
      </c>
      <c r="CM67" s="47">
        <v>0</v>
      </c>
      <c r="CN67" s="47">
        <v>0</v>
      </c>
      <c r="CO67" s="47">
        <v>0</v>
      </c>
      <c r="CP67" s="47">
        <v>0</v>
      </c>
      <c r="CQ67" s="47">
        <v>0</v>
      </c>
      <c r="CR67" s="47">
        <v>0</v>
      </c>
      <c r="CS67" s="47">
        <v>0</v>
      </c>
      <c r="CT67" s="47">
        <v>0</v>
      </c>
      <c r="CU67" s="47"/>
      <c r="CV67" s="47">
        <v>6.4055833333333325</v>
      </c>
      <c r="CW67" s="47">
        <f t="shared" si="40"/>
        <v>0.46279999999999999</v>
      </c>
      <c r="CX67" s="47">
        <f t="shared" si="41"/>
        <v>0.1512</v>
      </c>
      <c r="CY67" s="47">
        <f t="shared" si="42"/>
        <v>0.27540000000000003</v>
      </c>
      <c r="CZ67" s="47">
        <f t="shared" si="43"/>
        <v>0.55610000000000004</v>
      </c>
      <c r="DA67" s="47">
        <f t="shared" si="44"/>
        <v>0.23099999999999998</v>
      </c>
      <c r="DB67" s="47">
        <f t="shared" si="45"/>
        <v>0.153</v>
      </c>
      <c r="DC67" s="47">
        <f t="shared" si="32"/>
        <v>0.23329999999999998</v>
      </c>
      <c r="DD67" s="47">
        <f t="shared" si="12"/>
        <v>0.3276</v>
      </c>
      <c r="DE67" s="47">
        <f t="shared" si="5"/>
        <v>0.65439999999999998</v>
      </c>
      <c r="DF67" s="47">
        <f t="shared" si="13"/>
        <v>0.19760000000000003</v>
      </c>
      <c r="DG67" s="47">
        <f t="shared" si="14"/>
        <v>7.6999999999999999E-2</v>
      </c>
      <c r="DH67" s="47">
        <f t="shared" si="15"/>
        <v>0.38219999999999998</v>
      </c>
      <c r="DI67" s="47"/>
      <c r="DJ67" s="47"/>
      <c r="DK67" s="47"/>
      <c r="DL67" s="47"/>
      <c r="DM67" s="47"/>
      <c r="DN67" s="47"/>
      <c r="DO67" s="47"/>
      <c r="DP67" s="47"/>
      <c r="DQ67">
        <f t="shared" si="18"/>
        <v>6.5099999999999991E-2</v>
      </c>
      <c r="DR67">
        <f t="shared" si="19"/>
        <v>7.9799999999999996E-2</v>
      </c>
      <c r="DS67">
        <f t="shared" si="33"/>
        <v>0</v>
      </c>
      <c r="DT67">
        <f t="shared" si="34"/>
        <v>0</v>
      </c>
      <c r="DV67" s="110"/>
      <c r="DW67" s="111">
        <f t="shared" si="35"/>
        <v>0</v>
      </c>
      <c r="DX67" s="112"/>
      <c r="DY67" s="94"/>
      <c r="DZ67" s="94"/>
      <c r="EA67" s="124"/>
      <c r="EB67" s="113">
        <f t="shared" si="36"/>
        <v>0</v>
      </c>
      <c r="EC67" s="92"/>
      <c r="ED67" s="92"/>
      <c r="EE67" s="92"/>
      <c r="EF67" s="92"/>
      <c r="EG67" s="204">
        <v>0.06</v>
      </c>
      <c r="EH67" s="118"/>
      <c r="EI67" s="82"/>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80">
        <f t="shared" si="21"/>
        <v>0.68728645926991538</v>
      </c>
      <c r="FN67" s="80">
        <f t="shared" si="22"/>
        <v>0.49523467002337712</v>
      </c>
      <c r="FO67" s="115">
        <f t="shared" si="23"/>
        <v>1.3877995642701524</v>
      </c>
      <c r="FP67" s="115">
        <f t="shared" si="24"/>
        <v>0.1384643049811185</v>
      </c>
      <c r="FQ67" s="116">
        <f t="shared" si="25"/>
        <v>7.0392405063291141E-2</v>
      </c>
    </row>
    <row r="68" spans="1:173" x14ac:dyDescent="0.25">
      <c r="A68" s="61">
        <v>59</v>
      </c>
      <c r="B68" t="s">
        <v>284</v>
      </c>
      <c r="C68">
        <v>4350</v>
      </c>
      <c r="D68">
        <v>3270</v>
      </c>
      <c r="E68">
        <v>3191</v>
      </c>
      <c r="F68">
        <v>2460</v>
      </c>
      <c r="H68">
        <v>89.4</v>
      </c>
      <c r="I68">
        <v>11.66</v>
      </c>
      <c r="J68">
        <v>2.71</v>
      </c>
      <c r="K68">
        <v>1.98</v>
      </c>
      <c r="M68">
        <v>1.78</v>
      </c>
      <c r="N68">
        <v>0</v>
      </c>
      <c r="O68">
        <v>0</v>
      </c>
      <c r="P68">
        <v>0</v>
      </c>
      <c r="Q68">
        <v>0</v>
      </c>
      <c r="R68">
        <v>0</v>
      </c>
      <c r="T68">
        <v>59.34</v>
      </c>
      <c r="U68">
        <v>12.26</v>
      </c>
      <c r="V68">
        <v>4.5999999999999996</v>
      </c>
      <c r="W68">
        <v>0.77</v>
      </c>
      <c r="AB68">
        <v>14.64</v>
      </c>
      <c r="AC68">
        <v>40</v>
      </c>
      <c r="AD68" s="9">
        <v>40.382200000000005</v>
      </c>
      <c r="AF68">
        <v>0.7</v>
      </c>
      <c r="AG68">
        <v>0.25</v>
      </c>
      <c r="AH68">
        <v>0.34</v>
      </c>
      <c r="AI68">
        <v>0.7</v>
      </c>
      <c r="AJ68">
        <v>0.43</v>
      </c>
      <c r="AK68">
        <v>0.16</v>
      </c>
      <c r="AL68">
        <v>0.5</v>
      </c>
      <c r="AM68">
        <v>0.37</v>
      </c>
      <c r="AN68">
        <v>0.1</v>
      </c>
      <c r="AO68">
        <v>0.49</v>
      </c>
      <c r="AR68">
        <v>0.19</v>
      </c>
      <c r="AW68">
        <v>0.25</v>
      </c>
      <c r="AY68">
        <v>83</v>
      </c>
      <c r="AZ68">
        <v>79</v>
      </c>
      <c r="BA68">
        <v>79</v>
      </c>
      <c r="BB68">
        <v>78</v>
      </c>
      <c r="BC68">
        <v>79</v>
      </c>
      <c r="BD68">
        <v>74</v>
      </c>
      <c r="BE68">
        <v>81</v>
      </c>
      <c r="BF68">
        <v>82</v>
      </c>
      <c r="BG68">
        <v>74</v>
      </c>
      <c r="BH68">
        <v>76</v>
      </c>
      <c r="BI68">
        <v>77</v>
      </c>
      <c r="BL68">
        <v>83</v>
      </c>
      <c r="BQ68">
        <v>76</v>
      </c>
      <c r="BS68">
        <v>0.08</v>
      </c>
      <c r="BT68">
        <v>0.03</v>
      </c>
      <c r="BU68">
        <v>0.48</v>
      </c>
      <c r="BV68">
        <v>0.12</v>
      </c>
      <c r="BW68">
        <v>0.02</v>
      </c>
      <c r="BX68">
        <v>0.3</v>
      </c>
      <c r="BY68">
        <v>0.15</v>
      </c>
      <c r="CA68">
        <v>0.2</v>
      </c>
      <c r="CB68">
        <v>43</v>
      </c>
      <c r="CC68">
        <v>50</v>
      </c>
      <c r="CF68" s="2">
        <v>5.8559999999999999</v>
      </c>
      <c r="CH68" s="47">
        <v>8.045399999999999</v>
      </c>
      <c r="CI68" s="47">
        <v>0.5109999999999999</v>
      </c>
      <c r="CJ68" s="47">
        <v>0.17749999999999999</v>
      </c>
      <c r="CK68" s="47">
        <v>0.23120000000000002</v>
      </c>
      <c r="CL68" s="47">
        <v>0.49699999999999994</v>
      </c>
      <c r="CM68" s="47">
        <v>0.2752</v>
      </c>
      <c r="CN68" s="47">
        <v>0.1216</v>
      </c>
      <c r="CO68" s="47">
        <v>0.26219999999999999</v>
      </c>
      <c r="CP68" s="47">
        <v>0.38</v>
      </c>
      <c r="CQ68" s="47">
        <v>0.54249999999999998</v>
      </c>
      <c r="CR68" s="47">
        <v>0.21829999999999999</v>
      </c>
      <c r="CS68" s="47">
        <v>6.7000000000000004E-2</v>
      </c>
      <c r="CT68" s="47">
        <v>0.32829999999999998</v>
      </c>
      <c r="CU68" s="47"/>
      <c r="CV68" s="47">
        <v>9.6777999999999995</v>
      </c>
      <c r="CW68" s="47">
        <f t="shared" si="40"/>
        <v>0.55299999999999994</v>
      </c>
      <c r="CX68" s="47">
        <f t="shared" si="41"/>
        <v>0.19750000000000001</v>
      </c>
      <c r="CY68" s="47">
        <f t="shared" si="42"/>
        <v>0.26520000000000005</v>
      </c>
      <c r="CZ68" s="47">
        <f t="shared" si="43"/>
        <v>0.55299999999999994</v>
      </c>
      <c r="DA68" s="47">
        <f t="shared" si="44"/>
        <v>0.31819999999999998</v>
      </c>
      <c r="DB68" s="47">
        <f t="shared" si="45"/>
        <v>0.12960000000000002</v>
      </c>
      <c r="DC68" s="47">
        <f t="shared" si="32"/>
        <v>0.2873</v>
      </c>
      <c r="DD68" s="47">
        <f t="shared" si="12"/>
        <v>0.41</v>
      </c>
      <c r="DE68" s="47">
        <f t="shared" si="5"/>
        <v>0.6</v>
      </c>
      <c r="DF68" s="47">
        <f t="shared" si="13"/>
        <v>0.27379999999999999</v>
      </c>
      <c r="DG68" s="47">
        <f t="shared" si="14"/>
        <v>7.6000000000000012E-2</v>
      </c>
      <c r="DH68" s="47">
        <f t="shared" si="15"/>
        <v>0.37729999999999997</v>
      </c>
      <c r="DI68" s="47"/>
      <c r="DJ68" s="47"/>
      <c r="DK68" s="47"/>
      <c r="DL68" s="47"/>
      <c r="DM68" s="47"/>
      <c r="DN68" s="47"/>
      <c r="DO68" s="47"/>
      <c r="DP68" s="47"/>
      <c r="DQ68">
        <f t="shared" si="18"/>
        <v>0.129</v>
      </c>
      <c r="DR68">
        <f t="shared" si="19"/>
        <v>0.15</v>
      </c>
      <c r="DS68">
        <f t="shared" si="33"/>
        <v>0</v>
      </c>
      <c r="DT68">
        <f t="shared" si="34"/>
        <v>0</v>
      </c>
      <c r="DV68" s="110"/>
      <c r="DW68" s="111">
        <f t="shared" si="35"/>
        <v>0</v>
      </c>
      <c r="DX68" s="112"/>
      <c r="DY68" s="94"/>
      <c r="DZ68" s="94"/>
      <c r="EA68" s="124"/>
      <c r="EB68" s="113">
        <f t="shared" si="36"/>
        <v>0</v>
      </c>
      <c r="EC68" s="92"/>
      <c r="ED68" s="92"/>
      <c r="EE68" s="92"/>
      <c r="EF68" s="92"/>
      <c r="EG68" s="204">
        <v>0.2</v>
      </c>
      <c r="EH68" s="118"/>
      <c r="EI68" s="82"/>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80">
        <f t="shared" si="21"/>
        <v>0.6822784810126582</v>
      </c>
      <c r="FN68" s="80">
        <f t="shared" si="22"/>
        <v>0.47956600361663665</v>
      </c>
      <c r="FO68" s="115">
        <f t="shared" si="23"/>
        <v>1.422699849170437</v>
      </c>
      <c r="FP68" s="115">
        <f t="shared" si="24"/>
        <v>0.13743218806509949</v>
      </c>
      <c r="FQ68" s="116">
        <f t="shared" si="25"/>
        <v>4.7427101200686099E-2</v>
      </c>
    </row>
    <row r="69" spans="1:173" x14ac:dyDescent="0.25">
      <c r="A69" s="61">
        <v>60</v>
      </c>
      <c r="B69" t="s">
        <v>285</v>
      </c>
      <c r="C69">
        <v>4702</v>
      </c>
      <c r="D69">
        <v>3350</v>
      </c>
      <c r="E69">
        <v>3060</v>
      </c>
      <c r="F69">
        <v>1972</v>
      </c>
      <c r="H69">
        <v>93</v>
      </c>
      <c r="I69">
        <v>42.6</v>
      </c>
      <c r="K69">
        <v>7.5</v>
      </c>
      <c r="M69">
        <v>12.7</v>
      </c>
      <c r="T69">
        <v>1.8</v>
      </c>
      <c r="U69">
        <v>18</v>
      </c>
      <c r="V69">
        <v>13.2</v>
      </c>
      <c r="AB69">
        <v>28.4</v>
      </c>
      <c r="AC69">
        <v>64</v>
      </c>
      <c r="AD69" s="9">
        <v>41.85</v>
      </c>
      <c r="AF69">
        <v>4.8600000000000003</v>
      </c>
      <c r="AG69">
        <v>0.98</v>
      </c>
      <c r="AH69">
        <v>1.47</v>
      </c>
      <c r="AI69">
        <v>2.74</v>
      </c>
      <c r="AJ69">
        <v>1.01</v>
      </c>
      <c r="AK69">
        <v>1.1499999999999999</v>
      </c>
      <c r="AL69">
        <v>1.77</v>
      </c>
      <c r="AM69">
        <v>1.44</v>
      </c>
      <c r="AN69">
        <v>0.54</v>
      </c>
      <c r="AO69">
        <v>1.87</v>
      </c>
      <c r="AR69">
        <v>0.82</v>
      </c>
      <c r="AW69">
        <v>1.52</v>
      </c>
      <c r="AY69" s="13">
        <v>89.666666666666671</v>
      </c>
      <c r="AZ69">
        <v>96</v>
      </c>
      <c r="BA69">
        <v>84</v>
      </c>
      <c r="BB69">
        <v>87</v>
      </c>
      <c r="BC69">
        <v>92</v>
      </c>
      <c r="BD69">
        <v>85</v>
      </c>
      <c r="BE69">
        <v>92</v>
      </c>
      <c r="BF69">
        <v>93</v>
      </c>
      <c r="BG69">
        <v>90</v>
      </c>
      <c r="BH69">
        <v>85</v>
      </c>
      <c r="BI69">
        <v>89</v>
      </c>
      <c r="BL69">
        <v>92</v>
      </c>
      <c r="BQ69">
        <v>91</v>
      </c>
      <c r="BS69">
        <v>1.7</v>
      </c>
      <c r="BT69">
        <v>7.0000000000000007E-2</v>
      </c>
      <c r="BU69">
        <v>1.1000000000000001</v>
      </c>
      <c r="BV69">
        <v>0.54</v>
      </c>
      <c r="BW69">
        <v>0.04</v>
      </c>
      <c r="BX69">
        <v>1.18</v>
      </c>
      <c r="BY69">
        <v>0.56000000000000005</v>
      </c>
      <c r="CA69">
        <v>0.89</v>
      </c>
      <c r="CB69">
        <v>29</v>
      </c>
      <c r="CC69">
        <v>42</v>
      </c>
      <c r="CF69" s="2">
        <v>18.175999999999998</v>
      </c>
      <c r="CH69" s="47">
        <v>34.506</v>
      </c>
      <c r="CI69" s="47">
        <v>4.5684000000000005</v>
      </c>
      <c r="CJ69" s="47">
        <v>0.74480000000000002</v>
      </c>
      <c r="CK69" s="47">
        <v>1.2495000000000001</v>
      </c>
      <c r="CL69" s="47">
        <v>2.3290000000000002</v>
      </c>
      <c r="CM69" s="47">
        <v>0.76760000000000006</v>
      </c>
      <c r="CN69" s="47">
        <v>1.0349999999999999</v>
      </c>
      <c r="CO69" s="47">
        <v>1.7401999999999997</v>
      </c>
      <c r="CP69" s="47">
        <v>1.5752999999999999</v>
      </c>
      <c r="CQ69" s="47">
        <v>2.8976999999999999</v>
      </c>
      <c r="CR69" s="47">
        <v>1.1232</v>
      </c>
      <c r="CS69" s="47">
        <v>0.45900000000000007</v>
      </c>
      <c r="CT69" s="47">
        <v>1.5708000000000002</v>
      </c>
      <c r="CU69" s="47"/>
      <c r="CV69" s="47">
        <v>38.198</v>
      </c>
      <c r="CW69" s="47">
        <f t="shared" si="40"/>
        <v>4.6656000000000004</v>
      </c>
      <c r="CX69" s="47">
        <f t="shared" si="41"/>
        <v>0.82319999999999993</v>
      </c>
      <c r="CY69" s="47">
        <f t="shared" si="42"/>
        <v>1.2788999999999999</v>
      </c>
      <c r="CZ69" s="47">
        <f t="shared" si="43"/>
        <v>2.5207999999999999</v>
      </c>
      <c r="DA69" s="47">
        <f t="shared" si="44"/>
        <v>0.85849999999999993</v>
      </c>
      <c r="DB69" s="47">
        <f t="shared" si="45"/>
        <v>1.0580000000000001</v>
      </c>
      <c r="DC69" s="47">
        <f t="shared" si="32"/>
        <v>1.8124</v>
      </c>
      <c r="DD69" s="47">
        <f t="shared" si="12"/>
        <v>1.6461000000000001</v>
      </c>
      <c r="DE69" s="47">
        <f t="shared" si="5"/>
        <v>3.0293000000000001</v>
      </c>
      <c r="DF69" s="47">
        <f t="shared" si="13"/>
        <v>1.296</v>
      </c>
      <c r="DG69" s="47">
        <f t="shared" si="14"/>
        <v>0.45900000000000007</v>
      </c>
      <c r="DH69" s="47">
        <f t="shared" si="15"/>
        <v>1.6643000000000001</v>
      </c>
      <c r="DI69" s="47"/>
      <c r="DJ69" s="47"/>
      <c r="DK69" s="47"/>
      <c r="DL69" s="47"/>
      <c r="DM69" s="47"/>
      <c r="DN69" s="47"/>
      <c r="DO69" s="47"/>
      <c r="DP69" s="47"/>
      <c r="DQ69">
        <f t="shared" si="18"/>
        <v>0.3422</v>
      </c>
      <c r="DR69">
        <f t="shared" si="19"/>
        <v>0.49559999999999993</v>
      </c>
      <c r="DS69">
        <f t="shared" si="33"/>
        <v>0</v>
      </c>
      <c r="DT69">
        <f t="shared" si="34"/>
        <v>0</v>
      </c>
      <c r="DV69" s="110"/>
      <c r="DW69" s="111">
        <f t="shared" si="35"/>
        <v>0</v>
      </c>
      <c r="DX69" s="112"/>
      <c r="DY69" s="94"/>
      <c r="DZ69" s="94"/>
      <c r="EA69" s="124"/>
      <c r="EB69" s="113">
        <f t="shared" si="36"/>
        <v>0</v>
      </c>
      <c r="EC69" s="92"/>
      <c r="ED69" s="92"/>
      <c r="EE69" s="92"/>
      <c r="EF69" s="92"/>
      <c r="EG69" s="204">
        <v>0.89</v>
      </c>
      <c r="EH69" s="118"/>
      <c r="EI69" s="82"/>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80">
        <f t="shared" si="21"/>
        <v>0.66022691209139961</v>
      </c>
      <c r="FN69" s="80">
        <f t="shared" si="22"/>
        <v>0.50733894001904156</v>
      </c>
      <c r="FO69" s="115">
        <f t="shared" si="23"/>
        <v>1.3013527249980454</v>
      </c>
      <c r="FP69" s="115">
        <f t="shared" si="24"/>
        <v>0.18208505236432881</v>
      </c>
      <c r="FQ69" s="116">
        <f t="shared" si="25"/>
        <v>5.9173708920187792E-2</v>
      </c>
    </row>
    <row r="70" spans="1:173" x14ac:dyDescent="0.25">
      <c r="A70" s="61">
        <v>61</v>
      </c>
      <c r="B70" t="s">
        <v>286</v>
      </c>
      <c r="C70">
        <v>3881</v>
      </c>
      <c r="D70">
        <v>3596</v>
      </c>
      <c r="E70">
        <v>3532</v>
      </c>
      <c r="F70">
        <v>2780</v>
      </c>
      <c r="H70">
        <v>89.39</v>
      </c>
      <c r="I70">
        <v>9.36</v>
      </c>
      <c r="J70">
        <v>2.14</v>
      </c>
      <c r="K70">
        <v>3.42</v>
      </c>
      <c r="L70">
        <v>2.12</v>
      </c>
      <c r="M70">
        <v>1.64</v>
      </c>
      <c r="N70">
        <v>0</v>
      </c>
      <c r="O70">
        <v>0</v>
      </c>
      <c r="P70">
        <v>0</v>
      </c>
      <c r="Q70">
        <v>0</v>
      </c>
      <c r="R70">
        <v>0</v>
      </c>
      <c r="T70">
        <v>70.05</v>
      </c>
      <c r="U70">
        <v>10.63</v>
      </c>
      <c r="V70">
        <v>4.93</v>
      </c>
      <c r="W70">
        <v>0.44</v>
      </c>
      <c r="X70">
        <v>4.3499999999999996</v>
      </c>
      <c r="AB70">
        <v>4.9200000000000017</v>
      </c>
      <c r="AC70">
        <v>66</v>
      </c>
      <c r="AD70" s="9">
        <v>40.595999999999997</v>
      </c>
      <c r="AF70">
        <v>0.36</v>
      </c>
      <c r="AG70">
        <v>0.21</v>
      </c>
      <c r="AH70">
        <v>0.36</v>
      </c>
      <c r="AI70">
        <v>1.21</v>
      </c>
      <c r="AJ70">
        <v>0.2</v>
      </c>
      <c r="AK70">
        <v>0.16</v>
      </c>
      <c r="AL70">
        <v>0.48</v>
      </c>
      <c r="AM70">
        <v>0.3</v>
      </c>
      <c r="AN70">
        <v>7.0000000000000007E-2</v>
      </c>
      <c r="AO70">
        <v>0.46</v>
      </c>
      <c r="AR70">
        <v>0.18</v>
      </c>
      <c r="AW70">
        <v>0.32</v>
      </c>
      <c r="AY70">
        <v>77</v>
      </c>
      <c r="AZ70">
        <v>80</v>
      </c>
      <c r="BA70">
        <v>74</v>
      </c>
      <c r="BB70">
        <v>78</v>
      </c>
      <c r="BC70">
        <v>83</v>
      </c>
      <c r="BD70">
        <v>74</v>
      </c>
      <c r="BE70">
        <v>79</v>
      </c>
      <c r="BF70">
        <v>83</v>
      </c>
      <c r="BG70">
        <v>75</v>
      </c>
      <c r="BH70">
        <v>74</v>
      </c>
      <c r="BI70">
        <v>77</v>
      </c>
      <c r="BL70">
        <v>67</v>
      </c>
      <c r="BQ70">
        <v>75</v>
      </c>
      <c r="BS70">
        <v>0.02</v>
      </c>
      <c r="BT70">
        <v>0.09</v>
      </c>
      <c r="BU70">
        <v>0.35</v>
      </c>
      <c r="BV70">
        <v>0.15</v>
      </c>
      <c r="BW70">
        <v>0.01</v>
      </c>
      <c r="BX70">
        <v>0.27</v>
      </c>
      <c r="BY70">
        <v>0.08</v>
      </c>
      <c r="CA70">
        <v>0.18</v>
      </c>
      <c r="CB70">
        <v>30</v>
      </c>
      <c r="CC70">
        <v>40</v>
      </c>
      <c r="CF70" s="2">
        <v>3.2472000000000012</v>
      </c>
      <c r="CH70" s="47">
        <v>5.8967999999999998</v>
      </c>
      <c r="CI70" s="47">
        <v>0.24480000000000002</v>
      </c>
      <c r="CJ70" s="47">
        <v>0.13439999999999999</v>
      </c>
      <c r="CK70" s="47">
        <v>0.24840000000000001</v>
      </c>
      <c r="CL70" s="47">
        <v>0.94379999999999997</v>
      </c>
      <c r="CM70" s="47">
        <v>0.10600000000000001</v>
      </c>
      <c r="CN70" s="47">
        <v>0.11840000000000001</v>
      </c>
      <c r="CO70" s="47">
        <v>0.21920000000000001</v>
      </c>
      <c r="CP70" s="47">
        <v>0.36479999999999996</v>
      </c>
      <c r="CQ70" s="47">
        <v>0.58560000000000001</v>
      </c>
      <c r="CR70" s="47">
        <v>0.16200000000000001</v>
      </c>
      <c r="CS70" s="47">
        <v>4.5500000000000006E-2</v>
      </c>
      <c r="CT70" s="47">
        <v>0.30360000000000004</v>
      </c>
      <c r="CU70" s="47"/>
      <c r="CV70" s="47">
        <v>7.2071999999999994</v>
      </c>
      <c r="CW70" s="47">
        <f t="shared" si="40"/>
        <v>0.28799999999999998</v>
      </c>
      <c r="CX70" s="47">
        <f t="shared" si="41"/>
        <v>0.15539999999999998</v>
      </c>
      <c r="CY70" s="47">
        <f t="shared" si="42"/>
        <v>0.28079999999999999</v>
      </c>
      <c r="CZ70" s="47">
        <f t="shared" si="43"/>
        <v>1.0043</v>
      </c>
      <c r="DA70" s="47">
        <f t="shared" si="44"/>
        <v>0.14800000000000002</v>
      </c>
      <c r="DB70" s="47">
        <f t="shared" si="45"/>
        <v>0.12640000000000001</v>
      </c>
      <c r="DC70" s="47">
        <f t="shared" si="32"/>
        <v>0.247</v>
      </c>
      <c r="DD70" s="47">
        <f t="shared" si="12"/>
        <v>0.39839999999999998</v>
      </c>
      <c r="DE70" s="47">
        <f t="shared" si="5"/>
        <v>0.63839999999999997</v>
      </c>
      <c r="DF70" s="47">
        <f t="shared" si="13"/>
        <v>0.22500000000000001</v>
      </c>
      <c r="DG70" s="47">
        <f t="shared" si="14"/>
        <v>5.1800000000000006E-2</v>
      </c>
      <c r="DH70" s="47">
        <f t="shared" si="15"/>
        <v>0.35420000000000001</v>
      </c>
      <c r="DI70" s="47"/>
      <c r="DJ70" s="47"/>
      <c r="DK70" s="47"/>
      <c r="DL70" s="47"/>
      <c r="DM70" s="47"/>
      <c r="DN70" s="47"/>
      <c r="DO70" s="47"/>
      <c r="DP70" s="47"/>
      <c r="DQ70">
        <f t="shared" si="18"/>
        <v>8.1000000000000016E-2</v>
      </c>
      <c r="DR70">
        <f t="shared" si="19"/>
        <v>0.10800000000000001</v>
      </c>
      <c r="DS70">
        <f t="shared" si="33"/>
        <v>0</v>
      </c>
      <c r="DT70">
        <f t="shared" si="34"/>
        <v>0</v>
      </c>
      <c r="DV70" s="110"/>
      <c r="DW70" s="111">
        <f t="shared" si="35"/>
        <v>200</v>
      </c>
      <c r="DX70" s="112">
        <v>0.1</v>
      </c>
      <c r="DY70" s="94">
        <v>2620</v>
      </c>
      <c r="DZ70" s="94">
        <v>2650</v>
      </c>
      <c r="EA70" s="81">
        <v>0.2</v>
      </c>
      <c r="EB70" s="113">
        <f t="shared" si="36"/>
        <v>5.4000000000000006E-2</v>
      </c>
      <c r="EC70" s="6">
        <v>1.1299999999999999</v>
      </c>
      <c r="ED70" s="92">
        <v>0</v>
      </c>
      <c r="EE70" s="92">
        <v>0</v>
      </c>
      <c r="EF70" s="92"/>
      <c r="EG70" s="204">
        <v>0.23</v>
      </c>
      <c r="EH70" s="118">
        <f>120*K70/10</f>
        <v>41.04</v>
      </c>
      <c r="EI70" s="82">
        <f>IF(AR70="","",AR70*BL70)</f>
        <v>12.059999999999999</v>
      </c>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v>46.26</v>
      </c>
      <c r="FJ70" s="6">
        <v>2.2999999999999998</v>
      </c>
      <c r="FK70" s="7">
        <f>SUM(FI70:FJ70)/100*K70</f>
        <v>1.6607519999999998</v>
      </c>
      <c r="FL70" s="6"/>
      <c r="FM70" s="80">
        <f t="shared" si="21"/>
        <v>0.35268346111719606</v>
      </c>
      <c r="FN70" s="80">
        <f t="shared" si="22"/>
        <v>0.27959772976202329</v>
      </c>
      <c r="FO70" s="115">
        <f t="shared" si="23"/>
        <v>1.2613960113960114</v>
      </c>
      <c r="FP70" s="115">
        <f t="shared" si="24"/>
        <v>5.1578213681170972E-2</v>
      </c>
      <c r="FQ70" s="116">
        <f t="shared" si="25"/>
        <v>0.10729700854700855</v>
      </c>
    </row>
    <row r="71" spans="1:173" ht="12.75" customHeight="1" x14ac:dyDescent="0.25">
      <c r="A71" s="61">
        <v>62</v>
      </c>
      <c r="B71" t="s">
        <v>287</v>
      </c>
      <c r="C71">
        <v>5227</v>
      </c>
      <c r="D71">
        <v>4193</v>
      </c>
      <c r="E71">
        <v>3938</v>
      </c>
      <c r="F71">
        <v>2874</v>
      </c>
      <c r="H71">
        <v>92.36</v>
      </c>
      <c r="I71">
        <v>37.56</v>
      </c>
      <c r="J71">
        <v>4.07</v>
      </c>
      <c r="K71">
        <v>20.18</v>
      </c>
      <c r="L71">
        <v>15.03</v>
      </c>
      <c r="M71">
        <v>4.8899999999999997</v>
      </c>
      <c r="O71">
        <v>6.42</v>
      </c>
      <c r="P71">
        <v>0.77</v>
      </c>
      <c r="Q71">
        <v>3.89</v>
      </c>
      <c r="R71">
        <v>0.03</v>
      </c>
      <c r="T71">
        <v>1.89</v>
      </c>
      <c r="U71">
        <v>10</v>
      </c>
      <c r="V71">
        <v>6.17</v>
      </c>
      <c r="X71">
        <v>31.45</v>
      </c>
      <c r="AB71">
        <v>21.419999999999995</v>
      </c>
      <c r="AC71">
        <v>87</v>
      </c>
      <c r="AD71" s="9">
        <v>48.269899999999993</v>
      </c>
      <c r="AF71">
        <v>2.4500000000000002</v>
      </c>
      <c r="AG71">
        <v>0.88</v>
      </c>
      <c r="AH71">
        <v>1.6</v>
      </c>
      <c r="AI71">
        <v>2.67</v>
      </c>
      <c r="AJ71">
        <v>2.23</v>
      </c>
      <c r="AK71">
        <v>0.55000000000000004</v>
      </c>
      <c r="AL71">
        <v>1.74</v>
      </c>
      <c r="AM71">
        <v>1.42</v>
      </c>
      <c r="AN71">
        <v>0.49</v>
      </c>
      <c r="AO71">
        <v>1.73</v>
      </c>
      <c r="AR71">
        <v>0.59</v>
      </c>
      <c r="AW71">
        <v>1.2</v>
      </c>
      <c r="AY71">
        <v>79</v>
      </c>
      <c r="AZ71">
        <v>87</v>
      </c>
      <c r="BA71">
        <v>81</v>
      </c>
      <c r="BB71">
        <v>78</v>
      </c>
      <c r="BC71">
        <v>78</v>
      </c>
      <c r="BD71">
        <v>81</v>
      </c>
      <c r="BE71">
        <v>80</v>
      </c>
      <c r="BF71">
        <v>79</v>
      </c>
      <c r="BG71">
        <v>76</v>
      </c>
      <c r="BH71">
        <v>82</v>
      </c>
      <c r="BI71">
        <v>77</v>
      </c>
      <c r="BL71">
        <v>76</v>
      </c>
      <c r="BQ71">
        <v>81</v>
      </c>
      <c r="BS71">
        <v>0.31</v>
      </c>
      <c r="BT71">
        <v>0.03</v>
      </c>
      <c r="BU71">
        <v>1.64</v>
      </c>
      <c r="BV71">
        <v>0.28000000000000003</v>
      </c>
      <c r="BW71">
        <v>0.03</v>
      </c>
      <c r="BX71">
        <v>0.53</v>
      </c>
      <c r="BY71">
        <v>0.3</v>
      </c>
      <c r="CA71">
        <v>0.33</v>
      </c>
      <c r="CB71">
        <v>39</v>
      </c>
      <c r="CC71">
        <v>48</v>
      </c>
      <c r="CD71">
        <v>78</v>
      </c>
      <c r="CE71" s="64">
        <v>85</v>
      </c>
      <c r="CF71" s="2">
        <v>18.635399999999994</v>
      </c>
      <c r="CH71" s="47">
        <v>27.7944</v>
      </c>
      <c r="CI71" s="47">
        <v>2.0580000000000003</v>
      </c>
      <c r="CJ71" s="47">
        <v>0.68640000000000001</v>
      </c>
      <c r="CK71" s="47">
        <v>1.2</v>
      </c>
      <c r="CL71" s="47">
        <v>2.0024999999999999</v>
      </c>
      <c r="CM71" s="47">
        <v>1.7616999999999998</v>
      </c>
      <c r="CN71" s="47">
        <v>0.41249999999999998</v>
      </c>
      <c r="CO71" s="47">
        <v>0.8254999999999999</v>
      </c>
      <c r="CP71" s="47">
        <v>1.3397999999999999</v>
      </c>
      <c r="CQ71" s="47">
        <v>2.2637999999999998</v>
      </c>
      <c r="CR71" s="47">
        <v>1.0082</v>
      </c>
      <c r="CS71" s="47">
        <v>0.3871</v>
      </c>
      <c r="CT71" s="47">
        <v>1.2628999999999999</v>
      </c>
      <c r="CU71" s="47"/>
      <c r="CV71" s="47">
        <v>29.672400000000003</v>
      </c>
      <c r="CW71" s="47">
        <f t="shared" si="40"/>
        <v>2.1315</v>
      </c>
      <c r="CX71" s="47">
        <f t="shared" si="41"/>
        <v>0.71279999999999999</v>
      </c>
      <c r="CY71" s="47">
        <f t="shared" si="42"/>
        <v>1.2480000000000002</v>
      </c>
      <c r="CZ71" s="47">
        <f t="shared" si="43"/>
        <v>2.0825999999999998</v>
      </c>
      <c r="DA71" s="47">
        <f t="shared" si="44"/>
        <v>1.8063</v>
      </c>
      <c r="DB71" s="47">
        <f t="shared" si="45"/>
        <v>0.44</v>
      </c>
      <c r="DC71" s="47">
        <f t="shared" si="32"/>
        <v>0.88840000000000008</v>
      </c>
      <c r="DD71" s="47">
        <f t="shared" si="12"/>
        <v>1.3746</v>
      </c>
      <c r="DE71" s="47">
        <f t="shared" si="5"/>
        <v>2.3466</v>
      </c>
      <c r="DF71" s="47">
        <f t="shared" si="13"/>
        <v>1.0791999999999999</v>
      </c>
      <c r="DG71" s="47">
        <f t="shared" si="14"/>
        <v>0.40179999999999999</v>
      </c>
      <c r="DH71" s="47">
        <f t="shared" si="15"/>
        <v>1.3321000000000001</v>
      </c>
      <c r="DI71" s="47"/>
      <c r="DJ71" s="47"/>
      <c r="DK71" s="47"/>
      <c r="DL71" s="47"/>
      <c r="DM71" s="47"/>
      <c r="DN71" s="47"/>
      <c r="DO71" s="47"/>
      <c r="DP71" s="47"/>
      <c r="DQ71">
        <f t="shared" si="18"/>
        <v>0.20670000000000002</v>
      </c>
      <c r="DR71">
        <f t="shared" si="19"/>
        <v>0.25440000000000002</v>
      </c>
      <c r="DS71">
        <f t="shared" si="33"/>
        <v>0.24179999999999999</v>
      </c>
      <c r="DT71">
        <f t="shared" si="34"/>
        <v>0.26350000000000001</v>
      </c>
      <c r="DV71" s="274"/>
      <c r="DW71" s="111">
        <f t="shared" si="35"/>
        <v>400</v>
      </c>
      <c r="DX71" s="112">
        <v>0.2</v>
      </c>
      <c r="DY71" s="94">
        <v>2556</v>
      </c>
      <c r="DZ71" s="94">
        <v>2748</v>
      </c>
      <c r="EA71" s="81">
        <v>0.31</v>
      </c>
      <c r="EB71" s="113">
        <f t="shared" si="36"/>
        <v>0.1643</v>
      </c>
      <c r="EC71" s="6">
        <v>9.1300000000000008</v>
      </c>
      <c r="ED71" s="92">
        <v>0</v>
      </c>
      <c r="EE71" s="92">
        <v>0</v>
      </c>
      <c r="EF71" s="92"/>
      <c r="EG71" s="204">
        <v>0.33</v>
      </c>
      <c r="EH71" s="107">
        <f>130*K71/10</f>
        <v>262.34000000000003</v>
      </c>
      <c r="EI71" s="82">
        <f>IF(AR71="","",AR71*BL71)</f>
        <v>44.839999999999996</v>
      </c>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v>54.83</v>
      </c>
      <c r="FJ71" s="6">
        <v>7.66</v>
      </c>
      <c r="FK71" s="7">
        <f>SUM(FI71:FJ71)/100*K71</f>
        <v>12.610481999999998</v>
      </c>
      <c r="FL71" s="6"/>
      <c r="FM71" s="80">
        <f t="shared" si="21"/>
        <v>0.63963315086910599</v>
      </c>
      <c r="FN71" s="80">
        <f t="shared" si="22"/>
        <v>0.59925093632958815</v>
      </c>
      <c r="FO71" s="115">
        <f t="shared" si="23"/>
        <v>1.0673878205128204</v>
      </c>
      <c r="FP71" s="115">
        <f t="shared" si="24"/>
        <v>0.19293191203303564</v>
      </c>
      <c r="FQ71" s="116">
        <f t="shared" si="25"/>
        <v>5.5447284345047913E-2</v>
      </c>
    </row>
    <row r="72" spans="1:173" ht="12.75" customHeight="1" x14ac:dyDescent="0.25">
      <c r="A72" s="61">
        <v>63</v>
      </c>
      <c r="B72" t="s">
        <v>288</v>
      </c>
      <c r="C72">
        <v>5306</v>
      </c>
      <c r="H72">
        <v>92.38</v>
      </c>
      <c r="I72">
        <v>42.77</v>
      </c>
      <c r="K72">
        <v>15.59</v>
      </c>
      <c r="M72">
        <v>4.8</v>
      </c>
      <c r="O72">
        <v>4.75</v>
      </c>
      <c r="P72">
        <v>0.85</v>
      </c>
      <c r="Q72">
        <v>4.01</v>
      </c>
      <c r="T72">
        <v>1.89</v>
      </c>
      <c r="U72">
        <v>8.24</v>
      </c>
      <c r="V72">
        <v>5.4</v>
      </c>
      <c r="AB72">
        <v>22.579999999999995</v>
      </c>
      <c r="AC72">
        <v>87</v>
      </c>
      <c r="AD72" s="9">
        <v>47.3583</v>
      </c>
      <c r="AF72">
        <v>3.16</v>
      </c>
      <c r="AG72">
        <v>1.07</v>
      </c>
      <c r="AH72">
        <v>1.51</v>
      </c>
      <c r="AI72">
        <v>3.34</v>
      </c>
      <c r="AJ72">
        <v>2.5</v>
      </c>
      <c r="AK72">
        <v>0.56999999999999995</v>
      </c>
      <c r="AL72">
        <v>2.25</v>
      </c>
      <c r="AM72">
        <v>1.57</v>
      </c>
      <c r="AN72">
        <v>0.48</v>
      </c>
      <c r="AO72">
        <v>1.76</v>
      </c>
      <c r="AR72">
        <v>0.61</v>
      </c>
      <c r="AW72">
        <v>1.51</v>
      </c>
      <c r="AY72">
        <v>92</v>
      </c>
      <c r="AZ72">
        <v>97</v>
      </c>
      <c r="BA72">
        <v>92</v>
      </c>
      <c r="BB72">
        <v>92</v>
      </c>
      <c r="BC72">
        <v>91</v>
      </c>
      <c r="BD72">
        <v>92</v>
      </c>
      <c r="BE72">
        <v>92</v>
      </c>
      <c r="BF72">
        <v>93</v>
      </c>
      <c r="BG72">
        <v>87</v>
      </c>
      <c r="BH72">
        <v>89</v>
      </c>
      <c r="BI72">
        <v>90</v>
      </c>
      <c r="BL72">
        <v>83</v>
      </c>
      <c r="BQ72">
        <v>92</v>
      </c>
      <c r="BS72">
        <v>0.28000000000000003</v>
      </c>
      <c r="BX72">
        <v>0.65</v>
      </c>
      <c r="CB72">
        <v>39</v>
      </c>
      <c r="CC72">
        <v>48</v>
      </c>
      <c r="CD72">
        <v>78</v>
      </c>
      <c r="CE72" s="64">
        <v>85</v>
      </c>
      <c r="CF72" s="2">
        <v>19.644599999999997</v>
      </c>
      <c r="CH72" s="47">
        <v>35.071400000000004</v>
      </c>
      <c r="CI72" s="47">
        <v>2.9388000000000001</v>
      </c>
      <c r="CJ72" s="47">
        <v>0.9416000000000001</v>
      </c>
      <c r="CK72" s="47">
        <v>1.3288</v>
      </c>
      <c r="CL72" s="47">
        <v>2.9057999999999997</v>
      </c>
      <c r="CM72" s="47">
        <v>2.2000000000000002</v>
      </c>
      <c r="CN72" s="47">
        <v>0.50159999999999993</v>
      </c>
      <c r="CO72" s="47">
        <v>0.95909999999999995</v>
      </c>
      <c r="CP72" s="47">
        <v>2.0024999999999999</v>
      </c>
      <c r="CQ72" s="47">
        <v>3.3312999999999997</v>
      </c>
      <c r="CR72" s="47">
        <v>1.2246000000000001</v>
      </c>
      <c r="CS72" s="47">
        <v>0.40799999999999997</v>
      </c>
      <c r="CT72" s="47">
        <v>1.4783999999999999</v>
      </c>
      <c r="CU72" s="47"/>
      <c r="CV72" s="47">
        <v>39.348399999999998</v>
      </c>
      <c r="CW72" s="47">
        <f t="shared" si="40"/>
        <v>3.0652000000000004</v>
      </c>
      <c r="CX72" s="47">
        <f t="shared" si="41"/>
        <v>0.98440000000000016</v>
      </c>
      <c r="CY72" s="47">
        <f t="shared" si="42"/>
        <v>1.3891999999999998</v>
      </c>
      <c r="CZ72" s="47">
        <f t="shared" si="43"/>
        <v>3.0394000000000001</v>
      </c>
      <c r="DA72" s="47">
        <f t="shared" si="44"/>
        <v>2.2999999999999998</v>
      </c>
      <c r="DB72" s="47">
        <f t="shared" si="45"/>
        <v>0.52439999999999998</v>
      </c>
      <c r="DC72" s="47">
        <f t="shared" si="32"/>
        <v>1.0306999999999999</v>
      </c>
      <c r="DD72" s="47">
        <f t="shared" si="12"/>
        <v>2.0924999999999998</v>
      </c>
      <c r="DE72" s="47">
        <f t="shared" ref="DE72:DE135" si="47">DD72+BQ72*AW72/100</f>
        <v>3.4816999999999996</v>
      </c>
      <c r="DF72" s="47">
        <f t="shared" si="13"/>
        <v>1.3659000000000001</v>
      </c>
      <c r="DG72" s="47">
        <f t="shared" si="14"/>
        <v>0.42719999999999997</v>
      </c>
      <c r="DH72" s="47">
        <f t="shared" si="15"/>
        <v>1.5840000000000001</v>
      </c>
      <c r="DI72" s="47"/>
      <c r="DJ72" s="47"/>
      <c r="DK72" s="47"/>
      <c r="DL72" s="47"/>
      <c r="DM72" s="47"/>
      <c r="DN72" s="47"/>
      <c r="DO72" s="47"/>
      <c r="DP72" s="47"/>
      <c r="DQ72">
        <f t="shared" si="18"/>
        <v>0.2535</v>
      </c>
      <c r="DR72">
        <f t="shared" si="19"/>
        <v>0.31200000000000006</v>
      </c>
      <c r="DS72">
        <f t="shared" si="33"/>
        <v>0.21840000000000004</v>
      </c>
      <c r="DT72">
        <f t="shared" si="34"/>
        <v>0.23800000000000002</v>
      </c>
      <c r="DV72" s="110"/>
      <c r="DW72" s="111">
        <f t="shared" si="35"/>
        <v>0</v>
      </c>
      <c r="DX72" s="112"/>
      <c r="DY72" s="94"/>
      <c r="DZ72" s="94"/>
      <c r="EA72" s="124"/>
      <c r="EB72" s="113">
        <f t="shared" si="36"/>
        <v>0</v>
      </c>
      <c r="EC72" s="6"/>
      <c r="ED72" s="92"/>
      <c r="EE72" s="92"/>
      <c r="EF72" s="92"/>
      <c r="EG72" s="204">
        <f t="shared" ref="EG72:EG81" si="48">BX73*0.662</f>
        <v>0.3972</v>
      </c>
      <c r="EH72" s="6"/>
      <c r="EI72" s="82"/>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v>55.05</v>
      </c>
      <c r="FJ72" s="6">
        <v>7.34</v>
      </c>
      <c r="FK72" s="7">
        <f>SUM(FI72:FJ72)/100*K72</f>
        <v>9.7266010000000005</v>
      </c>
      <c r="FL72" s="6"/>
      <c r="FM72" s="80">
        <f t="shared" si="21"/>
        <v>0.52115549121537141</v>
      </c>
      <c r="FN72" s="80">
        <f t="shared" si="22"/>
        <v>0.45706389418964261</v>
      </c>
      <c r="FO72" s="115">
        <f t="shared" si="23"/>
        <v>1.1402245896919092</v>
      </c>
      <c r="FP72" s="115">
        <f t="shared" si="24"/>
        <v>0.14055405672172139</v>
      </c>
      <c r="FQ72" s="116">
        <f t="shared" si="25"/>
        <v>7.1063829787234037E-2</v>
      </c>
    </row>
    <row r="73" spans="1:173" ht="12.75" customHeight="1" x14ac:dyDescent="0.25">
      <c r="A73" s="61">
        <v>64</v>
      </c>
      <c r="B73" t="s">
        <v>289</v>
      </c>
      <c r="C73">
        <v>5282</v>
      </c>
      <c r="H73">
        <v>94.4</v>
      </c>
      <c r="I73">
        <v>39.299999999999997</v>
      </c>
      <c r="K73">
        <v>17.7</v>
      </c>
      <c r="M73">
        <v>4.8</v>
      </c>
      <c r="O73">
        <v>5.8</v>
      </c>
      <c r="P73">
        <v>0.1</v>
      </c>
      <c r="Q73">
        <v>1.4</v>
      </c>
      <c r="T73">
        <v>1.89</v>
      </c>
      <c r="U73">
        <v>10.3</v>
      </c>
      <c r="V73">
        <v>7.5</v>
      </c>
      <c r="AB73">
        <v>24.910000000000007</v>
      </c>
      <c r="AC73">
        <v>87</v>
      </c>
      <c r="AD73" s="9">
        <v>48.713100000000004</v>
      </c>
      <c r="AF73">
        <v>2.79</v>
      </c>
      <c r="AG73">
        <v>1.02</v>
      </c>
      <c r="AH73">
        <v>1.88</v>
      </c>
      <c r="AI73">
        <v>3.01</v>
      </c>
      <c r="AJ73">
        <v>2.56</v>
      </c>
      <c r="AK73">
        <v>0.56000000000000005</v>
      </c>
      <c r="AL73">
        <v>1.96</v>
      </c>
      <c r="AM73">
        <v>1.44</v>
      </c>
      <c r="AN73">
        <v>0.61</v>
      </c>
      <c r="AO73">
        <v>1.96</v>
      </c>
      <c r="AR73">
        <v>0.65</v>
      </c>
      <c r="AW73">
        <v>1.4</v>
      </c>
      <c r="AY73">
        <v>89</v>
      </c>
      <c r="AZ73">
        <v>96</v>
      </c>
      <c r="BA73">
        <v>92</v>
      </c>
      <c r="BB73">
        <v>91</v>
      </c>
      <c r="BC73">
        <v>91</v>
      </c>
      <c r="BD73">
        <v>93</v>
      </c>
      <c r="BE73">
        <v>92</v>
      </c>
      <c r="BF73">
        <v>92</v>
      </c>
      <c r="BG73">
        <v>88</v>
      </c>
      <c r="BH73">
        <v>87</v>
      </c>
      <c r="BI73">
        <v>90</v>
      </c>
      <c r="BL73">
        <v>85</v>
      </c>
      <c r="BQ73">
        <v>91</v>
      </c>
      <c r="BS73">
        <v>0.36</v>
      </c>
      <c r="BX73">
        <v>0.6</v>
      </c>
      <c r="CB73">
        <v>39</v>
      </c>
      <c r="CC73">
        <v>48</v>
      </c>
      <c r="CD73">
        <v>78</v>
      </c>
      <c r="CE73" s="64">
        <v>85</v>
      </c>
      <c r="CF73" s="2">
        <v>21.671700000000005</v>
      </c>
      <c r="CH73" s="47">
        <v>32.225999999999999</v>
      </c>
      <c r="CI73" s="47">
        <v>2.5947000000000005</v>
      </c>
      <c r="CJ73" s="47">
        <v>0.91799999999999993</v>
      </c>
      <c r="CK73" s="47">
        <v>1.6543999999999999</v>
      </c>
      <c r="CL73" s="47">
        <v>2.6488</v>
      </c>
      <c r="CM73" s="47">
        <v>2.3040000000000003</v>
      </c>
      <c r="CN73" s="47">
        <v>0.504</v>
      </c>
      <c r="CO73" s="47">
        <v>1.0305</v>
      </c>
      <c r="CP73" s="47">
        <v>1.7444</v>
      </c>
      <c r="CQ73" s="47">
        <v>2.9763999999999999</v>
      </c>
      <c r="CR73" s="47">
        <v>1.1952</v>
      </c>
      <c r="CS73" s="47">
        <v>0.51239999999999997</v>
      </c>
      <c r="CT73" s="47">
        <v>1.6659999999999999</v>
      </c>
      <c r="CU73" s="47"/>
      <c r="CV73" s="47">
        <v>34.976999999999997</v>
      </c>
      <c r="CW73" s="47">
        <f t="shared" si="40"/>
        <v>2.6784000000000003</v>
      </c>
      <c r="CX73" s="47">
        <f t="shared" si="41"/>
        <v>0.93840000000000001</v>
      </c>
      <c r="CY73" s="47">
        <f t="shared" si="42"/>
        <v>1.7107999999999999</v>
      </c>
      <c r="CZ73" s="47">
        <f t="shared" si="43"/>
        <v>2.7390999999999996</v>
      </c>
      <c r="DA73" s="47">
        <f t="shared" si="44"/>
        <v>2.3808000000000002</v>
      </c>
      <c r="DB73" s="47">
        <f t="shared" si="45"/>
        <v>0.51519999999999999</v>
      </c>
      <c r="DC73" s="47">
        <f t="shared" si="32"/>
        <v>1.0677000000000001</v>
      </c>
      <c r="DD73" s="47">
        <f t="shared" ref="DD73:DD136" si="49">AL73*BF73/100</f>
        <v>1.8031999999999999</v>
      </c>
      <c r="DE73" s="47">
        <f t="shared" si="47"/>
        <v>3.0771999999999999</v>
      </c>
      <c r="DF73" s="47">
        <f t="shared" ref="DF73:DF136" si="50">AM73*BG73/100</f>
        <v>1.2671999999999999</v>
      </c>
      <c r="DG73" s="47">
        <f t="shared" ref="DG73:DG136" si="51">AN73*BH73/100</f>
        <v>0.53069999999999995</v>
      </c>
      <c r="DH73" s="47">
        <f t="shared" ref="DH73:DH136" si="52">AO73*BI73/100</f>
        <v>1.764</v>
      </c>
      <c r="DI73" s="47"/>
      <c r="DJ73" s="47"/>
      <c r="DK73" s="47"/>
      <c r="DL73" s="47"/>
      <c r="DM73" s="47"/>
      <c r="DN73" s="47"/>
      <c r="DO73" s="47"/>
      <c r="DP73" s="47"/>
      <c r="DQ73">
        <f t="shared" si="18"/>
        <v>0.23399999999999999</v>
      </c>
      <c r="DR73">
        <f t="shared" si="19"/>
        <v>0.28799999999999998</v>
      </c>
      <c r="DS73">
        <f t="shared" si="33"/>
        <v>0.28079999999999999</v>
      </c>
      <c r="DT73">
        <f t="shared" si="34"/>
        <v>0.30599999999999999</v>
      </c>
      <c r="DV73" s="110"/>
      <c r="DW73" s="111">
        <f t="shared" si="35"/>
        <v>0</v>
      </c>
      <c r="DX73" s="112"/>
      <c r="DY73" s="94"/>
      <c r="DZ73" s="94"/>
      <c r="EA73" s="124"/>
      <c r="EB73" s="113">
        <f t="shared" si="36"/>
        <v>0</v>
      </c>
      <c r="EC73" s="6"/>
      <c r="ED73" s="92"/>
      <c r="EE73" s="92"/>
      <c r="EF73" s="92"/>
      <c r="EG73" s="204">
        <f t="shared" si="48"/>
        <v>0.41706000000000004</v>
      </c>
      <c r="EH73" s="6"/>
      <c r="EI73" s="82"/>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7"/>
      <c r="FL73" s="6"/>
      <c r="FM73" s="80">
        <f t="shared" si="21"/>
        <v>0.64400715563506272</v>
      </c>
      <c r="FN73" s="80">
        <f t="shared" si="22"/>
        <v>0.62458471760797341</v>
      </c>
      <c r="FO73" s="115">
        <f t="shared" si="23"/>
        <v>1.0310965630114568</v>
      </c>
      <c r="FP73" s="115">
        <f t="shared" si="24"/>
        <v>0.19374977182286154</v>
      </c>
      <c r="FQ73" s="116">
        <f t="shared" si="25"/>
        <v>6.9697201017811697E-2</v>
      </c>
    </row>
    <row r="74" spans="1:173" ht="12.75" customHeight="1" x14ac:dyDescent="0.25">
      <c r="A74" s="61">
        <v>65</v>
      </c>
      <c r="B74" t="s">
        <v>290</v>
      </c>
      <c r="C74">
        <v>4784</v>
      </c>
      <c r="D74">
        <v>3717</v>
      </c>
      <c r="E74">
        <v>3336</v>
      </c>
      <c r="F74">
        <v>2129</v>
      </c>
      <c r="H74">
        <v>94.5</v>
      </c>
      <c r="I74">
        <v>55.97</v>
      </c>
      <c r="K74">
        <v>5.13</v>
      </c>
      <c r="M74">
        <v>5.7</v>
      </c>
      <c r="O74">
        <v>4.91</v>
      </c>
      <c r="P74">
        <v>0.67</v>
      </c>
      <c r="Q74">
        <v>4.58</v>
      </c>
      <c r="T74">
        <v>1.89</v>
      </c>
      <c r="U74">
        <v>9.99</v>
      </c>
      <c r="V74">
        <v>6.3</v>
      </c>
      <c r="AB74">
        <v>20.9</v>
      </c>
      <c r="AC74">
        <v>88</v>
      </c>
      <c r="AD74" s="9">
        <v>45.7042</v>
      </c>
      <c r="AF74">
        <v>4.13</v>
      </c>
      <c r="AG74">
        <v>1.39</v>
      </c>
      <c r="AH74">
        <v>2.42</v>
      </c>
      <c r="AI74">
        <v>4.09</v>
      </c>
      <c r="AJ74">
        <v>3.33</v>
      </c>
      <c r="AK74">
        <v>0.72</v>
      </c>
      <c r="AL74">
        <v>2.71</v>
      </c>
      <c r="AM74">
        <v>1.96</v>
      </c>
      <c r="AN74">
        <v>0.71</v>
      </c>
      <c r="AO74">
        <v>2.59</v>
      </c>
      <c r="AR74">
        <v>0.8</v>
      </c>
      <c r="AW74">
        <v>1.88</v>
      </c>
      <c r="AY74">
        <v>91</v>
      </c>
      <c r="AZ74">
        <v>97</v>
      </c>
      <c r="BA74">
        <v>93</v>
      </c>
      <c r="BB74">
        <v>92</v>
      </c>
      <c r="BC74">
        <v>92</v>
      </c>
      <c r="BD74">
        <v>93</v>
      </c>
      <c r="BE74">
        <v>92</v>
      </c>
      <c r="BF74">
        <v>93</v>
      </c>
      <c r="BG74">
        <v>89</v>
      </c>
      <c r="BH74">
        <v>92</v>
      </c>
      <c r="BI74">
        <v>91</v>
      </c>
      <c r="BL74">
        <v>84</v>
      </c>
      <c r="BQ74">
        <v>91</v>
      </c>
      <c r="BS74">
        <v>0.28999999999999998</v>
      </c>
      <c r="BX74">
        <v>0.63</v>
      </c>
      <c r="CB74">
        <v>39</v>
      </c>
      <c r="CC74">
        <v>48</v>
      </c>
      <c r="CD74">
        <v>78</v>
      </c>
      <c r="CE74" s="64">
        <v>85</v>
      </c>
      <c r="CF74" s="2">
        <v>18.391999999999999</v>
      </c>
      <c r="CH74" s="47">
        <v>46.455100000000002</v>
      </c>
      <c r="CI74" s="47">
        <v>3.8408999999999995</v>
      </c>
      <c r="CJ74" s="47">
        <v>1.2370999999999999</v>
      </c>
      <c r="CK74" s="47">
        <v>2.1537999999999999</v>
      </c>
      <c r="CL74" s="47">
        <v>3.6400999999999999</v>
      </c>
      <c r="CM74" s="47">
        <v>2.9637000000000002</v>
      </c>
      <c r="CN74" s="47">
        <v>0.64080000000000004</v>
      </c>
      <c r="CO74" s="47">
        <v>1.2568000000000001</v>
      </c>
      <c r="CP74" s="47">
        <v>2.4390000000000001</v>
      </c>
      <c r="CQ74" s="47">
        <v>4.0746000000000002</v>
      </c>
      <c r="CR74" s="47">
        <v>1.5875999999999999</v>
      </c>
      <c r="CS74" s="47">
        <v>0.61769999999999992</v>
      </c>
      <c r="CT74" s="47">
        <v>2.2273999999999998</v>
      </c>
      <c r="CU74" s="47"/>
      <c r="CV74" s="47">
        <v>50.932699999999997</v>
      </c>
      <c r="CW74" s="47">
        <f t="shared" si="40"/>
        <v>4.0061</v>
      </c>
      <c r="CX74" s="47">
        <f t="shared" si="41"/>
        <v>1.2926999999999997</v>
      </c>
      <c r="CY74" s="47">
        <f t="shared" si="42"/>
        <v>2.2263999999999999</v>
      </c>
      <c r="CZ74" s="47">
        <f t="shared" si="43"/>
        <v>3.7627999999999999</v>
      </c>
      <c r="DA74" s="47">
        <f t="shared" si="44"/>
        <v>3.0968999999999998</v>
      </c>
      <c r="DB74" s="47">
        <f t="shared" si="45"/>
        <v>0.66239999999999999</v>
      </c>
      <c r="DC74" s="47">
        <f t="shared" si="32"/>
        <v>1.3344</v>
      </c>
      <c r="DD74" s="47">
        <f t="shared" si="49"/>
        <v>2.5203000000000002</v>
      </c>
      <c r="DE74" s="47">
        <f t="shared" si="47"/>
        <v>4.2310999999999996</v>
      </c>
      <c r="DF74" s="47">
        <f t="shared" si="50"/>
        <v>1.7444</v>
      </c>
      <c r="DG74" s="47">
        <f t="shared" si="51"/>
        <v>0.65319999999999989</v>
      </c>
      <c r="DH74" s="47">
        <f t="shared" si="52"/>
        <v>2.3569</v>
      </c>
      <c r="DI74" s="47"/>
      <c r="DJ74" s="47"/>
      <c r="DK74" s="47"/>
      <c r="DL74" s="47"/>
      <c r="DM74" s="47"/>
      <c r="DN74" s="47"/>
      <c r="DO74" s="47"/>
      <c r="DP74" s="47"/>
      <c r="DQ74">
        <f t="shared" ref="DQ74:DQ129" si="53">CB74*BX74/100</f>
        <v>0.2457</v>
      </c>
      <c r="DR74">
        <f t="shared" ref="DR74:DR89" si="54">CC74*BX74/100</f>
        <v>0.3024</v>
      </c>
      <c r="DS74">
        <f t="shared" si="33"/>
        <v>0.22619999999999998</v>
      </c>
      <c r="DT74">
        <f t="shared" si="34"/>
        <v>0.2465</v>
      </c>
      <c r="DV74" s="110"/>
      <c r="DW74" s="111">
        <f t="shared" si="35"/>
        <v>0</v>
      </c>
      <c r="DX74" s="112"/>
      <c r="DY74" s="94"/>
      <c r="DZ74" s="94"/>
      <c r="EA74" s="124"/>
      <c r="EB74" s="113">
        <f t="shared" si="36"/>
        <v>0</v>
      </c>
      <c r="EC74" s="6"/>
      <c r="ED74" s="92"/>
      <c r="EE74" s="92"/>
      <c r="EF74" s="92"/>
      <c r="EG74" s="204">
        <f t="shared" si="48"/>
        <v>0.41706000000000004</v>
      </c>
      <c r="EH74" s="6"/>
      <c r="EI74" s="82"/>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v>55.05</v>
      </c>
      <c r="FJ74" s="6">
        <v>7.34</v>
      </c>
      <c r="FK74" s="7">
        <f t="shared" ref="FK74:FK85" si="55">SUM(FI74:FJ74)/100*K74</f>
        <v>3.2006070000000002</v>
      </c>
      <c r="FL74" s="6"/>
      <c r="FM74" s="80">
        <f t="shared" ref="FM74:FM137" si="56">DH74/CZ74</f>
        <v>0.62636866163495275</v>
      </c>
      <c r="FN74" s="80">
        <f t="shared" ref="FN74:FN137" si="57">CY74/CZ74</f>
        <v>0.59168704156479213</v>
      </c>
      <c r="FO74" s="115">
        <f t="shared" ref="FO74:FO137" si="58">DH74/CY74</f>
        <v>1.0586148041681638</v>
      </c>
      <c r="FP74" s="115">
        <f t="shared" ref="FP74:FP137" si="59">DG74/CZ74</f>
        <v>0.17359413202933982</v>
      </c>
      <c r="FQ74" s="116">
        <f t="shared" ref="FQ74:FQ137" si="60">CZ74/I74</f>
        <v>6.7228872610326965E-2</v>
      </c>
    </row>
    <row r="75" spans="1:173" ht="12.75" customHeight="1" x14ac:dyDescent="0.25">
      <c r="A75" s="61">
        <v>66</v>
      </c>
      <c r="B75" t="s">
        <v>291</v>
      </c>
      <c r="C75">
        <v>4737</v>
      </c>
      <c r="D75">
        <v>3679</v>
      </c>
      <c r="E75">
        <v>3344</v>
      </c>
      <c r="F75">
        <v>2151</v>
      </c>
      <c r="H75">
        <v>94.6</v>
      </c>
      <c r="I75">
        <v>49.33</v>
      </c>
      <c r="K75">
        <v>4.62</v>
      </c>
      <c r="M75">
        <v>5.7</v>
      </c>
      <c r="O75">
        <v>7.1</v>
      </c>
      <c r="P75">
        <v>0.18</v>
      </c>
      <c r="Q75">
        <v>1.55</v>
      </c>
      <c r="T75">
        <v>1.89</v>
      </c>
      <c r="U75">
        <v>9.98</v>
      </c>
      <c r="V75">
        <v>6.81</v>
      </c>
      <c r="AB75">
        <v>25.959999999999994</v>
      </c>
      <c r="AC75">
        <v>88</v>
      </c>
      <c r="AD75" s="9">
        <v>45.099800000000002</v>
      </c>
      <c r="AF75">
        <v>3.77</v>
      </c>
      <c r="AG75">
        <v>1.29</v>
      </c>
      <c r="AH75">
        <v>2.2400000000000002</v>
      </c>
      <c r="AI75">
        <v>3.75</v>
      </c>
      <c r="AJ75">
        <v>3.12</v>
      </c>
      <c r="AK75">
        <v>0.68</v>
      </c>
      <c r="AL75">
        <v>2.4700000000000002</v>
      </c>
      <c r="AM75">
        <v>1.81</v>
      </c>
      <c r="AN75">
        <v>0.66</v>
      </c>
      <c r="AO75">
        <v>2.4300000000000002</v>
      </c>
      <c r="AR75">
        <v>0.78</v>
      </c>
      <c r="AW75">
        <v>1.71</v>
      </c>
      <c r="AY75">
        <v>92</v>
      </c>
      <c r="AZ75">
        <v>98</v>
      </c>
      <c r="BA75">
        <v>93</v>
      </c>
      <c r="BB75">
        <v>93</v>
      </c>
      <c r="BC75">
        <v>93</v>
      </c>
      <c r="BD75">
        <v>93</v>
      </c>
      <c r="BE75">
        <v>92</v>
      </c>
      <c r="BF75">
        <v>93</v>
      </c>
      <c r="BG75">
        <v>88</v>
      </c>
      <c r="BH75">
        <v>93</v>
      </c>
      <c r="BI75">
        <v>91</v>
      </c>
      <c r="BL75">
        <v>85</v>
      </c>
      <c r="BQ75">
        <v>91</v>
      </c>
      <c r="BS75">
        <v>0.28999999999999998</v>
      </c>
      <c r="BX75">
        <v>0.63</v>
      </c>
      <c r="CB75">
        <v>39</v>
      </c>
      <c r="CC75">
        <v>48</v>
      </c>
      <c r="CD75">
        <v>78</v>
      </c>
      <c r="CE75" s="64">
        <v>85</v>
      </c>
      <c r="CF75" s="2">
        <v>22.844799999999996</v>
      </c>
      <c r="CH75" s="47">
        <v>41.437200000000004</v>
      </c>
      <c r="CI75" s="47">
        <v>3.5438000000000001</v>
      </c>
      <c r="CJ75" s="47">
        <v>1.161</v>
      </c>
      <c r="CK75" s="47">
        <v>1.9936</v>
      </c>
      <c r="CL75" s="47">
        <v>3.3374999999999999</v>
      </c>
      <c r="CM75" s="47">
        <v>2.7768000000000002</v>
      </c>
      <c r="CN75" s="47">
        <v>0.60520000000000007</v>
      </c>
      <c r="CO75" s="47">
        <v>1.2214</v>
      </c>
      <c r="CP75" s="47">
        <v>2.2230000000000003</v>
      </c>
      <c r="CQ75" s="47">
        <v>3.7107000000000001</v>
      </c>
      <c r="CR75" s="47">
        <v>1.4661000000000002</v>
      </c>
      <c r="CS75" s="47">
        <v>0.58080000000000009</v>
      </c>
      <c r="CT75" s="47">
        <v>2.0898000000000003</v>
      </c>
      <c r="CU75" s="47"/>
      <c r="CV75" s="47">
        <v>45.383599999999994</v>
      </c>
      <c r="CW75" s="47">
        <f t="shared" si="40"/>
        <v>3.6945999999999999</v>
      </c>
      <c r="CX75" s="47">
        <f t="shared" si="41"/>
        <v>1.1997</v>
      </c>
      <c r="CY75" s="47">
        <f t="shared" si="42"/>
        <v>2.0832000000000002</v>
      </c>
      <c r="CZ75" s="47">
        <f t="shared" si="43"/>
        <v>3.4874999999999998</v>
      </c>
      <c r="DA75" s="47">
        <f t="shared" si="44"/>
        <v>2.9016000000000002</v>
      </c>
      <c r="DB75" s="47">
        <f t="shared" si="45"/>
        <v>0.62560000000000004</v>
      </c>
      <c r="DC75" s="47">
        <f t="shared" ref="DC75:DC138" si="61">(AK75*BE75+BL75*AR75)/100</f>
        <v>1.2886000000000002</v>
      </c>
      <c r="DD75" s="47">
        <f t="shared" si="49"/>
        <v>2.2970999999999999</v>
      </c>
      <c r="DE75" s="47">
        <f t="shared" si="47"/>
        <v>3.8531999999999997</v>
      </c>
      <c r="DF75" s="47">
        <f t="shared" si="50"/>
        <v>1.5928</v>
      </c>
      <c r="DG75" s="47">
        <f t="shared" si="51"/>
        <v>0.61380000000000001</v>
      </c>
      <c r="DH75" s="47">
        <f t="shared" si="52"/>
        <v>2.2113</v>
      </c>
      <c r="DI75" s="47"/>
      <c r="DJ75" s="47"/>
      <c r="DK75" s="47"/>
      <c r="DL75" s="47"/>
      <c r="DM75" s="47"/>
      <c r="DN75" s="47"/>
      <c r="DO75" s="47"/>
      <c r="DP75" s="47"/>
      <c r="DQ75">
        <f t="shared" si="53"/>
        <v>0.2457</v>
      </c>
      <c r="DR75">
        <f t="shared" si="54"/>
        <v>0.3024</v>
      </c>
      <c r="DS75">
        <f t="shared" ref="DS75:DS138" si="62">BS75*CD75/100</f>
        <v>0.22619999999999998</v>
      </c>
      <c r="DT75">
        <f t="shared" ref="DT75:DT138" si="63">BS75*CE75/100</f>
        <v>0.2465</v>
      </c>
      <c r="DV75" s="110"/>
      <c r="DW75" s="111">
        <f t="shared" si="35"/>
        <v>0</v>
      </c>
      <c r="DX75" s="112"/>
      <c r="DY75" s="94"/>
      <c r="DZ75" s="94"/>
      <c r="EA75" s="124"/>
      <c r="EB75" s="113">
        <f t="shared" si="36"/>
        <v>0</v>
      </c>
      <c r="EC75" s="6"/>
      <c r="ED75" s="92"/>
      <c r="EE75" s="92"/>
      <c r="EF75" s="92"/>
      <c r="EG75" s="204">
        <f t="shared" si="48"/>
        <v>0.43692000000000003</v>
      </c>
      <c r="EH75" s="6"/>
      <c r="EI75" s="82"/>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v>55.05</v>
      </c>
      <c r="FJ75" s="6">
        <v>7.34</v>
      </c>
      <c r="FK75" s="7">
        <f t="shared" si="55"/>
        <v>2.8824179999999999</v>
      </c>
      <c r="FL75" s="6"/>
      <c r="FM75" s="80">
        <f t="shared" si="56"/>
        <v>0.63406451612903225</v>
      </c>
      <c r="FN75" s="80">
        <f t="shared" si="57"/>
        <v>0.59733333333333338</v>
      </c>
      <c r="FO75" s="115">
        <f t="shared" si="58"/>
        <v>1.061491935483871</v>
      </c>
      <c r="FP75" s="115">
        <f t="shared" si="59"/>
        <v>0.17600000000000002</v>
      </c>
      <c r="FQ75" s="116">
        <f t="shared" si="60"/>
        <v>7.0697344415163191E-2</v>
      </c>
    </row>
    <row r="76" spans="1:173" ht="12.75" customHeight="1" x14ac:dyDescent="0.25">
      <c r="A76" s="61">
        <v>67</v>
      </c>
      <c r="B76" t="s">
        <v>292</v>
      </c>
      <c r="C76">
        <v>4692</v>
      </c>
      <c r="D76">
        <v>3876</v>
      </c>
      <c r="E76">
        <v>3573</v>
      </c>
      <c r="F76">
        <v>2344</v>
      </c>
      <c r="H76">
        <v>93.85</v>
      </c>
      <c r="I76">
        <v>44.56</v>
      </c>
      <c r="J76">
        <v>5.6</v>
      </c>
      <c r="K76">
        <v>5.69</v>
      </c>
      <c r="L76">
        <v>9.8699999999999992</v>
      </c>
      <c r="M76">
        <v>5.7</v>
      </c>
      <c r="O76">
        <v>7.1</v>
      </c>
      <c r="P76">
        <v>0.77</v>
      </c>
      <c r="Q76">
        <v>4.88</v>
      </c>
      <c r="T76">
        <v>1.89</v>
      </c>
      <c r="U76">
        <v>13.84</v>
      </c>
      <c r="V76">
        <v>7.35</v>
      </c>
      <c r="AB76">
        <v>28.909999999999989</v>
      </c>
      <c r="AC76">
        <v>88</v>
      </c>
      <c r="AD76" s="9">
        <v>44.594799999999999</v>
      </c>
      <c r="AF76">
        <v>3.13</v>
      </c>
      <c r="AG76">
        <v>1.17</v>
      </c>
      <c r="AH76">
        <v>1.97</v>
      </c>
      <c r="AI76">
        <v>3.29</v>
      </c>
      <c r="AJ76">
        <v>2.85</v>
      </c>
      <c r="AK76">
        <v>0.56000000000000005</v>
      </c>
      <c r="AL76">
        <v>2.19</v>
      </c>
      <c r="AM76">
        <v>1.73</v>
      </c>
      <c r="AN76">
        <v>0.67</v>
      </c>
      <c r="AO76">
        <v>2.06</v>
      </c>
      <c r="AR76">
        <v>0.7</v>
      </c>
      <c r="AW76">
        <v>1.5</v>
      </c>
      <c r="AY76">
        <v>89</v>
      </c>
      <c r="AZ76">
        <v>96</v>
      </c>
      <c r="BA76">
        <v>91</v>
      </c>
      <c r="BB76">
        <v>91</v>
      </c>
      <c r="BC76">
        <v>89</v>
      </c>
      <c r="BD76">
        <v>90</v>
      </c>
      <c r="BE76">
        <v>91</v>
      </c>
      <c r="BF76">
        <v>90</v>
      </c>
      <c r="BG76">
        <v>85</v>
      </c>
      <c r="BH76">
        <v>89</v>
      </c>
      <c r="BI76">
        <v>88</v>
      </c>
      <c r="BL76">
        <v>83</v>
      </c>
      <c r="BQ76">
        <v>89</v>
      </c>
      <c r="BS76">
        <v>0.28000000000000003</v>
      </c>
      <c r="BX76">
        <v>0.66</v>
      </c>
      <c r="CB76">
        <v>39</v>
      </c>
      <c r="CC76">
        <v>48</v>
      </c>
      <c r="CD76">
        <v>78</v>
      </c>
      <c r="CE76" s="64">
        <v>85</v>
      </c>
      <c r="CF76" s="2">
        <v>25.440799999999989</v>
      </c>
      <c r="CH76" s="47">
        <v>37.430399999999999</v>
      </c>
      <c r="CI76" s="47">
        <v>2.9108999999999998</v>
      </c>
      <c r="CJ76" s="47">
        <v>1.0295999999999998</v>
      </c>
      <c r="CK76" s="47">
        <v>1.7335999999999998</v>
      </c>
      <c r="CL76" s="47">
        <v>2.8952</v>
      </c>
      <c r="CM76" s="47">
        <v>2.5365000000000002</v>
      </c>
      <c r="CN76" s="47">
        <v>0.49280000000000002</v>
      </c>
      <c r="CO76" s="47">
        <v>1.0387999999999999</v>
      </c>
      <c r="CP76" s="47">
        <v>1.9491000000000001</v>
      </c>
      <c r="CQ76" s="47">
        <v>3.2541000000000002</v>
      </c>
      <c r="CR76" s="47">
        <v>1.3666999999999998</v>
      </c>
      <c r="CS76" s="47">
        <v>0.58960000000000001</v>
      </c>
      <c r="CT76" s="47">
        <v>1.7716000000000001</v>
      </c>
      <c r="CU76" s="47"/>
      <c r="CV76" s="47">
        <v>39.6584</v>
      </c>
      <c r="CW76" s="47">
        <f t="shared" si="40"/>
        <v>3.0048000000000004</v>
      </c>
      <c r="CX76" s="47">
        <f t="shared" si="41"/>
        <v>1.0647</v>
      </c>
      <c r="CY76" s="47">
        <f t="shared" si="42"/>
        <v>1.7927000000000002</v>
      </c>
      <c r="CZ76" s="47">
        <f t="shared" si="43"/>
        <v>2.9281000000000001</v>
      </c>
      <c r="DA76" s="47">
        <f t="shared" si="44"/>
        <v>2.5649999999999999</v>
      </c>
      <c r="DB76" s="47">
        <f t="shared" si="45"/>
        <v>0.50960000000000005</v>
      </c>
      <c r="DC76" s="47">
        <f t="shared" si="61"/>
        <v>1.0906</v>
      </c>
      <c r="DD76" s="47">
        <f t="shared" si="49"/>
        <v>1.9709999999999999</v>
      </c>
      <c r="DE76" s="47">
        <f t="shared" si="47"/>
        <v>3.306</v>
      </c>
      <c r="DF76" s="47">
        <f t="shared" si="50"/>
        <v>1.4705000000000001</v>
      </c>
      <c r="DG76" s="47">
        <f t="shared" si="51"/>
        <v>0.59630000000000005</v>
      </c>
      <c r="DH76" s="47">
        <f t="shared" si="52"/>
        <v>1.8128</v>
      </c>
      <c r="DI76" s="47"/>
      <c r="DJ76" s="47"/>
      <c r="DK76" s="47"/>
      <c r="DL76" s="47"/>
      <c r="DM76" s="47"/>
      <c r="DN76" s="47"/>
      <c r="DO76" s="47"/>
      <c r="DP76" s="47"/>
      <c r="DQ76">
        <f t="shared" si="53"/>
        <v>0.25740000000000002</v>
      </c>
      <c r="DR76">
        <f t="shared" si="54"/>
        <v>0.31679999999999997</v>
      </c>
      <c r="DS76">
        <f t="shared" si="62"/>
        <v>0.21840000000000004</v>
      </c>
      <c r="DT76">
        <f t="shared" si="63"/>
        <v>0.23800000000000002</v>
      </c>
      <c r="DV76" s="110"/>
      <c r="DW76" s="111">
        <f t="shared" ref="DW76:DW123" si="64">DX76*2000</f>
        <v>0</v>
      </c>
      <c r="DX76" s="112"/>
      <c r="DY76" s="94"/>
      <c r="DZ76" s="94"/>
      <c r="EA76" s="124"/>
      <c r="EB76" s="113">
        <f t="shared" si="36"/>
        <v>0</v>
      </c>
      <c r="EC76" s="6"/>
      <c r="ED76" s="92"/>
      <c r="EE76" s="92"/>
      <c r="EF76" s="92"/>
      <c r="EG76" s="204">
        <v>0.4</v>
      </c>
      <c r="EH76" s="6"/>
      <c r="EI76" s="82"/>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v>55.05</v>
      </c>
      <c r="FJ76" s="6">
        <v>7.34</v>
      </c>
      <c r="FK76" s="7">
        <f t="shared" si="55"/>
        <v>3.5499910000000003</v>
      </c>
      <c r="FL76" s="6"/>
      <c r="FM76" s="80">
        <f t="shared" si="56"/>
        <v>0.61910453877941318</v>
      </c>
      <c r="FN76" s="80">
        <f t="shared" si="57"/>
        <v>0.6122400191250299</v>
      </c>
      <c r="FO76" s="115">
        <f t="shared" si="58"/>
        <v>1.0112121381156913</v>
      </c>
      <c r="FP76" s="115">
        <f t="shared" si="59"/>
        <v>0.20364741641337386</v>
      </c>
      <c r="FQ76" s="116">
        <f t="shared" si="60"/>
        <v>6.5711400359066433E-2</v>
      </c>
    </row>
    <row r="77" spans="1:173" ht="12.75" customHeight="1" x14ac:dyDescent="0.25">
      <c r="A77" s="61">
        <v>68</v>
      </c>
      <c r="B77" t="s">
        <v>293</v>
      </c>
      <c r="C77">
        <v>4710</v>
      </c>
      <c r="D77">
        <v>4210</v>
      </c>
      <c r="E77">
        <v>3903</v>
      </c>
      <c r="F77">
        <v>2598</v>
      </c>
      <c r="H77">
        <v>95.57</v>
      </c>
      <c r="I77">
        <v>45.13</v>
      </c>
      <c r="J77">
        <v>3.3</v>
      </c>
      <c r="K77">
        <v>6.64</v>
      </c>
      <c r="M77">
        <v>6.24</v>
      </c>
      <c r="T77">
        <v>1.89</v>
      </c>
      <c r="V77">
        <v>6.33</v>
      </c>
      <c r="AB77">
        <v>35.669999999999987</v>
      </c>
      <c r="AC77">
        <v>88</v>
      </c>
      <c r="AD77" s="9">
        <v>45.848399999999998</v>
      </c>
      <c r="AF77">
        <v>3.02</v>
      </c>
      <c r="AG77">
        <v>1.1399999999999999</v>
      </c>
      <c r="AH77">
        <v>1.9</v>
      </c>
      <c r="AI77">
        <v>3.21</v>
      </c>
      <c r="AJ77">
        <v>2.79</v>
      </c>
      <c r="AK77">
        <v>0.6</v>
      </c>
      <c r="AL77">
        <v>2.15</v>
      </c>
      <c r="AM77">
        <v>1.73</v>
      </c>
      <c r="AN77">
        <v>0.69</v>
      </c>
      <c r="AO77">
        <v>2.0099999999999998</v>
      </c>
      <c r="AR77">
        <v>0.72</v>
      </c>
      <c r="AW77">
        <v>1.47</v>
      </c>
      <c r="AY77">
        <v>89</v>
      </c>
      <c r="AZ77">
        <v>95</v>
      </c>
      <c r="BA77">
        <v>90</v>
      </c>
      <c r="BB77">
        <v>89</v>
      </c>
      <c r="BC77">
        <v>88</v>
      </c>
      <c r="BD77">
        <v>90</v>
      </c>
      <c r="BE77">
        <v>85</v>
      </c>
      <c r="BF77">
        <v>89</v>
      </c>
      <c r="BG77">
        <v>84</v>
      </c>
      <c r="BH77">
        <v>89</v>
      </c>
      <c r="BI77">
        <v>88</v>
      </c>
      <c r="BL77">
        <v>87</v>
      </c>
      <c r="BQ77">
        <v>87</v>
      </c>
      <c r="CB77">
        <v>39</v>
      </c>
      <c r="CC77">
        <v>48</v>
      </c>
      <c r="CD77">
        <v>78</v>
      </c>
      <c r="CE77" s="64">
        <v>85</v>
      </c>
      <c r="CF77" s="2">
        <v>31.389599999999991</v>
      </c>
      <c r="CH77" s="47">
        <v>36.555300000000003</v>
      </c>
      <c r="CI77" s="47">
        <v>2.718</v>
      </c>
      <c r="CJ77" s="47">
        <v>0.98039999999999994</v>
      </c>
      <c r="CK77" s="47">
        <v>1.615</v>
      </c>
      <c r="CL77" s="47">
        <v>2.7285000000000004</v>
      </c>
      <c r="CM77" s="47">
        <v>2.3994</v>
      </c>
      <c r="CN77" s="47">
        <v>0.48</v>
      </c>
      <c r="CO77" s="47">
        <v>1.0488</v>
      </c>
      <c r="CP77" s="47">
        <v>1.849</v>
      </c>
      <c r="CQ77" s="47">
        <v>3.0838000000000001</v>
      </c>
      <c r="CR77" s="47">
        <v>1.3148</v>
      </c>
      <c r="CS77" s="47">
        <v>0.60029999999999994</v>
      </c>
      <c r="CT77" s="47">
        <v>1.6682999999999999</v>
      </c>
      <c r="CU77" s="47"/>
      <c r="CV77" s="47">
        <v>40.165700000000001</v>
      </c>
      <c r="CW77" s="47">
        <f t="shared" si="40"/>
        <v>2.8689999999999998</v>
      </c>
      <c r="CX77" s="47">
        <f t="shared" si="41"/>
        <v>1.026</v>
      </c>
      <c r="CY77" s="47">
        <f t="shared" si="42"/>
        <v>1.6909999999999998</v>
      </c>
      <c r="CZ77" s="47">
        <f t="shared" si="43"/>
        <v>2.8248000000000002</v>
      </c>
      <c r="DA77" s="47">
        <f t="shared" si="44"/>
        <v>2.5110000000000001</v>
      </c>
      <c r="DB77" s="47">
        <f t="shared" si="45"/>
        <v>0.51</v>
      </c>
      <c r="DC77" s="47">
        <f t="shared" si="61"/>
        <v>1.1364000000000001</v>
      </c>
      <c r="DD77" s="47">
        <f t="shared" si="49"/>
        <v>1.9135</v>
      </c>
      <c r="DE77" s="47">
        <f t="shared" si="47"/>
        <v>3.1924000000000001</v>
      </c>
      <c r="DF77" s="47">
        <f t="shared" si="50"/>
        <v>1.4531999999999998</v>
      </c>
      <c r="DG77" s="47">
        <f t="shared" si="51"/>
        <v>0.61409999999999998</v>
      </c>
      <c r="DH77" s="47">
        <f t="shared" si="52"/>
        <v>1.7687999999999999</v>
      </c>
      <c r="DI77" s="47">
        <f t="shared" ref="DI77:DP77" si="65">AP77*BJ77/100</f>
        <v>0</v>
      </c>
      <c r="DJ77" s="47">
        <f t="shared" si="65"/>
        <v>0</v>
      </c>
      <c r="DK77" s="47">
        <f t="shared" si="65"/>
        <v>0.62639999999999996</v>
      </c>
      <c r="DL77" s="47">
        <f t="shared" si="65"/>
        <v>0</v>
      </c>
      <c r="DM77" s="47">
        <f t="shared" si="65"/>
        <v>0</v>
      </c>
      <c r="DN77" s="47">
        <f t="shared" si="65"/>
        <v>0</v>
      </c>
      <c r="DO77" s="47">
        <f t="shared" si="65"/>
        <v>0</v>
      </c>
      <c r="DP77" s="47">
        <f t="shared" si="65"/>
        <v>1.2788999999999999</v>
      </c>
      <c r="DQ77">
        <f t="shared" si="53"/>
        <v>0</v>
      </c>
      <c r="DR77">
        <f t="shared" si="54"/>
        <v>0</v>
      </c>
      <c r="DS77">
        <f t="shared" si="62"/>
        <v>0</v>
      </c>
      <c r="DT77">
        <f t="shared" si="63"/>
        <v>0</v>
      </c>
      <c r="DV77" s="274">
        <v>46.5</v>
      </c>
      <c r="DW77" s="111">
        <f t="shared" si="64"/>
        <v>350</v>
      </c>
      <c r="DX77" s="112">
        <v>0.17499999999999999</v>
      </c>
      <c r="DY77" s="276">
        <v>2273.9644970414201</v>
      </c>
      <c r="DZ77" s="276">
        <v>2410.4023668639052</v>
      </c>
      <c r="EA77" s="81">
        <v>0.23</v>
      </c>
      <c r="EB77" s="113">
        <f t="shared" si="36"/>
        <v>0</v>
      </c>
      <c r="EC77" s="277">
        <f>K77*0.51</f>
        <v>3.3864000000000001</v>
      </c>
      <c r="ED77" s="92">
        <v>0</v>
      </c>
      <c r="EE77" s="92">
        <v>0</v>
      </c>
      <c r="EF77" s="92"/>
      <c r="EG77" s="204">
        <v>0.38</v>
      </c>
      <c r="EH77" s="118">
        <f>130*K77/10</f>
        <v>86.32</v>
      </c>
      <c r="EI77" s="82">
        <f t="shared" ref="EI77:EI115" si="66">IF(AR77="","",AR77*BL77)</f>
        <v>62.64</v>
      </c>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v>55.05</v>
      </c>
      <c r="FJ77" s="6">
        <v>7.34</v>
      </c>
      <c r="FK77" s="7">
        <f t="shared" si="55"/>
        <v>4.1426959999999999</v>
      </c>
      <c r="FL77" s="6"/>
      <c r="FM77" s="80">
        <f t="shared" si="56"/>
        <v>0.62616822429906538</v>
      </c>
      <c r="FN77" s="80">
        <f t="shared" si="57"/>
        <v>0.59862645143018967</v>
      </c>
      <c r="FO77" s="115">
        <f t="shared" si="58"/>
        <v>1.0460082791247782</v>
      </c>
      <c r="FP77" s="115">
        <f t="shared" si="59"/>
        <v>0.21739592183517414</v>
      </c>
      <c r="FQ77" s="116">
        <f t="shared" si="60"/>
        <v>6.2592510525149567E-2</v>
      </c>
    </row>
    <row r="78" spans="1:173" x14ac:dyDescent="0.25">
      <c r="A78" s="61">
        <v>69</v>
      </c>
      <c r="B78" t="s">
        <v>294</v>
      </c>
      <c r="C78">
        <v>4257</v>
      </c>
      <c r="D78">
        <v>3681</v>
      </c>
      <c r="E78">
        <v>3382</v>
      </c>
      <c r="F78">
        <v>2148</v>
      </c>
      <c r="H78">
        <v>88.79</v>
      </c>
      <c r="I78">
        <v>43.9</v>
      </c>
      <c r="J78">
        <v>6.6</v>
      </c>
      <c r="K78">
        <v>1.24</v>
      </c>
      <c r="M78">
        <v>6.38</v>
      </c>
      <c r="O78">
        <v>7.63</v>
      </c>
      <c r="P78">
        <v>0.9</v>
      </c>
      <c r="Q78">
        <v>4.32</v>
      </c>
      <c r="R78">
        <v>0.12</v>
      </c>
      <c r="T78">
        <v>1.89</v>
      </c>
      <c r="U78">
        <v>9.82</v>
      </c>
      <c r="V78">
        <v>6.66</v>
      </c>
      <c r="X78">
        <v>17.48</v>
      </c>
      <c r="AB78">
        <v>27.750000000000004</v>
      </c>
      <c r="AC78">
        <v>88</v>
      </c>
      <c r="AD78" s="9">
        <v>40.572900000000004</v>
      </c>
      <c r="AF78">
        <v>3.17</v>
      </c>
      <c r="AG78">
        <v>1.26</v>
      </c>
      <c r="AH78">
        <v>1.96</v>
      </c>
      <c r="AI78">
        <v>3.43</v>
      </c>
      <c r="AJ78">
        <v>2.76</v>
      </c>
      <c r="AK78">
        <v>0.6</v>
      </c>
      <c r="AL78">
        <v>2.2599999999999998</v>
      </c>
      <c r="AM78">
        <v>1.76</v>
      </c>
      <c r="AN78">
        <v>0.59</v>
      </c>
      <c r="AO78">
        <v>1.93</v>
      </c>
      <c r="AR78">
        <v>0.68</v>
      </c>
      <c r="AW78">
        <v>1.55</v>
      </c>
      <c r="AY78">
        <v>85</v>
      </c>
      <c r="AZ78">
        <v>92</v>
      </c>
      <c r="BA78">
        <v>86</v>
      </c>
      <c r="BB78">
        <v>88</v>
      </c>
      <c r="BC78">
        <v>86</v>
      </c>
      <c r="BD78">
        <v>88</v>
      </c>
      <c r="BE78">
        <v>89</v>
      </c>
      <c r="BF78">
        <v>87</v>
      </c>
      <c r="BG78">
        <v>83</v>
      </c>
      <c r="BH78">
        <v>90</v>
      </c>
      <c r="BI78">
        <v>84</v>
      </c>
      <c r="BL78">
        <v>84</v>
      </c>
      <c r="BQ78">
        <v>86</v>
      </c>
      <c r="BS78">
        <v>0.35</v>
      </c>
      <c r="BT78">
        <v>0.05</v>
      </c>
      <c r="BU78">
        <v>1.96</v>
      </c>
      <c r="BV78">
        <v>0.28999999999999998</v>
      </c>
      <c r="BW78">
        <v>0.01</v>
      </c>
      <c r="BX78">
        <v>0.64</v>
      </c>
      <c r="BY78">
        <v>0.39</v>
      </c>
      <c r="CA78">
        <v>0.36</v>
      </c>
      <c r="CB78">
        <v>39</v>
      </c>
      <c r="CC78">
        <v>48</v>
      </c>
      <c r="CD78">
        <v>78</v>
      </c>
      <c r="CE78" s="64">
        <v>85</v>
      </c>
      <c r="CF78" s="2">
        <v>24.420000000000005</v>
      </c>
      <c r="CH78" s="47">
        <v>35.119999999999997</v>
      </c>
      <c r="CI78" s="47">
        <v>2.8530000000000002</v>
      </c>
      <c r="CJ78" s="47">
        <v>1.0584</v>
      </c>
      <c r="CK78" s="47">
        <v>1.6463999999999999</v>
      </c>
      <c r="CL78" s="47">
        <v>2.8468999999999998</v>
      </c>
      <c r="CM78" s="47">
        <v>2.3460000000000001</v>
      </c>
      <c r="CN78" s="47">
        <v>0.51</v>
      </c>
      <c r="CO78" s="47">
        <v>1.0268000000000002</v>
      </c>
      <c r="CP78" s="47">
        <v>1.921</v>
      </c>
      <c r="CQ78" s="47">
        <v>3.2075</v>
      </c>
      <c r="CR78" s="47">
        <v>1.3728</v>
      </c>
      <c r="CS78" s="47">
        <v>0.50149999999999995</v>
      </c>
      <c r="CT78" s="47">
        <v>1.5246999999999999</v>
      </c>
      <c r="CU78" s="47"/>
      <c r="CV78" s="47">
        <v>37.314999999999998</v>
      </c>
      <c r="CW78" s="47">
        <f t="shared" si="40"/>
        <v>2.9163999999999999</v>
      </c>
      <c r="CX78" s="47">
        <f t="shared" si="41"/>
        <v>1.0835999999999999</v>
      </c>
      <c r="CY78" s="47">
        <f t="shared" si="42"/>
        <v>1.7247999999999999</v>
      </c>
      <c r="CZ78" s="47">
        <f t="shared" si="43"/>
        <v>2.9498000000000002</v>
      </c>
      <c r="DA78" s="47">
        <f t="shared" si="44"/>
        <v>2.4287999999999998</v>
      </c>
      <c r="DB78" s="47">
        <f t="shared" si="45"/>
        <v>0.53400000000000003</v>
      </c>
      <c r="DC78" s="47">
        <f t="shared" si="61"/>
        <v>1.1052000000000002</v>
      </c>
      <c r="DD78" s="47">
        <f t="shared" si="49"/>
        <v>1.9661999999999997</v>
      </c>
      <c r="DE78" s="47">
        <f t="shared" si="47"/>
        <v>3.2991999999999999</v>
      </c>
      <c r="DF78" s="47">
        <f t="shared" si="50"/>
        <v>1.4608000000000001</v>
      </c>
      <c r="DG78" s="47">
        <f t="shared" si="51"/>
        <v>0.53099999999999992</v>
      </c>
      <c r="DH78" s="47">
        <f t="shared" si="52"/>
        <v>1.6212</v>
      </c>
      <c r="DI78" s="47"/>
      <c r="DJ78" s="47"/>
      <c r="DK78" s="47"/>
      <c r="DL78" s="47"/>
      <c r="DM78" s="47"/>
      <c r="DN78" s="47"/>
      <c r="DO78" s="47"/>
      <c r="DP78" s="47"/>
      <c r="DQ78">
        <f t="shared" si="53"/>
        <v>0.24960000000000002</v>
      </c>
      <c r="DR78">
        <f t="shared" si="54"/>
        <v>0.30719999999999997</v>
      </c>
      <c r="DS78">
        <f t="shared" si="62"/>
        <v>0.27299999999999996</v>
      </c>
      <c r="DT78">
        <f t="shared" si="63"/>
        <v>0.29749999999999999</v>
      </c>
      <c r="DV78" s="278">
        <v>43.8</v>
      </c>
      <c r="DW78" s="111">
        <f t="shared" si="64"/>
        <v>310</v>
      </c>
      <c r="DX78" s="112">
        <v>0.155</v>
      </c>
      <c r="DY78" s="94">
        <v>1920</v>
      </c>
      <c r="DZ78" s="94">
        <v>2070</v>
      </c>
      <c r="EA78" s="81">
        <v>0.31</v>
      </c>
      <c r="EB78" s="113">
        <f t="shared" si="36"/>
        <v>0.19839999999999999</v>
      </c>
      <c r="EC78" s="6">
        <v>0.69</v>
      </c>
      <c r="ED78" s="92">
        <v>0</v>
      </c>
      <c r="EE78" s="92">
        <v>0</v>
      </c>
      <c r="EF78" s="92"/>
      <c r="EG78" s="204">
        <v>0.36</v>
      </c>
      <c r="EH78" s="118">
        <f>130*K78/10</f>
        <v>16.119999999999997</v>
      </c>
      <c r="EI78" s="82">
        <f t="shared" si="66"/>
        <v>57.120000000000005</v>
      </c>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v>55.05</v>
      </c>
      <c r="FJ78" s="6">
        <v>7.34</v>
      </c>
      <c r="FK78" s="7">
        <f t="shared" si="55"/>
        <v>0.77363599999999999</v>
      </c>
      <c r="FL78" s="6"/>
      <c r="FM78" s="80">
        <f t="shared" si="56"/>
        <v>0.54959658281917412</v>
      </c>
      <c r="FN78" s="80">
        <f t="shared" si="57"/>
        <v>0.58471760797342187</v>
      </c>
      <c r="FO78" s="115">
        <f t="shared" si="58"/>
        <v>0.93993506493506496</v>
      </c>
      <c r="FP78" s="115">
        <f t="shared" si="59"/>
        <v>0.18001220421723502</v>
      </c>
      <c r="FQ78" s="116">
        <f t="shared" si="60"/>
        <v>6.7193621867881553E-2</v>
      </c>
    </row>
    <row r="79" spans="1:173" ht="12.75" customHeight="1" x14ac:dyDescent="0.25">
      <c r="A79" s="61">
        <v>70</v>
      </c>
      <c r="B79" t="s">
        <v>295</v>
      </c>
      <c r="C79">
        <v>4256</v>
      </c>
      <c r="D79">
        <v>3619</v>
      </c>
      <c r="E79">
        <v>3294</v>
      </c>
      <c r="F79">
        <f>F24*0.9</f>
        <v>2404.8000000000002</v>
      </c>
      <c r="G79">
        <f>F79/F24</f>
        <v>0.9</v>
      </c>
      <c r="H79">
        <v>89.98</v>
      </c>
      <c r="I79">
        <v>47.73</v>
      </c>
      <c r="J79">
        <v>3.89</v>
      </c>
      <c r="K79">
        <v>1.52</v>
      </c>
      <c r="L79">
        <v>2.86</v>
      </c>
      <c r="M79">
        <v>6.27</v>
      </c>
      <c r="N79">
        <v>0</v>
      </c>
      <c r="O79">
        <v>4.3</v>
      </c>
      <c r="P79">
        <v>3.78</v>
      </c>
      <c r="Q79">
        <v>7.33</v>
      </c>
      <c r="R79">
        <v>0</v>
      </c>
      <c r="S79">
        <v>3.81</v>
      </c>
      <c r="T79">
        <v>1.89</v>
      </c>
      <c r="U79">
        <v>8.2100000000000009</v>
      </c>
      <c r="V79">
        <v>5.28</v>
      </c>
      <c r="W79">
        <v>1.1000000000000001</v>
      </c>
      <c r="X79">
        <v>16.71</v>
      </c>
      <c r="AB79">
        <v>28.270000000000007</v>
      </c>
      <c r="AC79">
        <v>88</v>
      </c>
      <c r="AD79" s="9">
        <v>41.477900000000005</v>
      </c>
      <c r="AF79">
        <v>3.45</v>
      </c>
      <c r="AG79">
        <v>1.28</v>
      </c>
      <c r="AH79">
        <v>2.14</v>
      </c>
      <c r="AI79">
        <v>3.62</v>
      </c>
      <c r="AJ79">
        <v>2.96</v>
      </c>
      <c r="AK79">
        <v>0.66</v>
      </c>
      <c r="AL79">
        <v>2.4</v>
      </c>
      <c r="AM79">
        <v>1.86</v>
      </c>
      <c r="AN79">
        <v>0.66</v>
      </c>
      <c r="AO79">
        <v>2.23</v>
      </c>
      <c r="AP79">
        <v>2.06</v>
      </c>
      <c r="AQ79">
        <v>5.41</v>
      </c>
      <c r="AR79">
        <v>0.7</v>
      </c>
      <c r="AS79">
        <v>8.5399999999999991</v>
      </c>
      <c r="AT79">
        <v>1.99</v>
      </c>
      <c r="AU79">
        <v>2.5299999999999998</v>
      </c>
      <c r="AV79">
        <v>2.36</v>
      </c>
      <c r="AW79">
        <v>1.59</v>
      </c>
      <c r="AY79">
        <v>87</v>
      </c>
      <c r="AZ79">
        <v>94</v>
      </c>
      <c r="BA79">
        <v>90</v>
      </c>
      <c r="BB79">
        <v>89</v>
      </c>
      <c r="BC79">
        <v>88</v>
      </c>
      <c r="BD79">
        <v>89</v>
      </c>
      <c r="BE79">
        <v>90</v>
      </c>
      <c r="BF79">
        <v>88</v>
      </c>
      <c r="BG79">
        <v>85</v>
      </c>
      <c r="BH79">
        <v>91</v>
      </c>
      <c r="BI79">
        <v>87</v>
      </c>
      <c r="BJ79">
        <v>85</v>
      </c>
      <c r="BK79">
        <v>87</v>
      </c>
      <c r="BL79">
        <v>84</v>
      </c>
      <c r="BM79">
        <v>89</v>
      </c>
      <c r="BN79">
        <v>84</v>
      </c>
      <c r="BO79">
        <v>113</v>
      </c>
      <c r="BP79">
        <v>89</v>
      </c>
      <c r="BQ79">
        <v>88</v>
      </c>
      <c r="BS79">
        <v>0.33</v>
      </c>
      <c r="BT79">
        <v>4.9000000000000002E-2</v>
      </c>
      <c r="BU79">
        <v>2.2400000000000002</v>
      </c>
      <c r="BV79">
        <v>0.27</v>
      </c>
      <c r="BW79">
        <v>0.08</v>
      </c>
      <c r="BX79">
        <v>0.71</v>
      </c>
      <c r="BY79">
        <v>0.4</v>
      </c>
      <c r="CA79">
        <v>0.38</v>
      </c>
      <c r="CB79">
        <v>39</v>
      </c>
      <c r="CC79">
        <v>48</v>
      </c>
      <c r="CD79">
        <v>78</v>
      </c>
      <c r="CE79" s="64">
        <v>85</v>
      </c>
      <c r="CF79" s="2">
        <v>24.877600000000008</v>
      </c>
      <c r="CH79" s="47">
        <v>39.138599999999997</v>
      </c>
      <c r="CI79" s="47">
        <v>3.1740000000000004</v>
      </c>
      <c r="CJ79" s="47">
        <v>1.1135999999999999</v>
      </c>
      <c r="CK79" s="47">
        <v>1.8618000000000001</v>
      </c>
      <c r="CL79" s="47">
        <v>3.1132</v>
      </c>
      <c r="CM79" s="47">
        <v>2.5751999999999997</v>
      </c>
      <c r="CN79" s="47">
        <v>0.58080000000000009</v>
      </c>
      <c r="CO79" s="47">
        <v>1.1337999999999999</v>
      </c>
      <c r="CP79" s="47">
        <v>2.0640000000000001</v>
      </c>
      <c r="CQ79" s="47">
        <v>3.3996000000000004</v>
      </c>
      <c r="CR79" s="47">
        <v>1.4880000000000002</v>
      </c>
      <c r="CS79" s="47">
        <v>0.58080000000000009</v>
      </c>
      <c r="CT79" s="47">
        <v>1.8509</v>
      </c>
      <c r="CU79" s="47"/>
      <c r="CV79" s="47">
        <v>41.525099999999995</v>
      </c>
      <c r="CW79" s="47">
        <f t="shared" si="40"/>
        <v>3.2430000000000003</v>
      </c>
      <c r="CX79" s="47">
        <f t="shared" si="41"/>
        <v>1.1520000000000001</v>
      </c>
      <c r="CY79" s="47">
        <f t="shared" si="42"/>
        <v>1.9046000000000001</v>
      </c>
      <c r="CZ79" s="47">
        <f t="shared" si="43"/>
        <v>3.1856</v>
      </c>
      <c r="DA79" s="47">
        <f t="shared" si="44"/>
        <v>2.6343999999999999</v>
      </c>
      <c r="DB79" s="47">
        <f t="shared" si="45"/>
        <v>0.59400000000000008</v>
      </c>
      <c r="DC79" s="47">
        <f t="shared" si="61"/>
        <v>1.1819999999999999</v>
      </c>
      <c r="DD79" s="47">
        <f t="shared" si="49"/>
        <v>2.1120000000000001</v>
      </c>
      <c r="DE79" s="47">
        <f t="shared" si="47"/>
        <v>3.5112000000000005</v>
      </c>
      <c r="DF79" s="47">
        <f t="shared" si="50"/>
        <v>1.581</v>
      </c>
      <c r="DG79" s="47">
        <f t="shared" si="51"/>
        <v>0.60060000000000002</v>
      </c>
      <c r="DH79" s="47">
        <f t="shared" si="52"/>
        <v>1.9400999999999999</v>
      </c>
      <c r="DI79" s="47"/>
      <c r="DJ79" s="47"/>
      <c r="DK79" s="47"/>
      <c r="DL79" s="47"/>
      <c r="DM79" s="47"/>
      <c r="DN79" s="47"/>
      <c r="DO79" s="47"/>
      <c r="DP79" s="47"/>
      <c r="DQ79">
        <f t="shared" si="53"/>
        <v>0.27689999999999998</v>
      </c>
      <c r="DR79">
        <f t="shared" si="54"/>
        <v>0.34079999999999999</v>
      </c>
      <c r="DS79">
        <f t="shared" si="62"/>
        <v>0.25740000000000002</v>
      </c>
      <c r="DT79">
        <f t="shared" si="63"/>
        <v>0.28050000000000003</v>
      </c>
      <c r="DV79" s="274">
        <v>46.5</v>
      </c>
      <c r="DW79" s="217">
        <f t="shared" si="64"/>
        <v>300</v>
      </c>
      <c r="DX79" s="218">
        <f>'DDGS Calculator'!D6/2000</f>
        <v>0.15</v>
      </c>
      <c r="DY79" s="94">
        <v>2000</v>
      </c>
      <c r="DZ79" s="94">
        <v>2120</v>
      </c>
      <c r="EA79" s="69">
        <v>0.23</v>
      </c>
      <c r="EB79" s="91">
        <f t="shared" si="36"/>
        <v>0.1633</v>
      </c>
      <c r="EC79" s="6">
        <v>0.6</v>
      </c>
      <c r="ED79" s="92">
        <v>0</v>
      </c>
      <c r="EE79" s="92">
        <v>0</v>
      </c>
      <c r="EF79" s="92"/>
      <c r="EG79" s="219">
        <v>0.47</v>
      </c>
      <c r="EH79" s="118">
        <f>125*K79/10</f>
        <v>19</v>
      </c>
      <c r="EI79" s="220">
        <f t="shared" si="66"/>
        <v>58.8</v>
      </c>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v>55.05</v>
      </c>
      <c r="FJ79" s="6">
        <v>7.34</v>
      </c>
      <c r="FK79" s="7">
        <f t="shared" si="55"/>
        <v>0.94832800000000006</v>
      </c>
      <c r="FL79" s="6"/>
      <c r="FM79" s="200">
        <f t="shared" si="56"/>
        <v>0.60902184831742845</v>
      </c>
      <c r="FN79" s="200">
        <f t="shared" si="57"/>
        <v>0.59787795077850325</v>
      </c>
      <c r="FO79" s="191">
        <f t="shared" si="58"/>
        <v>1.0186390843221673</v>
      </c>
      <c r="FP79" s="191">
        <f t="shared" si="59"/>
        <v>0.18853591160220995</v>
      </c>
      <c r="FQ79" s="194">
        <f t="shared" si="60"/>
        <v>6.6742090928137446E-2</v>
      </c>
    </row>
    <row r="80" spans="1:173" ht="12.75" customHeight="1" x14ac:dyDescent="0.25">
      <c r="A80" s="61">
        <v>71</v>
      </c>
      <c r="B80" t="s">
        <v>296</v>
      </c>
      <c r="C80">
        <v>4378</v>
      </c>
      <c r="D80">
        <v>3717</v>
      </c>
      <c r="E80">
        <v>3369</v>
      </c>
      <c r="F80">
        <v>2137</v>
      </c>
      <c r="H80">
        <v>88.66</v>
      </c>
      <c r="I80">
        <v>51.17</v>
      </c>
      <c r="J80">
        <v>3.62</v>
      </c>
      <c r="K80">
        <v>1.1000000000000001</v>
      </c>
      <c r="M80">
        <v>6.19</v>
      </c>
      <c r="O80">
        <v>4.28</v>
      </c>
      <c r="P80">
        <v>0.68</v>
      </c>
      <c r="Q80">
        <v>3.12</v>
      </c>
      <c r="T80">
        <v>1.89</v>
      </c>
      <c r="U80">
        <v>5.5</v>
      </c>
      <c r="V80">
        <v>2.95</v>
      </c>
      <c r="AB80">
        <v>24.02999999999999</v>
      </c>
      <c r="AC80">
        <v>88</v>
      </c>
      <c r="AD80" s="9">
        <v>41.284799999999997</v>
      </c>
      <c r="AF80">
        <v>3.78</v>
      </c>
      <c r="AG80">
        <v>1.31</v>
      </c>
      <c r="AH80">
        <v>2.36</v>
      </c>
      <c r="AI80">
        <v>3.87</v>
      </c>
      <c r="AJ80">
        <v>3.11</v>
      </c>
      <c r="AK80">
        <v>0.68</v>
      </c>
      <c r="AL80">
        <v>2.59</v>
      </c>
      <c r="AM80">
        <v>1.92</v>
      </c>
      <c r="AN80">
        <v>0.68</v>
      </c>
      <c r="AO80">
        <v>2.48</v>
      </c>
      <c r="AR80">
        <v>0.79</v>
      </c>
      <c r="AW80">
        <v>1.98</v>
      </c>
      <c r="AY80">
        <v>85</v>
      </c>
      <c r="AZ80">
        <v>92</v>
      </c>
      <c r="BA80">
        <v>88</v>
      </c>
      <c r="BB80">
        <v>84</v>
      </c>
      <c r="BC80">
        <v>85</v>
      </c>
      <c r="BD80">
        <v>87</v>
      </c>
      <c r="BE80">
        <v>89</v>
      </c>
      <c r="BF80">
        <v>84</v>
      </c>
      <c r="BG80">
        <v>81</v>
      </c>
      <c r="BH80">
        <v>85</v>
      </c>
      <c r="BI80">
        <v>84</v>
      </c>
      <c r="BL80">
        <v>78</v>
      </c>
      <c r="BQ80">
        <v>88</v>
      </c>
      <c r="BS80">
        <v>0.56000000000000005</v>
      </c>
      <c r="BX80">
        <v>0.77</v>
      </c>
      <c r="CB80">
        <v>39</v>
      </c>
      <c r="CC80">
        <v>48</v>
      </c>
      <c r="CD80">
        <v>78</v>
      </c>
      <c r="CE80" s="64">
        <v>85</v>
      </c>
      <c r="CF80" s="2">
        <v>21.146399999999989</v>
      </c>
      <c r="CH80" s="47">
        <v>40.936000000000007</v>
      </c>
      <c r="CI80" s="47">
        <v>3.4019999999999997</v>
      </c>
      <c r="CJ80" s="47">
        <v>1.1266</v>
      </c>
      <c r="CK80" s="47">
        <v>1.9351999999999998</v>
      </c>
      <c r="CL80" s="47">
        <v>3.2121000000000004</v>
      </c>
      <c r="CM80" s="47">
        <v>2.6434999999999995</v>
      </c>
      <c r="CN80" s="47">
        <v>0.59160000000000001</v>
      </c>
      <c r="CO80" s="47">
        <v>1.1762000000000001</v>
      </c>
      <c r="CP80" s="47">
        <v>2.1238000000000001</v>
      </c>
      <c r="CQ80" s="47">
        <v>3.7869999999999999</v>
      </c>
      <c r="CR80" s="47">
        <v>1.4591999999999998</v>
      </c>
      <c r="CS80" s="47">
        <v>0.56440000000000001</v>
      </c>
      <c r="CT80" s="47">
        <v>2.0087999999999999</v>
      </c>
      <c r="CU80" s="47"/>
      <c r="CV80" s="47">
        <v>43.494499999999995</v>
      </c>
      <c r="CW80" s="47">
        <f t="shared" si="40"/>
        <v>3.4775999999999998</v>
      </c>
      <c r="CX80" s="47">
        <f t="shared" si="41"/>
        <v>1.1528</v>
      </c>
      <c r="CY80" s="47">
        <f t="shared" si="42"/>
        <v>1.9823999999999997</v>
      </c>
      <c r="CZ80" s="47">
        <f t="shared" si="43"/>
        <v>3.2894999999999999</v>
      </c>
      <c r="DA80" s="47">
        <f t="shared" si="44"/>
        <v>2.7056999999999998</v>
      </c>
      <c r="DB80" s="47">
        <f t="shared" si="45"/>
        <v>0.60520000000000007</v>
      </c>
      <c r="DC80" s="47">
        <f t="shared" si="61"/>
        <v>1.2214</v>
      </c>
      <c r="DD80" s="47">
        <f t="shared" si="49"/>
        <v>2.1756000000000002</v>
      </c>
      <c r="DE80" s="47">
        <f t="shared" si="47"/>
        <v>3.9180000000000001</v>
      </c>
      <c r="DF80" s="47">
        <f t="shared" si="50"/>
        <v>1.5551999999999999</v>
      </c>
      <c r="DG80" s="47">
        <f t="shared" si="51"/>
        <v>0.57800000000000007</v>
      </c>
      <c r="DH80" s="47">
        <f t="shared" si="52"/>
        <v>2.0831999999999997</v>
      </c>
      <c r="DI80" s="47"/>
      <c r="DJ80" s="47"/>
      <c r="DK80" s="47"/>
      <c r="DL80" s="47"/>
      <c r="DM80" s="47"/>
      <c r="DN80" s="47"/>
      <c r="DO80" s="47"/>
      <c r="DP80" s="47"/>
      <c r="DQ80">
        <f t="shared" si="53"/>
        <v>0.30030000000000001</v>
      </c>
      <c r="DR80">
        <f t="shared" si="54"/>
        <v>0.36959999999999998</v>
      </c>
      <c r="DS80">
        <f t="shared" si="62"/>
        <v>0.43680000000000008</v>
      </c>
      <c r="DT80">
        <f t="shared" si="63"/>
        <v>0.47600000000000003</v>
      </c>
      <c r="DV80" s="274"/>
      <c r="DW80" s="111">
        <f t="shared" si="64"/>
        <v>640</v>
      </c>
      <c r="DX80" s="112">
        <v>0.32</v>
      </c>
      <c r="DY80" s="96">
        <v>0</v>
      </c>
      <c r="DZ80" s="96">
        <v>0</v>
      </c>
      <c r="EA80" s="81">
        <v>0.31</v>
      </c>
      <c r="EB80" s="113">
        <f t="shared" si="36"/>
        <v>0.2387</v>
      </c>
      <c r="EC80" s="92">
        <v>0</v>
      </c>
      <c r="ED80" s="92">
        <v>0</v>
      </c>
      <c r="EE80" s="92">
        <v>0</v>
      </c>
      <c r="EF80" s="92"/>
      <c r="EG80" s="204">
        <v>0.44</v>
      </c>
      <c r="EH80" s="92">
        <v>0</v>
      </c>
      <c r="EI80" s="82">
        <f t="shared" si="66"/>
        <v>61.620000000000005</v>
      </c>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v>55.05</v>
      </c>
      <c r="FJ80" s="6">
        <v>7.34</v>
      </c>
      <c r="FK80" s="7">
        <f t="shared" si="55"/>
        <v>0.68629000000000007</v>
      </c>
      <c r="FL80" s="6"/>
      <c r="FM80" s="80">
        <f t="shared" si="56"/>
        <v>0.63328773369813041</v>
      </c>
      <c r="FN80" s="80">
        <f t="shared" si="57"/>
        <v>0.60264477884176926</v>
      </c>
      <c r="FO80" s="115">
        <f t="shared" si="58"/>
        <v>1.0508474576271187</v>
      </c>
      <c r="FP80" s="115">
        <f t="shared" si="59"/>
        <v>0.17571059431524549</v>
      </c>
      <c r="FQ80" s="116">
        <f t="shared" si="60"/>
        <v>6.4285714285714279E-2</v>
      </c>
    </row>
    <row r="81" spans="1:173" ht="12.75" customHeight="1" x14ac:dyDescent="0.25">
      <c r="A81" s="61">
        <v>72</v>
      </c>
      <c r="B81" t="s">
        <v>297</v>
      </c>
      <c r="C81">
        <v>4451</v>
      </c>
      <c r="D81">
        <v>3914</v>
      </c>
      <c r="E81">
        <v>3536</v>
      </c>
      <c r="H81">
        <v>92.7</v>
      </c>
      <c r="I81">
        <v>55.62</v>
      </c>
      <c r="J81">
        <v>4.0599999999999996</v>
      </c>
      <c r="K81">
        <v>1.82</v>
      </c>
      <c r="M81">
        <v>7.05</v>
      </c>
      <c r="T81">
        <v>1.89</v>
      </c>
      <c r="AB81">
        <v>26.320000000000004</v>
      </c>
      <c r="AC81">
        <v>88</v>
      </c>
      <c r="AD81" s="9">
        <v>43.537400000000005</v>
      </c>
      <c r="AF81">
        <v>3.95</v>
      </c>
      <c r="AG81">
        <v>1.41</v>
      </c>
      <c r="AH81">
        <v>2.48</v>
      </c>
      <c r="AI81">
        <v>4.09</v>
      </c>
      <c r="AJ81">
        <v>3.2</v>
      </c>
      <c r="AK81">
        <v>0.71</v>
      </c>
      <c r="AL81">
        <v>2.78</v>
      </c>
      <c r="AM81">
        <v>2.13</v>
      </c>
      <c r="AN81">
        <v>0.72</v>
      </c>
      <c r="AO81">
        <v>2.57</v>
      </c>
      <c r="AR81">
        <v>0.78</v>
      </c>
      <c r="AW81">
        <v>2.0299999999999998</v>
      </c>
      <c r="AY81">
        <v>88</v>
      </c>
      <c r="AZ81">
        <v>96</v>
      </c>
      <c r="BA81">
        <v>90</v>
      </c>
      <c r="BB81">
        <v>89</v>
      </c>
      <c r="BC81">
        <v>89</v>
      </c>
      <c r="BD81">
        <v>86</v>
      </c>
      <c r="BE81">
        <v>91</v>
      </c>
      <c r="BF81">
        <v>86</v>
      </c>
      <c r="BG81">
        <v>83</v>
      </c>
      <c r="BH81">
        <v>83</v>
      </c>
      <c r="BI81">
        <v>89</v>
      </c>
      <c r="BL81">
        <v>73</v>
      </c>
      <c r="BQ81">
        <v>92</v>
      </c>
      <c r="BS81">
        <v>0.31</v>
      </c>
      <c r="BX81">
        <v>0.75</v>
      </c>
      <c r="CB81">
        <v>60</v>
      </c>
      <c r="CC81">
        <v>66</v>
      </c>
      <c r="CF81" s="2">
        <v>23.161600000000004</v>
      </c>
      <c r="CH81" s="47">
        <v>45.608400000000003</v>
      </c>
      <c r="CI81" s="47">
        <v>3.6340000000000003</v>
      </c>
      <c r="CJ81" s="47">
        <v>1.2266999999999999</v>
      </c>
      <c r="CK81" s="47">
        <v>2.1328</v>
      </c>
      <c r="CL81" s="47">
        <v>3.5174000000000003</v>
      </c>
      <c r="CM81" s="47">
        <v>2.6560000000000001</v>
      </c>
      <c r="CN81" s="47">
        <v>0.62480000000000002</v>
      </c>
      <c r="CO81" s="47">
        <v>1.1552</v>
      </c>
      <c r="CP81" s="47">
        <v>2.3073999999999999</v>
      </c>
      <c r="CQ81" s="47">
        <v>4.0531999999999995</v>
      </c>
      <c r="CR81" s="47">
        <v>1.6613999999999998</v>
      </c>
      <c r="CS81" s="47">
        <v>0.57599999999999996</v>
      </c>
      <c r="CT81" s="47">
        <v>2.1587999999999998</v>
      </c>
      <c r="CU81" s="47"/>
      <c r="CV81" s="47">
        <v>48.945599999999992</v>
      </c>
      <c r="CW81" s="47">
        <f t="shared" si="40"/>
        <v>3.7920000000000003</v>
      </c>
      <c r="CX81" s="47">
        <f t="shared" si="41"/>
        <v>1.2689999999999999</v>
      </c>
      <c r="CY81" s="47">
        <f t="shared" si="42"/>
        <v>2.2071999999999998</v>
      </c>
      <c r="CZ81" s="47">
        <f t="shared" si="43"/>
        <v>3.6400999999999999</v>
      </c>
      <c r="DA81" s="47">
        <f t="shared" si="44"/>
        <v>2.7519999999999998</v>
      </c>
      <c r="DB81" s="47">
        <f t="shared" si="45"/>
        <v>0.64610000000000001</v>
      </c>
      <c r="DC81" s="47">
        <f t="shared" si="61"/>
        <v>1.2155</v>
      </c>
      <c r="DD81" s="47">
        <f t="shared" si="49"/>
        <v>2.3908</v>
      </c>
      <c r="DE81" s="47">
        <f t="shared" si="47"/>
        <v>4.2584</v>
      </c>
      <c r="DF81" s="47">
        <f t="shared" si="50"/>
        <v>1.7679</v>
      </c>
      <c r="DG81" s="47">
        <f t="shared" si="51"/>
        <v>0.59760000000000002</v>
      </c>
      <c r="DH81" s="47">
        <f t="shared" si="52"/>
        <v>2.2873000000000001</v>
      </c>
      <c r="DI81" s="47"/>
      <c r="DJ81" s="47"/>
      <c r="DK81" s="47"/>
      <c r="DL81" s="47"/>
      <c r="DM81" s="47"/>
      <c r="DN81" s="47"/>
      <c r="DO81" s="47"/>
      <c r="DP81" s="47"/>
      <c r="DQ81">
        <f t="shared" si="53"/>
        <v>0.45</v>
      </c>
      <c r="DR81">
        <f t="shared" si="54"/>
        <v>0.495</v>
      </c>
      <c r="DS81">
        <f t="shared" si="62"/>
        <v>0</v>
      </c>
      <c r="DT81">
        <f t="shared" si="63"/>
        <v>0</v>
      </c>
      <c r="DV81" s="110"/>
      <c r="DW81" s="111">
        <f t="shared" si="64"/>
        <v>40</v>
      </c>
      <c r="DX81" s="112">
        <v>0.02</v>
      </c>
      <c r="DY81" s="96">
        <v>0</v>
      </c>
      <c r="DZ81" s="96">
        <v>0</v>
      </c>
      <c r="EA81" s="124">
        <v>0</v>
      </c>
      <c r="EB81" s="113">
        <f t="shared" ref="EB81:EB144" si="67">BX81*EA81</f>
        <v>0</v>
      </c>
      <c r="EC81" s="92">
        <v>0</v>
      </c>
      <c r="ED81" s="92">
        <v>0</v>
      </c>
      <c r="EE81" s="92">
        <v>0</v>
      </c>
      <c r="EF81" s="92"/>
      <c r="EG81" s="204">
        <f t="shared" si="48"/>
        <v>0.52960000000000007</v>
      </c>
      <c r="EH81" s="92">
        <v>0</v>
      </c>
      <c r="EI81" s="82">
        <f t="shared" si="66"/>
        <v>56.940000000000005</v>
      </c>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v>55.05</v>
      </c>
      <c r="FJ81" s="6">
        <v>7.34</v>
      </c>
      <c r="FK81" s="7">
        <f t="shared" si="55"/>
        <v>1.1354980000000001</v>
      </c>
      <c r="FL81" s="6"/>
      <c r="FM81" s="80">
        <f t="shared" si="56"/>
        <v>0.62836185819070911</v>
      </c>
      <c r="FN81" s="80">
        <f t="shared" si="57"/>
        <v>0.60635696821515894</v>
      </c>
      <c r="FO81" s="115">
        <f t="shared" si="58"/>
        <v>1.0362903225806452</v>
      </c>
      <c r="FP81" s="115">
        <f t="shared" si="59"/>
        <v>0.16417131397489082</v>
      </c>
      <c r="FQ81" s="116">
        <f t="shared" si="60"/>
        <v>6.5445882775979861E-2</v>
      </c>
    </row>
    <row r="82" spans="1:173" ht="12.75" customHeight="1" x14ac:dyDescent="0.25">
      <c r="A82" s="61">
        <v>73</v>
      </c>
      <c r="B82" t="s">
        <v>298</v>
      </c>
      <c r="C82">
        <v>4533</v>
      </c>
      <c r="D82">
        <v>3975</v>
      </c>
      <c r="E82">
        <v>3607</v>
      </c>
      <c r="H82">
        <v>92.88</v>
      </c>
      <c r="I82">
        <v>54.07</v>
      </c>
      <c r="J82">
        <v>3.46</v>
      </c>
      <c r="K82">
        <v>2.2999999999999998</v>
      </c>
      <c r="M82">
        <v>6.98</v>
      </c>
      <c r="T82">
        <v>1.89</v>
      </c>
      <c r="AB82">
        <v>27.639999999999997</v>
      </c>
      <c r="AC82">
        <v>88</v>
      </c>
      <c r="AD82" s="9">
        <v>43.674700000000001</v>
      </c>
      <c r="AF82">
        <v>3.7</v>
      </c>
      <c r="AG82">
        <v>1.37</v>
      </c>
      <c r="AH82">
        <v>2.5499999999999998</v>
      </c>
      <c r="AI82">
        <v>4.25</v>
      </c>
      <c r="AJ82">
        <v>3.14</v>
      </c>
      <c r="AK82">
        <v>0.75</v>
      </c>
      <c r="AL82">
        <v>2.87</v>
      </c>
      <c r="AM82">
        <v>2.09</v>
      </c>
      <c r="AN82">
        <v>0.69</v>
      </c>
      <c r="AO82">
        <v>2.67</v>
      </c>
      <c r="AR82">
        <v>0.77</v>
      </c>
      <c r="AW82">
        <v>2.08</v>
      </c>
      <c r="AY82">
        <v>79</v>
      </c>
      <c r="AZ82">
        <v>90</v>
      </c>
      <c r="BA82">
        <v>81</v>
      </c>
      <c r="BB82">
        <v>82</v>
      </c>
      <c r="BC82">
        <v>82</v>
      </c>
      <c r="BD82">
        <v>75</v>
      </c>
      <c r="BE82">
        <v>88</v>
      </c>
      <c r="BF82">
        <v>80</v>
      </c>
      <c r="BG82">
        <v>73</v>
      </c>
      <c r="BH82">
        <v>78</v>
      </c>
      <c r="BI82">
        <v>80</v>
      </c>
      <c r="BL82">
        <v>64</v>
      </c>
      <c r="BQ82">
        <v>88</v>
      </c>
      <c r="BS82">
        <v>0.28999999999999998</v>
      </c>
      <c r="BX82">
        <v>0.8</v>
      </c>
      <c r="CB82">
        <v>60</v>
      </c>
      <c r="CC82">
        <v>66</v>
      </c>
      <c r="CF82" s="2">
        <v>24.323199999999996</v>
      </c>
      <c r="CH82" s="47">
        <v>38.930399999999999</v>
      </c>
      <c r="CI82" s="47">
        <v>3.2190000000000003</v>
      </c>
      <c r="CJ82" s="47">
        <v>1.0823</v>
      </c>
      <c r="CK82" s="47">
        <v>2.0145</v>
      </c>
      <c r="CL82" s="47">
        <v>3.3574999999999999</v>
      </c>
      <c r="CM82" s="47">
        <v>2.2608000000000001</v>
      </c>
      <c r="CN82" s="47">
        <v>0.63749999999999996</v>
      </c>
      <c r="CO82" s="47">
        <v>1.0841000000000001</v>
      </c>
      <c r="CP82" s="47">
        <v>2.2099000000000002</v>
      </c>
      <c r="CQ82" s="47">
        <v>3.9571000000000005</v>
      </c>
      <c r="CR82" s="47">
        <v>1.4212</v>
      </c>
      <c r="CS82" s="47">
        <v>0.51749999999999996</v>
      </c>
      <c r="CT82" s="47">
        <v>2.0024999999999999</v>
      </c>
      <c r="CU82" s="47"/>
      <c r="CV82" s="47">
        <v>42.715299999999999</v>
      </c>
      <c r="CW82" s="47">
        <f t="shared" si="40"/>
        <v>3.33</v>
      </c>
      <c r="CX82" s="47">
        <f t="shared" si="41"/>
        <v>1.1097000000000001</v>
      </c>
      <c r="CY82" s="47">
        <f t="shared" si="42"/>
        <v>2.0909999999999997</v>
      </c>
      <c r="CZ82" s="47">
        <f t="shared" si="43"/>
        <v>3.4849999999999999</v>
      </c>
      <c r="DA82" s="47">
        <f t="shared" si="44"/>
        <v>2.355</v>
      </c>
      <c r="DB82" s="47">
        <f t="shared" si="45"/>
        <v>0.66</v>
      </c>
      <c r="DC82" s="47">
        <f t="shared" si="61"/>
        <v>1.1528</v>
      </c>
      <c r="DD82" s="47">
        <f t="shared" si="49"/>
        <v>2.2960000000000003</v>
      </c>
      <c r="DE82" s="47">
        <f t="shared" si="47"/>
        <v>4.1264000000000003</v>
      </c>
      <c r="DF82" s="47">
        <f t="shared" si="50"/>
        <v>1.5256999999999998</v>
      </c>
      <c r="DG82" s="47">
        <f t="shared" si="51"/>
        <v>0.5381999999999999</v>
      </c>
      <c r="DH82" s="47">
        <f t="shared" si="52"/>
        <v>2.1360000000000001</v>
      </c>
      <c r="DI82" s="47"/>
      <c r="DJ82" s="47"/>
      <c r="DK82" s="47"/>
      <c r="DL82" s="47"/>
      <c r="DM82" s="47"/>
      <c r="DN82" s="47"/>
      <c r="DO82" s="47"/>
      <c r="DP82" s="47"/>
      <c r="DQ82">
        <f t="shared" si="53"/>
        <v>0.48</v>
      </c>
      <c r="DR82">
        <f t="shared" si="54"/>
        <v>0.52800000000000002</v>
      </c>
      <c r="DS82">
        <f t="shared" si="62"/>
        <v>0</v>
      </c>
      <c r="DT82">
        <f t="shared" si="63"/>
        <v>0</v>
      </c>
      <c r="DV82" s="110"/>
      <c r="DW82" s="111">
        <f t="shared" si="64"/>
        <v>70</v>
      </c>
      <c r="DX82" s="112">
        <v>3.5000000000000003E-2</v>
      </c>
      <c r="DY82" s="96">
        <v>0</v>
      </c>
      <c r="DZ82" s="96">
        <v>0</v>
      </c>
      <c r="EA82" s="124">
        <v>0</v>
      </c>
      <c r="EB82" s="113">
        <f t="shared" si="67"/>
        <v>0</v>
      </c>
      <c r="EC82" s="92">
        <v>0</v>
      </c>
      <c r="ED82" s="92">
        <v>0</v>
      </c>
      <c r="EE82" s="92">
        <v>0</v>
      </c>
      <c r="EF82" s="92"/>
      <c r="EG82" s="204">
        <v>0.25</v>
      </c>
      <c r="EH82" s="92">
        <v>0</v>
      </c>
      <c r="EI82" s="82">
        <f t="shared" si="66"/>
        <v>49.28</v>
      </c>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v>55.05</v>
      </c>
      <c r="FJ82" s="6">
        <v>7.34</v>
      </c>
      <c r="FK82" s="7">
        <f t="shared" si="55"/>
        <v>1.4349699999999999</v>
      </c>
      <c r="FL82" s="6"/>
      <c r="FM82" s="80">
        <f t="shared" si="56"/>
        <v>0.61291248206599713</v>
      </c>
      <c r="FN82" s="80">
        <f t="shared" si="57"/>
        <v>0.6</v>
      </c>
      <c r="FO82" s="115">
        <f t="shared" si="58"/>
        <v>1.0215208034433287</v>
      </c>
      <c r="FP82" s="115">
        <f t="shared" si="59"/>
        <v>0.15443328550932567</v>
      </c>
      <c r="FQ82" s="116">
        <f t="shared" si="60"/>
        <v>6.4453486221564632E-2</v>
      </c>
    </row>
    <row r="83" spans="1:173" ht="12.75" customHeight="1" x14ac:dyDescent="0.25">
      <c r="A83" s="61">
        <v>74</v>
      </c>
      <c r="B83" t="s">
        <v>299</v>
      </c>
      <c r="C83">
        <v>4210</v>
      </c>
      <c r="D83">
        <v>2008</v>
      </c>
      <c r="E83">
        <v>1938</v>
      </c>
      <c r="F83">
        <v>989</v>
      </c>
      <c r="H83">
        <v>90.59</v>
      </c>
      <c r="I83">
        <v>10.27</v>
      </c>
      <c r="J83">
        <v>35.75</v>
      </c>
      <c r="K83">
        <v>1.29</v>
      </c>
      <c r="L83">
        <v>1.71</v>
      </c>
      <c r="M83">
        <v>4.46</v>
      </c>
      <c r="T83">
        <v>3.65</v>
      </c>
      <c r="U83">
        <v>59.39</v>
      </c>
      <c r="V83">
        <v>41.55</v>
      </c>
      <c r="AB83">
        <v>70.92</v>
      </c>
      <c r="AC83">
        <v>51</v>
      </c>
      <c r="AD83" s="9">
        <v>39.9435</v>
      </c>
      <c r="AF83">
        <v>0.6</v>
      </c>
      <c r="AG83">
        <v>0.28999999999999998</v>
      </c>
      <c r="AH83">
        <v>0.38</v>
      </c>
      <c r="AI83">
        <v>0.76</v>
      </c>
      <c r="AJ83">
        <v>0.66</v>
      </c>
      <c r="AK83">
        <v>0.14000000000000001</v>
      </c>
      <c r="AL83">
        <v>0.46</v>
      </c>
      <c r="AM83">
        <v>0.39</v>
      </c>
      <c r="AN83">
        <v>0.09</v>
      </c>
      <c r="AO83">
        <v>0.51</v>
      </c>
      <c r="AR83">
        <v>0.2</v>
      </c>
      <c r="AW83">
        <v>0.51</v>
      </c>
      <c r="AY83" s="13">
        <v>65.25</v>
      </c>
      <c r="AZ83">
        <v>82</v>
      </c>
      <c r="BA83">
        <v>56</v>
      </c>
      <c r="BB83">
        <v>67</v>
      </c>
      <c r="BC83">
        <v>68</v>
      </c>
      <c r="BD83">
        <v>58</v>
      </c>
      <c r="BE83">
        <v>70</v>
      </c>
      <c r="BF83">
        <v>71</v>
      </c>
      <c r="BG83">
        <v>62</v>
      </c>
      <c r="BH83">
        <v>62</v>
      </c>
      <c r="BI83">
        <v>61</v>
      </c>
      <c r="BL83">
        <v>63</v>
      </c>
      <c r="BQ83">
        <v>63</v>
      </c>
      <c r="BS83">
        <v>0.54</v>
      </c>
      <c r="BX83">
        <v>0.12</v>
      </c>
      <c r="CA83">
        <v>0.08</v>
      </c>
      <c r="CB83">
        <v>20</v>
      </c>
      <c r="CC83">
        <v>33</v>
      </c>
      <c r="CF83" s="2">
        <v>36.169200000000004</v>
      </c>
      <c r="CH83" s="47">
        <v>4.5187999999999997</v>
      </c>
      <c r="CI83" s="47">
        <v>0.44400000000000001</v>
      </c>
      <c r="CJ83" s="47">
        <v>0.13629999999999998</v>
      </c>
      <c r="CK83" s="47">
        <v>0.21280000000000002</v>
      </c>
      <c r="CL83" s="47">
        <v>0.44840000000000002</v>
      </c>
      <c r="CM83" s="47">
        <v>0.33660000000000001</v>
      </c>
      <c r="CN83" s="47">
        <v>8.4000000000000005E-2</v>
      </c>
      <c r="CO83" s="47">
        <v>0.186</v>
      </c>
      <c r="CP83" s="47">
        <v>0.28520000000000001</v>
      </c>
      <c r="CQ83" s="47">
        <v>0.57079999999999997</v>
      </c>
      <c r="CR83" s="47">
        <v>0.18330000000000002</v>
      </c>
      <c r="CS83" s="47">
        <v>4.41E-2</v>
      </c>
      <c r="CT83" s="47">
        <v>0.255</v>
      </c>
      <c r="CU83" s="47"/>
      <c r="CV83" s="47">
        <v>6.7011749999999992</v>
      </c>
      <c r="CW83" s="47">
        <f t="shared" si="40"/>
        <v>0.49199999999999994</v>
      </c>
      <c r="CX83" s="47">
        <f t="shared" si="41"/>
        <v>0.16239999999999999</v>
      </c>
      <c r="CY83" s="47">
        <f t="shared" si="42"/>
        <v>0.25459999999999999</v>
      </c>
      <c r="CZ83" s="47">
        <f t="shared" si="43"/>
        <v>0.51680000000000004</v>
      </c>
      <c r="DA83" s="47">
        <f t="shared" si="44"/>
        <v>0.38280000000000003</v>
      </c>
      <c r="DB83" s="47">
        <f t="shared" si="45"/>
        <v>9.8000000000000004E-2</v>
      </c>
      <c r="DC83" s="47">
        <f t="shared" si="61"/>
        <v>0.22400000000000003</v>
      </c>
      <c r="DD83" s="47">
        <f t="shared" si="49"/>
        <v>0.32660000000000006</v>
      </c>
      <c r="DE83" s="47">
        <f t="shared" si="47"/>
        <v>0.64790000000000014</v>
      </c>
      <c r="DF83" s="47">
        <f t="shared" si="50"/>
        <v>0.24179999999999999</v>
      </c>
      <c r="DG83" s="47">
        <f t="shared" si="51"/>
        <v>5.5800000000000002E-2</v>
      </c>
      <c r="DH83" s="47">
        <f t="shared" si="52"/>
        <v>0.31109999999999999</v>
      </c>
      <c r="DI83" s="47"/>
      <c r="DJ83" s="47"/>
      <c r="DK83" s="47"/>
      <c r="DL83" s="47"/>
      <c r="DM83" s="47"/>
      <c r="DN83" s="47"/>
      <c r="DO83" s="47"/>
      <c r="DP83" s="47"/>
      <c r="DQ83">
        <f t="shared" si="53"/>
        <v>2.4E-2</v>
      </c>
      <c r="DR83">
        <f t="shared" si="54"/>
        <v>3.9599999999999996E-2</v>
      </c>
      <c r="DS83">
        <f t="shared" si="62"/>
        <v>0</v>
      </c>
      <c r="DT83">
        <f t="shared" si="63"/>
        <v>0</v>
      </c>
      <c r="DV83" s="110"/>
      <c r="DW83" s="111">
        <f t="shared" si="64"/>
        <v>96</v>
      </c>
      <c r="DX83" s="112">
        <v>4.8000000000000001E-2</v>
      </c>
      <c r="DY83" s="94"/>
      <c r="DZ83" s="94"/>
      <c r="EA83" s="81">
        <v>0.14000000000000001</v>
      </c>
      <c r="EB83" s="113">
        <f t="shared" si="67"/>
        <v>1.6800000000000002E-2</v>
      </c>
      <c r="EC83" s="107">
        <f>0.59*K83</f>
        <v>0.7611</v>
      </c>
      <c r="ED83" s="92">
        <v>0</v>
      </c>
      <c r="EE83" s="92">
        <v>0</v>
      </c>
      <c r="EF83" s="92"/>
      <c r="EG83" s="204">
        <v>0.08</v>
      </c>
      <c r="EH83" s="107">
        <f>125*K83/10</f>
        <v>16.125</v>
      </c>
      <c r="EI83" s="82">
        <f t="shared" si="66"/>
        <v>12.600000000000001</v>
      </c>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v>54.95</v>
      </c>
      <c r="FJ83" s="6">
        <v>7.92</v>
      </c>
      <c r="FK83" s="7">
        <f t="shared" si="55"/>
        <v>0.81102300000000005</v>
      </c>
      <c r="FL83" s="6"/>
      <c r="FM83" s="80">
        <f t="shared" si="56"/>
        <v>0.60197368421052622</v>
      </c>
      <c r="FN83" s="80">
        <f t="shared" si="57"/>
        <v>0.49264705882352938</v>
      </c>
      <c r="FO83" s="115">
        <f t="shared" si="58"/>
        <v>1.2219167321288296</v>
      </c>
      <c r="FP83" s="115">
        <f t="shared" si="59"/>
        <v>0.10797213622291021</v>
      </c>
      <c r="FQ83" s="116">
        <f t="shared" si="60"/>
        <v>5.0321324245374881E-2</v>
      </c>
    </row>
    <row r="84" spans="1:173" ht="12.75" customHeight="1" x14ac:dyDescent="0.25">
      <c r="A84" s="61">
        <v>75</v>
      </c>
      <c r="B84" t="s">
        <v>300</v>
      </c>
      <c r="C84">
        <v>4605</v>
      </c>
      <c r="D84">
        <v>4260</v>
      </c>
      <c r="E84">
        <v>3817</v>
      </c>
      <c r="F84">
        <v>2376</v>
      </c>
      <c r="H84">
        <v>92.64</v>
      </c>
      <c r="I84">
        <v>65.2</v>
      </c>
      <c r="J84">
        <v>3.42</v>
      </c>
      <c r="K84">
        <v>1.05</v>
      </c>
      <c r="L84">
        <v>0.65</v>
      </c>
      <c r="M84">
        <v>6.11</v>
      </c>
      <c r="O84">
        <v>0.67</v>
      </c>
      <c r="P84">
        <v>0.46</v>
      </c>
      <c r="Q84">
        <v>0.91</v>
      </c>
      <c r="S84">
        <v>2.46</v>
      </c>
      <c r="T84">
        <v>1.89</v>
      </c>
      <c r="U84">
        <v>8.1</v>
      </c>
      <c r="V84">
        <v>4.42</v>
      </c>
      <c r="X84">
        <v>18.87</v>
      </c>
      <c r="AB84">
        <v>17.719999999999995</v>
      </c>
      <c r="AC84">
        <v>88</v>
      </c>
      <c r="AD84" s="9">
        <v>44.399900000000002</v>
      </c>
      <c r="AF84">
        <v>4.75</v>
      </c>
      <c r="AG84">
        <v>1.7</v>
      </c>
      <c r="AH84">
        <v>2.99</v>
      </c>
      <c r="AI84">
        <v>5.16</v>
      </c>
      <c r="AJ84">
        <v>4.09</v>
      </c>
      <c r="AK84">
        <v>0.87</v>
      </c>
      <c r="AL84">
        <v>3.38</v>
      </c>
      <c r="AM84">
        <v>2.52</v>
      </c>
      <c r="AN84">
        <v>0.81</v>
      </c>
      <c r="AO84">
        <v>3.14</v>
      </c>
      <c r="AP84">
        <v>2.82</v>
      </c>
      <c r="AQ84">
        <v>7.58</v>
      </c>
      <c r="AR84">
        <v>0.9</v>
      </c>
      <c r="AS84">
        <v>12.02</v>
      </c>
      <c r="AT84">
        <v>2.75</v>
      </c>
      <c r="AU84">
        <v>3.58</v>
      </c>
      <c r="AV84">
        <v>3.33</v>
      </c>
      <c r="AW84">
        <v>2.2599999999999998</v>
      </c>
      <c r="AY84">
        <v>89</v>
      </c>
      <c r="AZ84">
        <v>95</v>
      </c>
      <c r="BA84">
        <v>91</v>
      </c>
      <c r="BB84">
        <v>91</v>
      </c>
      <c r="BC84">
        <v>91</v>
      </c>
      <c r="BD84">
        <v>91</v>
      </c>
      <c r="BE84">
        <v>92</v>
      </c>
      <c r="BF84">
        <v>90</v>
      </c>
      <c r="BG84">
        <v>86</v>
      </c>
      <c r="BH84">
        <v>88</v>
      </c>
      <c r="BI84">
        <v>90</v>
      </c>
      <c r="BJ84">
        <v>89</v>
      </c>
      <c r="BK84">
        <v>88</v>
      </c>
      <c r="BL84">
        <v>79</v>
      </c>
      <c r="BM84">
        <v>91</v>
      </c>
      <c r="BN84">
        <v>88</v>
      </c>
      <c r="BO84">
        <v>102</v>
      </c>
      <c r="BP84">
        <v>91</v>
      </c>
      <c r="BQ84">
        <v>93</v>
      </c>
      <c r="BS84">
        <v>0.32</v>
      </c>
      <c r="BX84">
        <v>0.82</v>
      </c>
      <c r="CB84">
        <v>39</v>
      </c>
      <c r="CC84">
        <v>48</v>
      </c>
      <c r="CF84" s="2">
        <v>15.593599999999997</v>
      </c>
      <c r="CH84" s="47">
        <v>55.42</v>
      </c>
      <c r="CI84" s="47">
        <v>4.4175000000000004</v>
      </c>
      <c r="CJ84" s="47">
        <v>1.5129999999999999</v>
      </c>
      <c r="CK84" s="47">
        <v>2.6611000000000002</v>
      </c>
      <c r="CL84" s="47">
        <v>4.5924000000000005</v>
      </c>
      <c r="CM84" s="47">
        <v>3.6400999999999999</v>
      </c>
      <c r="CN84" s="47">
        <v>0.78299999999999992</v>
      </c>
      <c r="CO84" s="47">
        <v>1.458</v>
      </c>
      <c r="CP84" s="47">
        <v>2.9744000000000002</v>
      </c>
      <c r="CQ84" s="47">
        <v>4.9858000000000002</v>
      </c>
      <c r="CR84" s="47">
        <v>2.0664000000000002</v>
      </c>
      <c r="CS84" s="47">
        <v>0.68850000000000011</v>
      </c>
      <c r="CT84" s="47">
        <v>2.7318000000000002</v>
      </c>
      <c r="CU84" s="47"/>
      <c r="CV84" s="47">
        <v>58.027999999999999</v>
      </c>
      <c r="CW84" s="47">
        <f t="shared" si="40"/>
        <v>4.5125000000000002</v>
      </c>
      <c r="CX84" s="47">
        <f t="shared" si="41"/>
        <v>1.5469999999999999</v>
      </c>
      <c r="CY84" s="47">
        <f t="shared" si="42"/>
        <v>2.7209000000000003</v>
      </c>
      <c r="CZ84" s="47">
        <f t="shared" si="43"/>
        <v>4.6955999999999998</v>
      </c>
      <c r="DA84" s="47">
        <f t="shared" si="44"/>
        <v>3.7218999999999998</v>
      </c>
      <c r="DB84" s="47">
        <f t="shared" si="45"/>
        <v>0.80040000000000011</v>
      </c>
      <c r="DC84" s="47">
        <f t="shared" si="61"/>
        <v>1.5114000000000001</v>
      </c>
      <c r="DD84" s="47">
        <f t="shared" si="49"/>
        <v>3.0419999999999998</v>
      </c>
      <c r="DE84" s="47">
        <f t="shared" si="47"/>
        <v>5.1437999999999997</v>
      </c>
      <c r="DF84" s="47">
        <f t="shared" si="50"/>
        <v>2.1671999999999998</v>
      </c>
      <c r="DG84" s="47">
        <f t="shared" si="51"/>
        <v>0.71279999999999999</v>
      </c>
      <c r="DH84" s="47">
        <f t="shared" si="52"/>
        <v>2.8260000000000001</v>
      </c>
      <c r="DI84" s="47"/>
      <c r="DJ84" s="47"/>
      <c r="DK84" s="47"/>
      <c r="DL84" s="47"/>
      <c r="DM84" s="47"/>
      <c r="DN84" s="47"/>
      <c r="DO84" s="47"/>
      <c r="DP84" s="47"/>
      <c r="DQ84">
        <f t="shared" si="53"/>
        <v>0.31979999999999997</v>
      </c>
      <c r="DR84">
        <f t="shared" si="54"/>
        <v>0.39360000000000001</v>
      </c>
      <c r="DS84">
        <f t="shared" si="62"/>
        <v>0</v>
      </c>
      <c r="DT84">
        <f t="shared" si="63"/>
        <v>0</v>
      </c>
      <c r="DV84" s="110"/>
      <c r="DW84" s="111">
        <f t="shared" si="64"/>
        <v>1100</v>
      </c>
      <c r="DX84" s="112">
        <v>0.55000000000000004</v>
      </c>
      <c r="DY84" s="94"/>
      <c r="DZ84" s="94"/>
      <c r="EA84" s="81">
        <v>0.23</v>
      </c>
      <c r="EB84" s="113">
        <f t="shared" si="67"/>
        <v>0.18859999999999999</v>
      </c>
      <c r="EC84" s="117">
        <f>K84*0.51</f>
        <v>0.53550000000000009</v>
      </c>
      <c r="ED84" s="92">
        <v>0</v>
      </c>
      <c r="EE84" s="92">
        <v>0</v>
      </c>
      <c r="EF84" s="92"/>
      <c r="EG84" s="204">
        <v>0.39</v>
      </c>
      <c r="EH84" s="107">
        <f>130*K84/10</f>
        <v>13.65</v>
      </c>
      <c r="EI84" s="82">
        <f t="shared" si="66"/>
        <v>71.100000000000009</v>
      </c>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v>55.05</v>
      </c>
      <c r="FJ84" s="6">
        <v>7.34</v>
      </c>
      <c r="FK84" s="7">
        <f t="shared" si="55"/>
        <v>0.65509499999999998</v>
      </c>
      <c r="FL84" s="6"/>
      <c r="FM84" s="80">
        <f t="shared" si="56"/>
        <v>0.60184002044467166</v>
      </c>
      <c r="FN84" s="80">
        <f t="shared" si="57"/>
        <v>0.57945736434108541</v>
      </c>
      <c r="FO84" s="115">
        <f t="shared" si="58"/>
        <v>1.0386269249145503</v>
      </c>
      <c r="FP84" s="115">
        <f t="shared" si="59"/>
        <v>0.15180168668540761</v>
      </c>
      <c r="FQ84" s="116">
        <f t="shared" si="60"/>
        <v>7.2018404907975453E-2</v>
      </c>
    </row>
    <row r="85" spans="1:173" ht="12.75" customHeight="1" x14ac:dyDescent="0.25">
      <c r="A85" s="61">
        <v>76</v>
      </c>
      <c r="B85" t="s">
        <v>301</v>
      </c>
      <c r="C85">
        <v>5386</v>
      </c>
      <c r="D85">
        <v>4150</v>
      </c>
      <c r="E85">
        <v>3573</v>
      </c>
      <c r="F85">
        <v>2187</v>
      </c>
      <c r="H85">
        <v>93.71</v>
      </c>
      <c r="I85">
        <v>84.78</v>
      </c>
      <c r="J85">
        <v>0.17</v>
      </c>
      <c r="K85">
        <v>2.76</v>
      </c>
      <c r="M85">
        <v>4.17</v>
      </c>
      <c r="O85">
        <v>0.13</v>
      </c>
      <c r="S85">
        <v>0.37</v>
      </c>
      <c r="T85">
        <v>1.89</v>
      </c>
      <c r="U85">
        <v>0.19</v>
      </c>
      <c r="V85">
        <v>0</v>
      </c>
      <c r="AB85">
        <v>0</v>
      </c>
      <c r="AC85">
        <v>0</v>
      </c>
      <c r="AD85" s="9">
        <v>47.917200000000008</v>
      </c>
      <c r="AF85">
        <v>6.14</v>
      </c>
      <c r="AG85">
        <v>2.19</v>
      </c>
      <c r="AH85">
        <v>3.83</v>
      </c>
      <c r="AI85">
        <v>6.76</v>
      </c>
      <c r="AJ85">
        <v>5.19</v>
      </c>
      <c r="AK85">
        <v>1.1100000000000001</v>
      </c>
      <c r="AL85">
        <v>4.4000000000000004</v>
      </c>
      <c r="AM85">
        <v>3.09</v>
      </c>
      <c r="AN85">
        <v>1.1299999999999999</v>
      </c>
      <c r="AO85">
        <v>4.0199999999999996</v>
      </c>
      <c r="AR85">
        <v>0.98</v>
      </c>
      <c r="AW85">
        <v>3.08</v>
      </c>
      <c r="AY85">
        <v>89</v>
      </c>
      <c r="AZ85">
        <v>94</v>
      </c>
      <c r="BA85">
        <v>88</v>
      </c>
      <c r="BB85">
        <v>88</v>
      </c>
      <c r="BC85">
        <v>89</v>
      </c>
      <c r="BD85">
        <v>91</v>
      </c>
      <c r="BE85">
        <v>86</v>
      </c>
      <c r="BF85">
        <v>88</v>
      </c>
      <c r="BG85">
        <v>83</v>
      </c>
      <c r="BH85">
        <v>87</v>
      </c>
      <c r="BI85">
        <v>86</v>
      </c>
      <c r="BL85">
        <v>79</v>
      </c>
      <c r="BQ85">
        <v>88</v>
      </c>
      <c r="BS85">
        <v>0.17</v>
      </c>
      <c r="BT85">
        <v>0.02</v>
      </c>
      <c r="BU85">
        <v>0.16</v>
      </c>
      <c r="BV85">
        <v>0.05</v>
      </c>
      <c r="BW85">
        <v>1.1399999999999999</v>
      </c>
      <c r="BX85">
        <v>0.75</v>
      </c>
      <c r="CB85">
        <v>39</v>
      </c>
      <c r="CC85">
        <v>48</v>
      </c>
      <c r="CF85" s="2">
        <v>0</v>
      </c>
      <c r="CH85" s="47">
        <v>71.21520000000001</v>
      </c>
      <c r="CI85" s="47">
        <v>5.7101999999999995</v>
      </c>
      <c r="CJ85" s="47">
        <v>1.8834</v>
      </c>
      <c r="CK85" s="47">
        <v>3.2938000000000001</v>
      </c>
      <c r="CL85" s="47">
        <v>5.9488000000000003</v>
      </c>
      <c r="CM85" s="47">
        <v>4.6710000000000003</v>
      </c>
      <c r="CN85" s="47">
        <v>0.93240000000000012</v>
      </c>
      <c r="CO85" s="47">
        <v>1.6576</v>
      </c>
      <c r="CP85" s="47">
        <v>3.8280000000000003</v>
      </c>
      <c r="CQ85" s="47">
        <v>6.4768000000000008</v>
      </c>
      <c r="CR85" s="47">
        <v>2.4411</v>
      </c>
      <c r="CS85" s="47">
        <v>0.94919999999999982</v>
      </c>
      <c r="CT85" s="47">
        <v>3.3365999999999998</v>
      </c>
      <c r="CU85" s="47"/>
      <c r="CV85" s="47">
        <v>75.4542</v>
      </c>
      <c r="CW85" s="47">
        <f t="shared" si="40"/>
        <v>5.7715999999999994</v>
      </c>
      <c r="CX85" s="47">
        <f t="shared" si="41"/>
        <v>1.9272</v>
      </c>
      <c r="CY85" s="47">
        <f t="shared" si="42"/>
        <v>3.3704000000000001</v>
      </c>
      <c r="CZ85" s="47">
        <f t="shared" si="43"/>
        <v>6.0164</v>
      </c>
      <c r="DA85" s="47">
        <f t="shared" si="44"/>
        <v>4.7229000000000001</v>
      </c>
      <c r="DB85" s="47">
        <f t="shared" si="45"/>
        <v>0.95460000000000012</v>
      </c>
      <c r="DC85" s="47">
        <f t="shared" si="61"/>
        <v>1.7287999999999999</v>
      </c>
      <c r="DD85" s="47">
        <f t="shared" si="49"/>
        <v>3.8720000000000003</v>
      </c>
      <c r="DE85" s="47">
        <f t="shared" si="47"/>
        <v>6.5824000000000007</v>
      </c>
      <c r="DF85" s="47">
        <f t="shared" si="50"/>
        <v>2.5646999999999998</v>
      </c>
      <c r="DG85" s="47">
        <f t="shared" si="51"/>
        <v>0.98309999999999986</v>
      </c>
      <c r="DH85" s="47">
        <f t="shared" si="52"/>
        <v>3.4571999999999998</v>
      </c>
      <c r="DI85" s="47"/>
      <c r="DJ85" s="47"/>
      <c r="DK85" s="47"/>
      <c r="DL85" s="47"/>
      <c r="DM85" s="47"/>
      <c r="DN85" s="47"/>
      <c r="DO85" s="47"/>
      <c r="DP85" s="47"/>
      <c r="DQ85">
        <f t="shared" si="53"/>
        <v>0.29249999999999998</v>
      </c>
      <c r="DR85">
        <f t="shared" si="54"/>
        <v>0.36</v>
      </c>
      <c r="DS85">
        <f t="shared" si="62"/>
        <v>0</v>
      </c>
      <c r="DT85">
        <f t="shared" si="63"/>
        <v>0</v>
      </c>
      <c r="DV85" s="110"/>
      <c r="DW85" s="111">
        <f t="shared" si="64"/>
        <v>350</v>
      </c>
      <c r="DX85" s="112">
        <v>0.17499999999999999</v>
      </c>
      <c r="DY85" s="96">
        <v>0</v>
      </c>
      <c r="DZ85" s="96">
        <v>0</v>
      </c>
      <c r="EA85" s="81">
        <v>1</v>
      </c>
      <c r="EB85" s="113">
        <f t="shared" si="67"/>
        <v>0.75</v>
      </c>
      <c r="EC85" s="92">
        <v>0</v>
      </c>
      <c r="ED85" s="92">
        <v>0</v>
      </c>
      <c r="EE85" s="92">
        <v>0</v>
      </c>
      <c r="EF85" s="92"/>
      <c r="EG85" s="204">
        <f>BX86*0.662</f>
        <v>5.9580000000000001E-2</v>
      </c>
      <c r="EH85" s="92">
        <v>0</v>
      </c>
      <c r="EI85" s="82">
        <f t="shared" si="66"/>
        <v>77.42</v>
      </c>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v>55.05</v>
      </c>
      <c r="FJ85" s="6">
        <v>7.34</v>
      </c>
      <c r="FK85" s="7">
        <f t="shared" si="55"/>
        <v>1.7219639999999998</v>
      </c>
      <c r="FL85" s="6"/>
      <c r="FM85" s="80">
        <f t="shared" si="56"/>
        <v>0.57462934645302832</v>
      </c>
      <c r="FN85" s="80">
        <f t="shared" si="57"/>
        <v>0.56020211422112898</v>
      </c>
      <c r="FO85" s="115">
        <f t="shared" si="58"/>
        <v>1.0257536197483978</v>
      </c>
      <c r="FP85" s="115">
        <f t="shared" si="59"/>
        <v>0.16340336413802273</v>
      </c>
      <c r="FQ85" s="116">
        <f t="shared" si="60"/>
        <v>7.0964850200518986E-2</v>
      </c>
    </row>
    <row r="86" spans="1:173" ht="12.75" customHeight="1" x14ac:dyDescent="0.25">
      <c r="A86" s="61">
        <v>77</v>
      </c>
      <c r="B86" t="s">
        <v>302</v>
      </c>
      <c r="C86">
        <v>4039</v>
      </c>
      <c r="D86">
        <v>2865</v>
      </c>
      <c r="E86">
        <v>2803</v>
      </c>
      <c r="F86">
        <v>1734</v>
      </c>
      <c r="H86">
        <v>87.6</v>
      </c>
      <c r="I86">
        <v>9.1</v>
      </c>
      <c r="K86">
        <v>0.97</v>
      </c>
      <c r="M86">
        <v>6.7</v>
      </c>
      <c r="T86">
        <v>0</v>
      </c>
      <c r="U86">
        <v>44.9</v>
      </c>
      <c r="V86">
        <v>23.5</v>
      </c>
      <c r="AB86">
        <v>70.83</v>
      </c>
      <c r="AC86">
        <v>85</v>
      </c>
      <c r="AD86" s="9">
        <v>37.433700000000002</v>
      </c>
      <c r="AF86">
        <v>0.32</v>
      </c>
      <c r="AG86">
        <v>0.23</v>
      </c>
      <c r="AH86">
        <v>0.31</v>
      </c>
      <c r="AI86">
        <v>0.53</v>
      </c>
      <c r="AJ86">
        <v>0.52</v>
      </c>
      <c r="AK86">
        <v>7.0000000000000007E-2</v>
      </c>
      <c r="AL86">
        <v>0.3</v>
      </c>
      <c r="AM86">
        <v>0.38</v>
      </c>
      <c r="AN86">
        <v>0.1</v>
      </c>
      <c r="AO86">
        <v>0.45</v>
      </c>
      <c r="AR86">
        <v>0.06</v>
      </c>
      <c r="AW86">
        <v>0.4</v>
      </c>
      <c r="AY86" s="13">
        <v>49.916666666666664</v>
      </c>
      <c r="AZ86">
        <v>54</v>
      </c>
      <c r="BA86">
        <v>56</v>
      </c>
      <c r="BB86">
        <v>55</v>
      </c>
      <c r="BC86">
        <v>54</v>
      </c>
      <c r="BD86">
        <v>54</v>
      </c>
      <c r="BE86">
        <v>61</v>
      </c>
      <c r="BF86">
        <v>49</v>
      </c>
      <c r="BG86">
        <v>29</v>
      </c>
      <c r="BH86">
        <v>47</v>
      </c>
      <c r="BI86">
        <v>42</v>
      </c>
      <c r="BL86">
        <v>46</v>
      </c>
      <c r="BQ86">
        <v>52</v>
      </c>
      <c r="BS86">
        <v>0.81</v>
      </c>
      <c r="BT86">
        <v>0.1</v>
      </c>
      <c r="BU86">
        <v>0.61</v>
      </c>
      <c r="BV86">
        <v>0.22</v>
      </c>
      <c r="BW86">
        <v>0.2</v>
      </c>
      <c r="BX86">
        <v>0.09</v>
      </c>
      <c r="BY86">
        <v>0.31</v>
      </c>
      <c r="CB86">
        <v>50</v>
      </c>
      <c r="CC86">
        <v>63</v>
      </c>
      <c r="CF86" s="2">
        <v>60.205500000000001</v>
      </c>
      <c r="CH86" s="47">
        <v>3.0939999999999999</v>
      </c>
      <c r="CI86" s="47">
        <v>0.14080000000000001</v>
      </c>
      <c r="CJ86" s="47">
        <v>0.10580000000000001</v>
      </c>
      <c r="CK86" s="47">
        <v>0.12709999999999999</v>
      </c>
      <c r="CL86" s="47">
        <v>0.23319999999999999</v>
      </c>
      <c r="CM86" s="47">
        <v>0.24960000000000002</v>
      </c>
      <c r="CN86" s="47">
        <v>3.6400000000000009E-2</v>
      </c>
      <c r="CO86" s="47">
        <v>5.5000000000000007E-2</v>
      </c>
      <c r="CP86" s="47">
        <v>0.114</v>
      </c>
      <c r="CQ86" s="47">
        <v>0.29800000000000004</v>
      </c>
      <c r="CR86" s="47">
        <v>6.08E-2</v>
      </c>
      <c r="CS86" s="47">
        <v>3.6000000000000004E-2</v>
      </c>
      <c r="CT86" s="47">
        <v>0.14400000000000002</v>
      </c>
      <c r="CU86" s="47"/>
      <c r="CV86" s="47">
        <v>4.5424166666666661</v>
      </c>
      <c r="CW86" s="47">
        <f t="shared" si="40"/>
        <v>0.17280000000000001</v>
      </c>
      <c r="CX86" s="47">
        <f t="shared" si="41"/>
        <v>0.1288</v>
      </c>
      <c r="CY86" s="47">
        <f t="shared" si="42"/>
        <v>0.17050000000000001</v>
      </c>
      <c r="CZ86" s="47">
        <f t="shared" si="43"/>
        <v>0.28620000000000001</v>
      </c>
      <c r="DA86" s="47">
        <f t="shared" si="44"/>
        <v>0.28079999999999999</v>
      </c>
      <c r="DB86" s="47">
        <f t="shared" si="45"/>
        <v>4.2700000000000002E-2</v>
      </c>
      <c r="DC86" s="47">
        <f t="shared" si="61"/>
        <v>7.0300000000000001E-2</v>
      </c>
      <c r="DD86" s="47">
        <f t="shared" si="49"/>
        <v>0.14699999999999999</v>
      </c>
      <c r="DE86" s="47">
        <f t="shared" si="47"/>
        <v>0.35499999999999998</v>
      </c>
      <c r="DF86" s="47">
        <f t="shared" si="50"/>
        <v>0.11019999999999999</v>
      </c>
      <c r="DG86" s="47">
        <f t="shared" si="51"/>
        <v>4.7E-2</v>
      </c>
      <c r="DH86" s="47">
        <f t="shared" si="52"/>
        <v>0.18900000000000003</v>
      </c>
      <c r="DI86" s="47"/>
      <c r="DJ86" s="47"/>
      <c r="DK86" s="47"/>
      <c r="DL86" s="47"/>
      <c r="DM86" s="47"/>
      <c r="DN86" s="47"/>
      <c r="DO86" s="47"/>
      <c r="DP86" s="47"/>
      <c r="DQ86">
        <f t="shared" si="53"/>
        <v>4.4999999999999998E-2</v>
      </c>
      <c r="DR86">
        <f t="shared" si="54"/>
        <v>5.67E-2</v>
      </c>
      <c r="DS86">
        <f t="shared" si="62"/>
        <v>0</v>
      </c>
      <c r="DT86">
        <f t="shared" si="63"/>
        <v>0</v>
      </c>
      <c r="DV86" s="110"/>
      <c r="DW86" s="111">
        <f t="shared" si="64"/>
        <v>400</v>
      </c>
      <c r="DX86" s="112">
        <v>0.2</v>
      </c>
      <c r="DY86" s="96">
        <v>0</v>
      </c>
      <c r="DZ86" s="96">
        <v>0</v>
      </c>
      <c r="EA86" s="81">
        <v>1</v>
      </c>
      <c r="EB86" s="113">
        <f t="shared" si="67"/>
        <v>0.09</v>
      </c>
      <c r="EC86" s="92">
        <v>0</v>
      </c>
      <c r="ED86" s="92">
        <v>0</v>
      </c>
      <c r="EE86" s="92">
        <v>0</v>
      </c>
      <c r="EF86" s="92"/>
      <c r="EG86" s="204">
        <v>0.04</v>
      </c>
      <c r="EH86" s="92">
        <v>0</v>
      </c>
      <c r="EI86" s="82">
        <f t="shared" si="66"/>
        <v>2.76</v>
      </c>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7"/>
      <c r="FL86" s="6"/>
      <c r="FM86" s="80">
        <f t="shared" si="56"/>
        <v>0.66037735849056611</v>
      </c>
      <c r="FN86" s="80">
        <f t="shared" si="57"/>
        <v>0.59573724668064298</v>
      </c>
      <c r="FO86" s="115">
        <f t="shared" si="58"/>
        <v>1.1085043988269796</v>
      </c>
      <c r="FP86" s="115">
        <f t="shared" si="59"/>
        <v>0.16422082459818307</v>
      </c>
      <c r="FQ86" s="116">
        <f t="shared" si="60"/>
        <v>3.1450549450549453E-2</v>
      </c>
    </row>
    <row r="87" spans="1:173" ht="12.75" customHeight="1" x14ac:dyDescent="0.25">
      <c r="A87" s="61">
        <v>78</v>
      </c>
      <c r="B87" t="s">
        <v>303</v>
      </c>
      <c r="C87">
        <v>6163</v>
      </c>
      <c r="D87">
        <v>4517</v>
      </c>
      <c r="E87">
        <v>4404</v>
      </c>
      <c r="F87">
        <v>3561</v>
      </c>
      <c r="H87">
        <v>96.83</v>
      </c>
      <c r="I87">
        <v>16.600000000000001</v>
      </c>
      <c r="J87">
        <v>13.1</v>
      </c>
      <c r="K87">
        <v>42.69</v>
      </c>
      <c r="M87">
        <v>3.25</v>
      </c>
      <c r="T87">
        <v>2.04</v>
      </c>
      <c r="U87">
        <v>23.23</v>
      </c>
      <c r="V87">
        <v>16.93</v>
      </c>
      <c r="W87">
        <v>4.5199999999999996</v>
      </c>
      <c r="AB87">
        <v>32.249999999999993</v>
      </c>
      <c r="AC87">
        <v>33</v>
      </c>
      <c r="AD87" s="9">
        <v>56.652499999999996</v>
      </c>
      <c r="AF87">
        <v>1.72</v>
      </c>
      <c r="AG87">
        <v>0.55000000000000004</v>
      </c>
      <c r="AH87">
        <v>0.9</v>
      </c>
      <c r="AI87">
        <v>1.36</v>
      </c>
      <c r="AJ87">
        <v>0.54</v>
      </c>
      <c r="AK87">
        <v>0.39</v>
      </c>
      <c r="AL87">
        <v>1.02</v>
      </c>
      <c r="AM87">
        <v>0.85</v>
      </c>
      <c r="AO87">
        <v>0.94</v>
      </c>
      <c r="AR87">
        <v>0.24</v>
      </c>
      <c r="AW87">
        <v>0.55000000000000004</v>
      </c>
      <c r="AY87" s="13">
        <v>81.454545454545453</v>
      </c>
      <c r="AZ87">
        <v>89</v>
      </c>
      <c r="BA87">
        <v>84</v>
      </c>
      <c r="BB87">
        <v>81</v>
      </c>
      <c r="BC87">
        <v>83</v>
      </c>
      <c r="BD87">
        <v>77</v>
      </c>
      <c r="BE87">
        <v>85</v>
      </c>
      <c r="BF87">
        <v>84</v>
      </c>
      <c r="BG87">
        <v>76</v>
      </c>
      <c r="BI87">
        <v>78</v>
      </c>
      <c r="BL87">
        <v>73</v>
      </c>
      <c r="BQ87">
        <v>86</v>
      </c>
      <c r="BS87">
        <v>0.3</v>
      </c>
      <c r="BX87">
        <v>0.2</v>
      </c>
      <c r="CB87">
        <v>20</v>
      </c>
      <c r="CC87">
        <v>29</v>
      </c>
      <c r="CF87" s="2">
        <v>10.642499999999998</v>
      </c>
      <c r="CH87" s="47">
        <v>0</v>
      </c>
      <c r="CI87" s="47">
        <v>0</v>
      </c>
      <c r="CJ87" s="47">
        <v>0</v>
      </c>
      <c r="CK87" s="47">
        <v>0</v>
      </c>
      <c r="CL87" s="47">
        <v>0</v>
      </c>
      <c r="CM87" s="47">
        <v>0</v>
      </c>
      <c r="CN87" s="47">
        <v>0</v>
      </c>
      <c r="CO87" s="47">
        <v>0</v>
      </c>
      <c r="CP87" s="47">
        <v>0</v>
      </c>
      <c r="CQ87" s="47">
        <v>0</v>
      </c>
      <c r="CR87" s="47">
        <v>0</v>
      </c>
      <c r="CS87" s="47">
        <v>0</v>
      </c>
      <c r="CT87" s="47">
        <v>0</v>
      </c>
      <c r="CU87" s="47"/>
      <c r="CV87" s="47">
        <v>13.521454545454546</v>
      </c>
      <c r="CW87" s="47">
        <f t="shared" si="40"/>
        <v>1.5307999999999999</v>
      </c>
      <c r="CX87" s="47">
        <f t="shared" si="41"/>
        <v>0.46200000000000002</v>
      </c>
      <c r="CY87" s="47">
        <f t="shared" si="42"/>
        <v>0.72900000000000009</v>
      </c>
      <c r="CZ87" s="47">
        <f t="shared" si="43"/>
        <v>1.1288</v>
      </c>
      <c r="DA87" s="47">
        <f t="shared" si="44"/>
        <v>0.41580000000000006</v>
      </c>
      <c r="DB87" s="47">
        <f t="shared" si="45"/>
        <v>0.33149999999999996</v>
      </c>
      <c r="DC87" s="47">
        <f t="shared" si="61"/>
        <v>0.50670000000000004</v>
      </c>
      <c r="DD87" s="47">
        <f t="shared" si="49"/>
        <v>0.85680000000000012</v>
      </c>
      <c r="DE87" s="47">
        <f t="shared" si="47"/>
        <v>1.3298000000000001</v>
      </c>
      <c r="DF87" s="47">
        <f t="shared" si="50"/>
        <v>0.64599999999999991</v>
      </c>
      <c r="DG87" s="47">
        <f t="shared" si="51"/>
        <v>0</v>
      </c>
      <c r="DH87" s="47">
        <f t="shared" si="52"/>
        <v>0.73319999999999996</v>
      </c>
      <c r="DI87" s="47"/>
      <c r="DJ87" s="47"/>
      <c r="DK87" s="47"/>
      <c r="DL87" s="47"/>
      <c r="DM87" s="47"/>
      <c r="DN87" s="47"/>
      <c r="DO87" s="47"/>
      <c r="DP87" s="47"/>
      <c r="DQ87">
        <f t="shared" si="53"/>
        <v>0.04</v>
      </c>
      <c r="DR87">
        <f t="shared" si="54"/>
        <v>5.800000000000001E-2</v>
      </c>
      <c r="DS87">
        <f t="shared" si="62"/>
        <v>0</v>
      </c>
      <c r="DT87">
        <f t="shared" si="63"/>
        <v>0</v>
      </c>
      <c r="DV87" s="110"/>
      <c r="DW87" s="111">
        <f t="shared" si="64"/>
        <v>0</v>
      </c>
      <c r="DX87" s="112">
        <v>0</v>
      </c>
      <c r="DY87" s="96"/>
      <c r="DZ87" s="96"/>
      <c r="EA87" s="81"/>
      <c r="EB87" s="113">
        <f t="shared" si="67"/>
        <v>0</v>
      </c>
      <c r="EC87" s="92"/>
      <c r="ED87" s="92"/>
      <c r="EE87" s="92"/>
      <c r="EF87" s="92"/>
      <c r="EG87" s="204">
        <v>0.51</v>
      </c>
      <c r="EH87" s="92"/>
      <c r="EI87" s="82">
        <f t="shared" si="66"/>
        <v>17.52</v>
      </c>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7"/>
      <c r="FL87" s="6"/>
      <c r="FM87" s="80">
        <f t="shared" si="56"/>
        <v>0.64953933380581141</v>
      </c>
      <c r="FN87" s="80">
        <f t="shared" si="57"/>
        <v>0.64581856839121199</v>
      </c>
      <c r="FO87" s="115">
        <f t="shared" si="58"/>
        <v>1.0057613168724278</v>
      </c>
      <c r="FP87" s="115">
        <f t="shared" si="59"/>
        <v>0</v>
      </c>
      <c r="FQ87" s="116">
        <f t="shared" si="60"/>
        <v>6.7999999999999991E-2</v>
      </c>
    </row>
    <row r="88" spans="1:173" ht="12.75" customHeight="1" x14ac:dyDescent="0.25">
      <c r="A88" s="61">
        <v>79</v>
      </c>
      <c r="B88" t="s">
        <v>304</v>
      </c>
      <c r="C88">
        <v>4086</v>
      </c>
      <c r="D88">
        <v>2010</v>
      </c>
      <c r="E88">
        <v>1801</v>
      </c>
      <c r="F88">
        <v>937</v>
      </c>
      <c r="H88">
        <v>87.93</v>
      </c>
      <c r="I88">
        <v>30.7</v>
      </c>
      <c r="J88">
        <v>23.4</v>
      </c>
      <c r="K88">
        <v>3.06</v>
      </c>
      <c r="M88">
        <v>5.97</v>
      </c>
      <c r="N88">
        <v>0</v>
      </c>
      <c r="O88">
        <v>0</v>
      </c>
      <c r="P88">
        <v>0</v>
      </c>
      <c r="Q88">
        <v>0</v>
      </c>
      <c r="R88">
        <v>0</v>
      </c>
      <c r="T88">
        <v>2.0299999999999998</v>
      </c>
      <c r="U88">
        <v>36.82</v>
      </c>
      <c r="V88">
        <v>28.67</v>
      </c>
      <c r="W88">
        <v>7.54</v>
      </c>
      <c r="AB88">
        <v>46.17</v>
      </c>
      <c r="AC88">
        <v>33</v>
      </c>
      <c r="AD88" s="9">
        <v>40.266300000000001</v>
      </c>
      <c r="AF88">
        <v>2.5299999999999998</v>
      </c>
      <c r="AG88">
        <v>0.78</v>
      </c>
      <c r="AH88">
        <v>1.29</v>
      </c>
      <c r="AI88">
        <v>1.96</v>
      </c>
      <c r="AJ88">
        <v>1.1299999999999999</v>
      </c>
      <c r="AK88">
        <v>0.74</v>
      </c>
      <c r="AL88">
        <v>1.39</v>
      </c>
      <c r="AM88">
        <v>1.17</v>
      </c>
      <c r="AN88">
        <v>0.39</v>
      </c>
      <c r="AO88">
        <v>1.51</v>
      </c>
      <c r="AR88">
        <v>0.53</v>
      </c>
      <c r="AW88">
        <v>0.7</v>
      </c>
      <c r="AY88">
        <v>83</v>
      </c>
      <c r="AZ88">
        <v>93</v>
      </c>
      <c r="BA88">
        <v>83</v>
      </c>
      <c r="BB88">
        <v>82</v>
      </c>
      <c r="BC88">
        <v>82</v>
      </c>
      <c r="BD88">
        <v>80</v>
      </c>
      <c r="BE88">
        <v>90</v>
      </c>
      <c r="BF88">
        <v>86</v>
      </c>
      <c r="BG88">
        <v>80</v>
      </c>
      <c r="BH88">
        <v>84</v>
      </c>
      <c r="BI88">
        <v>79</v>
      </c>
      <c r="BL88">
        <v>80</v>
      </c>
      <c r="BQ88">
        <v>88</v>
      </c>
      <c r="BS88">
        <v>0.38</v>
      </c>
      <c r="BT88">
        <v>0.1</v>
      </c>
      <c r="BU88">
        <v>1.07</v>
      </c>
      <c r="BV88">
        <v>0.68</v>
      </c>
      <c r="BW88">
        <v>0.02</v>
      </c>
      <c r="BX88">
        <v>0.95</v>
      </c>
      <c r="BY88">
        <v>0.3</v>
      </c>
      <c r="CA88">
        <v>0.84</v>
      </c>
      <c r="CB88">
        <v>20</v>
      </c>
      <c r="CC88">
        <v>29</v>
      </c>
      <c r="CF88" s="2">
        <v>15.2361</v>
      </c>
      <c r="CH88" s="47">
        <v>23.638999999999999</v>
      </c>
      <c r="CI88" s="47">
        <v>2.3022999999999998</v>
      </c>
      <c r="CJ88" s="47">
        <v>0.62400000000000011</v>
      </c>
      <c r="CK88" s="47">
        <v>1.0190999999999999</v>
      </c>
      <c r="CL88" s="47">
        <v>1.5484</v>
      </c>
      <c r="CM88" s="47">
        <v>0.85880000000000001</v>
      </c>
      <c r="CN88" s="47">
        <v>0.6512</v>
      </c>
      <c r="CO88" s="47">
        <v>1.054</v>
      </c>
      <c r="CP88" s="47">
        <v>1.1536999999999999</v>
      </c>
      <c r="CQ88" s="47">
        <v>1.7346999999999999</v>
      </c>
      <c r="CR88" s="47">
        <v>0.87749999999999995</v>
      </c>
      <c r="CS88" s="47">
        <v>0.31200000000000006</v>
      </c>
      <c r="CT88" s="47">
        <v>1.1476</v>
      </c>
      <c r="CU88" s="47"/>
      <c r="CV88" s="47">
        <v>25.480999999999998</v>
      </c>
      <c r="CW88" s="47">
        <f t="shared" si="40"/>
        <v>2.3529</v>
      </c>
      <c r="CX88" s="47">
        <f t="shared" si="41"/>
        <v>0.64740000000000009</v>
      </c>
      <c r="CY88" s="47">
        <f t="shared" si="42"/>
        <v>1.0578000000000001</v>
      </c>
      <c r="CZ88" s="47">
        <f t="shared" si="43"/>
        <v>1.6072</v>
      </c>
      <c r="DA88" s="47">
        <f t="shared" si="44"/>
        <v>0.90399999999999991</v>
      </c>
      <c r="DB88" s="47">
        <f t="shared" si="45"/>
        <v>0.66599999999999993</v>
      </c>
      <c r="DC88" s="47">
        <f t="shared" si="61"/>
        <v>1.0900000000000001</v>
      </c>
      <c r="DD88" s="47">
        <f t="shared" si="49"/>
        <v>1.1954</v>
      </c>
      <c r="DE88" s="47">
        <f t="shared" si="47"/>
        <v>1.8113999999999999</v>
      </c>
      <c r="DF88" s="47">
        <f t="shared" si="50"/>
        <v>0.93599999999999994</v>
      </c>
      <c r="DG88" s="47">
        <f t="shared" si="51"/>
        <v>0.3276</v>
      </c>
      <c r="DH88" s="47">
        <f t="shared" si="52"/>
        <v>1.1929000000000001</v>
      </c>
      <c r="DI88" s="47"/>
      <c r="DJ88" s="47"/>
      <c r="DK88" s="47"/>
      <c r="DL88" s="47"/>
      <c r="DM88" s="47"/>
      <c r="DN88" s="47"/>
      <c r="DO88" s="47"/>
      <c r="DP88" s="47"/>
      <c r="DQ88">
        <f t="shared" si="53"/>
        <v>0.19</v>
      </c>
      <c r="DR88">
        <f t="shared" si="54"/>
        <v>0.27549999999999997</v>
      </c>
      <c r="DS88">
        <f t="shared" si="62"/>
        <v>0</v>
      </c>
      <c r="DT88">
        <f t="shared" si="63"/>
        <v>0</v>
      </c>
      <c r="DV88" s="110"/>
      <c r="DW88" s="111">
        <f t="shared" si="64"/>
        <v>0</v>
      </c>
      <c r="DX88" s="112">
        <v>0</v>
      </c>
      <c r="DY88" s="96"/>
      <c r="DZ88" s="96"/>
      <c r="EA88" s="81"/>
      <c r="EB88" s="113">
        <f t="shared" si="67"/>
        <v>0</v>
      </c>
      <c r="EC88" s="92"/>
      <c r="ED88" s="92"/>
      <c r="EE88" s="92"/>
      <c r="EF88" s="92"/>
      <c r="EG88" s="204">
        <v>0.84</v>
      </c>
      <c r="EH88" s="92"/>
      <c r="EI88" s="82">
        <f t="shared" si="66"/>
        <v>42.400000000000006</v>
      </c>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7"/>
      <c r="FL88" s="6"/>
      <c r="FM88" s="80">
        <f t="shared" si="56"/>
        <v>0.74222249875559987</v>
      </c>
      <c r="FN88" s="80">
        <f t="shared" si="57"/>
        <v>0.65816326530612246</v>
      </c>
      <c r="FO88" s="115">
        <f t="shared" si="58"/>
        <v>1.1277179050860275</v>
      </c>
      <c r="FP88" s="115">
        <f t="shared" si="59"/>
        <v>0.20383275261324044</v>
      </c>
      <c r="FQ88" s="116">
        <f t="shared" si="60"/>
        <v>5.2351791530944623E-2</v>
      </c>
    </row>
    <row r="89" spans="1:173" ht="12.75" customHeight="1" x14ac:dyDescent="0.25">
      <c r="A89" s="61">
        <v>80</v>
      </c>
      <c r="B89" t="s">
        <v>305</v>
      </c>
      <c r="C89">
        <v>4415</v>
      </c>
      <c r="D89">
        <v>2840</v>
      </c>
      <c r="E89">
        <v>2569</v>
      </c>
      <c r="F89">
        <v>1482</v>
      </c>
      <c r="H89">
        <v>90.4</v>
      </c>
      <c r="I89">
        <v>39.86</v>
      </c>
      <c r="J89">
        <v>18.440000000000001</v>
      </c>
      <c r="K89">
        <v>2.9</v>
      </c>
      <c r="M89">
        <v>6.06</v>
      </c>
      <c r="N89">
        <v>0</v>
      </c>
      <c r="O89">
        <v>0</v>
      </c>
      <c r="P89">
        <v>0</v>
      </c>
      <c r="Q89">
        <v>0</v>
      </c>
      <c r="R89">
        <v>0</v>
      </c>
      <c r="T89">
        <v>2.08</v>
      </c>
      <c r="U89">
        <v>30.24</v>
      </c>
      <c r="V89">
        <v>23</v>
      </c>
      <c r="AB89">
        <v>39.500000000000007</v>
      </c>
      <c r="AC89">
        <v>33</v>
      </c>
      <c r="AD89" s="9">
        <v>42.02</v>
      </c>
      <c r="AF89">
        <v>3.32</v>
      </c>
      <c r="AG89">
        <v>0.93</v>
      </c>
      <c r="AH89">
        <v>1.54</v>
      </c>
      <c r="AI89">
        <v>2.4700000000000002</v>
      </c>
      <c r="AJ89">
        <v>1.45</v>
      </c>
      <c r="AK89">
        <v>0.78</v>
      </c>
      <c r="AL89">
        <v>1.63</v>
      </c>
      <c r="AM89">
        <v>1.37</v>
      </c>
      <c r="AN89">
        <v>0.48</v>
      </c>
      <c r="AO89">
        <v>1.76</v>
      </c>
      <c r="AR89">
        <v>0.48</v>
      </c>
      <c r="AW89">
        <v>0.81</v>
      </c>
      <c r="AY89">
        <v>81</v>
      </c>
      <c r="AZ89">
        <v>93</v>
      </c>
      <c r="BA89">
        <v>85</v>
      </c>
      <c r="BB89">
        <v>80</v>
      </c>
      <c r="BC89">
        <v>80</v>
      </c>
      <c r="BD89">
        <v>78</v>
      </c>
      <c r="BE89">
        <v>89</v>
      </c>
      <c r="BF89">
        <v>81</v>
      </c>
      <c r="BG89">
        <v>77</v>
      </c>
      <c r="BH89">
        <v>80</v>
      </c>
      <c r="BI89">
        <v>79</v>
      </c>
      <c r="BL89">
        <v>82</v>
      </c>
      <c r="BQ89">
        <v>84</v>
      </c>
      <c r="BS89">
        <v>0.39</v>
      </c>
      <c r="BT89">
        <v>0.04</v>
      </c>
      <c r="BU89">
        <v>1.27</v>
      </c>
      <c r="BV89">
        <v>0.75</v>
      </c>
      <c r="BW89">
        <v>0.04</v>
      </c>
      <c r="BX89">
        <v>1.1599999999999999</v>
      </c>
      <c r="BY89">
        <v>0.38</v>
      </c>
      <c r="CA89">
        <v>0.89</v>
      </c>
      <c r="CB89">
        <v>20</v>
      </c>
      <c r="CC89">
        <v>29</v>
      </c>
      <c r="CF89" s="2">
        <v>13.035000000000002</v>
      </c>
      <c r="CH89" s="47">
        <v>30.293600000000001</v>
      </c>
      <c r="CI89" s="47">
        <v>3.0211999999999999</v>
      </c>
      <c r="CJ89" s="47">
        <v>0.76260000000000006</v>
      </c>
      <c r="CK89" s="47">
        <v>1.2012</v>
      </c>
      <c r="CL89" s="47">
        <v>1.9019000000000004</v>
      </c>
      <c r="CM89" s="47">
        <v>1.0874999999999999</v>
      </c>
      <c r="CN89" s="47">
        <v>0.6552</v>
      </c>
      <c r="CO89" s="47">
        <v>1.0247999999999999</v>
      </c>
      <c r="CP89" s="47">
        <v>1.2876999999999998</v>
      </c>
      <c r="CQ89" s="47">
        <v>1.8708999999999998</v>
      </c>
      <c r="CR89" s="47">
        <v>0.98640000000000017</v>
      </c>
      <c r="CS89" s="47">
        <v>0.35039999999999999</v>
      </c>
      <c r="CT89" s="47">
        <v>1.3375999999999999</v>
      </c>
      <c r="CU89" s="47"/>
      <c r="CV89" s="47">
        <v>32.2866</v>
      </c>
      <c r="CW89" s="47">
        <f t="shared" si="40"/>
        <v>3.0876000000000001</v>
      </c>
      <c r="CX89" s="47">
        <f t="shared" si="41"/>
        <v>0.79049999999999998</v>
      </c>
      <c r="CY89" s="47">
        <f t="shared" si="42"/>
        <v>1.232</v>
      </c>
      <c r="CZ89" s="47">
        <f t="shared" si="43"/>
        <v>1.9760000000000002</v>
      </c>
      <c r="DA89" s="47">
        <f t="shared" si="44"/>
        <v>1.131</v>
      </c>
      <c r="DB89" s="47">
        <f t="shared" si="45"/>
        <v>0.69420000000000004</v>
      </c>
      <c r="DC89" s="47">
        <f t="shared" si="61"/>
        <v>1.0878000000000001</v>
      </c>
      <c r="DD89" s="47">
        <f t="shared" si="49"/>
        <v>1.3203</v>
      </c>
      <c r="DE89" s="47">
        <f t="shared" si="47"/>
        <v>2.0007000000000001</v>
      </c>
      <c r="DF89" s="47">
        <f t="shared" si="50"/>
        <v>1.0549000000000002</v>
      </c>
      <c r="DG89" s="47">
        <f t="shared" si="51"/>
        <v>0.38400000000000001</v>
      </c>
      <c r="DH89" s="47">
        <f t="shared" si="52"/>
        <v>1.3903999999999999</v>
      </c>
      <c r="DI89" s="47"/>
      <c r="DJ89" s="47"/>
      <c r="DK89" s="47"/>
      <c r="DL89" s="47"/>
      <c r="DM89" s="47"/>
      <c r="DN89" s="47"/>
      <c r="DO89" s="47"/>
      <c r="DP89" s="47"/>
      <c r="DQ89">
        <f t="shared" si="53"/>
        <v>0.23199999999999998</v>
      </c>
      <c r="DR89">
        <f t="shared" si="54"/>
        <v>0.33640000000000003</v>
      </c>
      <c r="DS89">
        <f t="shared" si="62"/>
        <v>0</v>
      </c>
      <c r="DT89">
        <f t="shared" si="63"/>
        <v>0</v>
      </c>
      <c r="DV89" s="110"/>
      <c r="DW89" s="111">
        <f t="shared" si="64"/>
        <v>0</v>
      </c>
      <c r="DX89" s="112">
        <v>0</v>
      </c>
      <c r="DY89" s="96"/>
      <c r="DZ89" s="96"/>
      <c r="EA89" s="81"/>
      <c r="EB89" s="113">
        <f t="shared" si="67"/>
        <v>0</v>
      </c>
      <c r="EC89" s="92"/>
      <c r="ED89" s="92"/>
      <c r="EE89" s="92"/>
      <c r="EF89" s="92"/>
      <c r="EG89" s="204">
        <v>0.89</v>
      </c>
      <c r="EH89" s="92"/>
      <c r="EI89" s="82">
        <f t="shared" si="66"/>
        <v>39.36</v>
      </c>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7"/>
      <c r="FL89" s="6"/>
      <c r="FM89" s="80">
        <f t="shared" si="56"/>
        <v>0.70364372469635617</v>
      </c>
      <c r="FN89" s="80">
        <f t="shared" si="57"/>
        <v>0.62348178137651811</v>
      </c>
      <c r="FO89" s="115">
        <f t="shared" si="58"/>
        <v>1.1285714285714286</v>
      </c>
      <c r="FP89" s="115">
        <f t="shared" si="59"/>
        <v>0.19433198380566799</v>
      </c>
      <c r="FQ89" s="116">
        <f t="shared" si="60"/>
        <v>4.9573507275464133E-2</v>
      </c>
    </row>
    <row r="90" spans="1:173" ht="12.75" customHeight="1" x14ac:dyDescent="0.25">
      <c r="A90" s="61">
        <v>81</v>
      </c>
      <c r="B90" t="s">
        <v>306</v>
      </c>
      <c r="C90">
        <v>4316</v>
      </c>
      <c r="D90">
        <v>3320</v>
      </c>
      <c r="E90">
        <v>3228</v>
      </c>
      <c r="F90">
        <v>2507</v>
      </c>
      <c r="H90">
        <v>88.48</v>
      </c>
      <c r="I90">
        <v>13.6</v>
      </c>
      <c r="J90">
        <v>2.54</v>
      </c>
      <c r="K90">
        <v>1.77</v>
      </c>
      <c r="M90">
        <v>2.95</v>
      </c>
      <c r="N90">
        <v>0</v>
      </c>
      <c r="O90">
        <v>0</v>
      </c>
      <c r="P90">
        <v>0</v>
      </c>
      <c r="Q90">
        <v>0</v>
      </c>
      <c r="R90">
        <v>0</v>
      </c>
      <c r="T90">
        <v>64.31</v>
      </c>
      <c r="U90">
        <v>10.28</v>
      </c>
      <c r="V90">
        <v>3.45</v>
      </c>
      <c r="W90">
        <v>0.77</v>
      </c>
      <c r="AB90">
        <v>5.8500000000000085</v>
      </c>
      <c r="AC90">
        <v>43</v>
      </c>
      <c r="AD90" s="9">
        <v>39.482100000000003</v>
      </c>
      <c r="AF90">
        <v>0.73</v>
      </c>
      <c r="AG90">
        <v>0.31</v>
      </c>
      <c r="AH90">
        <v>0.45</v>
      </c>
      <c r="AI90">
        <v>0.86</v>
      </c>
      <c r="AJ90">
        <v>0.46</v>
      </c>
      <c r="AK90">
        <v>0.24</v>
      </c>
      <c r="AL90">
        <v>0.52</v>
      </c>
      <c r="AM90">
        <v>0.41</v>
      </c>
      <c r="AN90">
        <v>0.16</v>
      </c>
      <c r="AO90">
        <v>0.59</v>
      </c>
      <c r="AR90">
        <v>0.28999999999999998</v>
      </c>
      <c r="AW90">
        <v>0.39</v>
      </c>
      <c r="AY90">
        <v>87</v>
      </c>
      <c r="AZ90">
        <v>85</v>
      </c>
      <c r="BA90">
        <v>82</v>
      </c>
      <c r="BB90">
        <v>83</v>
      </c>
      <c r="BC90">
        <v>85</v>
      </c>
      <c r="BD90">
        <v>78</v>
      </c>
      <c r="BE90">
        <v>89</v>
      </c>
      <c r="BF90">
        <v>85</v>
      </c>
      <c r="BG90">
        <v>70</v>
      </c>
      <c r="BH90">
        <v>82</v>
      </c>
      <c r="BI90">
        <v>82</v>
      </c>
      <c r="BL90">
        <v>83</v>
      </c>
      <c r="BQ90">
        <v>82</v>
      </c>
      <c r="BS90">
        <v>0.04</v>
      </c>
      <c r="BT90">
        <v>0.03</v>
      </c>
      <c r="BU90">
        <v>0.46</v>
      </c>
      <c r="BV90">
        <v>0.1</v>
      </c>
      <c r="BW90">
        <v>0.03</v>
      </c>
      <c r="BX90">
        <v>0.33</v>
      </c>
      <c r="BY90">
        <v>0.15</v>
      </c>
      <c r="CA90">
        <v>0.21</v>
      </c>
      <c r="CB90">
        <v>50</v>
      </c>
      <c r="CC90">
        <v>56</v>
      </c>
      <c r="CD90" s="64">
        <v>50</v>
      </c>
      <c r="CE90" s="64">
        <f t="shared" ref="CE90:CE96" si="68">CD90+10</f>
        <v>60</v>
      </c>
      <c r="CF90" s="2">
        <v>2.5155000000000034</v>
      </c>
      <c r="CH90" s="47">
        <v>10.743999999999998</v>
      </c>
      <c r="CI90" s="47">
        <v>0.59129999999999994</v>
      </c>
      <c r="CJ90" s="47">
        <v>0.248</v>
      </c>
      <c r="CK90" s="47">
        <v>0.35550000000000004</v>
      </c>
      <c r="CL90" s="47">
        <v>0.6966</v>
      </c>
      <c r="CM90" s="47">
        <v>0.34039999999999998</v>
      </c>
      <c r="CN90" s="47">
        <v>0.19919999999999999</v>
      </c>
      <c r="CO90" s="47">
        <v>0.43119999999999997</v>
      </c>
      <c r="CP90" s="47">
        <v>0.42120000000000002</v>
      </c>
      <c r="CQ90" s="47">
        <v>0.72930000000000006</v>
      </c>
      <c r="CR90" s="47">
        <v>0.26239999999999997</v>
      </c>
      <c r="CS90" s="47">
        <v>0.1216</v>
      </c>
      <c r="CT90" s="47">
        <v>0.45429999999999998</v>
      </c>
      <c r="CU90" s="47"/>
      <c r="CV90" s="47">
        <v>11.832000000000001</v>
      </c>
      <c r="CW90" s="47">
        <f t="shared" si="40"/>
        <v>0.62049999999999994</v>
      </c>
      <c r="CX90" s="47">
        <f t="shared" si="41"/>
        <v>0.25419999999999998</v>
      </c>
      <c r="CY90" s="47">
        <f t="shared" si="42"/>
        <v>0.3735</v>
      </c>
      <c r="CZ90" s="47">
        <f t="shared" si="43"/>
        <v>0.73099999999999998</v>
      </c>
      <c r="DA90" s="47">
        <f t="shared" si="44"/>
        <v>0.35880000000000001</v>
      </c>
      <c r="DB90" s="47">
        <f t="shared" si="45"/>
        <v>0.21359999999999998</v>
      </c>
      <c r="DC90" s="47">
        <f t="shared" si="61"/>
        <v>0.45429999999999993</v>
      </c>
      <c r="DD90" s="47">
        <f t="shared" si="49"/>
        <v>0.442</v>
      </c>
      <c r="DE90" s="47">
        <f t="shared" si="47"/>
        <v>0.76180000000000003</v>
      </c>
      <c r="DF90" s="47">
        <f t="shared" si="50"/>
        <v>0.28699999999999998</v>
      </c>
      <c r="DG90" s="47">
        <f t="shared" si="51"/>
        <v>0.13120000000000001</v>
      </c>
      <c r="DH90" s="47">
        <f t="shared" si="52"/>
        <v>0.48379999999999995</v>
      </c>
      <c r="DI90" s="47"/>
      <c r="DJ90" s="47"/>
      <c r="DK90" s="47"/>
      <c r="DL90" s="47"/>
      <c r="DM90" s="47"/>
      <c r="DN90" s="47"/>
      <c r="DO90" s="47"/>
      <c r="DP90" s="47"/>
      <c r="DQ90">
        <f t="shared" si="53"/>
        <v>0.16500000000000001</v>
      </c>
      <c r="DR90">
        <f t="shared" ref="DR90:DR117" si="69">CC90*BX90/100</f>
        <v>0.18479999999999999</v>
      </c>
      <c r="DS90">
        <f t="shared" si="62"/>
        <v>0.02</v>
      </c>
      <c r="DT90">
        <f t="shared" si="63"/>
        <v>2.4E-2</v>
      </c>
      <c r="DV90" s="110"/>
      <c r="DW90" s="111">
        <f t="shared" si="64"/>
        <v>0</v>
      </c>
      <c r="DX90" s="112">
        <v>0</v>
      </c>
      <c r="DY90" s="96"/>
      <c r="DZ90" s="96"/>
      <c r="EA90" s="81"/>
      <c r="EB90" s="113">
        <f t="shared" si="67"/>
        <v>0</v>
      </c>
      <c r="EC90" s="92"/>
      <c r="ED90" s="92"/>
      <c r="EE90" s="92"/>
      <c r="EF90" s="92"/>
      <c r="EG90" s="204">
        <v>0.21</v>
      </c>
      <c r="EH90" s="92"/>
      <c r="EI90" s="82">
        <f t="shared" si="66"/>
        <v>24.069999999999997</v>
      </c>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7"/>
      <c r="FL90" s="6"/>
      <c r="FM90" s="80">
        <f t="shared" si="56"/>
        <v>0.66183310533515727</v>
      </c>
      <c r="FN90" s="80">
        <f t="shared" si="57"/>
        <v>0.51094391244870041</v>
      </c>
      <c r="FO90" s="115">
        <f t="shared" si="58"/>
        <v>1.2953145917001339</v>
      </c>
      <c r="FP90" s="115">
        <f t="shared" si="59"/>
        <v>0.17948016415868676</v>
      </c>
      <c r="FQ90" s="116">
        <f t="shared" si="60"/>
        <v>5.3749999999999999E-2</v>
      </c>
    </row>
    <row r="91" spans="1:173" ht="12.75" customHeight="1" x14ac:dyDescent="0.25">
      <c r="A91" s="61">
        <v>82</v>
      </c>
      <c r="B91" t="s">
        <v>307</v>
      </c>
      <c r="C91">
        <v>3788</v>
      </c>
      <c r="D91">
        <v>3313</v>
      </c>
      <c r="E91">
        <v>3215</v>
      </c>
      <c r="F91">
        <v>2472</v>
      </c>
      <c r="H91">
        <v>88.67</v>
      </c>
      <c r="I91">
        <v>14.46</v>
      </c>
      <c r="J91">
        <v>2.57</v>
      </c>
      <c r="K91">
        <v>1.82</v>
      </c>
      <c r="L91">
        <v>2.5099999999999998</v>
      </c>
      <c r="M91">
        <v>1.98</v>
      </c>
      <c r="N91">
        <v>0</v>
      </c>
      <c r="O91">
        <v>0</v>
      </c>
      <c r="P91">
        <v>0</v>
      </c>
      <c r="Q91">
        <v>0</v>
      </c>
      <c r="R91">
        <v>0</v>
      </c>
      <c r="T91">
        <v>59.5</v>
      </c>
      <c r="U91">
        <v>10.6</v>
      </c>
      <c r="V91">
        <v>3.55</v>
      </c>
      <c r="W91">
        <v>0.97</v>
      </c>
      <c r="X91">
        <v>9.83</v>
      </c>
      <c r="Y91">
        <v>6.81</v>
      </c>
      <c r="Z91">
        <v>2.34</v>
      </c>
      <c r="AB91">
        <v>10.910000000000011</v>
      </c>
      <c r="AC91">
        <v>46</v>
      </c>
      <c r="AD91" s="9">
        <v>40.136500000000012</v>
      </c>
      <c r="AF91">
        <v>0.6</v>
      </c>
      <c r="AG91">
        <v>0.34</v>
      </c>
      <c r="AH91">
        <v>0.47</v>
      </c>
      <c r="AI91">
        <v>0.91</v>
      </c>
      <c r="AJ91">
        <v>0.39</v>
      </c>
      <c r="AK91">
        <v>0.22</v>
      </c>
      <c r="AL91">
        <v>0.64</v>
      </c>
      <c r="AM91">
        <v>0.4</v>
      </c>
      <c r="AN91">
        <v>0.17</v>
      </c>
      <c r="AO91">
        <v>0.57999999999999996</v>
      </c>
      <c r="AP91">
        <v>0.47</v>
      </c>
      <c r="AQ91">
        <v>0.71</v>
      </c>
      <c r="AR91">
        <v>0.33</v>
      </c>
      <c r="AS91">
        <v>3.88</v>
      </c>
      <c r="AT91">
        <v>0.56999999999999995</v>
      </c>
      <c r="AU91">
        <v>1.36</v>
      </c>
      <c r="AV91">
        <v>0.6</v>
      </c>
      <c r="AW91">
        <v>0.36</v>
      </c>
      <c r="AY91">
        <v>88</v>
      </c>
      <c r="AZ91">
        <v>91</v>
      </c>
      <c r="BA91">
        <v>88</v>
      </c>
      <c r="BB91">
        <v>89</v>
      </c>
      <c r="BC91">
        <v>89</v>
      </c>
      <c r="BD91">
        <v>82</v>
      </c>
      <c r="BE91">
        <v>88</v>
      </c>
      <c r="BF91">
        <v>90</v>
      </c>
      <c r="BG91">
        <v>84</v>
      </c>
      <c r="BH91">
        <v>88</v>
      </c>
      <c r="BI91">
        <v>88</v>
      </c>
      <c r="BJ91">
        <v>83</v>
      </c>
      <c r="BK91">
        <v>84</v>
      </c>
      <c r="BL91">
        <v>89</v>
      </c>
      <c r="BM91">
        <v>93</v>
      </c>
      <c r="BN91">
        <v>92</v>
      </c>
      <c r="BO91">
        <v>105</v>
      </c>
      <c r="BP91">
        <v>89</v>
      </c>
      <c r="BQ91">
        <v>88</v>
      </c>
      <c r="BS91">
        <v>0.06</v>
      </c>
      <c r="BT91">
        <v>0.06</v>
      </c>
      <c r="BU91">
        <v>0.49</v>
      </c>
      <c r="BV91">
        <v>0.16</v>
      </c>
      <c r="BW91">
        <v>0.01</v>
      </c>
      <c r="BX91">
        <v>0.39</v>
      </c>
      <c r="BY91">
        <v>0.16</v>
      </c>
      <c r="CA91">
        <v>0.22</v>
      </c>
      <c r="CB91">
        <v>46</v>
      </c>
      <c r="CC91">
        <v>56</v>
      </c>
      <c r="CD91" s="64">
        <v>50</v>
      </c>
      <c r="CE91" s="64">
        <f t="shared" si="68"/>
        <v>60</v>
      </c>
      <c r="CF91" s="2">
        <v>5.0186000000000046</v>
      </c>
      <c r="CH91" s="47">
        <v>11.1342</v>
      </c>
      <c r="CI91" s="47">
        <v>0.498</v>
      </c>
      <c r="CJ91" s="47">
        <v>0.28220000000000001</v>
      </c>
      <c r="CK91" s="47">
        <v>0.38539999999999996</v>
      </c>
      <c r="CL91" s="47">
        <v>0.75529999999999997</v>
      </c>
      <c r="CM91" s="47">
        <v>0.28079999999999999</v>
      </c>
      <c r="CN91" s="47">
        <v>0.18260000000000001</v>
      </c>
      <c r="CO91" s="47">
        <v>0.45650000000000002</v>
      </c>
      <c r="CP91" s="47">
        <v>0.54400000000000004</v>
      </c>
      <c r="CQ91" s="47">
        <v>0.83200000000000007</v>
      </c>
      <c r="CR91" s="47">
        <v>0.28400000000000003</v>
      </c>
      <c r="CS91" s="47">
        <v>0.13940000000000002</v>
      </c>
      <c r="CT91" s="47">
        <v>0.4582</v>
      </c>
      <c r="CU91" s="47"/>
      <c r="CV91" s="47">
        <v>12.7248</v>
      </c>
      <c r="CW91" s="47">
        <f t="shared" si="40"/>
        <v>0.54600000000000004</v>
      </c>
      <c r="CX91" s="47">
        <f t="shared" si="41"/>
        <v>0.29920000000000002</v>
      </c>
      <c r="CY91" s="47">
        <f t="shared" si="42"/>
        <v>0.41830000000000001</v>
      </c>
      <c r="CZ91" s="47">
        <f t="shared" si="43"/>
        <v>0.80990000000000006</v>
      </c>
      <c r="DA91" s="47">
        <f t="shared" si="44"/>
        <v>0.31980000000000003</v>
      </c>
      <c r="DB91" s="47">
        <f t="shared" si="45"/>
        <v>0.19359999999999999</v>
      </c>
      <c r="DC91" s="47">
        <f t="shared" si="61"/>
        <v>0.48730000000000007</v>
      </c>
      <c r="DD91" s="47">
        <f t="shared" si="49"/>
        <v>0.57600000000000007</v>
      </c>
      <c r="DE91" s="47">
        <f t="shared" si="47"/>
        <v>0.89280000000000004</v>
      </c>
      <c r="DF91" s="47">
        <f t="shared" si="50"/>
        <v>0.33600000000000002</v>
      </c>
      <c r="DG91" s="47">
        <f t="shared" si="51"/>
        <v>0.14960000000000001</v>
      </c>
      <c r="DH91" s="47">
        <f t="shared" si="52"/>
        <v>0.51039999999999996</v>
      </c>
      <c r="DI91" s="47"/>
      <c r="DJ91" s="47"/>
      <c r="DK91" s="47"/>
      <c r="DL91" s="47"/>
      <c r="DM91" s="47"/>
      <c r="DN91" s="47"/>
      <c r="DO91" s="47"/>
      <c r="DP91" s="47"/>
      <c r="DQ91">
        <f t="shared" si="53"/>
        <v>0.1794</v>
      </c>
      <c r="DR91">
        <f t="shared" si="69"/>
        <v>0.21840000000000001</v>
      </c>
      <c r="DS91">
        <f t="shared" si="62"/>
        <v>0.03</v>
      </c>
      <c r="DT91">
        <f t="shared" si="63"/>
        <v>3.5999999999999997E-2</v>
      </c>
      <c r="DV91" s="274"/>
      <c r="DW91" s="111">
        <f t="shared" si="64"/>
        <v>120</v>
      </c>
      <c r="DX91" s="112">
        <v>0.06</v>
      </c>
      <c r="DY91" s="94">
        <v>2450</v>
      </c>
      <c r="DZ91" s="94">
        <v>2490</v>
      </c>
      <c r="EA91" s="81">
        <v>0.5</v>
      </c>
      <c r="EB91" s="113">
        <f t="shared" si="67"/>
        <v>0.19500000000000001</v>
      </c>
      <c r="EC91" s="6">
        <v>0.93</v>
      </c>
      <c r="ED91" s="92">
        <v>0</v>
      </c>
      <c r="EE91" s="92">
        <v>0</v>
      </c>
      <c r="EF91" s="92"/>
      <c r="EG91" s="204">
        <v>0.25</v>
      </c>
      <c r="EH91" s="107">
        <f>125*K91/10</f>
        <v>22.75</v>
      </c>
      <c r="EI91" s="82">
        <f t="shared" si="66"/>
        <v>29.37</v>
      </c>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v>55.81</v>
      </c>
      <c r="FJ91" s="6">
        <v>2.5099999999999998</v>
      </c>
      <c r="FK91" s="7">
        <f t="shared" ref="FK91:FK96" si="70">SUM(FI91:FJ91)/100*K91</f>
        <v>1.0614240000000001</v>
      </c>
      <c r="FL91" s="6"/>
      <c r="FM91" s="80">
        <f t="shared" si="56"/>
        <v>0.63020125941474248</v>
      </c>
      <c r="FN91" s="80">
        <f t="shared" si="57"/>
        <v>0.51648351648351642</v>
      </c>
      <c r="FO91" s="115">
        <f t="shared" si="58"/>
        <v>1.2201769065264163</v>
      </c>
      <c r="FP91" s="115">
        <f t="shared" si="59"/>
        <v>0.18471416224225212</v>
      </c>
      <c r="FQ91" s="116">
        <f t="shared" si="60"/>
        <v>5.6009681881051175E-2</v>
      </c>
    </row>
    <row r="92" spans="1:173" ht="12.75" customHeight="1" x14ac:dyDescent="0.25">
      <c r="A92" s="61">
        <v>83</v>
      </c>
      <c r="B92" t="s">
        <v>308</v>
      </c>
      <c r="C92">
        <v>4295</v>
      </c>
      <c r="D92">
        <v>3450</v>
      </c>
      <c r="E92">
        <v>3376</v>
      </c>
      <c r="F92">
        <v>2595</v>
      </c>
      <c r="H92">
        <v>86.38</v>
      </c>
      <c r="I92">
        <v>10.92</v>
      </c>
      <c r="K92">
        <v>1.36</v>
      </c>
      <c r="M92">
        <v>1.99</v>
      </c>
      <c r="T92">
        <v>60.04</v>
      </c>
      <c r="V92">
        <v>3.55</v>
      </c>
      <c r="X92">
        <v>9.9</v>
      </c>
      <c r="Y92">
        <v>6.63</v>
      </c>
      <c r="Z92">
        <v>3.27</v>
      </c>
      <c r="AB92">
        <v>12.07</v>
      </c>
      <c r="AC92">
        <v>46</v>
      </c>
      <c r="AD92" s="9">
        <v>38.670299999999997</v>
      </c>
      <c r="AF92">
        <v>0.52</v>
      </c>
      <c r="AG92">
        <v>0.28000000000000003</v>
      </c>
      <c r="AH92">
        <v>0.34</v>
      </c>
      <c r="AI92">
        <v>0.68</v>
      </c>
      <c r="AJ92">
        <v>0.35</v>
      </c>
      <c r="AK92">
        <v>0.22</v>
      </c>
      <c r="AL92">
        <v>0.52</v>
      </c>
      <c r="AM92">
        <v>0.35</v>
      </c>
      <c r="AN92">
        <v>0.14000000000000001</v>
      </c>
      <c r="AO92">
        <v>0.47</v>
      </c>
      <c r="AR92">
        <v>0.3</v>
      </c>
      <c r="AW92">
        <v>0.3</v>
      </c>
      <c r="AY92" s="13">
        <v>88.083333333333329</v>
      </c>
      <c r="AZ92">
        <v>89</v>
      </c>
      <c r="BA92">
        <v>90</v>
      </c>
      <c r="BB92">
        <v>90</v>
      </c>
      <c r="BC92">
        <v>87</v>
      </c>
      <c r="BD92">
        <v>82</v>
      </c>
      <c r="BE92">
        <v>90</v>
      </c>
      <c r="BF92">
        <v>91</v>
      </c>
      <c r="BG92">
        <v>85</v>
      </c>
      <c r="BH92">
        <v>88</v>
      </c>
      <c r="BI92">
        <v>87</v>
      </c>
      <c r="BL92">
        <v>90</v>
      </c>
      <c r="BQ92">
        <v>88</v>
      </c>
      <c r="BS92">
        <v>0.03</v>
      </c>
      <c r="BT92">
        <v>0.08</v>
      </c>
      <c r="BU92">
        <v>0.46</v>
      </c>
      <c r="BV92">
        <v>0.11</v>
      </c>
      <c r="BW92">
        <v>0.01</v>
      </c>
      <c r="BX92">
        <v>0.3</v>
      </c>
      <c r="BY92">
        <v>0.16</v>
      </c>
      <c r="CA92">
        <v>0.2</v>
      </c>
      <c r="CB92">
        <v>46</v>
      </c>
      <c r="CC92">
        <v>56</v>
      </c>
      <c r="CD92" s="64">
        <v>50</v>
      </c>
      <c r="CE92" s="64">
        <f t="shared" si="68"/>
        <v>60</v>
      </c>
      <c r="CF92" s="2">
        <v>5.5522</v>
      </c>
      <c r="CH92" s="47">
        <v>0</v>
      </c>
      <c r="CI92" s="47">
        <v>0.43160000000000004</v>
      </c>
      <c r="CJ92" s="47">
        <v>0.23520000000000002</v>
      </c>
      <c r="CK92" s="47">
        <v>0.28560000000000002</v>
      </c>
      <c r="CL92" s="47">
        <v>0.57800000000000007</v>
      </c>
      <c r="CM92" s="47">
        <v>0.25549999999999995</v>
      </c>
      <c r="CN92" s="47">
        <v>0.187</v>
      </c>
      <c r="CO92" s="47">
        <v>0.439</v>
      </c>
      <c r="CP92" s="47">
        <v>0.45240000000000002</v>
      </c>
      <c r="CQ92" s="47">
        <v>0.70440000000000003</v>
      </c>
      <c r="CR92" s="47">
        <v>0.252</v>
      </c>
      <c r="CS92" s="47">
        <v>0.11340000000000001</v>
      </c>
      <c r="CT92" s="47">
        <v>0.37599999999999995</v>
      </c>
      <c r="CU92" s="47"/>
      <c r="CV92" s="47">
        <v>9.6186999999999987</v>
      </c>
      <c r="CW92" s="47">
        <f t="shared" si="40"/>
        <v>0.46279999999999999</v>
      </c>
      <c r="CX92" s="47">
        <f t="shared" si="41"/>
        <v>0.252</v>
      </c>
      <c r="CY92" s="47">
        <f t="shared" si="42"/>
        <v>0.30599999999999999</v>
      </c>
      <c r="CZ92" s="47">
        <f t="shared" si="43"/>
        <v>0.59160000000000001</v>
      </c>
      <c r="DA92" s="47">
        <f t="shared" si="44"/>
        <v>0.28699999999999998</v>
      </c>
      <c r="DB92" s="47">
        <f t="shared" si="45"/>
        <v>0.19800000000000001</v>
      </c>
      <c r="DC92" s="47">
        <f t="shared" si="61"/>
        <v>0.46799999999999997</v>
      </c>
      <c r="DD92" s="47">
        <f t="shared" si="49"/>
        <v>0.47320000000000001</v>
      </c>
      <c r="DE92" s="47">
        <f t="shared" si="47"/>
        <v>0.73720000000000008</v>
      </c>
      <c r="DF92" s="47">
        <f t="shared" si="50"/>
        <v>0.29749999999999999</v>
      </c>
      <c r="DG92" s="47">
        <f t="shared" si="51"/>
        <v>0.1232</v>
      </c>
      <c r="DH92" s="47">
        <f t="shared" si="52"/>
        <v>0.40889999999999999</v>
      </c>
      <c r="DI92" s="47"/>
      <c r="DJ92" s="47"/>
      <c r="DK92" s="47"/>
      <c r="DL92" s="47"/>
      <c r="DM92" s="47"/>
      <c r="DN92" s="47"/>
      <c r="DO92" s="47"/>
      <c r="DP92" s="47"/>
      <c r="DQ92">
        <f t="shared" si="53"/>
        <v>0.13799999999999998</v>
      </c>
      <c r="DR92">
        <f t="shared" si="69"/>
        <v>0.16800000000000001</v>
      </c>
      <c r="DS92">
        <f t="shared" si="62"/>
        <v>1.4999999999999999E-2</v>
      </c>
      <c r="DT92">
        <f t="shared" si="63"/>
        <v>1.7999999999999999E-2</v>
      </c>
      <c r="DV92" s="110"/>
      <c r="DW92" s="111">
        <f t="shared" si="64"/>
        <v>900</v>
      </c>
      <c r="DX92" s="112">
        <v>0.45</v>
      </c>
      <c r="DY92" s="94"/>
      <c r="DZ92" s="94"/>
      <c r="EA92" s="81"/>
      <c r="EB92" s="113">
        <f t="shared" si="67"/>
        <v>0</v>
      </c>
      <c r="EC92" s="92">
        <v>0</v>
      </c>
      <c r="ED92" s="92">
        <v>0</v>
      </c>
      <c r="EE92" s="92">
        <v>0</v>
      </c>
      <c r="EF92" s="92"/>
      <c r="EG92" s="204">
        <v>0.32</v>
      </c>
      <c r="EH92" s="92">
        <v>0</v>
      </c>
      <c r="EI92" s="82">
        <f t="shared" si="66"/>
        <v>27</v>
      </c>
      <c r="EJ92" s="6"/>
      <c r="EK92" s="80"/>
      <c r="EL92" s="80"/>
      <c r="EM92" s="80"/>
      <c r="EN92" s="125"/>
      <c r="EO92" s="120"/>
      <c r="EP92" s="120"/>
      <c r="EQ92" s="120"/>
      <c r="ER92" s="120"/>
      <c r="ET92" s="6"/>
      <c r="EU92" s="6"/>
      <c r="EV92" s="6"/>
      <c r="EW92" s="6"/>
      <c r="EX92" s="6"/>
      <c r="EY92" s="6"/>
      <c r="EZ92" s="6"/>
      <c r="FA92" s="6"/>
      <c r="FB92" s="6"/>
      <c r="FC92" s="6"/>
      <c r="FD92" s="6"/>
      <c r="FE92" s="6"/>
      <c r="FF92" s="6"/>
      <c r="FG92" s="6"/>
      <c r="FH92" s="6"/>
      <c r="FI92" s="6">
        <v>55.81</v>
      </c>
      <c r="FJ92" s="6">
        <v>2.5099999999999998</v>
      </c>
      <c r="FK92" s="7">
        <f t="shared" si="70"/>
        <v>0.79315200000000008</v>
      </c>
      <c r="FL92" s="6"/>
      <c r="FM92" s="80">
        <f t="shared" si="56"/>
        <v>0.69117647058823528</v>
      </c>
      <c r="FN92" s="80">
        <f t="shared" si="57"/>
        <v>0.51724137931034475</v>
      </c>
      <c r="FO92" s="115">
        <f t="shared" si="58"/>
        <v>1.3362745098039215</v>
      </c>
      <c r="FP92" s="115">
        <f t="shared" si="59"/>
        <v>0.20824881676808654</v>
      </c>
      <c r="FQ92" s="116">
        <f t="shared" si="60"/>
        <v>5.4175824175824179E-2</v>
      </c>
    </row>
    <row r="93" spans="1:173" ht="12.75" customHeight="1" x14ac:dyDescent="0.25">
      <c r="A93" s="61">
        <v>84</v>
      </c>
      <c r="B93" t="s">
        <v>309</v>
      </c>
      <c r="C93">
        <v>4010</v>
      </c>
      <c r="D93">
        <v>2420</v>
      </c>
      <c r="E93">
        <v>2318</v>
      </c>
      <c r="F93">
        <v>1646</v>
      </c>
      <c r="H93">
        <v>87.38</v>
      </c>
      <c r="I93">
        <v>15.08</v>
      </c>
      <c r="J93">
        <v>7.77</v>
      </c>
      <c r="K93">
        <v>4.72</v>
      </c>
      <c r="M93">
        <v>4.16</v>
      </c>
      <c r="N93">
        <v>0</v>
      </c>
      <c r="O93">
        <v>0</v>
      </c>
      <c r="P93">
        <v>0</v>
      </c>
      <c r="Q93">
        <v>0</v>
      </c>
      <c r="R93">
        <v>0</v>
      </c>
      <c r="T93">
        <v>22.56</v>
      </c>
      <c r="U93">
        <v>32.28</v>
      </c>
      <c r="V93">
        <v>11</v>
      </c>
      <c r="AB93">
        <v>40.86</v>
      </c>
      <c r="AC93">
        <v>34</v>
      </c>
      <c r="AD93" s="9">
        <v>39.893000000000001</v>
      </c>
      <c r="AF93">
        <v>0.77</v>
      </c>
      <c r="AG93">
        <v>0.39</v>
      </c>
      <c r="AH93">
        <v>0.47</v>
      </c>
      <c r="AI93">
        <v>0.8</v>
      </c>
      <c r="AJ93">
        <v>0.52</v>
      </c>
      <c r="AK93">
        <v>0.22</v>
      </c>
      <c r="AL93">
        <v>0.49</v>
      </c>
      <c r="AM93">
        <v>0.6</v>
      </c>
      <c r="AN93">
        <v>0.22</v>
      </c>
      <c r="AO93">
        <v>0.66</v>
      </c>
      <c r="AP93">
        <v>1.79</v>
      </c>
      <c r="AQ93">
        <v>3.38</v>
      </c>
      <c r="AR93">
        <v>0.74</v>
      </c>
      <c r="AS93">
        <v>5.03</v>
      </c>
      <c r="AT93">
        <v>1.44</v>
      </c>
      <c r="AU93" s="64">
        <f>AV93*2</f>
        <v>3.04</v>
      </c>
      <c r="AV93">
        <v>1.52</v>
      </c>
      <c r="AW93">
        <v>0.69</v>
      </c>
      <c r="AY93">
        <v>78</v>
      </c>
      <c r="AZ93">
        <v>90</v>
      </c>
      <c r="BA93">
        <v>76</v>
      </c>
      <c r="BB93">
        <v>75</v>
      </c>
      <c r="BC93">
        <v>73</v>
      </c>
      <c r="BD93">
        <v>73</v>
      </c>
      <c r="BE93">
        <v>72</v>
      </c>
      <c r="BF93">
        <v>83</v>
      </c>
      <c r="BG93">
        <v>64</v>
      </c>
      <c r="BH93" s="71">
        <v>73</v>
      </c>
      <c r="BI93">
        <v>79</v>
      </c>
      <c r="BJ93">
        <v>58</v>
      </c>
      <c r="BK93">
        <v>66</v>
      </c>
      <c r="BL93">
        <v>77</v>
      </c>
      <c r="BM93">
        <v>84</v>
      </c>
      <c r="BN93">
        <v>67</v>
      </c>
      <c r="BO93">
        <v>87</v>
      </c>
      <c r="BP93">
        <v>73</v>
      </c>
      <c r="BQ93">
        <v>56</v>
      </c>
      <c r="BS93">
        <v>0.1</v>
      </c>
      <c r="BT93">
        <v>7.0000000000000007E-2</v>
      </c>
      <c r="BU93">
        <v>1.26</v>
      </c>
      <c r="BV93">
        <v>0.52</v>
      </c>
      <c r="BW93">
        <v>0.04</v>
      </c>
      <c r="BX93">
        <v>0.99</v>
      </c>
      <c r="BY93">
        <v>0.22</v>
      </c>
      <c r="CA93">
        <v>0.88</v>
      </c>
      <c r="CB93">
        <v>46</v>
      </c>
      <c r="CC93">
        <v>56</v>
      </c>
      <c r="CD93" s="64">
        <v>50</v>
      </c>
      <c r="CE93" s="64">
        <f t="shared" si="68"/>
        <v>60</v>
      </c>
      <c r="CF93" s="2">
        <v>13.8924</v>
      </c>
      <c r="CH93" s="47">
        <v>10.405200000000001</v>
      </c>
      <c r="CI93" s="47">
        <v>0.60060000000000002</v>
      </c>
      <c r="CJ93" s="47">
        <v>0.26519999999999999</v>
      </c>
      <c r="CK93" s="47">
        <v>0.33839999999999998</v>
      </c>
      <c r="CL93" s="47">
        <v>0.48800000000000004</v>
      </c>
      <c r="CM93" s="47">
        <v>0.31720000000000004</v>
      </c>
      <c r="CN93" s="47">
        <v>0.1474</v>
      </c>
      <c r="CO93" s="47">
        <v>0.66539999999999999</v>
      </c>
      <c r="CP93" s="47">
        <v>0.36259999999999998</v>
      </c>
      <c r="CQ93" s="47">
        <v>0.71449999999999991</v>
      </c>
      <c r="CR93" s="47">
        <v>0.28799999999999998</v>
      </c>
      <c r="CS93" s="47">
        <v>0</v>
      </c>
      <c r="CT93" s="47">
        <v>0.46200000000000002</v>
      </c>
      <c r="CU93" s="47"/>
      <c r="CV93" s="47">
        <v>11.7624</v>
      </c>
      <c r="CW93" s="47">
        <f t="shared" si="40"/>
        <v>0.69299999999999995</v>
      </c>
      <c r="CX93" s="47">
        <f t="shared" si="41"/>
        <v>0.2964</v>
      </c>
      <c r="CY93" s="47">
        <f t="shared" si="42"/>
        <v>0.35249999999999998</v>
      </c>
      <c r="CZ93" s="47">
        <f t="shared" si="43"/>
        <v>0.58400000000000007</v>
      </c>
      <c r="DA93" s="47">
        <f t="shared" si="44"/>
        <v>0.37959999999999999</v>
      </c>
      <c r="DB93" s="47">
        <f t="shared" si="45"/>
        <v>0.15839999999999999</v>
      </c>
      <c r="DC93" s="47">
        <f t="shared" si="61"/>
        <v>0.72819999999999996</v>
      </c>
      <c r="DD93" s="47">
        <f t="shared" si="49"/>
        <v>0.40670000000000001</v>
      </c>
      <c r="DE93" s="47">
        <f t="shared" si="47"/>
        <v>0.79310000000000003</v>
      </c>
      <c r="DF93" s="47">
        <f t="shared" si="50"/>
        <v>0.38400000000000001</v>
      </c>
      <c r="DG93" s="47">
        <f t="shared" si="51"/>
        <v>0.16059999999999999</v>
      </c>
      <c r="DH93" s="47">
        <f t="shared" si="52"/>
        <v>0.52139999999999997</v>
      </c>
      <c r="DI93" s="47">
        <f t="shared" ref="DI93:DP93" si="71">AP93*BJ93/100</f>
        <v>1.0382</v>
      </c>
      <c r="DJ93" s="47">
        <f t="shared" si="71"/>
        <v>2.2307999999999999</v>
      </c>
      <c r="DK93" s="47">
        <f t="shared" si="71"/>
        <v>0.56979999999999997</v>
      </c>
      <c r="DL93" s="47">
        <f t="shared" si="71"/>
        <v>4.2252000000000001</v>
      </c>
      <c r="DM93" s="47">
        <f t="shared" si="71"/>
        <v>0.96479999999999988</v>
      </c>
      <c r="DN93" s="47">
        <f t="shared" si="71"/>
        <v>2.6448</v>
      </c>
      <c r="DO93" s="47">
        <f t="shared" si="71"/>
        <v>1.1096000000000001</v>
      </c>
      <c r="DP93" s="47">
        <f t="shared" si="71"/>
        <v>0.38640000000000002</v>
      </c>
      <c r="DQ93">
        <f t="shared" si="53"/>
        <v>0.45539999999999997</v>
      </c>
      <c r="DR93">
        <f t="shared" si="69"/>
        <v>0.5544</v>
      </c>
      <c r="DS93">
        <f t="shared" si="62"/>
        <v>0.05</v>
      </c>
      <c r="DT93">
        <f t="shared" si="63"/>
        <v>0.06</v>
      </c>
      <c r="DV93" s="273"/>
      <c r="DW93" s="111">
        <f t="shared" si="64"/>
        <v>100</v>
      </c>
      <c r="DX93" s="112">
        <v>0.05</v>
      </c>
      <c r="DY93" s="8">
        <v>1430</v>
      </c>
      <c r="DZ93" s="8">
        <v>1570</v>
      </c>
      <c r="EA93" s="81">
        <v>0.28999999999999998</v>
      </c>
      <c r="EB93" s="113">
        <f t="shared" si="67"/>
        <v>0.28709999999999997</v>
      </c>
      <c r="EC93" s="117">
        <v>1.8</v>
      </c>
      <c r="ED93" s="92">
        <v>0</v>
      </c>
      <c r="EE93" s="92">
        <v>0</v>
      </c>
      <c r="EF93" s="92"/>
      <c r="EG93" s="204">
        <v>0.88</v>
      </c>
      <c r="EH93" s="107">
        <f>125*K93/10</f>
        <v>59</v>
      </c>
      <c r="EI93" s="82">
        <f t="shared" si="66"/>
        <v>56.98</v>
      </c>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v>55.81</v>
      </c>
      <c r="FJ93" s="6">
        <v>2.5099999999999998</v>
      </c>
      <c r="FK93" s="7">
        <f t="shared" si="70"/>
        <v>2.752704</v>
      </c>
      <c r="FL93" s="6"/>
      <c r="FM93" s="80">
        <f t="shared" si="56"/>
        <v>0.89280821917808206</v>
      </c>
      <c r="FN93" s="80">
        <f t="shared" si="57"/>
        <v>0.60359589041095885</v>
      </c>
      <c r="FO93" s="115">
        <f t="shared" si="58"/>
        <v>1.4791489361702128</v>
      </c>
      <c r="FP93" s="115">
        <f t="shared" si="59"/>
        <v>0.27499999999999997</v>
      </c>
      <c r="FQ93" s="116">
        <f t="shared" si="60"/>
        <v>3.8726790450928389E-2</v>
      </c>
    </row>
    <row r="94" spans="1:173" ht="12.75" customHeight="1" x14ac:dyDescent="0.25">
      <c r="A94" s="61">
        <v>85</v>
      </c>
      <c r="B94" t="s">
        <v>310</v>
      </c>
      <c r="C94">
        <v>3901</v>
      </c>
      <c r="D94">
        <v>3075</v>
      </c>
      <c r="E94">
        <v>2968</v>
      </c>
      <c r="F94">
        <v>2113</v>
      </c>
      <c r="H94">
        <v>89.1</v>
      </c>
      <c r="I94">
        <v>15.76</v>
      </c>
      <c r="J94">
        <v>5.15</v>
      </c>
      <c r="K94">
        <v>3.15</v>
      </c>
      <c r="L94">
        <v>2.35</v>
      </c>
      <c r="M94">
        <v>2.0499999999999998</v>
      </c>
      <c r="N94">
        <v>0</v>
      </c>
      <c r="O94">
        <v>0</v>
      </c>
      <c r="P94">
        <v>0</v>
      </c>
      <c r="Q94">
        <v>0</v>
      </c>
      <c r="R94">
        <v>0</v>
      </c>
      <c r="T94">
        <v>21.83</v>
      </c>
      <c r="U94">
        <v>34.97</v>
      </c>
      <c r="V94">
        <v>5.98</v>
      </c>
      <c r="AB94">
        <v>46.309999999999988</v>
      </c>
      <c r="AC94">
        <v>37</v>
      </c>
      <c r="AD94" s="9">
        <v>41.191499999999991</v>
      </c>
      <c r="AF94">
        <v>1.1000000000000001</v>
      </c>
      <c r="AG94">
        <v>0.44</v>
      </c>
      <c r="AH94">
        <v>0.51</v>
      </c>
      <c r="AI94">
        <v>1.03</v>
      </c>
      <c r="AJ94">
        <v>0.65</v>
      </c>
      <c r="AK94">
        <v>0.25</v>
      </c>
      <c r="AL94">
        <v>0.64</v>
      </c>
      <c r="AM94">
        <v>0.53</v>
      </c>
      <c r="AN94">
        <v>0.19</v>
      </c>
      <c r="AO94">
        <v>0.72</v>
      </c>
      <c r="AR94">
        <v>0.35</v>
      </c>
      <c r="AW94">
        <v>0.28999999999999998</v>
      </c>
      <c r="AY94" s="13">
        <v>81</v>
      </c>
      <c r="AZ94">
        <v>91</v>
      </c>
      <c r="BA94">
        <v>84</v>
      </c>
      <c r="BB94">
        <v>79</v>
      </c>
      <c r="BC94">
        <v>80</v>
      </c>
      <c r="BD94">
        <v>78</v>
      </c>
      <c r="BE94">
        <v>82</v>
      </c>
      <c r="BF94">
        <v>84</v>
      </c>
      <c r="BG94">
        <v>73</v>
      </c>
      <c r="BH94">
        <v>81</v>
      </c>
      <c r="BI94">
        <v>81</v>
      </c>
      <c r="BL94">
        <v>76</v>
      </c>
      <c r="BQ94">
        <v>83</v>
      </c>
      <c r="BS94">
        <v>0.11</v>
      </c>
      <c r="BT94">
        <v>0.04</v>
      </c>
      <c r="BU94">
        <v>1.06</v>
      </c>
      <c r="BV94">
        <v>0.41</v>
      </c>
      <c r="BW94">
        <v>0.05</v>
      </c>
      <c r="BX94">
        <v>0.98</v>
      </c>
      <c r="BY94">
        <v>0.17</v>
      </c>
      <c r="CA94">
        <v>0.61</v>
      </c>
      <c r="CB94">
        <v>46</v>
      </c>
      <c r="CC94">
        <v>56</v>
      </c>
      <c r="CD94" s="64">
        <v>50</v>
      </c>
      <c r="CE94" s="64">
        <f t="shared" si="68"/>
        <v>60</v>
      </c>
      <c r="CF94" s="2">
        <v>17.134699999999995</v>
      </c>
      <c r="CH94" s="47">
        <v>0</v>
      </c>
      <c r="CI94" s="47">
        <v>0.95700000000000007</v>
      </c>
      <c r="CJ94" s="47">
        <v>0.35200000000000004</v>
      </c>
      <c r="CK94" s="47">
        <v>0.39270000000000005</v>
      </c>
      <c r="CL94" s="47">
        <v>0.77249999999999996</v>
      </c>
      <c r="CM94" s="47">
        <v>0.47450000000000003</v>
      </c>
      <c r="CN94" s="47">
        <v>0.19500000000000001</v>
      </c>
      <c r="CO94" s="47">
        <v>0.44350000000000001</v>
      </c>
      <c r="CP94" s="47">
        <v>0.50560000000000005</v>
      </c>
      <c r="CQ94" s="47">
        <v>0.72889999999999999</v>
      </c>
      <c r="CR94" s="47">
        <v>0.3286</v>
      </c>
      <c r="CS94" s="47">
        <v>0.1444</v>
      </c>
      <c r="CT94" s="47">
        <v>0.53280000000000005</v>
      </c>
      <c r="CU94" s="47"/>
      <c r="CV94" s="47">
        <v>12.765599999999999</v>
      </c>
      <c r="CW94" s="47">
        <f t="shared" si="40"/>
        <v>1.0010000000000001</v>
      </c>
      <c r="CX94" s="47">
        <f t="shared" si="41"/>
        <v>0.36959999999999998</v>
      </c>
      <c r="CY94" s="47">
        <f t="shared" si="42"/>
        <v>0.40289999999999998</v>
      </c>
      <c r="CZ94" s="47">
        <f t="shared" si="43"/>
        <v>0.82400000000000007</v>
      </c>
      <c r="DA94" s="47">
        <f t="shared" si="44"/>
        <v>0.50700000000000001</v>
      </c>
      <c r="DB94" s="47">
        <f t="shared" si="45"/>
        <v>0.20499999999999999</v>
      </c>
      <c r="DC94" s="47">
        <f t="shared" si="61"/>
        <v>0.47099999999999992</v>
      </c>
      <c r="DD94" s="47">
        <f t="shared" si="49"/>
        <v>0.53759999999999997</v>
      </c>
      <c r="DE94" s="47">
        <f t="shared" si="47"/>
        <v>0.77829999999999999</v>
      </c>
      <c r="DF94" s="47">
        <f t="shared" si="50"/>
        <v>0.38690000000000002</v>
      </c>
      <c r="DG94" s="47">
        <f t="shared" si="51"/>
        <v>0.15390000000000001</v>
      </c>
      <c r="DH94" s="47">
        <f t="shared" si="52"/>
        <v>0.58320000000000005</v>
      </c>
      <c r="DI94" s="47"/>
      <c r="DJ94" s="47"/>
      <c r="DK94" s="47"/>
      <c r="DL94" s="47"/>
      <c r="DM94" s="47"/>
      <c r="DN94" s="47"/>
      <c r="DO94" s="47"/>
      <c r="DP94" s="47"/>
      <c r="DQ94">
        <f t="shared" si="53"/>
        <v>0.45079999999999998</v>
      </c>
      <c r="DR94">
        <f t="shared" si="69"/>
        <v>0.54879999999999995</v>
      </c>
      <c r="DS94">
        <f t="shared" si="62"/>
        <v>5.5E-2</v>
      </c>
      <c r="DT94">
        <f t="shared" si="63"/>
        <v>6.6000000000000003E-2</v>
      </c>
      <c r="DV94" s="273"/>
      <c r="DW94" s="111">
        <f t="shared" si="64"/>
        <v>240</v>
      </c>
      <c r="DX94" s="112">
        <v>0.12</v>
      </c>
      <c r="DY94" s="8">
        <v>1850</v>
      </c>
      <c r="DZ94" s="8">
        <v>1950</v>
      </c>
      <c r="EA94" s="81">
        <v>0.41</v>
      </c>
      <c r="EB94" s="113">
        <f t="shared" si="67"/>
        <v>0.40179999999999999</v>
      </c>
      <c r="EC94" s="117">
        <v>1.74</v>
      </c>
      <c r="ED94" s="92">
        <v>0</v>
      </c>
      <c r="EE94" s="92">
        <v>0</v>
      </c>
      <c r="EF94" s="92"/>
      <c r="EG94" s="204">
        <v>0.61</v>
      </c>
      <c r="EH94" s="107">
        <f>125*K94/10</f>
        <v>39.375</v>
      </c>
      <c r="EI94" s="82">
        <f t="shared" si="66"/>
        <v>26.599999999999998</v>
      </c>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v>56.74</v>
      </c>
      <c r="FJ94" s="6">
        <v>4.2</v>
      </c>
      <c r="FK94" s="7">
        <f t="shared" si="70"/>
        <v>1.91961</v>
      </c>
      <c r="FL94" s="6"/>
      <c r="FM94" s="80">
        <f t="shared" si="56"/>
        <v>0.70776699029126211</v>
      </c>
      <c r="FN94" s="80">
        <f t="shared" si="57"/>
        <v>0.48895631067961159</v>
      </c>
      <c r="FO94" s="115">
        <f t="shared" si="58"/>
        <v>1.4475055845122862</v>
      </c>
      <c r="FP94" s="115">
        <f t="shared" si="59"/>
        <v>0.18677184466019417</v>
      </c>
      <c r="FQ94" s="116">
        <f t="shared" si="60"/>
        <v>5.228426395939087E-2</v>
      </c>
    </row>
    <row r="95" spans="1:173" ht="12.75" customHeight="1" x14ac:dyDescent="0.25">
      <c r="A95" s="61">
        <v>86</v>
      </c>
      <c r="B95" t="s">
        <v>311</v>
      </c>
      <c r="C95">
        <v>4505</v>
      </c>
      <c r="D95">
        <v>2985</v>
      </c>
      <c r="E95">
        <v>2871</v>
      </c>
      <c r="F95">
        <v>2074</v>
      </c>
      <c r="H95">
        <v>87.9</v>
      </c>
      <c r="I95">
        <v>16.760000000000002</v>
      </c>
      <c r="K95">
        <v>4.5999999999999996</v>
      </c>
      <c r="M95">
        <v>2.1</v>
      </c>
      <c r="T95">
        <v>28.6</v>
      </c>
      <c r="U95">
        <v>29.5</v>
      </c>
      <c r="V95">
        <v>8.6</v>
      </c>
      <c r="AB95">
        <v>35.840000000000011</v>
      </c>
      <c r="AC95">
        <v>38</v>
      </c>
      <c r="AD95" s="9">
        <v>41.090800000000002</v>
      </c>
      <c r="AF95">
        <v>1.07</v>
      </c>
      <c r="AG95">
        <v>0.42</v>
      </c>
      <c r="AH95">
        <v>0.53</v>
      </c>
      <c r="AI95">
        <v>0.97</v>
      </c>
      <c r="AJ95">
        <v>0.59</v>
      </c>
      <c r="AK95">
        <v>0.27</v>
      </c>
      <c r="AL95">
        <v>0.62</v>
      </c>
      <c r="AM95">
        <v>0.51</v>
      </c>
      <c r="AN95">
        <v>0.22</v>
      </c>
      <c r="AO95">
        <v>0.76</v>
      </c>
      <c r="AR95">
        <v>0.43</v>
      </c>
      <c r="AW95">
        <v>0.26</v>
      </c>
      <c r="AY95">
        <v>62</v>
      </c>
      <c r="AZ95">
        <v>88</v>
      </c>
      <c r="BA95">
        <v>84</v>
      </c>
      <c r="BB95">
        <v>81</v>
      </c>
      <c r="BC95">
        <v>83</v>
      </c>
      <c r="BD95">
        <v>76</v>
      </c>
      <c r="BE95">
        <v>84</v>
      </c>
      <c r="BF95">
        <v>84</v>
      </c>
      <c r="BG95">
        <v>76</v>
      </c>
      <c r="BH95">
        <v>84</v>
      </c>
      <c r="BI95">
        <v>81</v>
      </c>
      <c r="BL95">
        <v>82</v>
      </c>
      <c r="BQ95">
        <v>84</v>
      </c>
      <c r="BS95">
        <v>0.08</v>
      </c>
      <c r="BT95">
        <v>0.04</v>
      </c>
      <c r="BU95">
        <v>1.06</v>
      </c>
      <c r="BV95">
        <v>0.25</v>
      </c>
      <c r="BW95">
        <v>0.02</v>
      </c>
      <c r="BX95">
        <v>0.93</v>
      </c>
      <c r="BY95">
        <v>0.2</v>
      </c>
      <c r="CB95">
        <v>46</v>
      </c>
      <c r="CC95">
        <v>56</v>
      </c>
      <c r="CD95" s="64">
        <v>50</v>
      </c>
      <c r="CE95" s="64">
        <f t="shared" si="68"/>
        <v>60</v>
      </c>
      <c r="CF95" s="2">
        <v>13.619200000000003</v>
      </c>
      <c r="CH95" s="47">
        <v>8.8828000000000014</v>
      </c>
      <c r="CI95" s="47">
        <v>0.92020000000000013</v>
      </c>
      <c r="CJ95" s="47">
        <v>0.34439999999999998</v>
      </c>
      <c r="CK95" s="47">
        <v>0.40810000000000002</v>
      </c>
      <c r="CL95" s="47">
        <v>0.69840000000000002</v>
      </c>
      <c r="CM95" s="47">
        <v>0.36579999999999996</v>
      </c>
      <c r="CN95" s="47">
        <v>0.21870000000000001</v>
      </c>
      <c r="CO95" s="47">
        <v>0.47670000000000001</v>
      </c>
      <c r="CP95" s="47">
        <v>0.50839999999999996</v>
      </c>
      <c r="CQ95" s="47">
        <v>0.71119999999999994</v>
      </c>
      <c r="CR95" s="47">
        <v>0.36719999999999997</v>
      </c>
      <c r="CS95" s="47">
        <v>0.16940000000000002</v>
      </c>
      <c r="CT95" s="47">
        <v>0.5776</v>
      </c>
      <c r="CU95" s="47"/>
      <c r="CV95" s="47">
        <v>10.391200000000001</v>
      </c>
      <c r="CW95" s="47">
        <f t="shared" si="40"/>
        <v>0.9416000000000001</v>
      </c>
      <c r="CX95" s="47">
        <f t="shared" si="41"/>
        <v>0.3528</v>
      </c>
      <c r="CY95" s="47">
        <f t="shared" si="42"/>
        <v>0.42930000000000001</v>
      </c>
      <c r="CZ95" s="47">
        <f t="shared" si="43"/>
        <v>0.80509999999999993</v>
      </c>
      <c r="DA95" s="47">
        <f t="shared" si="44"/>
        <v>0.44839999999999997</v>
      </c>
      <c r="DB95" s="47">
        <f t="shared" si="45"/>
        <v>0.2268</v>
      </c>
      <c r="DC95" s="47">
        <f t="shared" si="61"/>
        <v>0.57940000000000003</v>
      </c>
      <c r="DD95" s="47">
        <f t="shared" si="49"/>
        <v>0.52079999999999993</v>
      </c>
      <c r="DE95" s="47">
        <f t="shared" si="47"/>
        <v>0.73919999999999997</v>
      </c>
      <c r="DF95" s="47">
        <f t="shared" si="50"/>
        <v>0.3876</v>
      </c>
      <c r="DG95" s="47">
        <f t="shared" si="51"/>
        <v>0.18479999999999999</v>
      </c>
      <c r="DH95" s="47">
        <f t="shared" si="52"/>
        <v>0.61560000000000004</v>
      </c>
      <c r="DI95" s="47"/>
      <c r="DJ95" s="47"/>
      <c r="DK95" s="47"/>
      <c r="DL95" s="47"/>
      <c r="DM95" s="47"/>
      <c r="DN95" s="47"/>
      <c r="DO95" s="47"/>
      <c r="DP95" s="47"/>
      <c r="DQ95">
        <f t="shared" si="53"/>
        <v>0.42780000000000001</v>
      </c>
      <c r="DR95">
        <f t="shared" si="69"/>
        <v>0.52080000000000004</v>
      </c>
      <c r="DS95">
        <f t="shared" si="62"/>
        <v>0.04</v>
      </c>
      <c r="DT95">
        <f t="shared" si="63"/>
        <v>4.8000000000000001E-2</v>
      </c>
      <c r="DV95" s="110"/>
      <c r="DW95" s="111">
        <f t="shared" si="64"/>
        <v>0</v>
      </c>
      <c r="DX95" s="112">
        <v>0</v>
      </c>
      <c r="DY95" s="94"/>
      <c r="DZ95" s="94"/>
      <c r="EA95" s="81"/>
      <c r="EB95" s="113">
        <f t="shared" si="67"/>
        <v>0</v>
      </c>
      <c r="EC95" s="92"/>
      <c r="ED95" s="92"/>
      <c r="EE95" s="92"/>
      <c r="EF95" s="92"/>
      <c r="EG95" s="204">
        <v>0.6</v>
      </c>
      <c r="EH95" s="92"/>
      <c r="EI95" s="82">
        <f t="shared" si="66"/>
        <v>35.26</v>
      </c>
      <c r="EJ95" s="6"/>
      <c r="EK95" s="6"/>
      <c r="EL95" s="6"/>
      <c r="EM95" s="6"/>
      <c r="EN95" s="6"/>
      <c r="EO95" s="6"/>
      <c r="EP95" s="6"/>
      <c r="EQ95" s="121"/>
      <c r="ER95" s="6"/>
      <c r="ES95" s="6"/>
      <c r="ET95" s="6"/>
      <c r="EU95" s="6"/>
      <c r="EV95" s="6"/>
      <c r="EW95" s="6"/>
      <c r="EX95" s="6"/>
      <c r="EY95" s="6"/>
      <c r="EZ95" s="6"/>
      <c r="FA95" s="6"/>
      <c r="FB95" s="6"/>
      <c r="FC95" s="6"/>
      <c r="FD95" s="6"/>
      <c r="FE95" s="6"/>
      <c r="FF95" s="6"/>
      <c r="FG95" s="6"/>
      <c r="FH95" s="6"/>
      <c r="FI95" s="6">
        <v>55.81</v>
      </c>
      <c r="FJ95" s="6">
        <v>2.5099999999999998</v>
      </c>
      <c r="FK95" s="7">
        <f t="shared" si="70"/>
        <v>2.6827200000000002</v>
      </c>
      <c r="FL95" s="6"/>
      <c r="FM95" s="80">
        <f t="shared" si="56"/>
        <v>0.76462551235871334</v>
      </c>
      <c r="FN95" s="80">
        <f t="shared" si="57"/>
        <v>0.53322568625015532</v>
      </c>
      <c r="FO95" s="115">
        <f t="shared" si="58"/>
        <v>1.4339622641509435</v>
      </c>
      <c r="FP95" s="115">
        <f t="shared" si="59"/>
        <v>0.22953670351509131</v>
      </c>
      <c r="FQ95" s="116">
        <f t="shared" si="60"/>
        <v>4.8036992840095459E-2</v>
      </c>
    </row>
    <row r="96" spans="1:173" ht="12.75" customHeight="1" x14ac:dyDescent="0.25">
      <c r="A96" s="61">
        <v>87</v>
      </c>
      <c r="B96" t="s">
        <v>312</v>
      </c>
      <c r="C96">
        <v>4650</v>
      </c>
      <c r="D96">
        <v>3151</v>
      </c>
      <c r="E96">
        <v>2902</v>
      </c>
      <c r="F96">
        <v>1847</v>
      </c>
      <c r="H96">
        <v>92.59</v>
      </c>
      <c r="I96">
        <v>36.61</v>
      </c>
      <c r="J96">
        <v>6.75</v>
      </c>
      <c r="K96">
        <v>5.34</v>
      </c>
      <c r="L96">
        <v>5.09</v>
      </c>
      <c r="M96">
        <v>4.57</v>
      </c>
      <c r="T96">
        <v>1.78</v>
      </c>
      <c r="U96">
        <v>34.700000000000003</v>
      </c>
      <c r="V96">
        <v>13.81</v>
      </c>
      <c r="W96">
        <v>4.45</v>
      </c>
      <c r="AB96">
        <v>44.29</v>
      </c>
      <c r="AC96">
        <v>60</v>
      </c>
      <c r="AD96" s="9">
        <v>44.175399999999996</v>
      </c>
      <c r="AF96">
        <v>1.41</v>
      </c>
      <c r="AG96">
        <v>0.76</v>
      </c>
      <c r="AH96">
        <v>1.25</v>
      </c>
      <c r="AI96">
        <v>2.4500000000000002</v>
      </c>
      <c r="AJ96">
        <v>0.73</v>
      </c>
      <c r="AK96">
        <v>0.52</v>
      </c>
      <c r="AL96">
        <v>1.67</v>
      </c>
      <c r="AM96">
        <v>1.1299999999999999</v>
      </c>
      <c r="AN96">
        <v>0.37</v>
      </c>
      <c r="AO96">
        <v>1.6</v>
      </c>
      <c r="AR96">
        <v>0.61</v>
      </c>
      <c r="AW96">
        <v>1.06</v>
      </c>
      <c r="AY96">
        <v>75</v>
      </c>
      <c r="AZ96">
        <v>82</v>
      </c>
      <c r="BA96">
        <v>75</v>
      </c>
      <c r="BB96">
        <v>73</v>
      </c>
      <c r="BC96">
        <v>80</v>
      </c>
      <c r="BD96">
        <v>51</v>
      </c>
      <c r="BE96">
        <v>78</v>
      </c>
      <c r="BF96">
        <v>84</v>
      </c>
      <c r="BG96">
        <v>71</v>
      </c>
      <c r="BH96">
        <v>77</v>
      </c>
      <c r="BI96">
        <v>73</v>
      </c>
      <c r="BL96">
        <v>76</v>
      </c>
      <c r="BQ96">
        <v>81</v>
      </c>
      <c r="BS96">
        <v>0.16</v>
      </c>
      <c r="BU96">
        <v>1.06</v>
      </c>
      <c r="BV96">
        <v>0.39</v>
      </c>
      <c r="BW96">
        <v>0.28000000000000003</v>
      </c>
      <c r="BX96">
        <v>0.92</v>
      </c>
      <c r="BY96">
        <v>0.44</v>
      </c>
      <c r="CA96">
        <v>0.21</v>
      </c>
      <c r="CB96">
        <v>56</v>
      </c>
      <c r="CC96">
        <v>61</v>
      </c>
      <c r="CD96" s="64">
        <v>50</v>
      </c>
      <c r="CE96" s="64">
        <f t="shared" si="68"/>
        <v>60</v>
      </c>
      <c r="CF96" s="2">
        <v>26.574000000000002</v>
      </c>
      <c r="CH96" s="47">
        <v>25.260900000000003</v>
      </c>
      <c r="CI96" s="47">
        <v>1.0715999999999999</v>
      </c>
      <c r="CJ96" s="47">
        <v>0.54720000000000002</v>
      </c>
      <c r="CK96" s="47">
        <v>0.86250000000000004</v>
      </c>
      <c r="CL96" s="47">
        <v>1.8865000000000001</v>
      </c>
      <c r="CM96" s="47">
        <v>0.32119999999999999</v>
      </c>
      <c r="CN96" s="47">
        <v>0.36399999999999999</v>
      </c>
      <c r="CO96" s="47">
        <v>0.78489999999999993</v>
      </c>
      <c r="CP96" s="47">
        <v>1.3694</v>
      </c>
      <c r="CQ96" s="47">
        <v>2.1856</v>
      </c>
      <c r="CR96" s="47">
        <v>0.72319999999999995</v>
      </c>
      <c r="CS96" s="47">
        <v>0.26640000000000003</v>
      </c>
      <c r="CT96" s="47">
        <v>1.1040000000000001</v>
      </c>
      <c r="CU96" s="47"/>
      <c r="CV96" s="47">
        <v>27.4575</v>
      </c>
      <c r="CW96" s="47">
        <f t="shared" si="40"/>
        <v>1.1561999999999999</v>
      </c>
      <c r="CX96" s="47">
        <f t="shared" si="41"/>
        <v>0.56999999999999995</v>
      </c>
      <c r="CY96" s="47">
        <f t="shared" si="42"/>
        <v>0.91249999999999998</v>
      </c>
      <c r="CZ96" s="47">
        <f t="shared" si="43"/>
        <v>1.96</v>
      </c>
      <c r="DA96" s="47">
        <f t="shared" si="44"/>
        <v>0.37229999999999996</v>
      </c>
      <c r="DB96" s="47">
        <f t="shared" si="45"/>
        <v>0.40560000000000002</v>
      </c>
      <c r="DC96" s="47">
        <f t="shared" si="61"/>
        <v>0.86919999999999997</v>
      </c>
      <c r="DD96" s="47">
        <f t="shared" si="49"/>
        <v>1.4028</v>
      </c>
      <c r="DE96" s="47">
        <f t="shared" si="47"/>
        <v>2.2614000000000001</v>
      </c>
      <c r="DF96" s="47">
        <f t="shared" si="50"/>
        <v>0.8022999999999999</v>
      </c>
      <c r="DG96" s="47">
        <f t="shared" si="51"/>
        <v>0.28489999999999999</v>
      </c>
      <c r="DH96" s="47">
        <f t="shared" si="52"/>
        <v>1.1680000000000001</v>
      </c>
      <c r="DI96" s="47"/>
      <c r="DJ96" s="47"/>
      <c r="DK96" s="47"/>
      <c r="DL96" s="47"/>
      <c r="DM96" s="47"/>
      <c r="DN96" s="47"/>
      <c r="DO96" s="47"/>
      <c r="DP96" s="47"/>
      <c r="DQ96">
        <f t="shared" si="53"/>
        <v>0.51519999999999999</v>
      </c>
      <c r="DR96">
        <f t="shared" si="69"/>
        <v>0.56120000000000003</v>
      </c>
      <c r="DS96">
        <f t="shared" si="62"/>
        <v>0.08</v>
      </c>
      <c r="DT96">
        <f t="shared" si="63"/>
        <v>9.6000000000000002E-2</v>
      </c>
      <c r="DV96" s="110"/>
      <c r="DW96" s="111">
        <f t="shared" si="64"/>
        <v>0</v>
      </c>
      <c r="DX96" s="112">
        <v>0</v>
      </c>
      <c r="DY96" s="94"/>
      <c r="DZ96" s="94"/>
      <c r="EA96" s="81"/>
      <c r="EB96" s="113">
        <f t="shared" si="67"/>
        <v>0</v>
      </c>
      <c r="EC96" s="92"/>
      <c r="ED96" s="92"/>
      <c r="EE96" s="92"/>
      <c r="EF96" s="92"/>
      <c r="EG96" s="204">
        <v>0.21</v>
      </c>
      <c r="EH96" s="92"/>
      <c r="EI96" s="82">
        <f t="shared" si="66"/>
        <v>46.36</v>
      </c>
      <c r="EJ96" s="6"/>
      <c r="EK96" s="6"/>
      <c r="EL96" s="6"/>
      <c r="EM96" s="6"/>
      <c r="EN96" s="6"/>
      <c r="EO96" s="6"/>
      <c r="EP96" s="6"/>
      <c r="EQ96" s="121"/>
      <c r="ER96" s="6"/>
      <c r="ES96" s="6"/>
      <c r="ET96" s="6"/>
      <c r="EU96" s="6"/>
      <c r="EV96" s="6"/>
      <c r="EW96" s="6"/>
      <c r="EX96" s="6"/>
      <c r="EY96" s="6"/>
      <c r="EZ96" s="6"/>
      <c r="FA96" s="6"/>
      <c r="FB96" s="6"/>
      <c r="FC96" s="6"/>
      <c r="FD96" s="6"/>
      <c r="FE96" s="6"/>
      <c r="FF96" s="6"/>
      <c r="FG96" s="6"/>
      <c r="FH96" s="6"/>
      <c r="FI96" s="6">
        <v>55.81</v>
      </c>
      <c r="FJ96" s="6">
        <v>2.5099999999999998</v>
      </c>
      <c r="FK96" s="7">
        <f t="shared" si="70"/>
        <v>3.1142880000000002</v>
      </c>
      <c r="FL96" s="6"/>
      <c r="FM96" s="80">
        <f t="shared" si="56"/>
        <v>0.59591836734693882</v>
      </c>
      <c r="FN96" s="80">
        <f t="shared" si="57"/>
        <v>0.46556122448979592</v>
      </c>
      <c r="FO96" s="115">
        <f t="shared" si="58"/>
        <v>1.2800000000000002</v>
      </c>
      <c r="FP96" s="115">
        <f t="shared" si="59"/>
        <v>0.14535714285714285</v>
      </c>
      <c r="FQ96" s="116">
        <f t="shared" si="60"/>
        <v>5.3537284894837479E-2</v>
      </c>
    </row>
    <row r="97" spans="1:173" ht="12.75" customHeight="1" x14ac:dyDescent="0.25">
      <c r="A97" s="61">
        <v>88</v>
      </c>
      <c r="B97" t="s">
        <v>313</v>
      </c>
      <c r="C97">
        <v>4461</v>
      </c>
      <c r="D97">
        <v>4015</v>
      </c>
      <c r="E97">
        <v>3699</v>
      </c>
      <c r="F97">
        <v>2414</v>
      </c>
      <c r="H97">
        <v>93.3</v>
      </c>
      <c r="I97">
        <v>46.52</v>
      </c>
      <c r="K97">
        <v>2.0499999999999998</v>
      </c>
      <c r="M97">
        <v>6.9</v>
      </c>
      <c r="T97">
        <v>4.2</v>
      </c>
      <c r="U97">
        <v>4</v>
      </c>
      <c r="V97">
        <v>3</v>
      </c>
      <c r="AB97">
        <v>33.629999999999995</v>
      </c>
      <c r="AC97">
        <v>97</v>
      </c>
      <c r="AD97" s="9">
        <v>43.195099999999996</v>
      </c>
      <c r="AF97">
        <v>2.2000000000000002</v>
      </c>
      <c r="AG97">
        <v>1.0900000000000001</v>
      </c>
      <c r="AH97">
        <v>2.15</v>
      </c>
      <c r="AI97">
        <v>3.13</v>
      </c>
      <c r="AJ97">
        <v>3.22</v>
      </c>
      <c r="AK97">
        <v>0.74</v>
      </c>
      <c r="AL97">
        <v>1.83</v>
      </c>
      <c r="AM97">
        <v>2.2000000000000002</v>
      </c>
      <c r="AN97">
        <v>0.56000000000000005</v>
      </c>
      <c r="AO97">
        <v>2.39</v>
      </c>
      <c r="AR97">
        <v>0.5</v>
      </c>
      <c r="AW97">
        <v>1.55</v>
      </c>
      <c r="AY97" s="13">
        <v>69.25</v>
      </c>
      <c r="AZ97">
        <v>79</v>
      </c>
      <c r="BA97">
        <v>77</v>
      </c>
      <c r="BB97">
        <v>74</v>
      </c>
      <c r="BC97">
        <v>73</v>
      </c>
      <c r="BD97">
        <v>76</v>
      </c>
      <c r="BE97">
        <v>72</v>
      </c>
      <c r="BF97">
        <v>72</v>
      </c>
      <c r="BG97">
        <v>66</v>
      </c>
      <c r="BH97">
        <v>60</v>
      </c>
      <c r="BI97">
        <v>70</v>
      </c>
      <c r="BL97">
        <v>48</v>
      </c>
      <c r="BQ97">
        <v>64</v>
      </c>
      <c r="BS97">
        <v>0.16</v>
      </c>
      <c r="BT97">
        <v>0.12</v>
      </c>
      <c r="BU97">
        <v>1.8</v>
      </c>
      <c r="BV97">
        <v>0.23</v>
      </c>
      <c r="BW97">
        <v>0.1</v>
      </c>
      <c r="BX97">
        <v>1.4</v>
      </c>
      <c r="BY97">
        <v>0.4</v>
      </c>
      <c r="CB97">
        <v>80</v>
      </c>
      <c r="CC97">
        <v>85</v>
      </c>
      <c r="CF97" s="2">
        <v>32.621099999999998</v>
      </c>
      <c r="CH97" s="47">
        <v>0</v>
      </c>
      <c r="CI97" s="47">
        <v>1.7380000000000002</v>
      </c>
      <c r="CJ97" s="47">
        <v>0.83930000000000005</v>
      </c>
      <c r="CK97" s="47">
        <v>1.591</v>
      </c>
      <c r="CL97" s="47">
        <v>2.2848999999999999</v>
      </c>
      <c r="CM97" s="47">
        <v>2.4472000000000005</v>
      </c>
      <c r="CN97" s="47">
        <v>0.53280000000000005</v>
      </c>
      <c r="CO97" s="47">
        <v>0.72280000000000011</v>
      </c>
      <c r="CP97" s="47">
        <v>1.3175999999999999</v>
      </c>
      <c r="CQ97" s="47">
        <v>2.2630999999999997</v>
      </c>
      <c r="CR97" s="47">
        <v>1.3860000000000001</v>
      </c>
      <c r="CS97" s="47">
        <v>0.33600000000000002</v>
      </c>
      <c r="CT97" s="47">
        <v>1.673</v>
      </c>
      <c r="CU97" s="47"/>
      <c r="CV97" s="47">
        <v>32.2151</v>
      </c>
      <c r="CW97" s="47">
        <f t="shared" si="40"/>
        <v>1.7380000000000002</v>
      </c>
      <c r="CX97" s="47">
        <f t="shared" si="41"/>
        <v>0.83930000000000005</v>
      </c>
      <c r="CY97" s="47">
        <f t="shared" si="42"/>
        <v>1.591</v>
      </c>
      <c r="CZ97" s="47">
        <f t="shared" si="43"/>
        <v>2.2848999999999999</v>
      </c>
      <c r="DA97" s="47">
        <f t="shared" si="44"/>
        <v>2.4472000000000005</v>
      </c>
      <c r="DB97" s="47">
        <f t="shared" si="45"/>
        <v>0.53280000000000005</v>
      </c>
      <c r="DC97" s="47">
        <f t="shared" si="61"/>
        <v>0.77280000000000004</v>
      </c>
      <c r="DD97" s="47">
        <f t="shared" si="49"/>
        <v>1.3175999999999999</v>
      </c>
      <c r="DE97" s="47">
        <f t="shared" si="47"/>
        <v>2.3095999999999997</v>
      </c>
      <c r="DF97" s="47">
        <f t="shared" si="50"/>
        <v>1.4520000000000002</v>
      </c>
      <c r="DG97" s="47">
        <f t="shared" si="51"/>
        <v>0.33600000000000002</v>
      </c>
      <c r="DH97" s="47">
        <f t="shared" si="52"/>
        <v>1.673</v>
      </c>
      <c r="DI97" s="47"/>
      <c r="DJ97" s="47"/>
      <c r="DK97" s="47"/>
      <c r="DL97" s="47"/>
      <c r="DM97" s="47"/>
      <c r="DN97" s="47"/>
      <c r="DO97" s="47"/>
      <c r="DP97" s="47"/>
      <c r="DQ97">
        <f t="shared" si="53"/>
        <v>1.1200000000000001</v>
      </c>
      <c r="DR97">
        <f t="shared" si="69"/>
        <v>1.19</v>
      </c>
      <c r="DS97">
        <f t="shared" si="62"/>
        <v>0</v>
      </c>
      <c r="DT97">
        <f t="shared" si="63"/>
        <v>0</v>
      </c>
      <c r="DV97" s="110"/>
      <c r="DW97" s="111">
        <f t="shared" si="64"/>
        <v>0</v>
      </c>
      <c r="DX97" s="112">
        <v>0</v>
      </c>
      <c r="DY97" s="94"/>
      <c r="DZ97" s="94"/>
      <c r="EA97" s="81"/>
      <c r="EB97" s="113">
        <f t="shared" si="67"/>
        <v>0</v>
      </c>
      <c r="EC97" s="92"/>
      <c r="ED97" s="92"/>
      <c r="EE97" s="92"/>
      <c r="EF97" s="92"/>
      <c r="EG97" s="204">
        <v>0.28999999999999998</v>
      </c>
      <c r="EH97" s="92"/>
      <c r="EI97" s="82">
        <f t="shared" si="66"/>
        <v>24</v>
      </c>
      <c r="EJ97" s="6"/>
      <c r="EK97" s="6"/>
      <c r="EL97" s="6"/>
      <c r="EM97" s="6"/>
      <c r="EN97" s="6"/>
      <c r="EO97" s="6"/>
      <c r="EP97" s="6"/>
      <c r="EQ97" s="121"/>
      <c r="ER97" s="6"/>
      <c r="ES97" s="6"/>
      <c r="ET97" s="6"/>
      <c r="EU97" s="6"/>
      <c r="EV97" s="6"/>
      <c r="EW97" s="6"/>
      <c r="EX97" s="6"/>
      <c r="EY97" s="6"/>
      <c r="EZ97" s="6"/>
      <c r="FA97" s="6"/>
      <c r="FB97" s="6"/>
      <c r="FC97" s="6"/>
      <c r="FD97" s="6"/>
      <c r="FE97" s="6"/>
      <c r="FF97" s="6"/>
      <c r="FG97" s="6"/>
      <c r="FH97" s="6"/>
      <c r="FI97" s="6"/>
      <c r="FJ97" s="6"/>
      <c r="FK97" s="7"/>
      <c r="FL97" s="6"/>
      <c r="FM97" s="80">
        <f t="shared" si="56"/>
        <v>0.73219834566064168</v>
      </c>
      <c r="FN97" s="80">
        <f t="shared" si="57"/>
        <v>0.69631056063722707</v>
      </c>
      <c r="FO97" s="115">
        <f t="shared" si="58"/>
        <v>1.0515399120050284</v>
      </c>
      <c r="FP97" s="115">
        <f t="shared" si="59"/>
        <v>0.14705238741301591</v>
      </c>
      <c r="FQ97" s="116">
        <f t="shared" si="60"/>
        <v>4.9116509028374888E-2</v>
      </c>
    </row>
    <row r="98" spans="1:173" ht="12.75" customHeight="1" x14ac:dyDescent="0.25">
      <c r="A98" s="61">
        <v>89</v>
      </c>
      <c r="B98" t="s">
        <v>314</v>
      </c>
      <c r="C98">
        <v>3725</v>
      </c>
      <c r="D98">
        <v>4166</v>
      </c>
      <c r="E98">
        <v>3920</v>
      </c>
      <c r="F98">
        <v>2593</v>
      </c>
      <c r="H98">
        <v>93.3</v>
      </c>
      <c r="I98">
        <v>36.25</v>
      </c>
      <c r="K98">
        <v>2.0499999999999998</v>
      </c>
      <c r="M98">
        <v>6.9</v>
      </c>
      <c r="T98">
        <v>0</v>
      </c>
      <c r="V98">
        <v>3</v>
      </c>
      <c r="AB98">
        <v>48.1</v>
      </c>
      <c r="AC98">
        <v>97</v>
      </c>
      <c r="AD98" s="9">
        <v>42.415500000000002</v>
      </c>
      <c r="AF98">
        <v>1.45</v>
      </c>
      <c r="AG98">
        <v>0.71</v>
      </c>
      <c r="AH98">
        <v>1.36</v>
      </c>
      <c r="AI98">
        <v>1.81</v>
      </c>
      <c r="AJ98">
        <v>2.58</v>
      </c>
      <c r="AK98">
        <v>0.84</v>
      </c>
      <c r="AL98">
        <v>1.18</v>
      </c>
      <c r="AM98">
        <v>1.42</v>
      </c>
      <c r="AO98">
        <v>1.53</v>
      </c>
      <c r="AW98">
        <v>0.61</v>
      </c>
      <c r="AY98">
        <v>69</v>
      </c>
      <c r="AZ98">
        <v>75</v>
      </c>
      <c r="BA98">
        <v>66</v>
      </c>
      <c r="BB98">
        <v>59</v>
      </c>
      <c r="BC98">
        <v>61</v>
      </c>
      <c r="BD98">
        <v>74</v>
      </c>
      <c r="BE98">
        <v>88</v>
      </c>
      <c r="BF98">
        <v>53</v>
      </c>
      <c r="BG98">
        <v>54</v>
      </c>
      <c r="BI98">
        <v>58</v>
      </c>
      <c r="BX98">
        <v>1.54</v>
      </c>
      <c r="CB98">
        <v>70</v>
      </c>
      <c r="CC98">
        <v>75</v>
      </c>
      <c r="CF98" s="2">
        <v>46.656999999999996</v>
      </c>
      <c r="CH98" s="47">
        <v>23.925000000000001</v>
      </c>
      <c r="CI98" s="47">
        <v>1.0585</v>
      </c>
      <c r="CJ98" s="47">
        <v>0.45439999999999997</v>
      </c>
      <c r="CK98" s="47">
        <v>0.77520000000000011</v>
      </c>
      <c r="CL98" s="47">
        <v>1.0679000000000001</v>
      </c>
      <c r="CM98" s="47">
        <v>1.8834</v>
      </c>
      <c r="CN98" s="47">
        <v>0.73080000000000001</v>
      </c>
      <c r="CO98" s="47">
        <v>0.73080000000000001</v>
      </c>
      <c r="CP98" s="47">
        <v>0.6018</v>
      </c>
      <c r="CQ98" s="47">
        <v>0.96779999999999999</v>
      </c>
      <c r="CR98" s="47">
        <v>0.72420000000000007</v>
      </c>
      <c r="CS98" s="47">
        <v>0</v>
      </c>
      <c r="CT98" s="47">
        <v>0.84150000000000003</v>
      </c>
      <c r="CU98" s="47"/>
      <c r="CV98" s="47">
        <v>25.012499999999999</v>
      </c>
      <c r="CW98" s="47">
        <f t="shared" si="40"/>
        <v>1.0874999999999999</v>
      </c>
      <c r="CX98" s="47">
        <f t="shared" si="41"/>
        <v>0.46860000000000002</v>
      </c>
      <c r="CY98" s="47">
        <f t="shared" si="42"/>
        <v>0.80240000000000011</v>
      </c>
      <c r="CZ98" s="47">
        <f t="shared" si="43"/>
        <v>1.1040999999999999</v>
      </c>
      <c r="DA98" s="47">
        <f t="shared" si="44"/>
        <v>1.9092000000000002</v>
      </c>
      <c r="DB98" s="47">
        <f t="shared" si="45"/>
        <v>0.73919999999999997</v>
      </c>
      <c r="DC98" s="47">
        <f t="shared" si="61"/>
        <v>0.73919999999999997</v>
      </c>
      <c r="DD98" s="47">
        <f t="shared" si="49"/>
        <v>0.62539999999999996</v>
      </c>
      <c r="DE98" s="47">
        <f t="shared" si="47"/>
        <v>0.62539999999999996</v>
      </c>
      <c r="DF98" s="47">
        <f t="shared" si="50"/>
        <v>0.76679999999999993</v>
      </c>
      <c r="DG98" s="47">
        <f t="shared" si="51"/>
        <v>0</v>
      </c>
      <c r="DH98" s="47">
        <f t="shared" si="52"/>
        <v>0.88739999999999997</v>
      </c>
      <c r="DI98" s="47"/>
      <c r="DJ98" s="47"/>
      <c r="DK98" s="47"/>
      <c r="DL98" s="47"/>
      <c r="DM98" s="47"/>
      <c r="DN98" s="47"/>
      <c r="DO98" s="47"/>
      <c r="DP98" s="47"/>
      <c r="DQ98">
        <f t="shared" si="53"/>
        <v>1.0780000000000001</v>
      </c>
      <c r="DR98">
        <f t="shared" si="69"/>
        <v>1.155</v>
      </c>
      <c r="DS98">
        <f t="shared" si="62"/>
        <v>0</v>
      </c>
      <c r="DT98">
        <f t="shared" si="63"/>
        <v>0</v>
      </c>
      <c r="DV98" s="110"/>
      <c r="DW98" s="111">
        <f t="shared" si="64"/>
        <v>0</v>
      </c>
      <c r="DX98" s="112">
        <v>0</v>
      </c>
      <c r="DY98" s="94"/>
      <c r="DZ98" s="94"/>
      <c r="EA98" s="81"/>
      <c r="EB98" s="113">
        <f t="shared" si="67"/>
        <v>0</v>
      </c>
      <c r="EC98" s="92"/>
      <c r="ED98" s="92"/>
      <c r="EE98" s="92"/>
      <c r="EF98" s="92"/>
      <c r="EG98" s="204">
        <f>BX98*0.207</f>
        <v>0.31878000000000001</v>
      </c>
      <c r="EH98" s="92"/>
      <c r="EI98" s="82" t="str">
        <f t="shared" si="66"/>
        <v/>
      </c>
      <c r="EJ98" s="6"/>
      <c r="EK98" s="6"/>
      <c r="EL98" s="6"/>
      <c r="EM98" s="6"/>
      <c r="EN98" s="6"/>
      <c r="EO98" s="6"/>
      <c r="EP98" s="6"/>
      <c r="EQ98" s="121"/>
      <c r="ER98" s="6"/>
      <c r="ES98" s="6"/>
      <c r="ET98" s="6"/>
      <c r="EU98" s="6"/>
      <c r="EV98" s="6"/>
      <c r="EW98" s="6"/>
      <c r="EX98" s="6"/>
      <c r="EY98" s="6"/>
      <c r="EZ98" s="6"/>
      <c r="FA98" s="6"/>
      <c r="FB98" s="6"/>
      <c r="FC98" s="6"/>
      <c r="FD98" s="6"/>
      <c r="FE98" s="6"/>
      <c r="FF98" s="6"/>
      <c r="FG98" s="6"/>
      <c r="FH98" s="6"/>
      <c r="FI98" s="6"/>
      <c r="FJ98" s="6"/>
      <c r="FK98" s="7"/>
      <c r="FL98" s="6"/>
      <c r="FM98" s="80">
        <f t="shared" si="56"/>
        <v>0.80373154605561092</v>
      </c>
      <c r="FN98" s="80">
        <f t="shared" si="57"/>
        <v>0.72674576578208516</v>
      </c>
      <c r="FO98" s="115">
        <f t="shared" si="58"/>
        <v>1.1059322033898302</v>
      </c>
      <c r="FP98" s="115">
        <f t="shared" si="59"/>
        <v>0</v>
      </c>
      <c r="FQ98" s="116">
        <f t="shared" si="60"/>
        <v>3.0457931034482754E-2</v>
      </c>
    </row>
    <row r="99" spans="1:173" ht="12.75" customHeight="1" x14ac:dyDescent="0.25">
      <c r="A99" s="61">
        <v>90</v>
      </c>
      <c r="B99" t="s">
        <v>315</v>
      </c>
      <c r="D99">
        <v>7995</v>
      </c>
      <c r="E99">
        <v>7835</v>
      </c>
      <c r="F99">
        <v>6895</v>
      </c>
      <c r="K99">
        <v>97</v>
      </c>
      <c r="M99">
        <v>0</v>
      </c>
      <c r="AD99" s="9">
        <v>73.72</v>
      </c>
      <c r="CF99" s="2">
        <v>0</v>
      </c>
      <c r="CH99" s="47">
        <v>0</v>
      </c>
      <c r="CI99" s="47">
        <v>0</v>
      </c>
      <c r="CJ99" s="47">
        <v>0</v>
      </c>
      <c r="CK99" s="47">
        <v>0</v>
      </c>
      <c r="CL99" s="47">
        <v>0</v>
      </c>
      <c r="CM99" s="47">
        <v>0</v>
      </c>
      <c r="CN99" s="47">
        <v>0</v>
      </c>
      <c r="CO99" s="47">
        <v>0</v>
      </c>
      <c r="CP99" s="47">
        <v>0</v>
      </c>
      <c r="CQ99" s="47">
        <v>0</v>
      </c>
      <c r="CR99" s="47">
        <v>0</v>
      </c>
      <c r="CS99" s="47">
        <v>0</v>
      </c>
      <c r="CT99" s="47">
        <v>0</v>
      </c>
      <c r="CU99" s="47"/>
      <c r="CV99" s="47">
        <v>0</v>
      </c>
      <c r="CW99" s="47">
        <f t="shared" si="40"/>
        <v>0</v>
      </c>
      <c r="CX99" s="47">
        <f t="shared" si="41"/>
        <v>0</v>
      </c>
      <c r="CY99" s="47">
        <f t="shared" si="42"/>
        <v>0</v>
      </c>
      <c r="CZ99" s="47">
        <f t="shared" si="43"/>
        <v>0</v>
      </c>
      <c r="DA99" s="47">
        <f t="shared" si="44"/>
        <v>0</v>
      </c>
      <c r="DB99" s="47">
        <f t="shared" si="45"/>
        <v>0</v>
      </c>
      <c r="DC99" s="47">
        <f t="shared" si="61"/>
        <v>0</v>
      </c>
      <c r="DD99" s="47">
        <f t="shared" si="49"/>
        <v>0</v>
      </c>
      <c r="DE99" s="47">
        <f t="shared" si="47"/>
        <v>0</v>
      </c>
      <c r="DF99" s="47">
        <f t="shared" si="50"/>
        <v>0</v>
      </c>
      <c r="DG99" s="47">
        <f t="shared" si="51"/>
        <v>0</v>
      </c>
      <c r="DH99" s="47">
        <f t="shared" si="52"/>
        <v>0</v>
      </c>
      <c r="DI99" s="47"/>
      <c r="DJ99" s="47"/>
      <c r="DK99" s="47"/>
      <c r="DL99" s="47"/>
      <c r="DM99" s="47"/>
      <c r="DN99" s="47"/>
      <c r="DO99" s="47"/>
      <c r="DP99" s="47"/>
      <c r="DQ99">
        <f t="shared" si="53"/>
        <v>0</v>
      </c>
      <c r="DR99">
        <f t="shared" si="69"/>
        <v>0</v>
      </c>
      <c r="DS99">
        <f t="shared" si="62"/>
        <v>0</v>
      </c>
      <c r="DT99">
        <f t="shared" si="63"/>
        <v>0</v>
      </c>
      <c r="DV99" s="110"/>
      <c r="DW99" s="111">
        <f t="shared" si="64"/>
        <v>800</v>
      </c>
      <c r="DX99" s="112">
        <v>0.4</v>
      </c>
      <c r="DY99" s="94">
        <v>7110</v>
      </c>
      <c r="DZ99" s="94">
        <v>7110</v>
      </c>
      <c r="EA99" s="124">
        <v>0</v>
      </c>
      <c r="EB99" s="113">
        <f t="shared" si="67"/>
        <v>0</v>
      </c>
      <c r="EC99" s="6">
        <v>3.1</v>
      </c>
      <c r="ED99" s="92">
        <v>0</v>
      </c>
      <c r="EE99" s="92">
        <v>0</v>
      </c>
      <c r="EF99" s="92"/>
      <c r="EG99" s="207"/>
      <c r="EH99" s="6">
        <v>440</v>
      </c>
      <c r="EI99" s="82" t="str">
        <f t="shared" si="66"/>
        <v/>
      </c>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v>2.8</v>
      </c>
      <c r="FJ99" s="6">
        <v>0.6</v>
      </c>
      <c r="FK99" s="7">
        <f>SUM(FI99:FJ99)/100*K99</f>
        <v>3.298</v>
      </c>
      <c r="FL99" s="6"/>
      <c r="FM99" s="80" t="e">
        <f t="shared" si="56"/>
        <v>#DIV/0!</v>
      </c>
      <c r="FN99" s="80" t="e">
        <f t="shared" si="57"/>
        <v>#DIV/0!</v>
      </c>
      <c r="FO99" s="115" t="e">
        <f t="shared" si="58"/>
        <v>#DIV/0!</v>
      </c>
      <c r="FP99" s="115" t="e">
        <f t="shared" si="59"/>
        <v>#DIV/0!</v>
      </c>
      <c r="FQ99" s="116" t="e">
        <f t="shared" si="60"/>
        <v>#DIV/0!</v>
      </c>
    </row>
    <row r="100" spans="1:173" ht="12.75" customHeight="1" x14ac:dyDescent="0.25">
      <c r="A100" s="61">
        <v>91</v>
      </c>
      <c r="B100" t="s">
        <v>316</v>
      </c>
      <c r="D100">
        <v>8290</v>
      </c>
      <c r="E100">
        <v>8124</v>
      </c>
      <c r="F100">
        <v>7149</v>
      </c>
      <c r="K100">
        <v>97</v>
      </c>
      <c r="M100">
        <v>0</v>
      </c>
      <c r="AD100" s="9">
        <v>73.72</v>
      </c>
      <c r="CF100" s="2">
        <v>0</v>
      </c>
      <c r="CH100" s="47">
        <v>0</v>
      </c>
      <c r="CI100" s="47">
        <v>0</v>
      </c>
      <c r="CJ100" s="47">
        <v>0</v>
      </c>
      <c r="CK100" s="47">
        <v>0</v>
      </c>
      <c r="CL100" s="47">
        <v>0</v>
      </c>
      <c r="CM100" s="47">
        <v>0</v>
      </c>
      <c r="CN100" s="47">
        <v>0</v>
      </c>
      <c r="CO100" s="47">
        <v>0</v>
      </c>
      <c r="CP100" s="47">
        <v>0</v>
      </c>
      <c r="CQ100" s="47">
        <v>0</v>
      </c>
      <c r="CR100" s="47">
        <v>0</v>
      </c>
      <c r="CS100" s="47">
        <v>0</v>
      </c>
      <c r="CT100" s="47">
        <v>0</v>
      </c>
      <c r="CU100" s="47"/>
      <c r="CV100" s="47">
        <v>0</v>
      </c>
      <c r="CW100" s="47">
        <f t="shared" si="40"/>
        <v>0</v>
      </c>
      <c r="CX100" s="47">
        <f t="shared" si="41"/>
        <v>0</v>
      </c>
      <c r="CY100" s="47">
        <f t="shared" si="42"/>
        <v>0</v>
      </c>
      <c r="CZ100" s="47">
        <f t="shared" si="43"/>
        <v>0</v>
      </c>
      <c r="DA100" s="47">
        <f t="shared" si="44"/>
        <v>0</v>
      </c>
      <c r="DB100" s="47">
        <f t="shared" si="45"/>
        <v>0</v>
      </c>
      <c r="DC100" s="47">
        <f t="shared" si="61"/>
        <v>0</v>
      </c>
      <c r="DD100" s="47">
        <f t="shared" si="49"/>
        <v>0</v>
      </c>
      <c r="DE100" s="47">
        <f t="shared" si="47"/>
        <v>0</v>
      </c>
      <c r="DF100" s="47">
        <f t="shared" si="50"/>
        <v>0</v>
      </c>
      <c r="DG100" s="47">
        <f t="shared" si="51"/>
        <v>0</v>
      </c>
      <c r="DH100" s="47">
        <f t="shared" si="52"/>
        <v>0</v>
      </c>
      <c r="DI100" s="47"/>
      <c r="DJ100" s="47"/>
      <c r="DK100" s="47"/>
      <c r="DL100" s="47"/>
      <c r="DM100" s="47"/>
      <c r="DN100" s="47"/>
      <c r="DO100" s="47"/>
      <c r="DP100" s="47"/>
      <c r="DQ100">
        <f t="shared" si="53"/>
        <v>0</v>
      </c>
      <c r="DR100">
        <f t="shared" si="69"/>
        <v>0</v>
      </c>
      <c r="DS100">
        <f t="shared" si="62"/>
        <v>0</v>
      </c>
      <c r="DT100">
        <f t="shared" si="63"/>
        <v>0</v>
      </c>
      <c r="DV100" s="110"/>
      <c r="DW100" s="111">
        <f t="shared" si="64"/>
        <v>800</v>
      </c>
      <c r="DX100" s="112">
        <f>'DDGS Calculator'!D10</f>
        <v>0.4</v>
      </c>
      <c r="DY100" s="94">
        <v>7110</v>
      </c>
      <c r="DZ100" s="94">
        <v>7110</v>
      </c>
      <c r="EA100" s="124">
        <v>0</v>
      </c>
      <c r="EB100" s="113">
        <f t="shared" si="67"/>
        <v>0</v>
      </c>
      <c r="EC100" s="6">
        <v>11.6</v>
      </c>
      <c r="ED100" s="92">
        <v>0</v>
      </c>
      <c r="EE100" s="92">
        <v>0</v>
      </c>
      <c r="EF100" s="92"/>
      <c r="EG100" s="207"/>
      <c r="EH100" s="6">
        <v>600</v>
      </c>
      <c r="EI100" s="82" t="str">
        <f t="shared" si="66"/>
        <v/>
      </c>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v>9.1999999999999993</v>
      </c>
      <c r="FJ100" s="6">
        <v>0.9</v>
      </c>
      <c r="FK100" s="7">
        <f>SUM(FI100:FJ100)/100*K100</f>
        <v>9.7969999999999988</v>
      </c>
      <c r="FL100" s="6"/>
      <c r="FM100" s="80" t="e">
        <f t="shared" si="56"/>
        <v>#DIV/0!</v>
      </c>
      <c r="FN100" s="80" t="e">
        <f t="shared" si="57"/>
        <v>#DIV/0!</v>
      </c>
      <c r="FO100" s="115" t="e">
        <f t="shared" si="58"/>
        <v>#DIV/0!</v>
      </c>
      <c r="FP100" s="115" t="e">
        <f t="shared" si="59"/>
        <v>#DIV/0!</v>
      </c>
      <c r="FQ100" s="116" t="e">
        <f t="shared" si="60"/>
        <v>#DIV/0!</v>
      </c>
    </row>
    <row r="101" spans="1:173" ht="12.75" customHeight="1" x14ac:dyDescent="0.25">
      <c r="A101" s="61">
        <v>92</v>
      </c>
      <c r="B101" t="s">
        <v>317</v>
      </c>
      <c r="D101">
        <v>8535</v>
      </c>
      <c r="E101">
        <v>8364</v>
      </c>
      <c r="F101">
        <v>7361</v>
      </c>
      <c r="K101">
        <v>97</v>
      </c>
      <c r="M101">
        <v>0</v>
      </c>
      <c r="AD101" s="9">
        <v>73.72</v>
      </c>
      <c r="CF101" s="2">
        <v>0</v>
      </c>
      <c r="CH101" s="47">
        <v>0</v>
      </c>
      <c r="CI101" s="47">
        <v>0</v>
      </c>
      <c r="CJ101" s="47">
        <v>0</v>
      </c>
      <c r="CK101" s="47">
        <v>0</v>
      </c>
      <c r="CL101" s="47">
        <v>0</v>
      </c>
      <c r="CM101" s="47">
        <v>0</v>
      </c>
      <c r="CN101" s="47">
        <v>0</v>
      </c>
      <c r="CO101" s="47">
        <v>0</v>
      </c>
      <c r="CP101" s="47">
        <v>0</v>
      </c>
      <c r="CQ101" s="47">
        <v>0</v>
      </c>
      <c r="CR101" s="47">
        <v>0</v>
      </c>
      <c r="CS101" s="47">
        <v>0</v>
      </c>
      <c r="CT101" s="47">
        <v>0</v>
      </c>
      <c r="CU101" s="47"/>
      <c r="CV101" s="47">
        <v>0</v>
      </c>
      <c r="CW101" s="47">
        <f t="shared" si="40"/>
        <v>0</v>
      </c>
      <c r="CX101" s="47">
        <f t="shared" si="41"/>
        <v>0</v>
      </c>
      <c r="CY101" s="47">
        <f t="shared" si="42"/>
        <v>0</v>
      </c>
      <c r="CZ101" s="47">
        <f t="shared" si="43"/>
        <v>0</v>
      </c>
      <c r="DA101" s="47">
        <f t="shared" si="44"/>
        <v>0</v>
      </c>
      <c r="DB101" s="47">
        <f t="shared" si="45"/>
        <v>0</v>
      </c>
      <c r="DC101" s="47">
        <f t="shared" si="61"/>
        <v>0</v>
      </c>
      <c r="DD101" s="47">
        <f t="shared" si="49"/>
        <v>0</v>
      </c>
      <c r="DE101" s="47">
        <f t="shared" si="47"/>
        <v>0</v>
      </c>
      <c r="DF101" s="47">
        <f t="shared" si="50"/>
        <v>0</v>
      </c>
      <c r="DG101" s="47">
        <f t="shared" si="51"/>
        <v>0</v>
      </c>
      <c r="DH101" s="47">
        <f t="shared" si="52"/>
        <v>0</v>
      </c>
      <c r="DI101" s="47"/>
      <c r="DJ101" s="47"/>
      <c r="DK101" s="47"/>
      <c r="DL101" s="47"/>
      <c r="DM101" s="47"/>
      <c r="DN101" s="47"/>
      <c r="DO101" s="47"/>
      <c r="DP101" s="47"/>
      <c r="DQ101">
        <f t="shared" si="53"/>
        <v>0</v>
      </c>
      <c r="DR101">
        <f t="shared" si="69"/>
        <v>0</v>
      </c>
      <c r="DS101">
        <f t="shared" si="62"/>
        <v>0</v>
      </c>
      <c r="DT101">
        <f t="shared" si="63"/>
        <v>0</v>
      </c>
      <c r="DV101" s="110"/>
      <c r="DW101" s="111">
        <f t="shared" si="64"/>
        <v>5400</v>
      </c>
      <c r="DX101" s="112">
        <v>2.7</v>
      </c>
      <c r="DY101" s="94">
        <v>4130</v>
      </c>
      <c r="DZ101" s="94">
        <v>4130</v>
      </c>
      <c r="EA101" s="81"/>
      <c r="EB101" s="113">
        <f t="shared" si="67"/>
        <v>0</v>
      </c>
      <c r="EC101" s="92">
        <v>0</v>
      </c>
      <c r="ED101" s="92">
        <v>0</v>
      </c>
      <c r="EE101" s="92">
        <v>0</v>
      </c>
      <c r="EF101" s="92"/>
      <c r="EG101" s="207"/>
      <c r="EH101" s="92">
        <v>0</v>
      </c>
      <c r="EI101" s="82" t="str">
        <f t="shared" si="66"/>
        <v/>
      </c>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v>20.6</v>
      </c>
      <c r="FJ101" s="6">
        <v>1.6</v>
      </c>
      <c r="FK101" s="7">
        <f>SUM(FI101:FJ101)/100*K101</f>
        <v>21.534000000000002</v>
      </c>
      <c r="FL101" s="6"/>
      <c r="FM101" s="80" t="e">
        <f t="shared" si="56"/>
        <v>#DIV/0!</v>
      </c>
      <c r="FN101" s="80" t="e">
        <f t="shared" si="57"/>
        <v>#DIV/0!</v>
      </c>
      <c r="FO101" s="115" t="e">
        <f t="shared" si="58"/>
        <v>#DIV/0!</v>
      </c>
      <c r="FP101" s="115" t="e">
        <f t="shared" si="59"/>
        <v>#DIV/0!</v>
      </c>
      <c r="FQ101" s="116" t="e">
        <f t="shared" si="60"/>
        <v>#DIV/0!</v>
      </c>
    </row>
    <row r="102" spans="1:173" ht="12.75" customHeight="1" x14ac:dyDescent="0.25">
      <c r="A102" s="61">
        <v>93</v>
      </c>
      <c r="B102" t="s">
        <v>318</v>
      </c>
      <c r="D102">
        <v>8288</v>
      </c>
      <c r="E102">
        <v>8123</v>
      </c>
      <c r="F102">
        <v>7148</v>
      </c>
      <c r="K102">
        <v>97</v>
      </c>
      <c r="M102">
        <v>0</v>
      </c>
      <c r="AD102" s="9">
        <v>73.72</v>
      </c>
      <c r="CF102" s="2">
        <v>0</v>
      </c>
      <c r="CH102" s="47">
        <v>0</v>
      </c>
      <c r="CI102" s="47">
        <v>0</v>
      </c>
      <c r="CJ102" s="47">
        <v>0</v>
      </c>
      <c r="CK102" s="47">
        <v>0</v>
      </c>
      <c r="CL102" s="47">
        <v>0</v>
      </c>
      <c r="CM102" s="47">
        <v>0</v>
      </c>
      <c r="CN102" s="47">
        <v>0</v>
      </c>
      <c r="CO102" s="47">
        <v>0</v>
      </c>
      <c r="CP102" s="47">
        <v>0</v>
      </c>
      <c r="CQ102" s="47">
        <v>0</v>
      </c>
      <c r="CR102" s="47">
        <v>0</v>
      </c>
      <c r="CS102" s="47">
        <v>0</v>
      </c>
      <c r="CT102" s="47">
        <v>0</v>
      </c>
      <c r="CU102" s="47"/>
      <c r="CV102" s="47">
        <v>0</v>
      </c>
      <c r="CW102" s="47">
        <f t="shared" ref="CW102:CW129" si="72">AF102*AZ102/100</f>
        <v>0</v>
      </c>
      <c r="CX102" s="47">
        <f t="shared" ref="CX102:CX129" si="73">AG102*BA102/100</f>
        <v>0</v>
      </c>
      <c r="CY102" s="47">
        <f t="shared" ref="CY102:CY129" si="74">AH102*BB102/100</f>
        <v>0</v>
      </c>
      <c r="CZ102" s="47">
        <f t="shared" ref="CZ102:CZ129" si="75">AI102*BC102/100</f>
        <v>0</v>
      </c>
      <c r="DA102" s="47">
        <f t="shared" ref="DA102:DA129" si="76">AJ102*BD102/100</f>
        <v>0</v>
      </c>
      <c r="DB102" s="47">
        <f t="shared" ref="DB102:DB129" si="77">AK102*BE102/100</f>
        <v>0</v>
      </c>
      <c r="DC102" s="47">
        <f t="shared" si="61"/>
        <v>0</v>
      </c>
      <c r="DD102" s="47">
        <f t="shared" si="49"/>
        <v>0</v>
      </c>
      <c r="DE102" s="47">
        <f t="shared" si="47"/>
        <v>0</v>
      </c>
      <c r="DF102" s="47">
        <f t="shared" si="50"/>
        <v>0</v>
      </c>
      <c r="DG102" s="47">
        <f t="shared" si="51"/>
        <v>0</v>
      </c>
      <c r="DH102" s="47">
        <f t="shared" si="52"/>
        <v>0</v>
      </c>
      <c r="DI102" s="47"/>
      <c r="DJ102" s="47"/>
      <c r="DK102" s="47"/>
      <c r="DL102" s="47"/>
      <c r="DM102" s="47"/>
      <c r="DN102" s="47"/>
      <c r="DO102" s="47"/>
      <c r="DP102" s="47"/>
      <c r="DQ102">
        <f t="shared" si="53"/>
        <v>0</v>
      </c>
      <c r="DR102">
        <f t="shared" si="69"/>
        <v>0</v>
      </c>
      <c r="DS102">
        <f t="shared" si="62"/>
        <v>0</v>
      </c>
      <c r="DT102">
        <f t="shared" si="63"/>
        <v>0</v>
      </c>
      <c r="DV102" s="110"/>
      <c r="DW102" s="111">
        <f t="shared" si="64"/>
        <v>2500</v>
      </c>
      <c r="DX102" s="112">
        <v>1.25</v>
      </c>
      <c r="DY102" s="94">
        <v>2930</v>
      </c>
      <c r="DZ102" s="94">
        <v>2930</v>
      </c>
      <c r="EA102" s="81"/>
      <c r="EB102" s="113">
        <f t="shared" si="67"/>
        <v>0</v>
      </c>
      <c r="EC102" s="92">
        <v>0</v>
      </c>
      <c r="ED102" s="92">
        <v>0</v>
      </c>
      <c r="EE102" s="92">
        <v>0</v>
      </c>
      <c r="EF102" s="92"/>
      <c r="EG102" s="207"/>
      <c r="EH102" s="92">
        <v>0</v>
      </c>
      <c r="EI102" s="82" t="str">
        <f t="shared" si="66"/>
        <v/>
      </c>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v>9.1999999999999993</v>
      </c>
      <c r="FJ102" s="6">
        <v>0.9</v>
      </c>
      <c r="FK102" s="7">
        <f>SUM(FI102:FJ102)/100*K102</f>
        <v>9.7969999999999988</v>
      </c>
      <c r="FL102" s="6"/>
      <c r="FM102" s="80" t="e">
        <f t="shared" si="56"/>
        <v>#DIV/0!</v>
      </c>
      <c r="FN102" s="80" t="e">
        <f t="shared" si="57"/>
        <v>#DIV/0!</v>
      </c>
      <c r="FO102" s="115" t="e">
        <f t="shared" si="58"/>
        <v>#DIV/0!</v>
      </c>
      <c r="FP102" s="115" t="e">
        <f t="shared" si="59"/>
        <v>#DIV/0!</v>
      </c>
      <c r="FQ102" s="116" t="e">
        <f t="shared" si="60"/>
        <v>#DIV/0!</v>
      </c>
    </row>
    <row r="103" spans="1:173" ht="12.75" customHeight="1" x14ac:dyDescent="0.25">
      <c r="A103" s="61">
        <v>94</v>
      </c>
      <c r="B103" t="s">
        <v>319</v>
      </c>
      <c r="D103">
        <v>8550</v>
      </c>
      <c r="E103">
        <v>8379</v>
      </c>
      <c r="F103">
        <v>7374</v>
      </c>
      <c r="K103">
        <v>97</v>
      </c>
      <c r="M103">
        <v>0</v>
      </c>
      <c r="AD103" s="9">
        <v>73.72</v>
      </c>
      <c r="CF103" s="2">
        <v>0</v>
      </c>
      <c r="CH103" s="47">
        <v>0</v>
      </c>
      <c r="CI103" s="47">
        <v>0</v>
      </c>
      <c r="CJ103" s="47">
        <v>0</v>
      </c>
      <c r="CK103" s="47">
        <v>0</v>
      </c>
      <c r="CL103" s="47">
        <v>0</v>
      </c>
      <c r="CM103" s="47">
        <v>0</v>
      </c>
      <c r="CN103" s="47">
        <v>0</v>
      </c>
      <c r="CO103" s="47">
        <v>0</v>
      </c>
      <c r="CP103" s="47">
        <v>0</v>
      </c>
      <c r="CQ103" s="47">
        <v>0</v>
      </c>
      <c r="CR103" s="47">
        <v>0</v>
      </c>
      <c r="CS103" s="47">
        <v>0</v>
      </c>
      <c r="CT103" s="47">
        <v>0</v>
      </c>
      <c r="CU103" s="47"/>
      <c r="CV103" s="47">
        <v>0</v>
      </c>
      <c r="CW103" s="47">
        <f t="shared" si="72"/>
        <v>0</v>
      </c>
      <c r="CX103" s="47">
        <f t="shared" si="73"/>
        <v>0</v>
      </c>
      <c r="CY103" s="47">
        <f t="shared" si="74"/>
        <v>0</v>
      </c>
      <c r="CZ103" s="47">
        <f t="shared" si="75"/>
        <v>0</v>
      </c>
      <c r="DA103" s="47">
        <f t="shared" si="76"/>
        <v>0</v>
      </c>
      <c r="DB103" s="47">
        <f t="shared" si="77"/>
        <v>0</v>
      </c>
      <c r="DC103" s="47">
        <f t="shared" si="61"/>
        <v>0</v>
      </c>
      <c r="DD103" s="47">
        <f t="shared" si="49"/>
        <v>0</v>
      </c>
      <c r="DE103" s="47">
        <f t="shared" si="47"/>
        <v>0</v>
      </c>
      <c r="DF103" s="47">
        <f t="shared" si="50"/>
        <v>0</v>
      </c>
      <c r="DG103" s="47">
        <f t="shared" si="51"/>
        <v>0</v>
      </c>
      <c r="DH103" s="47">
        <f t="shared" si="52"/>
        <v>0</v>
      </c>
      <c r="DI103" s="47"/>
      <c r="DJ103" s="47"/>
      <c r="DK103" s="47"/>
      <c r="DL103" s="47"/>
      <c r="DM103" s="47"/>
      <c r="DN103" s="47"/>
      <c r="DO103" s="47"/>
      <c r="DP103" s="47"/>
      <c r="DQ103">
        <f t="shared" si="53"/>
        <v>0</v>
      </c>
      <c r="DR103">
        <f t="shared" si="69"/>
        <v>0</v>
      </c>
      <c r="DS103">
        <f t="shared" si="62"/>
        <v>0</v>
      </c>
      <c r="DT103">
        <f t="shared" si="63"/>
        <v>0</v>
      </c>
      <c r="DV103" s="110"/>
      <c r="DW103" s="111">
        <f t="shared" si="64"/>
        <v>760</v>
      </c>
      <c r="DX103" s="112">
        <v>0.38</v>
      </c>
      <c r="DY103" s="94">
        <v>7110</v>
      </c>
      <c r="DZ103" s="94">
        <v>7110</v>
      </c>
      <c r="EA103" s="124">
        <v>0</v>
      </c>
      <c r="EB103" s="113">
        <f t="shared" si="67"/>
        <v>0</v>
      </c>
      <c r="EC103" s="6">
        <v>17.5</v>
      </c>
      <c r="ED103" s="92">
        <v>0</v>
      </c>
      <c r="EE103" s="92">
        <v>0</v>
      </c>
      <c r="EF103" s="92"/>
      <c r="EG103" s="207"/>
      <c r="EH103" s="6">
        <v>750</v>
      </c>
      <c r="EI103" s="82" t="str">
        <f t="shared" si="66"/>
        <v/>
      </c>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v>34.67</v>
      </c>
      <c r="FJ103" s="6">
        <v>0</v>
      </c>
      <c r="FK103" s="7">
        <f>SUM(FI103:FJ103)/100*K103</f>
        <v>33.629899999999999</v>
      </c>
      <c r="FL103" s="6"/>
      <c r="FM103" s="80" t="e">
        <f t="shared" si="56"/>
        <v>#DIV/0!</v>
      </c>
      <c r="FN103" s="80" t="e">
        <f t="shared" si="57"/>
        <v>#DIV/0!</v>
      </c>
      <c r="FO103" s="115" t="e">
        <f t="shared" si="58"/>
        <v>#DIV/0!</v>
      </c>
      <c r="FP103" s="115" t="e">
        <f t="shared" si="59"/>
        <v>#DIV/0!</v>
      </c>
      <c r="FQ103" s="116" t="e">
        <f t="shared" si="60"/>
        <v>#DIV/0!</v>
      </c>
    </row>
    <row r="104" spans="1:173" x14ac:dyDescent="0.25">
      <c r="A104" s="61">
        <v>99</v>
      </c>
      <c r="B104" t="s">
        <v>320</v>
      </c>
      <c r="D104">
        <v>8759</v>
      </c>
      <c r="E104">
        <v>8384</v>
      </c>
      <c r="F104">
        <v>7554</v>
      </c>
      <c r="K104">
        <v>97</v>
      </c>
      <c r="M104">
        <v>0</v>
      </c>
      <c r="AD104" s="9">
        <v>73.72</v>
      </c>
      <c r="CF104" s="2">
        <v>0</v>
      </c>
      <c r="CH104" s="47">
        <v>0</v>
      </c>
      <c r="CI104" s="47">
        <v>0</v>
      </c>
      <c r="CJ104" s="47">
        <v>0</v>
      </c>
      <c r="CK104" s="47">
        <v>0</v>
      </c>
      <c r="CL104" s="47">
        <v>0</v>
      </c>
      <c r="CM104" s="47">
        <v>0</v>
      </c>
      <c r="CN104" s="47">
        <v>0</v>
      </c>
      <c r="CO104" s="47">
        <v>0</v>
      </c>
      <c r="CP104" s="47">
        <v>0</v>
      </c>
      <c r="CQ104" s="47">
        <v>0</v>
      </c>
      <c r="CR104" s="47">
        <v>0</v>
      </c>
      <c r="CS104" s="47">
        <v>0</v>
      </c>
      <c r="CT104" s="47">
        <v>0</v>
      </c>
      <c r="CU104" s="47"/>
      <c r="CV104" s="47">
        <v>0</v>
      </c>
      <c r="CW104" s="47">
        <f t="shared" si="72"/>
        <v>0</v>
      </c>
      <c r="CX104" s="47">
        <f t="shared" si="73"/>
        <v>0</v>
      </c>
      <c r="CY104" s="47">
        <f t="shared" si="74"/>
        <v>0</v>
      </c>
      <c r="CZ104" s="47">
        <f t="shared" si="75"/>
        <v>0</v>
      </c>
      <c r="DA104" s="47">
        <f t="shared" si="76"/>
        <v>0</v>
      </c>
      <c r="DB104" s="47">
        <f t="shared" si="77"/>
        <v>0</v>
      </c>
      <c r="DC104" s="47">
        <f t="shared" si="61"/>
        <v>0</v>
      </c>
      <c r="DD104" s="47">
        <f t="shared" si="49"/>
        <v>0</v>
      </c>
      <c r="DE104" s="47">
        <f t="shared" si="47"/>
        <v>0</v>
      </c>
      <c r="DF104" s="47">
        <f t="shared" si="50"/>
        <v>0</v>
      </c>
      <c r="DG104" s="47">
        <f t="shared" si="51"/>
        <v>0</v>
      </c>
      <c r="DH104" s="47">
        <f t="shared" si="52"/>
        <v>0</v>
      </c>
      <c r="DI104" s="47"/>
      <c r="DJ104" s="47"/>
      <c r="DK104" s="47"/>
      <c r="DL104" s="47"/>
      <c r="DM104" s="47"/>
      <c r="DN104" s="47"/>
      <c r="DO104" s="47"/>
      <c r="DP104" s="47"/>
      <c r="DQ104">
        <f t="shared" si="53"/>
        <v>0</v>
      </c>
      <c r="DR104">
        <f t="shared" si="69"/>
        <v>0</v>
      </c>
      <c r="DS104">
        <f t="shared" si="62"/>
        <v>0</v>
      </c>
      <c r="DT104">
        <f t="shared" si="63"/>
        <v>0</v>
      </c>
      <c r="DV104" s="110"/>
      <c r="DW104" s="111">
        <f t="shared" si="64"/>
        <v>2400</v>
      </c>
      <c r="DX104" s="112">
        <v>1.2</v>
      </c>
      <c r="DY104" s="94">
        <v>3650</v>
      </c>
      <c r="DZ104" s="94">
        <v>3650</v>
      </c>
      <c r="EA104" s="81"/>
      <c r="EB104" s="113">
        <f t="shared" si="67"/>
        <v>0</v>
      </c>
      <c r="EC104" s="92">
        <v>0</v>
      </c>
      <c r="ED104" s="92">
        <v>0</v>
      </c>
      <c r="EE104" s="92">
        <v>0</v>
      </c>
      <c r="EF104" s="92"/>
      <c r="EG104" s="207"/>
      <c r="EH104" s="92">
        <v>0</v>
      </c>
      <c r="EI104" s="82" t="str">
        <f t="shared" si="66"/>
        <v/>
      </c>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7"/>
      <c r="FL104" s="6"/>
      <c r="FM104" s="80" t="e">
        <f t="shared" si="56"/>
        <v>#DIV/0!</v>
      </c>
      <c r="FN104" s="80" t="e">
        <f t="shared" si="57"/>
        <v>#DIV/0!</v>
      </c>
      <c r="FO104" s="115" t="e">
        <f t="shared" si="58"/>
        <v>#DIV/0!</v>
      </c>
      <c r="FP104" s="115" t="e">
        <f t="shared" si="59"/>
        <v>#DIV/0!</v>
      </c>
      <c r="FQ104" s="116" t="e">
        <f t="shared" si="60"/>
        <v>#DIV/0!</v>
      </c>
    </row>
    <row r="105" spans="1:173" x14ac:dyDescent="0.25">
      <c r="A105" s="61">
        <v>100</v>
      </c>
      <c r="B105" t="s">
        <v>321</v>
      </c>
      <c r="D105">
        <v>7169</v>
      </c>
      <c r="E105">
        <v>7025</v>
      </c>
      <c r="F105">
        <v>6182</v>
      </c>
      <c r="K105">
        <v>97</v>
      </c>
      <c r="M105">
        <v>0</v>
      </c>
      <c r="AD105" s="9">
        <v>73.72</v>
      </c>
      <c r="CF105" s="2">
        <v>0</v>
      </c>
      <c r="CH105" s="47">
        <v>0</v>
      </c>
      <c r="CI105" s="47">
        <v>0</v>
      </c>
      <c r="CJ105" s="47">
        <v>0</v>
      </c>
      <c r="CK105" s="47">
        <v>0</v>
      </c>
      <c r="CL105" s="47">
        <v>0</v>
      </c>
      <c r="CM105" s="47">
        <v>0</v>
      </c>
      <c r="CN105" s="47">
        <v>0</v>
      </c>
      <c r="CO105" s="47">
        <v>0</v>
      </c>
      <c r="CP105" s="47">
        <v>0</v>
      </c>
      <c r="CQ105" s="47">
        <v>0</v>
      </c>
      <c r="CR105" s="47">
        <v>0</v>
      </c>
      <c r="CS105" s="47">
        <v>0</v>
      </c>
      <c r="CT105" s="47">
        <v>0</v>
      </c>
      <c r="CU105" s="47"/>
      <c r="CV105" s="47">
        <v>0</v>
      </c>
      <c r="CW105" s="47">
        <f t="shared" si="72"/>
        <v>0</v>
      </c>
      <c r="CX105" s="47">
        <f t="shared" si="73"/>
        <v>0</v>
      </c>
      <c r="CY105" s="47">
        <f t="shared" si="74"/>
        <v>0</v>
      </c>
      <c r="CZ105" s="47">
        <f t="shared" si="75"/>
        <v>0</v>
      </c>
      <c r="DA105" s="47">
        <f t="shared" si="76"/>
        <v>0</v>
      </c>
      <c r="DB105" s="47">
        <f t="shared" si="77"/>
        <v>0</v>
      </c>
      <c r="DC105" s="47">
        <f t="shared" si="61"/>
        <v>0</v>
      </c>
      <c r="DD105" s="47">
        <f t="shared" si="49"/>
        <v>0</v>
      </c>
      <c r="DE105" s="47">
        <f t="shared" si="47"/>
        <v>0</v>
      </c>
      <c r="DF105" s="47">
        <f t="shared" si="50"/>
        <v>0</v>
      </c>
      <c r="DG105" s="47">
        <f t="shared" si="51"/>
        <v>0</v>
      </c>
      <c r="DH105" s="47">
        <f t="shared" si="52"/>
        <v>0</v>
      </c>
      <c r="DI105" s="47"/>
      <c r="DJ105" s="47"/>
      <c r="DK105" s="47"/>
      <c r="DL105" s="47"/>
      <c r="DM105" s="47"/>
      <c r="DN105" s="47"/>
      <c r="DO105" s="47"/>
      <c r="DP105" s="47"/>
      <c r="DQ105">
        <f t="shared" si="53"/>
        <v>0</v>
      </c>
      <c r="DR105">
        <f t="shared" si="69"/>
        <v>0</v>
      </c>
      <c r="DS105">
        <f t="shared" si="62"/>
        <v>0</v>
      </c>
      <c r="DT105">
        <f t="shared" si="63"/>
        <v>0</v>
      </c>
      <c r="DW105" s="111">
        <f t="shared" si="64"/>
        <v>14000</v>
      </c>
      <c r="DX105" s="112">
        <v>7</v>
      </c>
      <c r="DY105" s="89">
        <f>E105*0.77</f>
        <v>5409.25</v>
      </c>
      <c r="DZ105" s="89">
        <f>E105*0.77</f>
        <v>5409.25</v>
      </c>
      <c r="EA105" s="81"/>
      <c r="EB105" s="113">
        <f t="shared" si="67"/>
        <v>0</v>
      </c>
      <c r="EC105" s="6"/>
      <c r="ED105" s="6"/>
      <c r="EE105" s="6"/>
      <c r="EF105" s="6"/>
      <c r="EG105" s="209"/>
      <c r="EH105" s="80"/>
      <c r="EI105" s="82" t="str">
        <f t="shared" si="66"/>
        <v/>
      </c>
      <c r="FI105" s="6">
        <v>2.08</v>
      </c>
      <c r="FJ105" s="6">
        <v>0.06</v>
      </c>
      <c r="FK105" s="7">
        <f>SUM(FI105:FJ105)/100*K105</f>
        <v>2.0758000000000001</v>
      </c>
      <c r="FM105" s="80" t="e">
        <f t="shared" si="56"/>
        <v>#DIV/0!</v>
      </c>
      <c r="FN105" s="80" t="e">
        <f t="shared" si="57"/>
        <v>#DIV/0!</v>
      </c>
      <c r="FO105" s="115" t="e">
        <f t="shared" si="58"/>
        <v>#DIV/0!</v>
      </c>
      <c r="FP105" s="115" t="e">
        <f t="shared" si="59"/>
        <v>#DIV/0!</v>
      </c>
      <c r="FQ105" s="116" t="e">
        <f t="shared" si="60"/>
        <v>#DIV/0!</v>
      </c>
    </row>
    <row r="106" spans="1:173" x14ac:dyDescent="0.25">
      <c r="A106" s="61">
        <v>101</v>
      </c>
      <c r="B106" t="s">
        <v>322</v>
      </c>
      <c r="D106">
        <v>8754</v>
      </c>
      <c r="E106">
        <v>8579</v>
      </c>
      <c r="F106">
        <v>7549</v>
      </c>
      <c r="K106">
        <v>97</v>
      </c>
      <c r="M106">
        <v>0</v>
      </c>
      <c r="AD106" s="9">
        <v>73.72</v>
      </c>
      <c r="CF106" s="2">
        <v>0</v>
      </c>
      <c r="CH106" s="47">
        <v>0</v>
      </c>
      <c r="CI106" s="47">
        <v>0</v>
      </c>
      <c r="CJ106" s="47">
        <v>0</v>
      </c>
      <c r="CK106" s="47">
        <v>0</v>
      </c>
      <c r="CL106" s="47">
        <v>0</v>
      </c>
      <c r="CM106" s="47">
        <v>0</v>
      </c>
      <c r="CN106" s="47">
        <v>0</v>
      </c>
      <c r="CO106" s="47">
        <v>0</v>
      </c>
      <c r="CP106" s="47">
        <v>0</v>
      </c>
      <c r="CQ106" s="47">
        <v>0</v>
      </c>
      <c r="CR106" s="47">
        <v>0</v>
      </c>
      <c r="CS106" s="47">
        <v>0</v>
      </c>
      <c r="CT106" s="47">
        <v>0</v>
      </c>
      <c r="CU106" s="47"/>
      <c r="CV106" s="47">
        <v>0</v>
      </c>
      <c r="CW106" s="47">
        <f t="shared" si="72"/>
        <v>0</v>
      </c>
      <c r="CX106" s="47">
        <f t="shared" si="73"/>
        <v>0</v>
      </c>
      <c r="CY106" s="47">
        <f t="shared" si="74"/>
        <v>0</v>
      </c>
      <c r="CZ106" s="47">
        <f t="shared" si="75"/>
        <v>0</v>
      </c>
      <c r="DA106" s="47">
        <f t="shared" si="76"/>
        <v>0</v>
      </c>
      <c r="DB106" s="47">
        <f t="shared" si="77"/>
        <v>0</v>
      </c>
      <c r="DC106" s="47">
        <f t="shared" si="61"/>
        <v>0</v>
      </c>
      <c r="DD106" s="47">
        <f t="shared" si="49"/>
        <v>0</v>
      </c>
      <c r="DE106" s="47">
        <f t="shared" si="47"/>
        <v>0</v>
      </c>
      <c r="DF106" s="47">
        <f t="shared" si="50"/>
        <v>0</v>
      </c>
      <c r="DG106" s="47">
        <f t="shared" si="51"/>
        <v>0</v>
      </c>
      <c r="DH106" s="47">
        <f t="shared" si="52"/>
        <v>0</v>
      </c>
      <c r="DI106" s="47"/>
      <c r="DJ106" s="47"/>
      <c r="DK106" s="47"/>
      <c r="DL106" s="47"/>
      <c r="DM106" s="47"/>
      <c r="DN106" s="47"/>
      <c r="DO106" s="47"/>
      <c r="DP106" s="47"/>
      <c r="DQ106">
        <f t="shared" si="53"/>
        <v>0</v>
      </c>
      <c r="DR106">
        <f t="shared" si="69"/>
        <v>0</v>
      </c>
      <c r="DS106">
        <f t="shared" si="62"/>
        <v>0</v>
      </c>
      <c r="DT106">
        <f t="shared" si="63"/>
        <v>0</v>
      </c>
      <c r="DW106" s="111">
        <f t="shared" si="64"/>
        <v>14000</v>
      </c>
      <c r="DX106" s="112">
        <v>7</v>
      </c>
      <c r="DY106" s="89">
        <f>E106*0.77</f>
        <v>6605.83</v>
      </c>
      <c r="DZ106" s="89">
        <f>E106*0.77</f>
        <v>6605.83</v>
      </c>
      <c r="EA106" s="81"/>
      <c r="EB106" s="113">
        <f t="shared" si="67"/>
        <v>0</v>
      </c>
      <c r="EC106" s="6"/>
      <c r="ED106" s="6"/>
      <c r="EE106" s="6"/>
      <c r="EF106" s="6"/>
      <c r="EG106" s="208"/>
      <c r="EH106" s="6"/>
      <c r="EI106" s="82" t="str">
        <f t="shared" si="66"/>
        <v/>
      </c>
      <c r="FI106">
        <v>56.21</v>
      </c>
      <c r="FJ106">
        <v>1.22</v>
      </c>
      <c r="FK106" s="7">
        <f>SUM(FI106:FJ106)/100*K106</f>
        <v>55.707100000000004</v>
      </c>
      <c r="FM106" s="80" t="e">
        <f t="shared" si="56"/>
        <v>#DIV/0!</v>
      </c>
      <c r="FN106" s="80" t="e">
        <f t="shared" si="57"/>
        <v>#DIV/0!</v>
      </c>
      <c r="FO106" s="115" t="e">
        <f t="shared" si="58"/>
        <v>#DIV/0!</v>
      </c>
      <c r="FP106" s="115" t="e">
        <f t="shared" si="59"/>
        <v>#DIV/0!</v>
      </c>
      <c r="FQ106" s="116" t="e">
        <f t="shared" si="60"/>
        <v>#DIV/0!</v>
      </c>
    </row>
    <row r="107" spans="1:173" x14ac:dyDescent="0.25">
      <c r="A107" s="61">
        <v>106</v>
      </c>
      <c r="B107" t="s">
        <v>323</v>
      </c>
      <c r="D107">
        <v>7265</v>
      </c>
      <c r="E107">
        <v>7119</v>
      </c>
      <c r="F107">
        <v>6265</v>
      </c>
      <c r="K107">
        <v>97</v>
      </c>
      <c r="M107">
        <v>0</v>
      </c>
      <c r="AD107" s="9">
        <v>73.72</v>
      </c>
      <c r="CF107" s="2">
        <v>0</v>
      </c>
      <c r="CH107" s="47">
        <v>0</v>
      </c>
      <c r="CI107" s="47">
        <v>0</v>
      </c>
      <c r="CJ107" s="47">
        <v>0</v>
      </c>
      <c r="CK107" s="47">
        <v>0</v>
      </c>
      <c r="CL107" s="47">
        <v>0</v>
      </c>
      <c r="CM107" s="47">
        <v>0</v>
      </c>
      <c r="CN107" s="47">
        <v>0</v>
      </c>
      <c r="CO107" s="47">
        <v>0</v>
      </c>
      <c r="CP107" s="47">
        <v>0</v>
      </c>
      <c r="CQ107" s="47">
        <v>0</v>
      </c>
      <c r="CR107" s="47">
        <v>0</v>
      </c>
      <c r="CS107" s="47">
        <v>0</v>
      </c>
      <c r="CT107" s="47">
        <v>0</v>
      </c>
      <c r="CU107" s="47"/>
      <c r="CV107" s="47">
        <v>0</v>
      </c>
      <c r="CW107" s="47">
        <f t="shared" si="72"/>
        <v>0</v>
      </c>
      <c r="CX107" s="47">
        <f t="shared" si="73"/>
        <v>0</v>
      </c>
      <c r="CY107" s="47">
        <f t="shared" si="74"/>
        <v>0</v>
      </c>
      <c r="CZ107" s="47">
        <f t="shared" si="75"/>
        <v>0</v>
      </c>
      <c r="DA107" s="47">
        <f t="shared" si="76"/>
        <v>0</v>
      </c>
      <c r="DB107" s="47">
        <f t="shared" si="77"/>
        <v>0</v>
      </c>
      <c r="DC107" s="47">
        <f t="shared" si="61"/>
        <v>0</v>
      </c>
      <c r="DD107" s="47">
        <f t="shared" si="49"/>
        <v>0</v>
      </c>
      <c r="DE107" s="47">
        <f t="shared" si="47"/>
        <v>0</v>
      </c>
      <c r="DF107" s="47">
        <f t="shared" si="50"/>
        <v>0</v>
      </c>
      <c r="DG107" s="47">
        <f t="shared" si="51"/>
        <v>0</v>
      </c>
      <c r="DH107" s="47">
        <f t="shared" si="52"/>
        <v>0</v>
      </c>
      <c r="DI107" s="47"/>
      <c r="DJ107" s="47"/>
      <c r="DK107" s="47"/>
      <c r="DL107" s="47"/>
      <c r="DM107" s="47"/>
      <c r="DN107" s="47"/>
      <c r="DO107" s="47"/>
      <c r="DP107" s="47"/>
      <c r="DQ107">
        <f t="shared" si="53"/>
        <v>0</v>
      </c>
      <c r="DR107">
        <f t="shared" si="69"/>
        <v>0</v>
      </c>
      <c r="DS107">
        <f t="shared" si="62"/>
        <v>0</v>
      </c>
      <c r="DT107">
        <f t="shared" si="63"/>
        <v>0</v>
      </c>
      <c r="DW107" s="111">
        <f t="shared" si="64"/>
        <v>0</v>
      </c>
      <c r="DX107" s="112">
        <v>0</v>
      </c>
      <c r="DY107" s="89">
        <f>E107*0.77</f>
        <v>5481.63</v>
      </c>
      <c r="DZ107" s="89">
        <f>E107*0.77</f>
        <v>5481.63</v>
      </c>
      <c r="EA107" s="81"/>
      <c r="EB107" s="113">
        <f t="shared" si="67"/>
        <v>0</v>
      </c>
      <c r="EC107" s="6"/>
      <c r="ED107" s="6"/>
      <c r="EE107" s="6"/>
      <c r="EF107" s="6"/>
      <c r="EG107" s="208"/>
      <c r="EH107" s="6"/>
      <c r="EI107" s="82" t="str">
        <f t="shared" si="66"/>
        <v/>
      </c>
      <c r="FI107" s="6">
        <v>10.99</v>
      </c>
      <c r="FJ107" s="6">
        <v>0.43</v>
      </c>
      <c r="FK107" s="7">
        <f>SUM(FI107:FJ107)/100*K107</f>
        <v>11.077399999999999</v>
      </c>
      <c r="FM107" s="80" t="e">
        <f t="shared" si="56"/>
        <v>#DIV/0!</v>
      </c>
      <c r="FN107" s="80" t="e">
        <f t="shared" si="57"/>
        <v>#DIV/0!</v>
      </c>
      <c r="FO107" s="115" t="e">
        <f t="shared" si="58"/>
        <v>#DIV/0!</v>
      </c>
      <c r="FP107" s="115" t="e">
        <f t="shared" si="59"/>
        <v>#DIV/0!</v>
      </c>
      <c r="FQ107" s="116" t="e">
        <f t="shared" si="60"/>
        <v>#DIV/0!</v>
      </c>
    </row>
    <row r="108" spans="1:173" x14ac:dyDescent="0.25">
      <c r="A108" s="61">
        <v>110</v>
      </c>
      <c r="B108" t="s">
        <v>64</v>
      </c>
      <c r="D108">
        <v>8749</v>
      </c>
      <c r="E108">
        <v>8574</v>
      </c>
      <c r="F108">
        <v>7545</v>
      </c>
      <c r="K108">
        <v>97</v>
      </c>
      <c r="M108">
        <v>0</v>
      </c>
      <c r="AD108" s="9">
        <v>73.72</v>
      </c>
      <c r="CF108" s="2">
        <v>0</v>
      </c>
      <c r="CH108" s="47">
        <v>0</v>
      </c>
      <c r="CI108" s="47">
        <v>0</v>
      </c>
      <c r="CJ108" s="47">
        <v>0</v>
      </c>
      <c r="CK108" s="47">
        <v>0</v>
      </c>
      <c r="CL108" s="47">
        <v>0</v>
      </c>
      <c r="CM108" s="47">
        <v>0</v>
      </c>
      <c r="CN108" s="47">
        <v>0</v>
      </c>
      <c r="CO108" s="47">
        <v>0</v>
      </c>
      <c r="CP108" s="47">
        <v>0</v>
      </c>
      <c r="CQ108" s="47">
        <v>0</v>
      </c>
      <c r="CR108" s="47">
        <v>0</v>
      </c>
      <c r="CS108" s="47">
        <v>0</v>
      </c>
      <c r="CT108" s="47">
        <v>0</v>
      </c>
      <c r="CU108" s="47"/>
      <c r="CV108" s="47">
        <v>0</v>
      </c>
      <c r="CW108" s="47">
        <f t="shared" si="72"/>
        <v>0</v>
      </c>
      <c r="CX108" s="47">
        <f t="shared" si="73"/>
        <v>0</v>
      </c>
      <c r="CY108" s="47">
        <f t="shared" si="74"/>
        <v>0</v>
      </c>
      <c r="CZ108" s="47">
        <f t="shared" si="75"/>
        <v>0</v>
      </c>
      <c r="DA108" s="47">
        <f t="shared" si="76"/>
        <v>0</v>
      </c>
      <c r="DB108" s="47">
        <f t="shared" si="77"/>
        <v>0</v>
      </c>
      <c r="DC108" s="47">
        <f t="shared" si="61"/>
        <v>0</v>
      </c>
      <c r="DD108" s="47">
        <f t="shared" si="49"/>
        <v>0</v>
      </c>
      <c r="DE108" s="47">
        <f t="shared" si="47"/>
        <v>0</v>
      </c>
      <c r="DF108" s="47">
        <f t="shared" si="50"/>
        <v>0</v>
      </c>
      <c r="DG108" s="47">
        <f t="shared" si="51"/>
        <v>0</v>
      </c>
      <c r="DH108" s="47">
        <f t="shared" si="52"/>
        <v>0</v>
      </c>
      <c r="DI108" s="47"/>
      <c r="DJ108" s="47"/>
      <c r="DK108" s="47"/>
      <c r="DL108" s="47"/>
      <c r="DM108" s="47"/>
      <c r="DN108" s="47"/>
      <c r="DO108" s="47"/>
      <c r="DP108" s="47"/>
      <c r="DQ108">
        <f t="shared" si="53"/>
        <v>0</v>
      </c>
      <c r="DR108">
        <f t="shared" si="69"/>
        <v>0</v>
      </c>
      <c r="DS108">
        <f t="shared" si="62"/>
        <v>0</v>
      </c>
      <c r="DT108">
        <f t="shared" si="63"/>
        <v>0</v>
      </c>
      <c r="DV108" s="110"/>
      <c r="DW108" s="111">
        <f t="shared" si="64"/>
        <v>760</v>
      </c>
      <c r="DX108" s="112">
        <v>0.38</v>
      </c>
      <c r="DY108" s="94">
        <v>7110</v>
      </c>
      <c r="DZ108" s="94">
        <v>7110</v>
      </c>
      <c r="EA108" s="124">
        <v>0</v>
      </c>
      <c r="EB108" s="113">
        <f t="shared" si="67"/>
        <v>0</v>
      </c>
      <c r="EC108" s="6">
        <v>17.5</v>
      </c>
      <c r="ED108" s="92">
        <v>0</v>
      </c>
      <c r="EE108" s="92">
        <v>0</v>
      </c>
      <c r="EF108" s="92"/>
      <c r="EG108" s="207"/>
      <c r="EH108" s="6">
        <v>750</v>
      </c>
      <c r="EI108" s="82" t="str">
        <f t="shared" si="66"/>
        <v/>
      </c>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v>53.1</v>
      </c>
      <c r="FJ108">
        <v>7.4</v>
      </c>
      <c r="FK108" s="7">
        <f>SUM(FI108:FJ108)/100*K108</f>
        <v>58.684999999999995</v>
      </c>
      <c r="FM108" s="80" t="e">
        <f t="shared" si="56"/>
        <v>#DIV/0!</v>
      </c>
      <c r="FN108" s="80" t="e">
        <f t="shared" si="57"/>
        <v>#DIV/0!</v>
      </c>
      <c r="FO108" s="115" t="e">
        <f t="shared" si="58"/>
        <v>#DIV/0!</v>
      </c>
      <c r="FP108" s="115" t="e">
        <f t="shared" si="59"/>
        <v>#DIV/0!</v>
      </c>
      <c r="FQ108" s="116" t="e">
        <f t="shared" si="60"/>
        <v>#DIV/0!</v>
      </c>
    </row>
    <row r="109" spans="1:173" x14ac:dyDescent="0.25">
      <c r="A109" s="61">
        <v>111</v>
      </c>
      <c r="B109" t="s">
        <v>324</v>
      </c>
      <c r="D109">
        <v>8701</v>
      </c>
      <c r="E109">
        <v>8527</v>
      </c>
      <c r="F109">
        <v>7504</v>
      </c>
      <c r="K109">
        <v>97</v>
      </c>
      <c r="M109">
        <v>0</v>
      </c>
      <c r="AD109" s="9">
        <v>73.72</v>
      </c>
      <c r="CF109" s="2">
        <v>0</v>
      </c>
      <c r="CH109" s="47">
        <v>0</v>
      </c>
      <c r="CI109" s="47">
        <v>0</v>
      </c>
      <c r="CJ109" s="47">
        <v>0</v>
      </c>
      <c r="CK109" s="47">
        <v>0</v>
      </c>
      <c r="CL109" s="47">
        <v>0</v>
      </c>
      <c r="CM109" s="47">
        <v>0</v>
      </c>
      <c r="CN109" s="47">
        <v>0</v>
      </c>
      <c r="CO109" s="47">
        <v>0</v>
      </c>
      <c r="CP109" s="47">
        <v>0</v>
      </c>
      <c r="CQ109" s="47">
        <v>0</v>
      </c>
      <c r="CR109" s="47">
        <v>0</v>
      </c>
      <c r="CS109" s="47">
        <v>0</v>
      </c>
      <c r="CT109" s="47">
        <v>0</v>
      </c>
      <c r="CU109" s="47"/>
      <c r="CV109" s="47">
        <v>0</v>
      </c>
      <c r="CW109" s="47">
        <f t="shared" si="72"/>
        <v>0</v>
      </c>
      <c r="CX109" s="47">
        <f t="shared" si="73"/>
        <v>0</v>
      </c>
      <c r="CY109" s="47">
        <f t="shared" si="74"/>
        <v>0</v>
      </c>
      <c r="CZ109" s="47">
        <f t="shared" si="75"/>
        <v>0</v>
      </c>
      <c r="DA109" s="47">
        <f t="shared" si="76"/>
        <v>0</v>
      </c>
      <c r="DB109" s="47">
        <f t="shared" si="77"/>
        <v>0</v>
      </c>
      <c r="DC109" s="47">
        <f t="shared" si="61"/>
        <v>0</v>
      </c>
      <c r="DD109" s="47">
        <f t="shared" si="49"/>
        <v>0</v>
      </c>
      <c r="DE109" s="47">
        <f t="shared" si="47"/>
        <v>0</v>
      </c>
      <c r="DF109" s="47">
        <f t="shared" si="50"/>
        <v>0</v>
      </c>
      <c r="DG109" s="47">
        <f t="shared" si="51"/>
        <v>0</v>
      </c>
      <c r="DH109" s="47">
        <f t="shared" si="52"/>
        <v>0</v>
      </c>
      <c r="DI109" s="47"/>
      <c r="DJ109" s="47"/>
      <c r="DK109" s="47"/>
      <c r="DL109" s="47"/>
      <c r="DM109" s="47"/>
      <c r="DN109" s="47"/>
      <c r="DO109" s="47"/>
      <c r="DP109" s="47"/>
      <c r="DQ109">
        <f t="shared" si="53"/>
        <v>0</v>
      </c>
      <c r="DR109">
        <f t="shared" si="69"/>
        <v>0</v>
      </c>
      <c r="DS109">
        <f t="shared" si="62"/>
        <v>0</v>
      </c>
      <c r="DT109">
        <f t="shared" si="63"/>
        <v>0</v>
      </c>
      <c r="DV109" s="110"/>
      <c r="DW109" s="111">
        <f t="shared" si="64"/>
        <v>1400</v>
      </c>
      <c r="DX109" s="112">
        <v>0.7</v>
      </c>
      <c r="DY109" s="93">
        <f>1427*2.2046</f>
        <v>3145.9642000000003</v>
      </c>
      <c r="DZ109" s="93">
        <f>DY109</f>
        <v>3145.9642000000003</v>
      </c>
      <c r="EA109" s="81">
        <v>1</v>
      </c>
      <c r="EB109" s="113">
        <f t="shared" si="67"/>
        <v>0</v>
      </c>
      <c r="EC109" s="92"/>
      <c r="ED109" s="92"/>
      <c r="EE109" s="92"/>
      <c r="EF109" s="92"/>
      <c r="EG109" s="207"/>
      <c r="EH109" s="92"/>
      <c r="EI109" s="82" t="str">
        <f t="shared" si="66"/>
        <v/>
      </c>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7"/>
      <c r="FL109" s="6"/>
      <c r="FM109" s="80" t="e">
        <f t="shared" si="56"/>
        <v>#DIV/0!</v>
      </c>
      <c r="FN109" s="80" t="e">
        <f t="shared" si="57"/>
        <v>#DIV/0!</v>
      </c>
      <c r="FO109" s="115" t="e">
        <f t="shared" si="58"/>
        <v>#DIV/0!</v>
      </c>
      <c r="FP109" s="115" t="e">
        <f t="shared" si="59"/>
        <v>#DIV/0!</v>
      </c>
      <c r="FQ109" s="116" t="e">
        <f t="shared" si="60"/>
        <v>#DIV/0!</v>
      </c>
    </row>
    <row r="110" spans="1:173" x14ac:dyDescent="0.25">
      <c r="A110" s="61">
        <v>112</v>
      </c>
      <c r="B110" t="s">
        <v>325</v>
      </c>
      <c r="D110">
        <v>8760</v>
      </c>
      <c r="E110">
        <v>8585</v>
      </c>
      <c r="F110">
        <v>7555</v>
      </c>
      <c r="K110">
        <v>97</v>
      </c>
      <c r="M110">
        <v>0</v>
      </c>
      <c r="AD110" s="9">
        <v>73.72</v>
      </c>
      <c r="CF110" s="2">
        <v>0</v>
      </c>
      <c r="CH110" s="47">
        <v>0</v>
      </c>
      <c r="CI110" s="47">
        <v>0</v>
      </c>
      <c r="CJ110" s="47">
        <v>0</v>
      </c>
      <c r="CK110" s="47">
        <v>0</v>
      </c>
      <c r="CL110" s="47">
        <v>0</v>
      </c>
      <c r="CM110" s="47">
        <v>0</v>
      </c>
      <c r="CN110" s="47">
        <v>0</v>
      </c>
      <c r="CO110" s="47">
        <v>0</v>
      </c>
      <c r="CP110" s="47">
        <v>0</v>
      </c>
      <c r="CQ110" s="47">
        <v>0</v>
      </c>
      <c r="CR110" s="47">
        <v>0</v>
      </c>
      <c r="CS110" s="47">
        <v>0</v>
      </c>
      <c r="CT110" s="47">
        <v>0</v>
      </c>
      <c r="CU110" s="47"/>
      <c r="CV110" s="47">
        <v>0</v>
      </c>
      <c r="CW110" s="47">
        <f t="shared" si="72"/>
        <v>0</v>
      </c>
      <c r="CX110" s="47">
        <f t="shared" si="73"/>
        <v>0</v>
      </c>
      <c r="CY110" s="47">
        <f t="shared" si="74"/>
        <v>0</v>
      </c>
      <c r="CZ110" s="47">
        <f t="shared" si="75"/>
        <v>0</v>
      </c>
      <c r="DA110" s="47">
        <f t="shared" si="76"/>
        <v>0</v>
      </c>
      <c r="DB110" s="47">
        <f t="shared" si="77"/>
        <v>0</v>
      </c>
      <c r="DC110" s="47">
        <f t="shared" si="61"/>
        <v>0</v>
      </c>
      <c r="DD110" s="47">
        <f t="shared" si="49"/>
        <v>0</v>
      </c>
      <c r="DE110" s="47">
        <f t="shared" si="47"/>
        <v>0</v>
      </c>
      <c r="DF110" s="47">
        <f t="shared" si="50"/>
        <v>0</v>
      </c>
      <c r="DG110" s="47">
        <f t="shared" si="51"/>
        <v>0</v>
      </c>
      <c r="DH110" s="47">
        <f t="shared" si="52"/>
        <v>0</v>
      </c>
      <c r="DI110" s="47"/>
      <c r="DJ110" s="47"/>
      <c r="DK110" s="47"/>
      <c r="DL110" s="47"/>
      <c r="DM110" s="47"/>
      <c r="DN110" s="47"/>
      <c r="DO110" s="47"/>
      <c r="DP110" s="47"/>
      <c r="DQ110">
        <f t="shared" si="53"/>
        <v>0</v>
      </c>
      <c r="DR110">
        <f t="shared" si="69"/>
        <v>0</v>
      </c>
      <c r="DS110">
        <f t="shared" si="62"/>
        <v>0</v>
      </c>
      <c r="DT110">
        <f t="shared" si="63"/>
        <v>0</v>
      </c>
      <c r="DV110" s="110"/>
      <c r="DW110" s="111">
        <f t="shared" si="64"/>
        <v>1200</v>
      </c>
      <c r="DX110" s="112">
        <v>0.6</v>
      </c>
      <c r="DY110" s="93">
        <v>2640</v>
      </c>
      <c r="DZ110" s="93">
        <v>2640</v>
      </c>
      <c r="EA110" s="81"/>
      <c r="EB110" s="113">
        <f t="shared" si="67"/>
        <v>0</v>
      </c>
      <c r="EC110" s="92"/>
      <c r="ED110" s="92"/>
      <c r="EE110" s="92"/>
      <c r="EF110" s="92"/>
      <c r="EG110" s="207"/>
      <c r="EH110" s="92"/>
      <c r="EI110" s="82" t="str">
        <f t="shared" si="66"/>
        <v/>
      </c>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7"/>
      <c r="FL110" s="6"/>
      <c r="FM110" s="80" t="e">
        <f t="shared" si="56"/>
        <v>#DIV/0!</v>
      </c>
      <c r="FN110" s="80" t="e">
        <f t="shared" si="57"/>
        <v>#DIV/0!</v>
      </c>
      <c r="FO110" s="115" t="e">
        <f t="shared" si="58"/>
        <v>#DIV/0!</v>
      </c>
      <c r="FP110" s="115" t="e">
        <f t="shared" si="59"/>
        <v>#DIV/0!</v>
      </c>
      <c r="FQ110" s="116" t="e">
        <f t="shared" si="60"/>
        <v>#DIV/0!</v>
      </c>
    </row>
    <row r="111" spans="1:173" x14ac:dyDescent="0.25">
      <c r="A111" s="61">
        <v>113</v>
      </c>
      <c r="B111" t="s">
        <v>326</v>
      </c>
      <c r="D111">
        <v>8393</v>
      </c>
      <c r="E111">
        <v>8225</v>
      </c>
      <c r="F111">
        <v>7238</v>
      </c>
      <c r="K111">
        <v>97</v>
      </c>
      <c r="M111">
        <v>0</v>
      </c>
      <c r="AD111" s="9">
        <v>73.72</v>
      </c>
      <c r="CF111" s="2">
        <v>0</v>
      </c>
      <c r="CH111" s="47">
        <v>0</v>
      </c>
      <c r="CI111" s="47">
        <v>0</v>
      </c>
      <c r="CJ111" s="47">
        <v>0</v>
      </c>
      <c r="CK111" s="47">
        <v>0</v>
      </c>
      <c r="CL111" s="47">
        <v>0</v>
      </c>
      <c r="CM111" s="47">
        <v>0</v>
      </c>
      <c r="CN111" s="47">
        <v>0</v>
      </c>
      <c r="CO111" s="47">
        <v>0</v>
      </c>
      <c r="CP111" s="47">
        <v>0</v>
      </c>
      <c r="CQ111" s="47">
        <v>0</v>
      </c>
      <c r="CR111" s="47">
        <v>0</v>
      </c>
      <c r="CS111" s="47">
        <v>0</v>
      </c>
      <c r="CT111" s="47">
        <v>0</v>
      </c>
      <c r="CU111" s="47"/>
      <c r="CV111" s="47">
        <v>0</v>
      </c>
      <c r="CW111" s="47">
        <f t="shared" si="72"/>
        <v>0</v>
      </c>
      <c r="CX111" s="47">
        <f t="shared" si="73"/>
        <v>0</v>
      </c>
      <c r="CY111" s="47">
        <f t="shared" si="74"/>
        <v>0</v>
      </c>
      <c r="CZ111" s="47">
        <f t="shared" si="75"/>
        <v>0</v>
      </c>
      <c r="DA111" s="47">
        <f t="shared" si="76"/>
        <v>0</v>
      </c>
      <c r="DB111" s="47">
        <f t="shared" si="77"/>
        <v>0</v>
      </c>
      <c r="DC111" s="47">
        <f t="shared" si="61"/>
        <v>0</v>
      </c>
      <c r="DD111" s="47">
        <f t="shared" si="49"/>
        <v>0</v>
      </c>
      <c r="DE111" s="47">
        <f t="shared" si="47"/>
        <v>0</v>
      </c>
      <c r="DF111" s="47">
        <f t="shared" si="50"/>
        <v>0</v>
      </c>
      <c r="DG111" s="47">
        <f t="shared" si="51"/>
        <v>0</v>
      </c>
      <c r="DH111" s="47">
        <f t="shared" si="52"/>
        <v>0</v>
      </c>
      <c r="DI111" s="47"/>
      <c r="DJ111" s="47"/>
      <c r="DK111" s="47"/>
      <c r="DL111" s="47"/>
      <c r="DM111" s="47"/>
      <c r="DN111" s="47"/>
      <c r="DO111" s="47"/>
      <c r="DP111" s="47"/>
      <c r="DQ111">
        <f t="shared" si="53"/>
        <v>0</v>
      </c>
      <c r="DR111">
        <f t="shared" si="69"/>
        <v>0</v>
      </c>
      <c r="DS111">
        <f t="shared" si="62"/>
        <v>0</v>
      </c>
      <c r="DT111">
        <f t="shared" si="63"/>
        <v>0</v>
      </c>
      <c r="DV111" s="110"/>
      <c r="DW111" s="111">
        <f t="shared" si="64"/>
        <v>4400</v>
      </c>
      <c r="DX111" s="112">
        <v>2.2000000000000002</v>
      </c>
      <c r="DY111" s="94">
        <f>0.77*E111</f>
        <v>6333.25</v>
      </c>
      <c r="DZ111" s="94">
        <f>0.77*E111</f>
        <v>6333.25</v>
      </c>
      <c r="EA111" s="81"/>
      <c r="EB111" s="113">
        <f t="shared" si="67"/>
        <v>0</v>
      </c>
      <c r="EC111" s="92"/>
      <c r="ED111" s="92"/>
      <c r="EE111" s="92"/>
      <c r="EF111" s="92"/>
      <c r="EG111" s="207"/>
      <c r="EH111" s="92"/>
      <c r="EI111" s="82" t="str">
        <f t="shared" si="66"/>
        <v/>
      </c>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v>34.67</v>
      </c>
      <c r="FJ111" s="6">
        <v>0</v>
      </c>
      <c r="FK111" s="7">
        <f>SUM(FI111:FJ111)/100*K111</f>
        <v>33.629899999999999</v>
      </c>
      <c r="FL111" s="6"/>
      <c r="FM111" s="80" t="e">
        <f t="shared" si="56"/>
        <v>#DIV/0!</v>
      </c>
      <c r="FN111" s="80" t="e">
        <f t="shared" si="57"/>
        <v>#DIV/0!</v>
      </c>
      <c r="FO111" s="115" t="e">
        <f t="shared" si="58"/>
        <v>#DIV/0!</v>
      </c>
      <c r="FP111" s="115" t="e">
        <f t="shared" si="59"/>
        <v>#DIV/0!</v>
      </c>
      <c r="FQ111" s="116" t="e">
        <f t="shared" si="60"/>
        <v>#DIV/0!</v>
      </c>
    </row>
    <row r="112" spans="1:173" x14ac:dyDescent="0.25">
      <c r="A112" s="61">
        <v>114</v>
      </c>
      <c r="B112" t="s">
        <v>327</v>
      </c>
      <c r="AD112" s="9">
        <v>0</v>
      </c>
      <c r="BS112">
        <v>38.5</v>
      </c>
      <c r="BT112">
        <v>0.02</v>
      </c>
      <c r="BU112">
        <v>0.08</v>
      </c>
      <c r="BV112">
        <v>1.61</v>
      </c>
      <c r="BW112">
        <v>0.08</v>
      </c>
      <c r="BX112">
        <v>0.02</v>
      </c>
      <c r="BY112">
        <v>0.08</v>
      </c>
      <c r="CD112">
        <v>64</v>
      </c>
      <c r="CE112">
        <v>71</v>
      </c>
      <c r="CF112" s="2">
        <v>0</v>
      </c>
      <c r="CH112" s="47">
        <v>0</v>
      </c>
      <c r="CI112" s="47">
        <v>0</v>
      </c>
      <c r="CJ112" s="47">
        <v>0</v>
      </c>
      <c r="CK112" s="47">
        <v>0</v>
      </c>
      <c r="CL112" s="47">
        <v>0</v>
      </c>
      <c r="CM112" s="47">
        <v>0</v>
      </c>
      <c r="CN112" s="47">
        <v>0</v>
      </c>
      <c r="CO112" s="47">
        <v>0</v>
      </c>
      <c r="CP112" s="47">
        <v>0</v>
      </c>
      <c r="CQ112" s="47">
        <v>0</v>
      </c>
      <c r="CR112" s="47">
        <v>0</v>
      </c>
      <c r="CS112" s="47">
        <v>0</v>
      </c>
      <c r="CT112" s="47">
        <v>0</v>
      </c>
      <c r="CU112" s="47"/>
      <c r="CV112" s="47">
        <v>0</v>
      </c>
      <c r="CW112" s="47">
        <f t="shared" si="72"/>
        <v>0</v>
      </c>
      <c r="CX112" s="47">
        <f t="shared" si="73"/>
        <v>0</v>
      </c>
      <c r="CY112" s="47">
        <f t="shared" si="74"/>
        <v>0</v>
      </c>
      <c r="CZ112" s="47">
        <f t="shared" si="75"/>
        <v>0</v>
      </c>
      <c r="DA112" s="47">
        <f t="shared" si="76"/>
        <v>0</v>
      </c>
      <c r="DB112" s="47">
        <f t="shared" si="77"/>
        <v>0</v>
      </c>
      <c r="DC112" s="47">
        <f t="shared" si="61"/>
        <v>0</v>
      </c>
      <c r="DD112" s="47">
        <f t="shared" si="49"/>
        <v>0</v>
      </c>
      <c r="DE112" s="47">
        <f t="shared" si="47"/>
        <v>0</v>
      </c>
      <c r="DF112" s="47">
        <f t="shared" si="50"/>
        <v>0</v>
      </c>
      <c r="DG112" s="47">
        <f t="shared" si="51"/>
        <v>0</v>
      </c>
      <c r="DH112" s="47">
        <f t="shared" si="52"/>
        <v>0</v>
      </c>
      <c r="DI112" s="47"/>
      <c r="DJ112" s="47"/>
      <c r="DK112" s="47"/>
      <c r="DL112" s="47"/>
      <c r="DM112" s="47"/>
      <c r="DN112" s="47"/>
      <c r="DO112" s="47"/>
      <c r="DP112" s="47"/>
      <c r="DQ112">
        <f t="shared" si="53"/>
        <v>0</v>
      </c>
      <c r="DR112">
        <f t="shared" si="69"/>
        <v>0</v>
      </c>
      <c r="DS112">
        <f t="shared" si="62"/>
        <v>24.64</v>
      </c>
      <c r="DT112">
        <f t="shared" si="63"/>
        <v>27.335000000000001</v>
      </c>
      <c r="DV112" s="110"/>
      <c r="DW112" s="111">
        <f t="shared" si="64"/>
        <v>87</v>
      </c>
      <c r="DX112" s="112">
        <f>'DDGS Calculator'!D8/2000</f>
        <v>4.3499999999999997E-2</v>
      </c>
      <c r="DY112" s="94"/>
      <c r="DZ112" s="94"/>
      <c r="EA112" s="81"/>
      <c r="EB112" s="113">
        <f t="shared" si="67"/>
        <v>0</v>
      </c>
      <c r="EC112" s="92"/>
      <c r="ED112" s="92"/>
      <c r="EE112" s="92"/>
      <c r="EF112" s="92"/>
      <c r="EG112" s="207"/>
      <c r="EH112" s="92"/>
      <c r="EI112" s="82" t="str">
        <f t="shared" si="66"/>
        <v/>
      </c>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80" t="e">
        <f t="shared" si="56"/>
        <v>#DIV/0!</v>
      </c>
      <c r="FN112" s="80" t="e">
        <f t="shared" si="57"/>
        <v>#DIV/0!</v>
      </c>
      <c r="FO112" s="115" t="e">
        <f t="shared" si="58"/>
        <v>#DIV/0!</v>
      </c>
      <c r="FP112" s="115" t="e">
        <f t="shared" si="59"/>
        <v>#DIV/0!</v>
      </c>
      <c r="FQ112" s="116" t="e">
        <f t="shared" si="60"/>
        <v>#DIV/0!</v>
      </c>
    </row>
    <row r="113" spans="1:173" x14ac:dyDescent="0.25">
      <c r="A113" s="61">
        <v>115</v>
      </c>
      <c r="B113" t="s">
        <v>328</v>
      </c>
      <c r="AD113" s="9">
        <v>0</v>
      </c>
      <c r="BS113">
        <v>34.200000000000003</v>
      </c>
      <c r="BV113">
        <v>0.4</v>
      </c>
      <c r="BW113">
        <v>6</v>
      </c>
      <c r="BX113">
        <v>17.7</v>
      </c>
      <c r="BY113">
        <v>0</v>
      </c>
      <c r="CB113">
        <v>48</v>
      </c>
      <c r="CC113">
        <v>53.4</v>
      </c>
      <c r="CF113" s="2">
        <v>0</v>
      </c>
      <c r="CH113" s="47">
        <v>0</v>
      </c>
      <c r="CI113" s="47">
        <v>0</v>
      </c>
      <c r="CJ113" s="47">
        <v>0</v>
      </c>
      <c r="CK113" s="47">
        <v>0</v>
      </c>
      <c r="CL113" s="47">
        <v>0</v>
      </c>
      <c r="CM113" s="47">
        <v>0</v>
      </c>
      <c r="CN113" s="47">
        <v>0</v>
      </c>
      <c r="CO113" s="47">
        <v>0</v>
      </c>
      <c r="CP113" s="47">
        <v>0</v>
      </c>
      <c r="CQ113" s="47">
        <v>0</v>
      </c>
      <c r="CR113" s="47">
        <v>0</v>
      </c>
      <c r="CS113" s="47">
        <v>0</v>
      </c>
      <c r="CT113" s="47">
        <v>0</v>
      </c>
      <c r="CU113" s="47"/>
      <c r="CV113" s="47">
        <v>0</v>
      </c>
      <c r="CW113" s="47">
        <f t="shared" si="72"/>
        <v>0</v>
      </c>
      <c r="CX113" s="47">
        <f t="shared" si="73"/>
        <v>0</v>
      </c>
      <c r="CY113" s="47">
        <f t="shared" si="74"/>
        <v>0</v>
      </c>
      <c r="CZ113" s="47">
        <f t="shared" si="75"/>
        <v>0</v>
      </c>
      <c r="DA113" s="47">
        <f t="shared" si="76"/>
        <v>0</v>
      </c>
      <c r="DB113" s="47">
        <f t="shared" si="77"/>
        <v>0</v>
      </c>
      <c r="DC113" s="47">
        <f t="shared" si="61"/>
        <v>0</v>
      </c>
      <c r="DD113" s="47">
        <f t="shared" si="49"/>
        <v>0</v>
      </c>
      <c r="DE113" s="47">
        <f t="shared" si="47"/>
        <v>0</v>
      </c>
      <c r="DF113" s="47">
        <f t="shared" si="50"/>
        <v>0</v>
      </c>
      <c r="DG113" s="47">
        <f t="shared" si="51"/>
        <v>0</v>
      </c>
      <c r="DH113" s="47">
        <f t="shared" si="52"/>
        <v>0</v>
      </c>
      <c r="DI113" s="47"/>
      <c r="DJ113" s="47"/>
      <c r="DK113" s="47"/>
      <c r="DL113" s="47"/>
      <c r="DM113" s="47"/>
      <c r="DN113" s="47"/>
      <c r="DO113" s="47"/>
      <c r="DP113" s="47"/>
      <c r="DQ113">
        <f t="shared" si="53"/>
        <v>8.4959999999999987</v>
      </c>
      <c r="DR113">
        <f t="shared" si="69"/>
        <v>9.4517999999999986</v>
      </c>
      <c r="DS113">
        <f t="shared" si="62"/>
        <v>0</v>
      </c>
      <c r="DT113">
        <f t="shared" si="63"/>
        <v>0</v>
      </c>
      <c r="DV113" s="110"/>
      <c r="DW113" s="111">
        <f t="shared" si="64"/>
        <v>0</v>
      </c>
      <c r="DX113" s="112">
        <v>0</v>
      </c>
      <c r="DY113" s="94"/>
      <c r="DZ113" s="94"/>
      <c r="EA113" s="81"/>
      <c r="EB113" s="113">
        <f t="shared" si="67"/>
        <v>0</v>
      </c>
      <c r="EC113" s="92"/>
      <c r="ED113" s="92"/>
      <c r="EE113" s="92"/>
      <c r="EF113" s="92"/>
      <c r="EG113" s="207"/>
      <c r="EH113" s="92"/>
      <c r="EI113" s="82" t="str">
        <f t="shared" si="66"/>
        <v/>
      </c>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80" t="e">
        <f t="shared" si="56"/>
        <v>#DIV/0!</v>
      </c>
      <c r="FN113" s="80" t="e">
        <f t="shared" si="57"/>
        <v>#DIV/0!</v>
      </c>
      <c r="FO113" s="115" t="e">
        <f t="shared" si="58"/>
        <v>#DIV/0!</v>
      </c>
      <c r="FP113" s="115" t="e">
        <f t="shared" si="59"/>
        <v>#DIV/0!</v>
      </c>
      <c r="FQ113" s="116" t="e">
        <f t="shared" si="60"/>
        <v>#DIV/0!</v>
      </c>
    </row>
    <row r="114" spans="1:173" x14ac:dyDescent="0.25">
      <c r="A114" s="61">
        <v>116</v>
      </c>
      <c r="B114" t="s">
        <v>329</v>
      </c>
      <c r="AD114" s="9">
        <v>0</v>
      </c>
      <c r="BS114">
        <v>24.8</v>
      </c>
      <c r="BT114">
        <v>0.47</v>
      </c>
      <c r="BU114">
        <v>0.15</v>
      </c>
      <c r="BV114">
        <v>0.5</v>
      </c>
      <c r="BW114">
        <v>0.2</v>
      </c>
      <c r="BX114">
        <v>18.8</v>
      </c>
      <c r="BY114">
        <v>0.1</v>
      </c>
      <c r="CB114">
        <v>73.900000000000006</v>
      </c>
      <c r="CC114">
        <v>81.400000000000006</v>
      </c>
      <c r="CD114">
        <v>73</v>
      </c>
      <c r="CE114">
        <v>75</v>
      </c>
      <c r="CF114" s="2">
        <v>0</v>
      </c>
      <c r="CH114" s="47">
        <v>0</v>
      </c>
      <c r="CI114" s="47">
        <v>0</v>
      </c>
      <c r="CJ114" s="47">
        <v>0</v>
      </c>
      <c r="CK114" s="47">
        <v>0</v>
      </c>
      <c r="CL114" s="47">
        <v>0</v>
      </c>
      <c r="CM114" s="47">
        <v>0</v>
      </c>
      <c r="CN114" s="47">
        <v>0</v>
      </c>
      <c r="CO114" s="47">
        <v>0</v>
      </c>
      <c r="CP114" s="47">
        <v>0</v>
      </c>
      <c r="CQ114" s="47">
        <v>0</v>
      </c>
      <c r="CR114" s="47">
        <v>0</v>
      </c>
      <c r="CS114" s="47">
        <v>0</v>
      </c>
      <c r="CT114" s="47">
        <v>0</v>
      </c>
      <c r="CU114" s="47"/>
      <c r="CV114" s="47">
        <v>0</v>
      </c>
      <c r="CW114" s="47">
        <f t="shared" si="72"/>
        <v>0</v>
      </c>
      <c r="CX114" s="47">
        <f t="shared" si="73"/>
        <v>0</v>
      </c>
      <c r="CY114" s="47">
        <f t="shared" si="74"/>
        <v>0</v>
      </c>
      <c r="CZ114" s="47">
        <f t="shared" si="75"/>
        <v>0</v>
      </c>
      <c r="DA114" s="47">
        <f t="shared" si="76"/>
        <v>0</v>
      </c>
      <c r="DB114" s="47">
        <f t="shared" si="77"/>
        <v>0</v>
      </c>
      <c r="DC114" s="47">
        <f t="shared" si="61"/>
        <v>0</v>
      </c>
      <c r="DD114" s="47">
        <f t="shared" si="49"/>
        <v>0</v>
      </c>
      <c r="DE114" s="47">
        <f t="shared" si="47"/>
        <v>0</v>
      </c>
      <c r="DF114" s="47">
        <f t="shared" si="50"/>
        <v>0</v>
      </c>
      <c r="DG114" s="47">
        <f t="shared" si="51"/>
        <v>0</v>
      </c>
      <c r="DH114" s="47">
        <f t="shared" si="52"/>
        <v>0</v>
      </c>
      <c r="DI114" s="47"/>
      <c r="DJ114" s="47"/>
      <c r="DK114" s="47"/>
      <c r="DL114" s="47"/>
      <c r="DM114" s="47"/>
      <c r="DN114" s="47"/>
      <c r="DO114" s="47"/>
      <c r="DP114" s="47"/>
      <c r="DQ114">
        <f t="shared" si="53"/>
        <v>13.893200000000002</v>
      </c>
      <c r="DR114">
        <f t="shared" si="69"/>
        <v>15.303200000000002</v>
      </c>
      <c r="DS114">
        <f t="shared" si="62"/>
        <v>18.103999999999999</v>
      </c>
      <c r="DT114">
        <f t="shared" si="63"/>
        <v>18.600000000000001</v>
      </c>
      <c r="DV114" s="274"/>
      <c r="DW114" s="111">
        <f t="shared" si="64"/>
        <v>600</v>
      </c>
      <c r="DX114" s="112">
        <v>0.3</v>
      </c>
      <c r="DY114" s="96">
        <v>0</v>
      </c>
      <c r="DZ114" s="96">
        <v>0</v>
      </c>
      <c r="EA114" s="81">
        <v>1</v>
      </c>
      <c r="EB114" s="113">
        <f t="shared" si="67"/>
        <v>18.8</v>
      </c>
      <c r="EC114" s="92">
        <v>0</v>
      </c>
      <c r="ED114" s="92">
        <v>0</v>
      </c>
      <c r="EE114" s="92"/>
      <c r="EF114" s="92"/>
      <c r="EG114" s="207"/>
      <c r="EH114" s="92">
        <v>0</v>
      </c>
      <c r="EI114" s="82" t="str">
        <f t="shared" si="66"/>
        <v/>
      </c>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80" t="e">
        <f t="shared" si="56"/>
        <v>#DIV/0!</v>
      </c>
      <c r="FN114" s="80" t="e">
        <f t="shared" si="57"/>
        <v>#DIV/0!</v>
      </c>
      <c r="FO114" s="115" t="e">
        <f t="shared" si="58"/>
        <v>#DIV/0!</v>
      </c>
      <c r="FP114" s="115" t="e">
        <f t="shared" si="59"/>
        <v>#DIV/0!</v>
      </c>
      <c r="FQ114" s="116" t="e">
        <f t="shared" si="60"/>
        <v>#DIV/0!</v>
      </c>
    </row>
    <row r="115" spans="1:173" x14ac:dyDescent="0.25">
      <c r="A115" s="61">
        <v>117</v>
      </c>
      <c r="B115" t="s">
        <v>330</v>
      </c>
      <c r="AD115" s="9">
        <v>0</v>
      </c>
      <c r="BS115">
        <v>18</v>
      </c>
      <c r="BU115">
        <v>0.16</v>
      </c>
      <c r="BV115">
        <v>0.9</v>
      </c>
      <c r="BW115">
        <v>0.2</v>
      </c>
      <c r="BX115">
        <v>21.5</v>
      </c>
      <c r="BY115">
        <v>0.8</v>
      </c>
      <c r="CB115">
        <v>82.8</v>
      </c>
      <c r="CC115">
        <v>88.3</v>
      </c>
      <c r="CD115">
        <v>77</v>
      </c>
      <c r="CE115">
        <v>80</v>
      </c>
      <c r="CF115" s="2">
        <v>0</v>
      </c>
      <c r="CH115" s="47">
        <v>0</v>
      </c>
      <c r="CI115" s="47">
        <v>0</v>
      </c>
      <c r="CJ115" s="47">
        <v>0</v>
      </c>
      <c r="CK115" s="47">
        <v>0</v>
      </c>
      <c r="CL115" s="47">
        <v>0</v>
      </c>
      <c r="CM115" s="47">
        <v>0</v>
      </c>
      <c r="CN115" s="47">
        <v>0</v>
      </c>
      <c r="CO115" s="47">
        <v>0</v>
      </c>
      <c r="CP115" s="47">
        <v>0</v>
      </c>
      <c r="CQ115" s="47">
        <v>0</v>
      </c>
      <c r="CR115" s="47">
        <v>0</v>
      </c>
      <c r="CS115" s="47">
        <v>0</v>
      </c>
      <c r="CT115" s="47">
        <v>0</v>
      </c>
      <c r="CU115" s="47"/>
      <c r="CV115" s="47">
        <v>0</v>
      </c>
      <c r="CW115" s="47">
        <f t="shared" si="72"/>
        <v>0</v>
      </c>
      <c r="CX115" s="47">
        <f t="shared" si="73"/>
        <v>0</v>
      </c>
      <c r="CY115" s="47">
        <f t="shared" si="74"/>
        <v>0</v>
      </c>
      <c r="CZ115" s="47">
        <f t="shared" si="75"/>
        <v>0</v>
      </c>
      <c r="DA115" s="47">
        <f t="shared" si="76"/>
        <v>0</v>
      </c>
      <c r="DB115" s="47">
        <f t="shared" si="77"/>
        <v>0</v>
      </c>
      <c r="DC115" s="47">
        <f t="shared" si="61"/>
        <v>0</v>
      </c>
      <c r="DD115" s="47">
        <f t="shared" si="49"/>
        <v>0</v>
      </c>
      <c r="DE115" s="47">
        <f t="shared" si="47"/>
        <v>0</v>
      </c>
      <c r="DF115" s="47">
        <f t="shared" si="50"/>
        <v>0</v>
      </c>
      <c r="DG115" s="47">
        <f t="shared" si="51"/>
        <v>0</v>
      </c>
      <c r="DH115" s="47">
        <f t="shared" si="52"/>
        <v>0</v>
      </c>
      <c r="DI115" s="47"/>
      <c r="DJ115" s="47"/>
      <c r="DK115" s="47"/>
      <c r="DL115" s="47"/>
      <c r="DM115" s="47"/>
      <c r="DN115" s="47"/>
      <c r="DO115" s="47"/>
      <c r="DP115" s="47"/>
      <c r="DQ115">
        <f t="shared" si="53"/>
        <v>17.802</v>
      </c>
      <c r="DR115">
        <f>CC115*BX115/100</f>
        <v>18.984500000000001</v>
      </c>
      <c r="DS115">
        <f t="shared" si="62"/>
        <v>13.86</v>
      </c>
      <c r="DT115">
        <f t="shared" si="63"/>
        <v>14.4</v>
      </c>
      <c r="DV115" s="274"/>
      <c r="DW115" s="111">
        <f t="shared" si="64"/>
        <v>640</v>
      </c>
      <c r="DX115" s="112">
        <f>'DDGS Calculator'!D9/2000</f>
        <v>0.32</v>
      </c>
      <c r="DY115" s="96">
        <v>0</v>
      </c>
      <c r="DZ115" s="96">
        <v>0</v>
      </c>
      <c r="EA115" s="81">
        <v>1</v>
      </c>
      <c r="EB115" s="113">
        <f t="shared" si="67"/>
        <v>21.5</v>
      </c>
      <c r="EC115" s="92">
        <v>0</v>
      </c>
      <c r="ED115" s="92">
        <v>0</v>
      </c>
      <c r="EE115" s="92"/>
      <c r="EF115" s="92"/>
      <c r="EG115" s="207"/>
      <c r="EH115" s="92">
        <v>0</v>
      </c>
      <c r="EI115" s="82" t="str">
        <f t="shared" si="66"/>
        <v/>
      </c>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80" t="e">
        <f t="shared" si="56"/>
        <v>#DIV/0!</v>
      </c>
      <c r="FN115" s="80" t="e">
        <f t="shared" si="57"/>
        <v>#DIV/0!</v>
      </c>
      <c r="FO115" s="115" t="e">
        <f t="shared" si="58"/>
        <v>#DIV/0!</v>
      </c>
      <c r="FP115" s="115" t="e">
        <f t="shared" si="59"/>
        <v>#DIV/0!</v>
      </c>
      <c r="FQ115" s="116" t="e">
        <f t="shared" si="60"/>
        <v>#DIV/0!</v>
      </c>
    </row>
    <row r="116" spans="1:173" x14ac:dyDescent="0.25">
      <c r="A116" s="61">
        <v>118</v>
      </c>
      <c r="B116" t="s">
        <v>331</v>
      </c>
      <c r="AD116" s="9">
        <v>0</v>
      </c>
      <c r="BS116">
        <v>21.85</v>
      </c>
      <c r="BV116">
        <v>0.48</v>
      </c>
      <c r="BY116">
        <v>16.190000000000001</v>
      </c>
      <c r="CF116" s="2">
        <v>0</v>
      </c>
      <c r="CH116" s="47">
        <v>0</v>
      </c>
      <c r="CI116" s="47">
        <v>0</v>
      </c>
      <c r="CJ116" s="47">
        <v>0</v>
      </c>
      <c r="CK116" s="47">
        <v>0</v>
      </c>
      <c r="CL116" s="47">
        <v>0</v>
      </c>
      <c r="CM116" s="47">
        <v>0</v>
      </c>
      <c r="CN116" s="47">
        <v>0</v>
      </c>
      <c r="CO116" s="47">
        <v>0</v>
      </c>
      <c r="CP116" s="47">
        <v>0</v>
      </c>
      <c r="CQ116" s="47">
        <v>0</v>
      </c>
      <c r="CR116" s="47">
        <v>0</v>
      </c>
      <c r="CS116" s="47">
        <v>0</v>
      </c>
      <c r="CT116" s="47">
        <v>0</v>
      </c>
      <c r="CU116" s="47"/>
      <c r="CV116" s="47">
        <v>0</v>
      </c>
      <c r="CW116" s="47">
        <f t="shared" si="72"/>
        <v>0</v>
      </c>
      <c r="CX116" s="47">
        <f t="shared" si="73"/>
        <v>0</v>
      </c>
      <c r="CY116" s="47">
        <f t="shared" si="74"/>
        <v>0</v>
      </c>
      <c r="CZ116" s="47">
        <f t="shared" si="75"/>
        <v>0</v>
      </c>
      <c r="DA116" s="47">
        <f t="shared" si="76"/>
        <v>0</v>
      </c>
      <c r="DB116" s="47">
        <f t="shared" si="77"/>
        <v>0</v>
      </c>
      <c r="DC116" s="47">
        <f t="shared" si="61"/>
        <v>0</v>
      </c>
      <c r="DD116" s="47">
        <f t="shared" si="49"/>
        <v>0</v>
      </c>
      <c r="DE116" s="47">
        <f t="shared" si="47"/>
        <v>0</v>
      </c>
      <c r="DF116" s="47">
        <f t="shared" si="50"/>
        <v>0</v>
      </c>
      <c r="DG116" s="47">
        <f t="shared" si="51"/>
        <v>0</v>
      </c>
      <c r="DH116" s="47">
        <f t="shared" si="52"/>
        <v>0</v>
      </c>
      <c r="DI116" s="47"/>
      <c r="DJ116" s="47"/>
      <c r="DK116" s="47"/>
      <c r="DL116" s="47"/>
      <c r="DM116" s="47"/>
      <c r="DN116" s="47"/>
      <c r="DO116" s="47"/>
      <c r="DP116" s="47"/>
      <c r="DQ116">
        <f t="shared" si="53"/>
        <v>0</v>
      </c>
      <c r="DR116">
        <f t="shared" si="69"/>
        <v>0</v>
      </c>
      <c r="DS116">
        <f t="shared" si="62"/>
        <v>0</v>
      </c>
      <c r="DT116">
        <f t="shared" si="63"/>
        <v>0</v>
      </c>
      <c r="DV116" s="110"/>
      <c r="DW116" s="111">
        <f t="shared" si="64"/>
        <v>0</v>
      </c>
      <c r="DX116" s="112">
        <v>0</v>
      </c>
      <c r="DY116" s="94"/>
      <c r="DZ116" s="94"/>
      <c r="EA116" s="81"/>
      <c r="EB116" s="113">
        <f t="shared" si="67"/>
        <v>0</v>
      </c>
      <c r="EC116" s="92"/>
      <c r="ED116" s="92"/>
      <c r="EE116" s="92"/>
      <c r="EF116" s="92"/>
      <c r="EG116" s="207"/>
      <c r="EH116" s="92"/>
      <c r="EI116" s="82"/>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80" t="e">
        <f t="shared" si="56"/>
        <v>#DIV/0!</v>
      </c>
      <c r="FN116" s="80" t="e">
        <f t="shared" si="57"/>
        <v>#DIV/0!</v>
      </c>
      <c r="FO116" s="115" t="e">
        <f t="shared" si="58"/>
        <v>#DIV/0!</v>
      </c>
      <c r="FP116" s="115" t="e">
        <f t="shared" si="59"/>
        <v>#DIV/0!</v>
      </c>
      <c r="FQ116" s="116" t="e">
        <f t="shared" si="60"/>
        <v>#DIV/0!</v>
      </c>
    </row>
    <row r="117" spans="1:173" x14ac:dyDescent="0.25">
      <c r="A117" s="61">
        <v>119</v>
      </c>
      <c r="B117" s="34" t="s">
        <v>342</v>
      </c>
      <c r="AD117" s="9">
        <v>0</v>
      </c>
      <c r="BS117">
        <v>35.840000000000003</v>
      </c>
      <c r="BT117">
        <v>0.02</v>
      </c>
      <c r="BU117">
        <v>0.11</v>
      </c>
      <c r="BV117">
        <v>2.06</v>
      </c>
      <c r="BW117">
        <v>0.06</v>
      </c>
      <c r="BX117">
        <v>0.01</v>
      </c>
      <c r="BY117">
        <v>0.04</v>
      </c>
      <c r="CD117">
        <v>64</v>
      </c>
      <c r="CE117">
        <v>71</v>
      </c>
      <c r="CF117" s="2">
        <v>0</v>
      </c>
      <c r="CH117" s="47">
        <v>0</v>
      </c>
      <c r="CI117" s="47">
        <v>0</v>
      </c>
      <c r="CJ117" s="47">
        <v>0</v>
      </c>
      <c r="CK117" s="47">
        <v>0</v>
      </c>
      <c r="CL117" s="47">
        <v>0</v>
      </c>
      <c r="CM117" s="47">
        <v>0</v>
      </c>
      <c r="CN117" s="47">
        <v>0</v>
      </c>
      <c r="CO117" s="47">
        <v>0</v>
      </c>
      <c r="CP117" s="47">
        <v>0</v>
      </c>
      <c r="CQ117" s="47">
        <v>0</v>
      </c>
      <c r="CR117" s="47">
        <v>0</v>
      </c>
      <c r="CS117" s="47">
        <v>0</v>
      </c>
      <c r="CT117" s="47">
        <v>0</v>
      </c>
      <c r="CU117" s="47"/>
      <c r="CV117" s="47">
        <v>0</v>
      </c>
      <c r="CW117" s="47">
        <f t="shared" si="72"/>
        <v>0</v>
      </c>
      <c r="CX117" s="47">
        <f t="shared" si="73"/>
        <v>0</v>
      </c>
      <c r="CY117" s="47">
        <f t="shared" si="74"/>
        <v>0</v>
      </c>
      <c r="CZ117" s="47">
        <f t="shared" si="75"/>
        <v>0</v>
      </c>
      <c r="DA117" s="47">
        <f t="shared" si="76"/>
        <v>0</v>
      </c>
      <c r="DB117" s="47">
        <f t="shared" si="77"/>
        <v>0</v>
      </c>
      <c r="DC117" s="47">
        <f t="shared" si="61"/>
        <v>0</v>
      </c>
      <c r="DD117" s="47">
        <f t="shared" si="49"/>
        <v>0</v>
      </c>
      <c r="DE117" s="47">
        <f t="shared" si="47"/>
        <v>0</v>
      </c>
      <c r="DF117" s="47">
        <f t="shared" si="50"/>
        <v>0</v>
      </c>
      <c r="DG117" s="47">
        <f t="shared" si="51"/>
        <v>0</v>
      </c>
      <c r="DH117" s="47">
        <f t="shared" si="52"/>
        <v>0</v>
      </c>
      <c r="DI117" s="47"/>
      <c r="DJ117" s="47"/>
      <c r="DK117" s="47"/>
      <c r="DL117" s="47"/>
      <c r="DM117" s="47"/>
      <c r="DN117" s="47"/>
      <c r="DO117" s="47"/>
      <c r="DP117" s="47"/>
      <c r="DQ117">
        <f t="shared" si="53"/>
        <v>0</v>
      </c>
      <c r="DR117">
        <f t="shared" si="69"/>
        <v>0</v>
      </c>
      <c r="DS117">
        <f t="shared" si="62"/>
        <v>22.937600000000003</v>
      </c>
      <c r="DT117">
        <f t="shared" si="63"/>
        <v>25.446400000000004</v>
      </c>
      <c r="DV117" s="110"/>
      <c r="DW117" s="111">
        <f t="shared" si="64"/>
        <v>40</v>
      </c>
      <c r="DX117" s="112">
        <v>0.02</v>
      </c>
      <c r="DY117" s="96">
        <v>0</v>
      </c>
      <c r="DZ117" s="96">
        <v>0</v>
      </c>
      <c r="EA117" s="124">
        <v>0</v>
      </c>
      <c r="EB117" s="113">
        <f t="shared" si="67"/>
        <v>0</v>
      </c>
      <c r="EC117" s="92">
        <v>0</v>
      </c>
      <c r="ED117" s="92">
        <v>0</v>
      </c>
      <c r="EE117" s="92"/>
      <c r="EF117" s="92"/>
      <c r="EG117" s="207"/>
      <c r="EH117" s="92">
        <v>0</v>
      </c>
      <c r="EI117" s="82" t="str">
        <f>IF(AR117="","",AR117*BL117)</f>
        <v/>
      </c>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80" t="e">
        <f t="shared" si="56"/>
        <v>#DIV/0!</v>
      </c>
      <c r="FN117" s="80" t="e">
        <f t="shared" si="57"/>
        <v>#DIV/0!</v>
      </c>
      <c r="FO117" s="115" t="e">
        <f t="shared" si="58"/>
        <v>#DIV/0!</v>
      </c>
      <c r="FP117" s="115" t="e">
        <f t="shared" si="59"/>
        <v>#DIV/0!</v>
      </c>
      <c r="FQ117" s="116" t="e">
        <f t="shared" si="60"/>
        <v>#DIV/0!</v>
      </c>
    </row>
    <row r="118" spans="1:173" x14ac:dyDescent="0.25">
      <c r="A118" s="61">
        <v>120</v>
      </c>
      <c r="B118" t="s">
        <v>332</v>
      </c>
      <c r="AD118" s="9">
        <v>0</v>
      </c>
      <c r="BS118">
        <v>10.1</v>
      </c>
      <c r="BX118">
        <v>19.7</v>
      </c>
      <c r="CB118">
        <v>83.9</v>
      </c>
      <c r="CC118">
        <v>98.2</v>
      </c>
      <c r="CF118" s="2">
        <v>0</v>
      </c>
      <c r="CH118" s="47">
        <v>0</v>
      </c>
      <c r="CI118" s="47">
        <v>0</v>
      </c>
      <c r="CJ118" s="47">
        <v>0</v>
      </c>
      <c r="CK118" s="47">
        <v>0</v>
      </c>
      <c r="CL118" s="47">
        <v>0</v>
      </c>
      <c r="CM118" s="47">
        <v>0</v>
      </c>
      <c r="CN118" s="47">
        <v>0</v>
      </c>
      <c r="CO118" s="47">
        <v>0</v>
      </c>
      <c r="CP118" s="47">
        <v>0</v>
      </c>
      <c r="CQ118" s="47">
        <v>0</v>
      </c>
      <c r="CR118" s="47">
        <v>0</v>
      </c>
      <c r="CS118" s="47">
        <v>0</v>
      </c>
      <c r="CT118" s="47">
        <v>0</v>
      </c>
      <c r="CU118" s="47"/>
      <c r="CV118" s="47">
        <v>0</v>
      </c>
      <c r="CW118" s="47">
        <f t="shared" si="72"/>
        <v>0</v>
      </c>
      <c r="CX118" s="47">
        <f t="shared" si="73"/>
        <v>0</v>
      </c>
      <c r="CY118" s="47">
        <f t="shared" si="74"/>
        <v>0</v>
      </c>
      <c r="CZ118" s="47">
        <f t="shared" si="75"/>
        <v>0</v>
      </c>
      <c r="DA118" s="47">
        <f t="shared" si="76"/>
        <v>0</v>
      </c>
      <c r="DB118" s="47">
        <f t="shared" si="77"/>
        <v>0</v>
      </c>
      <c r="DC118" s="47">
        <f t="shared" si="61"/>
        <v>0</v>
      </c>
      <c r="DD118" s="47">
        <f t="shared" si="49"/>
        <v>0</v>
      </c>
      <c r="DE118" s="47">
        <f t="shared" si="47"/>
        <v>0</v>
      </c>
      <c r="DF118" s="47">
        <f t="shared" si="50"/>
        <v>0</v>
      </c>
      <c r="DG118" s="47">
        <f t="shared" si="51"/>
        <v>0</v>
      </c>
      <c r="DH118" s="47">
        <f t="shared" si="52"/>
        <v>0</v>
      </c>
      <c r="DI118" s="47"/>
      <c r="DJ118" s="47"/>
      <c r="DK118" s="47"/>
      <c r="DL118" s="47"/>
      <c r="DM118" s="47"/>
      <c r="DN118" s="47"/>
      <c r="DO118" s="47"/>
      <c r="DP118" s="47"/>
      <c r="DQ118">
        <f t="shared" si="53"/>
        <v>16.528300000000002</v>
      </c>
      <c r="DR118">
        <f>CC118*BX118/100</f>
        <v>19.345399999999998</v>
      </c>
      <c r="DS118">
        <f t="shared" si="62"/>
        <v>0</v>
      </c>
      <c r="DT118">
        <f t="shared" si="63"/>
        <v>0</v>
      </c>
      <c r="DV118" s="110"/>
      <c r="DW118" s="111">
        <f t="shared" si="64"/>
        <v>0</v>
      </c>
      <c r="DX118" s="112">
        <v>0</v>
      </c>
      <c r="DY118" s="94"/>
      <c r="DZ118" s="94"/>
      <c r="EA118" s="81"/>
      <c r="EB118" s="113">
        <f t="shared" si="67"/>
        <v>0</v>
      </c>
      <c r="EC118" s="92"/>
      <c r="ED118" s="92"/>
      <c r="EE118" s="92"/>
      <c r="EF118" s="92"/>
      <c r="EG118" s="207"/>
      <c r="EH118" s="92"/>
      <c r="EI118" s="82"/>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80" t="e">
        <f t="shared" si="56"/>
        <v>#DIV/0!</v>
      </c>
      <c r="FN118" s="80" t="e">
        <f t="shared" si="57"/>
        <v>#DIV/0!</v>
      </c>
      <c r="FO118" s="115" t="e">
        <f t="shared" si="58"/>
        <v>#DIV/0!</v>
      </c>
      <c r="FP118" s="115" t="e">
        <f t="shared" si="59"/>
        <v>#DIV/0!</v>
      </c>
      <c r="FQ118" s="116" t="e">
        <f t="shared" si="60"/>
        <v>#DIV/0!</v>
      </c>
    </row>
    <row r="119" spans="1:173" x14ac:dyDescent="0.25">
      <c r="A119" s="61">
        <v>121</v>
      </c>
      <c r="B119" t="s">
        <v>333</v>
      </c>
      <c r="AD119" s="9">
        <v>0</v>
      </c>
      <c r="BW119">
        <v>43.3</v>
      </c>
      <c r="CF119" s="2">
        <v>0</v>
      </c>
      <c r="CH119" s="47">
        <v>0</v>
      </c>
      <c r="CI119" s="47">
        <v>0</v>
      </c>
      <c r="CJ119" s="47">
        <v>0</v>
      </c>
      <c r="CK119" s="47">
        <v>0</v>
      </c>
      <c r="CL119" s="47">
        <v>0</v>
      </c>
      <c r="CM119" s="47">
        <v>0</v>
      </c>
      <c r="CN119" s="47">
        <v>0</v>
      </c>
      <c r="CO119" s="47">
        <v>0</v>
      </c>
      <c r="CP119" s="47">
        <v>0</v>
      </c>
      <c r="CQ119" s="47">
        <v>0</v>
      </c>
      <c r="CR119" s="47">
        <v>0</v>
      </c>
      <c r="CS119" s="47">
        <v>0</v>
      </c>
      <c r="CT119" s="47">
        <v>0</v>
      </c>
      <c r="CU119" s="47"/>
      <c r="CV119" s="47">
        <v>0</v>
      </c>
      <c r="CW119" s="47">
        <f t="shared" si="72"/>
        <v>0</v>
      </c>
      <c r="CX119" s="47">
        <f t="shared" si="73"/>
        <v>0</v>
      </c>
      <c r="CY119" s="47">
        <f t="shared" si="74"/>
        <v>0</v>
      </c>
      <c r="CZ119" s="47">
        <f t="shared" si="75"/>
        <v>0</v>
      </c>
      <c r="DA119" s="47">
        <f t="shared" si="76"/>
        <v>0</v>
      </c>
      <c r="DB119" s="47">
        <f t="shared" si="77"/>
        <v>0</v>
      </c>
      <c r="DC119" s="47">
        <f t="shared" si="61"/>
        <v>0</v>
      </c>
      <c r="DD119" s="47">
        <f t="shared" si="49"/>
        <v>0</v>
      </c>
      <c r="DE119" s="47">
        <f t="shared" si="47"/>
        <v>0</v>
      </c>
      <c r="DF119" s="47">
        <f t="shared" si="50"/>
        <v>0</v>
      </c>
      <c r="DG119" s="47">
        <f t="shared" si="51"/>
        <v>0</v>
      </c>
      <c r="DH119" s="47">
        <f t="shared" si="52"/>
        <v>0</v>
      </c>
      <c r="DI119" s="47"/>
      <c r="DJ119" s="47"/>
      <c r="DK119" s="47"/>
      <c r="DL119" s="47"/>
      <c r="DM119" s="47"/>
      <c r="DN119" s="47"/>
      <c r="DO119" s="47"/>
      <c r="DP119" s="47"/>
      <c r="DQ119">
        <f t="shared" si="53"/>
        <v>0</v>
      </c>
      <c r="DR119">
        <f>CC119*BX119/100</f>
        <v>0</v>
      </c>
      <c r="DS119">
        <f t="shared" si="62"/>
        <v>0</v>
      </c>
      <c r="DT119">
        <f t="shared" si="63"/>
        <v>0</v>
      </c>
      <c r="DV119" s="110"/>
      <c r="DW119" s="111">
        <f t="shared" si="64"/>
        <v>87</v>
      </c>
      <c r="DX119" s="112">
        <f>'DDGS Calculator'!D8/2000</f>
        <v>4.3499999999999997E-2</v>
      </c>
      <c r="DY119" s="94"/>
      <c r="DZ119" s="94"/>
      <c r="EA119" s="81"/>
      <c r="EB119" s="113">
        <f t="shared" si="67"/>
        <v>0</v>
      </c>
      <c r="EC119" s="92"/>
      <c r="ED119" s="92"/>
      <c r="EE119" s="92"/>
      <c r="EF119" s="92"/>
      <c r="EG119" s="207"/>
      <c r="EH119" s="92"/>
      <c r="EI119" s="82"/>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80" t="e">
        <f t="shared" si="56"/>
        <v>#DIV/0!</v>
      </c>
      <c r="FN119" s="80" t="e">
        <f t="shared" si="57"/>
        <v>#DIV/0!</v>
      </c>
      <c r="FO119" s="115" t="e">
        <f t="shared" si="58"/>
        <v>#DIV/0!</v>
      </c>
      <c r="FP119" s="115" t="e">
        <f t="shared" si="59"/>
        <v>#DIV/0!</v>
      </c>
      <c r="FQ119" s="116" t="e">
        <f t="shared" si="60"/>
        <v>#DIV/0!</v>
      </c>
    </row>
    <row r="120" spans="1:173" x14ac:dyDescent="0.25">
      <c r="A120" s="61">
        <v>122</v>
      </c>
      <c r="B120" t="s">
        <v>334</v>
      </c>
      <c r="AD120" s="9">
        <v>0</v>
      </c>
      <c r="BS120">
        <v>0.01</v>
      </c>
      <c r="BU120">
        <v>0.01</v>
      </c>
      <c r="BW120">
        <v>27</v>
      </c>
      <c r="CF120" s="2">
        <v>0</v>
      </c>
      <c r="CH120" s="47">
        <v>0</v>
      </c>
      <c r="CI120" s="47">
        <v>0</v>
      </c>
      <c r="CJ120" s="47">
        <v>0</v>
      </c>
      <c r="CK120" s="47">
        <v>0</v>
      </c>
      <c r="CL120" s="47">
        <v>0</v>
      </c>
      <c r="CM120" s="47">
        <v>0</v>
      </c>
      <c r="CN120" s="47">
        <v>0</v>
      </c>
      <c r="CO120" s="47">
        <v>0</v>
      </c>
      <c r="CP120" s="47">
        <v>0</v>
      </c>
      <c r="CQ120" s="47">
        <v>0</v>
      </c>
      <c r="CR120" s="47">
        <v>0</v>
      </c>
      <c r="CS120" s="47">
        <v>0</v>
      </c>
      <c r="CT120" s="47">
        <v>0</v>
      </c>
      <c r="CU120" s="47"/>
      <c r="CV120" s="47">
        <v>0</v>
      </c>
      <c r="CW120" s="47">
        <f t="shared" si="72"/>
        <v>0</v>
      </c>
      <c r="CX120" s="47">
        <f t="shared" si="73"/>
        <v>0</v>
      </c>
      <c r="CY120" s="47">
        <f t="shared" si="74"/>
        <v>0</v>
      </c>
      <c r="CZ120" s="47">
        <f t="shared" si="75"/>
        <v>0</v>
      </c>
      <c r="DA120" s="47">
        <f t="shared" si="76"/>
        <v>0</v>
      </c>
      <c r="DB120" s="47">
        <f t="shared" si="77"/>
        <v>0</v>
      </c>
      <c r="DC120" s="47">
        <f t="shared" si="61"/>
        <v>0</v>
      </c>
      <c r="DD120" s="47">
        <f t="shared" si="49"/>
        <v>0</v>
      </c>
      <c r="DE120" s="47">
        <f t="shared" si="47"/>
        <v>0</v>
      </c>
      <c r="DF120" s="47">
        <f t="shared" si="50"/>
        <v>0</v>
      </c>
      <c r="DG120" s="47">
        <f t="shared" si="51"/>
        <v>0</v>
      </c>
      <c r="DH120" s="47">
        <f t="shared" si="52"/>
        <v>0</v>
      </c>
      <c r="DI120" s="47"/>
      <c r="DJ120" s="47"/>
      <c r="DK120" s="47"/>
      <c r="DL120" s="47"/>
      <c r="DM120" s="47"/>
      <c r="DN120" s="47"/>
      <c r="DO120" s="47"/>
      <c r="DP120" s="47"/>
      <c r="DQ120">
        <f t="shared" si="53"/>
        <v>0</v>
      </c>
      <c r="DR120">
        <f>CC120*BX120/100</f>
        <v>0</v>
      </c>
      <c r="DS120">
        <f t="shared" si="62"/>
        <v>0</v>
      </c>
      <c r="DT120">
        <f t="shared" si="63"/>
        <v>0</v>
      </c>
      <c r="DV120" s="110"/>
      <c r="DW120" s="111">
        <f t="shared" si="64"/>
        <v>0</v>
      </c>
      <c r="DX120" s="112">
        <v>0</v>
      </c>
      <c r="DY120" s="94"/>
      <c r="DZ120" s="94"/>
      <c r="EA120" s="81"/>
      <c r="EB120" s="113">
        <f t="shared" si="67"/>
        <v>0</v>
      </c>
      <c r="EC120" s="92"/>
      <c r="ED120" s="92"/>
      <c r="EE120" s="92"/>
      <c r="EF120" s="92"/>
      <c r="EG120" s="207"/>
      <c r="EH120" s="92"/>
      <c r="EI120" s="82"/>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80" t="e">
        <f t="shared" si="56"/>
        <v>#DIV/0!</v>
      </c>
      <c r="FN120" s="80" t="e">
        <f t="shared" si="57"/>
        <v>#DIV/0!</v>
      </c>
      <c r="FO120" s="115" t="e">
        <f t="shared" si="58"/>
        <v>#DIV/0!</v>
      </c>
      <c r="FP120" s="115" t="e">
        <f t="shared" si="59"/>
        <v>#DIV/0!</v>
      </c>
      <c r="FQ120" s="116" t="e">
        <f t="shared" si="60"/>
        <v>#DIV/0!</v>
      </c>
    </row>
    <row r="121" spans="1:173" x14ac:dyDescent="0.25">
      <c r="A121" s="61">
        <v>123</v>
      </c>
      <c r="B121" t="s">
        <v>335</v>
      </c>
      <c r="AD121" s="9">
        <v>0</v>
      </c>
      <c r="BS121">
        <v>0.3</v>
      </c>
      <c r="BT121">
        <v>59</v>
      </c>
      <c r="BU121">
        <v>0</v>
      </c>
      <c r="BV121">
        <v>5.0000000000000001E-3</v>
      </c>
      <c r="BW121">
        <v>39.5</v>
      </c>
      <c r="BY121">
        <v>0.2</v>
      </c>
      <c r="CF121" s="2">
        <v>0</v>
      </c>
      <c r="CH121" s="47">
        <v>0</v>
      </c>
      <c r="CI121" s="47">
        <v>0</v>
      </c>
      <c r="CJ121" s="47">
        <v>0</v>
      </c>
      <c r="CK121" s="47">
        <v>0</v>
      </c>
      <c r="CL121" s="47">
        <v>0</v>
      </c>
      <c r="CM121" s="47">
        <v>0</v>
      </c>
      <c r="CN121" s="47">
        <v>0</v>
      </c>
      <c r="CO121" s="47">
        <v>0</v>
      </c>
      <c r="CP121" s="47">
        <v>0</v>
      </c>
      <c r="CQ121" s="47">
        <v>0</v>
      </c>
      <c r="CR121" s="47">
        <v>0</v>
      </c>
      <c r="CS121" s="47">
        <v>0</v>
      </c>
      <c r="CT121" s="47">
        <v>0</v>
      </c>
      <c r="CU121" s="47"/>
      <c r="CV121" s="47">
        <v>0</v>
      </c>
      <c r="CW121" s="47">
        <f t="shared" si="72"/>
        <v>0</v>
      </c>
      <c r="CX121" s="47">
        <f t="shared" si="73"/>
        <v>0</v>
      </c>
      <c r="CY121" s="47">
        <f t="shared" si="74"/>
        <v>0</v>
      </c>
      <c r="CZ121" s="47">
        <f t="shared" si="75"/>
        <v>0</v>
      </c>
      <c r="DA121" s="47">
        <f t="shared" si="76"/>
        <v>0</v>
      </c>
      <c r="DB121" s="47">
        <f t="shared" si="77"/>
        <v>0</v>
      </c>
      <c r="DC121" s="47">
        <f t="shared" si="61"/>
        <v>0</v>
      </c>
      <c r="DD121" s="47">
        <f t="shared" si="49"/>
        <v>0</v>
      </c>
      <c r="DE121" s="47">
        <f t="shared" si="47"/>
        <v>0</v>
      </c>
      <c r="DF121" s="47">
        <f t="shared" si="50"/>
        <v>0</v>
      </c>
      <c r="DG121" s="47">
        <f t="shared" si="51"/>
        <v>0</v>
      </c>
      <c r="DH121" s="47">
        <f t="shared" si="52"/>
        <v>0</v>
      </c>
      <c r="DI121" s="47"/>
      <c r="DJ121" s="47"/>
      <c r="DK121" s="47"/>
      <c r="DL121" s="47"/>
      <c r="DM121" s="47"/>
      <c r="DN121" s="47"/>
      <c r="DO121" s="47"/>
      <c r="DP121" s="47"/>
      <c r="DQ121">
        <f t="shared" si="53"/>
        <v>0</v>
      </c>
      <c r="DR121">
        <f>CC121*BX121/100</f>
        <v>0</v>
      </c>
      <c r="DS121">
        <f t="shared" si="62"/>
        <v>0</v>
      </c>
      <c r="DT121">
        <f t="shared" si="63"/>
        <v>0</v>
      </c>
      <c r="DV121" s="110"/>
      <c r="DW121" s="111">
        <f t="shared" si="64"/>
        <v>70</v>
      </c>
      <c r="DX121" s="112">
        <v>3.5000000000000003E-2</v>
      </c>
      <c r="DY121" s="96">
        <v>0</v>
      </c>
      <c r="DZ121" s="96">
        <v>0</v>
      </c>
      <c r="EA121" s="124">
        <v>0</v>
      </c>
      <c r="EB121" s="113">
        <f t="shared" si="67"/>
        <v>0</v>
      </c>
      <c r="EC121" s="92">
        <v>0</v>
      </c>
      <c r="ED121" s="92">
        <v>0</v>
      </c>
      <c r="EE121" s="92">
        <v>0</v>
      </c>
      <c r="EF121" s="92"/>
      <c r="EG121" s="207"/>
      <c r="EH121" s="92">
        <v>0</v>
      </c>
      <c r="EI121" s="82" t="str">
        <f>IF(AR121="","",AR121*BL121)</f>
        <v/>
      </c>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80" t="e">
        <f t="shared" si="56"/>
        <v>#DIV/0!</v>
      </c>
      <c r="FN121" s="80" t="e">
        <f t="shared" si="57"/>
        <v>#DIV/0!</v>
      </c>
      <c r="FO121" s="115" t="e">
        <f t="shared" si="58"/>
        <v>#DIV/0!</v>
      </c>
      <c r="FP121" s="115" t="e">
        <f t="shared" si="59"/>
        <v>#DIV/0!</v>
      </c>
      <c r="FQ121" s="116" t="e">
        <f t="shared" si="60"/>
        <v>#DIV/0!</v>
      </c>
    </row>
    <row r="122" spans="1:173" x14ac:dyDescent="0.25">
      <c r="A122" s="61">
        <v>124</v>
      </c>
      <c r="B122" t="s">
        <v>336</v>
      </c>
      <c r="AD122" s="9">
        <v>0</v>
      </c>
      <c r="BS122">
        <v>0.09</v>
      </c>
      <c r="BT122">
        <v>0.02</v>
      </c>
      <c r="BU122">
        <v>0.01</v>
      </c>
      <c r="BV122">
        <v>0.01</v>
      </c>
      <c r="BW122">
        <v>19.100000000000001</v>
      </c>
      <c r="BX122">
        <v>24.7</v>
      </c>
      <c r="CB122">
        <v>86.7</v>
      </c>
      <c r="CC122">
        <v>93.8</v>
      </c>
      <c r="CF122" s="2">
        <v>0</v>
      </c>
      <c r="CH122" s="47">
        <v>0</v>
      </c>
      <c r="CI122" s="47">
        <v>0</v>
      </c>
      <c r="CJ122" s="47">
        <v>0</v>
      </c>
      <c r="CK122" s="47">
        <v>0</v>
      </c>
      <c r="CL122" s="47">
        <v>0</v>
      </c>
      <c r="CM122" s="47">
        <v>0</v>
      </c>
      <c r="CN122" s="47">
        <v>0</v>
      </c>
      <c r="CO122" s="47">
        <v>0</v>
      </c>
      <c r="CP122" s="47">
        <v>0</v>
      </c>
      <c r="CQ122" s="47">
        <v>0</v>
      </c>
      <c r="CR122" s="47">
        <v>0</v>
      </c>
      <c r="CS122" s="47">
        <v>0</v>
      </c>
      <c r="CT122" s="47">
        <v>0</v>
      </c>
      <c r="CU122" s="47"/>
      <c r="CV122" s="47">
        <v>0</v>
      </c>
      <c r="CW122" s="47">
        <f t="shared" si="72"/>
        <v>0</v>
      </c>
      <c r="CX122" s="47">
        <f t="shared" si="73"/>
        <v>0</v>
      </c>
      <c r="CY122" s="47">
        <f t="shared" si="74"/>
        <v>0</v>
      </c>
      <c r="CZ122" s="47">
        <f t="shared" si="75"/>
        <v>0</v>
      </c>
      <c r="DA122" s="47">
        <f t="shared" si="76"/>
        <v>0</v>
      </c>
      <c r="DB122" s="47">
        <f t="shared" si="77"/>
        <v>0</v>
      </c>
      <c r="DC122" s="47">
        <f t="shared" si="61"/>
        <v>0</v>
      </c>
      <c r="DD122" s="47">
        <f t="shared" si="49"/>
        <v>0</v>
      </c>
      <c r="DE122" s="47">
        <f t="shared" si="47"/>
        <v>0</v>
      </c>
      <c r="DF122" s="47">
        <f t="shared" si="50"/>
        <v>0</v>
      </c>
      <c r="DG122" s="47">
        <f t="shared" si="51"/>
        <v>0</v>
      </c>
      <c r="DH122" s="47">
        <f t="shared" si="52"/>
        <v>0</v>
      </c>
      <c r="DI122" s="47"/>
      <c r="DJ122" s="47"/>
      <c r="DK122" s="47"/>
      <c r="DL122" s="47"/>
      <c r="DM122" s="47"/>
      <c r="DN122" s="47"/>
      <c r="DO122" s="47"/>
      <c r="DP122" s="47"/>
      <c r="DQ122">
        <f t="shared" si="53"/>
        <v>21.414899999999999</v>
      </c>
      <c r="DR122">
        <f t="shared" ref="DR122:DR129" si="78">CC122*BX122/100</f>
        <v>23.168599999999998</v>
      </c>
      <c r="DS122">
        <f t="shared" si="62"/>
        <v>0</v>
      </c>
      <c r="DT122">
        <f t="shared" si="63"/>
        <v>0</v>
      </c>
      <c r="DV122" s="110"/>
      <c r="DW122" s="111">
        <f t="shared" si="64"/>
        <v>0</v>
      </c>
      <c r="DX122" s="112">
        <v>0</v>
      </c>
      <c r="DY122" s="94"/>
      <c r="DZ122" s="94"/>
      <c r="EA122" s="81"/>
      <c r="EB122" s="113">
        <f t="shared" si="67"/>
        <v>0</v>
      </c>
      <c r="EC122" s="92"/>
      <c r="ED122" s="92"/>
      <c r="EE122" s="92"/>
      <c r="EF122" s="92"/>
      <c r="EG122" s="207"/>
      <c r="EH122" s="92"/>
      <c r="EI122" s="82"/>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80" t="e">
        <f t="shared" si="56"/>
        <v>#DIV/0!</v>
      </c>
      <c r="FN122" s="80" t="e">
        <f t="shared" si="57"/>
        <v>#DIV/0!</v>
      </c>
      <c r="FO122" s="115" t="e">
        <f t="shared" si="58"/>
        <v>#DIV/0!</v>
      </c>
      <c r="FP122" s="115" t="e">
        <f t="shared" si="59"/>
        <v>#DIV/0!</v>
      </c>
      <c r="FQ122" s="116" t="e">
        <f t="shared" si="60"/>
        <v>#DIV/0!</v>
      </c>
    </row>
    <row r="123" spans="1:173" ht="12.75" customHeight="1" x14ac:dyDescent="0.25">
      <c r="A123" s="61">
        <v>125</v>
      </c>
      <c r="B123" t="s">
        <v>337</v>
      </c>
      <c r="AD123" s="9">
        <v>0</v>
      </c>
      <c r="BW123">
        <v>13.8</v>
      </c>
      <c r="BY123">
        <v>9.6999999999999993</v>
      </c>
      <c r="CF123" s="2">
        <v>0</v>
      </c>
      <c r="CH123" s="47">
        <v>0</v>
      </c>
      <c r="CI123" s="47">
        <v>0</v>
      </c>
      <c r="CJ123" s="47">
        <v>0</v>
      </c>
      <c r="CK123" s="47">
        <v>0</v>
      </c>
      <c r="CL123" s="47">
        <v>0</v>
      </c>
      <c r="CM123" s="47">
        <v>0</v>
      </c>
      <c r="CN123" s="47">
        <v>0</v>
      </c>
      <c r="CO123" s="47">
        <v>0</v>
      </c>
      <c r="CP123" s="47">
        <v>0</v>
      </c>
      <c r="CQ123" s="47">
        <v>0</v>
      </c>
      <c r="CR123" s="47">
        <v>0</v>
      </c>
      <c r="CS123" s="47">
        <v>0</v>
      </c>
      <c r="CT123" s="47">
        <v>0</v>
      </c>
      <c r="CU123" s="47"/>
      <c r="CV123" s="47">
        <v>0</v>
      </c>
      <c r="CW123" s="47">
        <f t="shared" si="72"/>
        <v>0</v>
      </c>
      <c r="CX123" s="47">
        <f t="shared" si="73"/>
        <v>0</v>
      </c>
      <c r="CY123" s="47">
        <f t="shared" si="74"/>
        <v>0</v>
      </c>
      <c r="CZ123" s="47">
        <f t="shared" si="75"/>
        <v>0</v>
      </c>
      <c r="DA123" s="47">
        <f t="shared" si="76"/>
        <v>0</v>
      </c>
      <c r="DB123" s="47">
        <f t="shared" si="77"/>
        <v>0</v>
      </c>
      <c r="DC123" s="47">
        <f t="shared" si="61"/>
        <v>0</v>
      </c>
      <c r="DD123" s="47">
        <f t="shared" si="49"/>
        <v>0</v>
      </c>
      <c r="DE123" s="47">
        <f t="shared" si="47"/>
        <v>0</v>
      </c>
      <c r="DF123" s="47">
        <f t="shared" si="50"/>
        <v>0</v>
      </c>
      <c r="DG123" s="47">
        <f t="shared" si="51"/>
        <v>0</v>
      </c>
      <c r="DH123" s="47">
        <f t="shared" si="52"/>
        <v>0</v>
      </c>
      <c r="DI123" s="47"/>
      <c r="DJ123" s="47"/>
      <c r="DK123" s="47"/>
      <c r="DL123" s="47"/>
      <c r="DM123" s="47"/>
      <c r="DN123" s="47"/>
      <c r="DO123" s="47"/>
      <c r="DP123" s="47"/>
      <c r="DQ123">
        <f t="shared" si="53"/>
        <v>0</v>
      </c>
      <c r="DR123">
        <f t="shared" si="78"/>
        <v>0</v>
      </c>
      <c r="DS123">
        <f t="shared" si="62"/>
        <v>0</v>
      </c>
      <c r="DT123">
        <f t="shared" si="63"/>
        <v>0</v>
      </c>
      <c r="DV123" s="110"/>
      <c r="DW123" s="111">
        <f t="shared" si="64"/>
        <v>64000</v>
      </c>
      <c r="DX123" s="112">
        <v>32</v>
      </c>
      <c r="DY123" s="94"/>
      <c r="DZ123" s="94"/>
      <c r="EA123" s="81"/>
      <c r="EB123" s="113">
        <f t="shared" si="67"/>
        <v>0</v>
      </c>
      <c r="EC123" s="92">
        <v>0</v>
      </c>
      <c r="ED123" s="92">
        <v>0</v>
      </c>
      <c r="EE123" s="92">
        <v>0</v>
      </c>
      <c r="EF123" s="92"/>
      <c r="EG123" s="207"/>
      <c r="EH123" s="92">
        <v>0</v>
      </c>
      <c r="EI123" s="82" t="str">
        <f t="shared" ref="EI123:EI135" si="79">IF(AR123="","",AR123*BL123)</f>
        <v/>
      </c>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80" t="e">
        <f t="shared" si="56"/>
        <v>#DIV/0!</v>
      </c>
      <c r="FN123" s="80" t="e">
        <f t="shared" si="57"/>
        <v>#DIV/0!</v>
      </c>
      <c r="FO123" s="115" t="e">
        <f t="shared" si="58"/>
        <v>#DIV/0!</v>
      </c>
      <c r="FP123" s="115" t="e">
        <f t="shared" si="59"/>
        <v>#DIV/0!</v>
      </c>
      <c r="FQ123" s="116" t="e">
        <f t="shared" si="60"/>
        <v>#DIV/0!</v>
      </c>
    </row>
    <row r="124" spans="1:173" ht="12.75" customHeight="1" x14ac:dyDescent="0.25">
      <c r="A124" s="61">
        <v>126</v>
      </c>
      <c r="B124" s="34" t="s">
        <v>377</v>
      </c>
      <c r="C124">
        <v>4780</v>
      </c>
      <c r="D124">
        <v>4780</v>
      </c>
      <c r="E124">
        <v>4350</v>
      </c>
      <c r="F124">
        <v>3370</v>
      </c>
      <c r="I124">
        <v>93.9</v>
      </c>
      <c r="AD124" s="9">
        <v>49.767000000000003</v>
      </c>
      <c r="AJ124">
        <v>78.8</v>
      </c>
      <c r="BD124">
        <v>100</v>
      </c>
      <c r="BT124">
        <v>19.100000000000001</v>
      </c>
      <c r="CF124" s="2">
        <v>0</v>
      </c>
      <c r="CH124" s="47">
        <v>0</v>
      </c>
      <c r="CI124" s="47">
        <v>0</v>
      </c>
      <c r="CJ124" s="47">
        <v>0</v>
      </c>
      <c r="CK124" s="47">
        <v>0</v>
      </c>
      <c r="CL124" s="47">
        <v>0</v>
      </c>
      <c r="CM124" s="47">
        <v>78.8</v>
      </c>
      <c r="CN124" s="47">
        <v>0</v>
      </c>
      <c r="CO124" s="47">
        <v>0</v>
      </c>
      <c r="CP124" s="47">
        <v>0</v>
      </c>
      <c r="CQ124" s="47">
        <v>0</v>
      </c>
      <c r="CR124" s="47">
        <v>0</v>
      </c>
      <c r="CS124" s="47">
        <v>0</v>
      </c>
      <c r="CT124" s="47">
        <v>0</v>
      </c>
      <c r="CU124" s="47"/>
      <c r="CV124" s="47">
        <v>0</v>
      </c>
      <c r="CW124" s="47">
        <f t="shared" si="72"/>
        <v>0</v>
      </c>
      <c r="CX124" s="47">
        <f t="shared" si="73"/>
        <v>0</v>
      </c>
      <c r="CY124" s="47">
        <f t="shared" si="74"/>
        <v>0</v>
      </c>
      <c r="CZ124" s="47">
        <f t="shared" si="75"/>
        <v>0</v>
      </c>
      <c r="DA124" s="47">
        <f t="shared" si="76"/>
        <v>78.8</v>
      </c>
      <c r="DB124" s="47">
        <f t="shared" si="77"/>
        <v>0</v>
      </c>
      <c r="DC124" s="47">
        <f t="shared" si="61"/>
        <v>0</v>
      </c>
      <c r="DD124" s="47">
        <f t="shared" si="49"/>
        <v>0</v>
      </c>
      <c r="DE124" s="47">
        <f t="shared" si="47"/>
        <v>0</v>
      </c>
      <c r="DF124" s="47">
        <f t="shared" si="50"/>
        <v>0</v>
      </c>
      <c r="DG124" s="47">
        <f t="shared" si="51"/>
        <v>0</v>
      </c>
      <c r="DH124" s="47">
        <f t="shared" si="52"/>
        <v>0</v>
      </c>
      <c r="DI124" s="47"/>
      <c r="DJ124" s="47"/>
      <c r="DK124" s="47"/>
      <c r="DL124" s="47"/>
      <c r="DM124" s="47"/>
      <c r="DN124" s="47"/>
      <c r="DO124" s="47"/>
      <c r="DP124" s="47"/>
      <c r="DQ124">
        <f t="shared" si="53"/>
        <v>0</v>
      </c>
      <c r="DR124">
        <f t="shared" si="78"/>
        <v>0</v>
      </c>
      <c r="DS124">
        <f t="shared" si="62"/>
        <v>0</v>
      </c>
      <c r="DT124">
        <f t="shared" si="63"/>
        <v>0</v>
      </c>
      <c r="DV124" s="110"/>
      <c r="DW124" s="111">
        <f t="shared" ref="DW124:DW129" si="80">DX124*2000</f>
        <v>1800</v>
      </c>
      <c r="DX124" s="112">
        <f>'DDGS Calculator'!D11</f>
        <v>0.9</v>
      </c>
      <c r="DY124" s="94">
        <v>3380</v>
      </c>
      <c r="DZ124" s="94">
        <v>3380</v>
      </c>
      <c r="EA124" s="81"/>
      <c r="EB124" s="113">
        <f t="shared" si="67"/>
        <v>0</v>
      </c>
      <c r="EC124" s="92">
        <v>0</v>
      </c>
      <c r="ED124" s="92">
        <v>0</v>
      </c>
      <c r="EE124" s="92">
        <v>0</v>
      </c>
      <c r="EF124" s="92"/>
      <c r="EG124" s="207"/>
      <c r="EH124" s="92">
        <v>0</v>
      </c>
      <c r="EI124" s="82" t="str">
        <f t="shared" si="79"/>
        <v/>
      </c>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80" t="e">
        <f t="shared" si="56"/>
        <v>#DIV/0!</v>
      </c>
      <c r="FN124" s="80" t="e">
        <f t="shared" si="57"/>
        <v>#DIV/0!</v>
      </c>
      <c r="FO124" s="115" t="e">
        <f t="shared" si="58"/>
        <v>#DIV/0!</v>
      </c>
      <c r="FP124" s="115" t="e">
        <f t="shared" si="59"/>
        <v>#DIV/0!</v>
      </c>
      <c r="FQ124" s="116">
        <f t="shared" si="60"/>
        <v>0</v>
      </c>
    </row>
    <row r="125" spans="1:173" ht="12.75" customHeight="1" x14ac:dyDescent="0.25">
      <c r="A125" s="61">
        <v>127</v>
      </c>
      <c r="B125" t="s">
        <v>338</v>
      </c>
      <c r="C125">
        <v>5641</v>
      </c>
      <c r="D125">
        <v>5641</v>
      </c>
      <c r="E125">
        <v>5354</v>
      </c>
      <c r="F125">
        <v>4135</v>
      </c>
      <c r="I125">
        <v>58.69</v>
      </c>
      <c r="AD125" s="9">
        <v>31.105699999999999</v>
      </c>
      <c r="AK125">
        <v>99</v>
      </c>
      <c r="BE125">
        <v>100</v>
      </c>
      <c r="CF125" s="2">
        <v>0</v>
      </c>
      <c r="CH125" s="47">
        <v>0</v>
      </c>
      <c r="CI125" s="47">
        <v>0</v>
      </c>
      <c r="CJ125" s="47">
        <v>0</v>
      </c>
      <c r="CK125" s="47">
        <v>0</v>
      </c>
      <c r="CL125" s="47">
        <v>0</v>
      </c>
      <c r="CM125" s="47">
        <v>0</v>
      </c>
      <c r="CN125" s="47">
        <v>99</v>
      </c>
      <c r="CO125" s="47">
        <v>99</v>
      </c>
      <c r="CP125" s="47">
        <v>0</v>
      </c>
      <c r="CQ125" s="47">
        <v>0</v>
      </c>
      <c r="CR125" s="47">
        <v>0</v>
      </c>
      <c r="CS125" s="47">
        <v>0</v>
      </c>
      <c r="CT125" s="47">
        <v>0</v>
      </c>
      <c r="CU125" s="47"/>
      <c r="CV125" s="47">
        <v>0</v>
      </c>
      <c r="CW125" s="47">
        <f t="shared" si="72"/>
        <v>0</v>
      </c>
      <c r="CX125" s="47">
        <f t="shared" si="73"/>
        <v>0</v>
      </c>
      <c r="CY125" s="47">
        <f t="shared" si="74"/>
        <v>0</v>
      </c>
      <c r="CZ125" s="47">
        <f t="shared" si="75"/>
        <v>0</v>
      </c>
      <c r="DA125" s="47">
        <f t="shared" si="76"/>
        <v>0</v>
      </c>
      <c r="DB125" s="47">
        <f t="shared" si="77"/>
        <v>99</v>
      </c>
      <c r="DC125" s="47">
        <f t="shared" si="61"/>
        <v>99</v>
      </c>
      <c r="DD125" s="47">
        <f t="shared" si="49"/>
        <v>0</v>
      </c>
      <c r="DE125" s="47">
        <f t="shared" si="47"/>
        <v>0</v>
      </c>
      <c r="DF125" s="47">
        <f t="shared" si="50"/>
        <v>0</v>
      </c>
      <c r="DG125" s="47">
        <f t="shared" si="51"/>
        <v>0</v>
      </c>
      <c r="DH125" s="47">
        <f t="shared" si="52"/>
        <v>0</v>
      </c>
      <c r="DI125" s="47"/>
      <c r="DJ125" s="47"/>
      <c r="DK125" s="47"/>
      <c r="DL125" s="47"/>
      <c r="DM125" s="47"/>
      <c r="DN125" s="47"/>
      <c r="DO125" s="47"/>
      <c r="DP125" s="47"/>
      <c r="DQ125">
        <f t="shared" si="53"/>
        <v>0</v>
      </c>
      <c r="DR125">
        <f t="shared" si="78"/>
        <v>0</v>
      </c>
      <c r="DS125">
        <f t="shared" si="62"/>
        <v>0</v>
      </c>
      <c r="DT125">
        <f t="shared" si="63"/>
        <v>0</v>
      </c>
      <c r="DV125" s="110"/>
      <c r="DW125" s="111">
        <f t="shared" si="80"/>
        <v>2500</v>
      </c>
      <c r="DX125" s="112">
        <f>'DDGS Calculator'!D12</f>
        <v>1.25</v>
      </c>
      <c r="DY125" s="94">
        <v>4130</v>
      </c>
      <c r="DZ125" s="94">
        <v>4130</v>
      </c>
      <c r="EA125" s="81"/>
      <c r="EB125" s="113">
        <f t="shared" si="67"/>
        <v>0</v>
      </c>
      <c r="EC125" s="92">
        <v>0</v>
      </c>
      <c r="ED125" s="92">
        <v>0</v>
      </c>
      <c r="EE125" s="92">
        <v>0</v>
      </c>
      <c r="EF125" s="92"/>
      <c r="EG125" s="207"/>
      <c r="EH125" s="92">
        <v>0</v>
      </c>
      <c r="EI125" s="82" t="str">
        <f t="shared" si="79"/>
        <v/>
      </c>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80" t="e">
        <f t="shared" si="56"/>
        <v>#DIV/0!</v>
      </c>
      <c r="FN125" s="80" t="e">
        <f t="shared" si="57"/>
        <v>#DIV/0!</v>
      </c>
      <c r="FO125" s="115" t="e">
        <f t="shared" si="58"/>
        <v>#DIV/0!</v>
      </c>
      <c r="FP125" s="115" t="e">
        <f t="shared" si="59"/>
        <v>#DIV/0!</v>
      </c>
      <c r="FQ125" s="116">
        <f t="shared" si="60"/>
        <v>0</v>
      </c>
    </row>
    <row r="126" spans="1:173" ht="12.75" customHeight="1" x14ac:dyDescent="0.25">
      <c r="A126" s="61">
        <v>128</v>
      </c>
      <c r="B126" t="s">
        <v>339</v>
      </c>
      <c r="C126">
        <v>4110</v>
      </c>
      <c r="D126">
        <v>4110</v>
      </c>
      <c r="E126">
        <v>3776</v>
      </c>
      <c r="F126">
        <v>2940</v>
      </c>
      <c r="I126">
        <v>73.5</v>
      </c>
      <c r="AD126" s="9">
        <v>38.955000000000005</v>
      </c>
      <c r="AM126">
        <v>98.5</v>
      </c>
      <c r="BG126">
        <v>100</v>
      </c>
      <c r="CF126" s="2">
        <v>0</v>
      </c>
      <c r="CH126" s="47">
        <v>1</v>
      </c>
      <c r="CI126" s="47">
        <v>0</v>
      </c>
      <c r="CJ126" s="47">
        <v>0</v>
      </c>
      <c r="CK126" s="47">
        <v>0</v>
      </c>
      <c r="CL126" s="47">
        <v>0</v>
      </c>
      <c r="CM126" s="47">
        <v>0</v>
      </c>
      <c r="CN126" s="47">
        <v>0</v>
      </c>
      <c r="CO126" s="47">
        <v>0</v>
      </c>
      <c r="CP126" s="47">
        <v>0</v>
      </c>
      <c r="CQ126" s="47">
        <v>0</v>
      </c>
      <c r="CR126" s="47">
        <v>99</v>
      </c>
      <c r="CS126" s="47">
        <v>0</v>
      </c>
      <c r="CT126" s="47">
        <v>0</v>
      </c>
      <c r="CU126" s="47"/>
      <c r="CV126" s="47">
        <v>0</v>
      </c>
      <c r="CW126" s="47">
        <f t="shared" si="72"/>
        <v>0</v>
      </c>
      <c r="CX126" s="47">
        <f t="shared" si="73"/>
        <v>0</v>
      </c>
      <c r="CY126" s="47">
        <f t="shared" si="74"/>
        <v>0</v>
      </c>
      <c r="CZ126" s="47">
        <f t="shared" si="75"/>
        <v>0</v>
      </c>
      <c r="DA126" s="47">
        <f t="shared" si="76"/>
        <v>0</v>
      </c>
      <c r="DB126" s="47">
        <f t="shared" si="77"/>
        <v>0</v>
      </c>
      <c r="DC126" s="47">
        <f t="shared" si="61"/>
        <v>0</v>
      </c>
      <c r="DD126" s="47">
        <f t="shared" si="49"/>
        <v>0</v>
      </c>
      <c r="DE126" s="47">
        <f t="shared" si="47"/>
        <v>0</v>
      </c>
      <c r="DF126" s="47">
        <f t="shared" si="50"/>
        <v>98.5</v>
      </c>
      <c r="DG126" s="47">
        <f t="shared" si="51"/>
        <v>0</v>
      </c>
      <c r="DH126" s="47">
        <f t="shared" si="52"/>
        <v>0</v>
      </c>
      <c r="DI126" s="47"/>
      <c r="DJ126" s="47"/>
      <c r="DK126" s="47"/>
      <c r="DL126" s="47"/>
      <c r="DM126" s="47"/>
      <c r="DN126" s="47"/>
      <c r="DO126" s="47"/>
      <c r="DP126" s="47"/>
      <c r="DQ126">
        <f t="shared" si="53"/>
        <v>0</v>
      </c>
      <c r="DR126">
        <f t="shared" si="78"/>
        <v>0</v>
      </c>
      <c r="DS126">
        <f t="shared" si="62"/>
        <v>0</v>
      </c>
      <c r="DT126">
        <f t="shared" si="63"/>
        <v>0</v>
      </c>
      <c r="DV126" s="110"/>
      <c r="DW126" s="111">
        <f t="shared" si="80"/>
        <v>1600</v>
      </c>
      <c r="DX126" s="112">
        <f>'DDGS Calculator'!D13</f>
        <v>0.8</v>
      </c>
      <c r="DY126" s="94">
        <v>2930</v>
      </c>
      <c r="DZ126" s="94">
        <v>2930</v>
      </c>
      <c r="EA126" s="81"/>
      <c r="EB126" s="113">
        <f t="shared" si="67"/>
        <v>0</v>
      </c>
      <c r="EC126" s="92">
        <v>0</v>
      </c>
      <c r="ED126" s="92">
        <v>0</v>
      </c>
      <c r="EE126" s="92">
        <v>0</v>
      </c>
      <c r="EF126" s="92"/>
      <c r="EG126" s="207"/>
      <c r="EH126" s="92">
        <v>0</v>
      </c>
      <c r="EI126" s="82" t="str">
        <f t="shared" si="79"/>
        <v/>
      </c>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80" t="e">
        <f t="shared" si="56"/>
        <v>#DIV/0!</v>
      </c>
      <c r="FN126" s="80" t="e">
        <f t="shared" si="57"/>
        <v>#DIV/0!</v>
      </c>
      <c r="FO126" s="115" t="e">
        <f t="shared" si="58"/>
        <v>#DIV/0!</v>
      </c>
      <c r="FP126" s="115" t="e">
        <f t="shared" si="59"/>
        <v>#DIV/0!</v>
      </c>
      <c r="FQ126" s="116">
        <f t="shared" si="60"/>
        <v>0</v>
      </c>
    </row>
    <row r="127" spans="1:173" ht="12.75" customHeight="1" x14ac:dyDescent="0.25">
      <c r="A127" s="61">
        <v>129</v>
      </c>
      <c r="B127" t="s">
        <v>340</v>
      </c>
      <c r="C127">
        <v>6573</v>
      </c>
      <c r="D127">
        <v>6573</v>
      </c>
      <c r="E127">
        <v>6166</v>
      </c>
      <c r="F127">
        <v>4780</v>
      </c>
      <c r="I127">
        <v>85.75</v>
      </c>
      <c r="AD127" s="9">
        <v>45.447500000000005</v>
      </c>
      <c r="AN127">
        <v>98</v>
      </c>
      <c r="BH127">
        <v>100</v>
      </c>
      <c r="CF127" s="2">
        <v>0</v>
      </c>
      <c r="CH127" s="47">
        <v>2</v>
      </c>
      <c r="CI127" s="47">
        <v>0</v>
      </c>
      <c r="CJ127" s="47">
        <v>0</v>
      </c>
      <c r="CK127" s="47">
        <v>0</v>
      </c>
      <c r="CL127" s="47">
        <v>0</v>
      </c>
      <c r="CM127" s="47">
        <v>0</v>
      </c>
      <c r="CN127" s="47">
        <v>0</v>
      </c>
      <c r="CO127" s="47">
        <v>0</v>
      </c>
      <c r="CP127" s="47">
        <v>0</v>
      </c>
      <c r="CQ127" s="47">
        <v>0</v>
      </c>
      <c r="CR127" s="47">
        <v>0</v>
      </c>
      <c r="CS127" s="47">
        <v>99</v>
      </c>
      <c r="CT127" s="47">
        <v>0</v>
      </c>
      <c r="CU127" s="47"/>
      <c r="CV127" s="47">
        <v>0</v>
      </c>
      <c r="CW127" s="47">
        <f t="shared" si="72"/>
        <v>0</v>
      </c>
      <c r="CX127" s="47">
        <f t="shared" si="73"/>
        <v>0</v>
      </c>
      <c r="CY127" s="47">
        <f t="shared" si="74"/>
        <v>0</v>
      </c>
      <c r="CZ127" s="47">
        <f t="shared" si="75"/>
        <v>0</v>
      </c>
      <c r="DA127" s="47">
        <f t="shared" si="76"/>
        <v>0</v>
      </c>
      <c r="DB127" s="47">
        <f t="shared" si="77"/>
        <v>0</v>
      </c>
      <c r="DC127" s="47">
        <f t="shared" si="61"/>
        <v>0</v>
      </c>
      <c r="DD127" s="47">
        <f t="shared" si="49"/>
        <v>0</v>
      </c>
      <c r="DE127" s="47">
        <f t="shared" si="47"/>
        <v>0</v>
      </c>
      <c r="DF127" s="47">
        <f t="shared" si="50"/>
        <v>0</v>
      </c>
      <c r="DG127" s="47">
        <f t="shared" si="51"/>
        <v>98</v>
      </c>
      <c r="DH127" s="47">
        <f t="shared" si="52"/>
        <v>0</v>
      </c>
      <c r="DI127" s="47"/>
      <c r="DJ127" s="47"/>
      <c r="DK127" s="47"/>
      <c r="DL127" s="47"/>
      <c r="DM127" s="47"/>
      <c r="DN127" s="47"/>
      <c r="DO127" s="47"/>
      <c r="DP127" s="47"/>
      <c r="DQ127">
        <f t="shared" si="53"/>
        <v>0</v>
      </c>
      <c r="DR127">
        <f t="shared" si="78"/>
        <v>0</v>
      </c>
      <c r="DS127">
        <f t="shared" si="62"/>
        <v>0</v>
      </c>
      <c r="DT127">
        <f t="shared" si="63"/>
        <v>0</v>
      </c>
      <c r="DV127" s="110"/>
      <c r="DW127" s="111">
        <f t="shared" si="80"/>
        <v>7600</v>
      </c>
      <c r="DX127" s="112">
        <f>'DDGS Calculator'!D14</f>
        <v>3.8</v>
      </c>
      <c r="DY127" s="94">
        <v>4770</v>
      </c>
      <c r="DZ127" s="94">
        <v>4770</v>
      </c>
      <c r="EA127" s="81"/>
      <c r="EB127" s="113">
        <f t="shared" si="67"/>
        <v>0</v>
      </c>
      <c r="EC127" s="92">
        <v>0</v>
      </c>
      <c r="ED127" s="92">
        <v>0</v>
      </c>
      <c r="EE127" s="92">
        <v>0</v>
      </c>
      <c r="EF127" s="92"/>
      <c r="EG127" s="207"/>
      <c r="EH127" s="92">
        <v>0</v>
      </c>
      <c r="EI127" s="82" t="str">
        <f t="shared" si="79"/>
        <v/>
      </c>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80" t="e">
        <f t="shared" si="56"/>
        <v>#DIV/0!</v>
      </c>
      <c r="FN127" s="80" t="e">
        <f t="shared" si="57"/>
        <v>#DIV/0!</v>
      </c>
      <c r="FO127" s="115" t="e">
        <f t="shared" si="58"/>
        <v>#DIV/0!</v>
      </c>
      <c r="FP127" s="115" t="e">
        <f t="shared" si="59"/>
        <v>#DIV/0!</v>
      </c>
      <c r="FQ127" s="116">
        <f t="shared" si="60"/>
        <v>0</v>
      </c>
    </row>
    <row r="128" spans="1:173" x14ac:dyDescent="0.25">
      <c r="A128" s="61">
        <v>130</v>
      </c>
      <c r="B128" t="s">
        <v>341</v>
      </c>
      <c r="C128">
        <v>5963</v>
      </c>
      <c r="D128">
        <v>5963</v>
      </c>
      <c r="E128">
        <v>5580</v>
      </c>
      <c r="F128">
        <v>4326</v>
      </c>
      <c r="I128">
        <v>72.099999999999994</v>
      </c>
      <c r="AD128" s="9">
        <v>38.213000000000001</v>
      </c>
      <c r="AO128" s="34">
        <v>96.5</v>
      </c>
      <c r="BI128">
        <v>100</v>
      </c>
      <c r="CF128" s="2">
        <v>0</v>
      </c>
      <c r="CH128" s="47">
        <v>3</v>
      </c>
      <c r="CI128" s="47">
        <v>0</v>
      </c>
      <c r="CJ128" s="47">
        <v>0</v>
      </c>
      <c r="CK128" s="47">
        <v>0</v>
      </c>
      <c r="CL128" s="47">
        <v>0</v>
      </c>
      <c r="CM128" s="47">
        <v>0</v>
      </c>
      <c r="CN128" s="47">
        <v>0</v>
      </c>
      <c r="CO128" s="47">
        <v>0</v>
      </c>
      <c r="CP128" s="47">
        <v>0</v>
      </c>
      <c r="CQ128" s="47">
        <v>0</v>
      </c>
      <c r="CR128" s="47">
        <v>0</v>
      </c>
      <c r="CS128" s="47">
        <v>0</v>
      </c>
      <c r="CT128" s="47">
        <v>99</v>
      </c>
      <c r="CU128" s="47"/>
      <c r="CV128" s="47">
        <v>0</v>
      </c>
      <c r="CW128" s="47">
        <f t="shared" si="72"/>
        <v>0</v>
      </c>
      <c r="CX128" s="47">
        <f t="shared" si="73"/>
        <v>0</v>
      </c>
      <c r="CY128" s="47">
        <f t="shared" si="74"/>
        <v>0</v>
      </c>
      <c r="CZ128" s="47">
        <f t="shared" si="75"/>
        <v>0</v>
      </c>
      <c r="DA128" s="47">
        <f t="shared" si="76"/>
        <v>0</v>
      </c>
      <c r="DB128" s="47">
        <f t="shared" si="77"/>
        <v>0</v>
      </c>
      <c r="DC128" s="47">
        <f t="shared" si="61"/>
        <v>0</v>
      </c>
      <c r="DD128" s="47">
        <f t="shared" si="49"/>
        <v>0</v>
      </c>
      <c r="DE128" s="47">
        <f t="shared" si="47"/>
        <v>0</v>
      </c>
      <c r="DF128" s="47">
        <f t="shared" si="50"/>
        <v>0</v>
      </c>
      <c r="DG128" s="47">
        <f t="shared" si="51"/>
        <v>0</v>
      </c>
      <c r="DH128" s="47">
        <f t="shared" si="52"/>
        <v>96.5</v>
      </c>
      <c r="DI128" s="47"/>
      <c r="DJ128" s="47"/>
      <c r="DK128" s="47"/>
      <c r="DL128" s="47"/>
      <c r="DM128" s="47"/>
      <c r="DN128" s="47"/>
      <c r="DO128" s="47"/>
      <c r="DP128" s="47"/>
      <c r="DQ128">
        <f t="shared" si="53"/>
        <v>0</v>
      </c>
      <c r="DR128">
        <f t="shared" si="78"/>
        <v>0</v>
      </c>
      <c r="DS128">
        <f t="shared" si="62"/>
        <v>0</v>
      </c>
      <c r="DT128">
        <f t="shared" si="63"/>
        <v>0</v>
      </c>
      <c r="DW128" s="111">
        <f t="shared" si="80"/>
        <v>3000</v>
      </c>
      <c r="DX128" s="112">
        <f>'DDGS Calculator'!D15</f>
        <v>1.5</v>
      </c>
      <c r="DY128" s="89">
        <f>E128*0.77</f>
        <v>4296.6000000000004</v>
      </c>
      <c r="DZ128" s="89">
        <f>E128*0.77</f>
        <v>4296.6000000000004</v>
      </c>
      <c r="EA128" s="81"/>
      <c r="EB128" s="113">
        <f t="shared" si="67"/>
        <v>0</v>
      </c>
      <c r="EC128" s="6"/>
      <c r="ED128" s="6"/>
      <c r="EE128" s="6"/>
      <c r="EF128" s="6"/>
      <c r="EG128" s="208"/>
      <c r="EH128" s="6"/>
      <c r="EI128" s="82" t="str">
        <f t="shared" si="79"/>
        <v/>
      </c>
      <c r="FI128" s="6"/>
      <c r="FJ128" s="6"/>
      <c r="FK128" s="6"/>
      <c r="FL128" s="6"/>
      <c r="FM128" s="80" t="e">
        <f t="shared" si="56"/>
        <v>#DIV/0!</v>
      </c>
      <c r="FN128" s="80" t="e">
        <f t="shared" si="57"/>
        <v>#DIV/0!</v>
      </c>
      <c r="FO128" s="115" t="e">
        <f t="shared" si="58"/>
        <v>#DIV/0!</v>
      </c>
      <c r="FP128" s="115" t="e">
        <f t="shared" si="59"/>
        <v>#DIV/0!</v>
      </c>
      <c r="FQ128" s="116">
        <f t="shared" si="60"/>
        <v>0</v>
      </c>
    </row>
    <row r="129" spans="1:204" x14ac:dyDescent="0.25">
      <c r="A129" s="53">
        <v>131</v>
      </c>
      <c r="B129" s="36" t="s">
        <v>408</v>
      </c>
      <c r="C129" s="17">
        <v>6523</v>
      </c>
      <c r="D129" s="17">
        <v>6523</v>
      </c>
      <c r="E129" s="17">
        <v>6150</v>
      </c>
      <c r="F129" s="17">
        <v>4767</v>
      </c>
      <c r="G129" s="17"/>
      <c r="H129" s="17"/>
      <c r="I129" s="17">
        <v>64.400000000000006</v>
      </c>
      <c r="J129" s="17"/>
      <c r="K129" s="17"/>
      <c r="L129" s="17"/>
      <c r="M129" s="17"/>
      <c r="N129" s="17"/>
      <c r="O129" s="17"/>
      <c r="P129" s="17"/>
      <c r="Q129" s="17"/>
      <c r="R129" s="17"/>
      <c r="S129" s="17"/>
      <c r="T129" s="17"/>
      <c r="U129" s="17"/>
      <c r="V129" s="17"/>
      <c r="W129" s="17"/>
      <c r="X129" s="17"/>
      <c r="Y129" s="17"/>
      <c r="Z129" s="17"/>
      <c r="AA129" s="17"/>
      <c r="AB129" s="17"/>
      <c r="AC129" s="17"/>
      <c r="AD129" s="17">
        <v>34.132000000000005</v>
      </c>
      <c r="AE129" s="17"/>
      <c r="AF129" s="17"/>
      <c r="AG129" s="17"/>
      <c r="AH129" s="17">
        <v>99</v>
      </c>
      <c r="AI129" s="17"/>
      <c r="AJ129" s="17"/>
      <c r="AK129" s="17"/>
      <c r="AL129" s="17"/>
      <c r="AM129" s="17"/>
      <c r="AN129" s="17"/>
      <c r="AO129" s="17"/>
      <c r="AP129" s="17"/>
      <c r="AQ129" s="17"/>
      <c r="AR129" s="17"/>
      <c r="AS129" s="17"/>
      <c r="AT129" s="17"/>
      <c r="AU129" s="17"/>
      <c r="AV129" s="17"/>
      <c r="AW129" s="17"/>
      <c r="AX129" s="17"/>
      <c r="AY129" s="17"/>
      <c r="AZ129" s="17"/>
      <c r="BA129" s="17"/>
      <c r="BB129" s="17">
        <v>100</v>
      </c>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62">
        <v>0</v>
      </c>
      <c r="CG129" s="17"/>
      <c r="CH129" s="63">
        <v>4</v>
      </c>
      <c r="CI129" s="63">
        <v>0</v>
      </c>
      <c r="CJ129" s="63">
        <v>0</v>
      </c>
      <c r="CK129" s="63">
        <v>99</v>
      </c>
      <c r="CL129" s="63">
        <v>0</v>
      </c>
      <c r="CM129" s="63">
        <v>0</v>
      </c>
      <c r="CN129" s="63">
        <v>0</v>
      </c>
      <c r="CO129" s="63">
        <v>0</v>
      </c>
      <c r="CP129" s="63">
        <v>0</v>
      </c>
      <c r="CQ129" s="63">
        <v>0</v>
      </c>
      <c r="CR129" s="63">
        <v>0</v>
      </c>
      <c r="CS129" s="63">
        <v>0</v>
      </c>
      <c r="CT129" s="63">
        <v>0</v>
      </c>
      <c r="CU129" s="63"/>
      <c r="CV129" s="63">
        <v>0</v>
      </c>
      <c r="CW129" s="70">
        <f t="shared" si="72"/>
        <v>0</v>
      </c>
      <c r="CX129" s="70">
        <f t="shared" si="73"/>
        <v>0</v>
      </c>
      <c r="CY129" s="70">
        <f t="shared" si="74"/>
        <v>99</v>
      </c>
      <c r="CZ129" s="70">
        <f t="shared" si="75"/>
        <v>0</v>
      </c>
      <c r="DA129" s="70">
        <f t="shared" si="76"/>
        <v>0</v>
      </c>
      <c r="DB129" s="70">
        <f t="shared" si="77"/>
        <v>0</v>
      </c>
      <c r="DC129" s="70">
        <f t="shared" si="61"/>
        <v>0</v>
      </c>
      <c r="DD129" s="70">
        <f t="shared" si="49"/>
        <v>0</v>
      </c>
      <c r="DE129" s="70">
        <f t="shared" si="47"/>
        <v>0</v>
      </c>
      <c r="DF129" s="70">
        <f t="shared" si="50"/>
        <v>0</v>
      </c>
      <c r="DG129" s="70">
        <f t="shared" si="51"/>
        <v>0</v>
      </c>
      <c r="DH129" s="70">
        <f t="shared" si="52"/>
        <v>0</v>
      </c>
      <c r="DI129" s="70"/>
      <c r="DJ129" s="70"/>
      <c r="DK129" s="70"/>
      <c r="DL129" s="70"/>
      <c r="DM129" s="70"/>
      <c r="DN129" s="70"/>
      <c r="DO129" s="70"/>
      <c r="DP129" s="70"/>
      <c r="DQ129" s="109">
        <f t="shared" si="53"/>
        <v>0</v>
      </c>
      <c r="DR129" s="109">
        <f t="shared" si="78"/>
        <v>0</v>
      </c>
      <c r="DS129" s="109">
        <f t="shared" si="62"/>
        <v>0</v>
      </c>
      <c r="DT129" s="109">
        <f t="shared" si="63"/>
        <v>0</v>
      </c>
      <c r="DU129" s="109"/>
      <c r="DW129" s="111">
        <f t="shared" si="80"/>
        <v>14000</v>
      </c>
      <c r="DX129" s="112">
        <v>7</v>
      </c>
      <c r="DY129" s="89">
        <f>E129*0.77</f>
        <v>4735.5</v>
      </c>
      <c r="DZ129" s="89">
        <f>E129*0.77</f>
        <v>4735.5</v>
      </c>
      <c r="EA129" s="81"/>
      <c r="EB129" s="113">
        <f t="shared" si="67"/>
        <v>0</v>
      </c>
      <c r="EC129" s="6"/>
      <c r="ED129" s="6"/>
      <c r="EE129" s="6"/>
      <c r="EF129" s="6"/>
      <c r="EG129" s="209"/>
      <c r="EH129" s="80"/>
      <c r="EI129" s="82" t="str">
        <f t="shared" si="79"/>
        <v/>
      </c>
      <c r="FI129" s="6"/>
      <c r="FJ129" s="6"/>
      <c r="FK129" s="6"/>
      <c r="FL129" s="6"/>
      <c r="FM129" s="80" t="e">
        <f t="shared" si="56"/>
        <v>#DIV/0!</v>
      </c>
      <c r="FN129" s="80" t="e">
        <f t="shared" si="57"/>
        <v>#DIV/0!</v>
      </c>
      <c r="FO129" s="115">
        <f t="shared" si="58"/>
        <v>0</v>
      </c>
      <c r="FP129" s="115" t="e">
        <f t="shared" si="59"/>
        <v>#DIV/0!</v>
      </c>
      <c r="FQ129" s="116">
        <f t="shared" si="60"/>
        <v>0</v>
      </c>
    </row>
    <row r="130" spans="1:204" x14ac:dyDescent="0.25">
      <c r="B130" s="261" t="s">
        <v>35</v>
      </c>
      <c r="D130" s="85">
        <f>E130/0.96</f>
        <v>4927.0833333333339</v>
      </c>
      <c r="E130" s="85">
        <v>4730</v>
      </c>
      <c r="F130" s="85">
        <v>3650</v>
      </c>
      <c r="I130" s="86">
        <v>0</v>
      </c>
      <c r="J130" s="87">
        <v>0</v>
      </c>
      <c r="K130" s="87">
        <v>0</v>
      </c>
      <c r="AH130" s="98">
        <v>0</v>
      </c>
      <c r="AI130" s="98">
        <v>0</v>
      </c>
      <c r="AJ130" s="98">
        <v>0</v>
      </c>
      <c r="AK130" s="86">
        <v>88</v>
      </c>
      <c r="AM130" s="98">
        <v>0</v>
      </c>
      <c r="AN130" s="98">
        <v>0</v>
      </c>
      <c r="AO130" s="98">
        <v>0</v>
      </c>
      <c r="AP130" s="98"/>
      <c r="AQ130" s="98"/>
      <c r="AR130" s="98">
        <v>0</v>
      </c>
      <c r="AS130" s="67"/>
      <c r="AT130" s="67"/>
      <c r="AU130" s="67"/>
      <c r="AV130" s="67"/>
      <c r="BB130" s="100">
        <v>0</v>
      </c>
      <c r="BC130" s="100">
        <v>0</v>
      </c>
      <c r="BD130" s="100">
        <v>0</v>
      </c>
      <c r="BE130" s="13">
        <v>100</v>
      </c>
      <c r="BF130" s="13"/>
      <c r="BG130" s="100">
        <v>0</v>
      </c>
      <c r="BH130" s="100">
        <v>0</v>
      </c>
      <c r="BI130" s="100">
        <v>0</v>
      </c>
      <c r="BJ130" s="78"/>
      <c r="BK130" s="78"/>
      <c r="BL130" s="13">
        <v>100</v>
      </c>
      <c r="BM130" s="13"/>
      <c r="BN130" s="13"/>
      <c r="BO130" s="13"/>
      <c r="BP130" s="13"/>
      <c r="BS130" s="86"/>
      <c r="BT130" s="105"/>
      <c r="BU130" s="87">
        <v>0</v>
      </c>
      <c r="BW130" s="87">
        <v>0</v>
      </c>
      <c r="BX130" s="86"/>
      <c r="CV130" s="47"/>
      <c r="CW130" s="47">
        <f t="shared" ref="CW130:CW187" si="81">AF130*AZ130/100</f>
        <v>0</v>
      </c>
      <c r="CX130" s="47">
        <f t="shared" ref="CX130:CX171" si="82">AG130*BA130/100</f>
        <v>0</v>
      </c>
      <c r="CY130" s="47">
        <f t="shared" ref="CY130:CY187" si="83">AH130*BB130/100</f>
        <v>0</v>
      </c>
      <c r="CZ130" s="47">
        <f t="shared" ref="CZ130:CZ187" si="84">AI130*BC130/100</f>
        <v>0</v>
      </c>
      <c r="DA130" s="47">
        <f t="shared" ref="DA130:DA187" si="85">AJ130*BD130/100</f>
        <v>0</v>
      </c>
      <c r="DB130" s="47">
        <f t="shared" ref="DB130:DB187" si="86">AK130*BE130/100</f>
        <v>88</v>
      </c>
      <c r="DC130" s="47">
        <f t="shared" si="61"/>
        <v>88</v>
      </c>
      <c r="DD130" s="47">
        <f t="shared" si="49"/>
        <v>0</v>
      </c>
      <c r="DE130" s="47">
        <f t="shared" si="47"/>
        <v>0</v>
      </c>
      <c r="DF130" s="47">
        <f t="shared" si="50"/>
        <v>0</v>
      </c>
      <c r="DG130" s="47">
        <f t="shared" si="51"/>
        <v>0</v>
      </c>
      <c r="DH130" s="47">
        <f t="shared" si="52"/>
        <v>0</v>
      </c>
      <c r="DI130" s="47"/>
      <c r="DJ130" s="47"/>
      <c r="DK130" s="47"/>
      <c r="DL130" s="47"/>
      <c r="DM130" s="47"/>
      <c r="DN130" s="47"/>
      <c r="DO130" s="47"/>
      <c r="DQ130">
        <f>CB130*BX130/100</f>
        <v>0</v>
      </c>
      <c r="DR130">
        <f t="shared" ref="DR130:DR165" si="87">CC130*BX130/100</f>
        <v>0</v>
      </c>
      <c r="DS130">
        <f t="shared" si="62"/>
        <v>0</v>
      </c>
      <c r="DT130">
        <f t="shared" si="63"/>
        <v>0</v>
      </c>
      <c r="DV130" s="110"/>
      <c r="DW130" s="111">
        <f>DX130*2000</f>
        <v>2400</v>
      </c>
      <c r="DX130" s="112">
        <v>1.2</v>
      </c>
      <c r="DY130" s="94">
        <v>3650</v>
      </c>
      <c r="DZ130" s="94">
        <v>3650</v>
      </c>
      <c r="EA130" s="81"/>
      <c r="EB130" s="113">
        <f t="shared" si="67"/>
        <v>0</v>
      </c>
      <c r="EC130" s="92">
        <v>0</v>
      </c>
      <c r="ED130" s="92">
        <v>0</v>
      </c>
      <c r="EE130" s="92">
        <v>0</v>
      </c>
      <c r="EF130" s="92"/>
      <c r="EG130" s="207"/>
      <c r="EH130" s="92">
        <v>0</v>
      </c>
      <c r="EI130" s="82">
        <f t="shared" si="79"/>
        <v>0</v>
      </c>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80" t="e">
        <f t="shared" si="56"/>
        <v>#DIV/0!</v>
      </c>
      <c r="FN130" s="80" t="e">
        <f t="shared" si="57"/>
        <v>#DIV/0!</v>
      </c>
      <c r="FO130" s="66" t="e">
        <f t="shared" si="58"/>
        <v>#DIV/0!</v>
      </c>
      <c r="FP130" s="66" t="e">
        <f t="shared" si="59"/>
        <v>#DIV/0!</v>
      </c>
      <c r="FQ130" s="83" t="e">
        <f t="shared" si="60"/>
        <v>#DIV/0!</v>
      </c>
    </row>
    <row r="131" spans="1:204" x14ac:dyDescent="0.25">
      <c r="B131" s="54" t="s">
        <v>97</v>
      </c>
      <c r="D131" s="88">
        <f>17.59/4.184*1000</f>
        <v>4204.1108986615673</v>
      </c>
      <c r="E131" s="88">
        <f>15.35/4.184*1000</f>
        <v>3668.738049713193</v>
      </c>
      <c r="F131" s="89">
        <f>E131*0.77</f>
        <v>2824.9282982791588</v>
      </c>
      <c r="I131" s="33">
        <f>0.192*6.25*100</f>
        <v>120</v>
      </c>
      <c r="J131" s="6"/>
      <c r="K131" s="6"/>
      <c r="AH131" s="7"/>
      <c r="AI131" s="7"/>
      <c r="AJ131" s="7"/>
      <c r="AK131" s="7"/>
      <c r="AM131" s="7"/>
      <c r="AN131" s="7"/>
      <c r="AO131" s="7"/>
      <c r="AP131" s="7"/>
      <c r="AQ131" s="7"/>
      <c r="AR131" s="7"/>
      <c r="AS131" s="7"/>
      <c r="AT131" s="7"/>
      <c r="AU131" s="7"/>
      <c r="AV131" s="7"/>
      <c r="BB131" s="76"/>
      <c r="BC131" s="76"/>
      <c r="BD131" s="76"/>
      <c r="BE131" s="76"/>
      <c r="BF131" s="13"/>
      <c r="BG131" s="76"/>
      <c r="BH131" s="76"/>
      <c r="BI131" s="76"/>
      <c r="BJ131" s="76"/>
      <c r="BK131" s="76"/>
      <c r="BL131" s="76"/>
      <c r="BM131" s="76"/>
      <c r="BN131" s="76"/>
      <c r="BO131" s="76"/>
      <c r="BP131" s="76"/>
      <c r="BS131" s="7"/>
      <c r="BT131" s="6"/>
      <c r="BU131" s="6"/>
      <c r="BW131" s="6"/>
      <c r="BX131" s="7"/>
      <c r="CV131" s="47"/>
      <c r="CW131" s="47">
        <f t="shared" si="81"/>
        <v>0</v>
      </c>
      <c r="CX131" s="47">
        <f t="shared" si="82"/>
        <v>0</v>
      </c>
      <c r="CY131" s="47">
        <f t="shared" si="83"/>
        <v>0</v>
      </c>
      <c r="CZ131" s="47">
        <f t="shared" si="84"/>
        <v>0</v>
      </c>
      <c r="DA131" s="47">
        <f t="shared" si="85"/>
        <v>0</v>
      </c>
      <c r="DB131" s="47">
        <f t="shared" si="86"/>
        <v>0</v>
      </c>
      <c r="DC131" s="47">
        <f t="shared" si="61"/>
        <v>0</v>
      </c>
      <c r="DD131" s="47">
        <f t="shared" si="49"/>
        <v>0</v>
      </c>
      <c r="DE131" s="47">
        <f t="shared" si="47"/>
        <v>0</v>
      </c>
      <c r="DF131" s="47">
        <f t="shared" si="50"/>
        <v>0</v>
      </c>
      <c r="DG131" s="47">
        <f t="shared" si="51"/>
        <v>0</v>
      </c>
      <c r="DH131" s="47">
        <f t="shared" si="52"/>
        <v>0</v>
      </c>
      <c r="DI131" s="47"/>
      <c r="DJ131" s="47"/>
      <c r="DK131" s="47"/>
      <c r="DL131" s="47"/>
      <c r="DM131" s="47"/>
      <c r="DN131" s="47"/>
      <c r="DO131" s="47"/>
      <c r="DQ131">
        <f t="shared" ref="DQ131:DQ184" si="88">CB131*BX131/100</f>
        <v>0</v>
      </c>
      <c r="DR131">
        <f t="shared" si="87"/>
        <v>0</v>
      </c>
      <c r="DS131">
        <f t="shared" si="62"/>
        <v>0</v>
      </c>
      <c r="DT131">
        <f t="shared" si="63"/>
        <v>0</v>
      </c>
      <c r="DW131" s="111">
        <f t="shared" ref="DW131:DW136" si="89">DX131*2000</f>
        <v>0</v>
      </c>
      <c r="DX131" s="112">
        <v>0</v>
      </c>
      <c r="DY131" s="89">
        <f>E131*0.77</f>
        <v>2824.9282982791588</v>
      </c>
      <c r="DZ131" s="89">
        <f>E131*0.77</f>
        <v>2824.9282982791588</v>
      </c>
      <c r="EA131" s="81"/>
      <c r="EB131" s="113">
        <f t="shared" si="67"/>
        <v>0</v>
      </c>
      <c r="EC131" s="6"/>
      <c r="ED131" s="6"/>
      <c r="EE131" s="6"/>
      <c r="EF131" s="6"/>
      <c r="EG131" s="208"/>
      <c r="EH131" s="6"/>
      <c r="EI131" s="82" t="str">
        <f t="shared" si="79"/>
        <v/>
      </c>
      <c r="FM131" s="80" t="e">
        <f t="shared" si="56"/>
        <v>#DIV/0!</v>
      </c>
      <c r="FN131" s="80" t="e">
        <f t="shared" si="57"/>
        <v>#DIV/0!</v>
      </c>
      <c r="FO131" s="115" t="e">
        <f t="shared" si="58"/>
        <v>#DIV/0!</v>
      </c>
      <c r="FP131" s="115" t="e">
        <f t="shared" si="59"/>
        <v>#DIV/0!</v>
      </c>
      <c r="FQ131" s="116">
        <f t="shared" si="60"/>
        <v>0</v>
      </c>
    </row>
    <row r="132" spans="1:204" x14ac:dyDescent="0.25">
      <c r="B132" s="54" t="s">
        <v>98</v>
      </c>
      <c r="D132" s="89">
        <f>E132/0.96</f>
        <v>3629.166666666667</v>
      </c>
      <c r="E132" s="89">
        <v>3484</v>
      </c>
      <c r="F132" s="89">
        <f>E132*0.77</f>
        <v>2682.68</v>
      </c>
      <c r="I132" s="7">
        <v>56.8</v>
      </c>
      <c r="J132" s="6"/>
      <c r="K132" s="6"/>
      <c r="AH132" s="7"/>
      <c r="AI132" s="7"/>
      <c r="AJ132" s="7"/>
      <c r="AK132" s="7"/>
      <c r="AM132" s="7"/>
      <c r="AN132" s="7"/>
      <c r="AO132" s="7"/>
      <c r="AP132" s="7"/>
      <c r="AQ132" s="7"/>
      <c r="AR132" s="7"/>
      <c r="AS132" s="7"/>
      <c r="AT132" s="7"/>
      <c r="AU132" s="7"/>
      <c r="AV132" s="7"/>
      <c r="BB132" s="76"/>
      <c r="BC132" s="76"/>
      <c r="BD132" s="76"/>
      <c r="BE132" s="76"/>
      <c r="BF132" s="13"/>
      <c r="BG132" s="76"/>
      <c r="BH132" s="76"/>
      <c r="BI132" s="76"/>
      <c r="BJ132" s="76"/>
      <c r="BK132" s="76"/>
      <c r="BL132" s="76"/>
      <c r="BM132" s="76"/>
      <c r="BN132" s="76"/>
      <c r="BO132" s="76"/>
      <c r="BP132" s="76"/>
      <c r="BS132" s="7"/>
      <c r="BT132" s="6"/>
      <c r="BU132" s="6"/>
      <c r="BW132" s="6"/>
      <c r="BX132" s="7"/>
      <c r="CV132" s="47"/>
      <c r="CW132" s="47">
        <f t="shared" si="81"/>
        <v>0</v>
      </c>
      <c r="CX132" s="47">
        <f t="shared" si="82"/>
        <v>0</v>
      </c>
      <c r="CY132" s="47">
        <f t="shared" si="83"/>
        <v>0</v>
      </c>
      <c r="CZ132" s="47">
        <f t="shared" si="84"/>
        <v>0</v>
      </c>
      <c r="DA132" s="47">
        <f t="shared" si="85"/>
        <v>0</v>
      </c>
      <c r="DB132" s="47">
        <f t="shared" si="86"/>
        <v>0</v>
      </c>
      <c r="DC132" s="47">
        <f t="shared" si="61"/>
        <v>0</v>
      </c>
      <c r="DD132" s="47">
        <f t="shared" si="49"/>
        <v>0</v>
      </c>
      <c r="DE132" s="47">
        <f t="shared" si="47"/>
        <v>0</v>
      </c>
      <c r="DF132" s="47">
        <f t="shared" si="50"/>
        <v>0</v>
      </c>
      <c r="DG132" s="47">
        <f t="shared" si="51"/>
        <v>0</v>
      </c>
      <c r="DH132" s="47">
        <f t="shared" si="52"/>
        <v>0</v>
      </c>
      <c r="DI132" s="47"/>
      <c r="DJ132" s="47"/>
      <c r="DK132" s="47"/>
      <c r="DL132" s="47"/>
      <c r="DM132" s="47"/>
      <c r="DN132" s="47"/>
      <c r="DO132" s="47"/>
      <c r="DQ132">
        <f t="shared" si="88"/>
        <v>0</v>
      </c>
      <c r="DR132">
        <f t="shared" si="87"/>
        <v>0</v>
      </c>
      <c r="DS132">
        <f t="shared" si="62"/>
        <v>0</v>
      </c>
      <c r="DT132">
        <f t="shared" si="63"/>
        <v>0</v>
      </c>
      <c r="DW132" s="111">
        <f t="shared" si="89"/>
        <v>0</v>
      </c>
      <c r="DX132" s="112">
        <v>0</v>
      </c>
      <c r="DY132" s="89">
        <f>E132*0.77</f>
        <v>2682.68</v>
      </c>
      <c r="DZ132" s="89">
        <f>E132*0.77</f>
        <v>2682.68</v>
      </c>
      <c r="EA132" s="81"/>
      <c r="EB132" s="113">
        <f t="shared" si="67"/>
        <v>0</v>
      </c>
      <c r="EC132" s="6"/>
      <c r="ED132" s="6"/>
      <c r="EE132" s="6"/>
      <c r="EF132" s="6"/>
      <c r="EG132" s="208"/>
      <c r="EH132" s="6"/>
      <c r="EI132" s="82" t="str">
        <f t="shared" si="79"/>
        <v/>
      </c>
      <c r="FM132" s="80" t="e">
        <f t="shared" si="56"/>
        <v>#DIV/0!</v>
      </c>
      <c r="FN132" s="80" t="e">
        <f t="shared" si="57"/>
        <v>#DIV/0!</v>
      </c>
      <c r="FO132" s="115" t="e">
        <f t="shared" si="58"/>
        <v>#DIV/0!</v>
      </c>
      <c r="FP132" s="115" t="e">
        <f t="shared" si="59"/>
        <v>#DIV/0!</v>
      </c>
      <c r="FQ132" s="116">
        <f t="shared" si="60"/>
        <v>0</v>
      </c>
    </row>
    <row r="133" spans="1:204" x14ac:dyDescent="0.25">
      <c r="B133" s="54" t="s">
        <v>99</v>
      </c>
      <c r="D133" s="90">
        <f>2007*2.2046</f>
        <v>4424.6322</v>
      </c>
      <c r="E133" s="90">
        <f>1916*2.2046</f>
        <v>4224.0136000000002</v>
      </c>
      <c r="F133" s="90">
        <f>DY133</f>
        <v>3145.9642000000003</v>
      </c>
      <c r="I133" s="91">
        <v>75</v>
      </c>
      <c r="J133" s="92"/>
      <c r="K133" s="92"/>
      <c r="AH133" s="73">
        <v>0.4</v>
      </c>
      <c r="AI133" s="73">
        <v>0.7</v>
      </c>
      <c r="AJ133" s="73">
        <v>50.7</v>
      </c>
      <c r="AK133" s="73">
        <v>0.2</v>
      </c>
      <c r="AM133" s="73">
        <v>0.4</v>
      </c>
      <c r="AN133" s="73">
        <v>0.14000000000000001</v>
      </c>
      <c r="AO133" s="73">
        <v>0.7</v>
      </c>
      <c r="AP133" s="73"/>
      <c r="AQ133" s="73"/>
      <c r="AR133" s="73">
        <v>0.1</v>
      </c>
      <c r="AS133" s="73"/>
      <c r="AT133" s="73"/>
      <c r="AU133" s="73"/>
      <c r="AV133" s="73"/>
      <c r="BB133" s="13">
        <v>100</v>
      </c>
      <c r="BC133" s="13">
        <v>100</v>
      </c>
      <c r="BD133" s="13">
        <v>100</v>
      </c>
      <c r="BE133" s="13">
        <v>100</v>
      </c>
      <c r="BF133" s="13">
        <v>100</v>
      </c>
      <c r="BG133" s="13">
        <v>100</v>
      </c>
      <c r="BH133" s="13">
        <v>100</v>
      </c>
      <c r="BI133" s="13">
        <v>100</v>
      </c>
      <c r="BJ133" s="13"/>
      <c r="BK133" s="13"/>
      <c r="BL133" s="13">
        <v>100</v>
      </c>
      <c r="BM133" s="13"/>
      <c r="BN133" s="13"/>
      <c r="BO133" s="13"/>
      <c r="BP133" s="13"/>
      <c r="BS133" s="91"/>
      <c r="BT133" s="6"/>
      <c r="BU133" s="92"/>
      <c r="BW133" s="92"/>
      <c r="BX133" s="91">
        <v>0.16</v>
      </c>
      <c r="CV133" s="47"/>
      <c r="CW133" s="47">
        <f t="shared" si="81"/>
        <v>0</v>
      </c>
      <c r="CX133" s="47">
        <f t="shared" si="82"/>
        <v>0</v>
      </c>
      <c r="CY133" s="47">
        <f t="shared" si="83"/>
        <v>0.4</v>
      </c>
      <c r="CZ133" s="47">
        <f t="shared" si="84"/>
        <v>0.7</v>
      </c>
      <c r="DA133" s="47">
        <f t="shared" si="85"/>
        <v>50.7</v>
      </c>
      <c r="DB133" s="47">
        <f t="shared" si="86"/>
        <v>0.2</v>
      </c>
      <c r="DC133" s="47">
        <f t="shared" si="61"/>
        <v>0.3</v>
      </c>
      <c r="DD133" s="47">
        <f t="shared" si="49"/>
        <v>0</v>
      </c>
      <c r="DE133" s="47">
        <f t="shared" si="47"/>
        <v>0</v>
      </c>
      <c r="DF133" s="47">
        <f t="shared" si="50"/>
        <v>0.4</v>
      </c>
      <c r="DG133" s="47">
        <f t="shared" si="51"/>
        <v>0.14000000000000001</v>
      </c>
      <c r="DH133" s="47">
        <f t="shared" si="52"/>
        <v>0.7</v>
      </c>
      <c r="DI133" s="47"/>
      <c r="DJ133" s="47"/>
      <c r="DK133" s="47"/>
      <c r="DL133" s="47"/>
      <c r="DM133" s="47"/>
      <c r="DN133" s="47"/>
      <c r="DO133" s="47"/>
      <c r="DQ133">
        <f t="shared" si="88"/>
        <v>0</v>
      </c>
      <c r="DR133">
        <f t="shared" si="87"/>
        <v>0</v>
      </c>
      <c r="DS133">
        <f t="shared" si="62"/>
        <v>0</v>
      </c>
      <c r="DT133">
        <f t="shared" si="63"/>
        <v>0</v>
      </c>
      <c r="DV133" s="110"/>
      <c r="DW133" s="111">
        <f t="shared" si="89"/>
        <v>1400</v>
      </c>
      <c r="DX133" s="112">
        <v>0.7</v>
      </c>
      <c r="DY133" s="93">
        <f>1427*2.2046</f>
        <v>3145.9642000000003</v>
      </c>
      <c r="DZ133" s="93">
        <f>DY133</f>
        <v>3145.9642000000003</v>
      </c>
      <c r="EA133" s="81">
        <v>1</v>
      </c>
      <c r="EB133" s="113">
        <f t="shared" si="67"/>
        <v>0.16</v>
      </c>
      <c r="EC133" s="92"/>
      <c r="ED133" s="92"/>
      <c r="EE133" s="92"/>
      <c r="EF133" s="92"/>
      <c r="EG133" s="207"/>
      <c r="EH133" s="92"/>
      <c r="EI133" s="82">
        <f t="shared" si="79"/>
        <v>10</v>
      </c>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80">
        <f t="shared" si="56"/>
        <v>1</v>
      </c>
      <c r="FN133" s="80">
        <f t="shared" si="57"/>
        <v>0.57142857142857151</v>
      </c>
      <c r="FO133" s="115">
        <f t="shared" si="58"/>
        <v>1.7499999999999998</v>
      </c>
      <c r="FP133" s="115">
        <f t="shared" si="59"/>
        <v>0.20000000000000004</v>
      </c>
      <c r="FQ133" s="116">
        <f t="shared" si="60"/>
        <v>9.3333333333333324E-3</v>
      </c>
    </row>
    <row r="134" spans="1:204" x14ac:dyDescent="0.25">
      <c r="B134" s="54" t="s">
        <v>101</v>
      </c>
      <c r="D134" s="93">
        <v>3740</v>
      </c>
      <c r="E134" s="90">
        <v>3390</v>
      </c>
      <c r="F134" s="90">
        <v>2640</v>
      </c>
      <c r="I134" s="91">
        <f>11.5*6.25</f>
        <v>71.875</v>
      </c>
      <c r="J134" s="92"/>
      <c r="K134" s="92"/>
      <c r="AH134" s="67"/>
      <c r="AI134" s="67"/>
      <c r="AJ134" s="73">
        <v>60</v>
      </c>
      <c r="AK134" s="91"/>
      <c r="AM134" s="67"/>
      <c r="AN134" s="67"/>
      <c r="AO134" s="67"/>
      <c r="AP134" s="67"/>
      <c r="AQ134" s="67"/>
      <c r="AR134" s="67"/>
      <c r="AS134" s="67"/>
      <c r="AT134" s="67"/>
      <c r="AU134" s="67"/>
      <c r="AV134" s="67"/>
      <c r="BB134" s="78"/>
      <c r="BC134" s="78"/>
      <c r="BD134" s="13">
        <v>100</v>
      </c>
      <c r="BE134" s="77"/>
      <c r="BF134" s="13"/>
      <c r="BG134" s="78"/>
      <c r="BH134" s="78"/>
      <c r="BI134" s="78"/>
      <c r="BJ134" s="78"/>
      <c r="BK134" s="78"/>
      <c r="BL134" s="77"/>
      <c r="BM134" s="77"/>
      <c r="BN134" s="77"/>
      <c r="BO134" s="77"/>
      <c r="BP134" s="77"/>
      <c r="BS134" s="91"/>
      <c r="BT134" s="6"/>
      <c r="BU134" s="92"/>
      <c r="BW134" s="92"/>
      <c r="BX134" s="91"/>
      <c r="CV134" s="47"/>
      <c r="CW134" s="47">
        <f t="shared" si="81"/>
        <v>0</v>
      </c>
      <c r="CX134" s="47">
        <f t="shared" si="82"/>
        <v>0</v>
      </c>
      <c r="CY134" s="47">
        <f t="shared" si="83"/>
        <v>0</v>
      </c>
      <c r="CZ134" s="47">
        <f t="shared" si="84"/>
        <v>0</v>
      </c>
      <c r="DA134" s="47">
        <f t="shared" si="85"/>
        <v>60</v>
      </c>
      <c r="DB134" s="47">
        <f t="shared" si="86"/>
        <v>0</v>
      </c>
      <c r="DC134" s="47">
        <f t="shared" si="61"/>
        <v>0</v>
      </c>
      <c r="DD134" s="47">
        <f t="shared" si="49"/>
        <v>0</v>
      </c>
      <c r="DE134" s="47">
        <f t="shared" si="47"/>
        <v>0</v>
      </c>
      <c r="DF134" s="47">
        <f t="shared" si="50"/>
        <v>0</v>
      </c>
      <c r="DG134" s="47">
        <f t="shared" si="51"/>
        <v>0</v>
      </c>
      <c r="DH134" s="47">
        <f t="shared" si="52"/>
        <v>0</v>
      </c>
      <c r="DI134" s="47"/>
      <c r="DJ134" s="47"/>
      <c r="DK134" s="47"/>
      <c r="DL134" s="47"/>
      <c r="DM134" s="47"/>
      <c r="DN134" s="47"/>
      <c r="DO134" s="47"/>
      <c r="DQ134">
        <f t="shared" si="88"/>
        <v>0</v>
      </c>
      <c r="DR134">
        <f t="shared" si="87"/>
        <v>0</v>
      </c>
      <c r="DS134">
        <f t="shared" si="62"/>
        <v>0</v>
      </c>
      <c r="DT134">
        <f t="shared" si="63"/>
        <v>0</v>
      </c>
      <c r="DV134" s="110"/>
      <c r="DW134" s="111">
        <f t="shared" si="89"/>
        <v>1200</v>
      </c>
      <c r="DX134" s="112">
        <v>0.6</v>
      </c>
      <c r="DY134" s="93">
        <v>2640</v>
      </c>
      <c r="DZ134" s="93">
        <v>2640</v>
      </c>
      <c r="EA134" s="81"/>
      <c r="EB134" s="113">
        <f t="shared" si="67"/>
        <v>0</v>
      </c>
      <c r="EC134" s="92"/>
      <c r="ED134" s="92"/>
      <c r="EE134" s="92"/>
      <c r="EF134" s="92"/>
      <c r="EG134" s="207"/>
      <c r="EH134" s="92"/>
      <c r="EI134" s="82" t="str">
        <f t="shared" si="79"/>
        <v/>
      </c>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80" t="e">
        <f t="shared" si="56"/>
        <v>#DIV/0!</v>
      </c>
      <c r="FN134" s="80" t="e">
        <f t="shared" si="57"/>
        <v>#DIV/0!</v>
      </c>
      <c r="FO134" s="115" t="e">
        <f t="shared" si="58"/>
        <v>#DIV/0!</v>
      </c>
      <c r="FP134" s="115" t="e">
        <f t="shared" si="59"/>
        <v>#DIV/0!</v>
      </c>
      <c r="FQ134" s="116">
        <f t="shared" si="60"/>
        <v>0</v>
      </c>
    </row>
    <row r="135" spans="1:204" x14ac:dyDescent="0.25">
      <c r="B135" s="54" t="s">
        <v>100</v>
      </c>
      <c r="D135" s="90">
        <f>E135/0.96</f>
        <v>4578.125</v>
      </c>
      <c r="E135" s="90">
        <v>4395</v>
      </c>
      <c r="F135" s="90">
        <f>0.77*E135</f>
        <v>3384.15</v>
      </c>
      <c r="I135" s="91">
        <v>49.4</v>
      </c>
      <c r="J135" s="92"/>
      <c r="K135" s="92"/>
      <c r="AH135" s="67"/>
      <c r="AI135" s="67"/>
      <c r="AJ135" s="67"/>
      <c r="AK135" s="91">
        <v>84</v>
      </c>
      <c r="AM135" s="67"/>
      <c r="AN135" s="67"/>
      <c r="AO135" s="67"/>
      <c r="AP135" s="67"/>
      <c r="AQ135" s="67"/>
      <c r="AR135" s="67"/>
      <c r="AS135" s="67"/>
      <c r="AT135" s="67"/>
      <c r="AU135" s="67"/>
      <c r="AV135" s="67"/>
      <c r="BB135" s="78"/>
      <c r="BC135" s="78"/>
      <c r="BD135" s="78"/>
      <c r="BE135" s="13">
        <v>100</v>
      </c>
      <c r="BF135" s="13"/>
      <c r="BG135" s="78"/>
      <c r="BH135" s="78"/>
      <c r="BI135" s="78"/>
      <c r="BJ135" s="78"/>
      <c r="BK135" s="78"/>
      <c r="BL135" s="77"/>
      <c r="BM135" s="77"/>
      <c r="BN135" s="77"/>
      <c r="BO135" s="77"/>
      <c r="BP135" s="77"/>
      <c r="BS135" s="91">
        <v>12</v>
      </c>
      <c r="BT135" s="6"/>
      <c r="BU135" s="92"/>
      <c r="BW135" s="92"/>
      <c r="BX135" s="91"/>
      <c r="CV135" s="47"/>
      <c r="CW135" s="47">
        <f t="shared" si="81"/>
        <v>0</v>
      </c>
      <c r="CX135" s="47">
        <f t="shared" si="82"/>
        <v>0</v>
      </c>
      <c r="CY135" s="47">
        <f t="shared" si="83"/>
        <v>0</v>
      </c>
      <c r="CZ135" s="47">
        <f t="shared" si="84"/>
        <v>0</v>
      </c>
      <c r="DA135" s="47">
        <f t="shared" si="85"/>
        <v>0</v>
      </c>
      <c r="DB135" s="47">
        <f t="shared" si="86"/>
        <v>84</v>
      </c>
      <c r="DC135" s="47">
        <f t="shared" si="61"/>
        <v>84</v>
      </c>
      <c r="DD135" s="47">
        <f t="shared" si="49"/>
        <v>0</v>
      </c>
      <c r="DE135" s="47">
        <f t="shared" si="47"/>
        <v>0</v>
      </c>
      <c r="DF135" s="47">
        <f t="shared" si="50"/>
        <v>0</v>
      </c>
      <c r="DG135" s="47">
        <f t="shared" si="51"/>
        <v>0</v>
      </c>
      <c r="DH135" s="47">
        <f t="shared" si="52"/>
        <v>0</v>
      </c>
      <c r="DI135" s="47"/>
      <c r="DJ135" s="47"/>
      <c r="DK135" s="47"/>
      <c r="DL135" s="47"/>
      <c r="DM135" s="47"/>
      <c r="DN135" s="47"/>
      <c r="DO135" s="47"/>
      <c r="DQ135">
        <f t="shared" si="88"/>
        <v>0</v>
      </c>
      <c r="DR135">
        <f t="shared" si="87"/>
        <v>0</v>
      </c>
      <c r="DS135">
        <f t="shared" si="62"/>
        <v>0</v>
      </c>
      <c r="DT135">
        <f t="shared" si="63"/>
        <v>0</v>
      </c>
      <c r="DV135" s="110"/>
      <c r="DW135" s="111">
        <f t="shared" si="89"/>
        <v>4400</v>
      </c>
      <c r="DX135" s="112">
        <v>2.2000000000000002</v>
      </c>
      <c r="DY135" s="94">
        <f>0.77*E135</f>
        <v>3384.15</v>
      </c>
      <c r="DZ135" s="94">
        <f>0.77*E135</f>
        <v>3384.15</v>
      </c>
      <c r="EA135" s="81"/>
      <c r="EB135" s="113">
        <f t="shared" si="67"/>
        <v>0</v>
      </c>
      <c r="EC135" s="92"/>
      <c r="ED135" s="92"/>
      <c r="EE135" s="92"/>
      <c r="EF135" s="92"/>
      <c r="EG135" s="207"/>
      <c r="EH135" s="92"/>
      <c r="EI135" s="82" t="str">
        <f t="shared" si="79"/>
        <v/>
      </c>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80" t="e">
        <f t="shared" si="56"/>
        <v>#DIV/0!</v>
      </c>
      <c r="FN135" s="80" t="e">
        <f t="shared" si="57"/>
        <v>#DIV/0!</v>
      </c>
      <c r="FO135" s="115" t="e">
        <f t="shared" si="58"/>
        <v>#DIV/0!</v>
      </c>
      <c r="FP135" s="115" t="e">
        <f t="shared" si="59"/>
        <v>#DIV/0!</v>
      </c>
      <c r="FQ135" s="116">
        <f t="shared" si="60"/>
        <v>0</v>
      </c>
    </row>
    <row r="136" spans="1:204" ht="12.75" customHeight="1" x14ac:dyDescent="0.25">
      <c r="B136" t="s">
        <v>36</v>
      </c>
      <c r="D136" s="94"/>
      <c r="E136" s="94"/>
      <c r="F136" s="94"/>
      <c r="I136" s="91"/>
      <c r="J136" s="92">
        <v>0</v>
      </c>
      <c r="K136" s="92">
        <v>0</v>
      </c>
      <c r="AH136" s="67">
        <v>0</v>
      </c>
      <c r="AI136" s="67">
        <v>0</v>
      </c>
      <c r="AJ136" s="67">
        <v>0</v>
      </c>
      <c r="AK136" s="67">
        <v>0</v>
      </c>
      <c r="AM136" s="67">
        <v>0</v>
      </c>
      <c r="AN136" s="67">
        <v>0</v>
      </c>
      <c r="AO136" s="67">
        <v>0</v>
      </c>
      <c r="AP136" s="67"/>
      <c r="AQ136" s="67"/>
      <c r="AR136" s="67">
        <v>0</v>
      </c>
      <c r="AS136" s="67"/>
      <c r="AT136" s="67"/>
      <c r="AU136" s="67"/>
      <c r="AV136" s="67"/>
      <c r="BB136" s="78">
        <v>0</v>
      </c>
      <c r="BC136" s="78">
        <v>0</v>
      </c>
      <c r="BD136" s="78">
        <v>0</v>
      </c>
      <c r="BE136" s="78">
        <v>0</v>
      </c>
      <c r="BF136" s="13"/>
      <c r="BG136" s="78">
        <v>0</v>
      </c>
      <c r="BH136" s="78">
        <v>0</v>
      </c>
      <c r="BI136" s="78">
        <v>0</v>
      </c>
      <c r="BJ136" s="78"/>
      <c r="BK136" s="78"/>
      <c r="BL136" s="78">
        <v>0</v>
      </c>
      <c r="BM136" s="78"/>
      <c r="BN136" s="78"/>
      <c r="BO136" s="78"/>
      <c r="BP136" s="78"/>
      <c r="BS136" s="91"/>
      <c r="BT136" s="6"/>
      <c r="BU136" s="92">
        <v>0</v>
      </c>
      <c r="BW136" s="92">
        <v>0</v>
      </c>
      <c r="BX136" s="91"/>
      <c r="CV136" s="47"/>
      <c r="CW136" s="47">
        <f t="shared" si="81"/>
        <v>0</v>
      </c>
      <c r="CX136" s="47">
        <f t="shared" si="82"/>
        <v>0</v>
      </c>
      <c r="CY136" s="47">
        <f t="shared" si="83"/>
        <v>0</v>
      </c>
      <c r="CZ136" s="47">
        <f t="shared" si="84"/>
        <v>0</v>
      </c>
      <c r="DA136" s="47">
        <f t="shared" si="85"/>
        <v>0</v>
      </c>
      <c r="DB136" s="47">
        <f t="shared" si="86"/>
        <v>0</v>
      </c>
      <c r="DC136" s="47">
        <f t="shared" si="61"/>
        <v>0</v>
      </c>
      <c r="DD136" s="47">
        <f t="shared" si="49"/>
        <v>0</v>
      </c>
      <c r="DE136" s="47">
        <f t="shared" ref="DE136:DE149" si="90">DD136+BQ136*AW136/100</f>
        <v>0</v>
      </c>
      <c r="DF136" s="47">
        <f t="shared" si="50"/>
        <v>0</v>
      </c>
      <c r="DG136" s="47">
        <f t="shared" si="51"/>
        <v>0</v>
      </c>
      <c r="DH136" s="47">
        <f t="shared" si="52"/>
        <v>0</v>
      </c>
      <c r="DI136" s="47"/>
      <c r="DJ136" s="47"/>
      <c r="DK136" s="47"/>
      <c r="DL136" s="47"/>
      <c r="DM136" s="47"/>
      <c r="DN136" s="47"/>
      <c r="DO136" s="47"/>
      <c r="DQ136">
        <f t="shared" si="88"/>
        <v>0</v>
      </c>
      <c r="DR136">
        <f t="shared" si="87"/>
        <v>0</v>
      </c>
      <c r="DS136">
        <f t="shared" si="62"/>
        <v>0</v>
      </c>
      <c r="DT136">
        <f t="shared" si="63"/>
        <v>0</v>
      </c>
      <c r="DV136" s="110"/>
      <c r="DW136" s="111">
        <f t="shared" si="89"/>
        <v>64000</v>
      </c>
      <c r="DX136" s="112">
        <v>32</v>
      </c>
      <c r="EA136" s="115"/>
      <c r="EB136" s="113">
        <f t="shared" si="67"/>
        <v>0</v>
      </c>
      <c r="EG136" s="209"/>
      <c r="EH136" s="94"/>
      <c r="EM136" s="81"/>
      <c r="EN136" s="91"/>
      <c r="EP136" s="92"/>
      <c r="ER136" s="92"/>
      <c r="EV136" s="92"/>
      <c r="EW136" s="114"/>
      <c r="EX136" s="114"/>
      <c r="EY136" s="92"/>
      <c r="EZ136" s="6"/>
      <c r="FI136" s="99"/>
      <c r="FM136" s="80" t="e">
        <f t="shared" si="56"/>
        <v>#DIV/0!</v>
      </c>
      <c r="FN136" s="80" t="e">
        <f t="shared" si="57"/>
        <v>#DIV/0!</v>
      </c>
      <c r="FO136" s="115" t="e">
        <f t="shared" si="58"/>
        <v>#DIV/0!</v>
      </c>
      <c r="FP136" s="115" t="e">
        <f t="shared" si="59"/>
        <v>#DIV/0!</v>
      </c>
      <c r="FQ136" s="116" t="e">
        <f t="shared" si="60"/>
        <v>#DIV/0!</v>
      </c>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row>
    <row r="137" spans="1:204" x14ac:dyDescent="0.25">
      <c r="B137" s="54" t="s">
        <v>453</v>
      </c>
      <c r="D137" s="89"/>
      <c r="E137" s="89"/>
      <c r="F137" s="89"/>
      <c r="I137" s="7"/>
      <c r="J137" s="6"/>
      <c r="K137" s="6"/>
      <c r="AH137" s="7"/>
      <c r="AI137" s="7"/>
      <c r="AJ137" s="7"/>
      <c r="AK137" s="7"/>
      <c r="AM137" s="7"/>
      <c r="AN137" s="7"/>
      <c r="AO137" s="7"/>
      <c r="AP137" s="7"/>
      <c r="AQ137" s="7"/>
      <c r="AR137" s="7"/>
      <c r="AS137" s="7"/>
      <c r="AT137" s="7"/>
      <c r="AU137" s="7"/>
      <c r="AV137" s="7"/>
      <c r="BB137" s="76"/>
      <c r="BC137" s="76"/>
      <c r="BD137" s="76"/>
      <c r="BE137" s="76"/>
      <c r="BF137" s="13"/>
      <c r="BG137" s="76"/>
      <c r="BH137" s="76"/>
      <c r="BI137" s="76"/>
      <c r="BJ137" s="76"/>
      <c r="BK137" s="76"/>
      <c r="BL137" s="76"/>
      <c r="BM137" s="76"/>
      <c r="BN137" s="76"/>
      <c r="BO137" s="76"/>
      <c r="BP137" s="76"/>
      <c r="BS137" s="7"/>
      <c r="BT137" s="6"/>
      <c r="BU137" s="6"/>
      <c r="BW137" s="6"/>
      <c r="BX137" s="7"/>
      <c r="CV137" s="47"/>
      <c r="CW137" s="47">
        <f t="shared" si="81"/>
        <v>0</v>
      </c>
      <c r="CX137" s="47">
        <f t="shared" si="82"/>
        <v>0</v>
      </c>
      <c r="CY137" s="47">
        <f t="shared" si="83"/>
        <v>0</v>
      </c>
      <c r="CZ137" s="47">
        <f t="shared" si="84"/>
        <v>0</v>
      </c>
      <c r="DA137" s="47">
        <f t="shared" si="85"/>
        <v>0</v>
      </c>
      <c r="DB137" s="47">
        <f t="shared" si="86"/>
        <v>0</v>
      </c>
      <c r="DC137" s="47">
        <f t="shared" si="61"/>
        <v>0</v>
      </c>
      <c r="DD137" s="47">
        <f t="shared" ref="DD137:DD187" si="91">AL137*BF137/100</f>
        <v>0</v>
      </c>
      <c r="DE137" s="47">
        <f t="shared" si="90"/>
        <v>0</v>
      </c>
      <c r="DF137" s="47">
        <f t="shared" ref="DF137:DF187" si="92">AM137*BG137/100</f>
        <v>0</v>
      </c>
      <c r="DG137" s="47">
        <f t="shared" ref="DG137:DG187" si="93">AN137*BH137/100</f>
        <v>0</v>
      </c>
      <c r="DH137" s="47">
        <f t="shared" ref="DH137:DH171" si="94">AO137*BI137/100</f>
        <v>0</v>
      </c>
      <c r="DI137" s="47"/>
      <c r="DJ137" s="47"/>
      <c r="DK137" s="47"/>
      <c r="DL137" s="47"/>
      <c r="DM137" s="47"/>
      <c r="DN137" s="47"/>
      <c r="DO137" s="47"/>
      <c r="DQ137">
        <f t="shared" si="88"/>
        <v>0</v>
      </c>
      <c r="DR137">
        <f t="shared" si="87"/>
        <v>0</v>
      </c>
      <c r="DS137">
        <f t="shared" si="62"/>
        <v>0</v>
      </c>
      <c r="DT137">
        <f t="shared" si="63"/>
        <v>0</v>
      </c>
      <c r="DW137" s="111">
        <v>4000</v>
      </c>
      <c r="DX137" s="112">
        <v>2.2000000000000002</v>
      </c>
      <c r="DY137" s="8"/>
      <c r="DZ137" s="8"/>
      <c r="EA137" s="81"/>
      <c r="EB137" s="113">
        <f t="shared" si="67"/>
        <v>0</v>
      </c>
      <c r="EC137" s="6"/>
      <c r="ED137" s="6"/>
      <c r="EE137" s="6"/>
      <c r="EF137" s="6"/>
      <c r="EG137" s="208"/>
      <c r="EH137" s="6"/>
      <c r="EI137" s="82" t="str">
        <f t="shared" ref="EI137:EI148" si="95">IF(AR137="","",AR137*BL137)</f>
        <v/>
      </c>
      <c r="EJ137" s="6"/>
      <c r="EK137" s="6"/>
      <c r="EL137" s="6"/>
      <c r="EM137" s="6"/>
      <c r="EN137" s="6">
        <v>0.56999999999999995</v>
      </c>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80" t="e">
        <f t="shared" si="56"/>
        <v>#DIV/0!</v>
      </c>
      <c r="FN137" s="80" t="e">
        <f t="shared" si="57"/>
        <v>#DIV/0!</v>
      </c>
      <c r="FO137" s="115" t="e">
        <f t="shared" si="58"/>
        <v>#DIV/0!</v>
      </c>
      <c r="FP137" s="115" t="e">
        <f t="shared" si="59"/>
        <v>#DIV/0!</v>
      </c>
      <c r="FQ137" s="116" t="e">
        <f t="shared" si="60"/>
        <v>#DIV/0!</v>
      </c>
    </row>
    <row r="138" spans="1:204" x14ac:dyDescent="0.25">
      <c r="B138" s="54" t="s">
        <v>378</v>
      </c>
      <c r="D138" s="8"/>
      <c r="E138" s="8"/>
      <c r="F138" s="8"/>
      <c r="I138" s="7"/>
      <c r="J138" s="6"/>
      <c r="K138" s="6">
        <v>1</v>
      </c>
      <c r="AH138" s="7"/>
      <c r="AI138" s="7"/>
      <c r="AJ138" s="7">
        <v>7.25</v>
      </c>
      <c r="AK138" s="7">
        <v>5.2</v>
      </c>
      <c r="AM138" s="7">
        <v>4.3</v>
      </c>
      <c r="AN138" s="7"/>
      <c r="AO138" s="7"/>
      <c r="AP138" s="7"/>
      <c r="AQ138" s="7"/>
      <c r="AR138" s="7"/>
      <c r="AS138" s="7"/>
      <c r="AT138" s="7"/>
      <c r="AU138" s="7"/>
      <c r="AV138" s="7"/>
      <c r="BB138" s="76"/>
      <c r="BC138" s="76"/>
      <c r="BD138" s="13">
        <v>100</v>
      </c>
      <c r="BE138" s="13">
        <v>100</v>
      </c>
      <c r="BF138" s="13"/>
      <c r="BG138" s="13">
        <v>100</v>
      </c>
      <c r="BH138" s="76"/>
      <c r="BI138" s="76"/>
      <c r="BJ138" s="76"/>
      <c r="BK138" s="76"/>
      <c r="BL138" s="13">
        <v>100</v>
      </c>
      <c r="BM138" s="13"/>
      <c r="BN138" s="13"/>
      <c r="BO138" s="13"/>
      <c r="BP138" s="13"/>
      <c r="BS138" s="7">
        <v>17</v>
      </c>
      <c r="BT138" s="6">
        <f>11*0.6</f>
        <v>6.6</v>
      </c>
      <c r="BU138" s="6"/>
      <c r="BW138" s="6">
        <f>11*0.4</f>
        <v>4.4000000000000004</v>
      </c>
      <c r="BX138" s="7">
        <v>6.6</v>
      </c>
      <c r="CB138">
        <v>82.8</v>
      </c>
      <c r="CC138">
        <v>88.3</v>
      </c>
      <c r="CD138">
        <v>64</v>
      </c>
      <c r="CE138">
        <v>71</v>
      </c>
      <c r="CV138" s="47"/>
      <c r="CW138" s="47">
        <f t="shared" si="81"/>
        <v>0</v>
      </c>
      <c r="CX138" s="47">
        <f t="shared" si="82"/>
        <v>0</v>
      </c>
      <c r="CY138" s="47">
        <f t="shared" si="83"/>
        <v>0</v>
      </c>
      <c r="CZ138" s="47">
        <f t="shared" si="84"/>
        <v>0</v>
      </c>
      <c r="DA138" s="47">
        <f t="shared" si="85"/>
        <v>7.25</v>
      </c>
      <c r="DB138" s="47">
        <f t="shared" si="86"/>
        <v>5.2</v>
      </c>
      <c r="DC138" s="47">
        <f t="shared" si="61"/>
        <v>5.2</v>
      </c>
      <c r="DD138" s="47">
        <f t="shared" si="91"/>
        <v>0</v>
      </c>
      <c r="DE138" s="47">
        <f t="shared" si="90"/>
        <v>0</v>
      </c>
      <c r="DF138" s="47">
        <f t="shared" si="92"/>
        <v>4.3</v>
      </c>
      <c r="DG138" s="47">
        <f t="shared" si="93"/>
        <v>0</v>
      </c>
      <c r="DH138" s="47">
        <f t="shared" si="94"/>
        <v>0</v>
      </c>
      <c r="DI138" s="47"/>
      <c r="DJ138" s="47"/>
      <c r="DK138" s="47"/>
      <c r="DL138" s="47"/>
      <c r="DM138" s="47"/>
      <c r="DN138" s="47"/>
      <c r="DO138" s="47"/>
      <c r="DQ138">
        <f t="shared" si="88"/>
        <v>5.4647999999999994</v>
      </c>
      <c r="DR138">
        <f t="shared" si="87"/>
        <v>5.8277999999999999</v>
      </c>
      <c r="DS138">
        <f t="shared" si="62"/>
        <v>10.88</v>
      </c>
      <c r="DT138">
        <f t="shared" si="63"/>
        <v>12.07</v>
      </c>
      <c r="DW138" s="111">
        <f t="shared" ref="DW138:DW147" si="96">DX138*2000</f>
        <v>720</v>
      </c>
      <c r="DX138" s="112">
        <v>0.36</v>
      </c>
      <c r="DY138" s="8"/>
      <c r="DZ138" s="8"/>
      <c r="EA138" s="81">
        <v>1</v>
      </c>
      <c r="EB138" s="113">
        <f t="shared" si="67"/>
        <v>6.6</v>
      </c>
      <c r="EC138" s="6"/>
      <c r="ED138" s="6"/>
      <c r="EE138" s="117">
        <v>20000</v>
      </c>
      <c r="EF138" s="117"/>
      <c r="EG138" s="208"/>
      <c r="EH138" s="6"/>
      <c r="EI138" s="82" t="str">
        <f t="shared" si="95"/>
        <v/>
      </c>
      <c r="EJ138" s="6"/>
      <c r="EK138" s="6">
        <f t="shared" ref="EK138:EP138" si="97">EK143*3/65</f>
        <v>3.388292307692308E-3</v>
      </c>
      <c r="EL138" s="6">
        <f t="shared" si="97"/>
        <v>3.388292307692308E-3</v>
      </c>
      <c r="EM138" s="6">
        <f t="shared" si="97"/>
        <v>1.0175076923076923E-3</v>
      </c>
      <c r="EN138" s="6">
        <f t="shared" si="97"/>
        <v>5.0769230769230774E-4</v>
      </c>
      <c r="EO138" s="6">
        <f t="shared" si="97"/>
        <v>9.1384615384615371E-6</v>
      </c>
      <c r="EP138" s="6">
        <f t="shared" si="97"/>
        <v>9.1384615384615371E-6</v>
      </c>
      <c r="EQ138" s="6"/>
      <c r="ER138" s="6"/>
      <c r="ES138" s="6">
        <f>ES142*5/65</f>
        <v>57692.307692307695</v>
      </c>
      <c r="ET138" s="6">
        <f t="shared" ref="ET138:EY138" si="98">ET142*5/65</f>
        <v>11538.461538461539</v>
      </c>
      <c r="EU138" s="6">
        <f t="shared" si="98"/>
        <v>615.38461538461536</v>
      </c>
      <c r="EV138" s="6">
        <f t="shared" si="98"/>
        <v>23.076923076923077</v>
      </c>
      <c r="EW138" s="6">
        <f t="shared" si="98"/>
        <v>0.23076923076923078</v>
      </c>
      <c r="EX138" s="6">
        <f t="shared" si="98"/>
        <v>346.15384615384613</v>
      </c>
      <c r="EY138" s="6">
        <f t="shared" si="98"/>
        <v>192.30769230769232</v>
      </c>
      <c r="EZ138" s="6">
        <f>EZ91*5/65</f>
        <v>0</v>
      </c>
      <c r="FA138" s="6"/>
      <c r="FB138" s="6"/>
      <c r="FC138" s="6"/>
      <c r="FD138" s="6"/>
      <c r="FE138" s="6"/>
      <c r="FF138" s="6"/>
      <c r="FG138" s="6"/>
      <c r="FH138" s="6"/>
      <c r="FI138" s="6"/>
      <c r="FJ138" s="6"/>
      <c r="FK138" s="6"/>
      <c r="FL138" s="6"/>
      <c r="FM138" s="80" t="e">
        <f t="shared" ref="FM138:FM201" si="99">DH138/CZ138</f>
        <v>#DIV/0!</v>
      </c>
      <c r="FN138" s="80" t="e">
        <f t="shared" ref="FN138:FN201" si="100">CY138/CZ138</f>
        <v>#DIV/0!</v>
      </c>
      <c r="FO138" s="115" t="e">
        <f t="shared" ref="FO138:FO201" si="101">DH138/CY138</f>
        <v>#DIV/0!</v>
      </c>
      <c r="FP138" s="115" t="e">
        <f t="shared" ref="FP138:FP201" si="102">DG138/CZ138</f>
        <v>#DIV/0!</v>
      </c>
      <c r="FQ138" s="116" t="e">
        <f t="shared" ref="FQ138:FQ201" si="103">CZ138/I138</f>
        <v>#DIV/0!</v>
      </c>
    </row>
    <row r="139" spans="1:204" ht="12.75" customHeight="1" x14ac:dyDescent="0.25">
      <c r="B139" s="34" t="s">
        <v>379</v>
      </c>
      <c r="D139" s="94"/>
      <c r="E139" s="94"/>
      <c r="F139" s="94"/>
      <c r="I139" s="91"/>
      <c r="J139" s="92">
        <v>0</v>
      </c>
      <c r="K139" s="6">
        <v>1</v>
      </c>
      <c r="AH139" s="67">
        <v>0</v>
      </c>
      <c r="AI139" s="67">
        <v>0</v>
      </c>
      <c r="AJ139" s="91">
        <v>5.24</v>
      </c>
      <c r="AK139" s="67">
        <v>0</v>
      </c>
      <c r="AM139" s="67">
        <v>0</v>
      </c>
      <c r="AN139" s="67">
        <v>0</v>
      </c>
      <c r="AO139" s="67">
        <v>0</v>
      </c>
      <c r="AP139" s="67"/>
      <c r="AQ139" s="67"/>
      <c r="AR139" s="67">
        <v>0</v>
      </c>
      <c r="AS139" s="67"/>
      <c r="AT139" s="67"/>
      <c r="AU139" s="67"/>
      <c r="AV139" s="67"/>
      <c r="BB139" s="78">
        <v>0</v>
      </c>
      <c r="BC139" s="78">
        <v>0</v>
      </c>
      <c r="BD139" s="13">
        <v>100</v>
      </c>
      <c r="BE139" s="78">
        <v>0</v>
      </c>
      <c r="BF139" s="13"/>
      <c r="BG139" s="78">
        <v>0</v>
      </c>
      <c r="BH139" s="78">
        <v>0</v>
      </c>
      <c r="BI139" s="78">
        <v>0</v>
      </c>
      <c r="BJ139" s="78"/>
      <c r="BK139" s="78"/>
      <c r="BL139" s="78">
        <v>0</v>
      </c>
      <c r="BM139" s="78"/>
      <c r="BN139" s="78"/>
      <c r="BO139" s="78"/>
      <c r="BP139" s="78"/>
      <c r="BS139" s="106">
        <v>21.5</v>
      </c>
      <c r="BT139" s="6">
        <f>18*0.6</f>
        <v>10.799999999999999</v>
      </c>
      <c r="BU139" s="6"/>
      <c r="BW139" s="6">
        <f>18*0.4</f>
        <v>7.2</v>
      </c>
      <c r="BX139" s="106">
        <v>4.8</v>
      </c>
      <c r="CB139">
        <v>82.8</v>
      </c>
      <c r="CC139">
        <v>88.3</v>
      </c>
      <c r="CD139">
        <v>64</v>
      </c>
      <c r="CE139">
        <v>71</v>
      </c>
      <c r="CV139" s="47"/>
      <c r="CW139" s="47">
        <f t="shared" si="81"/>
        <v>0</v>
      </c>
      <c r="CX139" s="47">
        <f t="shared" si="82"/>
        <v>0</v>
      </c>
      <c r="CY139" s="47">
        <f t="shared" si="83"/>
        <v>0</v>
      </c>
      <c r="CZ139" s="47">
        <f t="shared" si="84"/>
        <v>0</v>
      </c>
      <c r="DA139" s="47">
        <f t="shared" si="85"/>
        <v>5.24</v>
      </c>
      <c r="DB139" s="47">
        <f t="shared" si="86"/>
        <v>0</v>
      </c>
      <c r="DC139" s="47">
        <f t="shared" ref="DC139:DC187" si="104">(AK139*BE139+BL139*AR139)/100</f>
        <v>0</v>
      </c>
      <c r="DD139" s="47">
        <f t="shared" si="91"/>
        <v>0</v>
      </c>
      <c r="DE139" s="47">
        <f t="shared" si="90"/>
        <v>0</v>
      </c>
      <c r="DF139" s="47">
        <f t="shared" si="92"/>
        <v>0</v>
      </c>
      <c r="DG139" s="47">
        <f t="shared" si="93"/>
        <v>0</v>
      </c>
      <c r="DH139" s="47">
        <f t="shared" si="94"/>
        <v>0</v>
      </c>
      <c r="DI139" s="47"/>
      <c r="DJ139" s="47"/>
      <c r="DK139" s="47"/>
      <c r="DL139" s="47"/>
      <c r="DM139" s="47"/>
      <c r="DN139" s="47"/>
      <c r="DO139" s="47"/>
      <c r="DQ139">
        <f t="shared" si="88"/>
        <v>3.9744000000000002</v>
      </c>
      <c r="DR139">
        <f t="shared" si="87"/>
        <v>4.2383999999999995</v>
      </c>
      <c r="DS139">
        <f t="shared" ref="DS139:DS184" si="105">BS139*CD139/100</f>
        <v>13.76</v>
      </c>
      <c r="DT139">
        <f t="shared" ref="DT139:DT184" si="106">BS139*CE139/100</f>
        <v>15.265000000000001</v>
      </c>
      <c r="DV139" s="110"/>
      <c r="DW139" s="111">
        <f t="shared" si="96"/>
        <v>440</v>
      </c>
      <c r="DX139" s="112">
        <v>0.22</v>
      </c>
      <c r="DY139" s="94"/>
      <c r="DZ139" s="94"/>
      <c r="EA139" s="81">
        <v>1</v>
      </c>
      <c r="EB139" s="113">
        <f t="shared" si="67"/>
        <v>4.8</v>
      </c>
      <c r="EC139" s="92">
        <v>0</v>
      </c>
      <c r="ED139" s="92">
        <v>0</v>
      </c>
      <c r="EE139" s="6">
        <f>EE142*3/50</f>
        <v>10777.536</v>
      </c>
      <c r="EF139" s="6"/>
      <c r="EG139" s="208"/>
      <c r="EH139" s="118">
        <f>125*K139/10</f>
        <v>12.5</v>
      </c>
      <c r="EI139" s="82">
        <f t="shared" si="95"/>
        <v>0</v>
      </c>
      <c r="EJ139" s="6"/>
      <c r="EK139" s="6">
        <f t="shared" ref="EK139:EP139" si="107">EK143*3/50</f>
        <v>4.4047800000000005E-3</v>
      </c>
      <c r="EL139" s="6">
        <f t="shared" si="107"/>
        <v>4.4047800000000005E-3</v>
      </c>
      <c r="EM139" s="6">
        <f t="shared" si="107"/>
        <v>1.3227600000000001E-3</v>
      </c>
      <c r="EN139" s="6">
        <f t="shared" si="107"/>
        <v>6.6E-4</v>
      </c>
      <c r="EO139" s="6">
        <f t="shared" si="107"/>
        <v>1.1879999999999998E-5</v>
      </c>
      <c r="EP139" s="6">
        <f t="shared" si="107"/>
        <v>1.1879999999999998E-5</v>
      </c>
      <c r="EQ139" s="6"/>
      <c r="ER139" s="6"/>
      <c r="ES139" s="6">
        <f>ES142*3/50</f>
        <v>45000</v>
      </c>
      <c r="ET139" s="6">
        <f t="shared" ref="ET139:EZ139" si="108">ET142*3/50</f>
        <v>9000</v>
      </c>
      <c r="EU139" s="6">
        <f t="shared" si="108"/>
        <v>480</v>
      </c>
      <c r="EV139" s="6">
        <f t="shared" si="108"/>
        <v>18</v>
      </c>
      <c r="EW139" s="6">
        <f t="shared" si="108"/>
        <v>0.18</v>
      </c>
      <c r="EX139" s="6">
        <f t="shared" si="108"/>
        <v>270</v>
      </c>
      <c r="EY139" s="6">
        <f t="shared" si="108"/>
        <v>150</v>
      </c>
      <c r="EZ139" s="6">
        <f t="shared" si="108"/>
        <v>45</v>
      </c>
      <c r="FA139" s="6"/>
      <c r="FB139" s="6"/>
      <c r="FC139" s="6"/>
      <c r="FD139" s="6"/>
      <c r="FE139" s="6"/>
      <c r="FF139" s="6"/>
      <c r="FG139" s="6"/>
      <c r="FH139" s="6"/>
      <c r="FI139" s="6"/>
      <c r="FJ139" s="6"/>
      <c r="FK139" s="6"/>
      <c r="FL139" s="6"/>
      <c r="FM139" s="80" t="e">
        <f t="shared" si="99"/>
        <v>#DIV/0!</v>
      </c>
      <c r="FN139" s="80" t="e">
        <f t="shared" si="100"/>
        <v>#DIV/0!</v>
      </c>
      <c r="FO139" s="115" t="e">
        <f t="shared" si="101"/>
        <v>#DIV/0!</v>
      </c>
      <c r="FP139" s="115" t="e">
        <f t="shared" si="102"/>
        <v>#DIV/0!</v>
      </c>
      <c r="FQ139" s="116" t="e">
        <f t="shared" si="103"/>
        <v>#DIV/0!</v>
      </c>
    </row>
    <row r="140" spans="1:204" ht="12.75" customHeight="1" x14ac:dyDescent="0.25">
      <c r="B140" t="s">
        <v>45</v>
      </c>
      <c r="D140" s="94"/>
      <c r="E140" s="94"/>
      <c r="F140" s="94"/>
      <c r="I140" s="91"/>
      <c r="J140" s="92">
        <v>0</v>
      </c>
      <c r="K140" s="6">
        <v>1</v>
      </c>
      <c r="AH140" s="67">
        <v>0</v>
      </c>
      <c r="AI140" s="67">
        <v>0</v>
      </c>
      <c r="AJ140" s="91">
        <v>3.14</v>
      </c>
      <c r="AK140" s="67">
        <v>0</v>
      </c>
      <c r="AM140" s="67">
        <v>0</v>
      </c>
      <c r="AN140" s="67">
        <v>0</v>
      </c>
      <c r="AO140" s="67">
        <v>0</v>
      </c>
      <c r="AP140" s="67"/>
      <c r="AQ140" s="67"/>
      <c r="AR140" s="67">
        <v>0</v>
      </c>
      <c r="AS140" s="67"/>
      <c r="AT140" s="67"/>
      <c r="AU140" s="67"/>
      <c r="AV140" s="67"/>
      <c r="BB140" s="78">
        <v>0</v>
      </c>
      <c r="BC140" s="78">
        <v>0</v>
      </c>
      <c r="BD140" s="13">
        <v>100</v>
      </c>
      <c r="BE140" s="78">
        <v>0</v>
      </c>
      <c r="BF140" s="13"/>
      <c r="BG140" s="78">
        <v>0</v>
      </c>
      <c r="BH140" s="78">
        <v>0</v>
      </c>
      <c r="BI140" s="78">
        <v>0</v>
      </c>
      <c r="BJ140" s="78"/>
      <c r="BK140" s="78"/>
      <c r="BL140" s="78">
        <v>0</v>
      </c>
      <c r="BM140" s="78"/>
      <c r="BN140" s="78"/>
      <c r="BO140" s="78"/>
      <c r="BP140" s="78"/>
      <c r="BS140" s="106">
        <v>19.600000000000001</v>
      </c>
      <c r="BT140" s="6"/>
      <c r="BU140" s="6"/>
      <c r="BW140" s="6"/>
      <c r="BX140" s="106">
        <v>10</v>
      </c>
      <c r="CB140">
        <v>82.8</v>
      </c>
      <c r="CC140">
        <v>88.3</v>
      </c>
      <c r="CD140">
        <v>64</v>
      </c>
      <c r="CE140">
        <v>71</v>
      </c>
      <c r="CV140" s="47"/>
      <c r="CW140" s="47">
        <f t="shared" si="81"/>
        <v>0</v>
      </c>
      <c r="CX140" s="47">
        <f t="shared" si="82"/>
        <v>0</v>
      </c>
      <c r="CY140" s="47">
        <f t="shared" si="83"/>
        <v>0</v>
      </c>
      <c r="CZ140" s="47">
        <f t="shared" si="84"/>
        <v>0</v>
      </c>
      <c r="DA140" s="47">
        <f t="shared" si="85"/>
        <v>3.14</v>
      </c>
      <c r="DB140" s="47">
        <f t="shared" si="86"/>
        <v>0</v>
      </c>
      <c r="DC140" s="47">
        <f t="shared" si="104"/>
        <v>0</v>
      </c>
      <c r="DD140" s="47">
        <f t="shared" si="91"/>
        <v>0</v>
      </c>
      <c r="DE140" s="47">
        <f t="shared" si="90"/>
        <v>0</v>
      </c>
      <c r="DF140" s="47">
        <f t="shared" si="92"/>
        <v>0</v>
      </c>
      <c r="DG140" s="47">
        <f t="shared" si="93"/>
        <v>0</v>
      </c>
      <c r="DH140" s="47">
        <f t="shared" si="94"/>
        <v>0</v>
      </c>
      <c r="DI140" s="47"/>
      <c r="DJ140" s="47"/>
      <c r="DK140" s="47"/>
      <c r="DL140" s="47"/>
      <c r="DM140" s="47"/>
      <c r="DN140" s="47"/>
      <c r="DO140" s="47"/>
      <c r="DQ140">
        <f t="shared" si="88"/>
        <v>8.2799999999999994</v>
      </c>
      <c r="DR140">
        <f t="shared" si="87"/>
        <v>8.83</v>
      </c>
      <c r="DS140">
        <f t="shared" si="105"/>
        <v>12.544</v>
      </c>
      <c r="DT140">
        <f t="shared" si="106"/>
        <v>13.916000000000002</v>
      </c>
      <c r="DV140" s="110"/>
      <c r="DW140" s="111">
        <f t="shared" si="96"/>
        <v>400</v>
      </c>
      <c r="DX140" s="112">
        <v>0.2</v>
      </c>
      <c r="DY140" s="94"/>
      <c r="DZ140" s="94"/>
      <c r="EA140" s="81">
        <v>1</v>
      </c>
      <c r="EB140" s="113">
        <f t="shared" si="67"/>
        <v>10</v>
      </c>
      <c r="EC140" s="92">
        <v>0</v>
      </c>
      <c r="ED140" s="92">
        <v>0</v>
      </c>
      <c r="EE140" s="6"/>
      <c r="EF140" s="6"/>
      <c r="EG140" s="208"/>
      <c r="EH140" s="118">
        <f>125*K140/10</f>
        <v>12.5</v>
      </c>
      <c r="EI140" s="82">
        <f t="shared" si="95"/>
        <v>0</v>
      </c>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80" t="e">
        <f t="shared" si="99"/>
        <v>#DIV/0!</v>
      </c>
      <c r="FN140" s="80" t="e">
        <f t="shared" si="100"/>
        <v>#DIV/0!</v>
      </c>
      <c r="FO140" s="115" t="e">
        <f t="shared" si="101"/>
        <v>#DIV/0!</v>
      </c>
      <c r="FP140" s="115" t="e">
        <f t="shared" si="102"/>
        <v>#DIV/0!</v>
      </c>
      <c r="FQ140" s="116" t="e">
        <f t="shared" si="103"/>
        <v>#DIV/0!</v>
      </c>
    </row>
    <row r="141" spans="1:204" x14ac:dyDescent="0.25">
      <c r="B141" s="54" t="s">
        <v>380</v>
      </c>
      <c r="D141" s="8"/>
      <c r="E141" s="8"/>
      <c r="F141" s="8"/>
      <c r="I141" s="7"/>
      <c r="J141" s="6"/>
      <c r="K141" s="6">
        <v>1</v>
      </c>
      <c r="AH141" s="7"/>
      <c r="AI141" s="7"/>
      <c r="AJ141" s="7"/>
      <c r="AK141" s="7"/>
      <c r="AM141" s="7"/>
      <c r="AN141" s="7"/>
      <c r="AO141" s="7"/>
      <c r="AP141" s="7"/>
      <c r="AQ141" s="7"/>
      <c r="AR141" s="7"/>
      <c r="AS141" s="7"/>
      <c r="AT141" s="7"/>
      <c r="AU141" s="7"/>
      <c r="AV141" s="7"/>
      <c r="BB141" s="76"/>
      <c r="BC141" s="76"/>
      <c r="BD141" s="76"/>
      <c r="BE141" s="76"/>
      <c r="BF141" s="13"/>
      <c r="BG141" s="76"/>
      <c r="BH141" s="76"/>
      <c r="BI141" s="76"/>
      <c r="BJ141" s="76"/>
      <c r="BK141" s="76"/>
      <c r="BL141" s="76"/>
      <c r="BM141" s="76"/>
      <c r="BN141" s="76"/>
      <c r="BO141" s="76"/>
      <c r="BP141" s="76"/>
      <c r="BS141" s="7">
        <v>21</v>
      </c>
      <c r="BT141" s="6">
        <f>14*0.6</f>
        <v>8.4</v>
      </c>
      <c r="BU141" s="6"/>
      <c r="BW141" s="6">
        <f>14*0.4</f>
        <v>5.6000000000000005</v>
      </c>
      <c r="BX141" s="7">
        <v>9.1999999999999993</v>
      </c>
      <c r="CB141">
        <v>82.8</v>
      </c>
      <c r="CC141">
        <v>88.3</v>
      </c>
      <c r="CD141">
        <v>64</v>
      </c>
      <c r="CE141">
        <v>71</v>
      </c>
      <c r="CV141" s="47"/>
      <c r="CW141" s="47">
        <f t="shared" si="81"/>
        <v>0</v>
      </c>
      <c r="CX141" s="47">
        <f t="shared" si="82"/>
        <v>0</v>
      </c>
      <c r="CY141" s="47">
        <f t="shared" si="83"/>
        <v>0</v>
      </c>
      <c r="CZ141" s="47">
        <f t="shared" si="84"/>
        <v>0</v>
      </c>
      <c r="DA141" s="47">
        <f t="shared" si="85"/>
        <v>0</v>
      </c>
      <c r="DB141" s="47">
        <f t="shared" si="86"/>
        <v>0</v>
      </c>
      <c r="DC141" s="47">
        <f t="shared" si="104"/>
        <v>0</v>
      </c>
      <c r="DD141" s="47">
        <f t="shared" si="91"/>
        <v>0</v>
      </c>
      <c r="DE141" s="47">
        <f t="shared" si="90"/>
        <v>0</v>
      </c>
      <c r="DF141" s="47">
        <f t="shared" si="92"/>
        <v>0</v>
      </c>
      <c r="DG141" s="47">
        <f t="shared" si="93"/>
        <v>0</v>
      </c>
      <c r="DH141" s="47">
        <f t="shared" si="94"/>
        <v>0</v>
      </c>
      <c r="DI141" s="47"/>
      <c r="DJ141" s="47"/>
      <c r="DK141" s="47"/>
      <c r="DL141" s="47"/>
      <c r="DM141" s="47"/>
      <c r="DN141" s="47"/>
      <c r="DO141" s="47"/>
      <c r="DQ141">
        <f t="shared" si="88"/>
        <v>7.6175999999999986</v>
      </c>
      <c r="DR141">
        <f t="shared" si="87"/>
        <v>8.1235999999999997</v>
      </c>
      <c r="DS141">
        <f t="shared" si="105"/>
        <v>13.44</v>
      </c>
      <c r="DT141">
        <f t="shared" si="106"/>
        <v>14.91</v>
      </c>
      <c r="DW141" s="111">
        <f t="shared" si="96"/>
        <v>440</v>
      </c>
      <c r="DX141" s="112">
        <v>0.22</v>
      </c>
      <c r="DY141" s="8"/>
      <c r="DZ141" s="8"/>
      <c r="EA141" s="81">
        <v>1</v>
      </c>
      <c r="EB141" s="113">
        <f t="shared" si="67"/>
        <v>9.1999999999999993</v>
      </c>
      <c r="EC141" s="6"/>
      <c r="ED141" s="6"/>
      <c r="EE141" s="6">
        <f>EE142*5/75</f>
        <v>11975.04</v>
      </c>
      <c r="EF141" s="6"/>
      <c r="EG141" s="208"/>
      <c r="EH141" s="6"/>
      <c r="EI141" s="82" t="str">
        <f t="shared" si="95"/>
        <v/>
      </c>
      <c r="EJ141" s="6"/>
      <c r="EK141" s="6">
        <f t="shared" ref="EK141:EP141" si="109">EK143*3/75</f>
        <v>2.9365200000000002E-3</v>
      </c>
      <c r="EL141" s="6">
        <f t="shared" si="109"/>
        <v>2.9365200000000002E-3</v>
      </c>
      <c r="EM141" s="6">
        <f t="shared" si="109"/>
        <v>8.8184000000000005E-4</v>
      </c>
      <c r="EN141" s="6">
        <f t="shared" si="109"/>
        <v>4.4000000000000002E-4</v>
      </c>
      <c r="EO141" s="6">
        <f t="shared" si="109"/>
        <v>7.9199999999999987E-6</v>
      </c>
      <c r="EP141" s="6">
        <f t="shared" si="109"/>
        <v>7.9199999999999987E-6</v>
      </c>
      <c r="EQ141" s="6">
        <f>EQ144*5/75</f>
        <v>5.2863436123348007E-6</v>
      </c>
      <c r="ER141" s="6"/>
      <c r="ES141" s="6">
        <f>(ES145*5+ES144*5)/75</f>
        <v>100000</v>
      </c>
      <c r="ET141" s="6">
        <f t="shared" ref="ET141:EZ141" si="110">ET145*5/75</f>
        <v>20000</v>
      </c>
      <c r="EU141" s="6">
        <f t="shared" si="110"/>
        <v>533.33333333333337</v>
      </c>
      <c r="EV141" s="6">
        <f t="shared" si="110"/>
        <v>40</v>
      </c>
      <c r="EW141" s="6">
        <f t="shared" si="110"/>
        <v>0.4</v>
      </c>
      <c r="EX141" s="6">
        <f t="shared" si="110"/>
        <v>600</v>
      </c>
      <c r="EY141" s="6">
        <f t="shared" si="110"/>
        <v>333.33333333333331</v>
      </c>
      <c r="EZ141" s="6">
        <f t="shared" si="110"/>
        <v>100</v>
      </c>
      <c r="FA141" s="6">
        <f>FA144*5/75</f>
        <v>2.6666666666666665</v>
      </c>
      <c r="FB141" s="6">
        <f>FB144*5/75</f>
        <v>26.666666666666668</v>
      </c>
      <c r="FC141" s="6">
        <f>FC144*5/75</f>
        <v>12</v>
      </c>
      <c r="FD141" s="6">
        <f>FD144*5/75</f>
        <v>6666.666666666667</v>
      </c>
      <c r="FE141" s="6">
        <f>FE144*5/75</f>
        <v>600</v>
      </c>
      <c r="FF141" s="6"/>
      <c r="FG141" s="6"/>
      <c r="FH141" s="6"/>
      <c r="FI141" s="6"/>
      <c r="FJ141" s="6"/>
      <c r="FK141" s="6"/>
      <c r="FL141" s="6"/>
      <c r="FM141" s="80" t="e">
        <f t="shared" si="99"/>
        <v>#DIV/0!</v>
      </c>
      <c r="FN141" s="80" t="e">
        <f t="shared" si="100"/>
        <v>#DIV/0!</v>
      </c>
      <c r="FO141" s="115" t="e">
        <f t="shared" si="101"/>
        <v>#DIV/0!</v>
      </c>
      <c r="FP141" s="115" t="e">
        <f t="shared" si="102"/>
        <v>#DIV/0!</v>
      </c>
      <c r="FQ141" s="116" t="e">
        <f t="shared" si="103"/>
        <v>#DIV/0!</v>
      </c>
    </row>
    <row r="142" spans="1:204" ht="12.75" customHeight="1" x14ac:dyDescent="0.25">
      <c r="B142" t="s">
        <v>27</v>
      </c>
      <c r="D142" s="94"/>
      <c r="E142" s="94"/>
      <c r="F142" s="94"/>
      <c r="I142" s="91"/>
      <c r="J142" s="92"/>
      <c r="K142" s="92">
        <v>0</v>
      </c>
      <c r="AH142" s="67">
        <v>0</v>
      </c>
      <c r="AI142" s="67">
        <v>0</v>
      </c>
      <c r="AJ142" s="67">
        <v>0</v>
      </c>
      <c r="AK142" s="67">
        <v>0</v>
      </c>
      <c r="AM142" s="67">
        <v>0</v>
      </c>
      <c r="AN142" s="67">
        <v>0</v>
      </c>
      <c r="AO142" s="67">
        <v>0</v>
      </c>
      <c r="AP142" s="67"/>
      <c r="AQ142" s="67"/>
      <c r="AR142" s="67">
        <v>0</v>
      </c>
      <c r="AS142" s="67"/>
      <c r="AT142" s="67"/>
      <c r="AU142" s="67"/>
      <c r="AV142" s="67"/>
      <c r="BB142" s="78">
        <v>0</v>
      </c>
      <c r="BC142" s="78">
        <v>0</v>
      </c>
      <c r="BD142" s="78">
        <v>0</v>
      </c>
      <c r="BE142" s="78">
        <v>0</v>
      </c>
      <c r="BF142" s="13"/>
      <c r="BG142" s="78">
        <v>0</v>
      </c>
      <c r="BH142" s="78">
        <v>0</v>
      </c>
      <c r="BI142" s="78">
        <v>0</v>
      </c>
      <c r="BJ142" s="78"/>
      <c r="BK142" s="78"/>
      <c r="BL142" s="78">
        <v>0</v>
      </c>
      <c r="BM142" s="78"/>
      <c r="BN142" s="78"/>
      <c r="BO142" s="78"/>
      <c r="BP142" s="78"/>
      <c r="BS142" s="91">
        <v>12.5</v>
      </c>
      <c r="BT142" s="6"/>
      <c r="BU142" s="6"/>
      <c r="BW142" s="6"/>
      <c r="BX142" s="91"/>
      <c r="CD142">
        <v>64</v>
      </c>
      <c r="CE142">
        <v>71</v>
      </c>
      <c r="CV142" s="47"/>
      <c r="CW142" s="47">
        <f t="shared" si="81"/>
        <v>0</v>
      </c>
      <c r="CX142" s="47">
        <f t="shared" si="82"/>
        <v>0</v>
      </c>
      <c r="CY142" s="47">
        <f t="shared" si="83"/>
        <v>0</v>
      </c>
      <c r="CZ142" s="47">
        <f t="shared" si="84"/>
        <v>0</v>
      </c>
      <c r="DA142" s="47">
        <f t="shared" si="85"/>
        <v>0</v>
      </c>
      <c r="DB142" s="47">
        <f t="shared" si="86"/>
        <v>0</v>
      </c>
      <c r="DC142" s="47">
        <f t="shared" si="104"/>
        <v>0</v>
      </c>
      <c r="DD142" s="47">
        <f t="shared" si="91"/>
        <v>0</v>
      </c>
      <c r="DE142" s="47">
        <f t="shared" si="90"/>
        <v>0</v>
      </c>
      <c r="DF142" s="47">
        <f t="shared" si="92"/>
        <v>0</v>
      </c>
      <c r="DG142" s="47">
        <f t="shared" si="93"/>
        <v>0</v>
      </c>
      <c r="DH142" s="47">
        <f t="shared" si="94"/>
        <v>0</v>
      </c>
      <c r="DI142" s="47"/>
      <c r="DJ142" s="47"/>
      <c r="DK142" s="47"/>
      <c r="DL142" s="47"/>
      <c r="DM142" s="47"/>
      <c r="DN142" s="47"/>
      <c r="DO142" s="47"/>
      <c r="DQ142">
        <f t="shared" si="88"/>
        <v>0</v>
      </c>
      <c r="DR142">
        <f t="shared" si="87"/>
        <v>0</v>
      </c>
      <c r="DS142">
        <f t="shared" si="105"/>
        <v>8</v>
      </c>
      <c r="DT142">
        <f t="shared" si="106"/>
        <v>8.875</v>
      </c>
      <c r="DV142" s="110"/>
      <c r="DW142" s="111">
        <f>DX142*2000</f>
        <v>1800</v>
      </c>
      <c r="DX142" s="112">
        <v>0.9</v>
      </c>
      <c r="DY142" s="94"/>
      <c r="DZ142" s="94"/>
      <c r="EA142" s="81"/>
      <c r="EB142" s="113">
        <f t="shared" si="67"/>
        <v>0</v>
      </c>
      <c r="EC142" s="92">
        <v>0</v>
      </c>
      <c r="ED142" s="92">
        <v>0</v>
      </c>
      <c r="EE142" s="6">
        <v>179625.60000000001</v>
      </c>
      <c r="EF142" s="6"/>
      <c r="EG142" s="208"/>
      <c r="EH142" s="92">
        <v>0</v>
      </c>
      <c r="EI142" s="82">
        <f t="shared" si="95"/>
        <v>0</v>
      </c>
      <c r="EJ142" s="6"/>
      <c r="EK142" s="6"/>
      <c r="EL142" s="6"/>
      <c r="EM142" s="6"/>
      <c r="EN142" s="6"/>
      <c r="EO142" s="6"/>
      <c r="EP142" s="6"/>
      <c r="EQ142" s="6"/>
      <c r="ER142" s="6"/>
      <c r="ES142" s="6">
        <v>750000</v>
      </c>
      <c r="ET142" s="6">
        <v>150000</v>
      </c>
      <c r="EU142" s="6">
        <v>8000</v>
      </c>
      <c r="EV142" s="6">
        <v>300</v>
      </c>
      <c r="EW142" s="6">
        <v>3</v>
      </c>
      <c r="EX142" s="6">
        <v>4500</v>
      </c>
      <c r="EY142" s="6">
        <v>2500</v>
      </c>
      <c r="EZ142" s="6">
        <v>750</v>
      </c>
      <c r="FA142" s="6">
        <v>20</v>
      </c>
      <c r="FB142" s="6">
        <v>200</v>
      </c>
      <c r="FC142" s="6">
        <v>90</v>
      </c>
      <c r="FD142" s="6">
        <v>50000</v>
      </c>
      <c r="FE142" s="6">
        <v>4500</v>
      </c>
      <c r="FF142" s="6"/>
      <c r="FG142" s="6"/>
      <c r="FH142" s="6"/>
      <c r="FI142" s="6"/>
      <c r="FJ142" s="6"/>
      <c r="FK142" s="6"/>
      <c r="FL142" s="6"/>
      <c r="FM142" s="80" t="e">
        <f t="shared" si="99"/>
        <v>#DIV/0!</v>
      </c>
      <c r="FN142" s="80" t="e">
        <f t="shared" si="100"/>
        <v>#DIV/0!</v>
      </c>
      <c r="FO142" s="115" t="e">
        <f t="shared" si="101"/>
        <v>#DIV/0!</v>
      </c>
      <c r="FP142" s="115" t="e">
        <f t="shared" si="102"/>
        <v>#DIV/0!</v>
      </c>
      <c r="FQ142" s="116" t="e">
        <f t="shared" si="103"/>
        <v>#DIV/0!</v>
      </c>
    </row>
    <row r="143" spans="1:204" ht="12.75" customHeight="1" x14ac:dyDescent="0.25">
      <c r="B143" t="s">
        <v>16</v>
      </c>
      <c r="D143" s="94"/>
      <c r="E143" s="94"/>
      <c r="F143" s="94"/>
      <c r="I143" s="91"/>
      <c r="J143" s="92">
        <v>0</v>
      </c>
      <c r="K143" s="92">
        <v>0</v>
      </c>
      <c r="AH143" s="67">
        <v>0</v>
      </c>
      <c r="AI143" s="67">
        <v>0</v>
      </c>
      <c r="AJ143" s="67">
        <v>0</v>
      </c>
      <c r="AK143" s="67">
        <v>0</v>
      </c>
      <c r="AM143" s="67">
        <v>0</v>
      </c>
      <c r="AN143" s="67">
        <v>0</v>
      </c>
      <c r="AO143" s="67">
        <v>0</v>
      </c>
      <c r="AP143" s="67"/>
      <c r="AQ143" s="67"/>
      <c r="AR143" s="67">
        <v>0</v>
      </c>
      <c r="AS143" s="67"/>
      <c r="AT143" s="67"/>
      <c r="AU143" s="67"/>
      <c r="AV143" s="67"/>
      <c r="BB143" s="78">
        <v>0</v>
      </c>
      <c r="BC143" s="78">
        <v>0</v>
      </c>
      <c r="BD143" s="78">
        <v>0</v>
      </c>
      <c r="BE143" s="78">
        <v>0</v>
      </c>
      <c r="BF143" s="13"/>
      <c r="BG143" s="78">
        <v>0</v>
      </c>
      <c r="BH143" s="78">
        <v>0</v>
      </c>
      <c r="BI143" s="78">
        <v>0</v>
      </c>
      <c r="BJ143" s="78"/>
      <c r="BK143" s="78"/>
      <c r="BL143" s="78">
        <v>0</v>
      </c>
      <c r="BM143" s="78"/>
      <c r="BN143" s="78"/>
      <c r="BO143" s="78"/>
      <c r="BP143" s="78"/>
      <c r="BS143" s="91">
        <v>17</v>
      </c>
      <c r="BT143" s="6"/>
      <c r="BU143" s="6"/>
      <c r="BW143" s="6"/>
      <c r="BX143" s="91"/>
      <c r="CD143">
        <v>64</v>
      </c>
      <c r="CE143">
        <v>71</v>
      </c>
      <c r="CV143" s="47"/>
      <c r="CW143" s="47">
        <f t="shared" si="81"/>
        <v>0</v>
      </c>
      <c r="CX143" s="47">
        <f t="shared" si="82"/>
        <v>0</v>
      </c>
      <c r="CY143" s="47">
        <f t="shared" si="83"/>
        <v>0</v>
      </c>
      <c r="CZ143" s="47">
        <f t="shared" si="84"/>
        <v>0</v>
      </c>
      <c r="DA143" s="47">
        <f t="shared" si="85"/>
        <v>0</v>
      </c>
      <c r="DB143" s="47">
        <f t="shared" si="86"/>
        <v>0</v>
      </c>
      <c r="DC143" s="47">
        <f t="shared" si="104"/>
        <v>0</v>
      </c>
      <c r="DD143" s="47">
        <f t="shared" si="91"/>
        <v>0</v>
      </c>
      <c r="DE143" s="47">
        <f t="shared" si="90"/>
        <v>0</v>
      </c>
      <c r="DF143" s="47">
        <f t="shared" si="92"/>
        <v>0</v>
      </c>
      <c r="DG143" s="47">
        <f t="shared" si="93"/>
        <v>0</v>
      </c>
      <c r="DH143" s="47">
        <f t="shared" si="94"/>
        <v>0</v>
      </c>
      <c r="DI143" s="47"/>
      <c r="DJ143" s="47"/>
      <c r="DK143" s="47"/>
      <c r="DL143" s="47"/>
      <c r="DM143" s="47"/>
      <c r="DN143" s="47"/>
      <c r="DO143" s="47"/>
      <c r="DQ143">
        <f t="shared" si="88"/>
        <v>0</v>
      </c>
      <c r="DR143">
        <f t="shared" si="87"/>
        <v>0</v>
      </c>
      <c r="DS143">
        <f t="shared" si="105"/>
        <v>10.88</v>
      </c>
      <c r="DT143">
        <f t="shared" si="106"/>
        <v>12.07</v>
      </c>
      <c r="DV143" s="110"/>
      <c r="DW143" s="111">
        <f>DX143*2000</f>
        <v>900</v>
      </c>
      <c r="DX143" s="112">
        <v>0.45</v>
      </c>
      <c r="DY143" s="94"/>
      <c r="DZ143" s="94"/>
      <c r="EA143" s="81"/>
      <c r="EB143" s="113">
        <f t="shared" si="67"/>
        <v>0</v>
      </c>
      <c r="EC143" s="92">
        <v>0</v>
      </c>
      <c r="ED143" s="92">
        <v>0</v>
      </c>
      <c r="EE143" s="92">
        <v>0</v>
      </c>
      <c r="EF143" s="92"/>
      <c r="EG143" s="207"/>
      <c r="EH143" s="92">
        <v>0</v>
      </c>
      <c r="EI143" s="82">
        <f t="shared" si="95"/>
        <v>0</v>
      </c>
      <c r="EJ143" s="6"/>
      <c r="EK143" s="119">
        <v>7.3413000000000006E-2</v>
      </c>
      <c r="EL143" s="119">
        <v>7.3413000000000006E-2</v>
      </c>
      <c r="EM143" s="119">
        <v>2.2046E-2</v>
      </c>
      <c r="EN143" s="289">
        <v>1.0999999999999999E-2</v>
      </c>
      <c r="EO143" s="121">
        <v>1.9799999999999999E-4</v>
      </c>
      <c r="EP143" s="121">
        <v>1.9799999999999999E-4</v>
      </c>
      <c r="EQ143" s="120"/>
      <c r="ER143" s="120"/>
      <c r="ET143" s="6"/>
      <c r="EU143" s="6"/>
      <c r="EV143" s="6"/>
      <c r="EW143" s="6"/>
      <c r="EX143" s="6"/>
      <c r="EY143" s="6"/>
      <c r="EZ143" s="6"/>
      <c r="FA143" s="6"/>
      <c r="FB143" s="6"/>
      <c r="FC143" s="6"/>
      <c r="FD143" s="6"/>
      <c r="FE143" s="6"/>
      <c r="FF143" s="6"/>
      <c r="FG143" s="6"/>
      <c r="FH143" s="6"/>
      <c r="FI143" s="6"/>
      <c r="FJ143" s="6"/>
      <c r="FK143" s="6"/>
      <c r="FL143" s="6"/>
      <c r="FM143" s="80" t="e">
        <f t="shared" si="99"/>
        <v>#DIV/0!</v>
      </c>
      <c r="FN143" s="80" t="e">
        <f t="shared" si="100"/>
        <v>#DIV/0!</v>
      </c>
      <c r="FO143" s="115" t="e">
        <f t="shared" si="101"/>
        <v>#DIV/0!</v>
      </c>
      <c r="FP143" s="115" t="e">
        <f t="shared" si="102"/>
        <v>#DIV/0!</v>
      </c>
      <c r="FQ143" s="116" t="e">
        <f t="shared" si="103"/>
        <v>#DIV/0!</v>
      </c>
    </row>
    <row r="144" spans="1:204" ht="12.75" customHeight="1" x14ac:dyDescent="0.25">
      <c r="B144" t="s">
        <v>23</v>
      </c>
      <c r="D144" s="94"/>
      <c r="E144" s="94"/>
      <c r="F144" s="94"/>
      <c r="I144" s="91"/>
      <c r="J144" s="92"/>
      <c r="K144" s="92">
        <v>0</v>
      </c>
      <c r="AH144" s="67">
        <v>0</v>
      </c>
      <c r="AI144" s="67">
        <v>0</v>
      </c>
      <c r="AJ144" s="67">
        <v>0</v>
      </c>
      <c r="AK144" s="67">
        <v>0</v>
      </c>
      <c r="AM144" s="67">
        <v>0</v>
      </c>
      <c r="AN144" s="67">
        <v>0</v>
      </c>
      <c r="AO144" s="67">
        <v>0</v>
      </c>
      <c r="AP144" s="67"/>
      <c r="AQ144" s="67"/>
      <c r="AR144" s="67">
        <v>0</v>
      </c>
      <c r="AS144" s="67"/>
      <c r="AT144" s="67"/>
      <c r="AU144" s="67"/>
      <c r="AV144" s="67"/>
      <c r="BB144" s="78">
        <v>0</v>
      </c>
      <c r="BC144" s="78">
        <v>0</v>
      </c>
      <c r="BD144" s="78">
        <v>0</v>
      </c>
      <c r="BE144" s="78">
        <v>0</v>
      </c>
      <c r="BF144" s="13"/>
      <c r="BG144" s="78">
        <v>0</v>
      </c>
      <c r="BH144" s="78">
        <v>0</v>
      </c>
      <c r="BI144" s="78">
        <v>0</v>
      </c>
      <c r="BJ144" s="78"/>
      <c r="BK144" s="78"/>
      <c r="BL144" s="78">
        <v>0</v>
      </c>
      <c r="BM144" s="78"/>
      <c r="BN144" s="78"/>
      <c r="BO144" s="78"/>
      <c r="BP144" s="78"/>
      <c r="BS144" s="91">
        <v>18</v>
      </c>
      <c r="BT144" s="6"/>
      <c r="BU144" s="6"/>
      <c r="BW144" s="6"/>
      <c r="BX144" s="91"/>
      <c r="CD144">
        <v>64</v>
      </c>
      <c r="CE144">
        <v>71</v>
      </c>
      <c r="CV144" s="47"/>
      <c r="CW144" s="47">
        <f t="shared" si="81"/>
        <v>0</v>
      </c>
      <c r="CX144" s="47">
        <f t="shared" si="82"/>
        <v>0</v>
      </c>
      <c r="CY144" s="47">
        <f t="shared" si="83"/>
        <v>0</v>
      </c>
      <c r="CZ144" s="47">
        <f t="shared" si="84"/>
        <v>0</v>
      </c>
      <c r="DA144" s="47">
        <f t="shared" si="85"/>
        <v>0</v>
      </c>
      <c r="DB144" s="47">
        <f t="shared" si="86"/>
        <v>0</v>
      </c>
      <c r="DC144" s="47">
        <f t="shared" si="104"/>
        <v>0</v>
      </c>
      <c r="DD144" s="47">
        <f t="shared" si="91"/>
        <v>0</v>
      </c>
      <c r="DE144" s="47">
        <f t="shared" si="90"/>
        <v>0</v>
      </c>
      <c r="DF144" s="47">
        <f t="shared" si="92"/>
        <v>0</v>
      </c>
      <c r="DG144" s="47">
        <f t="shared" si="93"/>
        <v>0</v>
      </c>
      <c r="DH144" s="47">
        <f t="shared" si="94"/>
        <v>0</v>
      </c>
      <c r="DI144" s="47"/>
      <c r="DJ144" s="47"/>
      <c r="DK144" s="47"/>
      <c r="DL144" s="47"/>
      <c r="DM144" s="47"/>
      <c r="DN144" s="47"/>
      <c r="DO144" s="47"/>
      <c r="DQ144">
        <f t="shared" si="88"/>
        <v>0</v>
      </c>
      <c r="DR144">
        <f t="shared" si="87"/>
        <v>0</v>
      </c>
      <c r="DS144">
        <f t="shared" si="105"/>
        <v>11.52</v>
      </c>
      <c r="DT144">
        <f t="shared" si="106"/>
        <v>12.78</v>
      </c>
      <c r="DV144" s="110"/>
      <c r="DW144" s="111">
        <f>DX144*2000</f>
        <v>2600</v>
      </c>
      <c r="DX144" s="112">
        <v>1.3</v>
      </c>
      <c r="DY144" s="94"/>
      <c r="DZ144" s="94"/>
      <c r="EA144" s="81"/>
      <c r="EB144" s="113">
        <f t="shared" si="67"/>
        <v>0</v>
      </c>
      <c r="EC144" s="92">
        <v>0</v>
      </c>
      <c r="ED144" s="92">
        <v>0</v>
      </c>
      <c r="EE144" s="92">
        <v>0</v>
      </c>
      <c r="EF144" s="92"/>
      <c r="EG144" s="207"/>
      <c r="EH144" s="92">
        <v>0</v>
      </c>
      <c r="EI144" s="82">
        <f t="shared" si="95"/>
        <v>0</v>
      </c>
      <c r="EJ144" s="6"/>
      <c r="EK144" s="6"/>
      <c r="EL144" s="6"/>
      <c r="EM144" s="6"/>
      <c r="EN144" s="6"/>
      <c r="EO144" s="6"/>
      <c r="EP144" s="6"/>
      <c r="EQ144" s="121">
        <f>0.036/454</f>
        <v>7.9295154185022015E-5</v>
      </c>
      <c r="ER144" s="6"/>
      <c r="ES144" s="6">
        <v>750000</v>
      </c>
      <c r="ET144" s="6"/>
      <c r="EU144" s="6">
        <v>4000</v>
      </c>
      <c r="EV144" s="6"/>
      <c r="EW144" s="6"/>
      <c r="EX144" s="6"/>
      <c r="EY144" s="6"/>
      <c r="EZ144" s="6"/>
      <c r="FA144" s="6">
        <v>40</v>
      </c>
      <c r="FB144" s="6">
        <v>400</v>
      </c>
      <c r="FC144" s="6">
        <v>180</v>
      </c>
      <c r="FD144" s="6">
        <v>100000</v>
      </c>
      <c r="FE144" s="6">
        <v>9000</v>
      </c>
      <c r="FF144" s="6"/>
      <c r="FG144" s="6"/>
      <c r="FH144" s="6"/>
      <c r="FI144" s="6"/>
      <c r="FJ144" s="6"/>
      <c r="FK144" s="6"/>
      <c r="FL144" s="6"/>
      <c r="FM144" s="80" t="e">
        <f t="shared" si="99"/>
        <v>#DIV/0!</v>
      </c>
      <c r="FN144" s="80" t="e">
        <f t="shared" si="100"/>
        <v>#DIV/0!</v>
      </c>
      <c r="FO144" s="115" t="e">
        <f t="shared" si="101"/>
        <v>#DIV/0!</v>
      </c>
      <c r="FP144" s="115" t="e">
        <f t="shared" si="102"/>
        <v>#DIV/0!</v>
      </c>
      <c r="FQ144" s="116" t="e">
        <f t="shared" si="103"/>
        <v>#DIV/0!</v>
      </c>
    </row>
    <row r="145" spans="2:173" ht="12.75" customHeight="1" x14ac:dyDescent="0.25">
      <c r="B145" s="34" t="s">
        <v>344</v>
      </c>
      <c r="D145" s="94"/>
      <c r="E145" s="94"/>
      <c r="F145" s="94"/>
      <c r="I145" s="91"/>
      <c r="J145" s="92"/>
      <c r="K145" s="92">
        <v>0</v>
      </c>
      <c r="AH145" s="67">
        <v>0</v>
      </c>
      <c r="AI145" s="67">
        <v>0</v>
      </c>
      <c r="AJ145" s="67">
        <v>0</v>
      </c>
      <c r="AK145" s="67">
        <v>0</v>
      </c>
      <c r="AM145" s="67">
        <v>0</v>
      </c>
      <c r="AN145" s="67">
        <v>0</v>
      </c>
      <c r="AO145" s="67">
        <v>0</v>
      </c>
      <c r="AP145" s="67"/>
      <c r="AQ145" s="67"/>
      <c r="AR145" s="67">
        <v>0</v>
      </c>
      <c r="AS145" s="67"/>
      <c r="AT145" s="67"/>
      <c r="AU145" s="67"/>
      <c r="AV145" s="67"/>
      <c r="BB145" s="78">
        <v>0</v>
      </c>
      <c r="BC145" s="78">
        <v>0</v>
      </c>
      <c r="BD145" s="78">
        <v>0</v>
      </c>
      <c r="BE145" s="78">
        <v>0</v>
      </c>
      <c r="BF145" s="13"/>
      <c r="BG145" s="78">
        <v>0</v>
      </c>
      <c r="BH145" s="78">
        <v>0</v>
      </c>
      <c r="BI145" s="78">
        <v>0</v>
      </c>
      <c r="BJ145" s="78"/>
      <c r="BK145" s="78"/>
      <c r="BL145" s="78">
        <v>0</v>
      </c>
      <c r="BM145" s="78"/>
      <c r="BN145" s="78"/>
      <c r="BO145" s="78"/>
      <c r="BP145" s="78"/>
      <c r="BS145" s="91">
        <v>24.7</v>
      </c>
      <c r="BT145" s="6"/>
      <c r="BU145" s="6"/>
      <c r="BW145" s="6"/>
      <c r="BX145" s="91"/>
      <c r="CD145">
        <v>64</v>
      </c>
      <c r="CE145">
        <v>71</v>
      </c>
      <c r="CV145" s="47"/>
      <c r="CW145" s="47">
        <f t="shared" si="81"/>
        <v>0</v>
      </c>
      <c r="CX145" s="47">
        <f t="shared" si="82"/>
        <v>0</v>
      </c>
      <c r="CY145" s="47">
        <f t="shared" si="83"/>
        <v>0</v>
      </c>
      <c r="CZ145" s="47">
        <f t="shared" si="84"/>
        <v>0</v>
      </c>
      <c r="DA145" s="47">
        <f t="shared" si="85"/>
        <v>0</v>
      </c>
      <c r="DB145" s="47">
        <f t="shared" si="86"/>
        <v>0</v>
      </c>
      <c r="DC145" s="47">
        <f t="shared" si="104"/>
        <v>0</v>
      </c>
      <c r="DD145" s="47">
        <f t="shared" si="91"/>
        <v>0</v>
      </c>
      <c r="DE145" s="47">
        <f t="shared" si="90"/>
        <v>0</v>
      </c>
      <c r="DF145" s="47">
        <f t="shared" si="92"/>
        <v>0</v>
      </c>
      <c r="DG145" s="47">
        <f t="shared" si="93"/>
        <v>0</v>
      </c>
      <c r="DH145" s="47">
        <f t="shared" si="94"/>
        <v>0</v>
      </c>
      <c r="DI145" s="47"/>
      <c r="DJ145" s="47"/>
      <c r="DK145" s="47"/>
      <c r="DL145" s="47"/>
      <c r="DM145" s="47"/>
      <c r="DN145" s="47"/>
      <c r="DO145" s="47"/>
      <c r="DQ145">
        <f t="shared" si="88"/>
        <v>0</v>
      </c>
      <c r="DR145">
        <f t="shared" si="87"/>
        <v>0</v>
      </c>
      <c r="DS145">
        <f t="shared" si="105"/>
        <v>15.808</v>
      </c>
      <c r="DT145">
        <f t="shared" si="106"/>
        <v>17.536999999999999</v>
      </c>
      <c r="DV145" s="110"/>
      <c r="DW145" s="111">
        <f>DX145*2000</f>
        <v>1800</v>
      </c>
      <c r="DX145" s="112">
        <v>0.9</v>
      </c>
      <c r="DY145" s="94"/>
      <c r="DZ145" s="94"/>
      <c r="EA145" s="81"/>
      <c r="EB145" s="113">
        <f t="shared" ref="EB145:EB208" si="111">BX145*EA145</f>
        <v>0</v>
      </c>
      <c r="EC145" s="92">
        <v>0</v>
      </c>
      <c r="ED145" s="92">
        <v>0</v>
      </c>
      <c r="EE145" s="6"/>
      <c r="EF145" s="6"/>
      <c r="EG145" s="208"/>
      <c r="EH145" s="92">
        <v>0</v>
      </c>
      <c r="EI145" s="82">
        <f t="shared" si="95"/>
        <v>0</v>
      </c>
      <c r="EJ145" s="6"/>
      <c r="EK145" s="6"/>
      <c r="EL145" s="6"/>
      <c r="EM145" s="6"/>
      <c r="EN145" s="6"/>
      <c r="EO145" s="6"/>
      <c r="EP145" s="6"/>
      <c r="EQ145" s="6"/>
      <c r="ER145" s="6"/>
      <c r="ES145" s="6">
        <f>ES142</f>
        <v>750000</v>
      </c>
      <c r="ET145" s="6">
        <v>300000</v>
      </c>
      <c r="EU145" s="6">
        <f>EU142</f>
        <v>8000</v>
      </c>
      <c r="EV145" s="6">
        <v>600</v>
      </c>
      <c r="EW145" s="6">
        <v>6</v>
      </c>
      <c r="EX145" s="6">
        <v>9000</v>
      </c>
      <c r="EY145" s="6">
        <v>5000</v>
      </c>
      <c r="EZ145" s="6">
        <v>1500</v>
      </c>
      <c r="FA145" s="6"/>
      <c r="FB145" s="6"/>
      <c r="FC145" s="6"/>
      <c r="FD145" s="6"/>
      <c r="FE145" s="6"/>
      <c r="FF145" s="6"/>
      <c r="FG145" s="6"/>
      <c r="FH145" s="6"/>
      <c r="FI145" s="6"/>
      <c r="FJ145" s="6"/>
      <c r="FK145" s="6"/>
      <c r="FL145" s="6"/>
      <c r="FM145" s="80" t="e">
        <f t="shared" si="99"/>
        <v>#DIV/0!</v>
      </c>
      <c r="FN145" s="80" t="e">
        <f t="shared" si="100"/>
        <v>#DIV/0!</v>
      </c>
      <c r="FO145" s="115" t="e">
        <f t="shared" si="101"/>
        <v>#DIV/0!</v>
      </c>
      <c r="FP145" s="115" t="e">
        <f t="shared" si="102"/>
        <v>#DIV/0!</v>
      </c>
      <c r="FQ145" s="116" t="e">
        <f t="shared" si="103"/>
        <v>#DIV/0!</v>
      </c>
    </row>
    <row r="146" spans="2:173" x14ac:dyDescent="0.25">
      <c r="B146" s="54" t="s">
        <v>172</v>
      </c>
      <c r="D146" s="94"/>
      <c r="E146" s="94"/>
      <c r="F146" s="95"/>
      <c r="I146" s="7"/>
      <c r="J146" s="6"/>
      <c r="K146" s="6"/>
      <c r="AH146" s="7">
        <v>0</v>
      </c>
      <c r="AI146" s="7">
        <v>0</v>
      </c>
      <c r="AJ146" s="7">
        <v>11.8</v>
      </c>
      <c r="AK146" s="7">
        <v>0</v>
      </c>
      <c r="AM146" s="7">
        <v>0</v>
      </c>
      <c r="AN146" s="7">
        <v>0</v>
      </c>
      <c r="AO146" s="7">
        <v>0</v>
      </c>
      <c r="AP146" s="7"/>
      <c r="AQ146" s="7"/>
      <c r="AR146" s="74">
        <v>0</v>
      </c>
      <c r="AS146" s="74"/>
      <c r="AT146" s="74"/>
      <c r="AU146" s="74"/>
      <c r="AV146" s="74"/>
      <c r="BB146" s="80"/>
      <c r="BC146" s="80"/>
      <c r="BD146">
        <v>100</v>
      </c>
      <c r="BE146" s="80"/>
      <c r="BG146" s="80"/>
      <c r="BH146" s="80"/>
      <c r="BI146" s="80"/>
      <c r="BJ146" s="80"/>
      <c r="BK146" s="80"/>
      <c r="BL146" s="79"/>
      <c r="BM146" s="79"/>
      <c r="BN146" s="79"/>
      <c r="BO146" s="79"/>
      <c r="BP146" s="79"/>
      <c r="BS146" s="7">
        <v>21</v>
      </c>
      <c r="BT146" s="107">
        <f>0.17*BT82</f>
        <v>0</v>
      </c>
      <c r="BU146" s="107"/>
      <c r="BW146" s="107">
        <f>0.17*BW82</f>
        <v>0</v>
      </c>
      <c r="BX146" s="7">
        <v>0.2</v>
      </c>
      <c r="CB146">
        <v>82.8</v>
      </c>
      <c r="CC146">
        <v>88.3</v>
      </c>
      <c r="CD146">
        <v>64</v>
      </c>
      <c r="CE146">
        <v>71</v>
      </c>
      <c r="CV146" s="47"/>
      <c r="CW146" s="47">
        <f t="shared" si="81"/>
        <v>0</v>
      </c>
      <c r="CX146" s="47">
        <f t="shared" si="82"/>
        <v>0</v>
      </c>
      <c r="CY146" s="47">
        <f t="shared" si="83"/>
        <v>0</v>
      </c>
      <c r="CZ146" s="47">
        <f t="shared" si="84"/>
        <v>0</v>
      </c>
      <c r="DA146" s="47">
        <f t="shared" si="85"/>
        <v>11.8</v>
      </c>
      <c r="DB146" s="47">
        <f t="shared" si="86"/>
        <v>0</v>
      </c>
      <c r="DC146" s="47">
        <f t="shared" si="104"/>
        <v>0</v>
      </c>
      <c r="DD146" s="47">
        <f t="shared" si="91"/>
        <v>0</v>
      </c>
      <c r="DE146" s="47">
        <f t="shared" si="90"/>
        <v>0</v>
      </c>
      <c r="DF146" s="47">
        <f t="shared" si="92"/>
        <v>0</v>
      </c>
      <c r="DG146" s="47">
        <f t="shared" si="93"/>
        <v>0</v>
      </c>
      <c r="DH146" s="47">
        <f t="shared" si="94"/>
        <v>0</v>
      </c>
      <c r="DI146" s="47"/>
      <c r="DJ146" s="47"/>
      <c r="DK146" s="47"/>
      <c r="DL146" s="47"/>
      <c r="DM146" s="47"/>
      <c r="DN146" s="47"/>
      <c r="DO146" s="47"/>
      <c r="DQ146">
        <f t="shared" si="88"/>
        <v>0.1656</v>
      </c>
      <c r="DR146">
        <f t="shared" si="87"/>
        <v>0.17660000000000001</v>
      </c>
      <c r="DS146">
        <f t="shared" si="105"/>
        <v>13.44</v>
      </c>
      <c r="DT146">
        <f t="shared" si="106"/>
        <v>14.91</v>
      </c>
      <c r="DW146" s="111">
        <f t="shared" si="96"/>
        <v>500</v>
      </c>
      <c r="DX146" s="112">
        <v>0.25</v>
      </c>
      <c r="DY146" s="88"/>
      <c r="DZ146" s="88"/>
      <c r="EA146" s="122">
        <v>1</v>
      </c>
      <c r="EB146" s="113">
        <f t="shared" si="111"/>
        <v>0.2</v>
      </c>
      <c r="EC146" s="107"/>
      <c r="ED146" s="6"/>
      <c r="EE146" s="92">
        <f>EE142*3/50</f>
        <v>10777.536</v>
      </c>
      <c r="EF146" s="92"/>
      <c r="EG146" s="207"/>
      <c r="EH146" s="107"/>
      <c r="EI146" s="82">
        <f t="shared" si="95"/>
        <v>0</v>
      </c>
      <c r="EJ146" s="6"/>
      <c r="EK146" s="6">
        <f t="shared" ref="EK146:EP146" si="112">EK143*3/50</f>
        <v>4.4047800000000005E-3</v>
      </c>
      <c r="EL146" s="6">
        <f t="shared" si="112"/>
        <v>4.4047800000000005E-3</v>
      </c>
      <c r="EM146" s="6">
        <f t="shared" si="112"/>
        <v>1.3227600000000001E-3</v>
      </c>
      <c r="EN146" s="6">
        <f t="shared" si="112"/>
        <v>6.6E-4</v>
      </c>
      <c r="EO146" s="6">
        <f t="shared" si="112"/>
        <v>1.1879999999999998E-5</v>
      </c>
      <c r="EP146" s="6">
        <f t="shared" si="112"/>
        <v>1.1879999999999998E-5</v>
      </c>
      <c r="EQ146" s="6"/>
      <c r="ER146" s="6"/>
      <c r="ES146" s="6">
        <f>ES142*3/50</f>
        <v>45000</v>
      </c>
      <c r="ET146" s="6">
        <f t="shared" ref="ET146:EZ146" si="113">ET142*3/50</f>
        <v>9000</v>
      </c>
      <c r="EU146" s="6">
        <f t="shared" si="113"/>
        <v>480</v>
      </c>
      <c r="EV146" s="6">
        <f t="shared" si="113"/>
        <v>18</v>
      </c>
      <c r="EW146" s="6">
        <f t="shared" si="113"/>
        <v>0.18</v>
      </c>
      <c r="EX146" s="6">
        <f t="shared" si="113"/>
        <v>270</v>
      </c>
      <c r="EY146" s="6">
        <f t="shared" si="113"/>
        <v>150</v>
      </c>
      <c r="EZ146" s="6">
        <f t="shared" si="113"/>
        <v>45</v>
      </c>
      <c r="FA146" s="6"/>
      <c r="FB146" s="6"/>
      <c r="FC146" s="6"/>
      <c r="FD146" s="6"/>
      <c r="FE146" s="6"/>
      <c r="FF146" s="6"/>
      <c r="FG146" s="6"/>
      <c r="FH146" s="6"/>
      <c r="FI146" s="6"/>
      <c r="FJ146" s="6"/>
      <c r="FK146" s="6"/>
      <c r="FL146" s="6"/>
      <c r="FM146" s="80" t="e">
        <f t="shared" si="99"/>
        <v>#DIV/0!</v>
      </c>
      <c r="FN146" s="80" t="e">
        <f t="shared" si="100"/>
        <v>#DIV/0!</v>
      </c>
      <c r="FO146" s="115" t="e">
        <f t="shared" si="101"/>
        <v>#DIV/0!</v>
      </c>
      <c r="FP146" s="115" t="e">
        <f t="shared" si="102"/>
        <v>#DIV/0!</v>
      </c>
      <c r="FQ146" s="116" t="e">
        <f t="shared" si="103"/>
        <v>#DIV/0!</v>
      </c>
    </row>
    <row r="147" spans="2:173" x14ac:dyDescent="0.25">
      <c r="B147" s="54" t="s">
        <v>173</v>
      </c>
      <c r="D147" s="94"/>
      <c r="E147" s="94"/>
      <c r="F147" s="95"/>
      <c r="I147" s="7"/>
      <c r="J147" s="6"/>
      <c r="K147" s="6"/>
      <c r="AH147" s="7">
        <v>0</v>
      </c>
      <c r="AI147" s="7">
        <v>0</v>
      </c>
      <c r="AJ147" s="7">
        <v>9.43</v>
      </c>
      <c r="AK147" s="7">
        <v>0.39</v>
      </c>
      <c r="AM147" s="7">
        <v>2</v>
      </c>
      <c r="AN147" s="7">
        <v>0</v>
      </c>
      <c r="AO147" s="7">
        <v>0</v>
      </c>
      <c r="AP147" s="7"/>
      <c r="AQ147" s="7"/>
      <c r="AR147" s="74">
        <v>0</v>
      </c>
      <c r="AS147" s="74"/>
      <c r="AT147" s="74"/>
      <c r="AU147" s="74"/>
      <c r="AV147" s="74"/>
      <c r="BB147" s="80"/>
      <c r="BC147" s="80"/>
      <c r="BD147">
        <v>100</v>
      </c>
      <c r="BE147">
        <v>100</v>
      </c>
      <c r="BG147">
        <v>100</v>
      </c>
      <c r="BH147" s="80"/>
      <c r="BI147" s="80"/>
      <c r="BJ147" s="80"/>
      <c r="BK147" s="80"/>
      <c r="BL147" s="79"/>
      <c r="BM147" s="79"/>
      <c r="BN147" s="79"/>
      <c r="BO147" s="79"/>
      <c r="BP147" s="79"/>
      <c r="BS147" s="7">
        <v>21</v>
      </c>
      <c r="BT147" s="107">
        <f>BT146</f>
        <v>0</v>
      </c>
      <c r="BU147" s="107"/>
      <c r="BW147" s="107">
        <f>BW146</f>
        <v>0</v>
      </c>
      <c r="BX147" s="7">
        <v>4.8</v>
      </c>
      <c r="CB147">
        <v>82.8</v>
      </c>
      <c r="CC147">
        <v>88.3</v>
      </c>
      <c r="CD147">
        <v>64</v>
      </c>
      <c r="CE147">
        <v>71</v>
      </c>
      <c r="CV147" s="47"/>
      <c r="CW147" s="47">
        <f t="shared" si="81"/>
        <v>0</v>
      </c>
      <c r="CX147" s="47">
        <f t="shared" si="82"/>
        <v>0</v>
      </c>
      <c r="CY147" s="47">
        <f t="shared" si="83"/>
        <v>0</v>
      </c>
      <c r="CZ147" s="47">
        <f t="shared" si="84"/>
        <v>0</v>
      </c>
      <c r="DA147" s="47">
        <f t="shared" si="85"/>
        <v>9.43</v>
      </c>
      <c r="DB147" s="47">
        <f t="shared" si="86"/>
        <v>0.39</v>
      </c>
      <c r="DC147" s="47">
        <f t="shared" si="104"/>
        <v>0.39</v>
      </c>
      <c r="DD147" s="47">
        <f t="shared" si="91"/>
        <v>0</v>
      </c>
      <c r="DE147" s="47">
        <f t="shared" si="90"/>
        <v>0</v>
      </c>
      <c r="DF147" s="47">
        <f t="shared" si="92"/>
        <v>2</v>
      </c>
      <c r="DG147" s="47">
        <f t="shared" si="93"/>
        <v>0</v>
      </c>
      <c r="DH147" s="47">
        <f t="shared" si="94"/>
        <v>0</v>
      </c>
      <c r="DI147" s="47"/>
      <c r="DJ147" s="47"/>
      <c r="DK147" s="47"/>
      <c r="DL147" s="47"/>
      <c r="DM147" s="47"/>
      <c r="DN147" s="47"/>
      <c r="DO147" s="47"/>
      <c r="DQ147">
        <f t="shared" si="88"/>
        <v>3.9744000000000002</v>
      </c>
      <c r="DR147">
        <f t="shared" si="87"/>
        <v>4.2383999999999995</v>
      </c>
      <c r="DS147">
        <f t="shared" si="105"/>
        <v>13.44</v>
      </c>
      <c r="DT147">
        <f t="shared" si="106"/>
        <v>14.91</v>
      </c>
      <c r="DW147" s="111">
        <f t="shared" si="96"/>
        <v>600</v>
      </c>
      <c r="DX147" s="112">
        <v>0.3</v>
      </c>
      <c r="DY147" s="88"/>
      <c r="DZ147" s="88"/>
      <c r="EA147" s="122">
        <v>1</v>
      </c>
      <c r="EB147" s="113">
        <f t="shared" si="111"/>
        <v>4.8</v>
      </c>
      <c r="EC147" s="107"/>
      <c r="ED147" s="6"/>
      <c r="EE147" s="92">
        <f>EE142*3/50</f>
        <v>10777.536</v>
      </c>
      <c r="EF147" s="92"/>
      <c r="EG147" s="207"/>
      <c r="EH147" s="107"/>
      <c r="EI147" s="82">
        <f t="shared" si="95"/>
        <v>0</v>
      </c>
      <c r="EJ147" s="6"/>
      <c r="EK147" s="6">
        <f t="shared" ref="EK147:EP147" si="114">EK143*3/50</f>
        <v>4.4047800000000005E-3</v>
      </c>
      <c r="EL147" s="6">
        <f t="shared" si="114"/>
        <v>4.4047800000000005E-3</v>
      </c>
      <c r="EM147" s="6">
        <f t="shared" si="114"/>
        <v>1.3227600000000001E-3</v>
      </c>
      <c r="EN147" s="6">
        <f t="shared" si="114"/>
        <v>6.6E-4</v>
      </c>
      <c r="EO147" s="6">
        <f t="shared" si="114"/>
        <v>1.1879999999999998E-5</v>
      </c>
      <c r="EP147" s="6">
        <f t="shared" si="114"/>
        <v>1.1879999999999998E-5</v>
      </c>
      <c r="EQ147" s="6"/>
      <c r="ER147" s="6"/>
      <c r="ES147" s="6">
        <f>ES142*3/50</f>
        <v>45000</v>
      </c>
      <c r="ET147" s="6">
        <f t="shared" ref="ET147:EZ147" si="115">ET142*3/50</f>
        <v>9000</v>
      </c>
      <c r="EU147" s="6">
        <f t="shared" si="115"/>
        <v>480</v>
      </c>
      <c r="EV147" s="6">
        <f t="shared" si="115"/>
        <v>18</v>
      </c>
      <c r="EW147" s="6">
        <f t="shared" si="115"/>
        <v>0.18</v>
      </c>
      <c r="EX147" s="6">
        <f t="shared" si="115"/>
        <v>270</v>
      </c>
      <c r="EY147" s="6">
        <f t="shared" si="115"/>
        <v>150</v>
      </c>
      <c r="EZ147" s="6">
        <f t="shared" si="115"/>
        <v>45</v>
      </c>
      <c r="FA147" s="6"/>
      <c r="FB147" s="6"/>
      <c r="FC147" s="6"/>
      <c r="FD147" s="6"/>
      <c r="FE147" s="6"/>
      <c r="FF147" s="6"/>
      <c r="FG147" s="6"/>
      <c r="FH147" s="6"/>
      <c r="FI147" s="6"/>
      <c r="FJ147" s="6"/>
      <c r="FK147" s="6"/>
      <c r="FL147" s="6"/>
      <c r="FM147" s="80" t="e">
        <f t="shared" si="99"/>
        <v>#DIV/0!</v>
      </c>
      <c r="FN147" s="80" t="e">
        <f t="shared" si="100"/>
        <v>#DIV/0!</v>
      </c>
      <c r="FO147" s="115" t="e">
        <f t="shared" si="101"/>
        <v>#DIV/0!</v>
      </c>
      <c r="FP147" s="115" t="e">
        <f t="shared" si="102"/>
        <v>#DIV/0!</v>
      </c>
      <c r="FQ147" s="116" t="e">
        <f t="shared" si="103"/>
        <v>#DIV/0!</v>
      </c>
    </row>
    <row r="148" spans="2:173" x14ac:dyDescent="0.25">
      <c r="B148" s="54" t="s">
        <v>177</v>
      </c>
      <c r="D148" s="8"/>
      <c r="E148" s="8"/>
      <c r="F148" s="8"/>
      <c r="I148" s="7"/>
      <c r="J148" s="6"/>
      <c r="K148" s="6"/>
      <c r="AH148" s="7"/>
      <c r="AI148" s="7"/>
      <c r="AJ148" s="7"/>
      <c r="AK148" s="7"/>
      <c r="AM148" s="7"/>
      <c r="AN148" s="7"/>
      <c r="AO148" s="7"/>
      <c r="AP148" s="7"/>
      <c r="AQ148" s="7"/>
      <c r="AR148" s="7"/>
      <c r="AS148" s="7"/>
      <c r="AT148" s="7"/>
      <c r="AU148" s="7"/>
      <c r="AV148" s="7"/>
      <c r="BB148" s="80"/>
      <c r="BC148" s="80"/>
      <c r="BD148" s="80"/>
      <c r="BE148" s="80"/>
      <c r="BG148" s="80"/>
      <c r="BH148" s="80"/>
      <c r="BI148" s="80"/>
      <c r="BJ148" s="80"/>
      <c r="BK148" s="80"/>
      <c r="BL148" s="80"/>
      <c r="BM148" s="80"/>
      <c r="BN148" s="80"/>
      <c r="BO148" s="80"/>
      <c r="BP148" s="80"/>
      <c r="BS148" s="7"/>
      <c r="BT148" s="6"/>
      <c r="BU148" s="6"/>
      <c r="BW148" s="6"/>
      <c r="BX148" s="7"/>
      <c r="CD148">
        <v>64</v>
      </c>
      <c r="CE148">
        <v>71</v>
      </c>
      <c r="CV148" s="47"/>
      <c r="CW148" s="47">
        <f t="shared" si="81"/>
        <v>0</v>
      </c>
      <c r="CX148" s="47">
        <f t="shared" si="82"/>
        <v>0</v>
      </c>
      <c r="CY148" s="47">
        <f t="shared" si="83"/>
        <v>0</v>
      </c>
      <c r="CZ148" s="47">
        <f t="shared" si="84"/>
        <v>0</v>
      </c>
      <c r="DA148" s="47">
        <f t="shared" si="85"/>
        <v>0</v>
      </c>
      <c r="DB148" s="47">
        <f t="shared" si="86"/>
        <v>0</v>
      </c>
      <c r="DC148" s="47">
        <f t="shared" si="104"/>
        <v>0</v>
      </c>
      <c r="DD148" s="47">
        <f t="shared" si="91"/>
        <v>0</v>
      </c>
      <c r="DE148" s="47">
        <f t="shared" si="90"/>
        <v>0</v>
      </c>
      <c r="DF148" s="47">
        <f t="shared" si="92"/>
        <v>0</v>
      </c>
      <c r="DG148" s="47">
        <f t="shared" si="93"/>
        <v>0</v>
      </c>
      <c r="DH148" s="47">
        <f t="shared" si="94"/>
        <v>0</v>
      </c>
      <c r="DI148" s="47"/>
      <c r="DJ148" s="47"/>
      <c r="DK148" s="47"/>
      <c r="DL148" s="47"/>
      <c r="DM148" s="47"/>
      <c r="DN148" s="47"/>
      <c r="DO148" s="47"/>
      <c r="DQ148">
        <f t="shared" si="88"/>
        <v>0</v>
      </c>
      <c r="DR148">
        <f t="shared" si="87"/>
        <v>0</v>
      </c>
      <c r="DS148">
        <f t="shared" si="105"/>
        <v>0</v>
      </c>
      <c r="DT148">
        <f t="shared" si="106"/>
        <v>0</v>
      </c>
      <c r="DW148" s="111">
        <f t="shared" ref="DW148:DW163" si="116">DX148*2000</f>
        <v>1200</v>
      </c>
      <c r="DX148" s="112">
        <v>0.6</v>
      </c>
      <c r="DY148" s="8"/>
      <c r="DZ148" s="8"/>
      <c r="EA148" s="81"/>
      <c r="EB148" s="113">
        <f t="shared" si="111"/>
        <v>0</v>
      </c>
      <c r="EC148" s="6"/>
      <c r="ED148" s="6"/>
      <c r="EE148" s="6"/>
      <c r="EF148" s="6"/>
      <c r="EG148" s="208"/>
      <c r="EH148" s="6"/>
      <c r="EI148" s="82" t="str">
        <f t="shared" si="95"/>
        <v/>
      </c>
      <c r="EJ148" s="6"/>
      <c r="EK148" s="6"/>
      <c r="EL148" s="6"/>
      <c r="EM148" s="6"/>
      <c r="EN148" s="6"/>
      <c r="EO148" s="6"/>
      <c r="EP148" s="6"/>
      <c r="EQ148" s="6"/>
      <c r="ER148" s="6"/>
      <c r="ES148" s="6"/>
      <c r="ET148" s="6"/>
      <c r="EU148" s="6"/>
      <c r="EV148" s="6"/>
      <c r="EW148" s="6"/>
      <c r="EX148" s="6"/>
      <c r="EY148" s="6"/>
      <c r="EZ148" s="6"/>
      <c r="FA148" s="6"/>
      <c r="FB148" s="6"/>
      <c r="FC148" s="6"/>
      <c r="FD148" s="6">
        <f>0.5*453.6*1000</f>
        <v>226800</v>
      </c>
      <c r="FE148" s="6"/>
      <c r="FF148" s="6"/>
      <c r="FG148" s="6"/>
      <c r="FH148" s="6"/>
      <c r="FI148" s="6"/>
      <c r="FJ148" s="6"/>
      <c r="FK148" s="6"/>
      <c r="FL148" s="6"/>
      <c r="FM148" s="80" t="e">
        <f t="shared" si="99"/>
        <v>#DIV/0!</v>
      </c>
      <c r="FN148" s="80" t="e">
        <f t="shared" si="100"/>
        <v>#DIV/0!</v>
      </c>
      <c r="FO148" s="115" t="e">
        <f t="shared" si="101"/>
        <v>#DIV/0!</v>
      </c>
      <c r="FP148" s="115" t="e">
        <f t="shared" si="102"/>
        <v>#DIV/0!</v>
      </c>
      <c r="FQ148" s="116" t="e">
        <f t="shared" si="103"/>
        <v>#DIV/0!</v>
      </c>
    </row>
    <row r="149" spans="2:173" x14ac:dyDescent="0.25">
      <c r="B149" s="54" t="s">
        <v>102</v>
      </c>
      <c r="D149" s="90"/>
      <c r="E149" s="90"/>
      <c r="F149" s="90"/>
      <c r="I149" s="91"/>
      <c r="J149" s="92"/>
      <c r="K149" s="92"/>
      <c r="AH149" s="67"/>
      <c r="AI149" s="67"/>
      <c r="AJ149" s="67"/>
      <c r="AK149" s="91"/>
      <c r="AM149" s="67"/>
      <c r="AN149" s="67"/>
      <c r="AO149" s="67"/>
      <c r="AP149" s="67"/>
      <c r="AQ149" s="67"/>
      <c r="AR149" s="67"/>
      <c r="AS149" s="67"/>
      <c r="AT149" s="67"/>
      <c r="AU149" s="67"/>
      <c r="AV149" s="67"/>
      <c r="BB149" s="101"/>
      <c r="BC149" s="101"/>
      <c r="BD149" s="101"/>
      <c r="BE149" s="81"/>
      <c r="BG149" s="101"/>
      <c r="BH149" s="101"/>
      <c r="BI149" s="101"/>
      <c r="BJ149" s="101"/>
      <c r="BK149" s="101"/>
      <c r="BL149" s="81"/>
      <c r="BM149" s="81"/>
      <c r="BN149" s="81"/>
      <c r="BO149" s="81"/>
      <c r="BP149" s="81"/>
      <c r="BS149" s="91"/>
      <c r="BT149" s="6"/>
      <c r="BU149" s="92"/>
      <c r="BW149" s="92"/>
      <c r="BX149" s="91"/>
      <c r="CD149">
        <v>64</v>
      </c>
      <c r="CE149">
        <v>71</v>
      </c>
      <c r="CV149" s="47"/>
      <c r="CW149" s="47">
        <f t="shared" si="81"/>
        <v>0</v>
      </c>
      <c r="CX149" s="47">
        <f t="shared" si="82"/>
        <v>0</v>
      </c>
      <c r="CY149" s="47">
        <f t="shared" si="83"/>
        <v>0</v>
      </c>
      <c r="CZ149" s="47">
        <f t="shared" si="84"/>
        <v>0</v>
      </c>
      <c r="DA149" s="47">
        <f t="shared" si="85"/>
        <v>0</v>
      </c>
      <c r="DB149" s="47">
        <f t="shared" si="86"/>
        <v>0</v>
      </c>
      <c r="DC149" s="47">
        <f t="shared" si="104"/>
        <v>0</v>
      </c>
      <c r="DD149" s="47">
        <f t="shared" si="91"/>
        <v>0</v>
      </c>
      <c r="DE149" s="47">
        <f t="shared" si="90"/>
        <v>0</v>
      </c>
      <c r="DF149" s="47">
        <f t="shared" si="92"/>
        <v>0</v>
      </c>
      <c r="DG149" s="47">
        <f t="shared" si="93"/>
        <v>0</v>
      </c>
      <c r="DH149" s="47">
        <f t="shared" si="94"/>
        <v>0</v>
      </c>
      <c r="DI149" s="47"/>
      <c r="DJ149" s="47"/>
      <c r="DK149" s="47"/>
      <c r="DL149" s="47"/>
      <c r="DM149" s="47"/>
      <c r="DN149" s="47"/>
      <c r="DO149" s="47"/>
      <c r="DQ149">
        <f t="shared" si="88"/>
        <v>0</v>
      </c>
      <c r="DR149">
        <f t="shared" si="87"/>
        <v>0</v>
      </c>
      <c r="DS149">
        <f t="shared" si="105"/>
        <v>0</v>
      </c>
      <c r="DT149">
        <f t="shared" si="106"/>
        <v>0</v>
      </c>
      <c r="DV149" s="110"/>
      <c r="DW149" s="111">
        <f t="shared" si="116"/>
        <v>0</v>
      </c>
      <c r="DX149" s="112">
        <v>0</v>
      </c>
      <c r="DY149" s="94"/>
      <c r="DZ149" s="94"/>
      <c r="EA149" s="81"/>
      <c r="EB149" s="113">
        <f t="shared" si="111"/>
        <v>0</v>
      </c>
      <c r="EC149" s="92"/>
      <c r="ED149" s="92"/>
      <c r="EE149" s="123">
        <f t="shared" ref="EE149:EE156" si="117">EF149*454</f>
        <v>272400</v>
      </c>
      <c r="EF149" s="6">
        <v>600</v>
      </c>
      <c r="EG149" s="207"/>
      <c r="EH149" s="92"/>
      <c r="EI149" s="82"/>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80" t="e">
        <f t="shared" si="99"/>
        <v>#DIV/0!</v>
      </c>
      <c r="FN149" s="80" t="e">
        <f t="shared" si="100"/>
        <v>#DIV/0!</v>
      </c>
      <c r="FO149" s="115" t="e">
        <f t="shared" si="101"/>
        <v>#DIV/0!</v>
      </c>
      <c r="FP149" s="115" t="e">
        <f t="shared" si="102"/>
        <v>#DIV/0!</v>
      </c>
      <c r="FQ149" s="116" t="e">
        <f t="shared" si="103"/>
        <v>#DIV/0!</v>
      </c>
    </row>
    <row r="150" spans="2:173" x14ac:dyDescent="0.25">
      <c r="B150" s="54" t="s">
        <v>103</v>
      </c>
      <c r="D150" s="90"/>
      <c r="E150" s="90"/>
      <c r="F150" s="90"/>
      <c r="I150" s="91"/>
      <c r="J150" s="92"/>
      <c r="K150" s="92"/>
      <c r="AH150" s="67"/>
      <c r="AI150" s="67"/>
      <c r="AJ150" s="67"/>
      <c r="AK150" s="91"/>
      <c r="AM150" s="67"/>
      <c r="AN150" s="67"/>
      <c r="AO150" s="67"/>
      <c r="AP150" s="67"/>
      <c r="AQ150" s="67"/>
      <c r="AR150" s="67"/>
      <c r="AS150" s="67"/>
      <c r="AT150" s="67"/>
      <c r="AU150" s="67"/>
      <c r="AV150" s="67"/>
      <c r="BB150" s="101"/>
      <c r="BC150" s="101"/>
      <c r="BD150" s="101"/>
      <c r="BE150" s="81"/>
      <c r="BG150" s="101"/>
      <c r="BH150" s="101"/>
      <c r="BI150" s="101"/>
      <c r="BJ150" s="101"/>
      <c r="BK150" s="101"/>
      <c r="BL150" s="81"/>
      <c r="BM150" s="81"/>
      <c r="BN150" s="81"/>
      <c r="BO150" s="81"/>
      <c r="BP150" s="81"/>
      <c r="BS150" s="91"/>
      <c r="BT150" s="6"/>
      <c r="BU150" s="92"/>
      <c r="BW150" s="92"/>
      <c r="BX150" s="91"/>
      <c r="CD150">
        <v>64</v>
      </c>
      <c r="CE150">
        <v>71</v>
      </c>
      <c r="CV150" s="47"/>
      <c r="CW150" s="47">
        <f t="shared" si="81"/>
        <v>0</v>
      </c>
      <c r="CX150" s="47">
        <f t="shared" si="82"/>
        <v>0</v>
      </c>
      <c r="CY150" s="47">
        <f t="shared" si="83"/>
        <v>0</v>
      </c>
      <c r="CZ150" s="47">
        <f t="shared" si="84"/>
        <v>0</v>
      </c>
      <c r="DA150" s="47">
        <f t="shared" si="85"/>
        <v>0</v>
      </c>
      <c r="DB150" s="47">
        <f t="shared" si="86"/>
        <v>0</v>
      </c>
      <c r="DC150" s="47">
        <f t="shared" si="104"/>
        <v>0</v>
      </c>
      <c r="DD150" s="47">
        <f t="shared" si="91"/>
        <v>0</v>
      </c>
      <c r="DE150" s="47">
        <f t="shared" ref="DE150:DE187" si="118">DD150+BQ150*AW150/100</f>
        <v>0</v>
      </c>
      <c r="DF150" s="47">
        <f t="shared" si="92"/>
        <v>0</v>
      </c>
      <c r="DG150" s="47">
        <f t="shared" si="93"/>
        <v>0</v>
      </c>
      <c r="DH150" s="47">
        <f t="shared" si="94"/>
        <v>0</v>
      </c>
      <c r="DI150" s="47"/>
      <c r="DJ150" s="47"/>
      <c r="DK150" s="47"/>
      <c r="DL150" s="47"/>
      <c r="DM150" s="47"/>
      <c r="DN150" s="47"/>
      <c r="DO150" s="47"/>
      <c r="DQ150">
        <f t="shared" si="88"/>
        <v>0</v>
      </c>
      <c r="DR150">
        <f t="shared" si="87"/>
        <v>0</v>
      </c>
      <c r="DS150">
        <f t="shared" si="105"/>
        <v>0</v>
      </c>
      <c r="DT150">
        <f t="shared" si="106"/>
        <v>0</v>
      </c>
      <c r="DV150" s="110"/>
      <c r="DW150" s="111">
        <f t="shared" si="116"/>
        <v>0</v>
      </c>
      <c r="DX150" s="112">
        <v>0</v>
      </c>
      <c r="DY150" s="94"/>
      <c r="DZ150" s="94"/>
      <c r="EA150" s="81"/>
      <c r="EB150" s="113">
        <f t="shared" si="111"/>
        <v>0</v>
      </c>
      <c r="EC150" s="92"/>
      <c r="ED150" s="92"/>
      <c r="EE150" s="123">
        <f t="shared" si="117"/>
        <v>544800</v>
      </c>
      <c r="EF150" s="6">
        <v>1200</v>
      </c>
      <c r="EG150" s="207"/>
      <c r="EH150" s="92"/>
      <c r="EI150" s="82"/>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80" t="e">
        <f t="shared" si="99"/>
        <v>#DIV/0!</v>
      </c>
      <c r="FN150" s="80" t="e">
        <f t="shared" si="100"/>
        <v>#DIV/0!</v>
      </c>
      <c r="FO150" s="115" t="e">
        <f t="shared" si="101"/>
        <v>#DIV/0!</v>
      </c>
      <c r="FP150" s="115" t="e">
        <f t="shared" si="102"/>
        <v>#DIV/0!</v>
      </c>
      <c r="FQ150" s="116" t="e">
        <f t="shared" si="103"/>
        <v>#DIV/0!</v>
      </c>
    </row>
    <row r="151" spans="2:173" x14ac:dyDescent="0.25">
      <c r="B151" s="54" t="s">
        <v>104</v>
      </c>
      <c r="D151" s="90"/>
      <c r="E151" s="90"/>
      <c r="F151" s="90"/>
      <c r="I151" s="91"/>
      <c r="J151" s="92"/>
      <c r="K151" s="92"/>
      <c r="AH151" s="67"/>
      <c r="AI151" s="67"/>
      <c r="AJ151" s="67"/>
      <c r="AK151" s="91"/>
      <c r="AM151" s="67"/>
      <c r="AN151" s="67"/>
      <c r="AO151" s="67"/>
      <c r="AP151" s="67"/>
      <c r="AQ151" s="67"/>
      <c r="AR151" s="67"/>
      <c r="AS151" s="67"/>
      <c r="AT151" s="67"/>
      <c r="AU151" s="67"/>
      <c r="AV151" s="67"/>
      <c r="BB151" s="101"/>
      <c r="BC151" s="101"/>
      <c r="BD151" s="101"/>
      <c r="BE151" s="81"/>
      <c r="BG151" s="101"/>
      <c r="BH151" s="101"/>
      <c r="BI151" s="101"/>
      <c r="BJ151" s="101"/>
      <c r="BK151" s="101"/>
      <c r="BL151" s="81"/>
      <c r="BM151" s="81"/>
      <c r="BN151" s="81"/>
      <c r="BO151" s="81"/>
      <c r="BP151" s="81"/>
      <c r="BS151" s="91"/>
      <c r="BT151" s="6"/>
      <c r="BU151" s="92"/>
      <c r="BW151" s="92"/>
      <c r="BX151" s="91"/>
      <c r="CD151">
        <v>64</v>
      </c>
      <c r="CE151">
        <v>71</v>
      </c>
      <c r="CV151" s="47"/>
      <c r="CW151" s="47">
        <f t="shared" si="81"/>
        <v>0</v>
      </c>
      <c r="CX151" s="47">
        <f t="shared" si="82"/>
        <v>0</v>
      </c>
      <c r="CY151" s="47">
        <f t="shared" si="83"/>
        <v>0</v>
      </c>
      <c r="CZ151" s="47">
        <f t="shared" si="84"/>
        <v>0</v>
      </c>
      <c r="DA151" s="47">
        <f t="shared" si="85"/>
        <v>0</v>
      </c>
      <c r="DB151" s="47">
        <f t="shared" si="86"/>
        <v>0</v>
      </c>
      <c r="DC151" s="47">
        <f t="shared" si="104"/>
        <v>0</v>
      </c>
      <c r="DD151" s="47">
        <f t="shared" si="91"/>
        <v>0</v>
      </c>
      <c r="DE151" s="47">
        <f t="shared" si="118"/>
        <v>0</v>
      </c>
      <c r="DF151" s="47">
        <f t="shared" si="92"/>
        <v>0</v>
      </c>
      <c r="DG151" s="47">
        <f t="shared" si="93"/>
        <v>0</v>
      </c>
      <c r="DH151" s="47">
        <f t="shared" si="94"/>
        <v>0</v>
      </c>
      <c r="DI151" s="47"/>
      <c r="DJ151" s="47"/>
      <c r="DK151" s="47"/>
      <c r="DL151" s="47"/>
      <c r="DM151" s="47"/>
      <c r="DN151" s="47"/>
      <c r="DO151" s="47"/>
      <c r="DQ151">
        <f t="shared" si="88"/>
        <v>0</v>
      </c>
      <c r="DR151">
        <f t="shared" si="87"/>
        <v>0</v>
      </c>
      <c r="DS151">
        <f t="shared" si="105"/>
        <v>0</v>
      </c>
      <c r="DT151">
        <f t="shared" si="106"/>
        <v>0</v>
      </c>
      <c r="DV151" s="110"/>
      <c r="DW151" s="111">
        <f t="shared" si="116"/>
        <v>0</v>
      </c>
      <c r="DX151" s="112">
        <v>0</v>
      </c>
      <c r="DY151" s="94"/>
      <c r="DZ151" s="94"/>
      <c r="EA151" s="81"/>
      <c r="EB151" s="113">
        <f t="shared" si="111"/>
        <v>0</v>
      </c>
      <c r="EC151" s="92"/>
      <c r="ED151" s="92"/>
      <c r="EE151" s="123">
        <f t="shared" si="117"/>
        <v>908000</v>
      </c>
      <c r="EF151" s="6">
        <v>2000</v>
      </c>
      <c r="EG151" s="207"/>
      <c r="EH151" s="92"/>
      <c r="EI151" s="82"/>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80" t="e">
        <f t="shared" si="99"/>
        <v>#DIV/0!</v>
      </c>
      <c r="FN151" s="80" t="e">
        <f t="shared" si="100"/>
        <v>#DIV/0!</v>
      </c>
      <c r="FO151" s="115" t="e">
        <f t="shared" si="101"/>
        <v>#DIV/0!</v>
      </c>
      <c r="FP151" s="115" t="e">
        <f t="shared" si="102"/>
        <v>#DIV/0!</v>
      </c>
      <c r="FQ151" s="116" t="e">
        <f t="shared" si="103"/>
        <v>#DIV/0!</v>
      </c>
    </row>
    <row r="152" spans="2:173" x14ac:dyDescent="0.25">
      <c r="B152" s="54" t="s">
        <v>105</v>
      </c>
      <c r="D152" s="90"/>
      <c r="E152" s="90"/>
      <c r="F152" s="90"/>
      <c r="I152" s="91"/>
      <c r="J152" s="92"/>
      <c r="K152" s="92"/>
      <c r="AH152" s="67"/>
      <c r="AI152" s="67"/>
      <c r="AJ152" s="67"/>
      <c r="AK152" s="91"/>
      <c r="AM152" s="67"/>
      <c r="AN152" s="67"/>
      <c r="AO152" s="67"/>
      <c r="AP152" s="67"/>
      <c r="AQ152" s="67"/>
      <c r="AR152" s="67"/>
      <c r="AS152" s="67"/>
      <c r="AT152" s="67"/>
      <c r="AU152" s="67"/>
      <c r="AV152" s="67"/>
      <c r="BB152" s="101"/>
      <c r="BC152" s="101"/>
      <c r="BD152" s="101"/>
      <c r="BE152" s="81"/>
      <c r="BG152" s="101"/>
      <c r="BH152" s="101"/>
      <c r="BI152" s="101"/>
      <c r="BJ152" s="101"/>
      <c r="BK152" s="101"/>
      <c r="BL152" s="81"/>
      <c r="BM152" s="81"/>
      <c r="BN152" s="81"/>
      <c r="BO152" s="81"/>
      <c r="BP152" s="81"/>
      <c r="BS152" s="91"/>
      <c r="BT152" s="6"/>
      <c r="BU152" s="92"/>
      <c r="BW152" s="92"/>
      <c r="BX152" s="91"/>
      <c r="CD152">
        <v>64</v>
      </c>
      <c r="CE152">
        <v>71</v>
      </c>
      <c r="CV152" s="47"/>
      <c r="CW152" s="47">
        <f t="shared" si="81"/>
        <v>0</v>
      </c>
      <c r="CX152" s="47">
        <f t="shared" si="82"/>
        <v>0</v>
      </c>
      <c r="CY152" s="47">
        <f t="shared" si="83"/>
        <v>0</v>
      </c>
      <c r="CZ152" s="47">
        <f t="shared" si="84"/>
        <v>0</v>
      </c>
      <c r="DA152" s="47">
        <f t="shared" si="85"/>
        <v>0</v>
      </c>
      <c r="DB152" s="47">
        <f t="shared" si="86"/>
        <v>0</v>
      </c>
      <c r="DC152" s="47">
        <f t="shared" si="104"/>
        <v>0</v>
      </c>
      <c r="DD152" s="47">
        <f t="shared" si="91"/>
        <v>0</v>
      </c>
      <c r="DE152" s="47">
        <f t="shared" si="118"/>
        <v>0</v>
      </c>
      <c r="DF152" s="47">
        <f t="shared" si="92"/>
        <v>0</v>
      </c>
      <c r="DG152" s="47">
        <f t="shared" si="93"/>
        <v>0</v>
      </c>
      <c r="DH152" s="47">
        <f t="shared" si="94"/>
        <v>0</v>
      </c>
      <c r="DI152" s="47"/>
      <c r="DJ152" s="47"/>
      <c r="DK152" s="47"/>
      <c r="DL152" s="47"/>
      <c r="DM152" s="47"/>
      <c r="DN152" s="47"/>
      <c r="DO152" s="47"/>
      <c r="DQ152">
        <f t="shared" si="88"/>
        <v>0</v>
      </c>
      <c r="DR152">
        <f t="shared" si="87"/>
        <v>0</v>
      </c>
      <c r="DS152">
        <f t="shared" si="105"/>
        <v>0</v>
      </c>
      <c r="DT152">
        <f t="shared" si="106"/>
        <v>0</v>
      </c>
      <c r="DV152" s="110"/>
      <c r="DW152" s="111">
        <f t="shared" si="116"/>
        <v>0</v>
      </c>
      <c r="DX152" s="112">
        <v>0</v>
      </c>
      <c r="DY152" s="94"/>
      <c r="DZ152" s="94"/>
      <c r="EA152" s="81"/>
      <c r="EB152" s="113">
        <f t="shared" si="111"/>
        <v>0</v>
      </c>
      <c r="EC152" s="92"/>
      <c r="ED152" s="92"/>
      <c r="EE152" s="123">
        <f t="shared" si="117"/>
        <v>544800</v>
      </c>
      <c r="EF152" s="6">
        <v>1200</v>
      </c>
      <c r="EG152" s="207"/>
      <c r="EH152" s="92"/>
      <c r="EI152" s="82"/>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80" t="e">
        <f t="shared" si="99"/>
        <v>#DIV/0!</v>
      </c>
      <c r="FN152" s="80" t="e">
        <f t="shared" si="100"/>
        <v>#DIV/0!</v>
      </c>
      <c r="FO152" s="115" t="e">
        <f t="shared" si="101"/>
        <v>#DIV/0!</v>
      </c>
      <c r="FP152" s="115" t="e">
        <f t="shared" si="102"/>
        <v>#DIV/0!</v>
      </c>
      <c r="FQ152" s="116" t="e">
        <f t="shared" si="103"/>
        <v>#DIV/0!</v>
      </c>
    </row>
    <row r="153" spans="2:173" x14ac:dyDescent="0.25">
      <c r="B153" s="54" t="s">
        <v>106</v>
      </c>
      <c r="D153" s="90"/>
      <c r="E153" s="90"/>
      <c r="F153" s="90"/>
      <c r="I153" s="91"/>
      <c r="J153" s="92"/>
      <c r="K153" s="92"/>
      <c r="AH153" s="67"/>
      <c r="AI153" s="67"/>
      <c r="AJ153" s="67"/>
      <c r="AK153" s="91"/>
      <c r="AM153" s="67"/>
      <c r="AN153" s="67"/>
      <c r="AO153" s="67"/>
      <c r="AP153" s="67"/>
      <c r="AQ153" s="67"/>
      <c r="AR153" s="67"/>
      <c r="AS153" s="67"/>
      <c r="AT153" s="67"/>
      <c r="AU153" s="67"/>
      <c r="AV153" s="67"/>
      <c r="BB153" s="101"/>
      <c r="BC153" s="101"/>
      <c r="BD153" s="101"/>
      <c r="BE153" s="81"/>
      <c r="BG153" s="101"/>
      <c r="BH153" s="101"/>
      <c r="BI153" s="101"/>
      <c r="BJ153" s="101"/>
      <c r="BK153" s="101"/>
      <c r="BL153" s="81"/>
      <c r="BM153" s="81"/>
      <c r="BN153" s="81"/>
      <c r="BO153" s="81"/>
      <c r="BP153" s="81"/>
      <c r="BS153" s="91"/>
      <c r="BT153" s="6"/>
      <c r="BU153" s="92"/>
      <c r="BW153" s="92"/>
      <c r="BX153" s="91"/>
      <c r="CD153">
        <v>64</v>
      </c>
      <c r="CE153">
        <v>71</v>
      </c>
      <c r="CV153" s="47"/>
      <c r="CW153" s="47">
        <f t="shared" si="81"/>
        <v>0</v>
      </c>
      <c r="CX153" s="47">
        <f t="shared" si="82"/>
        <v>0</v>
      </c>
      <c r="CY153" s="47">
        <f t="shared" si="83"/>
        <v>0</v>
      </c>
      <c r="CZ153" s="47">
        <f t="shared" si="84"/>
        <v>0</v>
      </c>
      <c r="DA153" s="47">
        <f t="shared" si="85"/>
        <v>0</v>
      </c>
      <c r="DB153" s="47">
        <f t="shared" si="86"/>
        <v>0</v>
      </c>
      <c r="DC153" s="47">
        <f t="shared" si="104"/>
        <v>0</v>
      </c>
      <c r="DD153" s="47">
        <f t="shared" si="91"/>
        <v>0</v>
      </c>
      <c r="DE153" s="47">
        <f t="shared" si="118"/>
        <v>0</v>
      </c>
      <c r="DF153" s="47">
        <f t="shared" si="92"/>
        <v>0</v>
      </c>
      <c r="DG153" s="47">
        <f t="shared" si="93"/>
        <v>0</v>
      </c>
      <c r="DH153" s="47">
        <f t="shared" si="94"/>
        <v>0</v>
      </c>
      <c r="DI153" s="47"/>
      <c r="DJ153" s="47"/>
      <c r="DK153" s="47"/>
      <c r="DL153" s="47"/>
      <c r="DM153" s="47"/>
      <c r="DN153" s="47"/>
      <c r="DO153" s="47"/>
      <c r="DQ153">
        <f t="shared" si="88"/>
        <v>0</v>
      </c>
      <c r="DR153">
        <f t="shared" si="87"/>
        <v>0</v>
      </c>
      <c r="DS153">
        <f t="shared" si="105"/>
        <v>0</v>
      </c>
      <c r="DT153">
        <f t="shared" si="106"/>
        <v>0</v>
      </c>
      <c r="DV153" s="110"/>
      <c r="DW153" s="111">
        <f t="shared" si="116"/>
        <v>0</v>
      </c>
      <c r="DX153" s="112">
        <v>0</v>
      </c>
      <c r="DY153" s="94"/>
      <c r="DZ153" s="94"/>
      <c r="EA153" s="81"/>
      <c r="EB153" s="113">
        <f t="shared" si="111"/>
        <v>0</v>
      </c>
      <c r="EC153" s="92"/>
      <c r="ED153" s="92"/>
      <c r="EE153" s="123">
        <f t="shared" si="117"/>
        <v>2270000</v>
      </c>
      <c r="EF153" s="6">
        <v>5000</v>
      </c>
      <c r="EG153" s="207"/>
      <c r="EH153" s="92"/>
      <c r="EI153" s="82"/>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80" t="e">
        <f t="shared" si="99"/>
        <v>#DIV/0!</v>
      </c>
      <c r="FN153" s="80" t="e">
        <f t="shared" si="100"/>
        <v>#DIV/0!</v>
      </c>
      <c r="FO153" s="115" t="e">
        <f t="shared" si="101"/>
        <v>#DIV/0!</v>
      </c>
      <c r="FP153" s="115" t="e">
        <f t="shared" si="102"/>
        <v>#DIV/0!</v>
      </c>
      <c r="FQ153" s="116" t="e">
        <f t="shared" si="103"/>
        <v>#DIV/0!</v>
      </c>
    </row>
    <row r="154" spans="2:173" x14ac:dyDescent="0.25">
      <c r="B154" s="54" t="s">
        <v>362</v>
      </c>
      <c r="D154" s="90"/>
      <c r="E154" s="90"/>
      <c r="F154" s="90"/>
      <c r="I154" s="91"/>
      <c r="J154" s="92"/>
      <c r="K154" s="92"/>
      <c r="AH154" s="67"/>
      <c r="AI154" s="67"/>
      <c r="AJ154" s="67"/>
      <c r="AK154" s="91"/>
      <c r="AM154" s="67"/>
      <c r="AN154" s="67"/>
      <c r="AO154" s="67"/>
      <c r="AP154" s="67"/>
      <c r="AQ154" s="67"/>
      <c r="AR154" s="67"/>
      <c r="AS154" s="67"/>
      <c r="AT154" s="67"/>
      <c r="AU154" s="67"/>
      <c r="AV154" s="67"/>
      <c r="BB154" s="101"/>
      <c r="BC154" s="101"/>
      <c r="BD154" s="101"/>
      <c r="BE154" s="81"/>
      <c r="BG154" s="101"/>
      <c r="BH154" s="101"/>
      <c r="BI154" s="101"/>
      <c r="BJ154" s="101"/>
      <c r="BK154" s="101"/>
      <c r="BL154" s="81"/>
      <c r="BM154" s="81"/>
      <c r="BN154" s="81"/>
      <c r="BO154" s="81"/>
      <c r="BP154" s="81"/>
      <c r="BS154" s="91"/>
      <c r="BT154" s="6"/>
      <c r="BU154" s="92"/>
      <c r="BW154" s="92"/>
      <c r="BX154" s="91"/>
      <c r="CD154">
        <v>64</v>
      </c>
      <c r="CE154">
        <v>71</v>
      </c>
      <c r="CV154" s="47"/>
      <c r="CW154" s="47">
        <f t="shared" si="81"/>
        <v>0</v>
      </c>
      <c r="CX154" s="47">
        <f t="shared" si="82"/>
        <v>0</v>
      </c>
      <c r="CY154" s="47">
        <f t="shared" si="83"/>
        <v>0</v>
      </c>
      <c r="CZ154" s="47">
        <f t="shared" si="84"/>
        <v>0</v>
      </c>
      <c r="DA154" s="47">
        <f t="shared" si="85"/>
        <v>0</v>
      </c>
      <c r="DB154" s="47">
        <f t="shared" si="86"/>
        <v>0</v>
      </c>
      <c r="DC154" s="47">
        <f t="shared" si="104"/>
        <v>0</v>
      </c>
      <c r="DD154" s="47">
        <f t="shared" si="91"/>
        <v>0</v>
      </c>
      <c r="DE154" s="47">
        <f t="shared" si="118"/>
        <v>0</v>
      </c>
      <c r="DF154" s="47">
        <f t="shared" si="92"/>
        <v>0</v>
      </c>
      <c r="DG154" s="47">
        <f t="shared" si="93"/>
        <v>0</v>
      </c>
      <c r="DH154" s="47">
        <f t="shared" si="94"/>
        <v>0</v>
      </c>
      <c r="DI154" s="47"/>
      <c r="DJ154" s="47"/>
      <c r="DK154" s="47"/>
      <c r="DL154" s="47"/>
      <c r="DM154" s="47"/>
      <c r="DN154" s="47"/>
      <c r="DO154" s="47"/>
      <c r="DQ154">
        <f t="shared" si="88"/>
        <v>0</v>
      </c>
      <c r="DR154">
        <f t="shared" si="87"/>
        <v>0</v>
      </c>
      <c r="DS154">
        <f t="shared" si="105"/>
        <v>0</v>
      </c>
      <c r="DT154">
        <f t="shared" si="106"/>
        <v>0</v>
      </c>
      <c r="DV154" s="110">
        <v>0.37</v>
      </c>
      <c r="DW154" s="111">
        <f t="shared" si="116"/>
        <v>0</v>
      </c>
      <c r="DX154" s="112">
        <v>0</v>
      </c>
      <c r="DY154" s="94"/>
      <c r="DZ154" s="94"/>
      <c r="EA154" s="81"/>
      <c r="EB154" s="113">
        <f t="shared" si="111"/>
        <v>0</v>
      </c>
      <c r="EC154" s="92"/>
      <c r="ED154" s="92"/>
      <c r="EE154" s="123">
        <f t="shared" si="117"/>
        <v>4540000</v>
      </c>
      <c r="EF154" s="6">
        <v>10000</v>
      </c>
      <c r="EG154" s="207"/>
      <c r="EH154" s="92"/>
      <c r="EI154" s="82"/>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80" t="e">
        <f t="shared" si="99"/>
        <v>#DIV/0!</v>
      </c>
      <c r="FN154" s="80" t="e">
        <f t="shared" si="100"/>
        <v>#DIV/0!</v>
      </c>
      <c r="FO154" s="115" t="e">
        <f t="shared" si="101"/>
        <v>#DIV/0!</v>
      </c>
      <c r="FP154" s="115" t="e">
        <f t="shared" si="102"/>
        <v>#DIV/0!</v>
      </c>
      <c r="FQ154" s="116" t="e">
        <f t="shared" si="103"/>
        <v>#DIV/0!</v>
      </c>
    </row>
    <row r="155" spans="2:173" x14ac:dyDescent="0.25">
      <c r="B155" s="54" t="s">
        <v>364</v>
      </c>
      <c r="D155" s="90"/>
      <c r="E155" s="90"/>
      <c r="F155" s="90"/>
      <c r="I155" s="91"/>
      <c r="J155" s="92"/>
      <c r="K155" s="92"/>
      <c r="AH155" s="67"/>
      <c r="AI155" s="67"/>
      <c r="AJ155" s="67"/>
      <c r="AK155" s="91"/>
      <c r="AM155" s="67"/>
      <c r="AN155" s="67"/>
      <c r="AO155" s="67"/>
      <c r="AP155" s="67"/>
      <c r="AQ155" s="67"/>
      <c r="AR155" s="67"/>
      <c r="AS155" s="67"/>
      <c r="AT155" s="67"/>
      <c r="AU155" s="67"/>
      <c r="AV155" s="67"/>
      <c r="BB155" s="101"/>
      <c r="BC155" s="101"/>
      <c r="BD155" s="101"/>
      <c r="BE155" s="81"/>
      <c r="BG155" s="101"/>
      <c r="BH155" s="101"/>
      <c r="BI155" s="101"/>
      <c r="BJ155" s="101"/>
      <c r="BK155" s="101"/>
      <c r="BL155" s="81"/>
      <c r="BM155" s="81"/>
      <c r="BN155" s="81"/>
      <c r="BO155" s="81"/>
      <c r="BP155" s="81"/>
      <c r="BS155" s="91"/>
      <c r="BT155" s="6"/>
      <c r="BU155" s="92"/>
      <c r="BW155" s="92"/>
      <c r="BX155" s="91"/>
      <c r="CD155">
        <v>64</v>
      </c>
      <c r="CE155">
        <v>71</v>
      </c>
      <c r="CV155" s="47"/>
      <c r="CW155" s="47">
        <f t="shared" si="81"/>
        <v>0</v>
      </c>
      <c r="CX155" s="47">
        <f t="shared" si="82"/>
        <v>0</v>
      </c>
      <c r="CY155" s="47">
        <f t="shared" si="83"/>
        <v>0</v>
      </c>
      <c r="CZ155" s="47">
        <f t="shared" si="84"/>
        <v>0</v>
      </c>
      <c r="DA155" s="47">
        <f t="shared" si="85"/>
        <v>0</v>
      </c>
      <c r="DB155" s="47">
        <f t="shared" si="86"/>
        <v>0</v>
      </c>
      <c r="DC155" s="47">
        <f t="shared" si="104"/>
        <v>0</v>
      </c>
      <c r="DD155" s="47">
        <f t="shared" si="91"/>
        <v>0</v>
      </c>
      <c r="DE155" s="47">
        <f t="shared" si="118"/>
        <v>0</v>
      </c>
      <c r="DF155" s="47">
        <f t="shared" si="92"/>
        <v>0</v>
      </c>
      <c r="DG155" s="47">
        <f t="shared" si="93"/>
        <v>0</v>
      </c>
      <c r="DH155" s="47">
        <f t="shared" si="94"/>
        <v>0</v>
      </c>
      <c r="DI155" s="47"/>
      <c r="DJ155" s="47"/>
      <c r="DK155" s="47"/>
      <c r="DL155" s="47"/>
      <c r="DM155" s="47"/>
      <c r="DN155" s="47"/>
      <c r="DO155" s="47"/>
      <c r="DQ155">
        <f t="shared" si="88"/>
        <v>0</v>
      </c>
      <c r="DR155">
        <f t="shared" si="87"/>
        <v>0</v>
      </c>
      <c r="DS155">
        <f t="shared" si="105"/>
        <v>0</v>
      </c>
      <c r="DT155">
        <f t="shared" si="106"/>
        <v>0</v>
      </c>
      <c r="DV155" s="110">
        <v>7.3999999999999996E-2</v>
      </c>
      <c r="DW155" s="111">
        <f t="shared" si="116"/>
        <v>0</v>
      </c>
      <c r="DX155" s="112">
        <v>0</v>
      </c>
      <c r="DY155" s="94"/>
      <c r="DZ155" s="94"/>
      <c r="EA155" s="81"/>
      <c r="EB155" s="113">
        <f t="shared" si="111"/>
        <v>0</v>
      </c>
      <c r="EC155" s="92"/>
      <c r="ED155" s="92"/>
      <c r="EE155" s="123">
        <f t="shared" si="117"/>
        <v>22700000</v>
      </c>
      <c r="EF155" s="6">
        <v>50000</v>
      </c>
      <c r="EG155" s="207"/>
      <c r="EH155" s="92"/>
      <c r="EI155" s="82"/>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80" t="e">
        <f t="shared" si="99"/>
        <v>#DIV/0!</v>
      </c>
      <c r="FN155" s="80" t="e">
        <f t="shared" si="100"/>
        <v>#DIV/0!</v>
      </c>
      <c r="FO155" s="115" t="e">
        <f t="shared" si="101"/>
        <v>#DIV/0!</v>
      </c>
      <c r="FP155" s="115" t="e">
        <f t="shared" si="102"/>
        <v>#DIV/0!</v>
      </c>
      <c r="FQ155" s="116" t="e">
        <f t="shared" si="103"/>
        <v>#DIV/0!</v>
      </c>
    </row>
    <row r="156" spans="2:173" x14ac:dyDescent="0.25">
      <c r="B156" s="54" t="s">
        <v>365</v>
      </c>
      <c r="D156" s="90"/>
      <c r="E156" s="90"/>
      <c r="F156" s="90"/>
      <c r="I156" s="91"/>
      <c r="J156" s="92"/>
      <c r="K156" s="92"/>
      <c r="AH156" s="67"/>
      <c r="AI156" s="67"/>
      <c r="AJ156" s="67"/>
      <c r="AK156" s="91"/>
      <c r="AM156" s="67"/>
      <c r="AN156" s="67"/>
      <c r="AO156" s="67"/>
      <c r="AP156" s="67"/>
      <c r="AQ156" s="67"/>
      <c r="AR156" s="67"/>
      <c r="AS156" s="67"/>
      <c r="AT156" s="67"/>
      <c r="AU156" s="67"/>
      <c r="AV156" s="67"/>
      <c r="BB156" s="101"/>
      <c r="BC156" s="101"/>
      <c r="BD156" s="101"/>
      <c r="BE156" s="81"/>
      <c r="BG156" s="101"/>
      <c r="BH156" s="101"/>
      <c r="BI156" s="101"/>
      <c r="BJ156" s="101"/>
      <c r="BK156" s="101"/>
      <c r="BL156" s="81"/>
      <c r="BM156" s="81"/>
      <c r="BN156" s="81"/>
      <c r="BO156" s="81"/>
      <c r="BP156" s="81"/>
      <c r="BS156" s="91"/>
      <c r="BT156" s="6"/>
      <c r="BU156" s="92"/>
      <c r="BW156" s="92"/>
      <c r="BX156" s="91"/>
      <c r="CV156" s="47"/>
      <c r="CW156" s="47">
        <f t="shared" si="81"/>
        <v>0</v>
      </c>
      <c r="CX156" s="47">
        <f t="shared" si="82"/>
        <v>0</v>
      </c>
      <c r="CY156" s="47">
        <f t="shared" si="83"/>
        <v>0</v>
      </c>
      <c r="CZ156" s="47">
        <f t="shared" si="84"/>
        <v>0</v>
      </c>
      <c r="DA156" s="47">
        <f t="shared" si="85"/>
        <v>0</v>
      </c>
      <c r="DB156" s="47">
        <f t="shared" si="86"/>
        <v>0</v>
      </c>
      <c r="DC156" s="47">
        <f t="shared" si="104"/>
        <v>0</v>
      </c>
      <c r="DD156" s="47">
        <f t="shared" si="91"/>
        <v>0</v>
      </c>
      <c r="DE156" s="47">
        <f t="shared" si="118"/>
        <v>0</v>
      </c>
      <c r="DF156" s="47">
        <f t="shared" si="92"/>
        <v>0</v>
      </c>
      <c r="DG156" s="47">
        <f t="shared" si="93"/>
        <v>0</v>
      </c>
      <c r="DH156" s="47">
        <f t="shared" si="94"/>
        <v>0</v>
      </c>
      <c r="DI156" s="47"/>
      <c r="DJ156" s="47"/>
      <c r="DK156" s="47"/>
      <c r="DL156" s="47"/>
      <c r="DM156" s="47"/>
      <c r="DN156" s="47"/>
      <c r="DO156" s="47"/>
      <c r="DQ156">
        <f t="shared" si="88"/>
        <v>0</v>
      </c>
      <c r="DR156">
        <f t="shared" si="87"/>
        <v>0</v>
      </c>
      <c r="DS156">
        <f t="shared" si="105"/>
        <v>0</v>
      </c>
      <c r="DT156">
        <f t="shared" si="106"/>
        <v>0</v>
      </c>
      <c r="DV156" s="110"/>
      <c r="DW156" s="111">
        <f t="shared" si="116"/>
        <v>0</v>
      </c>
      <c r="DX156" s="112">
        <v>0</v>
      </c>
      <c r="DY156" s="94"/>
      <c r="DZ156" s="94"/>
      <c r="EA156" s="81"/>
      <c r="EB156" s="113">
        <f t="shared" si="111"/>
        <v>0</v>
      </c>
      <c r="EC156" s="92"/>
      <c r="ED156" s="92"/>
      <c r="EE156" s="123">
        <f t="shared" si="117"/>
        <v>1225800</v>
      </c>
      <c r="EF156" s="6">
        <v>2700</v>
      </c>
      <c r="EG156" s="207"/>
      <c r="EH156" s="92"/>
      <c r="EI156" s="82"/>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80" t="e">
        <f t="shared" si="99"/>
        <v>#DIV/0!</v>
      </c>
      <c r="FN156" s="80" t="e">
        <f t="shared" si="100"/>
        <v>#DIV/0!</v>
      </c>
      <c r="FO156" s="115" t="e">
        <f t="shared" si="101"/>
        <v>#DIV/0!</v>
      </c>
      <c r="FP156" s="115" t="e">
        <f t="shared" si="102"/>
        <v>#DIV/0!</v>
      </c>
      <c r="FQ156" s="116" t="e">
        <f t="shared" si="103"/>
        <v>#DIV/0!</v>
      </c>
    </row>
    <row r="157" spans="2:173" ht="12.75" customHeight="1" x14ac:dyDescent="0.25">
      <c r="B157" s="34" t="s">
        <v>24</v>
      </c>
      <c r="D157" s="96">
        <v>0</v>
      </c>
      <c r="E157" s="96">
        <v>0</v>
      </c>
      <c r="F157" s="96">
        <v>0</v>
      </c>
      <c r="I157" s="67">
        <v>0</v>
      </c>
      <c r="J157" s="92">
        <v>0</v>
      </c>
      <c r="K157" s="92">
        <v>0</v>
      </c>
      <c r="AH157" s="67">
        <v>0</v>
      </c>
      <c r="AI157" s="67">
        <v>0</v>
      </c>
      <c r="AJ157" s="67">
        <v>0</v>
      </c>
      <c r="AK157" s="67">
        <v>0</v>
      </c>
      <c r="AM157" s="67">
        <v>0</v>
      </c>
      <c r="AN157" s="67">
        <v>0</v>
      </c>
      <c r="AO157" s="67">
        <v>0</v>
      </c>
      <c r="AP157" s="67"/>
      <c r="AQ157" s="67"/>
      <c r="AR157" s="67">
        <v>0</v>
      </c>
      <c r="AS157" s="67"/>
      <c r="AT157" s="67"/>
      <c r="AU157" s="67"/>
      <c r="AV157" s="67"/>
      <c r="BB157" s="78">
        <v>0</v>
      </c>
      <c r="BC157" s="78">
        <v>0</v>
      </c>
      <c r="BD157" s="78">
        <v>0</v>
      </c>
      <c r="BE157" s="78">
        <v>0</v>
      </c>
      <c r="BF157" s="13"/>
      <c r="BG157" s="78">
        <v>0</v>
      </c>
      <c r="BH157" s="78">
        <v>0</v>
      </c>
      <c r="BI157" s="78">
        <v>0</v>
      </c>
      <c r="BJ157" s="78"/>
      <c r="BK157" s="78"/>
      <c r="BL157" s="78">
        <v>0</v>
      </c>
      <c r="BM157" s="78"/>
      <c r="BN157" s="78"/>
      <c r="BO157" s="78"/>
      <c r="BP157" s="78"/>
      <c r="BS157" s="108">
        <v>0</v>
      </c>
      <c r="BT157" s="92">
        <v>0</v>
      </c>
      <c r="BU157" s="92">
        <v>0</v>
      </c>
      <c r="BW157" s="92">
        <v>0</v>
      </c>
      <c r="BX157" s="108">
        <v>0</v>
      </c>
      <c r="CV157" s="47"/>
      <c r="CW157" s="47">
        <f t="shared" si="81"/>
        <v>0</v>
      </c>
      <c r="CX157" s="47">
        <f t="shared" si="82"/>
        <v>0</v>
      </c>
      <c r="CY157" s="47">
        <f t="shared" si="83"/>
        <v>0</v>
      </c>
      <c r="CZ157" s="47">
        <f t="shared" si="84"/>
        <v>0</v>
      </c>
      <c r="DA157" s="47">
        <f t="shared" si="85"/>
        <v>0</v>
      </c>
      <c r="DB157" s="47">
        <f t="shared" si="86"/>
        <v>0</v>
      </c>
      <c r="DC157" s="47">
        <f t="shared" si="104"/>
        <v>0</v>
      </c>
      <c r="DD157" s="47">
        <f t="shared" si="91"/>
        <v>0</v>
      </c>
      <c r="DE157" s="47">
        <f t="shared" si="118"/>
        <v>0</v>
      </c>
      <c r="DF157" s="47">
        <f t="shared" si="92"/>
        <v>0</v>
      </c>
      <c r="DG157" s="47">
        <f t="shared" si="93"/>
        <v>0</v>
      </c>
      <c r="DH157" s="47">
        <f t="shared" si="94"/>
        <v>0</v>
      </c>
      <c r="DI157" s="47"/>
      <c r="DJ157" s="47"/>
      <c r="DK157" s="47"/>
      <c r="DL157" s="47"/>
      <c r="DM157" s="47"/>
      <c r="DN157" s="47"/>
      <c r="DO157" s="47"/>
      <c r="DQ157">
        <f t="shared" si="88"/>
        <v>0</v>
      </c>
      <c r="DR157">
        <f t="shared" si="87"/>
        <v>0</v>
      </c>
      <c r="DS157">
        <f t="shared" si="105"/>
        <v>0</v>
      </c>
      <c r="DT157">
        <f t="shared" si="106"/>
        <v>0</v>
      </c>
      <c r="DV157" s="110"/>
      <c r="DW157" s="111">
        <f t="shared" si="116"/>
        <v>2200</v>
      </c>
      <c r="DX157" s="112">
        <v>1.1000000000000001</v>
      </c>
      <c r="DY157" s="96">
        <v>0</v>
      </c>
      <c r="DZ157" s="96">
        <v>0</v>
      </c>
      <c r="EA157" s="124">
        <v>0</v>
      </c>
      <c r="EB157" s="113">
        <f t="shared" si="111"/>
        <v>0</v>
      </c>
      <c r="EC157" s="92">
        <v>0</v>
      </c>
      <c r="ED157" s="92">
        <v>0</v>
      </c>
      <c r="EE157" s="92">
        <v>0</v>
      </c>
      <c r="EF157" s="92"/>
      <c r="EG157" s="207"/>
      <c r="EH157" s="92">
        <v>0</v>
      </c>
      <c r="EI157" s="82">
        <f>IF(AR157="","",AR157*BL157)</f>
        <v>0</v>
      </c>
      <c r="EJ157" s="6"/>
      <c r="EK157" s="80">
        <v>0.72</v>
      </c>
      <c r="EL157" s="80"/>
      <c r="EM157" s="80"/>
      <c r="EN157" s="80"/>
      <c r="EO157" s="80"/>
      <c r="EP157" s="80"/>
      <c r="EQ157" s="80"/>
      <c r="ER157" s="6"/>
      <c r="ES157" s="6"/>
      <c r="ET157" s="6"/>
      <c r="EU157" s="6"/>
      <c r="EV157" s="6"/>
      <c r="EW157" s="6"/>
      <c r="EX157" s="6"/>
      <c r="EY157" s="6"/>
      <c r="EZ157" s="6"/>
      <c r="FA157" s="6"/>
      <c r="FB157" s="6"/>
      <c r="FC157" s="6"/>
      <c r="FD157" s="6"/>
      <c r="FE157" s="6"/>
      <c r="FF157" s="6"/>
      <c r="FG157" s="6"/>
      <c r="FH157" s="6"/>
      <c r="FI157" s="6"/>
      <c r="FJ157" s="6"/>
      <c r="FK157" s="6"/>
      <c r="FL157" s="6"/>
      <c r="FM157" s="80" t="e">
        <f t="shared" si="99"/>
        <v>#DIV/0!</v>
      </c>
      <c r="FN157" s="80" t="e">
        <f t="shared" si="100"/>
        <v>#DIV/0!</v>
      </c>
      <c r="FO157" s="115" t="e">
        <f t="shared" si="101"/>
        <v>#DIV/0!</v>
      </c>
      <c r="FP157" s="115" t="e">
        <f t="shared" si="102"/>
        <v>#DIV/0!</v>
      </c>
      <c r="FQ157" s="116" t="e">
        <f t="shared" si="103"/>
        <v>#DIV/0!</v>
      </c>
    </row>
    <row r="158" spans="2:173" ht="12.75" customHeight="1" x14ac:dyDescent="0.25">
      <c r="B158" s="34" t="s">
        <v>62</v>
      </c>
      <c r="D158" s="96">
        <v>0</v>
      </c>
      <c r="E158" s="96">
        <v>0</v>
      </c>
      <c r="F158" s="96">
        <v>0</v>
      </c>
      <c r="I158" s="67">
        <v>0</v>
      </c>
      <c r="J158" s="92">
        <v>0</v>
      </c>
      <c r="K158" s="92">
        <v>0</v>
      </c>
      <c r="AH158" s="67">
        <v>0</v>
      </c>
      <c r="AI158" s="67">
        <v>0</v>
      </c>
      <c r="AJ158" s="67">
        <v>0</v>
      </c>
      <c r="AK158" s="67">
        <v>0</v>
      </c>
      <c r="AM158" s="67">
        <v>0</v>
      </c>
      <c r="AN158" s="67">
        <v>0</v>
      </c>
      <c r="AO158" s="67">
        <v>0</v>
      </c>
      <c r="AP158" s="67"/>
      <c r="AQ158" s="67"/>
      <c r="AR158" s="67">
        <v>0</v>
      </c>
      <c r="AS158" s="67"/>
      <c r="AT158" s="67"/>
      <c r="AU158" s="67"/>
      <c r="AV158" s="67"/>
      <c r="BB158" s="78">
        <v>0</v>
      </c>
      <c r="BC158" s="78">
        <v>0</v>
      </c>
      <c r="BD158" s="78">
        <v>0</v>
      </c>
      <c r="BE158" s="78">
        <v>0</v>
      </c>
      <c r="BF158" s="13"/>
      <c r="BG158" s="78">
        <v>0</v>
      </c>
      <c r="BH158" s="78">
        <v>0</v>
      </c>
      <c r="BI158" s="78">
        <v>0</v>
      </c>
      <c r="BJ158" s="78"/>
      <c r="BK158" s="78"/>
      <c r="BL158" s="78">
        <v>0</v>
      </c>
      <c r="BM158" s="78"/>
      <c r="BN158" s="78"/>
      <c r="BO158" s="78"/>
      <c r="BP158" s="78"/>
      <c r="BS158" s="108">
        <v>0</v>
      </c>
      <c r="BT158" s="92">
        <v>0</v>
      </c>
      <c r="BU158" s="92">
        <v>0</v>
      </c>
      <c r="BW158" s="92">
        <v>0</v>
      </c>
      <c r="BX158" s="108">
        <v>0</v>
      </c>
      <c r="CV158" s="47"/>
      <c r="CW158" s="47">
        <f t="shared" si="81"/>
        <v>0</v>
      </c>
      <c r="CX158" s="47">
        <f t="shared" si="82"/>
        <v>0</v>
      </c>
      <c r="CY158" s="47">
        <f t="shared" si="83"/>
        <v>0</v>
      </c>
      <c r="CZ158" s="47">
        <f t="shared" si="84"/>
        <v>0</v>
      </c>
      <c r="DA158" s="47">
        <f t="shared" si="85"/>
        <v>0</v>
      </c>
      <c r="DB158" s="47">
        <f t="shared" si="86"/>
        <v>0</v>
      </c>
      <c r="DC158" s="47">
        <f t="shared" si="104"/>
        <v>0</v>
      </c>
      <c r="DD158" s="47">
        <f t="shared" si="91"/>
        <v>0</v>
      </c>
      <c r="DE158" s="47">
        <f t="shared" si="118"/>
        <v>0</v>
      </c>
      <c r="DF158" s="47">
        <f t="shared" si="92"/>
        <v>0</v>
      </c>
      <c r="DG158" s="47">
        <f t="shared" si="93"/>
        <v>0</v>
      </c>
      <c r="DH158" s="47">
        <f t="shared" si="94"/>
        <v>0</v>
      </c>
      <c r="DI158" s="47"/>
      <c r="DJ158" s="47"/>
      <c r="DK158" s="47"/>
      <c r="DL158" s="47"/>
      <c r="DM158" s="47"/>
      <c r="DN158" s="47"/>
      <c r="DO158" s="47"/>
      <c r="DQ158">
        <f t="shared" si="88"/>
        <v>0</v>
      </c>
      <c r="DR158">
        <f t="shared" si="87"/>
        <v>0</v>
      </c>
      <c r="DS158">
        <f t="shared" si="105"/>
        <v>0</v>
      </c>
      <c r="DT158">
        <f t="shared" si="106"/>
        <v>0</v>
      </c>
      <c r="DV158" s="110"/>
      <c r="DW158" s="111">
        <f t="shared" si="116"/>
        <v>2200</v>
      </c>
      <c r="DX158" s="112">
        <v>1.1000000000000001</v>
      </c>
      <c r="DY158" s="96">
        <v>0</v>
      </c>
      <c r="DZ158" s="96">
        <v>0</v>
      </c>
      <c r="EA158" s="124">
        <v>0</v>
      </c>
      <c r="EB158" s="113">
        <f t="shared" si="111"/>
        <v>0</v>
      </c>
      <c r="EC158" s="92">
        <v>0</v>
      </c>
      <c r="ED158" s="92">
        <v>0</v>
      </c>
      <c r="EE158" s="92">
        <v>0</v>
      </c>
      <c r="EF158" s="92"/>
      <c r="EG158" s="207"/>
      <c r="EH158" s="92">
        <v>0</v>
      </c>
      <c r="EI158" s="82">
        <f>IF(AR158="","",AR158*BL158)</f>
        <v>0</v>
      </c>
      <c r="EJ158" s="6"/>
      <c r="EK158" s="80"/>
      <c r="EL158" s="80"/>
      <c r="EM158" s="80"/>
      <c r="EN158" s="125">
        <v>0.252</v>
      </c>
      <c r="EO158" s="80"/>
      <c r="EP158" s="80"/>
      <c r="EQ158" s="80"/>
      <c r="ER158" s="6"/>
      <c r="ES158" s="6"/>
      <c r="ET158" s="6"/>
      <c r="EU158" s="6"/>
      <c r="EV158" s="6"/>
      <c r="EW158" s="6"/>
      <c r="EX158" s="6"/>
      <c r="EY158" s="6"/>
      <c r="EZ158" s="6"/>
      <c r="FA158" s="6"/>
      <c r="FB158" s="6"/>
      <c r="FC158" s="6"/>
      <c r="FD158" s="6"/>
      <c r="FE158" s="6"/>
      <c r="FF158" s="6"/>
      <c r="FG158" s="6"/>
      <c r="FH158" s="6"/>
      <c r="FI158" s="6"/>
      <c r="FJ158" s="6"/>
      <c r="FK158" s="6"/>
      <c r="FL158" s="6"/>
      <c r="FM158" s="80" t="e">
        <f t="shared" si="99"/>
        <v>#DIV/0!</v>
      </c>
      <c r="FN158" s="80" t="e">
        <f t="shared" si="100"/>
        <v>#DIV/0!</v>
      </c>
      <c r="FO158" s="115" t="e">
        <f t="shared" si="101"/>
        <v>#DIV/0!</v>
      </c>
      <c r="FP158" s="115" t="e">
        <f t="shared" si="102"/>
        <v>#DIV/0!</v>
      </c>
      <c r="FQ158" s="116" t="e">
        <f t="shared" si="103"/>
        <v>#DIV/0!</v>
      </c>
    </row>
    <row r="159" spans="2:173" ht="12.75" customHeight="1" x14ac:dyDescent="0.25">
      <c r="B159" s="34" t="s">
        <v>147</v>
      </c>
      <c r="D159" s="96">
        <v>0</v>
      </c>
      <c r="E159" s="96">
        <v>0</v>
      </c>
      <c r="F159" s="96">
        <v>0</v>
      </c>
      <c r="I159" s="67">
        <v>0</v>
      </c>
      <c r="J159" s="92">
        <v>0</v>
      </c>
      <c r="K159" s="92">
        <v>0</v>
      </c>
      <c r="AH159" s="67">
        <v>0</v>
      </c>
      <c r="AI159" s="67">
        <v>0</v>
      </c>
      <c r="AJ159" s="67">
        <v>0</v>
      </c>
      <c r="AK159" s="67">
        <v>0</v>
      </c>
      <c r="AM159" s="67">
        <v>0</v>
      </c>
      <c r="AN159" s="67">
        <v>0</v>
      </c>
      <c r="AO159" s="67">
        <v>0</v>
      </c>
      <c r="AP159" s="67"/>
      <c r="AQ159" s="67"/>
      <c r="AR159" s="67">
        <v>0</v>
      </c>
      <c r="AS159" s="67"/>
      <c r="AT159" s="67"/>
      <c r="AU159" s="67"/>
      <c r="AV159" s="67"/>
      <c r="BB159" s="78">
        <v>0</v>
      </c>
      <c r="BC159" s="78">
        <v>0</v>
      </c>
      <c r="BD159" s="78">
        <v>0</v>
      </c>
      <c r="BE159" s="78">
        <v>0</v>
      </c>
      <c r="BF159" s="13"/>
      <c r="BG159" s="78">
        <v>0</v>
      </c>
      <c r="BH159" s="78">
        <v>0</v>
      </c>
      <c r="BI159" s="78">
        <v>0</v>
      </c>
      <c r="BJ159" s="78"/>
      <c r="BK159" s="78"/>
      <c r="BL159" s="78">
        <v>0</v>
      </c>
      <c r="BM159" s="78"/>
      <c r="BN159" s="78"/>
      <c r="BO159" s="78"/>
      <c r="BP159" s="78"/>
      <c r="BS159" s="108">
        <v>0</v>
      </c>
      <c r="BT159" s="6">
        <v>46.93</v>
      </c>
      <c r="BU159" s="6">
        <v>51.37</v>
      </c>
      <c r="BW159" s="92">
        <v>0</v>
      </c>
      <c r="BX159" s="108">
        <v>0</v>
      </c>
      <c r="CV159" s="47"/>
      <c r="CW159" s="47">
        <f t="shared" si="81"/>
        <v>0</v>
      </c>
      <c r="CX159" s="47">
        <f t="shared" si="82"/>
        <v>0</v>
      </c>
      <c r="CY159" s="47">
        <f t="shared" si="83"/>
        <v>0</v>
      </c>
      <c r="CZ159" s="47">
        <f t="shared" si="84"/>
        <v>0</v>
      </c>
      <c r="DA159" s="47">
        <f t="shared" si="85"/>
        <v>0</v>
      </c>
      <c r="DB159" s="47">
        <f t="shared" si="86"/>
        <v>0</v>
      </c>
      <c r="DC159" s="47">
        <f t="shared" si="104"/>
        <v>0</v>
      </c>
      <c r="DD159" s="47">
        <f t="shared" si="91"/>
        <v>0</v>
      </c>
      <c r="DE159" s="47">
        <f t="shared" si="118"/>
        <v>0</v>
      </c>
      <c r="DF159" s="47">
        <f t="shared" si="92"/>
        <v>0</v>
      </c>
      <c r="DG159" s="47">
        <f t="shared" si="93"/>
        <v>0</v>
      </c>
      <c r="DH159" s="47">
        <f t="shared" si="94"/>
        <v>0</v>
      </c>
      <c r="DI159" s="47"/>
      <c r="DJ159" s="47"/>
      <c r="DK159" s="47"/>
      <c r="DL159" s="47"/>
      <c r="DM159" s="47"/>
      <c r="DN159" s="47"/>
      <c r="DO159" s="47"/>
      <c r="DQ159">
        <f t="shared" si="88"/>
        <v>0</v>
      </c>
      <c r="DR159">
        <f t="shared" si="87"/>
        <v>0</v>
      </c>
      <c r="DS159">
        <f t="shared" si="105"/>
        <v>0</v>
      </c>
      <c r="DT159">
        <f t="shared" si="106"/>
        <v>0</v>
      </c>
      <c r="DV159" s="110"/>
      <c r="DW159" s="111">
        <f t="shared" si="116"/>
        <v>350</v>
      </c>
      <c r="DX159" s="112">
        <v>0.17499999999999999</v>
      </c>
      <c r="DY159" s="96">
        <v>0</v>
      </c>
      <c r="DZ159" s="96">
        <v>0</v>
      </c>
      <c r="EA159" s="81">
        <v>1</v>
      </c>
      <c r="EB159" s="113">
        <f t="shared" si="111"/>
        <v>0</v>
      </c>
      <c r="EC159" s="92">
        <v>0</v>
      </c>
      <c r="ED159" s="92">
        <v>0</v>
      </c>
      <c r="EE159" s="92">
        <v>0</v>
      </c>
      <c r="EF159" s="92"/>
      <c r="EG159" s="207"/>
      <c r="EH159" s="92">
        <v>0</v>
      </c>
      <c r="EI159" s="82">
        <f>IF(AR159="","",AR159*BL159)</f>
        <v>0</v>
      </c>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80" t="e">
        <f t="shared" si="99"/>
        <v>#DIV/0!</v>
      </c>
      <c r="FN159" s="80" t="e">
        <f t="shared" si="100"/>
        <v>#DIV/0!</v>
      </c>
      <c r="FO159" s="115" t="e">
        <f t="shared" si="101"/>
        <v>#DIV/0!</v>
      </c>
      <c r="FP159" s="115" t="e">
        <f t="shared" si="102"/>
        <v>#DIV/0!</v>
      </c>
      <c r="FQ159" s="116" t="e">
        <f t="shared" si="103"/>
        <v>#DIV/0!</v>
      </c>
    </row>
    <row r="160" spans="2:173" ht="12.75" customHeight="1" x14ac:dyDescent="0.25">
      <c r="B160" s="34" t="s">
        <v>148</v>
      </c>
      <c r="D160" s="96">
        <v>0</v>
      </c>
      <c r="E160" s="96">
        <v>0</v>
      </c>
      <c r="F160" s="96">
        <v>0</v>
      </c>
      <c r="I160" s="67">
        <v>0</v>
      </c>
      <c r="J160" s="92">
        <v>0</v>
      </c>
      <c r="K160" s="92">
        <v>0</v>
      </c>
      <c r="AH160" s="67">
        <v>0</v>
      </c>
      <c r="AI160" s="67">
        <v>0</v>
      </c>
      <c r="AJ160" s="67">
        <v>0</v>
      </c>
      <c r="AK160" s="67">
        <v>0</v>
      </c>
      <c r="AM160" s="67">
        <v>0</v>
      </c>
      <c r="AN160" s="67">
        <v>0</v>
      </c>
      <c r="AO160" s="67">
        <v>0</v>
      </c>
      <c r="AP160" s="67"/>
      <c r="AQ160" s="67"/>
      <c r="AR160" s="67">
        <v>0</v>
      </c>
      <c r="AS160" s="67"/>
      <c r="AT160" s="67"/>
      <c r="AU160" s="67"/>
      <c r="AV160" s="67"/>
      <c r="BB160" s="78">
        <v>0</v>
      </c>
      <c r="BC160" s="78">
        <v>0</v>
      </c>
      <c r="BD160" s="78">
        <v>0</v>
      </c>
      <c r="BE160" s="78">
        <v>0</v>
      </c>
      <c r="BF160" s="13"/>
      <c r="BG160" s="78">
        <v>0</v>
      </c>
      <c r="BH160" s="78">
        <v>0</v>
      </c>
      <c r="BI160" s="78">
        <v>0</v>
      </c>
      <c r="BJ160" s="78"/>
      <c r="BK160" s="78"/>
      <c r="BL160" s="78">
        <v>0</v>
      </c>
      <c r="BM160" s="78"/>
      <c r="BN160" s="78"/>
      <c r="BO160" s="78"/>
      <c r="BP160" s="78"/>
      <c r="BS160" s="106">
        <v>27.26</v>
      </c>
      <c r="BT160" s="6">
        <v>48.22</v>
      </c>
      <c r="BU160" s="92">
        <v>0</v>
      </c>
      <c r="BW160" s="92">
        <v>0</v>
      </c>
      <c r="BX160" s="108">
        <v>0</v>
      </c>
      <c r="CV160" s="47"/>
      <c r="CW160" s="47">
        <f t="shared" si="81"/>
        <v>0</v>
      </c>
      <c r="CX160" s="47">
        <f t="shared" si="82"/>
        <v>0</v>
      </c>
      <c r="CY160" s="47">
        <f t="shared" si="83"/>
        <v>0</v>
      </c>
      <c r="CZ160" s="47">
        <f t="shared" si="84"/>
        <v>0</v>
      </c>
      <c r="DA160" s="47">
        <f t="shared" si="85"/>
        <v>0</v>
      </c>
      <c r="DB160" s="47">
        <f t="shared" si="86"/>
        <v>0</v>
      </c>
      <c r="DC160" s="47">
        <f t="shared" si="104"/>
        <v>0</v>
      </c>
      <c r="DD160" s="47">
        <f t="shared" si="91"/>
        <v>0</v>
      </c>
      <c r="DE160" s="47">
        <f t="shared" si="118"/>
        <v>0</v>
      </c>
      <c r="DF160" s="47">
        <f t="shared" si="92"/>
        <v>0</v>
      </c>
      <c r="DG160" s="47">
        <f t="shared" si="93"/>
        <v>0</v>
      </c>
      <c r="DH160" s="47">
        <f t="shared" si="94"/>
        <v>0</v>
      </c>
      <c r="DI160" s="47"/>
      <c r="DJ160" s="47"/>
      <c r="DK160" s="47"/>
      <c r="DL160" s="47"/>
      <c r="DM160" s="47"/>
      <c r="DN160" s="47"/>
      <c r="DO160" s="47"/>
      <c r="DQ160">
        <f t="shared" si="88"/>
        <v>0</v>
      </c>
      <c r="DR160">
        <f t="shared" si="87"/>
        <v>0</v>
      </c>
      <c r="DS160">
        <f t="shared" si="105"/>
        <v>0</v>
      </c>
      <c r="DT160">
        <f t="shared" si="106"/>
        <v>0</v>
      </c>
      <c r="DV160" s="110"/>
      <c r="DW160" s="111">
        <f t="shared" si="116"/>
        <v>400</v>
      </c>
      <c r="DX160" s="112">
        <v>0.2</v>
      </c>
      <c r="DY160" s="96">
        <v>0</v>
      </c>
      <c r="DZ160" s="96">
        <v>0</v>
      </c>
      <c r="EA160" s="81">
        <v>1</v>
      </c>
      <c r="EB160" s="113">
        <f t="shared" si="111"/>
        <v>0</v>
      </c>
      <c r="EC160" s="92">
        <v>0</v>
      </c>
      <c r="ED160" s="92">
        <v>0</v>
      </c>
      <c r="EE160" s="92">
        <v>0</v>
      </c>
      <c r="EF160" s="92"/>
      <c r="EG160" s="207"/>
      <c r="EH160" s="92">
        <v>0</v>
      </c>
      <c r="EI160" s="82">
        <f>IF(AR160="","",AR160*BL160)</f>
        <v>0</v>
      </c>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80" t="e">
        <f t="shared" si="99"/>
        <v>#DIV/0!</v>
      </c>
      <c r="FN160" s="80" t="e">
        <f t="shared" si="100"/>
        <v>#DIV/0!</v>
      </c>
      <c r="FO160" s="115" t="e">
        <f t="shared" si="101"/>
        <v>#DIV/0!</v>
      </c>
      <c r="FP160" s="115" t="e">
        <f t="shared" si="102"/>
        <v>#DIV/0!</v>
      </c>
      <c r="FQ160" s="116" t="e">
        <f t="shared" si="103"/>
        <v>#DIV/0!</v>
      </c>
    </row>
    <row r="161" spans="1:204" x14ac:dyDescent="0.25">
      <c r="B161" s="54" t="s">
        <v>70</v>
      </c>
      <c r="D161" s="8"/>
      <c r="E161" s="8"/>
      <c r="F161" s="8"/>
      <c r="I161" s="7"/>
      <c r="J161" s="6"/>
      <c r="K161" s="6"/>
      <c r="AH161" s="7"/>
      <c r="AI161" s="7"/>
      <c r="AJ161" s="7"/>
      <c r="AK161" s="7"/>
      <c r="AM161" s="7"/>
      <c r="AN161" s="7"/>
      <c r="AO161" s="7"/>
      <c r="AP161" s="7"/>
      <c r="AQ161" s="7"/>
      <c r="AR161" s="7"/>
      <c r="AS161" s="7"/>
      <c r="AT161" s="7"/>
      <c r="AU161" s="7"/>
      <c r="AV161" s="7"/>
      <c r="BB161" s="76"/>
      <c r="BC161" s="76"/>
      <c r="BD161" s="76"/>
      <c r="BE161" s="76"/>
      <c r="BF161" s="13"/>
      <c r="BG161" s="76"/>
      <c r="BH161" s="76"/>
      <c r="BI161" s="76"/>
      <c r="BJ161" s="76"/>
      <c r="BK161" s="76"/>
      <c r="BL161" s="76"/>
      <c r="BM161" s="76"/>
      <c r="BN161" s="76"/>
      <c r="BO161" s="76"/>
      <c r="BP161" s="76"/>
      <c r="BS161" s="7"/>
      <c r="BT161" s="6"/>
      <c r="BU161" s="6"/>
      <c r="BW161" s="6"/>
      <c r="BX161" s="7"/>
      <c r="CV161" s="47"/>
      <c r="CW161" s="47">
        <f t="shared" si="81"/>
        <v>0</v>
      </c>
      <c r="CX161" s="47">
        <f t="shared" si="82"/>
        <v>0</v>
      </c>
      <c r="CY161" s="47">
        <f t="shared" si="83"/>
        <v>0</v>
      </c>
      <c r="CZ161" s="47">
        <f t="shared" si="84"/>
        <v>0</v>
      </c>
      <c r="DA161" s="47">
        <f t="shared" si="85"/>
        <v>0</v>
      </c>
      <c r="DB161" s="47">
        <f t="shared" si="86"/>
        <v>0</v>
      </c>
      <c r="DC161" s="47">
        <f t="shared" si="104"/>
        <v>0</v>
      </c>
      <c r="DD161" s="47">
        <f t="shared" si="91"/>
        <v>0</v>
      </c>
      <c r="DE161" s="47">
        <f t="shared" si="118"/>
        <v>0</v>
      </c>
      <c r="DF161" s="47">
        <f t="shared" si="92"/>
        <v>0</v>
      </c>
      <c r="DG161" s="47">
        <f t="shared" si="93"/>
        <v>0</v>
      </c>
      <c r="DH161" s="47">
        <f t="shared" si="94"/>
        <v>0</v>
      </c>
      <c r="DI161" s="47"/>
      <c r="DJ161" s="47"/>
      <c r="DK161" s="47"/>
      <c r="DL161" s="47"/>
      <c r="DM161" s="47"/>
      <c r="DN161" s="47"/>
      <c r="DO161" s="47"/>
      <c r="DQ161">
        <f t="shared" si="88"/>
        <v>0</v>
      </c>
      <c r="DR161">
        <f t="shared" si="87"/>
        <v>0</v>
      </c>
      <c r="DS161">
        <f t="shared" si="105"/>
        <v>0</v>
      </c>
      <c r="DT161">
        <f t="shared" si="106"/>
        <v>0</v>
      </c>
      <c r="DW161" s="111">
        <f t="shared" si="116"/>
        <v>2000</v>
      </c>
      <c r="DX161" s="112">
        <v>1</v>
      </c>
      <c r="EA161" s="115"/>
      <c r="EB161" s="113">
        <f t="shared" si="111"/>
        <v>0</v>
      </c>
      <c r="EG161" s="209"/>
      <c r="EH161" s="8"/>
      <c r="EM161" s="126"/>
      <c r="EN161" s="91"/>
      <c r="EP161" s="6"/>
      <c r="ER161" s="6"/>
      <c r="EV161" s="6"/>
      <c r="EW161" s="80"/>
      <c r="EX161" s="80"/>
      <c r="EY161" s="6"/>
      <c r="EZ161" s="6"/>
      <c r="FI161" s="6"/>
      <c r="FM161" s="80" t="e">
        <f t="shared" si="99"/>
        <v>#DIV/0!</v>
      </c>
      <c r="FN161" s="80" t="e">
        <f t="shared" si="100"/>
        <v>#DIV/0!</v>
      </c>
      <c r="FO161" s="115" t="e">
        <f t="shared" si="101"/>
        <v>#DIV/0!</v>
      </c>
      <c r="FP161" s="115" t="e">
        <f t="shared" si="102"/>
        <v>#DIV/0!</v>
      </c>
      <c r="FQ161" s="116" t="e">
        <f t="shared" si="103"/>
        <v>#DIV/0!</v>
      </c>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row>
    <row r="162" spans="1:204" x14ac:dyDescent="0.25">
      <c r="B162" s="54" t="s">
        <v>71</v>
      </c>
      <c r="D162" s="8"/>
      <c r="E162" s="8"/>
      <c r="F162" s="8"/>
      <c r="I162" s="7"/>
      <c r="J162" s="6"/>
      <c r="K162" s="6"/>
      <c r="AH162" s="7"/>
      <c r="AI162" s="7"/>
      <c r="AJ162" s="7"/>
      <c r="AK162" s="7"/>
      <c r="AM162" s="7"/>
      <c r="AN162" s="7"/>
      <c r="AO162" s="7"/>
      <c r="AP162" s="7"/>
      <c r="AQ162" s="7"/>
      <c r="AR162" s="7"/>
      <c r="AS162" s="7"/>
      <c r="AT162" s="7"/>
      <c r="AU162" s="7"/>
      <c r="AV162" s="7"/>
      <c r="BB162" s="76"/>
      <c r="BC162" s="76"/>
      <c r="BD162" s="76"/>
      <c r="BE162" s="76"/>
      <c r="BF162" s="13"/>
      <c r="BG162" s="76"/>
      <c r="BH162" s="76"/>
      <c r="BI162" s="76"/>
      <c r="BJ162" s="76"/>
      <c r="BK162" s="76"/>
      <c r="BL162" s="76"/>
      <c r="BM162" s="76"/>
      <c r="BN162" s="76"/>
      <c r="BO162" s="76"/>
      <c r="BP162" s="76"/>
      <c r="BS162" s="7"/>
      <c r="BT162" s="6"/>
      <c r="BU162" s="6"/>
      <c r="BW162" s="6"/>
      <c r="BX162" s="7"/>
      <c r="CV162" s="47"/>
      <c r="CW162" s="47">
        <f t="shared" si="81"/>
        <v>0</v>
      </c>
      <c r="CX162" s="47">
        <f t="shared" si="82"/>
        <v>0</v>
      </c>
      <c r="CY162" s="47">
        <f t="shared" si="83"/>
        <v>0</v>
      </c>
      <c r="CZ162" s="47">
        <f t="shared" si="84"/>
        <v>0</v>
      </c>
      <c r="DA162" s="47">
        <f t="shared" si="85"/>
        <v>0</v>
      </c>
      <c r="DB162" s="47">
        <f t="shared" si="86"/>
        <v>0</v>
      </c>
      <c r="DC162" s="47">
        <f t="shared" si="104"/>
        <v>0</v>
      </c>
      <c r="DD162" s="47">
        <f t="shared" si="91"/>
        <v>0</v>
      </c>
      <c r="DE162" s="47">
        <f t="shared" si="118"/>
        <v>0</v>
      </c>
      <c r="DF162" s="47">
        <f t="shared" si="92"/>
        <v>0</v>
      </c>
      <c r="DG162" s="47">
        <f t="shared" si="93"/>
        <v>0</v>
      </c>
      <c r="DH162" s="47">
        <f t="shared" si="94"/>
        <v>0</v>
      </c>
      <c r="DI162" s="47"/>
      <c r="DJ162" s="47"/>
      <c r="DK162" s="47"/>
      <c r="DL162" s="47"/>
      <c r="DM162" s="47"/>
      <c r="DN162" s="47"/>
      <c r="DO162" s="47"/>
      <c r="DQ162">
        <f t="shared" si="88"/>
        <v>0</v>
      </c>
      <c r="DR162">
        <f t="shared" si="87"/>
        <v>0</v>
      </c>
      <c r="DS162">
        <f t="shared" si="105"/>
        <v>0</v>
      </c>
      <c r="DT162">
        <f t="shared" si="106"/>
        <v>0</v>
      </c>
      <c r="DW162" s="111">
        <f t="shared" si="116"/>
        <v>800</v>
      </c>
      <c r="DX162" s="112">
        <v>0.4</v>
      </c>
      <c r="EA162" s="115"/>
      <c r="EB162" s="113">
        <f t="shared" si="111"/>
        <v>0</v>
      </c>
      <c r="EG162" s="209"/>
      <c r="EH162" s="8"/>
      <c r="EM162" s="126"/>
      <c r="EN162" s="91"/>
      <c r="EP162" s="6"/>
      <c r="ER162" s="6"/>
      <c r="EV162" s="6"/>
      <c r="EW162" s="80"/>
      <c r="EX162" s="80"/>
      <c r="EY162" s="6"/>
      <c r="EZ162" s="6"/>
      <c r="FI162" s="6"/>
      <c r="FM162" s="80" t="e">
        <f t="shared" si="99"/>
        <v>#DIV/0!</v>
      </c>
      <c r="FN162" s="80" t="e">
        <f t="shared" si="100"/>
        <v>#DIV/0!</v>
      </c>
      <c r="FO162" s="115" t="e">
        <f t="shared" si="101"/>
        <v>#DIV/0!</v>
      </c>
      <c r="FP162" s="115" t="e">
        <f t="shared" si="102"/>
        <v>#DIV/0!</v>
      </c>
      <c r="FQ162" s="116" t="e">
        <f t="shared" si="103"/>
        <v>#DIV/0!</v>
      </c>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row>
    <row r="163" spans="1:204" x14ac:dyDescent="0.25">
      <c r="B163" s="262" t="s">
        <v>343</v>
      </c>
      <c r="D163" s="8"/>
      <c r="E163" s="8"/>
      <c r="F163" s="8"/>
      <c r="I163" s="7"/>
      <c r="J163" s="6"/>
      <c r="K163" s="6"/>
      <c r="AH163" s="7"/>
      <c r="AI163" s="7"/>
      <c r="AJ163" s="7"/>
      <c r="AK163" s="7"/>
      <c r="AM163" s="7"/>
      <c r="AN163" s="7"/>
      <c r="AO163" s="7"/>
      <c r="AP163" s="7"/>
      <c r="AQ163" s="7"/>
      <c r="AR163" s="7"/>
      <c r="AS163" s="7"/>
      <c r="AT163" s="7"/>
      <c r="AU163" s="7"/>
      <c r="AV163" s="7"/>
      <c r="BB163" s="76"/>
      <c r="BC163" s="76"/>
      <c r="BD163" s="76"/>
      <c r="BE163" s="76"/>
      <c r="BF163" s="13"/>
      <c r="BG163" s="76"/>
      <c r="BH163" s="76"/>
      <c r="BI163" s="76"/>
      <c r="BJ163" s="76"/>
      <c r="BK163" s="76"/>
      <c r="BL163" s="76"/>
      <c r="BM163" s="76"/>
      <c r="BN163" s="76"/>
      <c r="BO163" s="76"/>
      <c r="BP163" s="76"/>
      <c r="BS163" s="7"/>
      <c r="BT163" s="7"/>
      <c r="BU163" s="7"/>
      <c r="BW163" s="7"/>
      <c r="BX163" s="7"/>
      <c r="CV163" s="47"/>
      <c r="CW163" s="47">
        <f t="shared" si="81"/>
        <v>0</v>
      </c>
      <c r="CX163" s="47">
        <f t="shared" si="82"/>
        <v>0</v>
      </c>
      <c r="CY163" s="47">
        <f t="shared" si="83"/>
        <v>0</v>
      </c>
      <c r="CZ163" s="47">
        <f t="shared" si="84"/>
        <v>0</v>
      </c>
      <c r="DA163" s="47">
        <f t="shared" si="85"/>
        <v>0</v>
      </c>
      <c r="DB163" s="47">
        <f t="shared" si="86"/>
        <v>0</v>
      </c>
      <c r="DC163" s="47">
        <f t="shared" si="104"/>
        <v>0</v>
      </c>
      <c r="DD163" s="47">
        <f t="shared" si="91"/>
        <v>0</v>
      </c>
      <c r="DE163" s="47">
        <f t="shared" si="118"/>
        <v>0</v>
      </c>
      <c r="DF163" s="47">
        <f t="shared" si="92"/>
        <v>0</v>
      </c>
      <c r="DG163" s="47">
        <f t="shared" si="93"/>
        <v>0</v>
      </c>
      <c r="DH163" s="47">
        <f t="shared" si="94"/>
        <v>0</v>
      </c>
      <c r="DI163" s="47"/>
      <c r="DJ163" s="47"/>
      <c r="DK163" s="47"/>
      <c r="DL163" s="47"/>
      <c r="DM163" s="47"/>
      <c r="DN163" s="47"/>
      <c r="DO163" s="47"/>
      <c r="DQ163">
        <f t="shared" si="88"/>
        <v>0</v>
      </c>
      <c r="DR163">
        <f t="shared" si="87"/>
        <v>0</v>
      </c>
      <c r="DS163">
        <f t="shared" si="105"/>
        <v>0</v>
      </c>
      <c r="DT163">
        <f t="shared" si="106"/>
        <v>0</v>
      </c>
      <c r="DW163" s="111">
        <f t="shared" si="116"/>
        <v>0</v>
      </c>
      <c r="DX163" s="112"/>
      <c r="DY163" s="8"/>
      <c r="DZ163" s="8"/>
      <c r="EA163" s="81"/>
      <c r="EB163" s="113">
        <f t="shared" si="111"/>
        <v>0</v>
      </c>
      <c r="EC163" s="6"/>
      <c r="ED163" s="6"/>
      <c r="EE163" s="6"/>
      <c r="EF163" s="6"/>
      <c r="EG163" s="208"/>
      <c r="EH163" s="6"/>
      <c r="EI163" s="82"/>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80" t="e">
        <f t="shared" si="99"/>
        <v>#DIV/0!</v>
      </c>
      <c r="FN163" s="80" t="e">
        <f t="shared" si="100"/>
        <v>#DIV/0!</v>
      </c>
      <c r="FO163" s="115" t="e">
        <f t="shared" si="101"/>
        <v>#DIV/0!</v>
      </c>
      <c r="FP163" s="115" t="e">
        <f t="shared" si="102"/>
        <v>#DIV/0!</v>
      </c>
      <c r="FQ163" s="116" t="e">
        <f t="shared" si="103"/>
        <v>#DIV/0!</v>
      </c>
    </row>
    <row r="164" spans="1:204" x14ac:dyDescent="0.25">
      <c r="B164" s="54" t="s">
        <v>174</v>
      </c>
      <c r="D164" s="93">
        <v>4005</v>
      </c>
      <c r="E164" s="93">
        <v>3664.0452</v>
      </c>
      <c r="F164" s="93">
        <v>2070</v>
      </c>
      <c r="I164" s="67">
        <v>50</v>
      </c>
      <c r="J164" s="6"/>
      <c r="K164" s="92">
        <v>9.5</v>
      </c>
      <c r="AH164" s="67">
        <v>1.8</v>
      </c>
      <c r="AI164" s="67">
        <v>3.4</v>
      </c>
      <c r="AJ164" s="67">
        <v>3.1</v>
      </c>
      <c r="AK164" s="67">
        <v>0.9</v>
      </c>
      <c r="AM164" s="67">
        <v>2</v>
      </c>
      <c r="AN164" s="67">
        <v>0.35</v>
      </c>
      <c r="AO164" s="67">
        <v>2.4</v>
      </c>
      <c r="AP164" s="67"/>
      <c r="AQ164" s="67"/>
      <c r="AR164" s="67">
        <v>0.85</v>
      </c>
      <c r="AS164" s="67"/>
      <c r="AT164" s="67"/>
      <c r="AU164" s="67"/>
      <c r="AV164" s="67"/>
      <c r="BB164" s="76">
        <v>84</v>
      </c>
      <c r="BC164" s="76">
        <v>87</v>
      </c>
      <c r="BD164" s="76">
        <v>84</v>
      </c>
      <c r="BE164" s="76">
        <v>89</v>
      </c>
      <c r="BF164" s="13"/>
      <c r="BG164" s="76">
        <v>81</v>
      </c>
      <c r="BH164" s="76">
        <v>97</v>
      </c>
      <c r="BI164" s="76">
        <v>83</v>
      </c>
      <c r="BJ164" s="76"/>
      <c r="BK164" s="76"/>
      <c r="BL164" s="76">
        <v>73</v>
      </c>
      <c r="BM164" s="76"/>
      <c r="BN164" s="76"/>
      <c r="BO164" s="76"/>
      <c r="BP164" s="76"/>
      <c r="BS164" s="67">
        <v>0.05</v>
      </c>
      <c r="BT164" s="6">
        <v>1</v>
      </c>
      <c r="BU164" s="6">
        <v>1</v>
      </c>
      <c r="BW164" s="6">
        <v>8</v>
      </c>
      <c r="BX164" s="67">
        <v>1.4</v>
      </c>
      <c r="CB164">
        <v>67</v>
      </c>
      <c r="CC164">
        <v>88</v>
      </c>
      <c r="CV164" s="47"/>
      <c r="CW164" s="47">
        <f t="shared" si="81"/>
        <v>0</v>
      </c>
      <c r="CX164" s="47">
        <f t="shared" si="82"/>
        <v>0</v>
      </c>
      <c r="CY164" s="47">
        <f t="shared" si="83"/>
        <v>1.5120000000000002</v>
      </c>
      <c r="CZ164" s="47">
        <f t="shared" si="84"/>
        <v>2.9580000000000002</v>
      </c>
      <c r="DA164" s="47">
        <f t="shared" si="85"/>
        <v>2.6040000000000005</v>
      </c>
      <c r="DB164" s="47">
        <f t="shared" si="86"/>
        <v>0.80100000000000005</v>
      </c>
      <c r="DC164" s="47">
        <f t="shared" si="104"/>
        <v>1.4215</v>
      </c>
      <c r="DD164" s="47">
        <f t="shared" si="91"/>
        <v>0</v>
      </c>
      <c r="DE164" s="47">
        <f t="shared" si="118"/>
        <v>0</v>
      </c>
      <c r="DF164" s="47">
        <f t="shared" si="92"/>
        <v>1.62</v>
      </c>
      <c r="DG164" s="47">
        <f t="shared" si="93"/>
        <v>0.33949999999999997</v>
      </c>
      <c r="DH164" s="47">
        <f t="shared" si="94"/>
        <v>1.992</v>
      </c>
      <c r="DI164" s="47"/>
      <c r="DJ164" s="47"/>
      <c r="DK164" s="47"/>
      <c r="DL164" s="47"/>
      <c r="DM164" s="47"/>
      <c r="DN164" s="47"/>
      <c r="DO164" s="47"/>
      <c r="DQ164">
        <f t="shared" si="88"/>
        <v>0.93799999999999994</v>
      </c>
      <c r="DR164">
        <f t="shared" si="87"/>
        <v>1.232</v>
      </c>
      <c r="DS164">
        <f t="shared" si="105"/>
        <v>0</v>
      </c>
      <c r="DT164">
        <f t="shared" si="106"/>
        <v>0</v>
      </c>
      <c r="DV164" s="110"/>
      <c r="DW164" s="111">
        <v>1100</v>
      </c>
      <c r="DX164" s="112">
        <v>0.5</v>
      </c>
      <c r="EA164" s="69">
        <v>0.75</v>
      </c>
      <c r="EB164" s="113">
        <f t="shared" si="111"/>
        <v>1.0499999999999998</v>
      </c>
      <c r="EG164" s="209"/>
      <c r="EH164" s="94" t="s">
        <v>157</v>
      </c>
      <c r="EM164" s="124"/>
      <c r="EN164" s="91"/>
      <c r="EP164" s="92" t="s">
        <v>157</v>
      </c>
      <c r="ER164" s="92"/>
      <c r="EV164" s="92"/>
      <c r="EW164" s="114"/>
      <c r="EX164" s="114"/>
      <c r="EY164" s="107"/>
      <c r="EZ164" s="6"/>
      <c r="FI164" s="6"/>
      <c r="FM164" s="80">
        <f t="shared" si="99"/>
        <v>0.67342799188640967</v>
      </c>
      <c r="FN164" s="80">
        <f t="shared" si="100"/>
        <v>0.51115618661257611</v>
      </c>
      <c r="FO164" s="115">
        <f t="shared" si="101"/>
        <v>1.3174603174603172</v>
      </c>
      <c r="FP164" s="115">
        <f t="shared" si="102"/>
        <v>0.1147734956051386</v>
      </c>
      <c r="FQ164" s="116">
        <f t="shared" si="103"/>
        <v>5.9160000000000004E-2</v>
      </c>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row>
    <row r="165" spans="1:204" x14ac:dyDescent="0.25">
      <c r="B165" s="54" t="s">
        <v>175</v>
      </c>
      <c r="D165" s="93">
        <v>4005</v>
      </c>
      <c r="E165" s="89">
        <v>3618</v>
      </c>
      <c r="F165" s="93">
        <v>2607</v>
      </c>
      <c r="I165" s="7">
        <v>60.5</v>
      </c>
      <c r="J165" s="6">
        <v>1.8</v>
      </c>
      <c r="K165" s="92">
        <v>7.5</v>
      </c>
      <c r="AF165" s="57">
        <v>3.74</v>
      </c>
      <c r="AG165" s="57">
        <v>1.3660000000000001</v>
      </c>
      <c r="AH165" s="57">
        <v>2.66</v>
      </c>
      <c r="AI165" s="57">
        <v>4.7389999999999999</v>
      </c>
      <c r="AJ165" s="57">
        <v>4.25</v>
      </c>
      <c r="AK165" s="57">
        <v>1.1499999999999999</v>
      </c>
      <c r="AL165" s="57">
        <v>2.726</v>
      </c>
      <c r="AM165" s="57">
        <v>2.75</v>
      </c>
      <c r="AN165" s="57">
        <v>0.8</v>
      </c>
      <c r="AO165" s="57">
        <v>3.1</v>
      </c>
      <c r="AP165" s="57"/>
      <c r="AQ165" s="57"/>
      <c r="AR165" s="57">
        <v>0.61</v>
      </c>
      <c r="AS165" s="57"/>
      <c r="AT165" s="57"/>
      <c r="AU165" s="57"/>
      <c r="AV165" s="57"/>
      <c r="AW165" s="57">
        <v>1.627</v>
      </c>
      <c r="AZ165" s="68">
        <v>84</v>
      </c>
      <c r="BA165" s="68">
        <v>84</v>
      </c>
      <c r="BB165" s="76">
        <v>83.3</v>
      </c>
      <c r="BC165" s="102">
        <v>72</v>
      </c>
      <c r="BD165" s="76">
        <v>84.1</v>
      </c>
      <c r="BE165" s="76">
        <v>83.9</v>
      </c>
      <c r="BF165" s="68">
        <v>84</v>
      </c>
      <c r="BG165" s="103">
        <v>78.099999999999994</v>
      </c>
      <c r="BH165" s="76">
        <v>90</v>
      </c>
      <c r="BI165" s="76">
        <v>82.8</v>
      </c>
      <c r="BJ165" s="76"/>
      <c r="BK165" s="76"/>
      <c r="BL165" s="76">
        <v>75</v>
      </c>
      <c r="BM165" s="76"/>
      <c r="BN165" s="76"/>
      <c r="BO165" s="76"/>
      <c r="BP165" s="76"/>
      <c r="BQ165" s="68">
        <v>84</v>
      </c>
      <c r="BS165" s="7">
        <v>0.12</v>
      </c>
      <c r="BT165" s="6">
        <v>0.47</v>
      </c>
      <c r="BU165" s="6">
        <v>1.21</v>
      </c>
      <c r="BW165" s="6">
        <v>2.4</v>
      </c>
      <c r="BX165" s="7">
        <v>0.85</v>
      </c>
      <c r="CB165">
        <v>67</v>
      </c>
      <c r="CC165">
        <v>88</v>
      </c>
      <c r="CV165" s="47"/>
      <c r="CW165" s="47">
        <f t="shared" si="81"/>
        <v>3.1416000000000004</v>
      </c>
      <c r="CX165" s="47">
        <f t="shared" si="82"/>
        <v>1.1474400000000002</v>
      </c>
      <c r="CY165" s="47">
        <f t="shared" si="83"/>
        <v>2.2157800000000001</v>
      </c>
      <c r="CZ165" s="47">
        <f t="shared" si="84"/>
        <v>3.4120799999999996</v>
      </c>
      <c r="DA165" s="47">
        <f t="shared" si="85"/>
        <v>3.5742499999999997</v>
      </c>
      <c r="DB165" s="47">
        <f t="shared" si="86"/>
        <v>0.96484999999999999</v>
      </c>
      <c r="DC165" s="47">
        <f t="shared" si="104"/>
        <v>1.4223500000000002</v>
      </c>
      <c r="DD165" s="47">
        <f t="shared" si="91"/>
        <v>2.2898399999999999</v>
      </c>
      <c r="DE165" s="47">
        <f t="shared" si="118"/>
        <v>3.65652</v>
      </c>
      <c r="DF165" s="47">
        <f t="shared" si="92"/>
        <v>2.1477499999999998</v>
      </c>
      <c r="DG165" s="47">
        <f t="shared" si="93"/>
        <v>0.72</v>
      </c>
      <c r="DH165" s="47">
        <f t="shared" si="94"/>
        <v>2.5668000000000002</v>
      </c>
      <c r="DI165" s="47"/>
      <c r="DJ165" s="47"/>
      <c r="DK165" s="47"/>
      <c r="DL165" s="47"/>
      <c r="DM165" s="47"/>
      <c r="DN165" s="47"/>
      <c r="DO165" s="47"/>
      <c r="DQ165">
        <f t="shared" si="88"/>
        <v>0.56950000000000001</v>
      </c>
      <c r="DR165">
        <f t="shared" si="87"/>
        <v>0.748</v>
      </c>
      <c r="DS165">
        <f t="shared" si="105"/>
        <v>0</v>
      </c>
      <c r="DT165">
        <f t="shared" si="106"/>
        <v>0</v>
      </c>
      <c r="DV165" s="110"/>
      <c r="DW165" s="111">
        <f t="shared" ref="DW165:DW187" si="119">DX165*2000</f>
        <v>1200</v>
      </c>
      <c r="DX165" s="112">
        <v>0.6</v>
      </c>
      <c r="EA165" s="69">
        <v>0.75</v>
      </c>
      <c r="EB165" s="113">
        <f t="shared" si="111"/>
        <v>0.63749999999999996</v>
      </c>
      <c r="EG165" s="209"/>
      <c r="EH165" s="94"/>
      <c r="EM165" s="126"/>
      <c r="EN165" s="91"/>
      <c r="EP165" s="92"/>
      <c r="ER165" s="92"/>
      <c r="EV165" s="92"/>
      <c r="EW165" s="114"/>
      <c r="EX165" s="114"/>
      <c r="EY165" s="107"/>
      <c r="EZ165" s="6"/>
      <c r="FG165" s="115">
        <v>0.104</v>
      </c>
      <c r="FH165" s="115">
        <v>0.95</v>
      </c>
      <c r="FI165" s="6"/>
      <c r="FM165" s="80">
        <f t="shared" si="99"/>
        <v>0.75226841105718523</v>
      </c>
      <c r="FN165" s="80">
        <f t="shared" si="100"/>
        <v>0.64939274577383899</v>
      </c>
      <c r="FO165" s="115">
        <f t="shared" si="101"/>
        <v>1.1584182545198531</v>
      </c>
      <c r="FP165" s="115">
        <f t="shared" si="102"/>
        <v>0.21101498206372654</v>
      </c>
      <c r="FQ165" s="116">
        <f t="shared" si="103"/>
        <v>5.6398016528925614E-2</v>
      </c>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row>
    <row r="166" spans="1:204" x14ac:dyDescent="0.25">
      <c r="B166" s="54" t="s">
        <v>176</v>
      </c>
      <c r="D166" s="93">
        <v>4005</v>
      </c>
      <c r="E166" s="93">
        <v>3528</v>
      </c>
      <c r="F166" s="93">
        <v>2550</v>
      </c>
      <c r="I166" s="67">
        <v>48.5</v>
      </c>
      <c r="J166" s="6"/>
      <c r="K166" s="92">
        <v>7.9</v>
      </c>
      <c r="AF166" s="57">
        <v>2.98</v>
      </c>
      <c r="AG166" s="57">
        <v>1.1100000000000001</v>
      </c>
      <c r="AH166" s="67">
        <v>2.06</v>
      </c>
      <c r="AI166" s="67">
        <v>3.73</v>
      </c>
      <c r="AJ166" s="67">
        <v>3.35</v>
      </c>
      <c r="AK166" s="67">
        <v>1.02</v>
      </c>
      <c r="AL166" s="67">
        <v>2.09</v>
      </c>
      <c r="AM166" s="67">
        <v>2.25</v>
      </c>
      <c r="AN166" s="67">
        <v>0.63</v>
      </c>
      <c r="AO166" s="67">
        <v>2.65</v>
      </c>
      <c r="AP166" s="67"/>
      <c r="AQ166" s="67"/>
      <c r="AR166" s="67">
        <v>0.5</v>
      </c>
      <c r="AS166" s="67"/>
      <c r="AT166" s="67"/>
      <c r="AU166" s="67"/>
      <c r="AV166" s="67"/>
      <c r="AW166" s="67">
        <v>1.1399999999999999</v>
      </c>
      <c r="AZ166" s="68">
        <v>84</v>
      </c>
      <c r="BA166" s="68">
        <v>84</v>
      </c>
      <c r="BB166" s="78">
        <v>83</v>
      </c>
      <c r="BC166" s="89">
        <v>72</v>
      </c>
      <c r="BD166" s="78">
        <v>82.4</v>
      </c>
      <c r="BE166" s="78">
        <v>84</v>
      </c>
      <c r="BF166" s="68">
        <v>84</v>
      </c>
      <c r="BG166" s="78">
        <v>75.2</v>
      </c>
      <c r="BH166" s="78">
        <v>83</v>
      </c>
      <c r="BI166" s="78">
        <v>80.8</v>
      </c>
      <c r="BJ166" s="78"/>
      <c r="BK166" s="78"/>
      <c r="BL166" s="78">
        <v>66</v>
      </c>
      <c r="BM166" s="78"/>
      <c r="BN166" s="78"/>
      <c r="BO166" s="78"/>
      <c r="BP166" s="78"/>
      <c r="BQ166" s="68">
        <v>84</v>
      </c>
      <c r="BS166" s="67">
        <v>0.03</v>
      </c>
      <c r="BT166" s="6"/>
      <c r="BU166" s="6"/>
      <c r="BW166" s="6"/>
      <c r="BX166" s="67">
        <v>0.75</v>
      </c>
      <c r="CB166">
        <v>67</v>
      </c>
      <c r="CC166">
        <v>88</v>
      </c>
      <c r="CV166" s="47"/>
      <c r="CW166" s="47">
        <f t="shared" si="81"/>
        <v>2.5032000000000001</v>
      </c>
      <c r="CX166" s="47">
        <f t="shared" si="82"/>
        <v>0.93240000000000012</v>
      </c>
      <c r="CY166" s="47">
        <f t="shared" si="83"/>
        <v>1.7098000000000002</v>
      </c>
      <c r="CZ166" s="47">
        <f t="shared" si="84"/>
        <v>2.6856</v>
      </c>
      <c r="DA166" s="47">
        <f t="shared" si="85"/>
        <v>2.7604000000000002</v>
      </c>
      <c r="DB166" s="47">
        <f t="shared" si="86"/>
        <v>0.85680000000000012</v>
      </c>
      <c r="DC166" s="47">
        <f t="shared" si="104"/>
        <v>1.1868000000000001</v>
      </c>
      <c r="DD166" s="47">
        <f t="shared" si="91"/>
        <v>1.7556</v>
      </c>
      <c r="DE166" s="47">
        <f t="shared" si="118"/>
        <v>2.7132000000000001</v>
      </c>
      <c r="DF166" s="47">
        <f t="shared" si="92"/>
        <v>1.6920000000000002</v>
      </c>
      <c r="DG166" s="47">
        <f t="shared" si="93"/>
        <v>0.52290000000000003</v>
      </c>
      <c r="DH166" s="47">
        <f t="shared" si="94"/>
        <v>2.1411999999999995</v>
      </c>
      <c r="DI166" s="47"/>
      <c r="DJ166" s="47"/>
      <c r="DK166" s="47"/>
      <c r="DL166" s="47"/>
      <c r="DM166" s="47"/>
      <c r="DN166" s="47"/>
      <c r="DO166" s="47"/>
      <c r="DQ166">
        <f t="shared" si="88"/>
        <v>0.50249999999999995</v>
      </c>
      <c r="DR166">
        <f>CC166*BX166/100</f>
        <v>0.66</v>
      </c>
      <c r="DS166">
        <f t="shared" si="105"/>
        <v>0</v>
      </c>
      <c r="DT166">
        <f t="shared" si="106"/>
        <v>0</v>
      </c>
      <c r="DV166" s="110"/>
      <c r="DW166" s="111">
        <f t="shared" si="119"/>
        <v>1000</v>
      </c>
      <c r="DX166" s="112">
        <v>0.5</v>
      </c>
      <c r="EA166" s="69">
        <v>0.75</v>
      </c>
      <c r="EB166" s="113">
        <f t="shared" si="111"/>
        <v>0.5625</v>
      </c>
      <c r="EG166" s="209"/>
      <c r="EH166" s="94"/>
      <c r="EM166" s="124"/>
      <c r="EN166" s="91"/>
      <c r="EP166" s="92"/>
      <c r="ER166" s="92"/>
      <c r="EV166" s="92"/>
      <c r="EW166" s="114"/>
      <c r="EX166" s="114"/>
      <c r="EY166" s="107"/>
      <c r="EZ166" s="6"/>
      <c r="FG166" s="115">
        <v>8.6999999999999994E-2</v>
      </c>
      <c r="FH166" s="115">
        <v>0.95</v>
      </c>
      <c r="FI166" s="6"/>
      <c r="FM166" s="80">
        <f t="shared" si="99"/>
        <v>0.79728924635090836</v>
      </c>
      <c r="FN166" s="80">
        <f t="shared" si="100"/>
        <v>0.63665475126601145</v>
      </c>
      <c r="FO166" s="115">
        <f t="shared" si="101"/>
        <v>1.2523102117206686</v>
      </c>
      <c r="FP166" s="115">
        <f t="shared" si="102"/>
        <v>0.19470509383378018</v>
      </c>
      <c r="FQ166" s="116">
        <f t="shared" si="103"/>
        <v>5.537319587628866E-2</v>
      </c>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row>
    <row r="167" spans="1:204" x14ac:dyDescent="0.25">
      <c r="B167" s="54" t="s">
        <v>366</v>
      </c>
      <c r="D167" s="90"/>
      <c r="E167" s="90"/>
      <c r="F167" s="90"/>
      <c r="I167" s="91"/>
      <c r="J167" s="92"/>
      <c r="K167" s="92"/>
      <c r="AH167" s="67"/>
      <c r="AI167" s="67"/>
      <c r="AJ167" s="67"/>
      <c r="AK167" s="91"/>
      <c r="AM167" s="67"/>
      <c r="AN167" s="67"/>
      <c r="AO167" s="67"/>
      <c r="AP167" s="67"/>
      <c r="AQ167" s="67"/>
      <c r="AR167" s="67"/>
      <c r="AS167" s="67"/>
      <c r="AT167" s="67"/>
      <c r="AU167" s="67"/>
      <c r="AV167" s="67"/>
      <c r="BB167" s="101"/>
      <c r="BC167" s="101"/>
      <c r="BD167" s="101"/>
      <c r="BE167" s="81"/>
      <c r="BG167" s="101"/>
      <c r="BH167" s="101"/>
      <c r="BI167" s="101"/>
      <c r="BJ167" s="101"/>
      <c r="BK167" s="101"/>
      <c r="BL167" s="81"/>
      <c r="BM167" s="81"/>
      <c r="BN167" s="81"/>
      <c r="BO167" s="81"/>
      <c r="BP167" s="81"/>
      <c r="BS167" s="91">
        <v>18</v>
      </c>
      <c r="BT167" s="6"/>
      <c r="BU167" s="92"/>
      <c r="BW167" s="92"/>
      <c r="BX167" s="91"/>
      <c r="CV167" s="47"/>
      <c r="CW167" s="47">
        <f t="shared" si="81"/>
        <v>0</v>
      </c>
      <c r="CX167" s="47">
        <f t="shared" si="82"/>
        <v>0</v>
      </c>
      <c r="CY167" s="47">
        <f t="shared" si="83"/>
        <v>0</v>
      </c>
      <c r="CZ167" s="47">
        <f t="shared" si="84"/>
        <v>0</v>
      </c>
      <c r="DA167" s="47">
        <f t="shared" si="85"/>
        <v>0</v>
      </c>
      <c r="DB167" s="47">
        <f t="shared" si="86"/>
        <v>0</v>
      </c>
      <c r="DC167" s="47">
        <f t="shared" si="104"/>
        <v>0</v>
      </c>
      <c r="DD167" s="47">
        <f t="shared" si="91"/>
        <v>0</v>
      </c>
      <c r="DE167" s="47">
        <f t="shared" si="118"/>
        <v>0</v>
      </c>
      <c r="DF167" s="47">
        <f t="shared" si="92"/>
        <v>0</v>
      </c>
      <c r="DG167" s="47">
        <f t="shared" si="93"/>
        <v>0</v>
      </c>
      <c r="DH167" s="47">
        <f t="shared" si="94"/>
        <v>0</v>
      </c>
      <c r="DI167" s="47"/>
      <c r="DJ167" s="47"/>
      <c r="DK167" s="47"/>
      <c r="DL167" s="47"/>
      <c r="DM167" s="47"/>
      <c r="DN167" s="47"/>
      <c r="DO167" s="47"/>
      <c r="DQ167">
        <f t="shared" si="88"/>
        <v>0</v>
      </c>
      <c r="DR167">
        <f t="shared" ref="DR167:DR184" si="120">CC167*BX167/100</f>
        <v>0</v>
      </c>
      <c r="DS167">
        <f t="shared" si="105"/>
        <v>0</v>
      </c>
      <c r="DT167">
        <f t="shared" si="106"/>
        <v>0</v>
      </c>
      <c r="DV167" s="110"/>
      <c r="DW167" s="111">
        <f t="shared" si="119"/>
        <v>0</v>
      </c>
      <c r="DX167" s="112"/>
      <c r="DY167" s="94"/>
      <c r="DZ167" s="94"/>
      <c r="EA167" s="81"/>
      <c r="EB167" s="113">
        <f t="shared" si="111"/>
        <v>0</v>
      </c>
      <c r="EC167" s="92"/>
      <c r="ED167" s="92"/>
      <c r="EE167" s="92">
        <f>EE142*2</f>
        <v>359251.20000000001</v>
      </c>
      <c r="EF167" s="92"/>
      <c r="EG167" s="114"/>
      <c r="EH167" s="92"/>
      <c r="EI167" s="82"/>
      <c r="EJ167" s="6"/>
      <c r="EK167" s="6"/>
      <c r="EL167" s="6"/>
      <c r="EM167" s="6"/>
      <c r="EN167" s="6"/>
      <c r="EO167" s="6"/>
      <c r="EP167" s="6"/>
      <c r="EQ167" s="6"/>
      <c r="ER167" s="6"/>
      <c r="ES167" s="6">
        <f>ES142*2</f>
        <v>1500000</v>
      </c>
      <c r="ET167" s="6">
        <f t="shared" ref="ET167:EZ167" si="121">ET142*2</f>
        <v>300000</v>
      </c>
      <c r="EU167" s="6">
        <f t="shared" si="121"/>
        <v>16000</v>
      </c>
      <c r="EV167" s="6">
        <f t="shared" si="121"/>
        <v>600</v>
      </c>
      <c r="EW167" s="6">
        <f t="shared" si="121"/>
        <v>6</v>
      </c>
      <c r="EX167" s="6">
        <f t="shared" si="121"/>
        <v>9000</v>
      </c>
      <c r="EY167" s="6">
        <f t="shared" si="121"/>
        <v>5000</v>
      </c>
      <c r="EZ167" s="6">
        <f t="shared" si="121"/>
        <v>1500</v>
      </c>
      <c r="FA167" s="6"/>
      <c r="FB167" s="6"/>
      <c r="FC167" s="6"/>
      <c r="FD167" s="6"/>
      <c r="FE167" s="6"/>
      <c r="FF167" s="6"/>
      <c r="FG167" s="6"/>
      <c r="FH167" s="6"/>
      <c r="FI167" s="6"/>
      <c r="FJ167" s="6"/>
      <c r="FK167" s="6"/>
      <c r="FL167" s="6"/>
      <c r="FM167" s="80" t="e">
        <f t="shared" si="99"/>
        <v>#DIV/0!</v>
      </c>
      <c r="FN167" s="80" t="e">
        <f t="shared" si="100"/>
        <v>#DIV/0!</v>
      </c>
      <c r="FO167" s="115" t="e">
        <f t="shared" si="101"/>
        <v>#DIV/0!</v>
      </c>
      <c r="FP167" s="115" t="e">
        <f t="shared" si="102"/>
        <v>#DIV/0!</v>
      </c>
      <c r="FQ167" s="116" t="e">
        <f t="shared" si="103"/>
        <v>#DIV/0!</v>
      </c>
    </row>
    <row r="168" spans="1:204" x14ac:dyDescent="0.25">
      <c r="B168" s="54" t="s">
        <v>367</v>
      </c>
      <c r="D168" s="90"/>
      <c r="E168" s="90"/>
      <c r="F168" s="90"/>
      <c r="I168" s="91"/>
      <c r="J168" s="92"/>
      <c r="K168" s="92"/>
      <c r="AH168" s="67"/>
      <c r="AI168" s="67"/>
      <c r="AJ168" s="67"/>
      <c r="AK168" s="91"/>
      <c r="AM168" s="67"/>
      <c r="AN168" s="67"/>
      <c r="AO168" s="67"/>
      <c r="AP168" s="67"/>
      <c r="AQ168" s="67"/>
      <c r="AR168" s="67"/>
      <c r="AS168" s="67"/>
      <c r="AT168" s="67"/>
      <c r="AU168" s="67"/>
      <c r="AV168" s="67"/>
      <c r="BB168" s="101"/>
      <c r="BC168" s="101"/>
      <c r="BD168" s="101"/>
      <c r="BE168" s="81"/>
      <c r="BG168" s="101"/>
      <c r="BH168" s="101"/>
      <c r="BI168" s="101"/>
      <c r="BJ168" s="101"/>
      <c r="BK168" s="101"/>
      <c r="BL168" s="81"/>
      <c r="BM168" s="81"/>
      <c r="BN168" s="81"/>
      <c r="BO168" s="81"/>
      <c r="BP168" s="81"/>
      <c r="BS168" s="91">
        <v>18</v>
      </c>
      <c r="BT168" s="6"/>
      <c r="BU168" s="92"/>
      <c r="BW168" s="92"/>
      <c r="BX168" s="91"/>
      <c r="CV168" s="47"/>
      <c r="CW168" s="47">
        <f t="shared" si="81"/>
        <v>0</v>
      </c>
      <c r="CX168" s="47">
        <f t="shared" si="82"/>
        <v>0</v>
      </c>
      <c r="CY168" s="47">
        <f t="shared" si="83"/>
        <v>0</v>
      </c>
      <c r="CZ168" s="47">
        <f t="shared" si="84"/>
        <v>0</v>
      </c>
      <c r="DA168" s="47">
        <f t="shared" si="85"/>
        <v>0</v>
      </c>
      <c r="DB168" s="47">
        <f t="shared" si="86"/>
        <v>0</v>
      </c>
      <c r="DC168" s="47">
        <f t="shared" si="104"/>
        <v>0</v>
      </c>
      <c r="DD168" s="47">
        <f t="shared" si="91"/>
        <v>0</v>
      </c>
      <c r="DE168" s="47">
        <f t="shared" si="118"/>
        <v>0</v>
      </c>
      <c r="DF168" s="47">
        <f t="shared" si="92"/>
        <v>0</v>
      </c>
      <c r="DG168" s="47">
        <f t="shared" si="93"/>
        <v>0</v>
      </c>
      <c r="DH168" s="47">
        <f t="shared" si="94"/>
        <v>0</v>
      </c>
      <c r="DI168" s="47"/>
      <c r="DJ168" s="47"/>
      <c r="DK168" s="47"/>
      <c r="DL168" s="47"/>
      <c r="DM168" s="47"/>
      <c r="DN168" s="47"/>
      <c r="DO168" s="47"/>
      <c r="DQ168">
        <f t="shared" si="88"/>
        <v>0</v>
      </c>
      <c r="DR168">
        <f t="shared" si="120"/>
        <v>0</v>
      </c>
      <c r="DS168">
        <f t="shared" si="105"/>
        <v>0</v>
      </c>
      <c r="DT168">
        <f t="shared" si="106"/>
        <v>0</v>
      </c>
      <c r="DV168" s="110"/>
      <c r="DW168" s="111">
        <f t="shared" si="119"/>
        <v>0</v>
      </c>
      <c r="DX168" s="112"/>
      <c r="DY168" s="94"/>
      <c r="DZ168" s="94"/>
      <c r="EA168" s="81"/>
      <c r="EB168" s="113">
        <f t="shared" si="111"/>
        <v>0</v>
      </c>
      <c r="EC168" s="92"/>
      <c r="ED168" s="92"/>
      <c r="EE168" s="92"/>
      <c r="EF168" s="92"/>
      <c r="EG168" s="114"/>
      <c r="EH168" s="92"/>
      <c r="EI168" s="82"/>
      <c r="EJ168" s="6"/>
      <c r="EK168" s="6"/>
      <c r="EL168" s="6"/>
      <c r="EM168" s="6"/>
      <c r="EN168" s="6"/>
      <c r="EO168" s="6"/>
      <c r="EP168" s="6"/>
      <c r="EQ168" s="6"/>
      <c r="ER168" s="6"/>
      <c r="ES168" s="6">
        <f>ES142*2</f>
        <v>1500000</v>
      </c>
      <c r="ET168" s="6">
        <f t="shared" ref="ET168:EZ168" si="122">ET142*2</f>
        <v>300000</v>
      </c>
      <c r="EU168" s="6">
        <f t="shared" si="122"/>
        <v>16000</v>
      </c>
      <c r="EV168" s="6">
        <f t="shared" si="122"/>
        <v>600</v>
      </c>
      <c r="EW168" s="6">
        <f t="shared" si="122"/>
        <v>6</v>
      </c>
      <c r="EX168" s="6">
        <f t="shared" si="122"/>
        <v>9000</v>
      </c>
      <c r="EY168" s="6">
        <f t="shared" si="122"/>
        <v>5000</v>
      </c>
      <c r="EZ168" s="6">
        <f t="shared" si="122"/>
        <v>1500</v>
      </c>
      <c r="FA168" s="6"/>
      <c r="FB168" s="6"/>
      <c r="FC168" s="6"/>
      <c r="FD168" s="6"/>
      <c r="FE168" s="6"/>
      <c r="FF168" s="6"/>
      <c r="FG168" s="6"/>
      <c r="FH168" s="6"/>
      <c r="FI168" s="6"/>
      <c r="FJ168" s="6"/>
      <c r="FK168" s="6"/>
      <c r="FL168" s="6"/>
      <c r="FM168" s="80" t="e">
        <f t="shared" si="99"/>
        <v>#DIV/0!</v>
      </c>
      <c r="FN168" s="80" t="e">
        <f t="shared" si="100"/>
        <v>#DIV/0!</v>
      </c>
      <c r="FO168" s="115" t="e">
        <f t="shared" si="101"/>
        <v>#DIV/0!</v>
      </c>
      <c r="FP168" s="115" t="e">
        <f t="shared" si="102"/>
        <v>#DIV/0!</v>
      </c>
      <c r="FQ168" s="116" t="e">
        <f t="shared" si="103"/>
        <v>#DIV/0!</v>
      </c>
    </row>
    <row r="169" spans="1:204" x14ac:dyDescent="0.25">
      <c r="A169" s="61"/>
      <c r="B169" s="34" t="s">
        <v>350</v>
      </c>
      <c r="C169">
        <v>4849</v>
      </c>
      <c r="D169" s="13">
        <f>62.347*K169+3058.13</f>
        <v>3712.7735000000002</v>
      </c>
      <c r="E169" s="13">
        <f>(D169/(H169/100)-I169*6.8/(H169/100))*H169/100</f>
        <v>3527.1335000000004</v>
      </c>
      <c r="F169" s="13">
        <f>K169*115.01+1501.01</f>
        <v>2708.6149999999998</v>
      </c>
      <c r="H169" s="9">
        <v>89.31</v>
      </c>
      <c r="I169" s="9">
        <v>27.3</v>
      </c>
      <c r="J169" s="9">
        <v>7.06</v>
      </c>
      <c r="K169" s="9">
        <v>10.5</v>
      </c>
      <c r="M169" s="9">
        <v>4.1100000000000003</v>
      </c>
      <c r="N169" s="9"/>
      <c r="O169" s="9">
        <f t="shared" ref="O169:Q171" si="123">D169/D$24</f>
        <v>1.0758543900318749</v>
      </c>
      <c r="P169" s="9">
        <f t="shared" si="123"/>
        <v>1.0389200294550811</v>
      </c>
      <c r="Q169" s="9">
        <f t="shared" si="123"/>
        <v>1.0137032185628743</v>
      </c>
      <c r="T169" s="9">
        <v>6.73</v>
      </c>
      <c r="U169" s="9">
        <v>32.5</v>
      </c>
      <c r="V169" s="9">
        <v>11.75</v>
      </c>
      <c r="W169" s="9">
        <v>2.61</v>
      </c>
      <c r="X169" s="9">
        <v>31.35</v>
      </c>
      <c r="AB169" s="9">
        <v>40.710000000000008</v>
      </c>
      <c r="AC169" s="9">
        <v>70</v>
      </c>
      <c r="AD169" s="9">
        <v>43.692400000000006</v>
      </c>
      <c r="AF169" s="131">
        <v>1.1599999999999999</v>
      </c>
      <c r="AG169" s="131">
        <v>0.71</v>
      </c>
      <c r="AH169" s="131">
        <v>1.02</v>
      </c>
      <c r="AI169" s="131">
        <v>3.13</v>
      </c>
      <c r="AJ169" s="131">
        <v>0.77</v>
      </c>
      <c r="AK169" s="131">
        <v>0.55000000000000004</v>
      </c>
      <c r="AL169" s="131">
        <v>1.34</v>
      </c>
      <c r="AM169" s="131">
        <v>0.99</v>
      </c>
      <c r="AN169" s="131">
        <v>0.21</v>
      </c>
      <c r="AO169" s="131">
        <v>1.35</v>
      </c>
      <c r="AP169" s="131">
        <v>1.93</v>
      </c>
      <c r="AQ169" s="131">
        <v>1.82</v>
      </c>
      <c r="AR169" s="131">
        <v>0.51</v>
      </c>
      <c r="AS169" s="131">
        <v>4.3499999999999996</v>
      </c>
      <c r="AT169" s="131">
        <v>1.04</v>
      </c>
      <c r="AU169" s="131">
        <v>2.09</v>
      </c>
      <c r="AV169" s="131">
        <v>1.18</v>
      </c>
      <c r="AW169" s="131">
        <v>1.04</v>
      </c>
      <c r="AY169">
        <v>74</v>
      </c>
      <c r="AZ169">
        <v>81</v>
      </c>
      <c r="BA169">
        <v>78</v>
      </c>
      <c r="BB169">
        <v>76</v>
      </c>
      <c r="BC169">
        <v>84</v>
      </c>
      <c r="BD169">
        <v>61</v>
      </c>
      <c r="BE169">
        <v>82</v>
      </c>
      <c r="BF169">
        <v>81</v>
      </c>
      <c r="BG169">
        <v>71</v>
      </c>
      <c r="BH169">
        <v>71</v>
      </c>
      <c r="BI169">
        <v>75</v>
      </c>
      <c r="BJ169">
        <v>79</v>
      </c>
      <c r="BK169">
        <v>69</v>
      </c>
      <c r="BL169">
        <v>73</v>
      </c>
      <c r="BM169">
        <v>81</v>
      </c>
      <c r="BN169">
        <v>64</v>
      </c>
      <c r="BO169">
        <v>74</v>
      </c>
      <c r="BP169">
        <v>77</v>
      </c>
      <c r="BQ169">
        <v>81</v>
      </c>
      <c r="BS169">
        <v>0.12</v>
      </c>
      <c r="BU169">
        <v>0.9</v>
      </c>
      <c r="BV169">
        <v>0.28999999999999998</v>
      </c>
      <c r="BW169">
        <v>0.22</v>
      </c>
      <c r="BX169">
        <v>0.73</v>
      </c>
      <c r="BY169">
        <v>0.66</v>
      </c>
      <c r="CA169">
        <v>0.26</v>
      </c>
      <c r="CB169" s="9">
        <v>60</v>
      </c>
      <c r="CC169" s="9">
        <v>65</v>
      </c>
      <c r="CD169" s="144">
        <v>50</v>
      </c>
      <c r="CE169" s="144">
        <v>60</v>
      </c>
      <c r="CF169" s="9">
        <v>28.497000000000007</v>
      </c>
      <c r="CH169" s="9">
        <v>17.491199999999999</v>
      </c>
      <c r="CI169" s="131">
        <v>0.85839999999999994</v>
      </c>
      <c r="CJ169" s="131">
        <v>0.52539999999999998</v>
      </c>
      <c r="CK169" s="131">
        <v>0.73439999999999994</v>
      </c>
      <c r="CL169" s="131">
        <v>2.5665999999999998</v>
      </c>
      <c r="CM169" s="131">
        <v>0.42349999999999999</v>
      </c>
      <c r="CN169" s="131">
        <v>0.44</v>
      </c>
      <c r="CO169" s="131">
        <v>0.79190000000000005</v>
      </c>
      <c r="CP169" s="131">
        <v>1.0452000000000001</v>
      </c>
      <c r="CQ169" s="131">
        <v>1.8564000000000003</v>
      </c>
      <c r="CR169" s="131">
        <v>0.63359999999999994</v>
      </c>
      <c r="CS169" s="131">
        <v>0.13229999999999997</v>
      </c>
      <c r="CT169" s="131">
        <v>0.95850000000000013</v>
      </c>
      <c r="CU169" s="47"/>
      <c r="CV169" s="2">
        <v>20.2242</v>
      </c>
      <c r="CW169" s="2">
        <f t="shared" si="81"/>
        <v>0.93959999999999999</v>
      </c>
      <c r="CX169" s="2">
        <f t="shared" si="82"/>
        <v>0.55379999999999996</v>
      </c>
      <c r="CY169" s="2">
        <f t="shared" si="83"/>
        <v>0.7752</v>
      </c>
      <c r="CZ169" s="2">
        <f t="shared" si="84"/>
        <v>2.6292</v>
      </c>
      <c r="DA169" s="2">
        <f t="shared" si="85"/>
        <v>0.46970000000000001</v>
      </c>
      <c r="DB169" s="2">
        <f t="shared" si="86"/>
        <v>0.45100000000000001</v>
      </c>
      <c r="DC169" s="2">
        <f t="shared" si="104"/>
        <v>0.82330000000000014</v>
      </c>
      <c r="DD169" s="2">
        <f t="shared" si="91"/>
        <v>1.0854000000000001</v>
      </c>
      <c r="DE169" s="2">
        <f t="shared" si="118"/>
        <v>1.9278000000000002</v>
      </c>
      <c r="DF169" s="2">
        <f t="shared" si="92"/>
        <v>0.70290000000000008</v>
      </c>
      <c r="DG169" s="2">
        <f t="shared" si="93"/>
        <v>0.14910000000000001</v>
      </c>
      <c r="DH169" s="2">
        <f t="shared" si="94"/>
        <v>1.0125</v>
      </c>
      <c r="DI169" s="2">
        <f t="shared" ref="DI169:DP171" si="124">AP169*BJ169/100</f>
        <v>1.5246999999999999</v>
      </c>
      <c r="DJ169" s="2">
        <f t="shared" si="124"/>
        <v>1.2558</v>
      </c>
      <c r="DK169" s="2">
        <f t="shared" si="124"/>
        <v>0.37230000000000002</v>
      </c>
      <c r="DL169" s="2">
        <f t="shared" si="124"/>
        <v>3.5234999999999999</v>
      </c>
      <c r="DM169" s="2">
        <f t="shared" si="124"/>
        <v>0.66559999999999997</v>
      </c>
      <c r="DN169" s="2">
        <f t="shared" si="124"/>
        <v>1.5466</v>
      </c>
      <c r="DO169" s="2">
        <f t="shared" si="124"/>
        <v>0.90859999999999996</v>
      </c>
      <c r="DP169" s="2">
        <f t="shared" si="124"/>
        <v>0.84240000000000004</v>
      </c>
      <c r="DQ169" s="2">
        <f t="shared" si="88"/>
        <v>0.43799999999999994</v>
      </c>
      <c r="DR169" s="2">
        <f t="shared" si="120"/>
        <v>0.47449999999999998</v>
      </c>
      <c r="DS169" s="2">
        <f t="shared" si="105"/>
        <v>0.06</v>
      </c>
      <c r="DT169" s="2">
        <f t="shared" si="106"/>
        <v>7.1999999999999995E-2</v>
      </c>
      <c r="DW169" s="111">
        <f t="shared" si="119"/>
        <v>150</v>
      </c>
      <c r="DX169" s="112">
        <v>7.4999999999999997E-2</v>
      </c>
      <c r="DY169" s="88">
        <f t="shared" ref="DY169:DZ171" si="125">DY161</f>
        <v>0</v>
      </c>
      <c r="DZ169" s="88">
        <f t="shared" si="125"/>
        <v>0</v>
      </c>
      <c r="EA169" s="122">
        <v>0.77</v>
      </c>
      <c r="EB169" s="113">
        <f t="shared" si="111"/>
        <v>0.56210000000000004</v>
      </c>
      <c r="EC169" s="74">
        <f>0.59*K169</f>
        <v>6.1949999999999994</v>
      </c>
      <c r="ED169" s="6"/>
      <c r="EE169" s="92">
        <v>0</v>
      </c>
      <c r="EF169" s="92"/>
      <c r="EG169" s="204">
        <v>0.18</v>
      </c>
      <c r="EH169" s="145">
        <f>125*K169/10</f>
        <v>131.25</v>
      </c>
      <c r="EI169" s="82">
        <f>IF(AR169="","",AR169*BL169)</f>
        <v>37.230000000000004</v>
      </c>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125">
        <v>4.1500000000000002E-2</v>
      </c>
      <c r="FH169" s="125">
        <v>0.88500000000000001</v>
      </c>
      <c r="FI169" s="6">
        <v>56.21</v>
      </c>
      <c r="FJ169" s="6">
        <v>1.22</v>
      </c>
      <c r="FK169" s="7">
        <f>SUM(FI169:FJ169)/100*K169</f>
        <v>6.0301500000000008</v>
      </c>
      <c r="FL169" s="6"/>
      <c r="FM169" s="80">
        <f t="shared" si="99"/>
        <v>0.38509812870835236</v>
      </c>
      <c r="FN169" s="80">
        <f t="shared" si="100"/>
        <v>0.29484253765403923</v>
      </c>
      <c r="FO169" s="115">
        <f t="shared" si="101"/>
        <v>1.3061145510835912</v>
      </c>
      <c r="FP169" s="115">
        <f t="shared" si="102"/>
        <v>5.6709265175718851E-2</v>
      </c>
      <c r="FQ169" s="116">
        <f t="shared" si="103"/>
        <v>9.6307692307692302E-2</v>
      </c>
    </row>
    <row r="170" spans="1:204" x14ac:dyDescent="0.25">
      <c r="A170" s="61"/>
      <c r="B170" s="34" t="s">
        <v>351</v>
      </c>
      <c r="C170">
        <v>4849</v>
      </c>
      <c r="D170" s="13">
        <f>62.347*K170+3058.13</f>
        <v>3525.7325000000001</v>
      </c>
      <c r="E170" s="13">
        <f>(D170/(H170/100)-I170*6.8/(H170/100))*H170/100</f>
        <v>3334.3125</v>
      </c>
      <c r="F170" s="13">
        <f>K170*115.01+1501.01</f>
        <v>2363.585</v>
      </c>
      <c r="H170" s="9">
        <v>89.31</v>
      </c>
      <c r="I170" s="9">
        <v>28.15</v>
      </c>
      <c r="J170" s="9">
        <v>7.28</v>
      </c>
      <c r="K170" s="9">
        <v>7.5</v>
      </c>
      <c r="M170" s="9">
        <v>4.2371134020618557</v>
      </c>
      <c r="N170" s="9"/>
      <c r="O170" s="9">
        <f t="shared" si="123"/>
        <v>1.0216553172993335</v>
      </c>
      <c r="P170" s="9">
        <f t="shared" si="123"/>
        <v>0.98212444771723117</v>
      </c>
      <c r="Q170" s="9">
        <f t="shared" si="123"/>
        <v>0.88457522455089821</v>
      </c>
      <c r="T170" s="9">
        <v>6.9381443298969074</v>
      </c>
      <c r="U170" s="9">
        <v>33.505154639175252</v>
      </c>
      <c r="V170" s="9">
        <v>12.11340206185567</v>
      </c>
      <c r="W170" s="9">
        <v>2.6907216494845358</v>
      </c>
      <c r="X170" s="9">
        <v>32.319587628865982</v>
      </c>
      <c r="AB170" s="9">
        <v>40.710000000000008</v>
      </c>
      <c r="AC170" s="9">
        <v>70</v>
      </c>
      <c r="AD170" s="9">
        <v>43.692400000000006</v>
      </c>
      <c r="AF170" s="131">
        <f t="shared" ref="AF170:AH171" si="126">$I170/$I$169*AF$169</f>
        <v>1.196117216117216</v>
      </c>
      <c r="AG170" s="131">
        <f t="shared" si="126"/>
        <v>0.73210622710622697</v>
      </c>
      <c r="AH170" s="131">
        <f t="shared" si="126"/>
        <v>1.0517582417582416</v>
      </c>
      <c r="AI170" s="131">
        <f t="shared" ref="AI170:AW171" si="127">$I170/$I$169*AI$169</f>
        <v>3.2274542124542118</v>
      </c>
      <c r="AJ170" s="131">
        <f t="shared" si="127"/>
        <v>0.79397435897435886</v>
      </c>
      <c r="AK170" s="131">
        <f t="shared" si="127"/>
        <v>0.56712454212454211</v>
      </c>
      <c r="AL170" s="131">
        <f t="shared" si="127"/>
        <v>1.3817216117216116</v>
      </c>
      <c r="AM170" s="131">
        <f t="shared" si="127"/>
        <v>1.0208241758241756</v>
      </c>
      <c r="AN170" s="131">
        <f t="shared" si="127"/>
        <v>0.21653846153846151</v>
      </c>
      <c r="AO170" s="131">
        <f t="shared" si="127"/>
        <v>1.392032967032967</v>
      </c>
      <c r="AP170" s="131">
        <f t="shared" si="127"/>
        <v>1.9900915750915749</v>
      </c>
      <c r="AQ170" s="131">
        <f t="shared" si="127"/>
        <v>1.8766666666666665</v>
      </c>
      <c r="AR170" s="131">
        <f t="shared" si="127"/>
        <v>0.52587912087912081</v>
      </c>
      <c r="AS170" s="131">
        <f t="shared" si="127"/>
        <v>4.4854395604395592</v>
      </c>
      <c r="AT170" s="131">
        <f t="shared" si="127"/>
        <v>1.0723809523809522</v>
      </c>
      <c r="AU170" s="131">
        <f t="shared" si="127"/>
        <v>2.1550732600732596</v>
      </c>
      <c r="AV170" s="131">
        <f t="shared" si="127"/>
        <v>1.2167399267399266</v>
      </c>
      <c r="AW170" s="131">
        <f t="shared" si="127"/>
        <v>1.0723809523809522</v>
      </c>
      <c r="AY170">
        <v>74</v>
      </c>
      <c r="AZ170">
        <v>81</v>
      </c>
      <c r="BA170">
        <v>78</v>
      </c>
      <c r="BB170">
        <v>76</v>
      </c>
      <c r="BC170">
        <v>84</v>
      </c>
      <c r="BD170">
        <v>61</v>
      </c>
      <c r="BE170">
        <v>82</v>
      </c>
      <c r="BF170">
        <v>81</v>
      </c>
      <c r="BG170">
        <v>71</v>
      </c>
      <c r="BH170">
        <v>71</v>
      </c>
      <c r="BI170">
        <v>75</v>
      </c>
      <c r="BJ170">
        <v>79</v>
      </c>
      <c r="BK170">
        <v>69</v>
      </c>
      <c r="BL170">
        <v>73</v>
      </c>
      <c r="BM170">
        <v>81</v>
      </c>
      <c r="BN170">
        <v>64</v>
      </c>
      <c r="BO170">
        <v>74</v>
      </c>
      <c r="BP170">
        <v>77</v>
      </c>
      <c r="BQ170">
        <v>81</v>
      </c>
      <c r="BS170">
        <v>0.12</v>
      </c>
      <c r="BU170">
        <v>0.9</v>
      </c>
      <c r="BV170">
        <v>0.28999999999999998</v>
      </c>
      <c r="BW170">
        <v>0.22</v>
      </c>
      <c r="BX170">
        <v>0.73</v>
      </c>
      <c r="BY170">
        <v>0.66</v>
      </c>
      <c r="CA170">
        <v>0.26</v>
      </c>
      <c r="CB170" s="9">
        <v>60</v>
      </c>
      <c r="CC170" s="9">
        <v>65</v>
      </c>
      <c r="CD170" s="144">
        <v>50</v>
      </c>
      <c r="CE170" s="144">
        <v>60</v>
      </c>
      <c r="CF170" s="9">
        <v>28.497000000000007</v>
      </c>
      <c r="CH170" s="9">
        <v>17.491199999999999</v>
      </c>
      <c r="CI170" s="131">
        <v>0.85839999999999994</v>
      </c>
      <c r="CJ170" s="131">
        <v>0.52539999999999998</v>
      </c>
      <c r="CK170" s="131">
        <v>0.73439999999999994</v>
      </c>
      <c r="CL170" s="131">
        <v>2.5665999999999998</v>
      </c>
      <c r="CM170" s="131">
        <v>0.42349999999999999</v>
      </c>
      <c r="CN170" s="131">
        <v>0.44</v>
      </c>
      <c r="CO170" s="131">
        <v>0.79190000000000005</v>
      </c>
      <c r="CP170" s="131">
        <v>1.0452000000000001</v>
      </c>
      <c r="CQ170" s="131">
        <v>1.8564000000000003</v>
      </c>
      <c r="CR170" s="131">
        <v>0.63359999999999994</v>
      </c>
      <c r="CS170" s="131">
        <v>0.13229999999999997</v>
      </c>
      <c r="CT170" s="131">
        <v>0.95850000000000013</v>
      </c>
      <c r="CU170" s="47"/>
      <c r="CV170" s="2">
        <v>20.2242</v>
      </c>
      <c r="CW170" s="2">
        <f t="shared" si="81"/>
        <v>0.96885494505494496</v>
      </c>
      <c r="CX170" s="2">
        <f t="shared" si="82"/>
        <v>0.57104285714285696</v>
      </c>
      <c r="CY170" s="2">
        <f t="shared" si="83"/>
        <v>0.79933626373626365</v>
      </c>
      <c r="CZ170" s="2">
        <f t="shared" si="84"/>
        <v>2.711061538461538</v>
      </c>
      <c r="DA170" s="2">
        <f t="shared" si="85"/>
        <v>0.48432435897435888</v>
      </c>
      <c r="DB170" s="2">
        <f t="shared" si="86"/>
        <v>0.46504212454212451</v>
      </c>
      <c r="DC170" s="2">
        <f t="shared" si="104"/>
        <v>0.84893388278388271</v>
      </c>
      <c r="DD170" s="2">
        <f t="shared" si="91"/>
        <v>1.1191945054945054</v>
      </c>
      <c r="DE170" s="2">
        <f t="shared" si="118"/>
        <v>1.9878230769230765</v>
      </c>
      <c r="DF170" s="2">
        <f t="shared" si="92"/>
        <v>0.72478516483516475</v>
      </c>
      <c r="DG170" s="2">
        <f t="shared" si="93"/>
        <v>0.15374230769230768</v>
      </c>
      <c r="DH170" s="2">
        <f t="shared" si="94"/>
        <v>1.0440247252747252</v>
      </c>
      <c r="DI170" s="2">
        <f t="shared" si="124"/>
        <v>1.5721723443223441</v>
      </c>
      <c r="DJ170" s="2">
        <f t="shared" si="124"/>
        <v>1.2948999999999997</v>
      </c>
      <c r="DK170" s="2">
        <f t="shared" si="124"/>
        <v>0.38389175824175825</v>
      </c>
      <c r="DL170" s="2">
        <f t="shared" si="124"/>
        <v>3.6332060439560427</v>
      </c>
      <c r="DM170" s="2">
        <f t="shared" si="124"/>
        <v>0.68632380952380945</v>
      </c>
      <c r="DN170" s="2">
        <f t="shared" si="124"/>
        <v>1.5947542124542122</v>
      </c>
      <c r="DO170" s="2">
        <f t="shared" si="124"/>
        <v>0.93688974358974353</v>
      </c>
      <c r="DP170" s="2">
        <f t="shared" si="124"/>
        <v>0.86862857142857119</v>
      </c>
      <c r="DQ170" s="2">
        <f t="shared" si="88"/>
        <v>0.43799999999999994</v>
      </c>
      <c r="DR170" s="2">
        <f t="shared" si="120"/>
        <v>0.47449999999999998</v>
      </c>
      <c r="DS170" s="2">
        <f t="shared" si="105"/>
        <v>0.06</v>
      </c>
      <c r="DT170" s="2">
        <f t="shared" si="106"/>
        <v>7.1999999999999995E-2</v>
      </c>
      <c r="DW170" s="111">
        <f t="shared" si="119"/>
        <v>150</v>
      </c>
      <c r="DX170" s="112">
        <v>7.4999999999999997E-2</v>
      </c>
      <c r="DY170" s="88">
        <f t="shared" si="125"/>
        <v>0</v>
      </c>
      <c r="DZ170" s="88">
        <f t="shared" si="125"/>
        <v>0</v>
      </c>
      <c r="EA170" s="122">
        <v>0.77</v>
      </c>
      <c r="EB170" s="113">
        <f t="shared" si="111"/>
        <v>0.56210000000000004</v>
      </c>
      <c r="EC170" s="74">
        <f>0.59*K170</f>
        <v>4.4249999999999998</v>
      </c>
      <c r="ED170" s="6"/>
      <c r="EE170" s="92">
        <v>0</v>
      </c>
      <c r="EF170" s="92"/>
      <c r="EG170" s="204">
        <v>0.18</v>
      </c>
      <c r="EH170" s="145">
        <f>125*K170/10</f>
        <v>93.75</v>
      </c>
      <c r="EI170" s="82">
        <f>IF(AR170="","",AR170*BL170)</f>
        <v>38.389175824175823</v>
      </c>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125">
        <v>4.1500000000000002E-2</v>
      </c>
      <c r="FH170" s="125">
        <v>0.88500000000000001</v>
      </c>
      <c r="FI170" s="6">
        <v>56.21</v>
      </c>
      <c r="FJ170" s="6">
        <v>1.22</v>
      </c>
      <c r="FK170" s="7">
        <f>SUM(FI170:FJ170)/100*K170</f>
        <v>4.3072499999999998</v>
      </c>
      <c r="FL170" s="6"/>
      <c r="FM170" s="80">
        <f t="shared" si="99"/>
        <v>0.38509812870835242</v>
      </c>
      <c r="FN170" s="80">
        <f t="shared" si="100"/>
        <v>0.29484253765403928</v>
      </c>
      <c r="FO170" s="115">
        <f t="shared" si="101"/>
        <v>1.3061145510835914</v>
      </c>
      <c r="FP170" s="115">
        <f t="shared" si="102"/>
        <v>5.6709265175718858E-2</v>
      </c>
      <c r="FQ170" s="116">
        <f t="shared" si="103"/>
        <v>9.6307692307692289E-2</v>
      </c>
    </row>
    <row r="171" spans="1:204" x14ac:dyDescent="0.25">
      <c r="A171" s="61"/>
      <c r="B171" s="34" t="s">
        <v>352</v>
      </c>
      <c r="C171">
        <v>4849</v>
      </c>
      <c r="D171" s="13">
        <f>62.347*K171+3058.13</f>
        <v>3338.6914999999999</v>
      </c>
      <c r="E171" s="13">
        <f>(D171/(H171/100)-I171*6.8/(H171/100))*H171/100</f>
        <v>3141.2195000000002</v>
      </c>
      <c r="F171" s="13">
        <f>K171*115.01+1501.01</f>
        <v>2018.5550000000001</v>
      </c>
      <c r="H171" s="9">
        <v>89.31</v>
      </c>
      <c r="I171" s="9">
        <v>29.04</v>
      </c>
      <c r="J171" s="9">
        <v>7.51</v>
      </c>
      <c r="K171" s="9">
        <v>4.5</v>
      </c>
      <c r="M171" s="9">
        <v>4.3681581464555208</v>
      </c>
      <c r="N171" s="9"/>
      <c r="O171" s="9">
        <f t="shared" si="123"/>
        <v>0.96745624456679225</v>
      </c>
      <c r="P171" s="9">
        <f t="shared" si="123"/>
        <v>0.92524874815905744</v>
      </c>
      <c r="Q171" s="9">
        <f t="shared" si="123"/>
        <v>0.75544723053892215</v>
      </c>
      <c r="T171" s="9">
        <v>7.1527261132957802</v>
      </c>
      <c r="U171" s="9">
        <v>34.541396535232224</v>
      </c>
      <c r="V171" s="9">
        <v>12.488043362737804</v>
      </c>
      <c r="W171" s="9">
        <v>2.7739398448294184</v>
      </c>
      <c r="X171" s="9">
        <v>33.319162503985552</v>
      </c>
      <c r="AB171" s="9">
        <v>40.710000000000008</v>
      </c>
      <c r="AC171" s="9">
        <v>70</v>
      </c>
      <c r="AD171" s="9">
        <v>43.692400000000006</v>
      </c>
      <c r="AF171" s="131">
        <f t="shared" si="126"/>
        <v>1.2339340659340658</v>
      </c>
      <c r="AG171" s="131">
        <f t="shared" si="126"/>
        <v>0.75525274725274716</v>
      </c>
      <c r="AH171" s="131">
        <f t="shared" si="126"/>
        <v>1.0850109890109891</v>
      </c>
      <c r="AI171" s="131">
        <f t="shared" si="127"/>
        <v>3.3294945054945053</v>
      </c>
      <c r="AJ171" s="131">
        <f t="shared" si="127"/>
        <v>0.81907692307692315</v>
      </c>
      <c r="AK171" s="131">
        <f t="shared" si="127"/>
        <v>0.58505494505494515</v>
      </c>
      <c r="AL171" s="131">
        <f t="shared" si="127"/>
        <v>1.4254065934065936</v>
      </c>
      <c r="AM171" s="131">
        <f t="shared" si="127"/>
        <v>1.0530989010989011</v>
      </c>
      <c r="AN171" s="131">
        <f t="shared" si="127"/>
        <v>0.22338461538461538</v>
      </c>
      <c r="AO171" s="131">
        <f t="shared" si="127"/>
        <v>1.4360439560439562</v>
      </c>
      <c r="AP171" s="131">
        <f t="shared" si="127"/>
        <v>2.0530109890109891</v>
      </c>
      <c r="AQ171" s="131">
        <f t="shared" si="127"/>
        <v>1.9360000000000002</v>
      </c>
      <c r="AR171" s="131">
        <f t="shared" si="127"/>
        <v>0.54250549450549457</v>
      </c>
      <c r="AS171" s="131">
        <f t="shared" si="127"/>
        <v>4.6272527472527472</v>
      </c>
      <c r="AT171" s="131">
        <f t="shared" si="127"/>
        <v>1.1062857142857143</v>
      </c>
      <c r="AU171" s="131">
        <f t="shared" si="127"/>
        <v>2.223208791208791</v>
      </c>
      <c r="AV171" s="131">
        <f t="shared" si="127"/>
        <v>1.255208791208791</v>
      </c>
      <c r="AW171" s="131">
        <f t="shared" si="127"/>
        <v>1.1062857142857143</v>
      </c>
      <c r="AY171">
        <v>74</v>
      </c>
      <c r="AZ171">
        <v>81</v>
      </c>
      <c r="BA171">
        <v>78</v>
      </c>
      <c r="BB171">
        <v>76</v>
      </c>
      <c r="BC171">
        <v>84</v>
      </c>
      <c r="BD171">
        <v>61</v>
      </c>
      <c r="BE171">
        <v>82</v>
      </c>
      <c r="BF171">
        <v>81</v>
      </c>
      <c r="BG171">
        <v>71</v>
      </c>
      <c r="BH171">
        <v>71</v>
      </c>
      <c r="BI171">
        <v>75</v>
      </c>
      <c r="BJ171">
        <v>79</v>
      </c>
      <c r="BK171">
        <v>69</v>
      </c>
      <c r="BL171">
        <v>73</v>
      </c>
      <c r="BM171">
        <v>81</v>
      </c>
      <c r="BN171">
        <v>64</v>
      </c>
      <c r="BO171">
        <v>74</v>
      </c>
      <c r="BP171">
        <v>77</v>
      </c>
      <c r="BQ171">
        <v>81</v>
      </c>
      <c r="BS171">
        <v>0.12</v>
      </c>
      <c r="BU171">
        <v>0.9</v>
      </c>
      <c r="BV171">
        <v>0.28999999999999998</v>
      </c>
      <c r="BW171">
        <v>0.22</v>
      </c>
      <c r="BX171">
        <v>0.73</v>
      </c>
      <c r="BY171">
        <v>0.66</v>
      </c>
      <c r="CA171">
        <v>0.26</v>
      </c>
      <c r="CB171" s="9">
        <v>60</v>
      </c>
      <c r="CC171" s="9">
        <v>65</v>
      </c>
      <c r="CD171" s="144">
        <v>50</v>
      </c>
      <c r="CE171" s="144">
        <v>60</v>
      </c>
      <c r="CF171" s="9">
        <v>28.497000000000007</v>
      </c>
      <c r="CH171" s="9">
        <v>17.491199999999999</v>
      </c>
      <c r="CI171" s="131">
        <v>0.85839999999999994</v>
      </c>
      <c r="CJ171" s="131">
        <v>0.52539999999999998</v>
      </c>
      <c r="CK171" s="131">
        <v>0.73439999999999994</v>
      </c>
      <c r="CL171" s="131">
        <v>2.5665999999999998</v>
      </c>
      <c r="CM171" s="131">
        <v>0.42349999999999999</v>
      </c>
      <c r="CN171" s="131">
        <v>0.44</v>
      </c>
      <c r="CO171" s="131">
        <v>0.79190000000000005</v>
      </c>
      <c r="CP171" s="131">
        <v>1.0452000000000001</v>
      </c>
      <c r="CQ171" s="131">
        <v>1.8564000000000003</v>
      </c>
      <c r="CR171" s="131">
        <v>0.63359999999999994</v>
      </c>
      <c r="CS171" s="131">
        <v>0.13229999999999997</v>
      </c>
      <c r="CT171" s="131">
        <v>0.95850000000000013</v>
      </c>
      <c r="CU171" s="47"/>
      <c r="CV171" s="2">
        <v>20.2242</v>
      </c>
      <c r="CW171" s="2">
        <f t="shared" si="81"/>
        <v>0.99948659340659329</v>
      </c>
      <c r="CX171" s="2">
        <f t="shared" si="82"/>
        <v>0.58909714285714276</v>
      </c>
      <c r="CY171" s="2">
        <f t="shared" si="83"/>
        <v>0.82460835164835178</v>
      </c>
      <c r="CZ171" s="2">
        <f t="shared" si="84"/>
        <v>2.7967753846153847</v>
      </c>
      <c r="DA171" s="2">
        <f t="shared" si="85"/>
        <v>0.49963692307692315</v>
      </c>
      <c r="DB171" s="2">
        <f t="shared" si="86"/>
        <v>0.47974505494505498</v>
      </c>
      <c r="DC171" s="2">
        <f t="shared" si="104"/>
        <v>0.87577406593406604</v>
      </c>
      <c r="DD171" s="2">
        <f t="shared" si="91"/>
        <v>1.1545793406593408</v>
      </c>
      <c r="DE171" s="2">
        <f t="shared" si="118"/>
        <v>2.0506707692307691</v>
      </c>
      <c r="DF171" s="2">
        <f t="shared" si="92"/>
        <v>0.74770021978021983</v>
      </c>
      <c r="DG171" s="2">
        <f t="shared" si="93"/>
        <v>0.1586030769230769</v>
      </c>
      <c r="DH171" s="2">
        <f t="shared" si="94"/>
        <v>1.0770329670329672</v>
      </c>
      <c r="DI171" s="2">
        <f t="shared" si="124"/>
        <v>1.6218786813186812</v>
      </c>
      <c r="DJ171" s="2">
        <f t="shared" si="124"/>
        <v>1.3358400000000001</v>
      </c>
      <c r="DK171" s="2">
        <f t="shared" si="124"/>
        <v>0.396029010989011</v>
      </c>
      <c r="DL171" s="2">
        <f t="shared" si="124"/>
        <v>3.7480747252747251</v>
      </c>
      <c r="DM171" s="2">
        <f t="shared" si="124"/>
        <v>0.70802285714285718</v>
      </c>
      <c r="DN171" s="2">
        <f t="shared" si="124"/>
        <v>1.6451745054945053</v>
      </c>
      <c r="DO171" s="2">
        <f t="shared" si="124"/>
        <v>0.96651076923076917</v>
      </c>
      <c r="DP171" s="2">
        <f t="shared" si="124"/>
        <v>0.89609142857142854</v>
      </c>
      <c r="DQ171" s="2">
        <f t="shared" si="88"/>
        <v>0.43799999999999994</v>
      </c>
      <c r="DR171" s="2">
        <f t="shared" si="120"/>
        <v>0.47449999999999998</v>
      </c>
      <c r="DS171" s="2">
        <f t="shared" si="105"/>
        <v>0.06</v>
      </c>
      <c r="DT171" s="2">
        <f t="shared" si="106"/>
        <v>7.1999999999999995E-2</v>
      </c>
      <c r="DW171" s="111">
        <f t="shared" si="119"/>
        <v>150</v>
      </c>
      <c r="DX171" s="112">
        <v>7.4999999999999997E-2</v>
      </c>
      <c r="DY171" s="88">
        <f t="shared" si="125"/>
        <v>0</v>
      </c>
      <c r="DZ171" s="88">
        <f t="shared" si="125"/>
        <v>0</v>
      </c>
      <c r="EA171" s="122">
        <v>0.77</v>
      </c>
      <c r="EB171" s="113">
        <f t="shared" si="111"/>
        <v>0.56210000000000004</v>
      </c>
      <c r="EC171" s="74">
        <f>0.59*K171</f>
        <v>2.6549999999999998</v>
      </c>
      <c r="ED171" s="6"/>
      <c r="EE171" s="92">
        <v>0</v>
      </c>
      <c r="EF171" s="92"/>
      <c r="EG171" s="204">
        <v>0.18</v>
      </c>
      <c r="EH171" s="145">
        <f>125*K171/10</f>
        <v>56.25</v>
      </c>
      <c r="EI171" s="82">
        <f>IF(AR171="","",AR171*BL171)</f>
        <v>39.6029010989011</v>
      </c>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125">
        <v>4.1500000000000002E-2</v>
      </c>
      <c r="FH171" s="125">
        <v>0.88500000000000001</v>
      </c>
      <c r="FI171" s="6">
        <v>56.21</v>
      </c>
      <c r="FJ171" s="6">
        <v>1.22</v>
      </c>
      <c r="FK171" s="7">
        <f>SUM(FI171:FJ171)/100*K171</f>
        <v>2.5843500000000001</v>
      </c>
      <c r="FL171" s="6"/>
      <c r="FM171" s="80">
        <f t="shared" si="99"/>
        <v>0.38509812870835242</v>
      </c>
      <c r="FN171" s="80">
        <f t="shared" si="100"/>
        <v>0.29484253765403928</v>
      </c>
      <c r="FO171" s="115">
        <f t="shared" si="101"/>
        <v>1.3061145510835914</v>
      </c>
      <c r="FP171" s="115">
        <f t="shared" si="102"/>
        <v>5.6709265175718844E-2</v>
      </c>
      <c r="FQ171" s="116">
        <f t="shared" si="103"/>
        <v>9.6307692307692316E-2</v>
      </c>
    </row>
    <row r="172" spans="1:204" hidden="1" x14ac:dyDescent="0.25">
      <c r="B172" s="263" t="s">
        <v>451</v>
      </c>
      <c r="D172" s="88"/>
      <c r="E172" s="88">
        <v>3590</v>
      </c>
      <c r="F172" s="88">
        <v>2212</v>
      </c>
      <c r="H172" s="9">
        <v>95.76</v>
      </c>
      <c r="I172" s="91">
        <v>70.59</v>
      </c>
      <c r="J172" s="92">
        <v>7</v>
      </c>
      <c r="K172" s="92">
        <v>1.43</v>
      </c>
      <c r="U172" s="9">
        <v>19.5</v>
      </c>
      <c r="V172" s="9">
        <v>9.75</v>
      </c>
      <c r="W172" s="9">
        <v>0.88</v>
      </c>
      <c r="AF172" s="131">
        <v>4.47</v>
      </c>
      <c r="AG172" s="131">
        <v>1.74</v>
      </c>
      <c r="AH172" s="132">
        <v>3.57</v>
      </c>
      <c r="AI172" s="132">
        <v>5.71</v>
      </c>
      <c r="AJ172" s="132">
        <v>4.12</v>
      </c>
      <c r="AK172" s="133">
        <v>1.02</v>
      </c>
      <c r="AL172" s="131">
        <v>3.7</v>
      </c>
      <c r="AM172" s="132">
        <v>2.78</v>
      </c>
      <c r="AN172" s="132">
        <v>1</v>
      </c>
      <c r="AO172" s="132">
        <v>3.62</v>
      </c>
      <c r="AP172" s="132">
        <v>1.1299999999999999</v>
      </c>
      <c r="AQ172" s="132"/>
      <c r="AR172" s="132"/>
      <c r="AS172" s="132"/>
      <c r="AT172" s="132"/>
      <c r="AU172" s="132"/>
      <c r="AV172" s="132"/>
      <c r="AW172" s="131"/>
      <c r="AY172">
        <v>70.59</v>
      </c>
      <c r="AZ172">
        <v>95.3</v>
      </c>
      <c r="BA172">
        <v>89.66</v>
      </c>
      <c r="BB172" s="104">
        <v>89.08</v>
      </c>
      <c r="BC172" s="104">
        <v>88.09</v>
      </c>
      <c r="BD172" s="104">
        <v>86.65</v>
      </c>
      <c r="BE172" s="82">
        <v>90.2</v>
      </c>
      <c r="BF172" s="2">
        <v>89.73</v>
      </c>
      <c r="BG172" s="104">
        <v>84.89</v>
      </c>
      <c r="BH172" s="104">
        <v>92</v>
      </c>
      <c r="BI172" s="104">
        <v>86.74</v>
      </c>
      <c r="BJ172" s="104"/>
      <c r="BK172" s="104"/>
      <c r="BL172" s="82">
        <v>77.88</v>
      </c>
      <c r="BM172" s="82"/>
      <c r="BN172" s="82"/>
      <c r="BO172" s="82"/>
      <c r="BP172" s="82"/>
      <c r="BQ172" s="2"/>
      <c r="BS172" s="91">
        <v>0.19</v>
      </c>
      <c r="BT172" s="6"/>
      <c r="BU172" s="92">
        <v>0.2</v>
      </c>
      <c r="BV172">
        <v>0.05</v>
      </c>
      <c r="BW172" s="92"/>
      <c r="BX172" s="91">
        <v>0.38</v>
      </c>
      <c r="BY172">
        <v>0.82</v>
      </c>
      <c r="CB172" s="9"/>
      <c r="CC172" s="9">
        <v>89.47</v>
      </c>
      <c r="CH172" s="9"/>
      <c r="CI172" s="131"/>
      <c r="CJ172" s="131"/>
      <c r="CK172" s="131"/>
      <c r="CL172" s="131"/>
      <c r="CM172" s="131"/>
      <c r="CN172" s="131"/>
      <c r="CO172" s="131"/>
      <c r="CP172" s="131"/>
      <c r="CQ172" s="131"/>
      <c r="CR172" s="131"/>
      <c r="CS172" s="131"/>
      <c r="CT172" s="131"/>
      <c r="CV172" s="2"/>
      <c r="CW172" s="2">
        <f t="shared" ref="CW172:DB172" si="128">AF172*AZ172/100</f>
        <v>4.2599099999999996</v>
      </c>
      <c r="CX172" s="2">
        <f t="shared" si="128"/>
        <v>1.560084</v>
      </c>
      <c r="CY172" s="2">
        <f t="shared" si="128"/>
        <v>3.1801560000000002</v>
      </c>
      <c r="CZ172" s="2">
        <f t="shared" si="128"/>
        <v>5.0299389999999997</v>
      </c>
      <c r="DA172" s="2">
        <f t="shared" si="128"/>
        <v>3.5699800000000006</v>
      </c>
      <c r="DB172" s="2">
        <f t="shared" si="128"/>
        <v>0.92004000000000008</v>
      </c>
      <c r="DC172" s="2">
        <f>(AK172*BE172+BL172*AR172)/100</f>
        <v>0.92004000000000008</v>
      </c>
      <c r="DD172" s="2">
        <f>AL172*BF172/100</f>
        <v>3.3200100000000003</v>
      </c>
      <c r="DE172" s="2">
        <f>DD172+BQ172*AW172/100</f>
        <v>3.3200100000000003</v>
      </c>
      <c r="DF172" s="2">
        <f>AM172*BG172/100</f>
        <v>2.3599419999999998</v>
      </c>
      <c r="DG172" s="2">
        <f>AN172*BH172/100</f>
        <v>0.92</v>
      </c>
      <c r="DH172" s="2">
        <f t="shared" ref="DH172:DH198" si="129">AO172*BI172/100</f>
        <v>3.1399880000000002</v>
      </c>
      <c r="DI172" s="2">
        <f t="shared" ref="DI172:DI198" si="130">AP172*BJ172/100</f>
        <v>0</v>
      </c>
      <c r="DJ172" s="2">
        <f t="shared" ref="DJ172:DJ198" si="131">AQ172*BK172/100</f>
        <v>0</v>
      </c>
      <c r="DK172" s="2">
        <f t="shared" ref="DK172:DK198" si="132">AR172*BL172/100</f>
        <v>0</v>
      </c>
      <c r="DL172" s="2">
        <f t="shared" ref="DL172:DL198" si="133">AS172*BM172/100</f>
        <v>0</v>
      </c>
      <c r="DM172" s="2">
        <f t="shared" ref="DM172:DM198" si="134">AT172*BN172/100</f>
        <v>0</v>
      </c>
      <c r="DN172" s="2">
        <f t="shared" ref="DN172:DN198" si="135">AU172*BO172/100</f>
        <v>0</v>
      </c>
      <c r="DO172" s="2">
        <f t="shared" ref="DO172:DO198" si="136">AV172*BP172/100</f>
        <v>0</v>
      </c>
      <c r="DP172" s="2">
        <f t="shared" ref="DP172:DP198" si="137">AW172*BQ172/100</f>
        <v>0</v>
      </c>
      <c r="DQ172" s="2">
        <f t="shared" si="88"/>
        <v>0</v>
      </c>
      <c r="DR172" s="2">
        <f t="shared" si="120"/>
        <v>0.33998600000000001</v>
      </c>
      <c r="DS172" s="2">
        <f t="shared" si="105"/>
        <v>0</v>
      </c>
      <c r="DT172" s="2">
        <f t="shared" si="106"/>
        <v>0</v>
      </c>
      <c r="DV172" s="110"/>
      <c r="DW172" s="111">
        <f>DX172*2000</f>
        <v>1312</v>
      </c>
      <c r="DX172" s="112">
        <v>0.65600000000000003</v>
      </c>
      <c r="DY172" s="94"/>
      <c r="DZ172" s="94"/>
      <c r="EA172" s="126">
        <v>0.89</v>
      </c>
      <c r="EB172" s="113">
        <f t="shared" si="111"/>
        <v>0.3382</v>
      </c>
      <c r="EC172" s="92"/>
      <c r="ED172" s="92"/>
      <c r="EE172" s="92"/>
      <c r="EF172" s="92"/>
      <c r="EG172" s="204"/>
      <c r="EH172" s="92"/>
      <c r="EI172" s="82">
        <v>0.77</v>
      </c>
      <c r="EJ172" s="6"/>
      <c r="EK172" s="120"/>
      <c r="EL172" s="120"/>
      <c r="EM172" s="120"/>
      <c r="EN172" s="120"/>
      <c r="EO172" s="6"/>
      <c r="EP172" s="6"/>
      <c r="EQ172" s="6"/>
      <c r="ER172" s="6"/>
      <c r="ES172" s="6"/>
      <c r="ET172" s="6"/>
      <c r="EU172" s="6"/>
      <c r="EV172" s="6"/>
      <c r="EW172" s="6"/>
      <c r="EX172" s="6"/>
      <c r="EY172" s="6"/>
      <c r="EZ172" s="6"/>
      <c r="FA172" s="6"/>
      <c r="FB172" s="6"/>
      <c r="FC172" s="6"/>
      <c r="FD172" s="6"/>
      <c r="FE172" s="6"/>
      <c r="FF172" s="6"/>
      <c r="FG172" s="6"/>
      <c r="FH172" s="6">
        <v>95.76</v>
      </c>
      <c r="FI172" s="6"/>
      <c r="FJ172" s="6"/>
      <c r="FK172" s="6"/>
      <c r="FL172" s="6"/>
      <c r="FM172" s="80">
        <f t="shared" si="99"/>
        <v>0.62425965801970962</v>
      </c>
      <c r="FN172" s="80">
        <f t="shared" si="100"/>
        <v>0.63224544074987798</v>
      </c>
      <c r="FO172" s="115">
        <f t="shared" si="101"/>
        <v>0.98736917308459082</v>
      </c>
      <c r="FP172" s="115">
        <f t="shared" si="102"/>
        <v>0.18290480262285488</v>
      </c>
      <c r="FQ172" s="116">
        <f t="shared" si="103"/>
        <v>7.1255687774472304E-2</v>
      </c>
    </row>
    <row r="173" spans="1:204" hidden="1" x14ac:dyDescent="0.25">
      <c r="B173" s="263" t="s">
        <v>458</v>
      </c>
      <c r="D173" s="88"/>
      <c r="E173" s="88">
        <v>3617</v>
      </c>
      <c r="F173" s="88">
        <v>2273</v>
      </c>
      <c r="H173" s="9">
        <v>93</v>
      </c>
      <c r="I173" s="106">
        <v>56</v>
      </c>
      <c r="J173" s="97">
        <v>4</v>
      </c>
      <c r="K173" s="97">
        <v>3</v>
      </c>
      <c r="M173" s="9">
        <v>7</v>
      </c>
      <c r="S173">
        <v>1</v>
      </c>
      <c r="T173">
        <v>0.6</v>
      </c>
      <c r="U173">
        <v>9.1999999999999993</v>
      </c>
      <c r="V173">
        <v>5.8</v>
      </c>
      <c r="Y173">
        <v>11</v>
      </c>
      <c r="Z173">
        <v>5.7</v>
      </c>
      <c r="AF173" s="131">
        <v>3.97</v>
      </c>
      <c r="AG173" s="131">
        <v>1.47</v>
      </c>
      <c r="AH173" s="132">
        <v>2.75</v>
      </c>
      <c r="AI173" s="132">
        <v>4.32</v>
      </c>
      <c r="AJ173" s="132">
        <v>3.45</v>
      </c>
      <c r="AK173" s="133">
        <v>0.77</v>
      </c>
      <c r="AL173" s="132">
        <v>2.9</v>
      </c>
      <c r="AM173" s="132">
        <v>2.1800000000000002</v>
      </c>
      <c r="AN173" s="132">
        <v>0.77</v>
      </c>
      <c r="AO173" s="132">
        <v>2.82</v>
      </c>
      <c r="AP173" s="132">
        <v>2.41</v>
      </c>
      <c r="AQ173" s="132">
        <v>6.34</v>
      </c>
      <c r="AR173" s="132">
        <v>0.82</v>
      </c>
      <c r="AS173" s="132">
        <v>9.92</v>
      </c>
      <c r="AT173" s="132">
        <v>2.37</v>
      </c>
      <c r="AU173" s="132">
        <v>2.87</v>
      </c>
      <c r="AV173" s="132">
        <v>2.4300000000000002</v>
      </c>
      <c r="AW173" s="132">
        <v>2.0299999999999998</v>
      </c>
      <c r="AY173" s="214">
        <v>88.6</v>
      </c>
      <c r="AZ173" s="210">
        <v>95.1</v>
      </c>
      <c r="BA173" s="215">
        <v>88.4</v>
      </c>
      <c r="BB173" s="215">
        <v>88.3</v>
      </c>
      <c r="BC173" s="215">
        <v>88.8</v>
      </c>
      <c r="BD173" s="215">
        <v>87.1</v>
      </c>
      <c r="BE173" s="216">
        <v>90.6</v>
      </c>
      <c r="BF173" s="214">
        <v>89.8</v>
      </c>
      <c r="BG173" s="215">
        <v>85.1</v>
      </c>
      <c r="BH173" s="215">
        <v>88.6</v>
      </c>
      <c r="BI173" s="215">
        <v>88.7</v>
      </c>
      <c r="BJ173" s="215">
        <v>87.5</v>
      </c>
      <c r="BK173" s="215">
        <v>87.9</v>
      </c>
      <c r="BL173" s="216">
        <v>84.1</v>
      </c>
      <c r="BM173" s="216">
        <v>90.6</v>
      </c>
      <c r="BN173" s="216">
        <v>90.7</v>
      </c>
      <c r="BO173" s="216">
        <v>91.2</v>
      </c>
      <c r="BP173" s="216">
        <v>91</v>
      </c>
      <c r="BQ173" s="214">
        <v>89.6</v>
      </c>
      <c r="BS173" s="133">
        <v>0.35</v>
      </c>
      <c r="BT173" s="131">
        <v>0.1</v>
      </c>
      <c r="BU173" s="135">
        <v>2.5</v>
      </c>
      <c r="BV173" s="131">
        <v>0.35</v>
      </c>
      <c r="BW173" s="135">
        <v>0.02</v>
      </c>
      <c r="BX173" s="133">
        <v>0.75</v>
      </c>
      <c r="BY173" s="131">
        <v>0.45</v>
      </c>
      <c r="CB173" s="9"/>
      <c r="CC173" s="9">
        <v>59.8</v>
      </c>
      <c r="CH173" s="9">
        <v>56</v>
      </c>
      <c r="CI173" s="131"/>
      <c r="CJ173" s="131"/>
      <c r="CK173" s="131"/>
      <c r="CL173" s="131"/>
      <c r="CM173" s="131"/>
      <c r="CN173" s="131"/>
      <c r="CO173" s="131"/>
      <c r="CP173" s="131"/>
      <c r="CQ173" s="131"/>
      <c r="CR173" s="131"/>
      <c r="CS173" s="131"/>
      <c r="CT173" s="131"/>
      <c r="CV173" s="2">
        <f>I173*AY173/100</f>
        <v>49.615999999999993</v>
      </c>
      <c r="CW173" s="2">
        <f t="shared" si="81"/>
        <v>3.7754699999999999</v>
      </c>
      <c r="CX173" s="2">
        <f t="shared" ref="CX173:CX187" si="138">AG173*BA173/100</f>
        <v>1.29948</v>
      </c>
      <c r="CY173" s="2">
        <f t="shared" si="83"/>
        <v>2.4282499999999998</v>
      </c>
      <c r="CZ173" s="2">
        <f t="shared" si="84"/>
        <v>3.83616</v>
      </c>
      <c r="DA173" s="2">
        <f t="shared" si="85"/>
        <v>3.00495</v>
      </c>
      <c r="DB173" s="2">
        <f t="shared" si="86"/>
        <v>0.69762000000000002</v>
      </c>
      <c r="DC173" s="2">
        <f t="shared" si="104"/>
        <v>1.3872399999999998</v>
      </c>
      <c r="DD173" s="2">
        <f t="shared" si="91"/>
        <v>2.6041999999999996</v>
      </c>
      <c r="DE173" s="2">
        <f t="shared" si="118"/>
        <v>4.4230799999999997</v>
      </c>
      <c r="DF173" s="2">
        <f t="shared" si="92"/>
        <v>1.8551800000000001</v>
      </c>
      <c r="DG173" s="2">
        <f t="shared" si="93"/>
        <v>0.68221999999999994</v>
      </c>
      <c r="DH173" s="2">
        <f t="shared" si="129"/>
        <v>2.5013399999999999</v>
      </c>
      <c r="DI173" s="2">
        <f t="shared" si="130"/>
        <v>2.1087500000000001</v>
      </c>
      <c r="DJ173" s="2">
        <f t="shared" si="131"/>
        <v>5.5728600000000004</v>
      </c>
      <c r="DK173" s="2">
        <f t="shared" si="132"/>
        <v>0.6896199999999999</v>
      </c>
      <c r="DL173" s="2">
        <f t="shared" si="133"/>
        <v>8.98752</v>
      </c>
      <c r="DM173" s="2">
        <f t="shared" si="134"/>
        <v>2.1495899999999999</v>
      </c>
      <c r="DN173" s="2">
        <f t="shared" si="135"/>
        <v>2.6174400000000002</v>
      </c>
      <c r="DO173" s="2">
        <f t="shared" si="136"/>
        <v>2.2113</v>
      </c>
      <c r="DP173" s="2">
        <f t="shared" si="137"/>
        <v>1.8188799999999998</v>
      </c>
      <c r="DQ173" s="2">
        <f t="shared" si="88"/>
        <v>0</v>
      </c>
      <c r="DR173" s="2">
        <f t="shared" si="120"/>
        <v>0.44849999999999995</v>
      </c>
      <c r="DS173" s="2">
        <f t="shared" si="105"/>
        <v>0</v>
      </c>
      <c r="DT173" s="2">
        <f t="shared" si="106"/>
        <v>0</v>
      </c>
      <c r="DV173" s="110"/>
      <c r="DW173" s="217">
        <f t="shared" si="119"/>
        <v>1000</v>
      </c>
      <c r="DX173" s="218">
        <v>0.5</v>
      </c>
      <c r="DY173" s="94"/>
      <c r="DZ173" s="94"/>
      <c r="EA173" s="69">
        <v>0.4</v>
      </c>
      <c r="EB173" s="91">
        <f t="shared" si="111"/>
        <v>0.30000000000000004</v>
      </c>
      <c r="EC173" s="92"/>
      <c r="ED173" s="92"/>
      <c r="EE173" s="92"/>
      <c r="EF173" s="92"/>
      <c r="EG173" s="219">
        <f>BX173*0.662</f>
        <v>0.49650000000000005</v>
      </c>
      <c r="EH173" s="92"/>
      <c r="EI173" s="220"/>
      <c r="EJ173" s="6"/>
      <c r="EK173" s="221"/>
      <c r="EL173" s="221"/>
      <c r="EM173" s="221"/>
      <c r="EN173" s="221"/>
      <c r="EO173" s="221"/>
      <c r="EP173" s="221"/>
      <c r="EQ173" s="221"/>
      <c r="ER173" s="6"/>
      <c r="ES173" s="6"/>
      <c r="ET173" s="6"/>
      <c r="EU173" s="6"/>
      <c r="EV173" s="6"/>
      <c r="EW173" s="6"/>
      <c r="EX173" s="6"/>
      <c r="EY173" s="6"/>
      <c r="EZ173" s="6"/>
      <c r="FA173" s="6"/>
      <c r="FB173" s="6"/>
      <c r="FC173" s="6"/>
      <c r="FD173" s="117"/>
      <c r="FE173" s="6"/>
      <c r="FF173" s="6"/>
      <c r="FG173" s="6"/>
      <c r="FH173" s="6">
        <v>93</v>
      </c>
      <c r="FI173" s="6"/>
      <c r="FJ173" s="6"/>
      <c r="FK173" s="6"/>
      <c r="FL173" s="6"/>
      <c r="FM173" s="200">
        <f t="shared" si="99"/>
        <v>0.65204266766766761</v>
      </c>
      <c r="FN173" s="200">
        <f t="shared" si="100"/>
        <v>0.6329897605939272</v>
      </c>
      <c r="FO173" s="191">
        <f t="shared" si="101"/>
        <v>1.0300998661587564</v>
      </c>
      <c r="FP173" s="191">
        <f t="shared" si="102"/>
        <v>0.17783929763096429</v>
      </c>
      <c r="FQ173" s="194">
        <f t="shared" si="103"/>
        <v>6.8502857142857143E-2</v>
      </c>
    </row>
    <row r="174" spans="1:204" hidden="1" x14ac:dyDescent="0.25">
      <c r="B174" s="263" t="s">
        <v>415</v>
      </c>
      <c r="D174" s="90"/>
      <c r="E174" s="90">
        <v>2706</v>
      </c>
      <c r="F174" s="89">
        <f>E174*0.77</f>
        <v>2083.62</v>
      </c>
      <c r="H174" s="9"/>
      <c r="I174" s="106">
        <v>118.75</v>
      </c>
      <c r="J174" s="97"/>
      <c r="K174" s="97"/>
      <c r="AF174" s="131"/>
      <c r="AG174" s="131"/>
      <c r="AH174" s="132"/>
      <c r="AI174" s="132"/>
      <c r="AJ174" s="132"/>
      <c r="AK174" s="133"/>
      <c r="AL174" s="131"/>
      <c r="AM174" s="132"/>
      <c r="AN174" s="132"/>
      <c r="AO174" s="132"/>
      <c r="AP174" s="132"/>
      <c r="AQ174" s="132"/>
      <c r="AR174" s="132"/>
      <c r="AS174" s="132"/>
      <c r="AT174" s="132">
        <v>99</v>
      </c>
      <c r="AU174" s="132"/>
      <c r="AV174" s="132"/>
      <c r="AW174" s="131"/>
      <c r="AY174" s="137"/>
      <c r="AZ174" s="137"/>
      <c r="BA174" s="137"/>
      <c r="BB174" s="138"/>
      <c r="BC174" s="138"/>
      <c r="BD174" s="138"/>
      <c r="BE174" s="139"/>
      <c r="BF174" s="137"/>
      <c r="BG174" s="138"/>
      <c r="BH174" s="138"/>
      <c r="BI174" s="138"/>
      <c r="BJ174" s="138"/>
      <c r="BK174" s="138"/>
      <c r="BL174" s="139"/>
      <c r="BM174" s="139"/>
      <c r="BN174" s="140">
        <v>100</v>
      </c>
      <c r="BO174" s="139"/>
      <c r="BP174" s="139"/>
      <c r="BQ174" s="137"/>
      <c r="BS174" s="133"/>
      <c r="BT174" s="131"/>
      <c r="BU174" s="135"/>
      <c r="BV174" s="131"/>
      <c r="BW174" s="135"/>
      <c r="BX174" s="133"/>
      <c r="BY174" s="131"/>
      <c r="CB174" s="9"/>
      <c r="CC174" s="9"/>
      <c r="CH174" s="9"/>
      <c r="CI174" s="131"/>
      <c r="CJ174" s="131"/>
      <c r="CK174" s="131"/>
      <c r="CL174" s="131"/>
      <c r="CM174" s="131"/>
      <c r="CN174" s="131"/>
      <c r="CO174" s="131"/>
      <c r="CP174" s="131"/>
      <c r="CQ174" s="131"/>
      <c r="CR174" s="131"/>
      <c r="CS174" s="131"/>
      <c r="CT174" s="131"/>
      <c r="CV174" s="2"/>
      <c r="CW174" s="2">
        <f t="shared" si="81"/>
        <v>0</v>
      </c>
      <c r="CX174" s="2">
        <f t="shared" si="138"/>
        <v>0</v>
      </c>
      <c r="CY174" s="2">
        <f t="shared" si="83"/>
        <v>0</v>
      </c>
      <c r="CZ174" s="2">
        <f t="shared" si="84"/>
        <v>0</v>
      </c>
      <c r="DA174" s="2">
        <f t="shared" si="85"/>
        <v>0</v>
      </c>
      <c r="DB174" s="2">
        <f t="shared" si="86"/>
        <v>0</v>
      </c>
      <c r="DC174" s="2">
        <f t="shared" si="104"/>
        <v>0</v>
      </c>
      <c r="DD174" s="2">
        <f t="shared" si="91"/>
        <v>0</v>
      </c>
      <c r="DE174" s="2">
        <f t="shared" si="118"/>
        <v>0</v>
      </c>
      <c r="DF174" s="2">
        <f t="shared" si="92"/>
        <v>0</v>
      </c>
      <c r="DG174" s="2">
        <f t="shared" si="93"/>
        <v>0</v>
      </c>
      <c r="DH174" s="2">
        <f t="shared" si="129"/>
        <v>0</v>
      </c>
      <c r="DI174" s="2">
        <f t="shared" si="130"/>
        <v>0</v>
      </c>
      <c r="DJ174" s="2">
        <f t="shared" si="131"/>
        <v>0</v>
      </c>
      <c r="DK174" s="2">
        <f t="shared" si="132"/>
        <v>0</v>
      </c>
      <c r="DL174" s="2">
        <f t="shared" si="133"/>
        <v>0</v>
      </c>
      <c r="DM174" s="2">
        <f t="shared" si="134"/>
        <v>99</v>
      </c>
      <c r="DN174" s="2">
        <f t="shared" si="135"/>
        <v>0</v>
      </c>
      <c r="DO174" s="2">
        <f t="shared" si="136"/>
        <v>0</v>
      </c>
      <c r="DP174" s="2">
        <f t="shared" si="137"/>
        <v>0</v>
      </c>
      <c r="DQ174" s="2">
        <f t="shared" si="88"/>
        <v>0</v>
      </c>
      <c r="DR174" s="2">
        <f t="shared" si="120"/>
        <v>0</v>
      </c>
      <c r="DS174" s="2">
        <f t="shared" si="105"/>
        <v>0</v>
      </c>
      <c r="DT174" s="2">
        <f t="shared" si="106"/>
        <v>0</v>
      </c>
      <c r="DV174" s="110"/>
      <c r="DW174" s="111">
        <f t="shared" si="119"/>
        <v>0</v>
      </c>
      <c r="DX174" s="112"/>
      <c r="DY174" s="94"/>
      <c r="DZ174" s="94"/>
      <c r="EA174" s="81"/>
      <c r="EB174" s="113">
        <f t="shared" si="111"/>
        <v>0</v>
      </c>
      <c r="EC174" s="92"/>
      <c r="ED174" s="92"/>
      <c r="EE174" s="92"/>
      <c r="EF174" s="92"/>
      <c r="EG174" s="204"/>
      <c r="EH174" s="92"/>
      <c r="EI174" s="82"/>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80" t="e">
        <f t="shared" si="99"/>
        <v>#DIV/0!</v>
      </c>
      <c r="FN174" s="80" t="e">
        <f t="shared" si="100"/>
        <v>#DIV/0!</v>
      </c>
      <c r="FO174" s="115" t="e">
        <f t="shared" si="101"/>
        <v>#DIV/0!</v>
      </c>
      <c r="FP174" s="115" t="e">
        <f t="shared" si="102"/>
        <v>#DIV/0!</v>
      </c>
      <c r="FQ174" s="116">
        <f t="shared" si="103"/>
        <v>0</v>
      </c>
    </row>
    <row r="175" spans="1:204" hidden="1" x14ac:dyDescent="0.25">
      <c r="B175" s="263" t="s">
        <v>393</v>
      </c>
      <c r="D175" s="88">
        <v>3200</v>
      </c>
      <c r="E175" s="88">
        <v>3056</v>
      </c>
      <c r="F175" s="88">
        <v>2332</v>
      </c>
      <c r="H175" s="9"/>
      <c r="I175" s="106">
        <v>22.1</v>
      </c>
      <c r="J175" s="97">
        <v>0.2</v>
      </c>
      <c r="K175" s="97">
        <v>2.7</v>
      </c>
      <c r="N175">
        <v>41.1</v>
      </c>
      <c r="AF175" s="131"/>
      <c r="AG175" s="131"/>
      <c r="AH175" s="132"/>
      <c r="AI175" s="132"/>
      <c r="AJ175" s="132"/>
      <c r="AK175" s="133"/>
      <c r="AL175" s="131"/>
      <c r="AM175" s="132"/>
      <c r="AN175" s="132"/>
      <c r="AO175" s="132"/>
      <c r="AP175" s="132"/>
      <c r="AQ175" s="132"/>
      <c r="AR175" s="132"/>
      <c r="AS175" s="132"/>
      <c r="AT175" s="132"/>
      <c r="AU175" s="132"/>
      <c r="AV175" s="132"/>
      <c r="AW175" s="131"/>
      <c r="AY175" s="137"/>
      <c r="AZ175" s="137"/>
      <c r="BA175" s="137"/>
      <c r="BB175" s="138"/>
      <c r="BC175" s="138"/>
      <c r="BD175" s="138"/>
      <c r="BE175" s="139"/>
      <c r="BF175" s="137"/>
      <c r="BG175" s="138"/>
      <c r="BH175" s="138"/>
      <c r="BI175" s="138"/>
      <c r="BJ175" s="138"/>
      <c r="BK175" s="138"/>
      <c r="BL175" s="139"/>
      <c r="BM175" s="139"/>
      <c r="BN175" s="139"/>
      <c r="BO175" s="139"/>
      <c r="BP175" s="139"/>
      <c r="BQ175" s="137"/>
      <c r="BS175" s="133">
        <v>3.63</v>
      </c>
      <c r="BT175" s="131">
        <v>3.34</v>
      </c>
      <c r="BU175" s="135">
        <v>1.27</v>
      </c>
      <c r="BV175" s="131"/>
      <c r="BW175" s="135">
        <v>1.87</v>
      </c>
      <c r="BX175" s="133">
        <v>1.74</v>
      </c>
      <c r="BY175" s="131"/>
      <c r="CB175" s="9">
        <v>86</v>
      </c>
      <c r="CC175" s="9">
        <v>86</v>
      </c>
      <c r="CH175" s="9">
        <f>I175</f>
        <v>22.1</v>
      </c>
      <c r="CI175" s="131"/>
      <c r="CJ175" s="131">
        <v>0.35223021582733816</v>
      </c>
      <c r="CK175" s="131">
        <v>0.72517985611510793</v>
      </c>
      <c r="CL175" s="131">
        <v>1.3053237410071943</v>
      </c>
      <c r="CM175" s="131">
        <v>2.88</v>
      </c>
      <c r="CN175" s="131">
        <v>1.2120863309352519</v>
      </c>
      <c r="CO175" s="131">
        <v>1.3985611510791367</v>
      </c>
      <c r="CP175" s="131">
        <v>0</v>
      </c>
      <c r="CQ175" s="131">
        <v>0</v>
      </c>
      <c r="CR175" s="131">
        <v>1.5228776978417267</v>
      </c>
      <c r="CS175" s="131">
        <v>0.29007194244604317</v>
      </c>
      <c r="CT175" s="131">
        <v>1.1084892086330935</v>
      </c>
      <c r="CV175" s="2"/>
      <c r="CW175" s="2">
        <f t="shared" si="81"/>
        <v>0</v>
      </c>
      <c r="CX175" s="2">
        <v>0.34</v>
      </c>
      <c r="CY175" s="2">
        <v>0.7</v>
      </c>
      <c r="CZ175" s="2">
        <v>1.26</v>
      </c>
      <c r="DA175" s="2">
        <v>2.78</v>
      </c>
      <c r="DB175" s="2">
        <v>1.17</v>
      </c>
      <c r="DC175" s="2">
        <v>1.35</v>
      </c>
      <c r="DD175" s="2">
        <f t="shared" si="91"/>
        <v>0</v>
      </c>
      <c r="DE175" s="2">
        <f t="shared" si="118"/>
        <v>0</v>
      </c>
      <c r="DF175" s="2">
        <v>1.47</v>
      </c>
      <c r="DG175" s="2">
        <v>0.28000000000000003</v>
      </c>
      <c r="DH175" s="2">
        <f t="shared" si="129"/>
        <v>0</v>
      </c>
      <c r="DI175" s="2">
        <f t="shared" si="130"/>
        <v>0</v>
      </c>
      <c r="DJ175" s="2">
        <f t="shared" si="131"/>
        <v>0</v>
      </c>
      <c r="DK175" s="2">
        <f t="shared" si="132"/>
        <v>0</v>
      </c>
      <c r="DL175" s="2">
        <f t="shared" si="133"/>
        <v>0</v>
      </c>
      <c r="DM175" s="2">
        <f t="shared" si="134"/>
        <v>0</v>
      </c>
      <c r="DN175" s="2">
        <f t="shared" si="135"/>
        <v>0</v>
      </c>
      <c r="DO175" s="2">
        <f t="shared" si="136"/>
        <v>0</v>
      </c>
      <c r="DP175" s="2">
        <f t="shared" si="137"/>
        <v>0</v>
      </c>
      <c r="DQ175" s="2">
        <v>1.62</v>
      </c>
      <c r="DR175" s="2">
        <v>1.62</v>
      </c>
      <c r="DS175" s="2">
        <f t="shared" si="105"/>
        <v>0</v>
      </c>
      <c r="DT175" s="2">
        <f t="shared" si="106"/>
        <v>0</v>
      </c>
      <c r="DV175" s="110"/>
      <c r="DW175" s="111">
        <f t="shared" si="119"/>
        <v>1200</v>
      </c>
      <c r="DX175" s="112">
        <v>0.6</v>
      </c>
      <c r="DY175" s="94"/>
      <c r="DZ175" s="94"/>
      <c r="EA175" s="81">
        <v>0.96399999999999997</v>
      </c>
      <c r="EB175" s="113">
        <f t="shared" si="111"/>
        <v>1.67736</v>
      </c>
      <c r="EC175" s="92"/>
      <c r="ED175" s="92">
        <f>N175</f>
        <v>41.1</v>
      </c>
      <c r="EE175" s="92">
        <v>5180</v>
      </c>
      <c r="EF175" s="92"/>
      <c r="EG175" s="204"/>
      <c r="EH175" s="92"/>
      <c r="EI175" s="82"/>
      <c r="EJ175" s="6"/>
      <c r="EK175" s="120">
        <v>1.091496857142857E-2</v>
      </c>
      <c r="EL175" s="6">
        <v>6.2925428571428577E-4</v>
      </c>
      <c r="EM175" s="6">
        <v>1.8896571428571427E-4</v>
      </c>
      <c r="EN175" s="6">
        <v>9.4398993077407159E-5</v>
      </c>
      <c r="EO175" s="6">
        <v>1.699181875393329E-6</v>
      </c>
      <c r="EP175" s="6">
        <v>1.699181875393329E-6</v>
      </c>
      <c r="EQ175" s="6"/>
      <c r="ER175" s="6"/>
      <c r="ES175" s="2">
        <v>10714.285714285712</v>
      </c>
      <c r="ET175" s="2">
        <v>4285.7142857142853</v>
      </c>
      <c r="EU175" s="2">
        <v>114.28571428571428</v>
      </c>
      <c r="EV175" s="2">
        <v>8.5714285714285712</v>
      </c>
      <c r="EW175" s="2">
        <v>8.5714285714285715E-2</v>
      </c>
      <c r="EX175" s="2">
        <v>128.57142857142856</v>
      </c>
      <c r="EY175" s="2">
        <v>71.428571428571416</v>
      </c>
      <c r="EZ175" s="2">
        <v>21.428571428571427</v>
      </c>
      <c r="FE175" s="6"/>
      <c r="FF175" s="6"/>
      <c r="FG175" s="6"/>
      <c r="FH175" s="6"/>
      <c r="FI175" s="6"/>
      <c r="FJ175" s="6"/>
      <c r="FK175" s="6"/>
      <c r="FL175" s="6"/>
      <c r="FM175" s="80">
        <f t="shared" si="99"/>
        <v>0</v>
      </c>
      <c r="FN175" s="80">
        <f t="shared" si="100"/>
        <v>0.55555555555555547</v>
      </c>
      <c r="FO175" s="115">
        <f t="shared" si="101"/>
        <v>0</v>
      </c>
      <c r="FP175" s="115">
        <f t="shared" si="102"/>
        <v>0.22222222222222224</v>
      </c>
      <c r="FQ175" s="116">
        <f t="shared" si="103"/>
        <v>5.7013574660633483E-2</v>
      </c>
    </row>
    <row r="176" spans="1:204" hidden="1" x14ac:dyDescent="0.25">
      <c r="B176" s="263" t="s">
        <v>376</v>
      </c>
      <c r="D176" s="88">
        <f>D88*0.99</f>
        <v>1989.9</v>
      </c>
      <c r="E176" s="88">
        <f>E88*0.99</f>
        <v>1782.99</v>
      </c>
      <c r="F176" s="88">
        <f>F88*0.99</f>
        <v>927.63</v>
      </c>
      <c r="H176" s="9"/>
      <c r="I176" s="106">
        <v>46</v>
      </c>
      <c r="J176" s="97">
        <v>4</v>
      </c>
      <c r="K176" s="97">
        <v>1</v>
      </c>
      <c r="AF176" s="131">
        <v>3.19</v>
      </c>
      <c r="AG176" s="131">
        <v>1.24</v>
      </c>
      <c r="AH176" s="132">
        <v>2.42</v>
      </c>
      <c r="AI176" s="132">
        <v>3.8</v>
      </c>
      <c r="AJ176" s="132">
        <v>3</v>
      </c>
      <c r="AK176" s="133">
        <v>0.66</v>
      </c>
      <c r="AL176" s="132">
        <v>2.5</v>
      </c>
      <c r="AM176" s="132">
        <v>1.79</v>
      </c>
      <c r="AN176" s="132">
        <v>0.74</v>
      </c>
      <c r="AO176" s="132">
        <v>2.52</v>
      </c>
      <c r="AP176" s="132"/>
      <c r="AQ176" s="132"/>
      <c r="AR176" s="132">
        <v>0.66</v>
      </c>
      <c r="AS176" s="132"/>
      <c r="AT176" s="132"/>
      <c r="AU176" s="132"/>
      <c r="AV176" s="132"/>
      <c r="AW176" s="131"/>
      <c r="AX176" s="2"/>
      <c r="AY176" s="137"/>
      <c r="AZ176" s="141">
        <f>1.02*AZ79</f>
        <v>95.88</v>
      </c>
      <c r="BA176" s="141">
        <f>1.02*BA79</f>
        <v>91.8</v>
      </c>
      <c r="BB176" s="141">
        <f>1.02*BB79</f>
        <v>90.78</v>
      </c>
      <c r="BC176" s="141">
        <f>1.02*BC79</f>
        <v>89.76</v>
      </c>
      <c r="BD176" s="141">
        <f>0.987*BD79</f>
        <v>87.843000000000004</v>
      </c>
      <c r="BE176" s="141">
        <f>1.02*BE79</f>
        <v>91.8</v>
      </c>
      <c r="BF176" s="141">
        <f>1.02*BF79</f>
        <v>89.76</v>
      </c>
      <c r="BG176" s="141">
        <f>1.02*BG79</f>
        <v>86.7</v>
      </c>
      <c r="BH176" s="141">
        <f>1.02*BH79</f>
        <v>92.820000000000007</v>
      </c>
      <c r="BI176" s="141">
        <f>1.02*BI79</f>
        <v>88.74</v>
      </c>
      <c r="BJ176" s="141"/>
      <c r="BK176" s="141"/>
      <c r="BL176" s="141">
        <f>1.02*BL79</f>
        <v>85.68</v>
      </c>
      <c r="BM176" s="141"/>
      <c r="BN176" s="141"/>
      <c r="BO176" s="141"/>
      <c r="BP176" s="141"/>
      <c r="BQ176" s="141">
        <f>1*BQ79</f>
        <v>88</v>
      </c>
      <c r="BS176" s="133">
        <v>0.41</v>
      </c>
      <c r="BT176" s="131"/>
      <c r="BU176" s="135"/>
      <c r="BV176" s="131"/>
      <c r="BW176" s="135"/>
      <c r="BX176" s="133">
        <v>0.69</v>
      </c>
      <c r="BY176" s="131"/>
      <c r="CB176" s="9">
        <f>CB79</f>
        <v>39</v>
      </c>
      <c r="CC176" s="9">
        <f>CC79</f>
        <v>48</v>
      </c>
      <c r="CH176" s="9">
        <f>I176</f>
        <v>46</v>
      </c>
      <c r="CI176" s="131"/>
      <c r="CJ176" s="131"/>
      <c r="CK176" s="131"/>
      <c r="CL176" s="131"/>
      <c r="CM176" s="131"/>
      <c r="CN176" s="131"/>
      <c r="CO176" s="131"/>
      <c r="CP176" s="131"/>
      <c r="CQ176" s="131"/>
      <c r="CR176" s="131"/>
      <c r="CS176" s="131"/>
      <c r="CT176" s="131"/>
      <c r="CV176" s="2"/>
      <c r="CW176" s="2">
        <f t="shared" si="81"/>
        <v>3.0585719999999998</v>
      </c>
      <c r="CX176" s="2">
        <f t="shared" si="138"/>
        <v>1.13832</v>
      </c>
      <c r="CY176" s="2">
        <f>AH176*BB176/100</f>
        <v>2.1968760000000001</v>
      </c>
      <c r="CZ176" s="2">
        <f>AI176*BC176/100</f>
        <v>3.4108800000000001</v>
      </c>
      <c r="DA176" s="2">
        <f>AJ176*BD176/100</f>
        <v>2.6352899999999999</v>
      </c>
      <c r="DB176" s="2">
        <f>AK176*BE176/100</f>
        <v>0.60587999999999997</v>
      </c>
      <c r="DC176" s="2">
        <f>(AK176*BE176+BL176*AR176)/100</f>
        <v>1.1713680000000002</v>
      </c>
      <c r="DD176" s="2">
        <f t="shared" si="91"/>
        <v>2.2440000000000002</v>
      </c>
      <c r="DE176" s="2">
        <f t="shared" si="118"/>
        <v>2.2440000000000002</v>
      </c>
      <c r="DF176" s="2">
        <f>AM176*BG176/100</f>
        <v>1.55193</v>
      </c>
      <c r="DG176" s="2">
        <f>AN176*BH176/100</f>
        <v>0.68686800000000003</v>
      </c>
      <c r="DH176" s="2">
        <f t="shared" si="129"/>
        <v>2.2362479999999998</v>
      </c>
      <c r="DI176" s="2">
        <f t="shared" si="130"/>
        <v>0</v>
      </c>
      <c r="DJ176" s="2">
        <f t="shared" si="131"/>
        <v>0</v>
      </c>
      <c r="DK176" s="2">
        <f t="shared" si="132"/>
        <v>0.5654880000000001</v>
      </c>
      <c r="DL176" s="2">
        <f t="shared" si="133"/>
        <v>0</v>
      </c>
      <c r="DM176" s="2">
        <f t="shared" si="134"/>
        <v>0</v>
      </c>
      <c r="DN176" s="2">
        <f t="shared" si="135"/>
        <v>0</v>
      </c>
      <c r="DO176" s="2">
        <f t="shared" si="136"/>
        <v>0</v>
      </c>
      <c r="DP176" s="2">
        <f t="shared" si="137"/>
        <v>0</v>
      </c>
      <c r="DQ176" s="2">
        <f>CB176*BX176/100</f>
        <v>0.26909999999999995</v>
      </c>
      <c r="DR176" s="2">
        <f>CC176*BX176/100</f>
        <v>0.33119999999999999</v>
      </c>
      <c r="DS176" s="2"/>
      <c r="DT176" s="2">
        <f>BS176*CE176/100</f>
        <v>0</v>
      </c>
      <c r="DV176" s="110"/>
      <c r="DW176" s="111">
        <f>DX176*2000</f>
        <v>511</v>
      </c>
      <c r="DX176" s="112">
        <v>0.2555</v>
      </c>
      <c r="DY176" s="94"/>
      <c r="DZ176" s="94"/>
      <c r="EA176" s="126">
        <f>EA79</f>
        <v>0.23</v>
      </c>
      <c r="EB176" s="113">
        <f>BZ176*EA176</f>
        <v>0</v>
      </c>
      <c r="EC176" s="81"/>
      <c r="ED176" s="92"/>
      <c r="EE176" s="92"/>
      <c r="EF176" s="92"/>
      <c r="EG176" s="204"/>
      <c r="EH176" s="92"/>
      <c r="EI176" s="82"/>
      <c r="EJ176" s="6"/>
      <c r="EK176" s="6"/>
      <c r="EL176" s="6"/>
      <c r="EM176" s="6"/>
      <c r="EN176" s="6"/>
      <c r="EO176" s="6"/>
      <c r="EP176" s="6"/>
      <c r="EQ176" s="6"/>
      <c r="ER176" s="6"/>
      <c r="FE176" s="6"/>
      <c r="FF176" s="6"/>
      <c r="FG176" s="6"/>
      <c r="FH176" s="6"/>
      <c r="FI176" s="6"/>
      <c r="FJ176" s="6"/>
      <c r="FK176" s="6"/>
      <c r="FL176" s="6"/>
      <c r="FM176" s="80">
        <f t="shared" si="99"/>
        <v>0.65562200956937788</v>
      </c>
      <c r="FN176" s="80">
        <f t="shared" si="100"/>
        <v>0.64407894736842108</v>
      </c>
      <c r="FO176" s="115">
        <f t="shared" si="101"/>
        <v>1.01792181261027</v>
      </c>
      <c r="FP176" s="115">
        <f t="shared" si="102"/>
        <v>0.2013755980861244</v>
      </c>
      <c r="FQ176" s="116">
        <f t="shared" si="103"/>
        <v>7.4149565217391314E-2</v>
      </c>
    </row>
    <row r="177" spans="2:173" hidden="1" x14ac:dyDescent="0.25">
      <c r="B177" s="263" t="s">
        <v>409</v>
      </c>
      <c r="D177" s="90">
        <f>D79</f>
        <v>3619</v>
      </c>
      <c r="E177" s="90">
        <f t="shared" ref="E177:BP177" si="139">E79</f>
        <v>3294</v>
      </c>
      <c r="F177" s="90">
        <f>F24*0.88</f>
        <v>2351.36</v>
      </c>
      <c r="G177" s="90">
        <f t="shared" si="139"/>
        <v>0.9</v>
      </c>
      <c r="H177" s="129">
        <f t="shared" si="139"/>
        <v>89.98</v>
      </c>
      <c r="I177" s="129">
        <f t="shared" si="139"/>
        <v>47.73</v>
      </c>
      <c r="J177" s="129">
        <f t="shared" si="139"/>
        <v>3.89</v>
      </c>
      <c r="K177" s="129">
        <f t="shared" si="139"/>
        <v>1.52</v>
      </c>
      <c r="L177" s="90">
        <f t="shared" si="139"/>
        <v>2.86</v>
      </c>
      <c r="M177" s="90">
        <f t="shared" si="139"/>
        <v>6.27</v>
      </c>
      <c r="N177" s="90">
        <f t="shared" si="139"/>
        <v>0</v>
      </c>
      <c r="O177" s="90">
        <f t="shared" si="139"/>
        <v>4.3</v>
      </c>
      <c r="P177" s="90">
        <f t="shared" si="139"/>
        <v>3.78</v>
      </c>
      <c r="Q177" s="90">
        <f t="shared" si="139"/>
        <v>7.33</v>
      </c>
      <c r="R177" s="90">
        <f t="shared" si="139"/>
        <v>0</v>
      </c>
      <c r="S177" s="90">
        <f t="shared" si="139"/>
        <v>3.81</v>
      </c>
      <c r="T177" s="90">
        <f t="shared" si="139"/>
        <v>1.89</v>
      </c>
      <c r="U177" s="90">
        <f t="shared" si="139"/>
        <v>8.2100000000000009</v>
      </c>
      <c r="V177" s="90">
        <f t="shared" si="139"/>
        <v>5.28</v>
      </c>
      <c r="W177" s="90">
        <f t="shared" si="139"/>
        <v>1.1000000000000001</v>
      </c>
      <c r="X177" s="90">
        <f t="shared" si="139"/>
        <v>16.71</v>
      </c>
      <c r="Y177" s="90">
        <f t="shared" si="139"/>
        <v>0</v>
      </c>
      <c r="Z177" s="90">
        <f t="shared" si="139"/>
        <v>0</v>
      </c>
      <c r="AA177" s="90">
        <f t="shared" si="139"/>
        <v>0</v>
      </c>
      <c r="AB177" s="90">
        <f t="shared" si="139"/>
        <v>28.270000000000007</v>
      </c>
      <c r="AC177" s="90">
        <f t="shared" si="139"/>
        <v>88</v>
      </c>
      <c r="AD177" s="90">
        <f t="shared" si="139"/>
        <v>41.477900000000005</v>
      </c>
      <c r="AE177" s="90">
        <f t="shared" si="139"/>
        <v>0</v>
      </c>
      <c r="AF177" s="134">
        <f t="shared" si="139"/>
        <v>3.45</v>
      </c>
      <c r="AG177" s="134">
        <f t="shared" si="139"/>
        <v>1.28</v>
      </c>
      <c r="AH177" s="134">
        <f t="shared" si="139"/>
        <v>2.14</v>
      </c>
      <c r="AI177" s="134">
        <f t="shared" si="139"/>
        <v>3.62</v>
      </c>
      <c r="AJ177" s="134">
        <f t="shared" si="139"/>
        <v>2.96</v>
      </c>
      <c r="AK177" s="134">
        <f t="shared" si="139"/>
        <v>0.66</v>
      </c>
      <c r="AL177" s="134">
        <f t="shared" si="139"/>
        <v>2.4</v>
      </c>
      <c r="AM177" s="134">
        <f t="shared" si="139"/>
        <v>1.86</v>
      </c>
      <c r="AN177" s="134">
        <f t="shared" si="139"/>
        <v>0.66</v>
      </c>
      <c r="AO177" s="134">
        <f t="shared" si="139"/>
        <v>2.23</v>
      </c>
      <c r="AP177" s="134">
        <f t="shared" si="139"/>
        <v>2.06</v>
      </c>
      <c r="AQ177" s="134">
        <f t="shared" si="139"/>
        <v>5.41</v>
      </c>
      <c r="AR177" s="134">
        <f t="shared" si="139"/>
        <v>0.7</v>
      </c>
      <c r="AS177" s="134">
        <f t="shared" si="139"/>
        <v>8.5399999999999991</v>
      </c>
      <c r="AT177" s="134">
        <f t="shared" si="139"/>
        <v>1.99</v>
      </c>
      <c r="AU177" s="134">
        <f t="shared" si="139"/>
        <v>2.5299999999999998</v>
      </c>
      <c r="AV177" s="134">
        <f t="shared" si="139"/>
        <v>2.36</v>
      </c>
      <c r="AW177" s="134">
        <f t="shared" si="139"/>
        <v>1.59</v>
      </c>
      <c r="AX177" s="90">
        <f t="shared" si="139"/>
        <v>0</v>
      </c>
      <c r="AY177" s="136">
        <f t="shared" si="139"/>
        <v>87</v>
      </c>
      <c r="AZ177" s="136">
        <f t="shared" si="139"/>
        <v>94</v>
      </c>
      <c r="BA177" s="136">
        <f t="shared" si="139"/>
        <v>90</v>
      </c>
      <c r="BB177" s="136">
        <f t="shared" si="139"/>
        <v>89</v>
      </c>
      <c r="BC177" s="136">
        <f t="shared" si="139"/>
        <v>88</v>
      </c>
      <c r="BD177" s="136">
        <f t="shared" si="139"/>
        <v>89</v>
      </c>
      <c r="BE177" s="136">
        <f t="shared" si="139"/>
        <v>90</v>
      </c>
      <c r="BF177" s="136">
        <f t="shared" si="139"/>
        <v>88</v>
      </c>
      <c r="BG177" s="136">
        <f t="shared" si="139"/>
        <v>85</v>
      </c>
      <c r="BH177" s="136">
        <f t="shared" si="139"/>
        <v>91</v>
      </c>
      <c r="BI177" s="136">
        <f t="shared" si="139"/>
        <v>87</v>
      </c>
      <c r="BJ177" s="136">
        <f t="shared" si="139"/>
        <v>85</v>
      </c>
      <c r="BK177" s="136">
        <f t="shared" si="139"/>
        <v>87</v>
      </c>
      <c r="BL177" s="136">
        <f t="shared" si="139"/>
        <v>84</v>
      </c>
      <c r="BM177" s="136">
        <f t="shared" si="139"/>
        <v>89</v>
      </c>
      <c r="BN177" s="136">
        <f t="shared" si="139"/>
        <v>84</v>
      </c>
      <c r="BO177" s="136">
        <f t="shared" si="139"/>
        <v>113</v>
      </c>
      <c r="BP177" s="136">
        <f t="shared" si="139"/>
        <v>89</v>
      </c>
      <c r="BQ177" s="136">
        <f t="shared" ref="BQ177:DZ177" si="140">BQ79</f>
        <v>88</v>
      </c>
      <c r="BR177" s="90">
        <f t="shared" si="140"/>
        <v>0</v>
      </c>
      <c r="BS177" s="134">
        <f t="shared" si="140"/>
        <v>0.33</v>
      </c>
      <c r="BT177" s="134">
        <f t="shared" si="140"/>
        <v>4.9000000000000002E-2</v>
      </c>
      <c r="BU177" s="134">
        <f t="shared" si="140"/>
        <v>2.2400000000000002</v>
      </c>
      <c r="BV177" s="134">
        <f t="shared" si="140"/>
        <v>0.27</v>
      </c>
      <c r="BW177" s="134">
        <f t="shared" si="140"/>
        <v>0.08</v>
      </c>
      <c r="BX177" s="134">
        <f t="shared" si="140"/>
        <v>0.71</v>
      </c>
      <c r="BY177" s="134">
        <f t="shared" si="140"/>
        <v>0.4</v>
      </c>
      <c r="BZ177" s="90">
        <f t="shared" si="140"/>
        <v>0</v>
      </c>
      <c r="CA177" s="142">
        <f t="shared" si="140"/>
        <v>0.38</v>
      </c>
      <c r="CB177" s="143">
        <f t="shared" si="140"/>
        <v>39</v>
      </c>
      <c r="CC177" s="143">
        <f t="shared" si="140"/>
        <v>48</v>
      </c>
      <c r="CD177" s="143">
        <f t="shared" si="140"/>
        <v>78</v>
      </c>
      <c r="CE177" s="143">
        <f t="shared" si="140"/>
        <v>85</v>
      </c>
      <c r="CF177" s="143">
        <f t="shared" si="140"/>
        <v>24.877600000000008</v>
      </c>
      <c r="CG177" s="142">
        <f t="shared" si="140"/>
        <v>0</v>
      </c>
      <c r="CH177" s="129">
        <f t="shared" si="140"/>
        <v>39.138599999999997</v>
      </c>
      <c r="CI177" s="134">
        <f t="shared" si="140"/>
        <v>3.1740000000000004</v>
      </c>
      <c r="CJ177" s="134">
        <f t="shared" si="140"/>
        <v>1.1135999999999999</v>
      </c>
      <c r="CK177" s="134">
        <f t="shared" si="140"/>
        <v>1.8618000000000001</v>
      </c>
      <c r="CL177" s="134">
        <f t="shared" si="140"/>
        <v>3.1132</v>
      </c>
      <c r="CM177" s="134">
        <f t="shared" si="140"/>
        <v>2.5751999999999997</v>
      </c>
      <c r="CN177" s="134">
        <f t="shared" si="140"/>
        <v>0.58080000000000009</v>
      </c>
      <c r="CO177" s="134">
        <f t="shared" si="140"/>
        <v>1.1337999999999999</v>
      </c>
      <c r="CP177" s="134">
        <f t="shared" si="140"/>
        <v>2.0640000000000001</v>
      </c>
      <c r="CQ177" s="134">
        <f t="shared" si="140"/>
        <v>3.3996000000000004</v>
      </c>
      <c r="CR177" s="134">
        <f t="shared" si="140"/>
        <v>1.4880000000000002</v>
      </c>
      <c r="CS177" s="134">
        <f t="shared" si="140"/>
        <v>0.58080000000000009</v>
      </c>
      <c r="CT177" s="134">
        <f t="shared" si="140"/>
        <v>1.8509</v>
      </c>
      <c r="CU177" s="90">
        <f t="shared" si="140"/>
        <v>0</v>
      </c>
      <c r="CV177" s="130">
        <f t="shared" si="140"/>
        <v>41.525099999999995</v>
      </c>
      <c r="CW177" s="130">
        <f t="shared" si="140"/>
        <v>3.2430000000000003</v>
      </c>
      <c r="CX177" s="130">
        <f t="shared" si="140"/>
        <v>1.1520000000000001</v>
      </c>
      <c r="CY177" s="130">
        <f t="shared" si="140"/>
        <v>1.9046000000000001</v>
      </c>
      <c r="CZ177" s="130">
        <f t="shared" si="140"/>
        <v>3.1856</v>
      </c>
      <c r="DA177" s="130">
        <f t="shared" si="140"/>
        <v>2.6343999999999999</v>
      </c>
      <c r="DB177" s="130">
        <f t="shared" si="140"/>
        <v>0.59400000000000008</v>
      </c>
      <c r="DC177" s="130">
        <f t="shared" si="140"/>
        <v>1.1819999999999999</v>
      </c>
      <c r="DD177" s="130">
        <f t="shared" si="140"/>
        <v>2.1120000000000001</v>
      </c>
      <c r="DE177" s="130">
        <f t="shared" si="140"/>
        <v>3.5112000000000005</v>
      </c>
      <c r="DF177" s="130">
        <f t="shared" si="140"/>
        <v>1.581</v>
      </c>
      <c r="DG177" s="130">
        <f t="shared" si="140"/>
        <v>0.60060000000000002</v>
      </c>
      <c r="DH177" s="2">
        <f t="shared" si="129"/>
        <v>1.9400999999999999</v>
      </c>
      <c r="DI177" s="2">
        <f t="shared" si="130"/>
        <v>1.7509999999999999</v>
      </c>
      <c r="DJ177" s="2">
        <f t="shared" si="131"/>
        <v>4.7067000000000005</v>
      </c>
      <c r="DK177" s="2">
        <f t="shared" si="132"/>
        <v>0.58799999999999997</v>
      </c>
      <c r="DL177" s="2">
        <f t="shared" si="133"/>
        <v>7.6005999999999991</v>
      </c>
      <c r="DM177" s="2">
        <f t="shared" si="134"/>
        <v>1.6716</v>
      </c>
      <c r="DN177" s="2">
        <f t="shared" si="135"/>
        <v>2.8588999999999998</v>
      </c>
      <c r="DO177" s="2">
        <f t="shared" si="136"/>
        <v>2.1004</v>
      </c>
      <c r="DP177" s="2">
        <f t="shared" si="137"/>
        <v>1.3992000000000002</v>
      </c>
      <c r="DQ177" s="130">
        <f t="shared" si="140"/>
        <v>0.27689999999999998</v>
      </c>
      <c r="DR177" s="130">
        <f t="shared" si="140"/>
        <v>0.34079999999999999</v>
      </c>
      <c r="DS177" s="130">
        <f t="shared" si="140"/>
        <v>0.25740000000000002</v>
      </c>
      <c r="DT177" s="130">
        <f t="shared" si="140"/>
        <v>0.28050000000000003</v>
      </c>
      <c r="DU177" s="90">
        <f t="shared" si="140"/>
        <v>0</v>
      </c>
      <c r="DV177" s="90">
        <f t="shared" si="140"/>
        <v>46.5</v>
      </c>
      <c r="DW177" s="111">
        <f t="shared" si="140"/>
        <v>300</v>
      </c>
      <c r="DX177" s="112">
        <f t="shared" si="140"/>
        <v>0.15</v>
      </c>
      <c r="DY177" s="90">
        <f t="shared" si="140"/>
        <v>2000</v>
      </c>
      <c r="DZ177" s="90">
        <f t="shared" si="140"/>
        <v>2120</v>
      </c>
      <c r="EA177" s="90">
        <f>EA79</f>
        <v>0.23</v>
      </c>
      <c r="EB177" s="113">
        <f>BZ177*EA177</f>
        <v>0</v>
      </c>
      <c r="EC177" s="90">
        <f>EC79</f>
        <v>0.6</v>
      </c>
      <c r="ED177" s="90">
        <f>ED79</f>
        <v>0</v>
      </c>
      <c r="EE177" s="90">
        <f>EE79</f>
        <v>0</v>
      </c>
      <c r="EF177" s="90" t="e">
        <f>#REF!</f>
        <v>#REF!</v>
      </c>
      <c r="EG177" s="130">
        <v>0.44</v>
      </c>
      <c r="EH177" s="90">
        <f>EH79</f>
        <v>19</v>
      </c>
      <c r="EI177" s="90">
        <f>EI79</f>
        <v>58.8</v>
      </c>
      <c r="EJ177" s="90">
        <f>EJ79</f>
        <v>0</v>
      </c>
      <c r="EK177" s="90"/>
      <c r="EL177" s="90"/>
      <c r="EM177" s="90"/>
      <c r="EN177" s="90"/>
      <c r="EO177" s="90"/>
      <c r="EP177" s="90"/>
      <c r="EQ177" s="90"/>
      <c r="ER177" s="90"/>
      <c r="ES177" s="142"/>
      <c r="ET177" s="142"/>
      <c r="EU177" s="142"/>
      <c r="EV177" s="142"/>
      <c r="EW177" s="142"/>
      <c r="EX177" s="142"/>
      <c r="EY177" s="142"/>
      <c r="EZ177" s="142"/>
      <c r="FA177" s="142"/>
      <c r="FB177" s="142"/>
      <c r="FC177" s="142"/>
      <c r="FD177" s="142"/>
      <c r="FE177" s="90"/>
      <c r="FF177" s="90"/>
      <c r="FG177" s="90">
        <f t="shared" ref="FG177:FL177" si="141">FG79</f>
        <v>0</v>
      </c>
      <c r="FH177" s="90">
        <f t="shared" si="141"/>
        <v>0</v>
      </c>
      <c r="FI177" s="90">
        <f t="shared" si="141"/>
        <v>55.05</v>
      </c>
      <c r="FJ177" s="90">
        <f t="shared" si="141"/>
        <v>7.34</v>
      </c>
      <c r="FK177" s="90">
        <f t="shared" si="141"/>
        <v>0.94832800000000006</v>
      </c>
      <c r="FL177" s="90">
        <f t="shared" si="141"/>
        <v>0</v>
      </c>
      <c r="FM177" s="80">
        <f t="shared" si="99"/>
        <v>0.60902184831742845</v>
      </c>
      <c r="FN177" s="80">
        <f t="shared" si="100"/>
        <v>0.59787795077850325</v>
      </c>
      <c r="FO177" s="115">
        <f t="shared" si="101"/>
        <v>1.0186390843221673</v>
      </c>
      <c r="FP177" s="115">
        <f t="shared" si="102"/>
        <v>0.18853591160220995</v>
      </c>
      <c r="FQ177" s="116">
        <f t="shared" si="103"/>
        <v>6.6742090928137446E-2</v>
      </c>
    </row>
    <row r="178" spans="2:173" hidden="1" x14ac:dyDescent="0.25">
      <c r="B178" s="263" t="s">
        <v>417</v>
      </c>
      <c r="C178" s="71"/>
      <c r="D178" s="151"/>
      <c r="E178" s="151"/>
      <c r="F178" s="151"/>
      <c r="G178" s="71"/>
      <c r="H178" s="152"/>
      <c r="I178" s="153"/>
      <c r="J178" s="154"/>
      <c r="K178" s="154"/>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155"/>
      <c r="AI178" s="155"/>
      <c r="AJ178" s="155"/>
      <c r="AK178" s="155"/>
      <c r="AL178" s="71"/>
      <c r="AM178" s="155"/>
      <c r="AN178" s="155"/>
      <c r="AO178" s="155"/>
      <c r="AP178" s="155"/>
      <c r="AQ178" s="155"/>
      <c r="AR178" s="155"/>
      <c r="AS178" s="155"/>
      <c r="AT178" s="155"/>
      <c r="AU178" s="155"/>
      <c r="AV178" s="155"/>
      <c r="AW178" s="71"/>
      <c r="AX178" s="71"/>
      <c r="AY178" s="147"/>
      <c r="AZ178" s="147"/>
      <c r="BA178" s="147"/>
      <c r="BB178" s="147"/>
      <c r="BC178" s="147"/>
      <c r="BD178" s="147"/>
      <c r="BE178" s="156"/>
      <c r="BF178" s="147"/>
      <c r="BG178" s="147"/>
      <c r="BH178" s="147"/>
      <c r="BI178" s="147"/>
      <c r="BJ178" s="147"/>
      <c r="BK178" s="147"/>
      <c r="BL178" s="156"/>
      <c r="BM178" s="156"/>
      <c r="BN178" s="156"/>
      <c r="BO178" s="156"/>
      <c r="BP178" s="156"/>
      <c r="BQ178" s="147"/>
      <c r="BR178" s="71"/>
      <c r="BS178" s="149"/>
      <c r="BT178" s="150"/>
      <c r="BU178" s="150"/>
      <c r="BV178" s="150"/>
      <c r="BW178" s="150"/>
      <c r="BX178" s="149"/>
      <c r="BY178" s="150"/>
      <c r="BZ178" s="71"/>
      <c r="CA178" s="71"/>
      <c r="CB178" s="152"/>
      <c r="CC178" s="152"/>
      <c r="CD178" s="71"/>
      <c r="CE178" s="71"/>
      <c r="CF178" s="71"/>
      <c r="CG178" s="71"/>
      <c r="CH178" s="152"/>
      <c r="CI178" s="150"/>
      <c r="CJ178" s="150"/>
      <c r="CK178" s="150"/>
      <c r="CL178" s="150"/>
      <c r="CM178" s="150"/>
      <c r="CN178" s="150"/>
      <c r="CO178" s="150"/>
      <c r="CP178" s="150"/>
      <c r="CQ178" s="150"/>
      <c r="CR178" s="150"/>
      <c r="CS178" s="150"/>
      <c r="CT178" s="150"/>
      <c r="CU178" s="71"/>
      <c r="CV178" s="157"/>
      <c r="CW178" s="157">
        <f t="shared" si="81"/>
        <v>0</v>
      </c>
      <c r="CX178" s="157">
        <f t="shared" si="138"/>
        <v>0</v>
      </c>
      <c r="CY178" s="157">
        <f t="shared" si="83"/>
        <v>0</v>
      </c>
      <c r="CZ178" s="157">
        <f t="shared" si="84"/>
        <v>0</v>
      </c>
      <c r="DA178" s="157">
        <f t="shared" si="85"/>
        <v>0</v>
      </c>
      <c r="DB178" s="157">
        <f t="shared" si="86"/>
        <v>0</v>
      </c>
      <c r="DC178" s="157">
        <f t="shared" si="104"/>
        <v>0</v>
      </c>
      <c r="DD178" s="157">
        <f t="shared" si="91"/>
        <v>0</v>
      </c>
      <c r="DE178" s="157">
        <f t="shared" si="118"/>
        <v>0</v>
      </c>
      <c r="DF178" s="157">
        <f t="shared" si="92"/>
        <v>0</v>
      </c>
      <c r="DG178" s="157">
        <f t="shared" si="93"/>
        <v>0</v>
      </c>
      <c r="DH178" s="157">
        <f t="shared" si="129"/>
        <v>0</v>
      </c>
      <c r="DI178" s="157">
        <f t="shared" si="130"/>
        <v>0</v>
      </c>
      <c r="DJ178" s="157">
        <f t="shared" si="131"/>
        <v>0</v>
      </c>
      <c r="DK178" s="157">
        <f t="shared" si="132"/>
        <v>0</v>
      </c>
      <c r="DL178" s="157">
        <f t="shared" si="133"/>
        <v>0</v>
      </c>
      <c r="DM178" s="157">
        <f t="shared" si="134"/>
        <v>0</v>
      </c>
      <c r="DN178" s="157">
        <f t="shared" si="135"/>
        <v>0</v>
      </c>
      <c r="DO178" s="157">
        <f t="shared" si="136"/>
        <v>0</v>
      </c>
      <c r="DP178" s="157">
        <f t="shared" si="137"/>
        <v>0</v>
      </c>
      <c r="DQ178" s="157">
        <v>0.4</v>
      </c>
      <c r="DR178" s="157">
        <v>0.4</v>
      </c>
      <c r="DS178" s="157">
        <f t="shared" si="105"/>
        <v>0</v>
      </c>
      <c r="DT178" s="157">
        <f t="shared" si="106"/>
        <v>0</v>
      </c>
      <c r="DU178" s="71"/>
      <c r="DV178" s="158"/>
      <c r="DW178" s="159">
        <v>1312</v>
      </c>
      <c r="DX178" s="160">
        <v>0.65600000000000003</v>
      </c>
      <c r="DY178" s="151"/>
      <c r="DZ178" s="151"/>
      <c r="EA178" s="161">
        <v>0.4</v>
      </c>
      <c r="EB178" s="162">
        <f>BZ178*EA178</f>
        <v>0</v>
      </c>
      <c r="EC178" s="163"/>
      <c r="ED178" s="163"/>
      <c r="EE178" s="163"/>
      <c r="EF178" s="163"/>
      <c r="EG178" s="205"/>
      <c r="EH178" s="163"/>
      <c r="EI178" s="165">
        <v>0.77</v>
      </c>
      <c r="EJ178" s="163"/>
      <c r="EK178" s="163"/>
      <c r="EL178" s="163"/>
      <c r="EM178" s="163"/>
      <c r="EN178" s="163"/>
      <c r="EO178" s="163"/>
      <c r="EP178" s="163"/>
      <c r="EQ178" s="163"/>
      <c r="ER178" s="163"/>
      <c r="ES178" s="71"/>
      <c r="ET178" s="71"/>
      <c r="EU178" s="71"/>
      <c r="EV178" s="71"/>
      <c r="EW178" s="71"/>
      <c r="EX178" s="71"/>
      <c r="EY178" s="71"/>
      <c r="EZ178" s="71"/>
      <c r="FA178" s="71"/>
      <c r="FB178" s="71"/>
      <c r="FC178" s="71"/>
      <c r="FD178" s="71"/>
      <c r="FE178" s="163"/>
      <c r="FF178" s="163"/>
      <c r="FG178" s="163"/>
      <c r="FH178" s="163"/>
      <c r="FI178" s="163"/>
      <c r="FJ178" s="163"/>
      <c r="FK178" s="163"/>
      <c r="FL178" s="163"/>
      <c r="FM178" s="164" t="e">
        <f t="shared" si="99"/>
        <v>#DIV/0!</v>
      </c>
      <c r="FN178" s="164" t="e">
        <f t="shared" si="100"/>
        <v>#DIV/0!</v>
      </c>
      <c r="FO178" s="166" t="e">
        <f t="shared" si="101"/>
        <v>#DIV/0!</v>
      </c>
      <c r="FP178" s="166" t="e">
        <f t="shared" si="102"/>
        <v>#DIV/0!</v>
      </c>
      <c r="FQ178" s="167" t="e">
        <f t="shared" si="103"/>
        <v>#DIV/0!</v>
      </c>
    </row>
    <row r="179" spans="2:173" hidden="1" x14ac:dyDescent="0.25">
      <c r="B179" s="263" t="s">
        <v>459</v>
      </c>
      <c r="C179" s="71"/>
      <c r="D179" s="151"/>
      <c r="E179" s="151">
        <f>E173</f>
        <v>3617</v>
      </c>
      <c r="F179" s="151">
        <v>2273</v>
      </c>
      <c r="G179" s="71"/>
      <c r="H179" s="152">
        <v>93</v>
      </c>
      <c r="I179" s="153">
        <v>56</v>
      </c>
      <c r="J179" s="154">
        <v>4</v>
      </c>
      <c r="K179" s="154">
        <v>3</v>
      </c>
      <c r="L179" s="71"/>
      <c r="M179" s="71">
        <v>7</v>
      </c>
      <c r="N179" s="71"/>
      <c r="O179" s="71"/>
      <c r="P179" s="71"/>
      <c r="Q179" s="71"/>
      <c r="R179" s="71"/>
      <c r="S179" s="71">
        <v>1</v>
      </c>
      <c r="T179" s="71">
        <v>0.6</v>
      </c>
      <c r="U179" s="71">
        <v>9.1999999999999993</v>
      </c>
      <c r="V179" s="71">
        <v>5.8</v>
      </c>
      <c r="W179" s="71"/>
      <c r="X179" s="71"/>
      <c r="Y179" s="71">
        <v>11</v>
      </c>
      <c r="Z179" s="71">
        <v>5.7</v>
      </c>
      <c r="AA179" s="71"/>
      <c r="AB179" s="71"/>
      <c r="AC179" s="71"/>
      <c r="AD179" s="71"/>
      <c r="AE179" s="71"/>
      <c r="AF179" s="150">
        <v>3.97</v>
      </c>
      <c r="AG179" s="150">
        <v>1.47</v>
      </c>
      <c r="AH179" s="149">
        <v>2.75</v>
      </c>
      <c r="AI179" s="149">
        <v>4.32</v>
      </c>
      <c r="AJ179" s="149">
        <v>3.45</v>
      </c>
      <c r="AK179" s="149">
        <v>0.77</v>
      </c>
      <c r="AL179" s="149">
        <v>2.9</v>
      </c>
      <c r="AM179" s="149">
        <v>2.1800000000000002</v>
      </c>
      <c r="AN179" s="149">
        <v>0.77</v>
      </c>
      <c r="AO179" s="149">
        <v>2.82</v>
      </c>
      <c r="AP179" s="149">
        <v>2.41</v>
      </c>
      <c r="AQ179" s="149">
        <v>6.34</v>
      </c>
      <c r="AR179" s="149">
        <v>0.82</v>
      </c>
      <c r="AS179" s="149">
        <v>9.92</v>
      </c>
      <c r="AT179" s="149">
        <v>2.37</v>
      </c>
      <c r="AU179" s="149">
        <v>2.87</v>
      </c>
      <c r="AV179" s="149">
        <v>2.4300000000000002</v>
      </c>
      <c r="AW179" s="149">
        <v>2.0299999999999998</v>
      </c>
      <c r="AX179" s="71"/>
      <c r="AY179" s="211">
        <v>88.6</v>
      </c>
      <c r="AZ179" s="212">
        <v>95.1</v>
      </c>
      <c r="BA179" s="212">
        <v>88.4</v>
      </c>
      <c r="BB179" s="211">
        <v>88.3</v>
      </c>
      <c r="BC179" s="211">
        <v>88.8</v>
      </c>
      <c r="BD179" s="211">
        <v>87.1</v>
      </c>
      <c r="BE179" s="213">
        <v>90.6</v>
      </c>
      <c r="BF179" s="211">
        <v>89.8</v>
      </c>
      <c r="BG179" s="211">
        <v>85.1</v>
      </c>
      <c r="BH179" s="211">
        <v>88.6</v>
      </c>
      <c r="BI179" s="211">
        <v>88.7</v>
      </c>
      <c r="BJ179" s="211">
        <v>87.5</v>
      </c>
      <c r="BK179" s="211">
        <v>87.9</v>
      </c>
      <c r="BL179" s="213">
        <v>84.1</v>
      </c>
      <c r="BM179" s="213">
        <v>90.6</v>
      </c>
      <c r="BN179" s="213">
        <v>90.7</v>
      </c>
      <c r="BO179" s="213">
        <v>91.2</v>
      </c>
      <c r="BP179" s="213">
        <v>91</v>
      </c>
      <c r="BQ179" s="213">
        <v>89.6</v>
      </c>
      <c r="BR179" s="71"/>
      <c r="BS179" s="149">
        <v>0.35</v>
      </c>
      <c r="BT179" s="150">
        <v>0.1</v>
      </c>
      <c r="BU179" s="150">
        <v>2.5</v>
      </c>
      <c r="BV179" s="150">
        <v>0.35</v>
      </c>
      <c r="BW179" s="150">
        <v>0.02</v>
      </c>
      <c r="BX179" s="149">
        <v>0.75</v>
      </c>
      <c r="BY179" s="150">
        <v>0.45</v>
      </c>
      <c r="BZ179" s="71"/>
      <c r="CA179" s="71"/>
      <c r="CB179" s="152"/>
      <c r="CC179" s="152">
        <v>59.8</v>
      </c>
      <c r="CD179" s="71"/>
      <c r="CE179" s="71"/>
      <c r="CF179" s="71"/>
      <c r="CG179" s="71"/>
      <c r="CH179" s="152">
        <v>56</v>
      </c>
      <c r="CI179" s="150"/>
      <c r="CJ179" s="150"/>
      <c r="CK179" s="150"/>
      <c r="CL179" s="150"/>
      <c r="CM179" s="150"/>
      <c r="CN179" s="150"/>
      <c r="CO179" s="150"/>
      <c r="CP179" s="150"/>
      <c r="CQ179" s="150"/>
      <c r="CR179" s="150"/>
      <c r="CS179" s="150"/>
      <c r="CT179" s="150"/>
      <c r="CU179" s="71"/>
      <c r="CV179" s="157">
        <f>I179*AY179/100</f>
        <v>49.615999999999993</v>
      </c>
      <c r="CW179" s="157">
        <f t="shared" si="81"/>
        <v>3.7754699999999999</v>
      </c>
      <c r="CX179" s="157">
        <f t="shared" si="138"/>
        <v>1.29948</v>
      </c>
      <c r="CY179" s="157">
        <f t="shared" si="83"/>
        <v>2.4282499999999998</v>
      </c>
      <c r="CZ179" s="157">
        <f t="shared" si="84"/>
        <v>3.83616</v>
      </c>
      <c r="DA179" s="157">
        <f t="shared" si="85"/>
        <v>3.00495</v>
      </c>
      <c r="DB179" s="157">
        <f t="shared" si="86"/>
        <v>0.69762000000000002</v>
      </c>
      <c r="DC179" s="157">
        <f t="shared" si="104"/>
        <v>1.3872399999999998</v>
      </c>
      <c r="DD179" s="157">
        <f t="shared" si="91"/>
        <v>2.6041999999999996</v>
      </c>
      <c r="DE179" s="157">
        <f t="shared" si="118"/>
        <v>4.4230799999999997</v>
      </c>
      <c r="DF179" s="157">
        <f t="shared" si="92"/>
        <v>1.8551800000000001</v>
      </c>
      <c r="DG179" s="157">
        <f t="shared" si="93"/>
        <v>0.68221999999999994</v>
      </c>
      <c r="DH179" s="157">
        <f t="shared" si="129"/>
        <v>2.5013399999999999</v>
      </c>
      <c r="DI179" s="157">
        <f t="shared" si="130"/>
        <v>2.1087500000000001</v>
      </c>
      <c r="DJ179" s="157">
        <f t="shared" si="131"/>
        <v>5.5728600000000004</v>
      </c>
      <c r="DK179" s="157">
        <f t="shared" si="132"/>
        <v>0.6896199999999999</v>
      </c>
      <c r="DL179" s="157">
        <f t="shared" si="133"/>
        <v>8.98752</v>
      </c>
      <c r="DM179" s="157">
        <f t="shared" si="134"/>
        <v>2.1495899999999999</v>
      </c>
      <c r="DN179" s="157">
        <f t="shared" si="135"/>
        <v>2.6174400000000002</v>
      </c>
      <c r="DO179" s="157">
        <f t="shared" si="136"/>
        <v>2.2113</v>
      </c>
      <c r="DP179" s="157">
        <f t="shared" si="137"/>
        <v>1.8188799999999998</v>
      </c>
      <c r="DQ179" s="157">
        <f t="shared" si="88"/>
        <v>0</v>
      </c>
      <c r="DR179" s="157">
        <f t="shared" si="120"/>
        <v>0.44849999999999995</v>
      </c>
      <c r="DS179" s="157">
        <f t="shared" si="105"/>
        <v>0</v>
      </c>
      <c r="DT179" s="157">
        <f t="shared" si="106"/>
        <v>0</v>
      </c>
      <c r="DU179" s="71"/>
      <c r="DV179" s="158"/>
      <c r="DW179" s="159">
        <v>1000</v>
      </c>
      <c r="DX179" s="160">
        <v>0.5</v>
      </c>
      <c r="DY179" s="151"/>
      <c r="DZ179" s="151"/>
      <c r="EA179" s="169">
        <v>0.4</v>
      </c>
      <c r="EB179" s="162">
        <f t="shared" si="111"/>
        <v>0.30000000000000004</v>
      </c>
      <c r="EC179" s="163"/>
      <c r="ED179" s="163"/>
      <c r="EE179" s="163"/>
      <c r="EF179" s="163"/>
      <c r="EG179" s="206">
        <f>BX179*0.662</f>
        <v>0.49650000000000005</v>
      </c>
      <c r="EH179" s="163"/>
      <c r="EI179" s="171"/>
      <c r="EJ179" s="163"/>
      <c r="EK179" s="178"/>
      <c r="EL179" s="178"/>
      <c r="EM179" s="178"/>
      <c r="EN179" s="178"/>
      <c r="EO179" s="178"/>
      <c r="EP179" s="178"/>
      <c r="EQ179" s="163"/>
      <c r="ER179" s="163"/>
      <c r="ES179" s="71"/>
      <c r="ET179" s="71"/>
      <c r="EU179" s="71"/>
      <c r="EV179" s="71"/>
      <c r="EW179" s="71"/>
      <c r="EX179" s="71"/>
      <c r="EY179" s="71"/>
      <c r="EZ179" s="71"/>
      <c r="FA179" s="71"/>
      <c r="FB179" s="71"/>
      <c r="FC179" s="71"/>
      <c r="FD179" s="71"/>
      <c r="FE179" s="163"/>
      <c r="FF179" s="163"/>
      <c r="FG179" s="163"/>
      <c r="FH179" s="163">
        <v>93</v>
      </c>
      <c r="FI179" s="163"/>
      <c r="FJ179" s="163"/>
      <c r="FK179" s="163"/>
      <c r="FL179" s="163"/>
      <c r="FM179" s="170">
        <f t="shared" si="99"/>
        <v>0.65204266766766761</v>
      </c>
      <c r="FN179" s="170">
        <f t="shared" si="100"/>
        <v>0.6329897605939272</v>
      </c>
      <c r="FO179" s="172">
        <f t="shared" si="101"/>
        <v>1.0300998661587564</v>
      </c>
      <c r="FP179" s="172">
        <f t="shared" si="102"/>
        <v>0.17783929763096429</v>
      </c>
      <c r="FQ179" s="173">
        <f t="shared" si="103"/>
        <v>6.8502857142857143E-2</v>
      </c>
    </row>
    <row r="180" spans="2:173" hidden="1" x14ac:dyDescent="0.25">
      <c r="B180" s="263" t="s">
        <v>418</v>
      </c>
      <c r="C180" s="71"/>
      <c r="D180" s="151"/>
      <c r="E180" s="151">
        <v>3896</v>
      </c>
      <c r="F180" s="151">
        <v>2310</v>
      </c>
      <c r="G180" s="71"/>
      <c r="H180" s="152">
        <v>92</v>
      </c>
      <c r="I180" s="153">
        <v>68</v>
      </c>
      <c r="J180" s="154">
        <v>4</v>
      </c>
      <c r="K180" s="154"/>
      <c r="L180" s="71"/>
      <c r="M180" s="71">
        <v>3.6</v>
      </c>
      <c r="N180" s="71"/>
      <c r="O180" s="71"/>
      <c r="P180" s="71"/>
      <c r="Q180" s="71"/>
      <c r="R180" s="71"/>
      <c r="S180" s="71"/>
      <c r="T180" s="71"/>
      <c r="U180" s="71"/>
      <c r="V180" s="71"/>
      <c r="W180" s="71"/>
      <c r="X180" s="71"/>
      <c r="Y180" s="71"/>
      <c r="Z180" s="71"/>
      <c r="AA180" s="71"/>
      <c r="AB180" s="71"/>
      <c r="AC180" s="71"/>
      <c r="AD180" s="71"/>
      <c r="AE180" s="71"/>
      <c r="AF180" s="150">
        <v>4.9000000000000004</v>
      </c>
      <c r="AG180" s="150">
        <v>1.7</v>
      </c>
      <c r="AH180" s="149">
        <v>3.2</v>
      </c>
      <c r="AI180" s="149">
        <v>5.4</v>
      </c>
      <c r="AJ180" s="149">
        <v>4.0999999999999996</v>
      </c>
      <c r="AK180" s="149">
        <v>1</v>
      </c>
      <c r="AL180" s="150">
        <v>3.7</v>
      </c>
      <c r="AM180" s="149">
        <v>2.7</v>
      </c>
      <c r="AN180" s="149">
        <v>0.9</v>
      </c>
      <c r="AO180" s="149">
        <v>3.4</v>
      </c>
      <c r="AP180" s="149"/>
      <c r="AQ180" s="149"/>
      <c r="AR180" s="149">
        <v>1</v>
      </c>
      <c r="AS180" s="149"/>
      <c r="AT180" s="149"/>
      <c r="AU180" s="149"/>
      <c r="AV180" s="149"/>
      <c r="AW180" s="150">
        <v>2.7</v>
      </c>
      <c r="AX180" s="71"/>
      <c r="AY180" s="147">
        <v>84</v>
      </c>
      <c r="AZ180" s="147">
        <v>97.2</v>
      </c>
      <c r="BA180" s="147">
        <v>92.2</v>
      </c>
      <c r="BB180" s="147">
        <v>92.6</v>
      </c>
      <c r="BC180" s="147">
        <v>92.68</v>
      </c>
      <c r="BD180" s="147">
        <v>88.41</v>
      </c>
      <c r="BE180" s="148">
        <v>92.94</v>
      </c>
      <c r="BF180" s="147">
        <v>93.814999999999998</v>
      </c>
      <c r="BG180" s="147">
        <v>86.084999999999994</v>
      </c>
      <c r="BH180" s="147">
        <v>88.08</v>
      </c>
      <c r="BI180" s="147">
        <v>91.694999999999993</v>
      </c>
      <c r="BJ180" s="147">
        <v>89.435000000000002</v>
      </c>
      <c r="BK180" s="147">
        <v>86.864999999999995</v>
      </c>
      <c r="BL180" s="148">
        <v>80.254999999999995</v>
      </c>
      <c r="BM180" s="148">
        <v>88.855000000000004</v>
      </c>
      <c r="BN180" s="148">
        <v>84.055000000000007</v>
      </c>
      <c r="BO180" s="148">
        <v>93.1</v>
      </c>
      <c r="BP180" s="148">
        <v>90.525000000000006</v>
      </c>
      <c r="BQ180" s="147">
        <v>94.435000000000002</v>
      </c>
      <c r="BR180" s="71"/>
      <c r="BS180" s="149">
        <v>0.2</v>
      </c>
      <c r="BT180" s="150">
        <v>0.04</v>
      </c>
      <c r="BU180" s="150">
        <v>0.3</v>
      </c>
      <c r="BV180" s="150">
        <v>0.1</v>
      </c>
      <c r="BW180" s="150">
        <v>0.5</v>
      </c>
      <c r="BX180" s="149">
        <v>0.5</v>
      </c>
      <c r="BY180" s="150"/>
      <c r="BZ180" s="71"/>
      <c r="CA180" s="71"/>
      <c r="CB180" s="152"/>
      <c r="CC180" s="152"/>
      <c r="CD180" s="71"/>
      <c r="CE180" s="71"/>
      <c r="CF180" s="71"/>
      <c r="CG180" s="71"/>
      <c r="CH180" s="152"/>
      <c r="CI180" s="150"/>
      <c r="CJ180" s="150"/>
      <c r="CK180" s="150"/>
      <c r="CL180" s="150"/>
      <c r="CM180" s="150"/>
      <c r="CN180" s="150"/>
      <c r="CO180" s="150"/>
      <c r="CP180" s="150"/>
      <c r="CQ180" s="150"/>
      <c r="CR180" s="150"/>
      <c r="CS180" s="150"/>
      <c r="CT180" s="150"/>
      <c r="CU180" s="71"/>
      <c r="CV180" s="157"/>
      <c r="CW180" s="157">
        <f t="shared" si="81"/>
        <v>4.7628000000000004</v>
      </c>
      <c r="CX180" s="157">
        <f t="shared" si="138"/>
        <v>1.5674000000000001</v>
      </c>
      <c r="CY180" s="157">
        <f t="shared" si="83"/>
        <v>2.9632000000000001</v>
      </c>
      <c r="CZ180" s="157">
        <f t="shared" si="84"/>
        <v>5.0047200000000007</v>
      </c>
      <c r="DA180" s="157">
        <f>AJ180*BD180/100</f>
        <v>3.6248099999999992</v>
      </c>
      <c r="DB180" s="157">
        <f t="shared" si="86"/>
        <v>0.9294</v>
      </c>
      <c r="DC180" s="157">
        <f t="shared" si="104"/>
        <v>1.7319499999999999</v>
      </c>
      <c r="DD180" s="157">
        <f t="shared" si="91"/>
        <v>3.471155</v>
      </c>
      <c r="DE180" s="157">
        <f t="shared" si="118"/>
        <v>6.0209000000000001</v>
      </c>
      <c r="DF180" s="157">
        <f t="shared" si="92"/>
        <v>2.3242949999999998</v>
      </c>
      <c r="DG180" s="157">
        <f t="shared" si="93"/>
        <v>0.79272000000000009</v>
      </c>
      <c r="DH180" s="157">
        <f t="shared" si="129"/>
        <v>3.1176299999999997</v>
      </c>
      <c r="DI180" s="157">
        <f t="shared" si="130"/>
        <v>0</v>
      </c>
      <c r="DJ180" s="157">
        <f t="shared" si="131"/>
        <v>0</v>
      </c>
      <c r="DK180" s="157">
        <f t="shared" si="132"/>
        <v>0.80254999999999999</v>
      </c>
      <c r="DL180" s="157">
        <f t="shared" si="133"/>
        <v>0</v>
      </c>
      <c r="DM180" s="157">
        <f t="shared" si="134"/>
        <v>0</v>
      </c>
      <c r="DN180" s="157">
        <f t="shared" si="135"/>
        <v>0</v>
      </c>
      <c r="DO180" s="157">
        <f t="shared" si="136"/>
        <v>0</v>
      </c>
      <c r="DP180" s="157">
        <f t="shared" si="137"/>
        <v>2.5497450000000002</v>
      </c>
      <c r="DQ180" s="157">
        <f t="shared" si="88"/>
        <v>0</v>
      </c>
      <c r="DR180" s="157">
        <f t="shared" si="120"/>
        <v>0</v>
      </c>
      <c r="DS180" s="157">
        <f t="shared" si="105"/>
        <v>0</v>
      </c>
      <c r="DT180" s="157">
        <f t="shared" si="106"/>
        <v>0</v>
      </c>
      <c r="DU180" s="71"/>
      <c r="DV180" s="158"/>
      <c r="DW180" s="159">
        <f t="shared" si="119"/>
        <v>0</v>
      </c>
      <c r="DX180" s="160"/>
      <c r="DY180" s="151"/>
      <c r="DZ180" s="151"/>
      <c r="EA180" s="169"/>
      <c r="EB180" s="162">
        <f t="shared" si="111"/>
        <v>0</v>
      </c>
      <c r="EC180" s="163"/>
      <c r="ED180" s="163"/>
      <c r="EE180" s="163"/>
      <c r="EF180" s="163"/>
      <c r="EG180" s="206"/>
      <c r="EH180" s="163"/>
      <c r="EI180" s="171"/>
      <c r="EJ180" s="163"/>
      <c r="EK180" s="163"/>
      <c r="EL180" s="163"/>
      <c r="EM180" s="163"/>
      <c r="EN180" s="163"/>
      <c r="EO180" s="163"/>
      <c r="EP180" s="163"/>
      <c r="EQ180" s="163"/>
      <c r="ER180" s="163"/>
      <c r="ES180" s="71"/>
      <c r="ET180" s="71"/>
      <c r="EU180" s="71"/>
      <c r="EV180" s="71"/>
      <c r="EW180" s="71"/>
      <c r="EX180" s="71"/>
      <c r="EY180" s="71"/>
      <c r="EZ180" s="71"/>
      <c r="FA180" s="71"/>
      <c r="FB180" s="71"/>
      <c r="FC180" s="71"/>
      <c r="FD180" s="71"/>
      <c r="FE180" s="163"/>
      <c r="FF180" s="163"/>
      <c r="FG180" s="163"/>
      <c r="FH180" s="163"/>
      <c r="FI180" s="163"/>
      <c r="FJ180" s="163"/>
      <c r="FK180" s="163"/>
      <c r="FL180" s="163"/>
      <c r="FM180" s="170">
        <f t="shared" si="99"/>
        <v>0.62293794657842982</v>
      </c>
      <c r="FN180" s="170">
        <f t="shared" si="100"/>
        <v>0.59208107546476119</v>
      </c>
      <c r="FO180" s="172">
        <f t="shared" si="101"/>
        <v>1.052115955723542</v>
      </c>
      <c r="FP180" s="172">
        <f t="shared" si="102"/>
        <v>0.1583944756150194</v>
      </c>
      <c r="FQ180" s="173">
        <f t="shared" si="103"/>
        <v>7.3598823529411772E-2</v>
      </c>
    </row>
    <row r="181" spans="2:173" hidden="1" x14ac:dyDescent="0.25">
      <c r="B181" s="263" t="s">
        <v>419</v>
      </c>
      <c r="C181" s="71"/>
      <c r="D181" s="151">
        <v>3168</v>
      </c>
      <c r="E181" s="151">
        <v>3029</v>
      </c>
      <c r="F181" s="151">
        <v>2317</v>
      </c>
      <c r="G181" s="71"/>
      <c r="H181" s="152"/>
      <c r="I181" s="153">
        <v>21.3</v>
      </c>
      <c r="J181" s="154">
        <v>0.3</v>
      </c>
      <c r="K181" s="154">
        <v>2.4</v>
      </c>
      <c r="L181" s="71"/>
      <c r="M181" s="71"/>
      <c r="N181" s="71">
        <v>41.1</v>
      </c>
      <c r="O181" s="71"/>
      <c r="P181" s="71"/>
      <c r="Q181" s="71"/>
      <c r="R181" s="71"/>
      <c r="S181" s="71"/>
      <c r="T181" s="71"/>
      <c r="U181" s="71"/>
      <c r="V181" s="71"/>
      <c r="W181" s="71"/>
      <c r="X181" s="71"/>
      <c r="Y181" s="71"/>
      <c r="Z181" s="71"/>
      <c r="AA181" s="71"/>
      <c r="AB181" s="71"/>
      <c r="AC181" s="71"/>
      <c r="AD181" s="71"/>
      <c r="AE181" s="71"/>
      <c r="AF181" s="150"/>
      <c r="AG181" s="150"/>
      <c r="AH181" s="149"/>
      <c r="AI181" s="149"/>
      <c r="AJ181" s="149"/>
      <c r="AK181" s="149"/>
      <c r="AL181" s="150"/>
      <c r="AM181" s="149"/>
      <c r="AN181" s="149"/>
      <c r="AO181" s="149"/>
      <c r="AP181" s="149"/>
      <c r="AQ181" s="149"/>
      <c r="AR181" s="149"/>
      <c r="AS181" s="149"/>
      <c r="AT181" s="149"/>
      <c r="AU181" s="149"/>
      <c r="AV181" s="149"/>
      <c r="AW181" s="150"/>
      <c r="AX181" s="71"/>
      <c r="AY181" s="147"/>
      <c r="AZ181" s="147"/>
      <c r="BA181" s="147"/>
      <c r="BB181" s="147"/>
      <c r="BC181" s="147"/>
      <c r="BD181" s="147"/>
      <c r="BE181" s="148"/>
      <c r="BF181" s="147"/>
      <c r="BG181" s="147"/>
      <c r="BH181" s="147"/>
      <c r="BI181" s="147"/>
      <c r="BJ181" s="147"/>
      <c r="BK181" s="147"/>
      <c r="BL181" s="148"/>
      <c r="BM181" s="148"/>
      <c r="BN181" s="148"/>
      <c r="BO181" s="148"/>
      <c r="BP181" s="148"/>
      <c r="BQ181" s="147"/>
      <c r="BR181" s="71"/>
      <c r="BS181" s="149">
        <v>3.05</v>
      </c>
      <c r="BT181" s="150">
        <v>2.57</v>
      </c>
      <c r="BU181" s="150">
        <v>1.26</v>
      </c>
      <c r="BV181" s="150"/>
      <c r="BW181" s="150">
        <v>1.75</v>
      </c>
      <c r="BX181" s="149">
        <v>1.72</v>
      </c>
      <c r="BY181" s="150"/>
      <c r="BZ181" s="71"/>
      <c r="CA181" s="71"/>
      <c r="CB181" s="152">
        <v>86</v>
      </c>
      <c r="CC181" s="152">
        <v>86</v>
      </c>
      <c r="CD181" s="71"/>
      <c r="CE181" s="71"/>
      <c r="CF181" s="71"/>
      <c r="CG181" s="71"/>
      <c r="CH181" s="152">
        <v>21.3</v>
      </c>
      <c r="CI181" s="150"/>
      <c r="CJ181" s="150"/>
      <c r="CK181" s="150"/>
      <c r="CL181" s="150"/>
      <c r="CM181" s="150">
        <v>2.88</v>
      </c>
      <c r="CN181" s="150"/>
      <c r="CO181" s="150"/>
      <c r="CP181" s="150"/>
      <c r="CQ181" s="150"/>
      <c r="CR181" s="150"/>
      <c r="CS181" s="150"/>
      <c r="CT181" s="150"/>
      <c r="CU181" s="71"/>
      <c r="CV181" s="157"/>
      <c r="CW181" s="157">
        <f t="shared" si="81"/>
        <v>0</v>
      </c>
      <c r="CX181" s="157">
        <f t="shared" si="138"/>
        <v>0</v>
      </c>
      <c r="CY181" s="157">
        <f t="shared" si="83"/>
        <v>0</v>
      </c>
      <c r="CZ181" s="157">
        <f t="shared" si="84"/>
        <v>0</v>
      </c>
      <c r="DA181" s="157">
        <f t="shared" si="85"/>
        <v>0</v>
      </c>
      <c r="DB181" s="157">
        <f t="shared" si="86"/>
        <v>0</v>
      </c>
      <c r="DC181" s="157">
        <f t="shared" si="104"/>
        <v>0</v>
      </c>
      <c r="DD181" s="157">
        <f t="shared" si="91"/>
        <v>0</v>
      </c>
      <c r="DE181" s="157">
        <f t="shared" si="118"/>
        <v>0</v>
      </c>
      <c r="DF181" s="157">
        <f t="shared" si="92"/>
        <v>0</v>
      </c>
      <c r="DG181" s="157">
        <f t="shared" si="93"/>
        <v>0</v>
      </c>
      <c r="DH181" s="157">
        <f t="shared" si="129"/>
        <v>0</v>
      </c>
      <c r="DI181" s="157">
        <f t="shared" si="130"/>
        <v>0</v>
      </c>
      <c r="DJ181" s="157">
        <f t="shared" si="131"/>
        <v>0</v>
      </c>
      <c r="DK181" s="157">
        <f t="shared" si="132"/>
        <v>0</v>
      </c>
      <c r="DL181" s="157">
        <f t="shared" si="133"/>
        <v>0</v>
      </c>
      <c r="DM181" s="157">
        <f t="shared" si="134"/>
        <v>0</v>
      </c>
      <c r="DN181" s="157">
        <f t="shared" si="135"/>
        <v>0</v>
      </c>
      <c r="DO181" s="157">
        <f t="shared" si="136"/>
        <v>0</v>
      </c>
      <c r="DP181" s="157">
        <f t="shared" si="137"/>
        <v>0</v>
      </c>
      <c r="DQ181" s="157">
        <f t="shared" si="88"/>
        <v>1.4791999999999998</v>
      </c>
      <c r="DR181" s="157">
        <f t="shared" si="120"/>
        <v>1.4791999999999998</v>
      </c>
      <c r="DS181" s="157">
        <f t="shared" si="105"/>
        <v>0</v>
      </c>
      <c r="DT181" s="157">
        <f t="shared" si="106"/>
        <v>0</v>
      </c>
      <c r="DU181" s="71"/>
      <c r="DV181" s="158"/>
      <c r="DW181" s="159">
        <v>1200</v>
      </c>
      <c r="DX181" s="160">
        <v>0.6</v>
      </c>
      <c r="DY181" s="151"/>
      <c r="DZ181" s="151"/>
      <c r="EA181" s="169">
        <v>0.96</v>
      </c>
      <c r="EB181" s="162">
        <f t="shared" si="111"/>
        <v>1.6512</v>
      </c>
      <c r="EC181" s="163"/>
      <c r="ED181" s="163"/>
      <c r="EE181" s="163">
        <v>5180</v>
      </c>
      <c r="EF181" s="163"/>
      <c r="EG181" s="206"/>
      <c r="EH181" s="163"/>
      <c r="EI181" s="171"/>
      <c r="EJ181" s="163"/>
      <c r="EK181" s="174">
        <v>1.123E-2</v>
      </c>
      <c r="EL181" s="174">
        <v>6.29E-4</v>
      </c>
      <c r="EM181" s="174">
        <v>1.8900000000000001E-4</v>
      </c>
      <c r="EN181" s="174">
        <v>9.43989930774072E-5</v>
      </c>
      <c r="EO181" s="174">
        <v>1.6991818753933301E-6</v>
      </c>
      <c r="EP181" s="174">
        <v>1.6991818753933301E-6</v>
      </c>
      <c r="EQ181" s="175"/>
      <c r="ER181" s="163"/>
      <c r="ES181" s="71">
        <v>10714.29</v>
      </c>
      <c r="ET181" s="71">
        <v>4285.7139999999999</v>
      </c>
      <c r="EU181" s="71">
        <v>114.28570000000001</v>
      </c>
      <c r="EV181" s="71">
        <v>8.5714290000000002</v>
      </c>
      <c r="EW181" s="71">
        <v>8.5713999999999999E-2</v>
      </c>
      <c r="EX181" s="71">
        <v>128.57140000000001</v>
      </c>
      <c r="EY181" s="71">
        <v>71.428569999999993</v>
      </c>
      <c r="EZ181" s="71">
        <v>21.428570000000001</v>
      </c>
      <c r="FA181" s="71"/>
      <c r="FB181" s="71"/>
      <c r="FC181" s="71"/>
      <c r="FD181" s="71"/>
      <c r="FE181" s="163"/>
      <c r="FF181" s="163"/>
      <c r="FG181" s="163"/>
      <c r="FH181" s="163"/>
      <c r="FI181" s="163"/>
      <c r="FJ181" s="163"/>
      <c r="FK181" s="163"/>
      <c r="FL181" s="163"/>
      <c r="FM181" s="170" t="e">
        <f t="shared" si="99"/>
        <v>#DIV/0!</v>
      </c>
      <c r="FN181" s="170" t="e">
        <f t="shared" si="100"/>
        <v>#DIV/0!</v>
      </c>
      <c r="FO181" s="172" t="e">
        <f t="shared" si="101"/>
        <v>#DIV/0!</v>
      </c>
      <c r="FP181" s="172" t="e">
        <f t="shared" si="102"/>
        <v>#DIV/0!</v>
      </c>
      <c r="FQ181" s="176">
        <f t="shared" si="103"/>
        <v>0</v>
      </c>
    </row>
    <row r="182" spans="2:173" hidden="1" x14ac:dyDescent="0.25">
      <c r="B182" s="263" t="s">
        <v>420</v>
      </c>
      <c r="C182" s="71"/>
      <c r="D182" s="151">
        <v>1990</v>
      </c>
      <c r="E182" s="151">
        <v>1783</v>
      </c>
      <c r="F182" s="151">
        <v>928</v>
      </c>
      <c r="G182" s="71"/>
      <c r="H182" s="152"/>
      <c r="I182" s="153">
        <v>46</v>
      </c>
      <c r="J182" s="154">
        <v>4</v>
      </c>
      <c r="K182" s="154">
        <v>1</v>
      </c>
      <c r="L182" s="71"/>
      <c r="M182" s="71"/>
      <c r="N182" s="71"/>
      <c r="O182" s="71"/>
      <c r="P182" s="71"/>
      <c r="Q182" s="71"/>
      <c r="R182" s="71"/>
      <c r="S182" s="71"/>
      <c r="T182" s="71"/>
      <c r="U182" s="71"/>
      <c r="V182" s="71"/>
      <c r="W182" s="71"/>
      <c r="X182" s="71"/>
      <c r="Y182" s="71"/>
      <c r="Z182" s="71"/>
      <c r="AA182" s="71"/>
      <c r="AB182" s="71"/>
      <c r="AC182" s="71"/>
      <c r="AD182" s="71"/>
      <c r="AE182" s="71"/>
      <c r="AF182" s="150">
        <v>3.19</v>
      </c>
      <c r="AG182" s="150">
        <v>1.24</v>
      </c>
      <c r="AH182" s="149">
        <v>2.42</v>
      </c>
      <c r="AI182" s="149">
        <v>3.8</v>
      </c>
      <c r="AJ182" s="149">
        <v>3</v>
      </c>
      <c r="AK182" s="149">
        <v>0.66</v>
      </c>
      <c r="AL182" s="150">
        <v>2.5</v>
      </c>
      <c r="AM182" s="149">
        <v>1.79</v>
      </c>
      <c r="AN182" s="149">
        <v>0.74</v>
      </c>
      <c r="AO182" s="149">
        <v>2.52</v>
      </c>
      <c r="AP182" s="149"/>
      <c r="AQ182" s="149"/>
      <c r="AR182" s="149">
        <v>0.66</v>
      </c>
      <c r="AS182" s="149"/>
      <c r="AT182" s="149"/>
      <c r="AU182" s="149"/>
      <c r="AV182" s="149"/>
      <c r="AW182" s="150"/>
      <c r="AX182" s="71"/>
      <c r="AY182" s="147"/>
      <c r="AZ182" s="147">
        <v>95.88</v>
      </c>
      <c r="BA182" s="147">
        <v>91.8</v>
      </c>
      <c r="BB182" s="147">
        <v>90.78</v>
      </c>
      <c r="BC182" s="147">
        <v>89.76</v>
      </c>
      <c r="BD182" s="147">
        <v>87.83</v>
      </c>
      <c r="BE182" s="148">
        <v>91.8</v>
      </c>
      <c r="BF182" s="147">
        <v>89.76</v>
      </c>
      <c r="BG182" s="147">
        <v>86.7</v>
      </c>
      <c r="BH182" s="147">
        <v>92.82</v>
      </c>
      <c r="BI182" s="147">
        <v>88.74</v>
      </c>
      <c r="BJ182" s="147"/>
      <c r="BK182" s="147"/>
      <c r="BL182" s="148">
        <v>85.68</v>
      </c>
      <c r="BM182" s="148"/>
      <c r="BN182" s="148"/>
      <c r="BO182" s="148"/>
      <c r="BP182" s="148"/>
      <c r="BQ182" s="147">
        <v>88</v>
      </c>
      <c r="BR182" s="71"/>
      <c r="BS182" s="149">
        <v>0.41</v>
      </c>
      <c r="BT182" s="150"/>
      <c r="BU182" s="150"/>
      <c r="BV182" s="150"/>
      <c r="BW182" s="150"/>
      <c r="BX182" s="149">
        <v>0.69</v>
      </c>
      <c r="BY182" s="150"/>
      <c r="BZ182" s="71"/>
      <c r="CA182" s="71"/>
      <c r="CB182" s="152">
        <v>39</v>
      </c>
      <c r="CC182" s="152">
        <v>48</v>
      </c>
      <c r="CD182" s="71"/>
      <c r="CE182" s="71"/>
      <c r="CF182" s="71"/>
      <c r="CG182" s="71"/>
      <c r="CH182" s="152">
        <v>46</v>
      </c>
      <c r="CI182" s="150"/>
      <c r="CJ182" s="150"/>
      <c r="CK182" s="150"/>
      <c r="CL182" s="150"/>
      <c r="CM182" s="150"/>
      <c r="CN182" s="150"/>
      <c r="CO182" s="150"/>
      <c r="CP182" s="150"/>
      <c r="CQ182" s="150"/>
      <c r="CR182" s="150"/>
      <c r="CS182" s="150"/>
      <c r="CT182" s="150"/>
      <c r="CU182" s="71"/>
      <c r="CV182" s="157"/>
      <c r="CW182" s="157">
        <f t="shared" si="81"/>
        <v>3.0585719999999998</v>
      </c>
      <c r="CX182" s="157">
        <f t="shared" si="138"/>
        <v>1.13832</v>
      </c>
      <c r="CY182" s="157">
        <f t="shared" si="83"/>
        <v>2.1968760000000001</v>
      </c>
      <c r="CZ182" s="157">
        <f t="shared" si="84"/>
        <v>3.4108800000000001</v>
      </c>
      <c r="DA182" s="157">
        <f t="shared" si="85"/>
        <v>2.6349</v>
      </c>
      <c r="DB182" s="157">
        <f t="shared" si="86"/>
        <v>0.60587999999999997</v>
      </c>
      <c r="DC182" s="157">
        <f t="shared" si="104"/>
        <v>1.1713680000000002</v>
      </c>
      <c r="DD182" s="157">
        <f t="shared" si="91"/>
        <v>2.2440000000000002</v>
      </c>
      <c r="DE182" s="157">
        <f t="shared" si="118"/>
        <v>2.2440000000000002</v>
      </c>
      <c r="DF182" s="157">
        <f t="shared" si="92"/>
        <v>1.55193</v>
      </c>
      <c r="DG182" s="157">
        <f t="shared" si="93"/>
        <v>0.68686799999999992</v>
      </c>
      <c r="DH182" s="157">
        <f t="shared" si="129"/>
        <v>2.2362479999999998</v>
      </c>
      <c r="DI182" s="157">
        <f t="shared" si="130"/>
        <v>0</v>
      </c>
      <c r="DJ182" s="157">
        <f t="shared" si="131"/>
        <v>0</v>
      </c>
      <c r="DK182" s="157">
        <f t="shared" si="132"/>
        <v>0.5654880000000001</v>
      </c>
      <c r="DL182" s="157">
        <f t="shared" si="133"/>
        <v>0</v>
      </c>
      <c r="DM182" s="157">
        <f t="shared" si="134"/>
        <v>0</v>
      </c>
      <c r="DN182" s="157">
        <f t="shared" si="135"/>
        <v>0</v>
      </c>
      <c r="DO182" s="157">
        <f t="shared" si="136"/>
        <v>0</v>
      </c>
      <c r="DP182" s="157">
        <f t="shared" si="137"/>
        <v>0</v>
      </c>
      <c r="DQ182" s="157">
        <f t="shared" si="88"/>
        <v>0.26909999999999995</v>
      </c>
      <c r="DR182" s="157">
        <f t="shared" si="120"/>
        <v>0.33119999999999999</v>
      </c>
      <c r="DS182" s="157">
        <f t="shared" si="105"/>
        <v>0</v>
      </c>
      <c r="DT182" s="157">
        <f t="shared" si="106"/>
        <v>0</v>
      </c>
      <c r="DU182" s="71"/>
      <c r="DV182" s="158"/>
      <c r="DW182" s="159">
        <v>511</v>
      </c>
      <c r="DX182" s="160">
        <v>0.25600000000000001</v>
      </c>
      <c r="DY182" s="151"/>
      <c r="DZ182" s="151"/>
      <c r="EA182" s="169">
        <v>0.23</v>
      </c>
      <c r="EB182" s="162">
        <f t="shared" si="111"/>
        <v>0.15870000000000001</v>
      </c>
      <c r="EC182" s="163"/>
      <c r="ED182" s="163"/>
      <c r="EE182" s="163"/>
      <c r="EF182" s="163"/>
      <c r="EG182" s="206"/>
      <c r="EH182" s="163"/>
      <c r="EI182" s="171"/>
      <c r="EJ182" s="163"/>
      <c r="EK182" s="177"/>
      <c r="EL182" s="177"/>
      <c r="EM182" s="177"/>
      <c r="EN182" s="177"/>
      <c r="EO182" s="177"/>
      <c r="EP182" s="177"/>
      <c r="EQ182" s="163"/>
      <c r="ER182" s="163"/>
      <c r="ES182" s="71"/>
      <c r="ET182" s="71"/>
      <c r="EU182" s="71"/>
      <c r="EV182" s="71"/>
      <c r="EW182" s="71"/>
      <c r="EX182" s="71"/>
      <c r="EY182" s="71"/>
      <c r="EZ182" s="71"/>
      <c r="FA182" s="71"/>
      <c r="FB182" s="71"/>
      <c r="FC182" s="71"/>
      <c r="FD182" s="71"/>
      <c r="FE182" s="163"/>
      <c r="FF182" s="163"/>
      <c r="FG182" s="163"/>
      <c r="FH182" s="163"/>
      <c r="FI182" s="163"/>
      <c r="FJ182" s="163"/>
      <c r="FK182" s="163"/>
      <c r="FL182" s="163"/>
      <c r="FM182" s="170">
        <f t="shared" si="99"/>
        <v>0.65562200956937788</v>
      </c>
      <c r="FN182" s="170">
        <f t="shared" si="100"/>
        <v>0.64407894736842108</v>
      </c>
      <c r="FO182" s="172">
        <f t="shared" si="101"/>
        <v>1.01792181261027</v>
      </c>
      <c r="FP182" s="172">
        <f t="shared" si="102"/>
        <v>0.20137559808612437</v>
      </c>
      <c r="FQ182" s="173">
        <f t="shared" si="103"/>
        <v>7.4149565217391314E-2</v>
      </c>
    </row>
    <row r="183" spans="2:173" ht="12.75" hidden="1" customHeight="1" x14ac:dyDescent="0.25">
      <c r="B183" s="263" t="s">
        <v>447</v>
      </c>
      <c r="C183" s="71"/>
      <c r="D183" s="151">
        <v>3675</v>
      </c>
      <c r="E183" s="151">
        <v>3315</v>
      </c>
      <c r="F183" s="151">
        <v>2351.36</v>
      </c>
      <c r="G183" s="71"/>
      <c r="H183" s="152">
        <v>87</v>
      </c>
      <c r="I183" s="153">
        <v>45.78</v>
      </c>
      <c r="J183" s="154">
        <v>3.85</v>
      </c>
      <c r="K183" s="154">
        <v>1.52</v>
      </c>
      <c r="L183" s="152">
        <v>2.86</v>
      </c>
      <c r="M183" s="152">
        <v>6.24</v>
      </c>
      <c r="N183" s="71"/>
      <c r="O183" s="71">
        <v>4.3</v>
      </c>
      <c r="P183" s="152">
        <v>3.78</v>
      </c>
      <c r="Q183" s="152">
        <v>7.33</v>
      </c>
      <c r="R183" s="71"/>
      <c r="S183" s="152">
        <v>3.81</v>
      </c>
      <c r="T183" s="152">
        <v>1.89</v>
      </c>
      <c r="U183" s="152">
        <v>8.2100000000000009</v>
      </c>
      <c r="V183" s="152">
        <v>5.28</v>
      </c>
      <c r="W183" s="152">
        <v>1.1000000000000001</v>
      </c>
      <c r="X183" s="152">
        <v>16.71</v>
      </c>
      <c r="Y183" s="71"/>
      <c r="Z183" s="71"/>
      <c r="AA183" s="71"/>
      <c r="AB183" s="152">
        <v>28.27</v>
      </c>
      <c r="AC183" s="152">
        <v>88</v>
      </c>
      <c r="AD183" s="152">
        <v>41.477899999999998</v>
      </c>
      <c r="AE183" s="71"/>
      <c r="AF183" s="150">
        <v>3.09</v>
      </c>
      <c r="AG183" s="150">
        <v>1.139</v>
      </c>
      <c r="AH183" s="149">
        <v>1.946</v>
      </c>
      <c r="AI183" s="149">
        <v>3.2949999999999999</v>
      </c>
      <c r="AJ183" s="149">
        <v>2.7109999999999999</v>
      </c>
      <c r="AK183" s="149">
        <v>0.56000000000000005</v>
      </c>
      <c r="AL183" s="150">
        <v>2.2429999999999999</v>
      </c>
      <c r="AM183" s="149">
        <v>1.7430000000000001</v>
      </c>
      <c r="AN183" s="149">
        <v>0.61599999999999999</v>
      </c>
      <c r="AO183" s="149">
        <v>2.0459999999999998</v>
      </c>
      <c r="AP183" s="149">
        <v>1.9219999999999999</v>
      </c>
      <c r="AQ183" s="149">
        <v>4.7690000000000001</v>
      </c>
      <c r="AR183" s="149">
        <v>0.57899999999999996</v>
      </c>
      <c r="AS183" s="149">
        <v>7.8929999999999998</v>
      </c>
      <c r="AT183" s="149">
        <v>1.8340000000000001</v>
      </c>
      <c r="AU183" s="149">
        <v>1.611</v>
      </c>
      <c r="AV183" s="149">
        <v>2.2389999999999999</v>
      </c>
      <c r="AW183" s="150">
        <v>1.177</v>
      </c>
      <c r="AX183" s="71"/>
      <c r="AY183" s="147">
        <v>87</v>
      </c>
      <c r="AZ183" s="147">
        <v>94</v>
      </c>
      <c r="BA183" s="147">
        <v>90</v>
      </c>
      <c r="BB183" s="147">
        <v>89</v>
      </c>
      <c r="BC183" s="147">
        <v>88</v>
      </c>
      <c r="BD183" s="147">
        <v>89</v>
      </c>
      <c r="BE183" s="148">
        <v>90</v>
      </c>
      <c r="BF183" s="147">
        <v>88</v>
      </c>
      <c r="BG183" s="147">
        <v>85</v>
      </c>
      <c r="BH183" s="147">
        <v>91</v>
      </c>
      <c r="BI183" s="147">
        <v>87</v>
      </c>
      <c r="BJ183" s="147">
        <v>85</v>
      </c>
      <c r="BK183" s="147">
        <v>87</v>
      </c>
      <c r="BL183" s="148">
        <v>84</v>
      </c>
      <c r="BM183" s="148">
        <v>89</v>
      </c>
      <c r="BN183" s="148">
        <v>84</v>
      </c>
      <c r="BO183" s="148">
        <v>113</v>
      </c>
      <c r="BP183" s="148">
        <v>89</v>
      </c>
      <c r="BQ183" s="147">
        <v>88</v>
      </c>
      <c r="BR183" s="71"/>
      <c r="BS183" s="149">
        <v>0.33</v>
      </c>
      <c r="BT183" s="150">
        <v>4.9000000000000002E-2</v>
      </c>
      <c r="BU183" s="150">
        <v>2.2400000000000002</v>
      </c>
      <c r="BV183" s="150">
        <v>0.27</v>
      </c>
      <c r="BW183" s="150">
        <v>0.08</v>
      </c>
      <c r="BX183" s="149">
        <v>0.71</v>
      </c>
      <c r="BY183" s="150"/>
      <c r="BZ183" s="71"/>
      <c r="CA183" s="152">
        <v>0.38</v>
      </c>
      <c r="CB183" s="152">
        <v>39</v>
      </c>
      <c r="CC183" s="152">
        <v>48</v>
      </c>
      <c r="CD183" s="152">
        <v>78</v>
      </c>
      <c r="CE183" s="152">
        <v>85</v>
      </c>
      <c r="CF183" s="152">
        <v>24.877600000000001</v>
      </c>
      <c r="CG183" s="71"/>
      <c r="CH183" s="152">
        <v>39.138599999999997</v>
      </c>
      <c r="CI183" s="150">
        <v>3.1739999999999999</v>
      </c>
      <c r="CJ183" s="150">
        <v>1.1135999999999999</v>
      </c>
      <c r="CK183" s="150">
        <v>1.8617999999999999</v>
      </c>
      <c r="CL183" s="150">
        <v>3.1132</v>
      </c>
      <c r="CM183" s="150">
        <v>2.5752000000000002</v>
      </c>
      <c r="CN183" s="150">
        <v>0.58079999999999998</v>
      </c>
      <c r="CO183" s="150">
        <v>1.1337999999999999</v>
      </c>
      <c r="CP183" s="150">
        <v>2.0640000000000001</v>
      </c>
      <c r="CQ183" s="150">
        <v>3.3996</v>
      </c>
      <c r="CR183" s="150">
        <v>1.488</v>
      </c>
      <c r="CS183" s="150">
        <v>0.58079999999999998</v>
      </c>
      <c r="CT183" s="150">
        <v>1.8509</v>
      </c>
      <c r="CU183" s="71"/>
      <c r="CV183" s="157">
        <v>41.53</v>
      </c>
      <c r="CW183" s="157">
        <f t="shared" si="81"/>
        <v>2.9045999999999998</v>
      </c>
      <c r="CX183" s="157">
        <f t="shared" si="138"/>
        <v>1.0251000000000001</v>
      </c>
      <c r="CY183" s="157">
        <f t="shared" si="83"/>
        <v>1.7319399999999998</v>
      </c>
      <c r="CZ183" s="157">
        <f t="shared" si="84"/>
        <v>2.8996</v>
      </c>
      <c r="DA183" s="157">
        <f t="shared" si="85"/>
        <v>2.4127899999999998</v>
      </c>
      <c r="DB183" s="157">
        <f t="shared" si="86"/>
        <v>0.504</v>
      </c>
      <c r="DC183" s="157">
        <f t="shared" si="104"/>
        <v>0.99036000000000002</v>
      </c>
      <c r="DD183" s="157">
        <f t="shared" si="91"/>
        <v>1.9738399999999998</v>
      </c>
      <c r="DE183" s="157">
        <f t="shared" si="118"/>
        <v>3.0095999999999998</v>
      </c>
      <c r="DF183" s="157">
        <f t="shared" si="92"/>
        <v>1.4815499999999999</v>
      </c>
      <c r="DG183" s="157">
        <f t="shared" si="93"/>
        <v>0.56055999999999995</v>
      </c>
      <c r="DH183" s="157">
        <f t="shared" si="129"/>
        <v>1.7800199999999997</v>
      </c>
      <c r="DI183" s="157">
        <f t="shared" si="130"/>
        <v>1.6337000000000002</v>
      </c>
      <c r="DJ183" s="157">
        <f t="shared" si="131"/>
        <v>4.1490299999999998</v>
      </c>
      <c r="DK183" s="157">
        <f t="shared" si="132"/>
        <v>0.48635999999999996</v>
      </c>
      <c r="DL183" s="157">
        <f t="shared" si="133"/>
        <v>7.0247700000000002</v>
      </c>
      <c r="DM183" s="157">
        <f t="shared" si="134"/>
        <v>1.5405600000000002</v>
      </c>
      <c r="DN183" s="157">
        <f t="shared" si="135"/>
        <v>1.82043</v>
      </c>
      <c r="DO183" s="157">
        <f t="shared" si="136"/>
        <v>1.9927099999999998</v>
      </c>
      <c r="DP183" s="157">
        <f t="shared" si="137"/>
        <v>1.03576</v>
      </c>
      <c r="DQ183" s="157">
        <f t="shared" si="88"/>
        <v>0.27689999999999998</v>
      </c>
      <c r="DR183" s="157">
        <f t="shared" si="120"/>
        <v>0.34079999999999999</v>
      </c>
      <c r="DS183" s="157">
        <f t="shared" si="105"/>
        <v>0.25740000000000002</v>
      </c>
      <c r="DT183" s="157">
        <f t="shared" si="106"/>
        <v>0.28050000000000003</v>
      </c>
      <c r="DU183" s="71"/>
      <c r="DV183" s="158">
        <v>46.5</v>
      </c>
      <c r="DW183" s="159">
        <v>300</v>
      </c>
      <c r="DX183" s="160">
        <v>0.15</v>
      </c>
      <c r="DY183" s="151">
        <v>2000</v>
      </c>
      <c r="DZ183" s="151">
        <v>2120</v>
      </c>
      <c r="EA183" s="169">
        <v>0.23</v>
      </c>
      <c r="EB183" s="162">
        <f t="shared" si="111"/>
        <v>0.1633</v>
      </c>
      <c r="EC183" s="163">
        <v>0.6</v>
      </c>
      <c r="ED183" s="163"/>
      <c r="EE183" s="163"/>
      <c r="EF183" s="163"/>
      <c r="EG183" s="206">
        <v>0.42599999999999999</v>
      </c>
      <c r="EH183" s="163">
        <v>19</v>
      </c>
      <c r="EI183" s="171">
        <v>48.636000000000003</v>
      </c>
      <c r="EJ183" s="163"/>
      <c r="EK183" s="177"/>
      <c r="EL183" s="177"/>
      <c r="EM183" s="177"/>
      <c r="EN183" s="177"/>
      <c r="EO183" s="177"/>
      <c r="EP183" s="177"/>
      <c r="EQ183" s="163"/>
      <c r="ER183" s="163"/>
      <c r="ES183" s="71"/>
      <c r="ET183" s="71"/>
      <c r="EU183" s="71"/>
      <c r="EV183" s="71"/>
      <c r="EW183" s="71"/>
      <c r="EX183" s="71"/>
      <c r="EY183" s="71"/>
      <c r="EZ183" s="71"/>
      <c r="FA183" s="71"/>
      <c r="FB183" s="71"/>
      <c r="FC183" s="71"/>
      <c r="FD183" s="71"/>
      <c r="FE183" s="163"/>
      <c r="FF183" s="163"/>
      <c r="FG183" s="163"/>
      <c r="FH183" s="163"/>
      <c r="FI183" s="163">
        <v>55.05</v>
      </c>
      <c r="FJ183" s="163">
        <v>7.34</v>
      </c>
      <c r="FK183" s="163">
        <v>0.94833000000000001</v>
      </c>
      <c r="FL183" s="163"/>
      <c r="FM183" s="170">
        <f t="shared" si="99"/>
        <v>0.61388467374810307</v>
      </c>
      <c r="FN183" s="170">
        <f t="shared" si="100"/>
        <v>0.59730307628638424</v>
      </c>
      <c r="FO183" s="172">
        <f t="shared" si="101"/>
        <v>1.0277607769322263</v>
      </c>
      <c r="FP183" s="172">
        <f t="shared" si="102"/>
        <v>0.19332321699544763</v>
      </c>
      <c r="FQ183" s="173">
        <f t="shared" si="103"/>
        <v>6.3337702053298375E-2</v>
      </c>
    </row>
    <row r="184" spans="2:173" hidden="1" x14ac:dyDescent="0.25">
      <c r="B184" s="263" t="s">
        <v>421</v>
      </c>
      <c r="C184" s="71"/>
      <c r="D184" s="151">
        <v>1884</v>
      </c>
      <c r="E184" s="151">
        <v>1814</v>
      </c>
      <c r="F184" s="151">
        <v>1241</v>
      </c>
      <c r="G184" s="71"/>
      <c r="H184" s="153">
        <v>93.89</v>
      </c>
      <c r="I184" s="153">
        <v>51.36</v>
      </c>
      <c r="J184" s="154">
        <v>1.33</v>
      </c>
      <c r="K184" s="154">
        <v>16.07</v>
      </c>
      <c r="L184" s="71"/>
      <c r="M184" s="152">
        <v>13.68</v>
      </c>
      <c r="N184" s="71"/>
      <c r="O184" s="71"/>
      <c r="P184" s="71"/>
      <c r="Q184" s="71"/>
      <c r="R184" s="71"/>
      <c r="S184" s="71"/>
      <c r="T184" s="71"/>
      <c r="U184" s="71"/>
      <c r="V184" s="71"/>
      <c r="W184" s="71"/>
      <c r="X184" s="71"/>
      <c r="Y184" s="71"/>
      <c r="Z184" s="71"/>
      <c r="AA184" s="71"/>
      <c r="AB184" s="152"/>
      <c r="AC184" s="152"/>
      <c r="AD184" s="152"/>
      <c r="AE184" s="71"/>
      <c r="AF184" s="150">
        <v>3.73</v>
      </c>
      <c r="AG184" s="150">
        <v>1.29</v>
      </c>
      <c r="AH184" s="149">
        <v>2.04</v>
      </c>
      <c r="AI184" s="149">
        <v>3.61</v>
      </c>
      <c r="AJ184" s="149">
        <v>3.02</v>
      </c>
      <c r="AK184" s="149">
        <v>0.89</v>
      </c>
      <c r="AL184" s="150">
        <v>2.44</v>
      </c>
      <c r="AM184" s="149">
        <v>2.04</v>
      </c>
      <c r="AN184" s="149">
        <v>0.44</v>
      </c>
      <c r="AO184" s="149">
        <v>2.52</v>
      </c>
      <c r="AP184" s="149">
        <v>3.21</v>
      </c>
      <c r="AQ184" s="149">
        <v>4.09</v>
      </c>
      <c r="AR184" s="149">
        <v>0.99</v>
      </c>
      <c r="AS184" s="149">
        <v>6.89</v>
      </c>
      <c r="AT184" s="149"/>
      <c r="AU184" s="149">
        <v>3.73</v>
      </c>
      <c r="AV184" s="149">
        <v>2.5299999999999998</v>
      </c>
      <c r="AW184" s="150">
        <v>1.74</v>
      </c>
      <c r="AX184" s="71"/>
      <c r="AY184" s="147"/>
      <c r="AZ184" s="147">
        <v>86</v>
      </c>
      <c r="BA184" s="147">
        <v>75</v>
      </c>
      <c r="BB184" s="147">
        <v>80</v>
      </c>
      <c r="BC184" s="147">
        <v>79.7</v>
      </c>
      <c r="BD184" s="147">
        <v>77.099999999999994</v>
      </c>
      <c r="BE184" s="148">
        <v>84.2</v>
      </c>
      <c r="BF184" s="147">
        <v>75.599999999999994</v>
      </c>
      <c r="BG184" s="147">
        <v>76.099999999999994</v>
      </c>
      <c r="BH184" s="147">
        <v>91.2</v>
      </c>
      <c r="BI184" s="147">
        <v>74.5</v>
      </c>
      <c r="BJ184" s="147">
        <v>80.2</v>
      </c>
      <c r="BK184" s="147">
        <v>66.599999999999994</v>
      </c>
      <c r="BL184" s="148">
        <v>48.9</v>
      </c>
      <c r="BM184" s="148">
        <v>68.8</v>
      </c>
      <c r="BN184" s="148">
        <v>71.099999999999994</v>
      </c>
      <c r="BO184" s="148">
        <v>79.599999999999994</v>
      </c>
      <c r="BP184" s="148">
        <v>75.900000000000006</v>
      </c>
      <c r="BQ184" s="147">
        <v>78.3</v>
      </c>
      <c r="BR184" s="71"/>
      <c r="BS184" s="149">
        <v>3.14</v>
      </c>
      <c r="BT184" s="150"/>
      <c r="BU184" s="150">
        <v>0.98</v>
      </c>
      <c r="BV184" s="150">
        <v>0.16</v>
      </c>
      <c r="BW184" s="150">
        <v>1.42</v>
      </c>
      <c r="BX184" s="149">
        <v>1.78</v>
      </c>
      <c r="BY184" s="150"/>
      <c r="BZ184" s="71"/>
      <c r="CA184" s="71"/>
      <c r="CB184" s="71">
        <v>79.099999999999994</v>
      </c>
      <c r="CC184" s="71">
        <v>80.599999999999994</v>
      </c>
      <c r="CD184" s="71"/>
      <c r="CE184" s="71"/>
      <c r="CF184" s="71"/>
      <c r="CG184" s="71"/>
      <c r="CH184" s="152"/>
      <c r="CI184" s="150"/>
      <c r="CJ184" s="150"/>
      <c r="CK184" s="150"/>
      <c r="CL184" s="150"/>
      <c r="CM184" s="150"/>
      <c r="CN184" s="150"/>
      <c r="CO184" s="150"/>
      <c r="CP184" s="150"/>
      <c r="CQ184" s="150"/>
      <c r="CR184" s="150"/>
      <c r="CS184" s="150"/>
      <c r="CT184" s="150"/>
      <c r="CU184" s="71"/>
      <c r="CV184" s="157"/>
      <c r="CW184" s="157">
        <f t="shared" si="81"/>
        <v>3.2077999999999998</v>
      </c>
      <c r="CX184" s="157">
        <f t="shared" si="138"/>
        <v>0.96750000000000003</v>
      </c>
      <c r="CY184" s="157">
        <f t="shared" si="83"/>
        <v>1.6319999999999999</v>
      </c>
      <c r="CZ184" s="157">
        <f t="shared" si="84"/>
        <v>2.87717</v>
      </c>
      <c r="DA184" s="157">
        <f t="shared" si="85"/>
        <v>2.3284199999999999</v>
      </c>
      <c r="DB184" s="157">
        <f t="shared" si="86"/>
        <v>0.74938000000000005</v>
      </c>
      <c r="DC184" s="157">
        <f t="shared" si="104"/>
        <v>1.23349</v>
      </c>
      <c r="DD184" s="157">
        <f t="shared" si="91"/>
        <v>1.8446399999999996</v>
      </c>
      <c r="DE184" s="157">
        <f t="shared" si="118"/>
        <v>3.2070599999999994</v>
      </c>
      <c r="DF184" s="157">
        <f t="shared" si="92"/>
        <v>1.55244</v>
      </c>
      <c r="DG184" s="157">
        <f t="shared" si="93"/>
        <v>0.40128000000000003</v>
      </c>
      <c r="DH184" s="157">
        <f t="shared" si="129"/>
        <v>1.8774000000000002</v>
      </c>
      <c r="DI184" s="157">
        <f t="shared" si="130"/>
        <v>2.5744199999999999</v>
      </c>
      <c r="DJ184" s="157">
        <f t="shared" si="131"/>
        <v>2.7239399999999994</v>
      </c>
      <c r="DK184" s="157">
        <f t="shared" si="132"/>
        <v>0.48411000000000004</v>
      </c>
      <c r="DL184" s="157">
        <f t="shared" si="133"/>
        <v>4.7403199999999996</v>
      </c>
      <c r="DM184" s="157">
        <f t="shared" si="134"/>
        <v>0</v>
      </c>
      <c r="DN184" s="157">
        <f t="shared" si="135"/>
        <v>2.9690799999999995</v>
      </c>
      <c r="DO184" s="157">
        <f t="shared" si="136"/>
        <v>1.9202699999999999</v>
      </c>
      <c r="DP184" s="157">
        <f t="shared" si="137"/>
        <v>1.36242</v>
      </c>
      <c r="DQ184" s="157">
        <f t="shared" si="88"/>
        <v>1.40798</v>
      </c>
      <c r="DR184" s="157">
        <f t="shared" si="120"/>
        <v>1.43468</v>
      </c>
      <c r="DS184" s="157">
        <f t="shared" si="105"/>
        <v>0</v>
      </c>
      <c r="DT184" s="157">
        <f t="shared" si="106"/>
        <v>0</v>
      </c>
      <c r="DU184" s="71"/>
      <c r="DV184" s="158"/>
      <c r="DW184" s="159">
        <f t="shared" si="119"/>
        <v>0</v>
      </c>
      <c r="DX184" s="160"/>
      <c r="DY184" s="151"/>
      <c r="DZ184" s="151"/>
      <c r="EA184" s="169"/>
      <c r="EB184" s="162">
        <f t="shared" si="111"/>
        <v>0</v>
      </c>
      <c r="EC184" s="163"/>
      <c r="ED184" s="163"/>
      <c r="EE184" s="163"/>
      <c r="EF184" s="163"/>
      <c r="EG184" s="206"/>
      <c r="EH184" s="163"/>
      <c r="EI184" s="171"/>
      <c r="EJ184" s="163"/>
      <c r="EK184" s="174"/>
      <c r="EL184" s="174"/>
      <c r="EM184" s="174"/>
      <c r="EN184" s="174"/>
      <c r="EO184" s="174"/>
      <c r="EP184" s="174"/>
      <c r="EQ184" s="178"/>
      <c r="ER184" s="163"/>
      <c r="ES184" s="71"/>
      <c r="ET184" s="71"/>
      <c r="EU184" s="71"/>
      <c r="EV184" s="71"/>
      <c r="EW184" s="71"/>
      <c r="EX184" s="71"/>
      <c r="EY184" s="71"/>
      <c r="EZ184" s="71"/>
      <c r="FA184" s="71"/>
      <c r="FB184" s="71"/>
      <c r="FC184" s="71"/>
      <c r="FD184" s="71"/>
      <c r="FE184" s="163"/>
      <c r="FF184" s="163"/>
      <c r="FG184" s="163"/>
      <c r="FH184" s="163"/>
      <c r="FI184" s="163">
        <v>20.6</v>
      </c>
      <c r="FJ184" s="163">
        <v>1.6</v>
      </c>
      <c r="FK184" s="163">
        <v>3.5675400000000002</v>
      </c>
      <c r="FL184" s="163"/>
      <c r="FM184" s="170">
        <f t="shared" si="99"/>
        <v>0.65251618778174392</v>
      </c>
      <c r="FN184" s="170">
        <f t="shared" si="100"/>
        <v>0.5672240430701001</v>
      </c>
      <c r="FO184" s="172">
        <f t="shared" si="101"/>
        <v>1.1503676470588238</v>
      </c>
      <c r="FP184" s="172">
        <f t="shared" si="102"/>
        <v>0.13947038235488346</v>
      </c>
      <c r="FQ184" s="173">
        <f t="shared" si="103"/>
        <v>5.6019665109034271E-2</v>
      </c>
    </row>
    <row r="185" spans="2:173" hidden="1" x14ac:dyDescent="0.25">
      <c r="B185" s="263" t="s">
        <v>422</v>
      </c>
      <c r="C185" s="71"/>
      <c r="D185" s="151"/>
      <c r="E185" s="151">
        <v>1727</v>
      </c>
      <c r="F185" s="151">
        <v>1281</v>
      </c>
      <c r="G185" s="71"/>
      <c r="H185" s="152">
        <v>96.5</v>
      </c>
      <c r="I185" s="153">
        <v>5.7</v>
      </c>
      <c r="J185" s="154"/>
      <c r="K185" s="154">
        <v>2.6</v>
      </c>
      <c r="L185" s="71"/>
      <c r="M185" s="152">
        <v>2.02</v>
      </c>
      <c r="N185" s="71"/>
      <c r="O185" s="71"/>
      <c r="P185" s="71"/>
      <c r="Q185" s="71"/>
      <c r="R185" s="71"/>
      <c r="S185" s="71"/>
      <c r="T185" s="71"/>
      <c r="U185" s="152">
        <v>3.22</v>
      </c>
      <c r="V185" s="71"/>
      <c r="W185" s="71"/>
      <c r="X185" s="71"/>
      <c r="Y185" s="71"/>
      <c r="Z185" s="71"/>
      <c r="AA185" s="71"/>
      <c r="AB185" s="152"/>
      <c r="AC185" s="152"/>
      <c r="AD185" s="152"/>
      <c r="AE185" s="71"/>
      <c r="AF185" s="150"/>
      <c r="AG185" s="150">
        <v>0.17</v>
      </c>
      <c r="AH185" s="149">
        <v>0.17</v>
      </c>
      <c r="AI185" s="149">
        <v>0.35</v>
      </c>
      <c r="AJ185" s="149">
        <v>0.21</v>
      </c>
      <c r="AK185" s="149">
        <v>7.0000000000000007E-2</v>
      </c>
      <c r="AL185" s="150"/>
      <c r="AM185" s="149">
        <v>0.18</v>
      </c>
      <c r="AN185" s="149">
        <v>0.06</v>
      </c>
      <c r="AO185" s="149">
        <v>0.25</v>
      </c>
      <c r="AP185" s="149"/>
      <c r="AQ185" s="149"/>
      <c r="AR185" s="149">
        <v>0.1</v>
      </c>
      <c r="AS185" s="149"/>
      <c r="AT185" s="149"/>
      <c r="AU185" s="149"/>
      <c r="AV185" s="149"/>
      <c r="AW185" s="150"/>
      <c r="AX185" s="71"/>
      <c r="AY185" s="147"/>
      <c r="AZ185" s="147"/>
      <c r="BA185" s="147">
        <v>87</v>
      </c>
      <c r="BB185" s="147">
        <v>86</v>
      </c>
      <c r="BC185" s="147">
        <v>87</v>
      </c>
      <c r="BD185" s="147">
        <v>78</v>
      </c>
      <c r="BE185" s="148">
        <v>87</v>
      </c>
      <c r="BF185" s="147"/>
      <c r="BG185" s="147">
        <v>81</v>
      </c>
      <c r="BH185" s="147">
        <v>84</v>
      </c>
      <c r="BI185" s="147">
        <v>85</v>
      </c>
      <c r="BJ185" s="147"/>
      <c r="BK185" s="147"/>
      <c r="BL185" s="148">
        <v>85</v>
      </c>
      <c r="BM185" s="148"/>
      <c r="BN185" s="148"/>
      <c r="BO185" s="148"/>
      <c r="BP185" s="148"/>
      <c r="BQ185" s="147"/>
      <c r="BR185" s="71"/>
      <c r="BS185" s="149">
        <v>0.17</v>
      </c>
      <c r="BT185" s="150"/>
      <c r="BU185" s="150">
        <v>0.24</v>
      </c>
      <c r="BV185" s="150"/>
      <c r="BW185" s="150">
        <v>0.43</v>
      </c>
      <c r="BX185" s="149">
        <v>0.19</v>
      </c>
      <c r="BY185" s="150">
        <v>7.0000000000000007E-2</v>
      </c>
      <c r="BZ185" s="71"/>
      <c r="CA185" s="71"/>
      <c r="CB185" s="71"/>
      <c r="CC185" s="71"/>
      <c r="CD185" s="71"/>
      <c r="CE185" s="71"/>
      <c r="CF185" s="71"/>
      <c r="CG185" s="71"/>
      <c r="CH185" s="152"/>
      <c r="CI185" s="150"/>
      <c r="CJ185" s="150"/>
      <c r="CK185" s="150"/>
      <c r="CL185" s="150"/>
      <c r="CM185" s="150"/>
      <c r="CN185" s="150"/>
      <c r="CO185" s="150"/>
      <c r="CP185" s="150"/>
      <c r="CQ185" s="150"/>
      <c r="CR185" s="150"/>
      <c r="CS185" s="150"/>
      <c r="CT185" s="150"/>
      <c r="CU185" s="71"/>
      <c r="CV185" s="157"/>
      <c r="CW185" s="157">
        <f t="shared" si="81"/>
        <v>0</v>
      </c>
      <c r="CX185" s="157">
        <f t="shared" si="138"/>
        <v>0.1479</v>
      </c>
      <c r="CY185" s="157">
        <f t="shared" si="83"/>
        <v>0.1462</v>
      </c>
      <c r="CZ185" s="157">
        <f t="shared" si="84"/>
        <v>0.30449999999999999</v>
      </c>
      <c r="DA185" s="157">
        <f t="shared" si="85"/>
        <v>0.1638</v>
      </c>
      <c r="DB185" s="157">
        <f t="shared" si="86"/>
        <v>6.090000000000001E-2</v>
      </c>
      <c r="DC185" s="157">
        <f t="shared" si="104"/>
        <v>0.1459</v>
      </c>
      <c r="DD185" s="157">
        <f t="shared" si="91"/>
        <v>0</v>
      </c>
      <c r="DE185" s="157">
        <f t="shared" si="118"/>
        <v>0</v>
      </c>
      <c r="DF185" s="157">
        <f t="shared" si="92"/>
        <v>0.14580000000000001</v>
      </c>
      <c r="DG185" s="157">
        <f t="shared" si="93"/>
        <v>5.04E-2</v>
      </c>
      <c r="DH185" s="157">
        <f t="shared" si="129"/>
        <v>0.21249999999999999</v>
      </c>
      <c r="DI185" s="157">
        <f t="shared" si="130"/>
        <v>0</v>
      </c>
      <c r="DJ185" s="157">
        <f t="shared" si="131"/>
        <v>0</v>
      </c>
      <c r="DK185" s="157">
        <f t="shared" si="132"/>
        <v>8.5000000000000006E-2</v>
      </c>
      <c r="DL185" s="157">
        <f t="shared" si="133"/>
        <v>0</v>
      </c>
      <c r="DM185" s="157">
        <f t="shared" si="134"/>
        <v>0</v>
      </c>
      <c r="DN185" s="157">
        <f t="shared" si="135"/>
        <v>0</v>
      </c>
      <c r="DO185" s="157">
        <f t="shared" si="136"/>
        <v>0</v>
      </c>
      <c r="DP185" s="157">
        <f t="shared" si="137"/>
        <v>0</v>
      </c>
      <c r="DQ185" s="157">
        <f t="shared" ref="DQ185:DQ207" si="142">CB185*BX185/100</f>
        <v>0</v>
      </c>
      <c r="DR185" s="157">
        <f t="shared" ref="DR185:DR207" si="143">CC185*BX185/100</f>
        <v>0</v>
      </c>
      <c r="DS185" s="157">
        <f t="shared" ref="DS185:DS207" si="144">BS185*CD185/100</f>
        <v>0</v>
      </c>
      <c r="DT185" s="157">
        <f t="shared" ref="DT185:DT207" si="145">BS185*CE185/100</f>
        <v>0</v>
      </c>
      <c r="DU185" s="71"/>
      <c r="DV185" s="158"/>
      <c r="DW185" s="159">
        <f t="shared" si="119"/>
        <v>0</v>
      </c>
      <c r="DX185" s="160"/>
      <c r="DY185" s="151"/>
      <c r="DZ185" s="151"/>
      <c r="EA185" s="169"/>
      <c r="EB185" s="162">
        <v>0.06</v>
      </c>
      <c r="EC185" s="163"/>
      <c r="ED185" s="163"/>
      <c r="EE185" s="163"/>
      <c r="EF185" s="163"/>
      <c r="EG185" s="206"/>
      <c r="EH185" s="163"/>
      <c r="EI185" s="171"/>
      <c r="EJ185" s="163"/>
      <c r="EK185" s="174"/>
      <c r="EL185" s="174"/>
      <c r="EM185" s="174"/>
      <c r="EN185" s="174"/>
      <c r="EO185" s="174"/>
      <c r="EP185" s="174"/>
      <c r="EQ185" s="178"/>
      <c r="ER185" s="163"/>
      <c r="ES185" s="71"/>
      <c r="ET185" s="71"/>
      <c r="EU185" s="71"/>
      <c r="EV185" s="71"/>
      <c r="EW185" s="71"/>
      <c r="EX185" s="71"/>
      <c r="EY185" s="71"/>
      <c r="EZ185" s="71"/>
      <c r="FA185" s="71"/>
      <c r="FB185" s="71"/>
      <c r="FC185" s="71"/>
      <c r="FD185" s="71"/>
      <c r="FE185" s="163"/>
      <c r="FF185" s="163"/>
      <c r="FG185" s="163"/>
      <c r="FH185" s="163"/>
      <c r="FI185" s="163"/>
      <c r="FJ185" s="163"/>
      <c r="FK185" s="163"/>
      <c r="FL185" s="163"/>
      <c r="FM185" s="170">
        <f t="shared" si="99"/>
        <v>0.69786535303776687</v>
      </c>
      <c r="FN185" s="170">
        <f t="shared" si="100"/>
        <v>0.48013136288998359</v>
      </c>
      <c r="FO185" s="172">
        <f t="shared" si="101"/>
        <v>1.4534883720930232</v>
      </c>
      <c r="FP185" s="172">
        <f t="shared" si="102"/>
        <v>0.16551724137931034</v>
      </c>
      <c r="FQ185" s="173">
        <f t="shared" si="103"/>
        <v>5.3421052631578946E-2</v>
      </c>
    </row>
    <row r="186" spans="2:173" hidden="1" x14ac:dyDescent="0.25">
      <c r="B186" s="263" t="s">
        <v>423</v>
      </c>
      <c r="C186" s="71"/>
      <c r="D186" s="151"/>
      <c r="E186" s="151">
        <v>1938</v>
      </c>
      <c r="F186" s="151"/>
      <c r="G186" s="71"/>
      <c r="H186" s="152"/>
      <c r="I186" s="153">
        <v>48.5</v>
      </c>
      <c r="J186" s="154"/>
      <c r="K186" s="154">
        <v>11.5</v>
      </c>
      <c r="L186" s="71"/>
      <c r="M186" s="71">
        <v>6</v>
      </c>
      <c r="N186" s="71"/>
      <c r="O186" s="71"/>
      <c r="P186" s="71"/>
      <c r="Q186" s="71"/>
      <c r="R186" s="71"/>
      <c r="S186" s="71"/>
      <c r="T186" s="71"/>
      <c r="U186" s="71"/>
      <c r="V186" s="71"/>
      <c r="W186" s="71"/>
      <c r="X186" s="71"/>
      <c r="Y186" s="71"/>
      <c r="Z186" s="71"/>
      <c r="AA186" s="71"/>
      <c r="AB186" s="152"/>
      <c r="AC186" s="152"/>
      <c r="AD186" s="152"/>
      <c r="AE186" s="71"/>
      <c r="AF186" s="150"/>
      <c r="AG186" s="150">
        <v>1.19</v>
      </c>
      <c r="AH186" s="149">
        <v>2.27</v>
      </c>
      <c r="AI186" s="149">
        <v>4.6900000000000004</v>
      </c>
      <c r="AJ186" s="149">
        <v>3.98</v>
      </c>
      <c r="AK186" s="149">
        <v>0.83</v>
      </c>
      <c r="AL186" s="150"/>
      <c r="AM186" s="149">
        <v>2.93</v>
      </c>
      <c r="AN186" s="149">
        <v>0.84</v>
      </c>
      <c r="AO186" s="149">
        <v>2.64</v>
      </c>
      <c r="AP186" s="149"/>
      <c r="AQ186" s="149"/>
      <c r="AR186" s="149">
        <v>0.9</v>
      </c>
      <c r="AS186" s="149"/>
      <c r="AT186" s="149"/>
      <c r="AU186" s="149"/>
      <c r="AV186" s="149"/>
      <c r="AW186" s="150"/>
      <c r="AX186" s="71"/>
      <c r="AY186" s="147"/>
      <c r="AZ186" s="147"/>
      <c r="BA186" s="147">
        <v>91.6</v>
      </c>
      <c r="BB186" s="147">
        <v>94.7</v>
      </c>
      <c r="BC186" s="147">
        <v>94.9</v>
      </c>
      <c r="BD186" s="147">
        <v>92.7</v>
      </c>
      <c r="BE186" s="148">
        <v>95.2</v>
      </c>
      <c r="BF186" s="147"/>
      <c r="BG186" s="147">
        <v>85</v>
      </c>
      <c r="BH186" s="147">
        <v>95.2</v>
      </c>
      <c r="BI186" s="147">
        <v>95.1</v>
      </c>
      <c r="BJ186" s="147"/>
      <c r="BK186" s="147"/>
      <c r="BL186" s="148">
        <v>85.6</v>
      </c>
      <c r="BM186" s="148"/>
      <c r="BN186" s="148"/>
      <c r="BO186" s="148"/>
      <c r="BP186" s="148"/>
      <c r="BQ186" s="147"/>
      <c r="BR186" s="71"/>
      <c r="BS186" s="149">
        <v>0.74</v>
      </c>
      <c r="BT186" s="150"/>
      <c r="BU186" s="150">
        <v>0.85</v>
      </c>
      <c r="BV186" s="150">
        <v>0.06</v>
      </c>
      <c r="BW186" s="150">
        <v>0.28000000000000003</v>
      </c>
      <c r="BX186" s="149">
        <v>0.74</v>
      </c>
      <c r="BY186" s="150"/>
      <c r="BZ186" s="71"/>
      <c r="CA186" s="71"/>
      <c r="CB186" s="71"/>
      <c r="CC186" s="71">
        <v>0.59</v>
      </c>
      <c r="CD186" s="71"/>
      <c r="CE186" s="71"/>
      <c r="CF186" s="71"/>
      <c r="CG186" s="71"/>
      <c r="CH186" s="152"/>
      <c r="CI186" s="150"/>
      <c r="CJ186" s="150"/>
      <c r="CK186" s="150"/>
      <c r="CL186" s="150"/>
      <c r="CM186" s="150"/>
      <c r="CN186" s="150"/>
      <c r="CO186" s="150"/>
      <c r="CP186" s="150"/>
      <c r="CQ186" s="150"/>
      <c r="CR186" s="150"/>
      <c r="CS186" s="150"/>
      <c r="CT186" s="150"/>
      <c r="CU186" s="71"/>
      <c r="CV186" s="157"/>
      <c r="CW186" s="157">
        <f t="shared" si="81"/>
        <v>0</v>
      </c>
      <c r="CX186" s="157">
        <f t="shared" si="138"/>
        <v>1.0900399999999999</v>
      </c>
      <c r="CY186" s="157">
        <f t="shared" si="83"/>
        <v>2.1496900000000001</v>
      </c>
      <c r="CZ186" s="157">
        <f t="shared" si="84"/>
        <v>4.4508100000000006</v>
      </c>
      <c r="DA186" s="157">
        <f t="shared" si="85"/>
        <v>3.6894600000000004</v>
      </c>
      <c r="DB186" s="157">
        <f t="shared" si="86"/>
        <v>0.79016000000000008</v>
      </c>
      <c r="DC186" s="157">
        <f t="shared" si="104"/>
        <v>1.5605599999999997</v>
      </c>
      <c r="DD186" s="157">
        <f t="shared" si="91"/>
        <v>0</v>
      </c>
      <c r="DE186" s="157">
        <f t="shared" si="118"/>
        <v>0</v>
      </c>
      <c r="DF186" s="157">
        <f t="shared" si="92"/>
        <v>2.4904999999999999</v>
      </c>
      <c r="DG186" s="157">
        <f t="shared" si="93"/>
        <v>0.79968000000000006</v>
      </c>
      <c r="DH186" s="157">
        <f t="shared" si="129"/>
        <v>2.51064</v>
      </c>
      <c r="DI186" s="157">
        <f t="shared" si="130"/>
        <v>0</v>
      </c>
      <c r="DJ186" s="157">
        <f t="shared" si="131"/>
        <v>0</v>
      </c>
      <c r="DK186" s="157">
        <f t="shared" si="132"/>
        <v>0.77039999999999997</v>
      </c>
      <c r="DL186" s="157">
        <f t="shared" si="133"/>
        <v>0</v>
      </c>
      <c r="DM186" s="157">
        <f t="shared" si="134"/>
        <v>0</v>
      </c>
      <c r="DN186" s="157">
        <f t="shared" si="135"/>
        <v>0</v>
      </c>
      <c r="DO186" s="157">
        <f t="shared" si="136"/>
        <v>0</v>
      </c>
      <c r="DP186" s="157">
        <f t="shared" si="137"/>
        <v>0</v>
      </c>
      <c r="DQ186" s="157">
        <f t="shared" si="142"/>
        <v>0</v>
      </c>
      <c r="DR186" s="157">
        <f t="shared" si="143"/>
        <v>4.3660000000000001E-3</v>
      </c>
      <c r="DS186" s="157">
        <f t="shared" si="144"/>
        <v>0</v>
      </c>
      <c r="DT186" s="157">
        <f t="shared" si="145"/>
        <v>0</v>
      </c>
      <c r="DU186" s="71"/>
      <c r="DV186" s="158"/>
      <c r="DW186" s="159">
        <f t="shared" si="119"/>
        <v>0</v>
      </c>
      <c r="DX186" s="160"/>
      <c r="DY186" s="151"/>
      <c r="DZ186" s="151"/>
      <c r="EA186" s="169"/>
      <c r="EB186" s="162">
        <f t="shared" si="111"/>
        <v>0</v>
      </c>
      <c r="EC186" s="163"/>
      <c r="ED186" s="163"/>
      <c r="EE186" s="163"/>
      <c r="EF186" s="163"/>
      <c r="EG186" s="206"/>
      <c r="EH186" s="163"/>
      <c r="EI186" s="171"/>
      <c r="EJ186" s="163"/>
      <c r="EK186" s="174"/>
      <c r="EL186" s="174"/>
      <c r="EM186" s="174"/>
      <c r="EN186" s="174"/>
      <c r="EO186" s="174"/>
      <c r="EP186" s="174"/>
      <c r="EQ186" s="178"/>
      <c r="ER186" s="163"/>
      <c r="ES186" s="71"/>
      <c r="ET186" s="71"/>
      <c r="EU186" s="71"/>
      <c r="EV186" s="71"/>
      <c r="EW186" s="71"/>
      <c r="EX186" s="71"/>
      <c r="EY186" s="71"/>
      <c r="EZ186" s="71"/>
      <c r="FA186" s="71"/>
      <c r="FB186" s="71"/>
      <c r="FC186" s="71"/>
      <c r="FD186" s="71"/>
      <c r="FE186" s="163"/>
      <c r="FF186" s="163"/>
      <c r="FG186" s="163"/>
      <c r="FH186" s="163"/>
      <c r="FI186" s="163"/>
      <c r="FJ186" s="163"/>
      <c r="FK186" s="163"/>
      <c r="FL186" s="163"/>
      <c r="FM186" s="170">
        <f t="shared" si="99"/>
        <v>0.5640860877008903</v>
      </c>
      <c r="FN186" s="170">
        <f t="shared" si="100"/>
        <v>0.48298848973557618</v>
      </c>
      <c r="FO186" s="172">
        <f t="shared" si="101"/>
        <v>1.1679079309109686</v>
      </c>
      <c r="FP186" s="172">
        <f t="shared" si="102"/>
        <v>0.17967066668763662</v>
      </c>
      <c r="FQ186" s="173">
        <f t="shared" si="103"/>
        <v>9.1769278350515474E-2</v>
      </c>
    </row>
    <row r="187" spans="2:173" hidden="1" x14ac:dyDescent="0.25">
      <c r="B187" s="263" t="s">
        <v>424</v>
      </c>
      <c r="C187" s="71"/>
      <c r="D187" s="179"/>
      <c r="E187" s="179"/>
      <c r="F187" s="179"/>
      <c r="G187" s="71"/>
      <c r="H187" s="71"/>
      <c r="I187" s="180"/>
      <c r="J187" s="163"/>
      <c r="K187" s="163"/>
      <c r="L187" s="71"/>
      <c r="M187" s="71"/>
      <c r="N187" s="71"/>
      <c r="O187" s="71"/>
      <c r="P187" s="71"/>
      <c r="Q187" s="71"/>
      <c r="R187" s="71"/>
      <c r="S187" s="71"/>
      <c r="T187" s="71"/>
      <c r="U187" s="71"/>
      <c r="V187" s="71"/>
      <c r="W187" s="71"/>
      <c r="X187" s="71"/>
      <c r="Y187" s="71"/>
      <c r="Z187" s="71"/>
      <c r="AA187" s="71"/>
      <c r="AB187" s="152"/>
      <c r="AC187" s="152"/>
      <c r="AD187" s="152"/>
      <c r="AE187" s="71"/>
      <c r="AF187" s="181"/>
      <c r="AG187" s="181"/>
      <c r="AH187" s="150"/>
      <c r="AI187" s="150"/>
      <c r="AJ187" s="150"/>
      <c r="AK187" s="150"/>
      <c r="AL187" s="181"/>
      <c r="AM187" s="150"/>
      <c r="AN187" s="150"/>
      <c r="AO187" s="150"/>
      <c r="AP187" s="150"/>
      <c r="AQ187" s="150"/>
      <c r="AR187" s="150"/>
      <c r="AS187" s="150"/>
      <c r="AT187" s="150"/>
      <c r="AU187" s="150"/>
      <c r="AV187" s="150"/>
      <c r="AW187" s="181"/>
      <c r="AX187" s="71"/>
      <c r="AY187" s="147"/>
      <c r="AZ187" s="147"/>
      <c r="BA187" s="147"/>
      <c r="BB187" s="182"/>
      <c r="BC187" s="182"/>
      <c r="BD187" s="182"/>
      <c r="BE187" s="182"/>
      <c r="BF187" s="147"/>
      <c r="BG187" s="182"/>
      <c r="BH187" s="182"/>
      <c r="BI187" s="182"/>
      <c r="BJ187" s="182"/>
      <c r="BK187" s="182"/>
      <c r="BL187" s="182"/>
      <c r="BM187" s="182"/>
      <c r="BN187" s="182"/>
      <c r="BO187" s="182"/>
      <c r="BP187" s="182"/>
      <c r="BQ187" s="147"/>
      <c r="BR187" s="71"/>
      <c r="BS187" s="150"/>
      <c r="BT187" s="150"/>
      <c r="BU187" s="150"/>
      <c r="BV187" s="150"/>
      <c r="BW187" s="150"/>
      <c r="BX187" s="150"/>
      <c r="BY187" s="150"/>
      <c r="BZ187" s="71"/>
      <c r="CA187" s="71"/>
      <c r="CB187" s="71"/>
      <c r="CC187" s="71"/>
      <c r="CD187" s="71"/>
      <c r="CE187" s="71"/>
      <c r="CF187" s="71"/>
      <c r="CG187" s="71"/>
      <c r="CH187" s="152"/>
      <c r="CI187" s="150"/>
      <c r="CJ187" s="150"/>
      <c r="CK187" s="150"/>
      <c r="CL187" s="150"/>
      <c r="CM187" s="150"/>
      <c r="CN187" s="150"/>
      <c r="CO187" s="150"/>
      <c r="CP187" s="150"/>
      <c r="CQ187" s="150"/>
      <c r="CR187" s="150"/>
      <c r="CS187" s="150"/>
      <c r="CT187" s="150"/>
      <c r="CU187" s="71"/>
      <c r="CV187" s="157"/>
      <c r="CW187" s="157">
        <f t="shared" si="81"/>
        <v>0</v>
      </c>
      <c r="CX187" s="157">
        <f t="shared" si="138"/>
        <v>0</v>
      </c>
      <c r="CY187" s="157">
        <f t="shared" si="83"/>
        <v>0</v>
      </c>
      <c r="CZ187" s="157">
        <f t="shared" si="84"/>
        <v>0</v>
      </c>
      <c r="DA187" s="157">
        <f t="shared" si="85"/>
        <v>0</v>
      </c>
      <c r="DB187" s="157">
        <f t="shared" si="86"/>
        <v>0</v>
      </c>
      <c r="DC187" s="157">
        <f t="shared" si="104"/>
        <v>0</v>
      </c>
      <c r="DD187" s="157">
        <f t="shared" si="91"/>
        <v>0</v>
      </c>
      <c r="DE187" s="157">
        <f t="shared" si="118"/>
        <v>0</v>
      </c>
      <c r="DF187" s="157">
        <f t="shared" si="92"/>
        <v>0</v>
      </c>
      <c r="DG187" s="157">
        <f t="shared" si="93"/>
        <v>0</v>
      </c>
      <c r="DH187" s="157">
        <f t="shared" si="129"/>
        <v>0</v>
      </c>
      <c r="DI187" s="157">
        <f t="shared" si="130"/>
        <v>0</v>
      </c>
      <c r="DJ187" s="157">
        <f t="shared" si="131"/>
        <v>0</v>
      </c>
      <c r="DK187" s="157">
        <f t="shared" si="132"/>
        <v>0</v>
      </c>
      <c r="DL187" s="157">
        <f t="shared" si="133"/>
        <v>0</v>
      </c>
      <c r="DM187" s="157">
        <f t="shared" si="134"/>
        <v>0</v>
      </c>
      <c r="DN187" s="157">
        <f t="shared" si="135"/>
        <v>0</v>
      </c>
      <c r="DO187" s="157">
        <f t="shared" si="136"/>
        <v>0</v>
      </c>
      <c r="DP187" s="157">
        <f t="shared" si="137"/>
        <v>0</v>
      </c>
      <c r="DQ187" s="157">
        <f t="shared" si="142"/>
        <v>0</v>
      </c>
      <c r="DR187" s="157">
        <f t="shared" si="143"/>
        <v>0</v>
      </c>
      <c r="DS187" s="157">
        <f t="shared" si="144"/>
        <v>0</v>
      </c>
      <c r="DT187" s="157">
        <f t="shared" si="145"/>
        <v>0</v>
      </c>
      <c r="DU187" s="71"/>
      <c r="DV187" s="71"/>
      <c r="DW187" s="159">
        <f t="shared" si="119"/>
        <v>0</v>
      </c>
      <c r="DX187" s="160">
        <v>0</v>
      </c>
      <c r="DY187" s="179"/>
      <c r="DZ187" s="179"/>
      <c r="EA187" s="161"/>
      <c r="EB187" s="162">
        <f t="shared" si="111"/>
        <v>0</v>
      </c>
      <c r="EC187" s="163"/>
      <c r="ED187" s="163"/>
      <c r="EE187" s="163">
        <v>195546.72</v>
      </c>
      <c r="EF187" s="163"/>
      <c r="EG187" s="205"/>
      <c r="EH187" s="163"/>
      <c r="EI187" s="165" t="str">
        <f>IF(AR187="","",AR187*BL187)</f>
        <v/>
      </c>
      <c r="EJ187" s="163"/>
      <c r="EK187" s="183"/>
      <c r="EL187" s="183">
        <v>0.04</v>
      </c>
      <c r="EM187" s="183"/>
      <c r="EN187" s="183">
        <v>0.01</v>
      </c>
      <c r="EO187" s="183">
        <v>2.5999999999999998E-4</v>
      </c>
      <c r="EP187" s="183">
        <v>1.8000000000000001E-4</v>
      </c>
      <c r="EQ187" s="184"/>
      <c r="ER187" s="163"/>
      <c r="ES187" s="71">
        <v>1920227</v>
      </c>
      <c r="ET187" s="71">
        <v>45500</v>
      </c>
      <c r="EU187" s="71">
        <v>13608</v>
      </c>
      <c r="EV187" s="71">
        <v>600</v>
      </c>
      <c r="EW187" s="71">
        <v>6.75</v>
      </c>
      <c r="EX187" s="71">
        <v>6653</v>
      </c>
      <c r="EY187" s="71">
        <v>6500</v>
      </c>
      <c r="EZ187" s="71">
        <v>200</v>
      </c>
      <c r="FA187" s="71"/>
      <c r="FB187" s="71"/>
      <c r="FC187" s="71"/>
      <c r="FD187" s="71"/>
      <c r="FE187" s="163"/>
      <c r="FF187" s="163"/>
      <c r="FG187" s="163"/>
      <c r="FH187" s="163"/>
      <c r="FI187" s="163"/>
      <c r="FJ187" s="163"/>
      <c r="FK187" s="163"/>
      <c r="FL187" s="163"/>
      <c r="FM187" s="170" t="e">
        <f t="shared" si="99"/>
        <v>#DIV/0!</v>
      </c>
      <c r="FN187" s="170" t="e">
        <f t="shared" si="100"/>
        <v>#DIV/0!</v>
      </c>
      <c r="FO187" s="172" t="e">
        <f t="shared" si="101"/>
        <v>#DIV/0!</v>
      </c>
      <c r="FP187" s="172" t="e">
        <f t="shared" si="102"/>
        <v>#DIV/0!</v>
      </c>
      <c r="FQ187" s="173" t="e">
        <f t="shared" si="103"/>
        <v>#DIV/0!</v>
      </c>
    </row>
    <row r="188" spans="2:173" hidden="1" x14ac:dyDescent="0.25">
      <c r="B188" s="263" t="s">
        <v>425</v>
      </c>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152"/>
      <c r="AC188" s="152"/>
      <c r="AD188" s="152"/>
      <c r="AE188" s="71"/>
      <c r="AF188" s="181"/>
      <c r="AG188" s="181"/>
      <c r="AH188" s="181"/>
      <c r="AI188" s="181"/>
      <c r="AJ188" s="181"/>
      <c r="AK188" s="181"/>
      <c r="AL188" s="181"/>
      <c r="AM188" s="181"/>
      <c r="AN188" s="181"/>
      <c r="AO188" s="181"/>
      <c r="AP188" s="181"/>
      <c r="AQ188" s="181"/>
      <c r="AR188" s="181"/>
      <c r="AS188" s="181"/>
      <c r="AT188" s="181"/>
      <c r="AU188" s="181"/>
      <c r="AV188" s="181"/>
      <c r="AW188" s="181"/>
      <c r="AX188" s="71"/>
      <c r="AY188" s="147"/>
      <c r="AZ188" s="147"/>
      <c r="BA188" s="147"/>
      <c r="BB188" s="147"/>
      <c r="BC188" s="147"/>
      <c r="BD188" s="147"/>
      <c r="BE188" s="147"/>
      <c r="BF188" s="147"/>
      <c r="BG188" s="147"/>
      <c r="BH188" s="147"/>
      <c r="BI188" s="147"/>
      <c r="BJ188" s="147"/>
      <c r="BK188" s="147"/>
      <c r="BL188" s="147"/>
      <c r="BM188" s="147"/>
      <c r="BN188" s="147"/>
      <c r="BO188" s="147"/>
      <c r="BP188" s="147"/>
      <c r="BQ188" s="147"/>
      <c r="BR188" s="71"/>
      <c r="BS188" s="150"/>
      <c r="BT188" s="150"/>
      <c r="BU188" s="150"/>
      <c r="BV188" s="150"/>
      <c r="BW188" s="150"/>
      <c r="BX188" s="150"/>
      <c r="BY188" s="150"/>
      <c r="BZ188" s="71"/>
      <c r="CA188" s="71"/>
      <c r="CB188" s="71"/>
      <c r="CC188" s="71"/>
      <c r="CD188" s="71"/>
      <c r="CE188" s="71"/>
      <c r="CF188" s="71"/>
      <c r="CG188" s="71"/>
      <c r="CH188" s="152"/>
      <c r="CI188" s="150"/>
      <c r="CJ188" s="150"/>
      <c r="CK188" s="150"/>
      <c r="CL188" s="150"/>
      <c r="CM188" s="150"/>
      <c r="CN188" s="150"/>
      <c r="CO188" s="150"/>
      <c r="CP188" s="150"/>
      <c r="CQ188" s="150"/>
      <c r="CR188" s="150"/>
      <c r="CS188" s="150"/>
      <c r="CT188" s="150"/>
      <c r="CU188" s="71"/>
      <c r="CV188" s="157"/>
      <c r="CW188" s="157">
        <f t="shared" ref="CW188:DB190" si="146">AF188*AZ188/100</f>
        <v>0</v>
      </c>
      <c r="CX188" s="157">
        <f t="shared" si="146"/>
        <v>0</v>
      </c>
      <c r="CY188" s="157">
        <f t="shared" si="146"/>
        <v>0</v>
      </c>
      <c r="CZ188" s="157">
        <f t="shared" si="146"/>
        <v>0</v>
      </c>
      <c r="DA188" s="157">
        <f t="shared" si="146"/>
        <v>0</v>
      </c>
      <c r="DB188" s="157">
        <f t="shared" si="146"/>
        <v>0</v>
      </c>
      <c r="DC188" s="157">
        <f>(AK188*BE188+BL188*AR188)/100</f>
        <v>0</v>
      </c>
      <c r="DD188" s="157">
        <f>AL188*BF188/100</f>
        <v>0</v>
      </c>
      <c r="DE188" s="157">
        <f>DD188+BQ188*AW188/100</f>
        <v>0</v>
      </c>
      <c r="DF188" s="157">
        <f t="shared" ref="DF188:DG190" si="147">AM188*BG188/100</f>
        <v>0</v>
      </c>
      <c r="DG188" s="157">
        <f t="shared" si="147"/>
        <v>0</v>
      </c>
      <c r="DH188" s="157">
        <f t="shared" si="129"/>
        <v>0</v>
      </c>
      <c r="DI188" s="157">
        <f t="shared" si="130"/>
        <v>0</v>
      </c>
      <c r="DJ188" s="157">
        <f t="shared" si="131"/>
        <v>0</v>
      </c>
      <c r="DK188" s="157">
        <f t="shared" si="132"/>
        <v>0</v>
      </c>
      <c r="DL188" s="157">
        <f t="shared" si="133"/>
        <v>0</v>
      </c>
      <c r="DM188" s="157">
        <f t="shared" si="134"/>
        <v>0</v>
      </c>
      <c r="DN188" s="157">
        <f t="shared" si="135"/>
        <v>0</v>
      </c>
      <c r="DO188" s="157">
        <f t="shared" si="136"/>
        <v>0</v>
      </c>
      <c r="DP188" s="157">
        <f t="shared" si="137"/>
        <v>0</v>
      </c>
      <c r="DQ188" s="157">
        <f t="shared" si="142"/>
        <v>0</v>
      </c>
      <c r="DR188" s="157">
        <f t="shared" si="143"/>
        <v>0</v>
      </c>
      <c r="DS188" s="157">
        <f t="shared" si="144"/>
        <v>0</v>
      </c>
      <c r="DT188" s="157">
        <f t="shared" si="145"/>
        <v>0</v>
      </c>
      <c r="DU188" s="71"/>
      <c r="DV188" s="71"/>
      <c r="DW188" s="159"/>
      <c r="DX188" s="160"/>
      <c r="DY188" s="71"/>
      <c r="DZ188" s="71"/>
      <c r="EA188" s="71"/>
      <c r="EB188" s="162">
        <f t="shared" si="111"/>
        <v>0</v>
      </c>
      <c r="EC188" s="71"/>
      <c r="ED188" s="71"/>
      <c r="EE188" s="71">
        <v>117327.41</v>
      </c>
      <c r="EF188" s="71"/>
      <c r="EG188" s="180"/>
      <c r="EH188" s="71"/>
      <c r="EI188" s="71"/>
      <c r="EJ188" s="71"/>
      <c r="EK188" s="183"/>
      <c r="EL188" s="183">
        <v>0.04</v>
      </c>
      <c r="EM188" s="183"/>
      <c r="EN188" s="183">
        <v>6.2500000000000003E-3</v>
      </c>
      <c r="EO188" s="183">
        <v>1.9799999999999999E-4</v>
      </c>
      <c r="EP188" s="183">
        <v>1.2E-4</v>
      </c>
      <c r="EQ188" s="185"/>
      <c r="ER188" s="71"/>
      <c r="ES188" s="71">
        <v>1900000</v>
      </c>
      <c r="ET188" s="71">
        <v>281230</v>
      </c>
      <c r="EU188" s="71">
        <v>15000</v>
      </c>
      <c r="EV188" s="71">
        <v>800</v>
      </c>
      <c r="EW188" s="71">
        <v>6</v>
      </c>
      <c r="EX188" s="71">
        <v>7250</v>
      </c>
      <c r="EY188" s="71">
        <v>5500</v>
      </c>
      <c r="EZ188" s="71">
        <v>1500</v>
      </c>
      <c r="FA188" s="71">
        <v>60</v>
      </c>
      <c r="FB188" s="71"/>
      <c r="FC188" s="71">
        <v>650</v>
      </c>
      <c r="FD188" s="71"/>
      <c r="FE188" s="71"/>
      <c r="FF188" s="71"/>
      <c r="FG188" s="71"/>
      <c r="FH188" s="71"/>
      <c r="FI188" s="71"/>
      <c r="FJ188" s="71"/>
      <c r="FK188" s="71"/>
      <c r="FL188" s="71"/>
      <c r="FM188" s="170" t="e">
        <f t="shared" si="99"/>
        <v>#DIV/0!</v>
      </c>
      <c r="FN188" s="170" t="e">
        <f t="shared" si="100"/>
        <v>#DIV/0!</v>
      </c>
      <c r="FO188" s="172" t="e">
        <f t="shared" si="101"/>
        <v>#DIV/0!</v>
      </c>
      <c r="FP188" s="172" t="e">
        <f t="shared" si="102"/>
        <v>#DIV/0!</v>
      </c>
      <c r="FQ188" s="173" t="e">
        <f t="shared" si="103"/>
        <v>#DIV/0!</v>
      </c>
    </row>
    <row r="189" spans="2:173" hidden="1" x14ac:dyDescent="0.25">
      <c r="B189" s="263" t="s">
        <v>426</v>
      </c>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152"/>
      <c r="AC189" s="152"/>
      <c r="AD189" s="152"/>
      <c r="AE189" s="71"/>
      <c r="AF189" s="181"/>
      <c r="AG189" s="181"/>
      <c r="AH189" s="181"/>
      <c r="AI189" s="181"/>
      <c r="AJ189" s="181"/>
      <c r="AK189" s="181"/>
      <c r="AL189" s="181"/>
      <c r="AM189" s="181"/>
      <c r="AN189" s="181"/>
      <c r="AO189" s="181"/>
      <c r="AP189" s="181"/>
      <c r="AQ189" s="181"/>
      <c r="AR189" s="181"/>
      <c r="AS189" s="181"/>
      <c r="AT189" s="181"/>
      <c r="AU189" s="181"/>
      <c r="AV189" s="181"/>
      <c r="AW189" s="181"/>
      <c r="AX189" s="71"/>
      <c r="AY189" s="147"/>
      <c r="AZ189" s="147"/>
      <c r="BA189" s="147"/>
      <c r="BB189" s="147"/>
      <c r="BC189" s="147"/>
      <c r="BD189" s="147"/>
      <c r="BE189" s="147"/>
      <c r="BF189" s="147"/>
      <c r="BG189" s="147"/>
      <c r="BH189" s="147"/>
      <c r="BI189" s="147"/>
      <c r="BJ189" s="147"/>
      <c r="BK189" s="147"/>
      <c r="BL189" s="147"/>
      <c r="BM189" s="147"/>
      <c r="BN189" s="147"/>
      <c r="BO189" s="147"/>
      <c r="BP189" s="147"/>
      <c r="BQ189" s="147"/>
      <c r="BR189" s="71"/>
      <c r="BS189" s="150"/>
      <c r="BT189" s="150"/>
      <c r="BU189" s="150"/>
      <c r="BV189" s="150"/>
      <c r="BW189" s="150"/>
      <c r="BX189" s="150"/>
      <c r="BY189" s="150"/>
      <c r="BZ189" s="71"/>
      <c r="CA189" s="71"/>
      <c r="CB189" s="71"/>
      <c r="CC189" s="71"/>
      <c r="CD189" s="71"/>
      <c r="CE189" s="71"/>
      <c r="CF189" s="71"/>
      <c r="CG189" s="71"/>
      <c r="CH189" s="152"/>
      <c r="CI189" s="150"/>
      <c r="CJ189" s="150"/>
      <c r="CK189" s="150"/>
      <c r="CL189" s="150"/>
      <c r="CM189" s="150"/>
      <c r="CN189" s="150"/>
      <c r="CO189" s="150"/>
      <c r="CP189" s="150"/>
      <c r="CQ189" s="150"/>
      <c r="CR189" s="150"/>
      <c r="CS189" s="150"/>
      <c r="CT189" s="150"/>
      <c r="CU189" s="71"/>
      <c r="CV189" s="157"/>
      <c r="CW189" s="157">
        <f t="shared" si="146"/>
        <v>0</v>
      </c>
      <c r="CX189" s="157">
        <f t="shared" si="146"/>
        <v>0</v>
      </c>
      <c r="CY189" s="157">
        <f t="shared" si="146"/>
        <v>0</v>
      </c>
      <c r="CZ189" s="157">
        <f t="shared" si="146"/>
        <v>0</v>
      </c>
      <c r="DA189" s="157">
        <f t="shared" si="146"/>
        <v>0</v>
      </c>
      <c r="DB189" s="157">
        <f t="shared" si="146"/>
        <v>0</v>
      </c>
      <c r="DC189" s="157">
        <f>(AK189*BE189+BL189*AR189)/100</f>
        <v>0</v>
      </c>
      <c r="DD189" s="157">
        <f>AL189*BF189/100</f>
        <v>0</v>
      </c>
      <c r="DE189" s="157">
        <f>DD189+BQ189*AW189/100</f>
        <v>0</v>
      </c>
      <c r="DF189" s="157">
        <f t="shared" si="147"/>
        <v>0</v>
      </c>
      <c r="DG189" s="157">
        <f t="shared" si="147"/>
        <v>0</v>
      </c>
      <c r="DH189" s="157">
        <f t="shared" si="129"/>
        <v>0</v>
      </c>
      <c r="DI189" s="157">
        <f t="shared" si="130"/>
        <v>0</v>
      </c>
      <c r="DJ189" s="157">
        <f t="shared" si="131"/>
        <v>0</v>
      </c>
      <c r="DK189" s="157">
        <f t="shared" si="132"/>
        <v>0</v>
      </c>
      <c r="DL189" s="157">
        <f t="shared" si="133"/>
        <v>0</v>
      </c>
      <c r="DM189" s="157">
        <f t="shared" si="134"/>
        <v>0</v>
      </c>
      <c r="DN189" s="157">
        <f t="shared" si="135"/>
        <v>0</v>
      </c>
      <c r="DO189" s="157">
        <f t="shared" si="136"/>
        <v>0</v>
      </c>
      <c r="DP189" s="157">
        <f t="shared" si="137"/>
        <v>0</v>
      </c>
      <c r="DQ189" s="157">
        <f t="shared" si="142"/>
        <v>0</v>
      </c>
      <c r="DR189" s="157">
        <f t="shared" si="143"/>
        <v>0</v>
      </c>
      <c r="DS189" s="157">
        <f t="shared" si="144"/>
        <v>0</v>
      </c>
      <c r="DT189" s="157">
        <f t="shared" si="145"/>
        <v>0</v>
      </c>
      <c r="DU189" s="71"/>
      <c r="DV189" s="71"/>
      <c r="DW189" s="159"/>
      <c r="DX189" s="160"/>
      <c r="DY189" s="71"/>
      <c r="DZ189" s="71"/>
      <c r="EA189" s="71"/>
      <c r="EB189" s="162">
        <f t="shared" si="111"/>
        <v>0</v>
      </c>
      <c r="EC189" s="71"/>
      <c r="ED189" s="71"/>
      <c r="EE189" s="71"/>
      <c r="EF189" s="71"/>
      <c r="EG189" s="180"/>
      <c r="EH189" s="71"/>
      <c r="EI189" s="71"/>
      <c r="EJ189" s="71"/>
      <c r="EK189" s="183"/>
      <c r="EL189" s="183"/>
      <c r="EM189" s="183"/>
      <c r="EN189" s="183"/>
      <c r="EO189" s="183"/>
      <c r="EP189" s="183"/>
      <c r="EQ189" s="185"/>
      <c r="ER189" s="71"/>
      <c r="ES189" s="71"/>
      <c r="ET189" s="71"/>
      <c r="EU189" s="71"/>
      <c r="EV189" s="71"/>
      <c r="EW189" s="71"/>
      <c r="EX189" s="71"/>
      <c r="EY189" s="71"/>
      <c r="EZ189" s="71"/>
      <c r="FA189" s="71"/>
      <c r="FB189" s="71"/>
      <c r="FC189" s="71"/>
      <c r="FD189" s="71"/>
      <c r="FE189" s="71"/>
      <c r="FF189" s="71"/>
      <c r="FG189" s="71"/>
      <c r="FH189" s="71"/>
      <c r="FI189" s="71"/>
      <c r="FJ189" s="71"/>
      <c r="FK189" s="71"/>
      <c r="FL189" s="71"/>
      <c r="FM189" s="170" t="e">
        <f t="shared" si="99"/>
        <v>#DIV/0!</v>
      </c>
      <c r="FN189" s="170" t="e">
        <f t="shared" si="100"/>
        <v>#DIV/0!</v>
      </c>
      <c r="FO189" s="172" t="e">
        <f t="shared" si="101"/>
        <v>#DIV/0!</v>
      </c>
      <c r="FP189" s="172" t="e">
        <f t="shared" si="102"/>
        <v>#DIV/0!</v>
      </c>
      <c r="FQ189" s="173" t="e">
        <f t="shared" si="103"/>
        <v>#DIV/0!</v>
      </c>
    </row>
    <row r="190" spans="2:173" hidden="1" x14ac:dyDescent="0.25">
      <c r="B190" s="263" t="s">
        <v>448</v>
      </c>
      <c r="C190" s="71"/>
      <c r="D190" s="71"/>
      <c r="E190" s="186">
        <v>3589.74</v>
      </c>
      <c r="F190" s="186">
        <v>2211.6149999999998</v>
      </c>
      <c r="G190" s="71"/>
      <c r="H190" s="152">
        <v>95.76</v>
      </c>
      <c r="I190" s="152">
        <v>70.59</v>
      </c>
      <c r="J190" s="152">
        <v>7</v>
      </c>
      <c r="K190" s="152">
        <v>1.43</v>
      </c>
      <c r="L190" s="71"/>
      <c r="M190" s="71"/>
      <c r="N190" s="71"/>
      <c r="O190" s="71"/>
      <c r="P190" s="71"/>
      <c r="Q190" s="71"/>
      <c r="R190" s="71"/>
      <c r="S190" s="71"/>
      <c r="T190" s="71"/>
      <c r="U190" s="71">
        <v>19.5</v>
      </c>
      <c r="V190" s="152">
        <v>9.75</v>
      </c>
      <c r="W190" s="152">
        <v>0.88</v>
      </c>
      <c r="X190" s="71"/>
      <c r="Y190" s="71"/>
      <c r="Z190" s="71"/>
      <c r="AA190" s="71"/>
      <c r="AB190" s="152"/>
      <c r="AC190" s="152"/>
      <c r="AD190" s="152"/>
      <c r="AE190" s="71"/>
      <c r="AF190" s="150">
        <v>4.47</v>
      </c>
      <c r="AG190" s="150">
        <v>1.74</v>
      </c>
      <c r="AH190" s="150">
        <v>3.57</v>
      </c>
      <c r="AI190" s="150">
        <v>5.71</v>
      </c>
      <c r="AJ190" s="150">
        <v>4.12</v>
      </c>
      <c r="AK190" s="150">
        <v>1.02</v>
      </c>
      <c r="AL190" s="150">
        <v>3.7</v>
      </c>
      <c r="AM190" s="150">
        <v>2.78</v>
      </c>
      <c r="AN190" s="150">
        <v>1</v>
      </c>
      <c r="AO190" s="150">
        <v>3.62</v>
      </c>
      <c r="AP190" s="150"/>
      <c r="AQ190" s="150"/>
      <c r="AR190" s="150">
        <v>1.1299999999999999</v>
      </c>
      <c r="AS190" s="150"/>
      <c r="AT190" s="150"/>
      <c r="AU190" s="150"/>
      <c r="AV190" s="150"/>
      <c r="AW190" s="150"/>
      <c r="AX190" s="71"/>
      <c r="AY190" s="147"/>
      <c r="AZ190" s="147">
        <v>95.3</v>
      </c>
      <c r="BA190" s="147">
        <v>89.66</v>
      </c>
      <c r="BB190" s="147">
        <v>89.08</v>
      </c>
      <c r="BC190" s="147">
        <v>88.09</v>
      </c>
      <c r="BD190" s="147">
        <v>86.65</v>
      </c>
      <c r="BE190" s="147">
        <v>90.2</v>
      </c>
      <c r="BF190" s="147">
        <v>89.73</v>
      </c>
      <c r="BG190" s="147">
        <v>84.89</v>
      </c>
      <c r="BH190" s="147">
        <v>92</v>
      </c>
      <c r="BI190" s="147">
        <v>86.74</v>
      </c>
      <c r="BJ190" s="147"/>
      <c r="BK190" s="147"/>
      <c r="BL190" s="147">
        <v>77.88</v>
      </c>
      <c r="BM190" s="147"/>
      <c r="BN190" s="147"/>
      <c r="BO190" s="147"/>
      <c r="BP190" s="147"/>
      <c r="BQ190" s="147"/>
      <c r="BR190" s="71"/>
      <c r="BS190" s="150">
        <v>0.17</v>
      </c>
      <c r="BT190" s="150">
        <v>0.05</v>
      </c>
      <c r="BU190" s="150">
        <v>0.1</v>
      </c>
      <c r="BV190" s="150">
        <v>0.04</v>
      </c>
      <c r="BW190" s="150">
        <v>0.01</v>
      </c>
      <c r="BX190" s="150">
        <v>0.4</v>
      </c>
      <c r="BY190" s="150">
        <v>0.82</v>
      </c>
      <c r="BZ190" s="71"/>
      <c r="CA190" s="71"/>
      <c r="CB190" s="71"/>
      <c r="CC190" s="152">
        <v>89.47</v>
      </c>
      <c r="CD190" s="71"/>
      <c r="CE190" s="71"/>
      <c r="CF190" s="71"/>
      <c r="CG190" s="71"/>
      <c r="CH190" s="152"/>
      <c r="CI190" s="150"/>
      <c r="CJ190" s="150"/>
      <c r="CK190" s="150"/>
      <c r="CL190" s="150"/>
      <c r="CM190" s="150"/>
      <c r="CN190" s="150"/>
      <c r="CO190" s="150"/>
      <c r="CP190" s="150"/>
      <c r="CQ190" s="150"/>
      <c r="CR190" s="150"/>
      <c r="CS190" s="150"/>
      <c r="CT190" s="150"/>
      <c r="CU190" s="71"/>
      <c r="CV190" s="157"/>
      <c r="CW190" s="157">
        <f t="shared" si="146"/>
        <v>4.2599099999999996</v>
      </c>
      <c r="CX190" s="157">
        <f t="shared" si="146"/>
        <v>1.560084</v>
      </c>
      <c r="CY190" s="157">
        <f t="shared" si="146"/>
        <v>3.1801560000000002</v>
      </c>
      <c r="CZ190" s="157">
        <f t="shared" si="146"/>
        <v>5.0299389999999997</v>
      </c>
      <c r="DA190" s="157">
        <f t="shared" si="146"/>
        <v>3.5699800000000006</v>
      </c>
      <c r="DB190" s="157">
        <f t="shared" si="146"/>
        <v>0.92004000000000008</v>
      </c>
      <c r="DC190" s="157">
        <f>(AK190*BE190+BL190*AR190)/100</f>
        <v>1.800084</v>
      </c>
      <c r="DD190" s="157">
        <f>AL190*BF190/100</f>
        <v>3.3200100000000003</v>
      </c>
      <c r="DE190" s="157">
        <f>DD190+BQ190*AW190/100</f>
        <v>3.3200100000000003</v>
      </c>
      <c r="DF190" s="157">
        <f t="shared" si="147"/>
        <v>2.3599419999999998</v>
      </c>
      <c r="DG190" s="157">
        <f t="shared" si="147"/>
        <v>0.92</v>
      </c>
      <c r="DH190" s="157">
        <f t="shared" si="129"/>
        <v>3.1399880000000002</v>
      </c>
      <c r="DI190" s="157">
        <f t="shared" si="130"/>
        <v>0</v>
      </c>
      <c r="DJ190" s="157">
        <f t="shared" si="131"/>
        <v>0</v>
      </c>
      <c r="DK190" s="157">
        <f t="shared" si="132"/>
        <v>0.88004399999999994</v>
      </c>
      <c r="DL190" s="157">
        <f t="shared" si="133"/>
        <v>0</v>
      </c>
      <c r="DM190" s="157">
        <f t="shared" si="134"/>
        <v>0</v>
      </c>
      <c r="DN190" s="157">
        <f t="shared" si="135"/>
        <v>0</v>
      </c>
      <c r="DO190" s="157">
        <f t="shared" si="136"/>
        <v>0</v>
      </c>
      <c r="DP190" s="157">
        <f t="shared" si="137"/>
        <v>0</v>
      </c>
      <c r="DQ190" s="157">
        <f t="shared" si="142"/>
        <v>0</v>
      </c>
      <c r="DR190" s="157">
        <f t="shared" si="143"/>
        <v>0.35788000000000003</v>
      </c>
      <c r="DS190" s="157">
        <f t="shared" si="144"/>
        <v>0</v>
      </c>
      <c r="DT190" s="157">
        <f t="shared" si="145"/>
        <v>0</v>
      </c>
      <c r="DU190" s="71"/>
      <c r="DV190" s="71"/>
      <c r="DW190" s="159"/>
      <c r="DX190" s="160"/>
      <c r="DY190" s="71"/>
      <c r="DZ190" s="71"/>
      <c r="EA190" s="172">
        <v>0.89470000000000005</v>
      </c>
      <c r="EB190" s="162">
        <f t="shared" si="111"/>
        <v>0.35788000000000003</v>
      </c>
      <c r="EC190" s="71"/>
      <c r="ED190" s="71"/>
      <c r="EE190" s="71"/>
      <c r="EF190" s="71"/>
      <c r="EG190" s="180"/>
      <c r="EH190" s="71"/>
      <c r="EI190" s="71"/>
      <c r="EJ190" s="71"/>
      <c r="EK190" s="174"/>
      <c r="EL190" s="174"/>
      <c r="EM190" s="174"/>
      <c r="EN190" s="174"/>
      <c r="EO190" s="174"/>
      <c r="EP190" s="174"/>
      <c r="EQ190" s="176"/>
      <c r="ER190" s="71"/>
      <c r="ES190" s="71"/>
      <c r="ET190" s="71"/>
      <c r="EU190" s="71"/>
      <c r="EV190" s="71"/>
      <c r="EW190" s="71"/>
      <c r="EX190" s="71"/>
      <c r="EY190" s="71"/>
      <c r="EZ190" s="71"/>
      <c r="FA190" s="71"/>
      <c r="FB190" s="71"/>
      <c r="FC190" s="71"/>
      <c r="FD190" s="71"/>
      <c r="FE190" s="71"/>
      <c r="FF190" s="71"/>
      <c r="FG190" s="71"/>
      <c r="FH190" s="71"/>
      <c r="FI190" s="71"/>
      <c r="FJ190" s="71"/>
      <c r="FK190" s="71"/>
      <c r="FL190" s="71"/>
      <c r="FM190" s="170">
        <f t="shared" si="99"/>
        <v>0.62425965801970962</v>
      </c>
      <c r="FN190" s="170">
        <f t="shared" si="100"/>
        <v>0.63224544074987798</v>
      </c>
      <c r="FO190" s="172">
        <f t="shared" si="101"/>
        <v>0.98736917308459082</v>
      </c>
      <c r="FP190" s="172">
        <f t="shared" si="102"/>
        <v>0.18290480262285488</v>
      </c>
      <c r="FQ190" s="173">
        <f t="shared" si="103"/>
        <v>7.1255687774472304E-2</v>
      </c>
    </row>
    <row r="191" spans="2:173" hidden="1" x14ac:dyDescent="0.25">
      <c r="B191" s="263" t="s">
        <v>449</v>
      </c>
      <c r="C191" s="71"/>
      <c r="D191" s="71"/>
      <c r="E191" s="71"/>
      <c r="F191" s="71"/>
      <c r="G191" s="71"/>
      <c r="H191" s="152"/>
      <c r="I191" s="152"/>
      <c r="J191" s="152"/>
      <c r="K191" s="152"/>
      <c r="L191" s="71"/>
      <c r="M191" s="71"/>
      <c r="N191" s="71"/>
      <c r="O191" s="71"/>
      <c r="P191" s="71"/>
      <c r="Q191" s="71"/>
      <c r="R191" s="71"/>
      <c r="S191" s="71"/>
      <c r="T191" s="71"/>
      <c r="U191" s="71"/>
      <c r="V191" s="71"/>
      <c r="W191" s="71"/>
      <c r="X191" s="71"/>
      <c r="Y191" s="71"/>
      <c r="Z191" s="71"/>
      <c r="AA191" s="71"/>
      <c r="AB191" s="152"/>
      <c r="AC191" s="152"/>
      <c r="AD191" s="152"/>
      <c r="AE191" s="71"/>
      <c r="AF191" s="157"/>
      <c r="AG191" s="157"/>
      <c r="AH191" s="157"/>
      <c r="AI191" s="157"/>
      <c r="AJ191" s="157"/>
      <c r="AK191" s="157"/>
      <c r="AL191" s="157"/>
      <c r="AM191" s="157"/>
      <c r="AN191" s="157"/>
      <c r="AO191" s="157"/>
      <c r="AP191" s="157"/>
      <c r="AQ191" s="157"/>
      <c r="AR191" s="157"/>
      <c r="AS191" s="157"/>
      <c r="AT191" s="157"/>
      <c r="AU191" s="157"/>
      <c r="AV191" s="157"/>
      <c r="AW191" s="157"/>
      <c r="AX191" s="71"/>
      <c r="AY191" s="147"/>
      <c r="AZ191" s="147"/>
      <c r="BA191" s="147"/>
      <c r="BB191" s="147"/>
      <c r="BC191" s="147"/>
      <c r="BD191" s="147"/>
      <c r="BE191" s="147"/>
      <c r="BF191" s="147"/>
      <c r="BG191" s="147"/>
      <c r="BH191" s="147"/>
      <c r="BI191" s="147"/>
      <c r="BJ191" s="147"/>
      <c r="BK191" s="147"/>
      <c r="BL191" s="147"/>
      <c r="BM191" s="147"/>
      <c r="BN191" s="147"/>
      <c r="BO191" s="147"/>
      <c r="BP191" s="147"/>
      <c r="BQ191" s="147"/>
      <c r="BR191" s="71"/>
      <c r="BS191" s="150"/>
      <c r="BT191" s="150"/>
      <c r="BU191" s="150"/>
      <c r="BV191" s="150"/>
      <c r="BW191" s="150"/>
      <c r="BX191" s="150"/>
      <c r="BY191" s="150"/>
      <c r="BZ191" s="71"/>
      <c r="CA191" s="71"/>
      <c r="CB191" s="71"/>
      <c r="CC191" s="71"/>
      <c r="CD191" s="71"/>
      <c r="CE191" s="71"/>
      <c r="CF191" s="71"/>
      <c r="CG191" s="71"/>
      <c r="CH191" s="152"/>
      <c r="CI191" s="150"/>
      <c r="CJ191" s="150"/>
      <c r="CK191" s="150"/>
      <c r="CL191" s="150"/>
      <c r="CM191" s="150"/>
      <c r="CN191" s="150"/>
      <c r="CO191" s="150"/>
      <c r="CP191" s="150"/>
      <c r="CQ191" s="150"/>
      <c r="CR191" s="150"/>
      <c r="CS191" s="150"/>
      <c r="CT191" s="150"/>
      <c r="CU191" s="71"/>
      <c r="CV191" s="157"/>
      <c r="CW191" s="157">
        <f t="shared" ref="CW191:CW196" si="148">AF191*AZ191/100</f>
        <v>0</v>
      </c>
      <c r="CX191" s="157">
        <f t="shared" ref="CX191:CX196" si="149">AG191*BA191/100</f>
        <v>0</v>
      </c>
      <c r="CY191" s="157">
        <f t="shared" ref="CY191:CY196" si="150">AH191*BB191/100</f>
        <v>0</v>
      </c>
      <c r="CZ191" s="157">
        <f t="shared" ref="CZ191:CZ196" si="151">AI191*BC191/100</f>
        <v>0</v>
      </c>
      <c r="DA191" s="157">
        <f t="shared" ref="DA191:DA196" si="152">AJ191*BD191/100</f>
        <v>0</v>
      </c>
      <c r="DB191" s="157">
        <f t="shared" ref="DB191:DB196" si="153">AK191*BE191/100</f>
        <v>0</v>
      </c>
      <c r="DC191" s="157">
        <f t="shared" ref="DC191:DC196" si="154">(AK191*BE191+BL191*AR191)/100</f>
        <v>0</v>
      </c>
      <c r="DD191" s="157">
        <f t="shared" ref="DD191:DD196" si="155">AL191*BF191/100</f>
        <v>0</v>
      </c>
      <c r="DE191" s="157">
        <f t="shared" ref="DE191:DE196" si="156">DD191+BQ191*AW191/100</f>
        <v>0</v>
      </c>
      <c r="DF191" s="157">
        <f t="shared" ref="DF191:DF196" si="157">AM191*BG191/100</f>
        <v>0</v>
      </c>
      <c r="DG191" s="157">
        <f t="shared" ref="DG191:DG196" si="158">AN191*BH191/100</f>
        <v>0</v>
      </c>
      <c r="DH191" s="157">
        <f t="shared" si="129"/>
        <v>0</v>
      </c>
      <c r="DI191" s="157">
        <f t="shared" si="130"/>
        <v>0</v>
      </c>
      <c r="DJ191" s="157">
        <f t="shared" si="131"/>
        <v>0</v>
      </c>
      <c r="DK191" s="157">
        <f t="shared" si="132"/>
        <v>0</v>
      </c>
      <c r="DL191" s="157">
        <f t="shared" si="133"/>
        <v>0</v>
      </c>
      <c r="DM191" s="157">
        <f t="shared" si="134"/>
        <v>0</v>
      </c>
      <c r="DN191" s="157">
        <f t="shared" si="135"/>
        <v>0</v>
      </c>
      <c r="DO191" s="157">
        <f t="shared" si="136"/>
        <v>0</v>
      </c>
      <c r="DP191" s="157">
        <f t="shared" si="137"/>
        <v>0</v>
      </c>
      <c r="DQ191" s="157">
        <f t="shared" si="142"/>
        <v>0</v>
      </c>
      <c r="DR191" s="157">
        <f t="shared" si="143"/>
        <v>0</v>
      </c>
      <c r="DS191" s="157">
        <f t="shared" si="144"/>
        <v>0</v>
      </c>
      <c r="DT191" s="157">
        <f t="shared" si="145"/>
        <v>0</v>
      </c>
      <c r="DU191" s="71"/>
      <c r="DV191" s="71"/>
      <c r="DW191" s="159"/>
      <c r="DX191" s="160"/>
      <c r="DY191" s="71"/>
      <c r="DZ191" s="71"/>
      <c r="EA191" s="71"/>
      <c r="EB191" s="162">
        <f t="shared" si="111"/>
        <v>0</v>
      </c>
      <c r="EC191" s="71"/>
      <c r="ED191" s="71"/>
      <c r="EE191" s="71"/>
      <c r="EF191" s="71"/>
      <c r="EG191" s="180"/>
      <c r="EH191" s="71"/>
      <c r="EI191" s="71"/>
      <c r="EJ191" s="71"/>
      <c r="EK191" s="183"/>
      <c r="EL191" s="183"/>
      <c r="EM191" s="183"/>
      <c r="EN191" s="183"/>
      <c r="EO191" s="183"/>
      <c r="EP191" s="183"/>
      <c r="EQ191" s="185"/>
      <c r="ER191" s="71"/>
      <c r="ES191" s="71"/>
      <c r="ET191" s="71"/>
      <c r="EU191" s="71"/>
      <c r="EV191" s="71"/>
      <c r="EW191" s="71"/>
      <c r="EX191" s="71"/>
      <c r="EY191" s="71"/>
      <c r="EZ191" s="71"/>
      <c r="FA191" s="71"/>
      <c r="FB191" s="71"/>
      <c r="FC191" s="71"/>
      <c r="FD191" s="71"/>
      <c r="FE191" s="71"/>
      <c r="FF191" s="71"/>
      <c r="FG191" s="71"/>
      <c r="FH191" s="71"/>
      <c r="FI191" s="71"/>
      <c r="FJ191" s="71"/>
      <c r="FK191" s="71"/>
      <c r="FL191" s="71"/>
      <c r="FM191" s="170" t="e">
        <f t="shared" si="99"/>
        <v>#DIV/0!</v>
      </c>
      <c r="FN191" s="170" t="e">
        <f t="shared" si="100"/>
        <v>#DIV/0!</v>
      </c>
      <c r="FO191" s="172" t="e">
        <f t="shared" si="101"/>
        <v>#DIV/0!</v>
      </c>
      <c r="FP191" s="172" t="e">
        <f t="shared" si="102"/>
        <v>#DIV/0!</v>
      </c>
      <c r="FQ191" s="173" t="e">
        <f t="shared" si="103"/>
        <v>#DIV/0!</v>
      </c>
    </row>
    <row r="192" spans="2:173" hidden="1" x14ac:dyDescent="0.25">
      <c r="B192" s="263" t="s">
        <v>427</v>
      </c>
      <c r="C192" s="71"/>
      <c r="D192" s="71"/>
      <c r="E192" s="71"/>
      <c r="F192" s="71"/>
      <c r="G192" s="71"/>
      <c r="H192" s="152"/>
      <c r="I192" s="152"/>
      <c r="J192" s="152"/>
      <c r="K192" s="152"/>
      <c r="L192" s="71"/>
      <c r="M192" s="71"/>
      <c r="N192" s="71"/>
      <c r="O192" s="71"/>
      <c r="P192" s="71"/>
      <c r="Q192" s="71"/>
      <c r="R192" s="71"/>
      <c r="S192" s="71"/>
      <c r="T192" s="71"/>
      <c r="U192" s="71"/>
      <c r="V192" s="71"/>
      <c r="W192" s="71"/>
      <c r="X192" s="71"/>
      <c r="Y192" s="71"/>
      <c r="Z192" s="71"/>
      <c r="AA192" s="71"/>
      <c r="AB192" s="152"/>
      <c r="AC192" s="152"/>
      <c r="AD192" s="152"/>
      <c r="AE192" s="71"/>
      <c r="AF192" s="157"/>
      <c r="AG192" s="157"/>
      <c r="AH192" s="157"/>
      <c r="AI192" s="157"/>
      <c r="AJ192" s="157"/>
      <c r="AK192" s="157"/>
      <c r="AL192" s="157"/>
      <c r="AM192" s="157"/>
      <c r="AN192" s="157"/>
      <c r="AO192" s="157"/>
      <c r="AP192" s="157"/>
      <c r="AQ192" s="157"/>
      <c r="AR192" s="157"/>
      <c r="AS192" s="157"/>
      <c r="AT192" s="157"/>
      <c r="AU192" s="157"/>
      <c r="AV192" s="157"/>
      <c r="AW192" s="157"/>
      <c r="AX192" s="71"/>
      <c r="AY192" s="147"/>
      <c r="AZ192" s="147"/>
      <c r="BA192" s="147"/>
      <c r="BB192" s="147"/>
      <c r="BC192" s="147"/>
      <c r="BD192" s="147"/>
      <c r="BE192" s="147"/>
      <c r="BF192" s="147"/>
      <c r="BG192" s="147"/>
      <c r="BH192" s="147"/>
      <c r="BI192" s="147"/>
      <c r="BJ192" s="147"/>
      <c r="BK192" s="147"/>
      <c r="BL192" s="147"/>
      <c r="BM192" s="147"/>
      <c r="BN192" s="147"/>
      <c r="BO192" s="147"/>
      <c r="BP192" s="147"/>
      <c r="BQ192" s="147"/>
      <c r="BR192" s="71"/>
      <c r="BS192" s="150"/>
      <c r="BT192" s="150"/>
      <c r="BU192" s="150"/>
      <c r="BV192" s="150"/>
      <c r="BW192" s="150"/>
      <c r="BX192" s="150"/>
      <c r="BY192" s="150"/>
      <c r="BZ192" s="71"/>
      <c r="CA192" s="71"/>
      <c r="CB192" s="71"/>
      <c r="CC192" s="71"/>
      <c r="CD192" s="71"/>
      <c r="CE192" s="71"/>
      <c r="CF192" s="71"/>
      <c r="CG192" s="71"/>
      <c r="CH192" s="152"/>
      <c r="CI192" s="150"/>
      <c r="CJ192" s="150"/>
      <c r="CK192" s="150"/>
      <c r="CL192" s="150"/>
      <c r="CM192" s="150"/>
      <c r="CN192" s="150"/>
      <c r="CO192" s="150"/>
      <c r="CP192" s="150"/>
      <c r="CQ192" s="150"/>
      <c r="CR192" s="150"/>
      <c r="CS192" s="150"/>
      <c r="CT192" s="150"/>
      <c r="CU192" s="71"/>
      <c r="CV192" s="157"/>
      <c r="CW192" s="157">
        <f t="shared" si="148"/>
        <v>0</v>
      </c>
      <c r="CX192" s="157">
        <f t="shared" si="149"/>
        <v>0</v>
      </c>
      <c r="CY192" s="157">
        <f t="shared" si="150"/>
        <v>0</v>
      </c>
      <c r="CZ192" s="157">
        <f t="shared" si="151"/>
        <v>0</v>
      </c>
      <c r="DA192" s="157">
        <f t="shared" si="152"/>
        <v>0</v>
      </c>
      <c r="DB192" s="157">
        <f t="shared" si="153"/>
        <v>0</v>
      </c>
      <c r="DC192" s="157">
        <f t="shared" si="154"/>
        <v>0</v>
      </c>
      <c r="DD192" s="157">
        <f t="shared" si="155"/>
        <v>0</v>
      </c>
      <c r="DE192" s="157">
        <f t="shared" si="156"/>
        <v>0</v>
      </c>
      <c r="DF192" s="157">
        <f t="shared" si="157"/>
        <v>0</v>
      </c>
      <c r="DG192" s="157">
        <f t="shared" si="158"/>
        <v>0</v>
      </c>
      <c r="DH192" s="157">
        <f t="shared" si="129"/>
        <v>0</v>
      </c>
      <c r="DI192" s="157">
        <f t="shared" si="130"/>
        <v>0</v>
      </c>
      <c r="DJ192" s="157">
        <f t="shared" si="131"/>
        <v>0</v>
      </c>
      <c r="DK192" s="157">
        <f t="shared" si="132"/>
        <v>0</v>
      </c>
      <c r="DL192" s="157">
        <f t="shared" si="133"/>
        <v>0</v>
      </c>
      <c r="DM192" s="157">
        <f t="shared" si="134"/>
        <v>0</v>
      </c>
      <c r="DN192" s="157">
        <f t="shared" si="135"/>
        <v>0</v>
      </c>
      <c r="DO192" s="157">
        <f t="shared" si="136"/>
        <v>0</v>
      </c>
      <c r="DP192" s="157">
        <f t="shared" si="137"/>
        <v>0</v>
      </c>
      <c r="DQ192" s="157">
        <f t="shared" si="142"/>
        <v>0</v>
      </c>
      <c r="DR192" s="157">
        <f t="shared" si="143"/>
        <v>0</v>
      </c>
      <c r="DS192" s="157">
        <f t="shared" si="144"/>
        <v>0</v>
      </c>
      <c r="DT192" s="157">
        <f t="shared" si="145"/>
        <v>0</v>
      </c>
      <c r="DU192" s="71"/>
      <c r="DV192" s="71"/>
      <c r="DW192" s="159"/>
      <c r="DX192" s="160"/>
      <c r="DY192" s="71"/>
      <c r="DZ192" s="71"/>
      <c r="EA192" s="71"/>
      <c r="EB192" s="162">
        <f t="shared" si="111"/>
        <v>0</v>
      </c>
      <c r="EC192" s="71"/>
      <c r="ED192" s="71"/>
      <c r="EE192" s="71"/>
      <c r="EF192" s="71"/>
      <c r="EG192" s="180"/>
      <c r="EH192" s="71"/>
      <c r="EI192" s="71"/>
      <c r="EJ192" s="71"/>
      <c r="EK192" s="183"/>
      <c r="EL192" s="183"/>
      <c r="EM192" s="183">
        <v>0.2</v>
      </c>
      <c r="EN192" s="183"/>
      <c r="EO192" s="183"/>
      <c r="EP192" s="183"/>
      <c r="EQ192" s="185"/>
      <c r="ER192" s="71"/>
      <c r="ES192" s="71"/>
      <c r="ET192" s="71"/>
      <c r="EU192" s="71"/>
      <c r="EV192" s="71"/>
      <c r="EW192" s="71"/>
      <c r="EX192" s="71"/>
      <c r="EY192" s="71"/>
      <c r="EZ192" s="71"/>
      <c r="FA192" s="71"/>
      <c r="FB192" s="71"/>
      <c r="FC192" s="71"/>
      <c r="FD192" s="71"/>
      <c r="FE192" s="71"/>
      <c r="FF192" s="71"/>
      <c r="FG192" s="71"/>
      <c r="FH192" s="71"/>
      <c r="FI192" s="71"/>
      <c r="FJ192" s="71"/>
      <c r="FK192" s="71"/>
      <c r="FL192" s="71"/>
      <c r="FM192" s="170" t="e">
        <f t="shared" si="99"/>
        <v>#DIV/0!</v>
      </c>
      <c r="FN192" s="170" t="e">
        <f t="shared" si="100"/>
        <v>#DIV/0!</v>
      </c>
      <c r="FO192" s="172" t="e">
        <f t="shared" si="101"/>
        <v>#DIV/0!</v>
      </c>
      <c r="FP192" s="172" t="e">
        <f t="shared" si="102"/>
        <v>#DIV/0!</v>
      </c>
      <c r="FQ192" s="173" t="e">
        <f t="shared" si="103"/>
        <v>#DIV/0!</v>
      </c>
    </row>
    <row r="193" spans="2:173" hidden="1" x14ac:dyDescent="0.25">
      <c r="B193" s="263" t="s">
        <v>428</v>
      </c>
      <c r="C193" s="71"/>
      <c r="D193" s="71"/>
      <c r="E193" s="71">
        <v>8820</v>
      </c>
      <c r="F193" s="71">
        <v>7762</v>
      </c>
      <c r="G193" s="71"/>
      <c r="H193" s="152"/>
      <c r="I193" s="152"/>
      <c r="J193" s="152"/>
      <c r="K193" s="152"/>
      <c r="L193" s="71"/>
      <c r="M193" s="71"/>
      <c r="N193" s="71"/>
      <c r="O193" s="71"/>
      <c r="P193" s="71"/>
      <c r="Q193" s="71"/>
      <c r="R193" s="71"/>
      <c r="S193" s="71"/>
      <c r="T193" s="71"/>
      <c r="U193" s="71"/>
      <c r="V193" s="71"/>
      <c r="W193" s="71"/>
      <c r="X193" s="71"/>
      <c r="Y193" s="71"/>
      <c r="Z193" s="71"/>
      <c r="AA193" s="71"/>
      <c r="AB193" s="152"/>
      <c r="AC193" s="152"/>
      <c r="AD193" s="152"/>
      <c r="AE193" s="71"/>
      <c r="AF193" s="157"/>
      <c r="AG193" s="157"/>
      <c r="AH193" s="157"/>
      <c r="AI193" s="157"/>
      <c r="AJ193" s="157"/>
      <c r="AK193" s="157"/>
      <c r="AL193" s="157"/>
      <c r="AM193" s="157"/>
      <c r="AN193" s="157"/>
      <c r="AO193" s="157"/>
      <c r="AP193" s="157"/>
      <c r="AQ193" s="157"/>
      <c r="AR193" s="157"/>
      <c r="AS193" s="157"/>
      <c r="AT193" s="157"/>
      <c r="AU193" s="157"/>
      <c r="AV193" s="157"/>
      <c r="AW193" s="157"/>
      <c r="AX193" s="71"/>
      <c r="AY193" s="147"/>
      <c r="AZ193" s="147"/>
      <c r="BA193" s="147"/>
      <c r="BB193" s="147"/>
      <c r="BC193" s="147"/>
      <c r="BD193" s="147"/>
      <c r="BE193" s="147"/>
      <c r="BF193" s="147"/>
      <c r="BG193" s="147"/>
      <c r="BH193" s="147"/>
      <c r="BI193" s="147"/>
      <c r="BJ193" s="147"/>
      <c r="BK193" s="147"/>
      <c r="BL193" s="147"/>
      <c r="BM193" s="147"/>
      <c r="BN193" s="147"/>
      <c r="BO193" s="147"/>
      <c r="BP193" s="147"/>
      <c r="BQ193" s="147"/>
      <c r="BR193" s="71"/>
      <c r="BS193" s="150"/>
      <c r="BT193" s="150"/>
      <c r="BU193" s="150"/>
      <c r="BV193" s="150"/>
      <c r="BW193" s="150"/>
      <c r="BX193" s="150"/>
      <c r="BY193" s="150"/>
      <c r="BZ193" s="71"/>
      <c r="CA193" s="71"/>
      <c r="CB193" s="71"/>
      <c r="CC193" s="71"/>
      <c r="CD193" s="71"/>
      <c r="CE193" s="71"/>
      <c r="CF193" s="71"/>
      <c r="CG193" s="71"/>
      <c r="CH193" s="152"/>
      <c r="CI193" s="150"/>
      <c r="CJ193" s="150"/>
      <c r="CK193" s="150"/>
      <c r="CL193" s="150"/>
      <c r="CM193" s="150"/>
      <c r="CN193" s="150"/>
      <c r="CO193" s="150"/>
      <c r="CP193" s="150"/>
      <c r="CQ193" s="150"/>
      <c r="CR193" s="150"/>
      <c r="CS193" s="150"/>
      <c r="CT193" s="150"/>
      <c r="CU193" s="71"/>
      <c r="CV193" s="157"/>
      <c r="CW193" s="157">
        <f t="shared" si="148"/>
        <v>0</v>
      </c>
      <c r="CX193" s="157">
        <f t="shared" si="149"/>
        <v>0</v>
      </c>
      <c r="CY193" s="157">
        <f t="shared" si="150"/>
        <v>0</v>
      </c>
      <c r="CZ193" s="157">
        <f t="shared" si="151"/>
        <v>0</v>
      </c>
      <c r="DA193" s="157">
        <f t="shared" si="152"/>
        <v>0</v>
      </c>
      <c r="DB193" s="157">
        <f t="shared" si="153"/>
        <v>0</v>
      </c>
      <c r="DC193" s="157">
        <f t="shared" si="154"/>
        <v>0</v>
      </c>
      <c r="DD193" s="157">
        <f t="shared" si="155"/>
        <v>0</v>
      </c>
      <c r="DE193" s="157">
        <f t="shared" si="156"/>
        <v>0</v>
      </c>
      <c r="DF193" s="157">
        <f t="shared" si="157"/>
        <v>0</v>
      </c>
      <c r="DG193" s="157">
        <f t="shared" si="158"/>
        <v>0</v>
      </c>
      <c r="DH193" s="157">
        <f t="shared" si="129"/>
        <v>0</v>
      </c>
      <c r="DI193" s="157">
        <f t="shared" si="130"/>
        <v>0</v>
      </c>
      <c r="DJ193" s="157">
        <f t="shared" si="131"/>
        <v>0</v>
      </c>
      <c r="DK193" s="157">
        <f t="shared" si="132"/>
        <v>0</v>
      </c>
      <c r="DL193" s="157">
        <f t="shared" si="133"/>
        <v>0</v>
      </c>
      <c r="DM193" s="157">
        <f t="shared" si="134"/>
        <v>0</v>
      </c>
      <c r="DN193" s="157">
        <f t="shared" si="135"/>
        <v>0</v>
      </c>
      <c r="DO193" s="157">
        <f t="shared" si="136"/>
        <v>0</v>
      </c>
      <c r="DP193" s="157">
        <f t="shared" si="137"/>
        <v>0</v>
      </c>
      <c r="DQ193" s="157">
        <f t="shared" si="142"/>
        <v>0</v>
      </c>
      <c r="DR193" s="157">
        <f t="shared" si="143"/>
        <v>0</v>
      </c>
      <c r="DS193" s="157">
        <f t="shared" si="144"/>
        <v>0</v>
      </c>
      <c r="DT193" s="157">
        <f t="shared" si="145"/>
        <v>0</v>
      </c>
      <c r="DU193" s="71"/>
      <c r="DV193" s="71"/>
      <c r="DW193" s="159">
        <v>64000</v>
      </c>
      <c r="DX193" s="160">
        <v>32</v>
      </c>
      <c r="DY193" s="71">
        <v>6791.4</v>
      </c>
      <c r="DZ193" s="71">
        <v>6791.4</v>
      </c>
      <c r="EA193" s="71"/>
      <c r="EB193" s="162">
        <f t="shared" si="111"/>
        <v>0</v>
      </c>
      <c r="EC193" s="71"/>
      <c r="ED193" s="71"/>
      <c r="EE193" s="71"/>
      <c r="EF193" s="71"/>
      <c r="EG193" s="180"/>
      <c r="EH193" s="71"/>
      <c r="EI193" s="71"/>
      <c r="EJ193" s="71"/>
      <c r="EK193" s="183"/>
      <c r="EL193" s="183"/>
      <c r="EM193" s="183"/>
      <c r="EN193" s="183"/>
      <c r="EO193" s="183"/>
      <c r="EP193" s="183"/>
      <c r="EQ193" s="185"/>
      <c r="ER193" s="71"/>
      <c r="ES193" s="71"/>
      <c r="ET193" s="71"/>
      <c r="EU193" s="71"/>
      <c r="EV193" s="71"/>
      <c r="EW193" s="71"/>
      <c r="EX193" s="71"/>
      <c r="EY193" s="71"/>
      <c r="EZ193" s="71"/>
      <c r="FA193" s="71"/>
      <c r="FB193" s="71"/>
      <c r="FC193" s="71"/>
      <c r="FD193" s="71"/>
      <c r="FE193" s="71"/>
      <c r="FF193" s="71"/>
      <c r="FG193" s="71"/>
      <c r="FH193" s="71"/>
      <c r="FI193" s="71"/>
      <c r="FJ193" s="71"/>
      <c r="FK193" s="71"/>
      <c r="FL193" s="71"/>
      <c r="FM193" s="170" t="e">
        <f t="shared" si="99"/>
        <v>#DIV/0!</v>
      </c>
      <c r="FN193" s="170" t="e">
        <f t="shared" si="100"/>
        <v>#DIV/0!</v>
      </c>
      <c r="FO193" s="172" t="e">
        <f t="shared" si="101"/>
        <v>#DIV/0!</v>
      </c>
      <c r="FP193" s="172" t="e">
        <f t="shared" si="102"/>
        <v>#DIV/0!</v>
      </c>
      <c r="FQ193" s="173" t="e">
        <f t="shared" si="103"/>
        <v>#DIV/0!</v>
      </c>
    </row>
    <row r="194" spans="2:173" hidden="1" x14ac:dyDescent="0.25">
      <c r="B194" s="263" t="s">
        <v>450</v>
      </c>
      <c r="C194" s="71"/>
      <c r="D194" s="71"/>
      <c r="E194" s="71"/>
      <c r="F194" s="71"/>
      <c r="G194" s="71"/>
      <c r="H194" s="152"/>
      <c r="I194" s="152"/>
      <c r="J194" s="152"/>
      <c r="K194" s="152">
        <v>82</v>
      </c>
      <c r="L194" s="71"/>
      <c r="M194" s="71"/>
      <c r="N194" s="71"/>
      <c r="O194" s="71"/>
      <c r="P194" s="71"/>
      <c r="Q194" s="71"/>
      <c r="R194" s="71"/>
      <c r="S194" s="71"/>
      <c r="T194" s="71"/>
      <c r="U194" s="71"/>
      <c r="V194" s="71"/>
      <c r="W194" s="71"/>
      <c r="X194" s="71"/>
      <c r="Y194" s="71"/>
      <c r="Z194" s="71"/>
      <c r="AA194" s="71"/>
      <c r="AB194" s="152"/>
      <c r="AC194" s="152"/>
      <c r="AD194" s="152"/>
      <c r="AE194" s="71"/>
      <c r="AF194" s="157"/>
      <c r="AG194" s="157"/>
      <c r="AH194" s="157"/>
      <c r="AI194" s="157"/>
      <c r="AJ194" s="157"/>
      <c r="AK194" s="157"/>
      <c r="AL194" s="157"/>
      <c r="AM194" s="157"/>
      <c r="AN194" s="157"/>
      <c r="AO194" s="157"/>
      <c r="AP194" s="157"/>
      <c r="AQ194" s="157"/>
      <c r="AR194" s="157"/>
      <c r="AS194" s="157"/>
      <c r="AT194" s="157"/>
      <c r="AU194" s="157"/>
      <c r="AV194" s="157"/>
      <c r="AW194" s="157"/>
      <c r="AX194" s="71"/>
      <c r="AY194" s="147"/>
      <c r="AZ194" s="147"/>
      <c r="BA194" s="147"/>
      <c r="BB194" s="147"/>
      <c r="BC194" s="147"/>
      <c r="BD194" s="147"/>
      <c r="BE194" s="147"/>
      <c r="BF194" s="147"/>
      <c r="BG194" s="147"/>
      <c r="BH194" s="147"/>
      <c r="BI194" s="147"/>
      <c r="BJ194" s="147"/>
      <c r="BK194" s="147"/>
      <c r="BL194" s="147"/>
      <c r="BM194" s="147"/>
      <c r="BN194" s="147"/>
      <c r="BO194" s="147"/>
      <c r="BP194" s="147"/>
      <c r="BQ194" s="147"/>
      <c r="BR194" s="71"/>
      <c r="BS194" s="150"/>
      <c r="BT194" s="150"/>
      <c r="BU194" s="150"/>
      <c r="BV194" s="150"/>
      <c r="BW194" s="150"/>
      <c r="BX194" s="150"/>
      <c r="BY194" s="150"/>
      <c r="BZ194" s="71"/>
      <c r="CA194" s="71"/>
      <c r="CB194" s="71"/>
      <c r="CC194" s="71"/>
      <c r="CD194" s="71"/>
      <c r="CE194" s="71"/>
      <c r="CF194" s="71"/>
      <c r="CG194" s="71"/>
      <c r="CH194" s="152"/>
      <c r="CI194" s="150"/>
      <c r="CJ194" s="150"/>
      <c r="CK194" s="150"/>
      <c r="CL194" s="150"/>
      <c r="CM194" s="150"/>
      <c r="CN194" s="150"/>
      <c r="CO194" s="150"/>
      <c r="CP194" s="150"/>
      <c r="CQ194" s="150"/>
      <c r="CR194" s="150"/>
      <c r="CS194" s="150"/>
      <c r="CT194" s="150"/>
      <c r="CU194" s="71"/>
      <c r="CV194" s="157"/>
      <c r="CW194" s="157">
        <f t="shared" si="148"/>
        <v>0</v>
      </c>
      <c r="CX194" s="157">
        <f t="shared" si="149"/>
        <v>0</v>
      </c>
      <c r="CY194" s="157">
        <f t="shared" si="150"/>
        <v>0</v>
      </c>
      <c r="CZ194" s="157">
        <f t="shared" si="151"/>
        <v>0</v>
      </c>
      <c r="DA194" s="157">
        <f t="shared" si="152"/>
        <v>0</v>
      </c>
      <c r="DB194" s="157">
        <f t="shared" si="153"/>
        <v>0</v>
      </c>
      <c r="DC194" s="157">
        <f t="shared" si="154"/>
        <v>0</v>
      </c>
      <c r="DD194" s="157">
        <f t="shared" si="155"/>
        <v>0</v>
      </c>
      <c r="DE194" s="157">
        <f t="shared" si="156"/>
        <v>0</v>
      </c>
      <c r="DF194" s="157">
        <f t="shared" si="157"/>
        <v>0</v>
      </c>
      <c r="DG194" s="157">
        <f t="shared" si="158"/>
        <v>0</v>
      </c>
      <c r="DH194" s="157">
        <f t="shared" si="129"/>
        <v>0</v>
      </c>
      <c r="DI194" s="157">
        <f t="shared" si="130"/>
        <v>0</v>
      </c>
      <c r="DJ194" s="157">
        <f t="shared" si="131"/>
        <v>0</v>
      </c>
      <c r="DK194" s="157">
        <f t="shared" si="132"/>
        <v>0</v>
      </c>
      <c r="DL194" s="157">
        <f t="shared" si="133"/>
        <v>0</v>
      </c>
      <c r="DM194" s="157">
        <f t="shared" si="134"/>
        <v>0</v>
      </c>
      <c r="DN194" s="157">
        <f t="shared" si="135"/>
        <v>0</v>
      </c>
      <c r="DO194" s="157">
        <f t="shared" si="136"/>
        <v>0</v>
      </c>
      <c r="DP194" s="157">
        <f t="shared" si="137"/>
        <v>0</v>
      </c>
      <c r="DQ194" s="157">
        <f t="shared" si="142"/>
        <v>0</v>
      </c>
      <c r="DR194" s="157">
        <f t="shared" si="143"/>
        <v>0</v>
      </c>
      <c r="DS194" s="157">
        <f t="shared" si="144"/>
        <v>0</v>
      </c>
      <c r="DT194" s="157">
        <f t="shared" si="145"/>
        <v>0</v>
      </c>
      <c r="DU194" s="71"/>
      <c r="DV194" s="71"/>
      <c r="DW194" s="159"/>
      <c r="DX194" s="160"/>
      <c r="DY194" s="71"/>
      <c r="DZ194" s="71"/>
      <c r="EA194" s="71"/>
      <c r="EB194" s="162">
        <f t="shared" si="111"/>
        <v>0</v>
      </c>
      <c r="EC194" s="71"/>
      <c r="ED194" s="71"/>
      <c r="EE194" s="71"/>
      <c r="EF194" s="71"/>
      <c r="EG194" s="180"/>
      <c r="EH194" s="71"/>
      <c r="EI194" s="71"/>
      <c r="EJ194" s="71"/>
      <c r="EK194" s="177"/>
      <c r="EL194" s="177"/>
      <c r="EM194" s="177"/>
      <c r="EN194" s="177"/>
      <c r="EO194" s="177"/>
      <c r="EP194" s="177"/>
      <c r="EQ194" s="71"/>
      <c r="ER194" s="71"/>
      <c r="ES194" s="71"/>
      <c r="ET194" s="71"/>
      <c r="EU194" s="71"/>
      <c r="EV194" s="71"/>
      <c r="EW194" s="71"/>
      <c r="EX194" s="71"/>
      <c r="EY194" s="71"/>
      <c r="EZ194" s="71"/>
      <c r="FA194" s="71"/>
      <c r="FB194" s="71"/>
      <c r="FC194" s="71"/>
      <c r="FD194" s="71"/>
      <c r="FE194" s="71"/>
      <c r="FF194" s="71"/>
      <c r="FG194" s="71"/>
      <c r="FH194" s="71"/>
      <c r="FI194" s="71"/>
      <c r="FJ194" s="71"/>
      <c r="FK194" s="71"/>
      <c r="FL194" s="71"/>
      <c r="FM194" s="170" t="e">
        <f t="shared" si="99"/>
        <v>#DIV/0!</v>
      </c>
      <c r="FN194" s="170" t="e">
        <f t="shared" si="100"/>
        <v>#DIV/0!</v>
      </c>
      <c r="FO194" s="172" t="e">
        <f t="shared" si="101"/>
        <v>#DIV/0!</v>
      </c>
      <c r="FP194" s="172" t="e">
        <f t="shared" si="102"/>
        <v>#DIV/0!</v>
      </c>
      <c r="FQ194" s="173" t="e">
        <f t="shared" si="103"/>
        <v>#DIV/0!</v>
      </c>
    </row>
    <row r="195" spans="2:173" hidden="1" x14ac:dyDescent="0.25">
      <c r="B195" s="263" t="s">
        <v>429</v>
      </c>
      <c r="C195" s="71"/>
      <c r="D195" s="71"/>
      <c r="E195" s="71"/>
      <c r="F195" s="71"/>
      <c r="G195" s="71"/>
      <c r="H195" s="152"/>
      <c r="I195" s="152"/>
      <c r="J195" s="152"/>
      <c r="K195" s="152"/>
      <c r="L195" s="71"/>
      <c r="M195" s="71"/>
      <c r="N195" s="71"/>
      <c r="O195" s="71"/>
      <c r="P195" s="71"/>
      <c r="Q195" s="71"/>
      <c r="R195" s="71"/>
      <c r="S195" s="71"/>
      <c r="T195" s="71"/>
      <c r="U195" s="71"/>
      <c r="V195" s="71"/>
      <c r="W195" s="71"/>
      <c r="X195" s="71"/>
      <c r="Y195" s="71"/>
      <c r="Z195" s="71"/>
      <c r="AA195" s="71"/>
      <c r="AB195" s="152"/>
      <c r="AC195" s="152"/>
      <c r="AD195" s="152"/>
      <c r="AE195" s="71"/>
      <c r="AF195" s="157"/>
      <c r="AG195" s="157"/>
      <c r="AH195" s="157"/>
      <c r="AI195" s="157"/>
      <c r="AJ195" s="157"/>
      <c r="AK195" s="157"/>
      <c r="AL195" s="157"/>
      <c r="AM195" s="157"/>
      <c r="AN195" s="157"/>
      <c r="AO195" s="157"/>
      <c r="AP195" s="157"/>
      <c r="AQ195" s="157"/>
      <c r="AR195" s="157"/>
      <c r="AS195" s="157"/>
      <c r="AT195" s="157"/>
      <c r="AU195" s="157"/>
      <c r="AV195" s="157"/>
      <c r="AW195" s="157"/>
      <c r="AX195" s="71"/>
      <c r="AY195" s="147"/>
      <c r="AZ195" s="147"/>
      <c r="BA195" s="147"/>
      <c r="BB195" s="147"/>
      <c r="BC195" s="147"/>
      <c r="BD195" s="147"/>
      <c r="BE195" s="147"/>
      <c r="BF195" s="147"/>
      <c r="BG195" s="147"/>
      <c r="BH195" s="147"/>
      <c r="BI195" s="147"/>
      <c r="BJ195" s="147"/>
      <c r="BK195" s="147"/>
      <c r="BL195" s="147"/>
      <c r="BM195" s="147"/>
      <c r="BN195" s="147"/>
      <c r="BO195" s="147"/>
      <c r="BP195" s="147"/>
      <c r="BQ195" s="147"/>
      <c r="BR195" s="71"/>
      <c r="BS195" s="150"/>
      <c r="BT195" s="150"/>
      <c r="BU195" s="150"/>
      <c r="BV195" s="150"/>
      <c r="BW195" s="150"/>
      <c r="BX195" s="150"/>
      <c r="BY195" s="150"/>
      <c r="BZ195" s="71"/>
      <c r="CA195" s="71"/>
      <c r="CB195" s="71"/>
      <c r="CC195" s="71"/>
      <c r="CD195" s="152"/>
      <c r="CE195" s="152"/>
      <c r="CF195" s="152"/>
      <c r="CG195" s="71"/>
      <c r="CH195" s="152"/>
      <c r="CI195" s="150"/>
      <c r="CJ195" s="150"/>
      <c r="CK195" s="150"/>
      <c r="CL195" s="150"/>
      <c r="CM195" s="150"/>
      <c r="CN195" s="150"/>
      <c r="CO195" s="150"/>
      <c r="CP195" s="150"/>
      <c r="CQ195" s="150"/>
      <c r="CR195" s="150"/>
      <c r="CS195" s="150"/>
      <c r="CT195" s="150"/>
      <c r="CU195" s="71"/>
      <c r="CV195" s="157"/>
      <c r="CW195" s="157">
        <f t="shared" si="148"/>
        <v>0</v>
      </c>
      <c r="CX195" s="157">
        <f t="shared" si="149"/>
        <v>0</v>
      </c>
      <c r="CY195" s="157">
        <f t="shared" si="150"/>
        <v>0</v>
      </c>
      <c r="CZ195" s="157">
        <f t="shared" si="151"/>
        <v>0</v>
      </c>
      <c r="DA195" s="157">
        <f t="shared" si="152"/>
        <v>0</v>
      </c>
      <c r="DB195" s="157">
        <f t="shared" si="153"/>
        <v>0</v>
      </c>
      <c r="DC195" s="157">
        <f t="shared" si="154"/>
        <v>0</v>
      </c>
      <c r="DD195" s="157">
        <f t="shared" si="155"/>
        <v>0</v>
      </c>
      <c r="DE195" s="157">
        <f t="shared" si="156"/>
        <v>0</v>
      </c>
      <c r="DF195" s="157">
        <f t="shared" si="157"/>
        <v>0</v>
      </c>
      <c r="DG195" s="157">
        <f t="shared" si="158"/>
        <v>0</v>
      </c>
      <c r="DH195" s="157">
        <f t="shared" si="129"/>
        <v>0</v>
      </c>
      <c r="DI195" s="157">
        <f t="shared" si="130"/>
        <v>0</v>
      </c>
      <c r="DJ195" s="157">
        <f t="shared" si="131"/>
        <v>0</v>
      </c>
      <c r="DK195" s="157">
        <f t="shared" si="132"/>
        <v>0</v>
      </c>
      <c r="DL195" s="157">
        <f t="shared" si="133"/>
        <v>0</v>
      </c>
      <c r="DM195" s="157">
        <f t="shared" si="134"/>
        <v>0</v>
      </c>
      <c r="DN195" s="157">
        <f t="shared" si="135"/>
        <v>0</v>
      </c>
      <c r="DO195" s="157">
        <f t="shared" si="136"/>
        <v>0</v>
      </c>
      <c r="DP195" s="157">
        <f t="shared" si="137"/>
        <v>0</v>
      </c>
      <c r="DQ195" s="157">
        <f t="shared" si="142"/>
        <v>0</v>
      </c>
      <c r="DR195" s="157">
        <f t="shared" si="143"/>
        <v>0</v>
      </c>
      <c r="DS195" s="157">
        <f t="shared" si="144"/>
        <v>0</v>
      </c>
      <c r="DT195" s="157">
        <f t="shared" si="145"/>
        <v>0</v>
      </c>
      <c r="DU195" s="71"/>
      <c r="DV195" s="71"/>
      <c r="DW195" s="159"/>
      <c r="DX195" s="160"/>
      <c r="DY195" s="71"/>
      <c r="DZ195" s="71"/>
      <c r="EA195" s="71"/>
      <c r="EB195" s="162">
        <f t="shared" si="111"/>
        <v>0</v>
      </c>
      <c r="EC195" s="71"/>
      <c r="ED195" s="71"/>
      <c r="EE195" s="71"/>
      <c r="EF195" s="71"/>
      <c r="EG195" s="180"/>
      <c r="EH195" s="71"/>
      <c r="EI195" s="71"/>
      <c r="EJ195" s="71"/>
      <c r="EK195" s="183">
        <v>0.21</v>
      </c>
      <c r="EL195" s="177"/>
      <c r="EM195" s="177"/>
      <c r="EN195" s="177"/>
      <c r="EO195" s="177"/>
      <c r="EP195" s="177"/>
      <c r="EQ195" s="71"/>
      <c r="ER195" s="71"/>
      <c r="ES195" s="71"/>
      <c r="ET195" s="71"/>
      <c r="EU195" s="71"/>
      <c r="EV195" s="71"/>
      <c r="EW195" s="71"/>
      <c r="EX195" s="71"/>
      <c r="EY195" s="71"/>
      <c r="EZ195" s="71"/>
      <c r="FA195" s="71"/>
      <c r="FB195" s="71"/>
      <c r="FC195" s="71"/>
      <c r="FD195" s="71"/>
      <c r="FE195" s="71"/>
      <c r="FF195" s="71"/>
      <c r="FG195" s="71"/>
      <c r="FH195" s="71"/>
      <c r="FI195" s="71"/>
      <c r="FJ195" s="71"/>
      <c r="FK195" s="71"/>
      <c r="FL195" s="71"/>
      <c r="FM195" s="170" t="e">
        <f t="shared" si="99"/>
        <v>#DIV/0!</v>
      </c>
      <c r="FN195" s="170" t="e">
        <f t="shared" si="100"/>
        <v>#DIV/0!</v>
      </c>
      <c r="FO195" s="172" t="e">
        <f t="shared" si="101"/>
        <v>#DIV/0!</v>
      </c>
      <c r="FP195" s="172" t="e">
        <f t="shared" si="102"/>
        <v>#DIV/0!</v>
      </c>
      <c r="FQ195" s="173" t="e">
        <f t="shared" si="103"/>
        <v>#DIV/0!</v>
      </c>
    </row>
    <row r="196" spans="2:173" hidden="1" x14ac:dyDescent="0.25">
      <c r="B196" s="263" t="s">
        <v>430</v>
      </c>
      <c r="C196" s="71"/>
      <c r="D196" s="71"/>
      <c r="E196" s="71">
        <v>3395</v>
      </c>
      <c r="F196" s="71">
        <v>2638</v>
      </c>
      <c r="G196" s="71"/>
      <c r="H196" s="152">
        <v>95</v>
      </c>
      <c r="I196" s="152">
        <v>70</v>
      </c>
      <c r="J196" s="152"/>
      <c r="K196" s="152"/>
      <c r="L196" s="71"/>
      <c r="M196" s="71"/>
      <c r="N196" s="71"/>
      <c r="O196" s="71"/>
      <c r="P196" s="71"/>
      <c r="Q196" s="71"/>
      <c r="R196" s="71"/>
      <c r="S196" s="71"/>
      <c r="T196" s="71"/>
      <c r="U196" s="71"/>
      <c r="V196" s="71"/>
      <c r="W196" s="71"/>
      <c r="X196" s="71"/>
      <c r="Y196" s="71"/>
      <c r="Z196" s="71"/>
      <c r="AA196" s="71"/>
      <c r="AB196" s="152"/>
      <c r="AC196" s="152"/>
      <c r="AD196" s="152"/>
      <c r="AE196" s="71"/>
      <c r="AF196" s="157">
        <v>0.42</v>
      </c>
      <c r="AG196" s="157">
        <v>0.1</v>
      </c>
      <c r="AH196" s="157">
        <v>0.72</v>
      </c>
      <c r="AI196" s="157">
        <v>0.53</v>
      </c>
      <c r="AJ196" s="157">
        <v>1.49</v>
      </c>
      <c r="AK196" s="157">
        <v>0.25</v>
      </c>
      <c r="AL196" s="157">
        <v>0.37</v>
      </c>
      <c r="AM196" s="157">
        <v>80</v>
      </c>
      <c r="AN196" s="157">
        <v>0.06</v>
      </c>
      <c r="AO196" s="157">
        <v>0.45</v>
      </c>
      <c r="AP196" s="157">
        <v>0.6</v>
      </c>
      <c r="AQ196" s="157">
        <v>0.62</v>
      </c>
      <c r="AR196" s="157">
        <v>0.06</v>
      </c>
      <c r="AS196" s="157">
        <v>0.94</v>
      </c>
      <c r="AT196" s="157">
        <v>0.5</v>
      </c>
      <c r="AU196" s="157">
        <v>0.33</v>
      </c>
      <c r="AV196" s="157">
        <v>0.23</v>
      </c>
      <c r="AW196" s="157">
        <v>0.16</v>
      </c>
      <c r="AX196" s="71"/>
      <c r="AY196" s="147"/>
      <c r="AZ196" s="147">
        <v>45.2</v>
      </c>
      <c r="BA196" s="147">
        <v>42.3</v>
      </c>
      <c r="BB196" s="147">
        <v>75</v>
      </c>
      <c r="BC196" s="147">
        <v>44.8</v>
      </c>
      <c r="BD196" s="147">
        <v>84</v>
      </c>
      <c r="BE196" s="147">
        <v>43</v>
      </c>
      <c r="BF196" s="147">
        <v>52</v>
      </c>
      <c r="BG196" s="147">
        <v>100</v>
      </c>
      <c r="BH196" s="147">
        <v>62.8</v>
      </c>
      <c r="BI196" s="147">
        <v>47.6</v>
      </c>
      <c r="BJ196" s="147">
        <v>43.1</v>
      </c>
      <c r="BK196" s="147">
        <v>45.5</v>
      </c>
      <c r="BL196" s="147">
        <v>33</v>
      </c>
      <c r="BM196" s="147">
        <v>53</v>
      </c>
      <c r="BN196" s="147">
        <v>26</v>
      </c>
      <c r="BO196" s="147">
        <v>45</v>
      </c>
      <c r="BP196" s="147">
        <v>50</v>
      </c>
      <c r="BQ196" s="147">
        <v>60</v>
      </c>
      <c r="BR196" s="71"/>
      <c r="BS196" s="150">
        <v>0.01</v>
      </c>
      <c r="BT196" s="150"/>
      <c r="BU196" s="150">
        <v>0.48</v>
      </c>
      <c r="BV196" s="150">
        <v>0.04</v>
      </c>
      <c r="BW196" s="150">
        <v>0.01</v>
      </c>
      <c r="BX196" s="150">
        <v>0.88</v>
      </c>
      <c r="BY196" s="150">
        <v>2.54</v>
      </c>
      <c r="BZ196" s="71"/>
      <c r="CA196" s="71"/>
      <c r="CB196" s="71"/>
      <c r="CC196" s="71">
        <v>96.9</v>
      </c>
      <c r="CD196" s="152"/>
      <c r="CE196" s="152"/>
      <c r="CF196" s="152"/>
      <c r="CG196" s="71"/>
      <c r="CH196" s="152"/>
      <c r="CI196" s="150"/>
      <c r="CJ196" s="150"/>
      <c r="CK196" s="150"/>
      <c r="CL196" s="150"/>
      <c r="CM196" s="150"/>
      <c r="CN196" s="150"/>
      <c r="CO196" s="150"/>
      <c r="CP196" s="150"/>
      <c r="CQ196" s="150"/>
      <c r="CR196" s="150"/>
      <c r="CS196" s="150"/>
      <c r="CT196" s="150"/>
      <c r="CU196" s="71"/>
      <c r="CV196" s="157"/>
      <c r="CW196" s="157">
        <f t="shared" si="148"/>
        <v>0.18984000000000001</v>
      </c>
      <c r="CX196" s="157">
        <f t="shared" si="149"/>
        <v>4.2299999999999997E-2</v>
      </c>
      <c r="CY196" s="157">
        <f t="shared" si="150"/>
        <v>0.54</v>
      </c>
      <c r="CZ196" s="157">
        <f t="shared" si="151"/>
        <v>0.23743999999999998</v>
      </c>
      <c r="DA196" s="157">
        <f t="shared" si="152"/>
        <v>1.2516</v>
      </c>
      <c r="DB196" s="157">
        <f t="shared" si="153"/>
        <v>0.1075</v>
      </c>
      <c r="DC196" s="157">
        <f t="shared" si="154"/>
        <v>0.1273</v>
      </c>
      <c r="DD196" s="157">
        <f t="shared" si="155"/>
        <v>0.19239999999999999</v>
      </c>
      <c r="DE196" s="157">
        <f t="shared" si="156"/>
        <v>0.28839999999999999</v>
      </c>
      <c r="DF196" s="157">
        <f t="shared" si="157"/>
        <v>80</v>
      </c>
      <c r="DG196" s="157">
        <f t="shared" si="158"/>
        <v>3.7679999999999998E-2</v>
      </c>
      <c r="DH196" s="157">
        <f t="shared" si="129"/>
        <v>0.21420000000000003</v>
      </c>
      <c r="DI196" s="157">
        <f t="shared" si="130"/>
        <v>0.2586</v>
      </c>
      <c r="DJ196" s="157">
        <f t="shared" si="131"/>
        <v>0.28210000000000002</v>
      </c>
      <c r="DK196" s="157">
        <f t="shared" si="132"/>
        <v>1.9799999999999998E-2</v>
      </c>
      <c r="DL196" s="157">
        <f t="shared" si="133"/>
        <v>0.49819999999999998</v>
      </c>
      <c r="DM196" s="157">
        <f t="shared" si="134"/>
        <v>0.13</v>
      </c>
      <c r="DN196" s="157">
        <f t="shared" si="135"/>
        <v>0.14850000000000002</v>
      </c>
      <c r="DO196" s="157">
        <f t="shared" si="136"/>
        <v>0.115</v>
      </c>
      <c r="DP196" s="157">
        <f t="shared" si="137"/>
        <v>9.6000000000000002E-2</v>
      </c>
      <c r="DQ196" s="157">
        <f t="shared" si="142"/>
        <v>0</v>
      </c>
      <c r="DR196" s="157">
        <f t="shared" si="143"/>
        <v>0.85272000000000003</v>
      </c>
      <c r="DS196" s="157">
        <f t="shared" si="144"/>
        <v>0</v>
      </c>
      <c r="DT196" s="157">
        <f t="shared" si="145"/>
        <v>0</v>
      </c>
      <c r="DU196" s="71"/>
      <c r="DV196" s="71"/>
      <c r="DW196" s="159"/>
      <c r="DX196" s="160"/>
      <c r="DY196" s="71"/>
      <c r="DZ196" s="71"/>
      <c r="EA196" s="71"/>
      <c r="EB196" s="162">
        <f t="shared" si="111"/>
        <v>0</v>
      </c>
      <c r="EC196" s="71"/>
      <c r="ED196" s="71"/>
      <c r="EE196" s="71"/>
      <c r="EF196" s="71"/>
      <c r="EG196" s="180"/>
      <c r="EH196" s="71"/>
      <c r="EI196" s="71"/>
      <c r="EJ196" s="71"/>
      <c r="EK196" s="177"/>
      <c r="EL196" s="177"/>
      <c r="EM196" s="177"/>
      <c r="EN196" s="177"/>
      <c r="EO196" s="177"/>
      <c r="EP196" s="177"/>
      <c r="EQ196" s="71"/>
      <c r="ER196" s="71"/>
      <c r="ES196" s="71"/>
      <c r="ET196" s="71"/>
      <c r="EU196" s="71"/>
      <c r="EV196" s="71"/>
      <c r="EW196" s="71"/>
      <c r="EX196" s="71"/>
      <c r="EY196" s="71"/>
      <c r="EZ196" s="71"/>
      <c r="FA196" s="71"/>
      <c r="FB196" s="71"/>
      <c r="FC196" s="71"/>
      <c r="FD196" s="71"/>
      <c r="FE196" s="71"/>
      <c r="FF196" s="71"/>
      <c r="FG196" s="71"/>
      <c r="FH196" s="71"/>
      <c r="FI196" s="71"/>
      <c r="FJ196" s="71"/>
      <c r="FK196" s="71"/>
      <c r="FL196" s="71"/>
      <c r="FM196" s="170">
        <f t="shared" si="99"/>
        <v>0.90212264150943411</v>
      </c>
      <c r="FN196" s="170">
        <f t="shared" si="100"/>
        <v>2.2742587601078168</v>
      </c>
      <c r="FO196" s="172">
        <f t="shared" si="101"/>
        <v>0.39666666666666667</v>
      </c>
      <c r="FP196" s="172">
        <f t="shared" si="102"/>
        <v>0.15869272237196766</v>
      </c>
      <c r="FQ196" s="173">
        <f t="shared" si="103"/>
        <v>3.3919999999999996E-3</v>
      </c>
    </row>
    <row r="197" spans="2:173" hidden="1" x14ac:dyDescent="0.25">
      <c r="B197" s="263" t="s">
        <v>431</v>
      </c>
      <c r="C197" s="71"/>
      <c r="D197" s="71"/>
      <c r="E197" s="71"/>
      <c r="F197" s="71"/>
      <c r="G197" s="71"/>
      <c r="H197" s="152"/>
      <c r="I197" s="152"/>
      <c r="J197" s="152"/>
      <c r="K197" s="152"/>
      <c r="L197" s="71"/>
      <c r="M197" s="71"/>
      <c r="N197" s="71"/>
      <c r="O197" s="71"/>
      <c r="P197" s="71"/>
      <c r="Q197" s="71"/>
      <c r="R197" s="71"/>
      <c r="S197" s="71"/>
      <c r="T197" s="71"/>
      <c r="U197" s="71"/>
      <c r="V197" s="71"/>
      <c r="W197" s="71"/>
      <c r="X197" s="71"/>
      <c r="Y197" s="71"/>
      <c r="Z197" s="71"/>
      <c r="AA197" s="71"/>
      <c r="AB197" s="152"/>
      <c r="AC197" s="152"/>
      <c r="AD197" s="152"/>
      <c r="AE197" s="71"/>
      <c r="AF197" s="157"/>
      <c r="AG197" s="157"/>
      <c r="AH197" s="157"/>
      <c r="AI197" s="157"/>
      <c r="AJ197" s="157"/>
      <c r="AK197" s="157"/>
      <c r="AL197" s="157"/>
      <c r="AM197" s="157"/>
      <c r="AN197" s="157"/>
      <c r="AO197" s="157"/>
      <c r="AP197" s="157"/>
      <c r="AQ197" s="157"/>
      <c r="AR197" s="157"/>
      <c r="AS197" s="157"/>
      <c r="AT197" s="157"/>
      <c r="AU197" s="157"/>
      <c r="AV197" s="157"/>
      <c r="AW197" s="157"/>
      <c r="AX197" s="71"/>
      <c r="AY197" s="147"/>
      <c r="AZ197" s="147"/>
      <c r="BA197" s="147"/>
      <c r="BB197" s="147"/>
      <c r="BC197" s="147"/>
      <c r="BD197" s="147"/>
      <c r="BE197" s="147"/>
      <c r="BF197" s="147"/>
      <c r="BG197" s="147"/>
      <c r="BH197" s="147"/>
      <c r="BI197" s="147"/>
      <c r="BJ197" s="147"/>
      <c r="BK197" s="147"/>
      <c r="BL197" s="147"/>
      <c r="BM197" s="147"/>
      <c r="BN197" s="147"/>
      <c r="BO197" s="147"/>
      <c r="BP197" s="147"/>
      <c r="BQ197" s="147"/>
      <c r="BR197" s="71"/>
      <c r="BS197" s="150"/>
      <c r="BT197" s="150">
        <v>15</v>
      </c>
      <c r="BU197" s="150"/>
      <c r="BV197" s="150"/>
      <c r="BW197" s="150"/>
      <c r="BX197" s="150"/>
      <c r="BY197" s="150"/>
      <c r="BZ197" s="71"/>
      <c r="CA197" s="71"/>
      <c r="CB197" s="71"/>
      <c r="CC197" s="71"/>
      <c r="CD197" s="152"/>
      <c r="CE197" s="152"/>
      <c r="CF197" s="152"/>
      <c r="CG197" s="71"/>
      <c r="CH197" s="152"/>
      <c r="CI197" s="150"/>
      <c r="CJ197" s="150"/>
      <c r="CK197" s="150"/>
      <c r="CL197" s="150"/>
      <c r="CM197" s="150"/>
      <c r="CN197" s="150"/>
      <c r="CO197" s="150"/>
      <c r="CP197" s="150"/>
      <c r="CQ197" s="150"/>
      <c r="CR197" s="150"/>
      <c r="CS197" s="150"/>
      <c r="CT197" s="150"/>
      <c r="CU197" s="71"/>
      <c r="CV197" s="157"/>
      <c r="CW197" s="157">
        <f t="shared" ref="CW197:DB198" si="159">AF197*AZ197/100</f>
        <v>0</v>
      </c>
      <c r="CX197" s="157">
        <f t="shared" si="159"/>
        <v>0</v>
      </c>
      <c r="CY197" s="157">
        <f t="shared" si="159"/>
        <v>0</v>
      </c>
      <c r="CZ197" s="157">
        <f t="shared" si="159"/>
        <v>0</v>
      </c>
      <c r="DA197" s="157">
        <f t="shared" si="159"/>
        <v>0</v>
      </c>
      <c r="DB197" s="157">
        <f t="shared" si="159"/>
        <v>0</v>
      </c>
      <c r="DC197" s="157">
        <f>(AK197*BE197+BL197*AR197)/100</f>
        <v>0</v>
      </c>
      <c r="DD197" s="157">
        <f>AL197*BF197/100</f>
        <v>0</v>
      </c>
      <c r="DE197" s="157">
        <f>DD197+BQ197*AW197/100</f>
        <v>0</v>
      </c>
      <c r="DF197" s="157">
        <f>AM197*BG197/100</f>
        <v>0</v>
      </c>
      <c r="DG197" s="157">
        <f>AN197*BH197/100</f>
        <v>0</v>
      </c>
      <c r="DH197" s="157">
        <f t="shared" si="129"/>
        <v>0</v>
      </c>
      <c r="DI197" s="157">
        <f t="shared" si="130"/>
        <v>0</v>
      </c>
      <c r="DJ197" s="157">
        <f t="shared" si="131"/>
        <v>0</v>
      </c>
      <c r="DK197" s="157">
        <f t="shared" si="132"/>
        <v>0</v>
      </c>
      <c r="DL197" s="157">
        <f t="shared" si="133"/>
        <v>0</v>
      </c>
      <c r="DM197" s="157">
        <f t="shared" si="134"/>
        <v>0</v>
      </c>
      <c r="DN197" s="157">
        <f t="shared" si="135"/>
        <v>0</v>
      </c>
      <c r="DO197" s="157">
        <f t="shared" si="136"/>
        <v>0</v>
      </c>
      <c r="DP197" s="157">
        <f t="shared" si="137"/>
        <v>0</v>
      </c>
      <c r="DQ197" s="157">
        <f t="shared" si="142"/>
        <v>0</v>
      </c>
      <c r="DR197" s="157">
        <f t="shared" si="143"/>
        <v>0</v>
      </c>
      <c r="DS197" s="157">
        <f t="shared" si="144"/>
        <v>0</v>
      </c>
      <c r="DT197" s="157">
        <f t="shared" si="145"/>
        <v>0</v>
      </c>
      <c r="DU197" s="71"/>
      <c r="DV197" s="71"/>
      <c r="DW197" s="159">
        <v>900</v>
      </c>
      <c r="DX197" s="160">
        <v>0.45</v>
      </c>
      <c r="DY197" s="71"/>
      <c r="DZ197" s="71"/>
      <c r="EA197" s="71"/>
      <c r="EB197" s="162">
        <f t="shared" si="111"/>
        <v>0</v>
      </c>
      <c r="EC197" s="71"/>
      <c r="ED197" s="71"/>
      <c r="EE197" s="71"/>
      <c r="EF197" s="71"/>
      <c r="EG197" s="180"/>
      <c r="EH197" s="71"/>
      <c r="EI197" s="71"/>
      <c r="EJ197" s="71"/>
      <c r="EK197" s="177"/>
      <c r="EL197" s="177"/>
      <c r="EM197" s="177"/>
      <c r="EN197" s="177">
        <v>0.54</v>
      </c>
      <c r="EO197" s="177"/>
      <c r="EP197" s="177"/>
      <c r="EQ197" s="71"/>
      <c r="ER197" s="71"/>
      <c r="ES197" s="71"/>
      <c r="ET197" s="71"/>
      <c r="EU197" s="71"/>
      <c r="EV197" s="71"/>
      <c r="EW197" s="71"/>
      <c r="EX197" s="71"/>
      <c r="EY197" s="71"/>
      <c r="EZ197" s="71"/>
      <c r="FA197" s="71"/>
      <c r="FB197" s="71"/>
      <c r="FC197" s="71"/>
      <c r="FD197" s="71"/>
      <c r="FE197" s="71"/>
      <c r="FF197" s="71"/>
      <c r="FG197" s="71"/>
      <c r="FH197" s="71"/>
      <c r="FI197" s="71"/>
      <c r="FJ197" s="71"/>
      <c r="FK197" s="71"/>
      <c r="FL197" s="71"/>
      <c r="FM197" s="170" t="e">
        <f t="shared" si="99"/>
        <v>#DIV/0!</v>
      </c>
      <c r="FN197" s="170" t="e">
        <f t="shared" si="100"/>
        <v>#DIV/0!</v>
      </c>
      <c r="FO197" s="172" t="e">
        <f t="shared" si="101"/>
        <v>#DIV/0!</v>
      </c>
      <c r="FP197" s="172" t="e">
        <f t="shared" si="102"/>
        <v>#DIV/0!</v>
      </c>
      <c r="FQ197" s="173" t="e">
        <f t="shared" si="103"/>
        <v>#DIV/0!</v>
      </c>
    </row>
    <row r="198" spans="2:173" hidden="1" x14ac:dyDescent="0.25">
      <c r="B198" s="263" t="s">
        <v>432</v>
      </c>
      <c r="C198" s="71">
        <v>4849</v>
      </c>
      <c r="D198" s="71">
        <v>3465</v>
      </c>
      <c r="E198" s="71">
        <v>3459</v>
      </c>
      <c r="F198" s="71">
        <v>2252</v>
      </c>
      <c r="G198" s="71"/>
      <c r="H198" s="152">
        <v>91.1</v>
      </c>
      <c r="I198" s="152">
        <v>28.98</v>
      </c>
      <c r="J198" s="152">
        <v>7.36</v>
      </c>
      <c r="K198" s="152">
        <v>6.53</v>
      </c>
      <c r="L198" s="71"/>
      <c r="M198" s="152">
        <v>4.84</v>
      </c>
      <c r="N198" s="152"/>
      <c r="O198" s="152">
        <v>1.004</v>
      </c>
      <c r="P198" s="152">
        <v>1.0189999999999999</v>
      </c>
      <c r="Q198" s="152">
        <v>0.84299999999999997</v>
      </c>
      <c r="R198" s="71"/>
      <c r="S198" s="71"/>
      <c r="T198" s="152">
        <v>3.24</v>
      </c>
      <c r="U198" s="152">
        <v>30.4</v>
      </c>
      <c r="V198" s="152">
        <v>14.7</v>
      </c>
      <c r="W198" s="152">
        <v>2.69</v>
      </c>
      <c r="X198" s="152">
        <v>32.32</v>
      </c>
      <c r="Y198" s="71"/>
      <c r="Z198" s="71"/>
      <c r="AA198" s="71"/>
      <c r="AB198" s="152">
        <v>40.71</v>
      </c>
      <c r="AC198" s="152">
        <v>70</v>
      </c>
      <c r="AD198" s="152">
        <v>43.7</v>
      </c>
      <c r="AE198" s="71"/>
      <c r="AF198" s="157">
        <v>1.29</v>
      </c>
      <c r="AG198" s="157">
        <v>0.73</v>
      </c>
      <c r="AH198" s="157">
        <v>1.1000000000000001</v>
      </c>
      <c r="AI198" s="157">
        <v>3.25</v>
      </c>
      <c r="AJ198" s="157">
        <v>0.87</v>
      </c>
      <c r="AK198" s="157">
        <v>0.56000000000000005</v>
      </c>
      <c r="AL198" s="157">
        <v>1.42</v>
      </c>
      <c r="AM198" s="157">
        <v>1.0900000000000001</v>
      </c>
      <c r="AN198" s="157">
        <v>0.25</v>
      </c>
      <c r="AO198" s="157">
        <v>1.38</v>
      </c>
      <c r="AP198" s="157">
        <v>2.06</v>
      </c>
      <c r="AQ198" s="157">
        <v>1.94</v>
      </c>
      <c r="AR198" s="157">
        <v>0.52</v>
      </c>
      <c r="AS198" s="157">
        <v>5.0199999999999996</v>
      </c>
      <c r="AT198" s="157">
        <v>1.1000000000000001</v>
      </c>
      <c r="AU198" s="157">
        <v>2.2200000000000002</v>
      </c>
      <c r="AV198" s="157">
        <v>1.43</v>
      </c>
      <c r="AW198" s="157">
        <v>0.97</v>
      </c>
      <c r="AX198" s="71"/>
      <c r="AY198" s="147">
        <v>74</v>
      </c>
      <c r="AZ198" s="147">
        <v>81</v>
      </c>
      <c r="BA198" s="147">
        <v>78</v>
      </c>
      <c r="BB198" s="147">
        <v>76</v>
      </c>
      <c r="BC198" s="147">
        <v>84</v>
      </c>
      <c r="BD198" s="147">
        <v>61</v>
      </c>
      <c r="BE198" s="147">
        <v>82</v>
      </c>
      <c r="BF198" s="147">
        <v>81</v>
      </c>
      <c r="BG198" s="147">
        <v>71</v>
      </c>
      <c r="BH198" s="147">
        <v>71</v>
      </c>
      <c r="BI198" s="147">
        <v>75</v>
      </c>
      <c r="BJ198" s="147">
        <v>79</v>
      </c>
      <c r="BK198" s="147">
        <v>69</v>
      </c>
      <c r="BL198" s="147">
        <v>73</v>
      </c>
      <c r="BM198" s="147">
        <v>81</v>
      </c>
      <c r="BN198" s="147">
        <v>64</v>
      </c>
      <c r="BO198" s="147">
        <v>74</v>
      </c>
      <c r="BP198" s="147">
        <v>77</v>
      </c>
      <c r="BQ198" s="147">
        <v>81</v>
      </c>
      <c r="BR198" s="71"/>
      <c r="BS198" s="150">
        <v>0.12</v>
      </c>
      <c r="BT198" s="150"/>
      <c r="BU198" s="150">
        <v>0.9</v>
      </c>
      <c r="BV198" s="150">
        <v>0.28999999999999998</v>
      </c>
      <c r="BW198" s="150">
        <v>0.22</v>
      </c>
      <c r="BX198" s="150">
        <v>0.73</v>
      </c>
      <c r="BY198" s="150">
        <v>0.66</v>
      </c>
      <c r="BZ198" s="71"/>
      <c r="CA198" s="71">
        <v>0.26</v>
      </c>
      <c r="CB198" s="152">
        <v>60</v>
      </c>
      <c r="CC198" s="152">
        <v>65</v>
      </c>
      <c r="CD198" s="152">
        <v>50</v>
      </c>
      <c r="CE198" s="152">
        <v>60</v>
      </c>
      <c r="CF198" s="152">
        <v>28.5</v>
      </c>
      <c r="CG198" s="71"/>
      <c r="CH198" s="152">
        <v>17.491</v>
      </c>
      <c r="CI198" s="150">
        <v>0.85799999999999998</v>
      </c>
      <c r="CJ198" s="150">
        <v>0.52500000000000002</v>
      </c>
      <c r="CK198" s="150">
        <v>0.73399999999999999</v>
      </c>
      <c r="CL198" s="150">
        <v>2.5670000000000002</v>
      </c>
      <c r="CM198" s="150">
        <v>0.42399999999999999</v>
      </c>
      <c r="CN198" s="150">
        <v>0.44</v>
      </c>
      <c r="CO198" s="150">
        <v>0.79200000000000004</v>
      </c>
      <c r="CP198" s="150">
        <v>1.0449999999999999</v>
      </c>
      <c r="CQ198" s="150">
        <v>1.8560000000000001</v>
      </c>
      <c r="CR198" s="150">
        <v>0.63400000000000001</v>
      </c>
      <c r="CS198" s="150">
        <v>0.13200000000000001</v>
      </c>
      <c r="CT198" s="150">
        <v>0.95899999999999996</v>
      </c>
      <c r="CU198" s="71"/>
      <c r="CV198" s="157"/>
      <c r="CW198" s="157">
        <f t="shared" si="159"/>
        <v>1.0449000000000002</v>
      </c>
      <c r="CX198" s="157">
        <f t="shared" si="159"/>
        <v>0.56940000000000002</v>
      </c>
      <c r="CY198" s="157">
        <f t="shared" si="159"/>
        <v>0.83600000000000008</v>
      </c>
      <c r="CZ198" s="157">
        <f t="shared" si="159"/>
        <v>2.73</v>
      </c>
      <c r="DA198" s="157">
        <f t="shared" si="159"/>
        <v>0.53069999999999995</v>
      </c>
      <c r="DB198" s="157">
        <f t="shared" si="159"/>
        <v>0.4592</v>
      </c>
      <c r="DC198" s="157">
        <f>(AK198*BE198+BL198*AR198)/100</f>
        <v>0.83879999999999999</v>
      </c>
      <c r="DD198" s="157">
        <f>AL198*BF198/100</f>
        <v>1.1501999999999999</v>
      </c>
      <c r="DE198" s="157">
        <f>DD198+BQ198*AW198/100</f>
        <v>1.9358999999999997</v>
      </c>
      <c r="DF198" s="157">
        <f>AM198*BG198/100</f>
        <v>0.77390000000000003</v>
      </c>
      <c r="DG198" s="157">
        <f>AN198*BH198/100</f>
        <v>0.17749999999999999</v>
      </c>
      <c r="DH198" s="157">
        <f t="shared" si="129"/>
        <v>1.0349999999999999</v>
      </c>
      <c r="DI198" s="157">
        <f t="shared" si="130"/>
        <v>1.6274000000000002</v>
      </c>
      <c r="DJ198" s="157">
        <f t="shared" si="131"/>
        <v>1.3385999999999998</v>
      </c>
      <c r="DK198" s="157">
        <f t="shared" si="132"/>
        <v>0.37959999999999999</v>
      </c>
      <c r="DL198" s="157">
        <f t="shared" si="133"/>
        <v>4.0661999999999994</v>
      </c>
      <c r="DM198" s="157">
        <f t="shared" si="134"/>
        <v>0.70400000000000007</v>
      </c>
      <c r="DN198" s="157">
        <f t="shared" si="135"/>
        <v>1.6428</v>
      </c>
      <c r="DO198" s="157">
        <f t="shared" si="136"/>
        <v>1.1011</v>
      </c>
      <c r="DP198" s="157">
        <f t="shared" si="137"/>
        <v>0.78569999999999995</v>
      </c>
      <c r="DQ198" s="157">
        <f t="shared" si="142"/>
        <v>0.43799999999999994</v>
      </c>
      <c r="DR198" s="157">
        <f t="shared" si="143"/>
        <v>0.47449999999999998</v>
      </c>
      <c r="DS198" s="157">
        <f t="shared" si="144"/>
        <v>0.06</v>
      </c>
      <c r="DT198" s="157">
        <f t="shared" si="145"/>
        <v>7.1999999999999995E-2</v>
      </c>
      <c r="DU198" s="71"/>
      <c r="DV198" s="71"/>
      <c r="DW198" s="159">
        <v>150</v>
      </c>
      <c r="DX198" s="160">
        <v>7.4999999999999997E-2</v>
      </c>
      <c r="DY198" s="71"/>
      <c r="DZ198" s="71"/>
      <c r="EA198" s="166">
        <v>0.77</v>
      </c>
      <c r="EB198" s="162">
        <f t="shared" si="111"/>
        <v>0.56210000000000004</v>
      </c>
      <c r="EC198" s="71">
        <v>3.8527</v>
      </c>
      <c r="ED198" s="71"/>
      <c r="EE198" s="71"/>
      <c r="EF198" s="71"/>
      <c r="EG198" s="180">
        <v>0.18</v>
      </c>
      <c r="EH198" s="71">
        <v>81.625</v>
      </c>
      <c r="EI198" s="71">
        <v>37.81</v>
      </c>
      <c r="EJ198" s="71"/>
      <c r="EK198" s="183"/>
      <c r="EL198" s="183"/>
      <c r="EM198" s="183"/>
      <c r="EN198" s="183"/>
      <c r="EO198" s="183"/>
      <c r="EP198" s="183"/>
      <c r="EQ198" s="166"/>
      <c r="ER198" s="71"/>
      <c r="ES198" s="71"/>
      <c r="ET198" s="71"/>
      <c r="EU198" s="71"/>
      <c r="EV198" s="71"/>
      <c r="EW198" s="71"/>
      <c r="EX198" s="71"/>
      <c r="EY198" s="71"/>
      <c r="EZ198" s="71"/>
      <c r="FA198" s="71"/>
      <c r="FB198" s="71"/>
      <c r="FC198" s="71"/>
      <c r="FD198" s="71"/>
      <c r="FE198" s="71"/>
      <c r="FF198" s="71"/>
      <c r="FG198" s="71">
        <v>4.2</v>
      </c>
      <c r="FH198" s="71">
        <v>88.5</v>
      </c>
      <c r="FI198" s="71">
        <v>56.21</v>
      </c>
      <c r="FJ198" s="71">
        <v>1.22</v>
      </c>
      <c r="FK198" s="71">
        <v>3.75</v>
      </c>
      <c r="FL198" s="71"/>
      <c r="FM198" s="170">
        <f t="shared" si="99"/>
        <v>0.37912087912087911</v>
      </c>
      <c r="FN198" s="170">
        <f t="shared" si="100"/>
        <v>0.30622710622710625</v>
      </c>
      <c r="FO198" s="172">
        <f t="shared" si="101"/>
        <v>1.2380382775119616</v>
      </c>
      <c r="FP198" s="172">
        <f t="shared" si="102"/>
        <v>6.5018315018315009E-2</v>
      </c>
      <c r="FQ198" s="173">
        <f t="shared" si="103"/>
        <v>9.420289855072464E-2</v>
      </c>
    </row>
    <row r="199" spans="2:173" hidden="1" x14ac:dyDescent="0.25">
      <c r="B199" s="263" t="s">
        <v>433</v>
      </c>
      <c r="C199" s="71"/>
      <c r="D199" s="71"/>
      <c r="E199" s="71"/>
      <c r="F199" s="71"/>
      <c r="G199" s="71"/>
      <c r="H199" s="152"/>
      <c r="I199" s="152"/>
      <c r="J199" s="152"/>
      <c r="K199" s="152"/>
      <c r="L199" s="71"/>
      <c r="M199" s="152"/>
      <c r="N199" s="152"/>
      <c r="O199" s="152"/>
      <c r="P199" s="152"/>
      <c r="Q199" s="152"/>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150"/>
      <c r="BT199" s="150"/>
      <c r="BU199" s="150"/>
      <c r="BV199" s="150"/>
      <c r="BW199" s="150"/>
      <c r="BX199" s="150"/>
      <c r="BY199" s="150"/>
      <c r="BZ199" s="71"/>
      <c r="CA199" s="71"/>
      <c r="CB199" s="152"/>
      <c r="CC199" s="152"/>
      <c r="CD199" s="152"/>
      <c r="CE199" s="152"/>
      <c r="CF199" s="152"/>
      <c r="CG199" s="71"/>
      <c r="CH199" s="152"/>
      <c r="CI199" s="150"/>
      <c r="CJ199" s="150"/>
      <c r="CK199" s="150"/>
      <c r="CL199" s="150"/>
      <c r="CM199" s="150"/>
      <c r="CN199" s="150"/>
      <c r="CO199" s="150"/>
      <c r="CP199" s="150"/>
      <c r="CQ199" s="150"/>
      <c r="CR199" s="150"/>
      <c r="CS199" s="150"/>
      <c r="CT199" s="150"/>
      <c r="CU199" s="71"/>
      <c r="CV199" s="157"/>
      <c r="CW199" s="157">
        <f t="shared" ref="CW199:CW207" si="160">AF199*AZ199/100</f>
        <v>0</v>
      </c>
      <c r="CX199" s="157">
        <f t="shared" ref="CX199:CX207" si="161">AG199*BA199/100</f>
        <v>0</v>
      </c>
      <c r="CY199" s="157">
        <f t="shared" ref="CY199:CY207" si="162">AH199*BB199/100</f>
        <v>0</v>
      </c>
      <c r="CZ199" s="157">
        <f t="shared" ref="CZ199:CZ207" si="163">AI199*BC199/100</f>
        <v>0</v>
      </c>
      <c r="DA199" s="157">
        <f t="shared" ref="DA199:DA207" si="164">AJ199*BD199/100</f>
        <v>0</v>
      </c>
      <c r="DB199" s="157">
        <f t="shared" ref="DB199:DB207" si="165">AK199*BE199/100</f>
        <v>0</v>
      </c>
      <c r="DC199" s="157">
        <f t="shared" ref="DC199:DC207" si="166">(AK199*BE199+BL199*AR199)/100</f>
        <v>0</v>
      </c>
      <c r="DD199" s="157">
        <f t="shared" ref="DD199:DD207" si="167">AL199*BF199/100</f>
        <v>0</v>
      </c>
      <c r="DE199" s="157">
        <f t="shared" ref="DE199:DE207" si="168">DD199+BQ199*AW199/100</f>
        <v>0</v>
      </c>
      <c r="DF199" s="157">
        <f t="shared" ref="DF199:DF207" si="169">AM199*BG199/100</f>
        <v>0</v>
      </c>
      <c r="DG199" s="157">
        <f t="shared" ref="DG199:DG207" si="170">AN199*BH199/100</f>
        <v>0</v>
      </c>
      <c r="DH199" s="157">
        <f t="shared" ref="DH199:DH207" si="171">AO199*BI199/100</f>
        <v>0</v>
      </c>
      <c r="DI199" s="157">
        <f t="shared" ref="DI199:DI207" si="172">AP199*BJ199/100</f>
        <v>0</v>
      </c>
      <c r="DJ199" s="157">
        <f t="shared" ref="DJ199:DJ207" si="173">AQ199*BK199/100</f>
        <v>0</v>
      </c>
      <c r="DK199" s="157">
        <f t="shared" ref="DK199:DK207" si="174">AR199*BL199/100</f>
        <v>0</v>
      </c>
      <c r="DL199" s="157">
        <f t="shared" ref="DL199:DL207" si="175">AS199*BM199/100</f>
        <v>0</v>
      </c>
      <c r="DM199" s="157">
        <f t="shared" ref="DM199:DM207" si="176">AT199*BN199/100</f>
        <v>0</v>
      </c>
      <c r="DN199" s="157">
        <f t="shared" ref="DN199:DN207" si="177">AU199*BO199/100</f>
        <v>0</v>
      </c>
      <c r="DO199" s="157">
        <f t="shared" ref="DO199:DO207" si="178">AV199*BP199/100</f>
        <v>0</v>
      </c>
      <c r="DP199" s="157">
        <f t="shared" ref="DP199:DP207" si="179">AW199*BQ199/100</f>
        <v>0</v>
      </c>
      <c r="DQ199" s="157">
        <f t="shared" si="142"/>
        <v>0</v>
      </c>
      <c r="DR199" s="157">
        <f t="shared" si="143"/>
        <v>0</v>
      </c>
      <c r="DS199" s="157">
        <f t="shared" si="144"/>
        <v>0</v>
      </c>
      <c r="DT199" s="157">
        <f t="shared" si="145"/>
        <v>0</v>
      </c>
      <c r="DU199" s="71"/>
      <c r="DV199" s="71"/>
      <c r="DW199" s="159"/>
      <c r="DX199" s="160"/>
      <c r="DY199" s="71"/>
      <c r="DZ199" s="71"/>
      <c r="EA199" s="71"/>
      <c r="EB199" s="162">
        <f t="shared" si="111"/>
        <v>0</v>
      </c>
      <c r="EC199" s="71"/>
      <c r="ED199" s="71"/>
      <c r="EE199" s="71"/>
      <c r="EF199" s="71"/>
      <c r="EG199" s="180"/>
      <c r="EH199" s="71"/>
      <c r="EI199" s="71"/>
      <c r="EJ199" s="71"/>
      <c r="EK199" s="183">
        <v>0.11</v>
      </c>
      <c r="EL199" s="183">
        <v>0.11</v>
      </c>
      <c r="EM199" s="183">
        <v>3.3099999999999997E-2</v>
      </c>
      <c r="EN199" s="183">
        <v>1.6500000000000001E-2</v>
      </c>
      <c r="EO199" s="183">
        <v>2.9999999999999997E-4</v>
      </c>
      <c r="EP199" s="183">
        <v>2.9999999999999997E-4</v>
      </c>
      <c r="EQ199" s="166"/>
      <c r="ER199" s="71"/>
      <c r="ES199" s="71">
        <v>2400000</v>
      </c>
      <c r="ET199" s="71">
        <v>600000</v>
      </c>
      <c r="EU199" s="71">
        <v>12000</v>
      </c>
      <c r="EV199" s="71">
        <v>1200</v>
      </c>
      <c r="EW199" s="71">
        <v>11</v>
      </c>
      <c r="EX199" s="71">
        <v>22500</v>
      </c>
      <c r="EY199" s="71">
        <v>7500</v>
      </c>
      <c r="EZ199" s="71">
        <v>2250</v>
      </c>
      <c r="FA199" s="71"/>
      <c r="FB199" s="71"/>
      <c r="FC199" s="71"/>
      <c r="FD199" s="71"/>
      <c r="FE199" s="71"/>
      <c r="FF199" s="71"/>
      <c r="FG199" s="71"/>
      <c r="FH199" s="71"/>
      <c r="FI199" s="71"/>
      <c r="FJ199" s="71"/>
      <c r="FK199" s="71"/>
      <c r="FL199" s="71"/>
      <c r="FM199" s="170" t="e">
        <f t="shared" si="99"/>
        <v>#DIV/0!</v>
      </c>
      <c r="FN199" s="170" t="e">
        <f t="shared" si="100"/>
        <v>#DIV/0!</v>
      </c>
      <c r="FO199" s="172" t="e">
        <f t="shared" si="101"/>
        <v>#DIV/0!</v>
      </c>
      <c r="FP199" s="172" t="e">
        <f t="shared" si="102"/>
        <v>#DIV/0!</v>
      </c>
      <c r="FQ199" s="173" t="e">
        <f t="shared" si="103"/>
        <v>#DIV/0!</v>
      </c>
    </row>
    <row r="200" spans="2:173" hidden="1" x14ac:dyDescent="0.25">
      <c r="B200" s="263" t="s">
        <v>434</v>
      </c>
      <c r="C200" s="71"/>
      <c r="D200" s="71"/>
      <c r="E200" s="71"/>
      <c r="F200" s="71"/>
      <c r="G200" s="71"/>
      <c r="H200" s="152"/>
      <c r="I200" s="152"/>
      <c r="J200" s="152"/>
      <c r="K200" s="152"/>
      <c r="L200" s="71"/>
      <c r="M200" s="152"/>
      <c r="N200" s="152"/>
      <c r="O200" s="152"/>
      <c r="P200" s="152"/>
      <c r="Q200" s="152"/>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150">
        <v>8.7899999999999991</v>
      </c>
      <c r="BT200" s="150"/>
      <c r="BU200" s="150"/>
      <c r="BV200" s="150"/>
      <c r="BW200" s="150"/>
      <c r="BX200" s="150"/>
      <c r="BY200" s="150"/>
      <c r="BZ200" s="71"/>
      <c r="CA200" s="71"/>
      <c r="CB200" s="152"/>
      <c r="CC200" s="152"/>
      <c r="CD200" s="152"/>
      <c r="CE200" s="152"/>
      <c r="CF200" s="152"/>
      <c r="CG200" s="71"/>
      <c r="CH200" s="152"/>
      <c r="CI200" s="150"/>
      <c r="CJ200" s="150"/>
      <c r="CK200" s="150"/>
      <c r="CL200" s="150"/>
      <c r="CM200" s="150"/>
      <c r="CN200" s="150"/>
      <c r="CO200" s="150"/>
      <c r="CP200" s="150"/>
      <c r="CQ200" s="150"/>
      <c r="CR200" s="150"/>
      <c r="CS200" s="150"/>
      <c r="CT200" s="150"/>
      <c r="CU200" s="71"/>
      <c r="CV200" s="157"/>
      <c r="CW200" s="157">
        <f t="shared" si="160"/>
        <v>0</v>
      </c>
      <c r="CX200" s="157">
        <f t="shared" si="161"/>
        <v>0</v>
      </c>
      <c r="CY200" s="157">
        <f t="shared" si="162"/>
        <v>0</v>
      </c>
      <c r="CZ200" s="157">
        <f t="shared" si="163"/>
        <v>0</v>
      </c>
      <c r="DA200" s="157">
        <f t="shared" si="164"/>
        <v>0</v>
      </c>
      <c r="DB200" s="157">
        <f t="shared" si="165"/>
        <v>0</v>
      </c>
      <c r="DC200" s="157">
        <f t="shared" si="166"/>
        <v>0</v>
      </c>
      <c r="DD200" s="157">
        <f t="shared" si="167"/>
        <v>0</v>
      </c>
      <c r="DE200" s="157">
        <f t="shared" si="168"/>
        <v>0</v>
      </c>
      <c r="DF200" s="157">
        <f t="shared" si="169"/>
        <v>0</v>
      </c>
      <c r="DG200" s="157">
        <f t="shared" si="170"/>
        <v>0</v>
      </c>
      <c r="DH200" s="157">
        <f t="shared" si="171"/>
        <v>0</v>
      </c>
      <c r="DI200" s="157">
        <f t="shared" si="172"/>
        <v>0</v>
      </c>
      <c r="DJ200" s="157">
        <f t="shared" si="173"/>
        <v>0</v>
      </c>
      <c r="DK200" s="157">
        <f t="shared" si="174"/>
        <v>0</v>
      </c>
      <c r="DL200" s="157">
        <f t="shared" si="175"/>
        <v>0</v>
      </c>
      <c r="DM200" s="157">
        <f t="shared" si="176"/>
        <v>0</v>
      </c>
      <c r="DN200" s="157">
        <f t="shared" si="177"/>
        <v>0</v>
      </c>
      <c r="DO200" s="157">
        <f t="shared" si="178"/>
        <v>0</v>
      </c>
      <c r="DP200" s="157">
        <f t="shared" si="179"/>
        <v>0</v>
      </c>
      <c r="DQ200" s="157">
        <f t="shared" si="142"/>
        <v>0</v>
      </c>
      <c r="DR200" s="157">
        <f t="shared" si="143"/>
        <v>0</v>
      </c>
      <c r="DS200" s="157">
        <f t="shared" si="144"/>
        <v>0</v>
      </c>
      <c r="DT200" s="157">
        <f t="shared" si="145"/>
        <v>0</v>
      </c>
      <c r="DU200" s="71"/>
      <c r="DV200" s="71"/>
      <c r="DW200" s="159"/>
      <c r="DX200" s="160"/>
      <c r="DY200" s="71"/>
      <c r="DZ200" s="71"/>
      <c r="EA200" s="71"/>
      <c r="EB200" s="162">
        <f t="shared" si="111"/>
        <v>0</v>
      </c>
      <c r="EC200" s="71"/>
      <c r="ED200" s="71"/>
      <c r="EE200" s="71"/>
      <c r="EF200" s="71"/>
      <c r="EG200" s="180"/>
      <c r="EH200" s="71"/>
      <c r="EI200" s="71"/>
      <c r="EJ200" s="71"/>
      <c r="EK200" s="183"/>
      <c r="EL200" s="183"/>
      <c r="EM200" s="183"/>
      <c r="EN200" s="183"/>
      <c r="EO200" s="183"/>
      <c r="EP200" s="183"/>
      <c r="EQ200" s="166"/>
      <c r="ER200" s="71"/>
      <c r="ES200" s="71">
        <v>11001.96</v>
      </c>
      <c r="ET200" s="71">
        <v>2000.36</v>
      </c>
      <c r="EU200" s="71">
        <v>59996.27</v>
      </c>
      <c r="EV200" s="71">
        <v>6000.18</v>
      </c>
      <c r="EW200" s="71">
        <v>50</v>
      </c>
      <c r="EX200" s="71">
        <v>45001.86</v>
      </c>
      <c r="EY200" s="71">
        <v>41000.49</v>
      </c>
      <c r="EZ200" s="71">
        <v>8001.42</v>
      </c>
      <c r="FA200" s="71">
        <v>200.04900000000001</v>
      </c>
      <c r="FB200" s="71">
        <v>1200.0999999999999</v>
      </c>
      <c r="FC200" s="71">
        <v>2500</v>
      </c>
      <c r="FD200" s="71"/>
      <c r="FE200" s="71"/>
      <c r="FF200" s="71"/>
      <c r="FG200" s="71"/>
      <c r="FH200" s="71"/>
      <c r="FI200" s="71"/>
      <c r="FJ200" s="71"/>
      <c r="FK200" s="71"/>
      <c r="FL200" s="71"/>
      <c r="FM200" s="170" t="e">
        <f t="shared" si="99"/>
        <v>#DIV/0!</v>
      </c>
      <c r="FN200" s="170" t="e">
        <f t="shared" si="100"/>
        <v>#DIV/0!</v>
      </c>
      <c r="FO200" s="172" t="e">
        <f t="shared" si="101"/>
        <v>#DIV/0!</v>
      </c>
      <c r="FP200" s="172" t="e">
        <f t="shared" si="102"/>
        <v>#DIV/0!</v>
      </c>
      <c r="FQ200" s="173" t="e">
        <f t="shared" si="103"/>
        <v>#DIV/0!</v>
      </c>
    </row>
    <row r="201" spans="2:173" hidden="1" x14ac:dyDescent="0.25">
      <c r="B201" s="263" t="s">
        <v>435</v>
      </c>
      <c r="C201" s="71"/>
      <c r="D201" s="71"/>
      <c r="E201" s="71"/>
      <c r="F201" s="71"/>
      <c r="G201" s="71"/>
      <c r="H201" s="152"/>
      <c r="I201" s="152"/>
      <c r="J201" s="152"/>
      <c r="K201" s="152"/>
      <c r="L201" s="71"/>
      <c r="M201" s="152"/>
      <c r="N201" s="152"/>
      <c r="O201" s="152"/>
      <c r="P201" s="152"/>
      <c r="Q201" s="152"/>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150">
        <v>7.5</v>
      </c>
      <c r="BT201" s="150"/>
      <c r="BU201" s="150"/>
      <c r="BV201" s="150"/>
      <c r="BW201" s="150"/>
      <c r="BX201" s="150"/>
      <c r="BY201" s="150"/>
      <c r="BZ201" s="71"/>
      <c r="CA201" s="71"/>
      <c r="CB201" s="152"/>
      <c r="CC201" s="152"/>
      <c r="CD201" s="152"/>
      <c r="CE201" s="152"/>
      <c r="CF201" s="152"/>
      <c r="CG201" s="71"/>
      <c r="CH201" s="152"/>
      <c r="CI201" s="150"/>
      <c r="CJ201" s="150"/>
      <c r="CK201" s="150"/>
      <c r="CL201" s="150"/>
      <c r="CM201" s="150"/>
      <c r="CN201" s="150"/>
      <c r="CO201" s="150"/>
      <c r="CP201" s="150"/>
      <c r="CQ201" s="150"/>
      <c r="CR201" s="150"/>
      <c r="CS201" s="150"/>
      <c r="CT201" s="150"/>
      <c r="CU201" s="71"/>
      <c r="CV201" s="157"/>
      <c r="CW201" s="157">
        <f t="shared" si="160"/>
        <v>0</v>
      </c>
      <c r="CX201" s="157">
        <f t="shared" si="161"/>
        <v>0</v>
      </c>
      <c r="CY201" s="157">
        <f t="shared" si="162"/>
        <v>0</v>
      </c>
      <c r="CZ201" s="157">
        <f t="shared" si="163"/>
        <v>0</v>
      </c>
      <c r="DA201" s="157">
        <f t="shared" si="164"/>
        <v>0</v>
      </c>
      <c r="DB201" s="157">
        <f t="shared" si="165"/>
        <v>0</v>
      </c>
      <c r="DC201" s="157">
        <f t="shared" si="166"/>
        <v>0</v>
      </c>
      <c r="DD201" s="157">
        <f t="shared" si="167"/>
        <v>0</v>
      </c>
      <c r="DE201" s="157">
        <f t="shared" si="168"/>
        <v>0</v>
      </c>
      <c r="DF201" s="157">
        <f t="shared" si="169"/>
        <v>0</v>
      </c>
      <c r="DG201" s="157">
        <f t="shared" si="170"/>
        <v>0</v>
      </c>
      <c r="DH201" s="157">
        <f t="shared" si="171"/>
        <v>0</v>
      </c>
      <c r="DI201" s="157">
        <f t="shared" si="172"/>
        <v>0</v>
      </c>
      <c r="DJ201" s="157">
        <f t="shared" si="173"/>
        <v>0</v>
      </c>
      <c r="DK201" s="157">
        <f t="shared" si="174"/>
        <v>0</v>
      </c>
      <c r="DL201" s="157">
        <f t="shared" si="175"/>
        <v>0</v>
      </c>
      <c r="DM201" s="157">
        <f t="shared" si="176"/>
        <v>0</v>
      </c>
      <c r="DN201" s="157">
        <f t="shared" si="177"/>
        <v>0</v>
      </c>
      <c r="DO201" s="157">
        <f t="shared" si="178"/>
        <v>0</v>
      </c>
      <c r="DP201" s="157">
        <f t="shared" si="179"/>
        <v>0</v>
      </c>
      <c r="DQ201" s="157">
        <f t="shared" si="142"/>
        <v>0</v>
      </c>
      <c r="DR201" s="157">
        <f t="shared" si="143"/>
        <v>0</v>
      </c>
      <c r="DS201" s="157">
        <f t="shared" si="144"/>
        <v>0</v>
      </c>
      <c r="DT201" s="157">
        <f t="shared" si="145"/>
        <v>0</v>
      </c>
      <c r="DU201" s="71"/>
      <c r="DV201" s="71"/>
      <c r="DW201" s="159"/>
      <c r="DX201" s="160"/>
      <c r="DY201" s="71"/>
      <c r="DZ201" s="71"/>
      <c r="EA201" s="71"/>
      <c r="EB201" s="162">
        <f t="shared" si="111"/>
        <v>0</v>
      </c>
      <c r="EC201" s="71"/>
      <c r="ED201" s="71"/>
      <c r="EE201" s="71"/>
      <c r="EF201" s="71"/>
      <c r="EG201" s="180"/>
      <c r="EH201" s="71"/>
      <c r="EI201" s="71"/>
      <c r="EJ201" s="71"/>
      <c r="EK201" s="183">
        <v>0.16009999999999999</v>
      </c>
      <c r="EL201" s="183">
        <v>0.13400000000000001</v>
      </c>
      <c r="EM201" s="183">
        <v>0.04</v>
      </c>
      <c r="EN201" s="183">
        <v>1.3299999999999999E-2</v>
      </c>
      <c r="EO201" s="183">
        <v>6.9999999999999999E-4</v>
      </c>
      <c r="EP201" s="183"/>
      <c r="EQ201" s="166"/>
      <c r="ER201" s="71"/>
      <c r="ES201" s="71"/>
      <c r="ET201" s="71"/>
      <c r="EU201" s="71"/>
      <c r="EV201" s="71"/>
      <c r="EW201" s="71"/>
      <c r="EX201" s="71"/>
      <c r="EY201" s="71"/>
      <c r="EZ201" s="71"/>
      <c r="FA201" s="71"/>
      <c r="FB201" s="71"/>
      <c r="FC201" s="71"/>
      <c r="FD201" s="71"/>
      <c r="FE201" s="71"/>
      <c r="FF201" s="71"/>
      <c r="FG201" s="71"/>
      <c r="FH201" s="71"/>
      <c r="FI201" s="71"/>
      <c r="FJ201" s="71"/>
      <c r="FK201" s="71"/>
      <c r="FL201" s="71"/>
      <c r="FM201" s="170" t="e">
        <f t="shared" si="99"/>
        <v>#DIV/0!</v>
      </c>
      <c r="FN201" s="170" t="e">
        <f t="shared" si="100"/>
        <v>#DIV/0!</v>
      </c>
      <c r="FO201" s="172" t="e">
        <f t="shared" si="101"/>
        <v>#DIV/0!</v>
      </c>
      <c r="FP201" s="172" t="e">
        <f t="shared" si="102"/>
        <v>#DIV/0!</v>
      </c>
      <c r="FQ201" s="173" t="e">
        <f t="shared" si="103"/>
        <v>#DIV/0!</v>
      </c>
    </row>
    <row r="202" spans="2:173" hidden="1" x14ac:dyDescent="0.25">
      <c r="B202" s="263" t="s">
        <v>436</v>
      </c>
      <c r="C202" s="71"/>
      <c r="D202" s="71"/>
      <c r="E202" s="71"/>
      <c r="F202" s="71"/>
      <c r="G202" s="71"/>
      <c r="H202" s="152"/>
      <c r="I202" s="152"/>
      <c r="J202" s="152"/>
      <c r="K202" s="152"/>
      <c r="L202" s="71"/>
      <c r="M202" s="152"/>
      <c r="N202" s="152"/>
      <c r="O202" s="152"/>
      <c r="P202" s="152"/>
      <c r="Q202" s="152"/>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150"/>
      <c r="BT202" s="150"/>
      <c r="BU202" s="150"/>
      <c r="BV202" s="150"/>
      <c r="BW202" s="150"/>
      <c r="BX202" s="150"/>
      <c r="BY202" s="150"/>
      <c r="BZ202" s="71"/>
      <c r="CA202" s="71"/>
      <c r="CB202" s="152"/>
      <c r="CC202" s="152"/>
      <c r="CD202" s="152"/>
      <c r="CE202" s="152"/>
      <c r="CF202" s="152"/>
      <c r="CG202" s="71"/>
      <c r="CH202" s="152"/>
      <c r="CI202" s="150"/>
      <c r="CJ202" s="150"/>
      <c r="CK202" s="150"/>
      <c r="CL202" s="150"/>
      <c r="CM202" s="150"/>
      <c r="CN202" s="150"/>
      <c r="CO202" s="150"/>
      <c r="CP202" s="150"/>
      <c r="CQ202" s="150"/>
      <c r="CR202" s="150"/>
      <c r="CS202" s="150"/>
      <c r="CT202" s="150"/>
      <c r="CU202" s="71"/>
      <c r="CV202" s="157"/>
      <c r="CW202" s="157">
        <f t="shared" si="160"/>
        <v>0</v>
      </c>
      <c r="CX202" s="157">
        <f t="shared" si="161"/>
        <v>0</v>
      </c>
      <c r="CY202" s="157">
        <f t="shared" si="162"/>
        <v>0</v>
      </c>
      <c r="CZ202" s="157">
        <f t="shared" si="163"/>
        <v>0</v>
      </c>
      <c r="DA202" s="157">
        <f t="shared" si="164"/>
        <v>0</v>
      </c>
      <c r="DB202" s="157">
        <f t="shared" si="165"/>
        <v>0</v>
      </c>
      <c r="DC202" s="157">
        <f t="shared" si="166"/>
        <v>0</v>
      </c>
      <c r="DD202" s="157">
        <f t="shared" si="167"/>
        <v>0</v>
      </c>
      <c r="DE202" s="157">
        <f t="shared" si="168"/>
        <v>0</v>
      </c>
      <c r="DF202" s="157">
        <f t="shared" si="169"/>
        <v>0</v>
      </c>
      <c r="DG202" s="157">
        <f t="shared" si="170"/>
        <v>0</v>
      </c>
      <c r="DH202" s="157">
        <f t="shared" si="171"/>
        <v>0</v>
      </c>
      <c r="DI202" s="157">
        <f t="shared" si="172"/>
        <v>0</v>
      </c>
      <c r="DJ202" s="157">
        <f t="shared" si="173"/>
        <v>0</v>
      </c>
      <c r="DK202" s="157">
        <f t="shared" si="174"/>
        <v>0</v>
      </c>
      <c r="DL202" s="157">
        <f t="shared" si="175"/>
        <v>0</v>
      </c>
      <c r="DM202" s="157">
        <f t="shared" si="176"/>
        <v>0</v>
      </c>
      <c r="DN202" s="157">
        <f t="shared" si="177"/>
        <v>0</v>
      </c>
      <c r="DO202" s="157">
        <f t="shared" si="178"/>
        <v>0</v>
      </c>
      <c r="DP202" s="157">
        <f t="shared" si="179"/>
        <v>0</v>
      </c>
      <c r="DQ202" s="157">
        <f t="shared" si="142"/>
        <v>0</v>
      </c>
      <c r="DR202" s="157">
        <f t="shared" si="143"/>
        <v>0</v>
      </c>
      <c r="DS202" s="157">
        <f t="shared" si="144"/>
        <v>0</v>
      </c>
      <c r="DT202" s="157">
        <f t="shared" si="145"/>
        <v>0</v>
      </c>
      <c r="DU202" s="71"/>
      <c r="DV202" s="71"/>
      <c r="DW202" s="159"/>
      <c r="DX202" s="160"/>
      <c r="DY202" s="71"/>
      <c r="DZ202" s="71"/>
      <c r="EA202" s="166">
        <v>0.4</v>
      </c>
      <c r="EB202" s="162">
        <f t="shared" si="111"/>
        <v>0</v>
      </c>
      <c r="EC202" s="71"/>
      <c r="ED202" s="71"/>
      <c r="EE202" s="71"/>
      <c r="EF202" s="71"/>
      <c r="EG202" s="180"/>
      <c r="EH202" s="71"/>
      <c r="EI202" s="71">
        <v>0.77</v>
      </c>
      <c r="EJ202" s="71"/>
      <c r="EK202" s="183"/>
      <c r="EL202" s="183"/>
      <c r="EM202" s="183"/>
      <c r="EN202" s="183"/>
      <c r="EO202" s="183"/>
      <c r="EP202" s="183">
        <v>5.9999999999999995E-4</v>
      </c>
      <c r="EQ202" s="166"/>
      <c r="ER202" s="71"/>
      <c r="ES202" s="71"/>
      <c r="ET202" s="71"/>
      <c r="EU202" s="71"/>
      <c r="EV202" s="71"/>
      <c r="EW202" s="71"/>
      <c r="EX202" s="71"/>
      <c r="EY202" s="71"/>
      <c r="EZ202" s="71"/>
      <c r="FA202" s="71"/>
      <c r="FB202" s="71"/>
      <c r="FC202" s="71"/>
      <c r="FD202" s="71"/>
      <c r="FE202" s="71"/>
      <c r="FF202" s="71"/>
      <c r="FG202" s="71"/>
      <c r="FH202" s="71"/>
      <c r="FI202" s="71"/>
      <c r="FJ202" s="71"/>
      <c r="FK202" s="71"/>
      <c r="FL202" s="71"/>
      <c r="FM202" s="170" t="e">
        <f t="shared" ref="FM202:FM217" si="180">DH202/CZ202</f>
        <v>#DIV/0!</v>
      </c>
      <c r="FN202" s="170" t="e">
        <f t="shared" ref="FN202:FN217" si="181">CY202/CZ202</f>
        <v>#DIV/0!</v>
      </c>
      <c r="FO202" s="172" t="e">
        <f t="shared" ref="FO202:FO217" si="182">DH202/CY202</f>
        <v>#DIV/0!</v>
      </c>
      <c r="FP202" s="172" t="e">
        <f t="shared" ref="FP202:FP217" si="183">DG202/CZ202</f>
        <v>#DIV/0!</v>
      </c>
      <c r="FQ202" s="173" t="e">
        <f t="shared" ref="FQ202:FQ217" si="184">CZ202/I202</f>
        <v>#DIV/0!</v>
      </c>
    </row>
    <row r="203" spans="2:173" hidden="1" x14ac:dyDescent="0.25">
      <c r="B203" s="263" t="s">
        <v>437</v>
      </c>
      <c r="C203" s="71"/>
      <c r="D203" s="71"/>
      <c r="E203" s="71"/>
      <c r="F203" s="71"/>
      <c r="G203" s="71"/>
      <c r="H203" s="152"/>
      <c r="I203" s="152"/>
      <c r="J203" s="152"/>
      <c r="K203" s="152"/>
      <c r="L203" s="71"/>
      <c r="M203" s="152"/>
      <c r="N203" s="152"/>
      <c r="O203" s="152"/>
      <c r="P203" s="152"/>
      <c r="Q203" s="152"/>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150"/>
      <c r="BT203" s="150"/>
      <c r="BU203" s="150"/>
      <c r="BV203" s="150"/>
      <c r="BW203" s="150"/>
      <c r="BX203" s="150"/>
      <c r="BY203" s="150"/>
      <c r="BZ203" s="71"/>
      <c r="CA203" s="71"/>
      <c r="CB203" s="152"/>
      <c r="CC203" s="152"/>
      <c r="CD203" s="152"/>
      <c r="CE203" s="152"/>
      <c r="CF203" s="152"/>
      <c r="CG203" s="71"/>
      <c r="CH203" s="152"/>
      <c r="CI203" s="150"/>
      <c r="CJ203" s="150"/>
      <c r="CK203" s="150"/>
      <c r="CL203" s="150"/>
      <c r="CM203" s="150"/>
      <c r="CN203" s="150"/>
      <c r="CO203" s="150"/>
      <c r="CP203" s="150"/>
      <c r="CQ203" s="150"/>
      <c r="CR203" s="150"/>
      <c r="CS203" s="150"/>
      <c r="CT203" s="150"/>
      <c r="CU203" s="71"/>
      <c r="CV203" s="157"/>
      <c r="CW203" s="157">
        <f t="shared" si="160"/>
        <v>0</v>
      </c>
      <c r="CX203" s="157">
        <f t="shared" si="161"/>
        <v>0</v>
      </c>
      <c r="CY203" s="157">
        <f t="shared" si="162"/>
        <v>0</v>
      </c>
      <c r="CZ203" s="157">
        <f t="shared" si="163"/>
        <v>0</v>
      </c>
      <c r="DA203" s="157">
        <f t="shared" si="164"/>
        <v>0</v>
      </c>
      <c r="DB203" s="157">
        <f t="shared" si="165"/>
        <v>0</v>
      </c>
      <c r="DC203" s="157">
        <f t="shared" si="166"/>
        <v>0</v>
      </c>
      <c r="DD203" s="157">
        <f t="shared" si="167"/>
        <v>0</v>
      </c>
      <c r="DE203" s="157">
        <f t="shared" si="168"/>
        <v>0</v>
      </c>
      <c r="DF203" s="157">
        <f t="shared" si="169"/>
        <v>0</v>
      </c>
      <c r="DG203" s="157">
        <f t="shared" si="170"/>
        <v>0</v>
      </c>
      <c r="DH203" s="157">
        <f t="shared" si="171"/>
        <v>0</v>
      </c>
      <c r="DI203" s="157">
        <f t="shared" si="172"/>
        <v>0</v>
      </c>
      <c r="DJ203" s="157">
        <f t="shared" si="173"/>
        <v>0</v>
      </c>
      <c r="DK203" s="157">
        <f t="shared" si="174"/>
        <v>0</v>
      </c>
      <c r="DL203" s="157">
        <f t="shared" si="175"/>
        <v>0</v>
      </c>
      <c r="DM203" s="157">
        <f t="shared" si="176"/>
        <v>0</v>
      </c>
      <c r="DN203" s="157">
        <f t="shared" si="177"/>
        <v>0</v>
      </c>
      <c r="DO203" s="157">
        <f t="shared" si="178"/>
        <v>0</v>
      </c>
      <c r="DP203" s="157">
        <f t="shared" si="179"/>
        <v>0</v>
      </c>
      <c r="DQ203" s="157">
        <f t="shared" si="142"/>
        <v>0</v>
      </c>
      <c r="DR203" s="157">
        <f t="shared" si="143"/>
        <v>0</v>
      </c>
      <c r="DS203" s="157">
        <f t="shared" si="144"/>
        <v>0</v>
      </c>
      <c r="DT203" s="157">
        <f t="shared" si="145"/>
        <v>0</v>
      </c>
      <c r="DU203" s="71"/>
      <c r="DV203" s="71"/>
      <c r="DW203" s="159"/>
      <c r="DX203" s="160"/>
      <c r="DY203" s="71"/>
      <c r="DZ203" s="71"/>
      <c r="EA203" s="71"/>
      <c r="EB203" s="162">
        <f t="shared" si="111"/>
        <v>0</v>
      </c>
      <c r="EC203" s="71"/>
      <c r="ED203" s="71"/>
      <c r="EE203" s="71">
        <v>2270000</v>
      </c>
      <c r="EF203" s="71">
        <v>5000</v>
      </c>
      <c r="EG203" s="180"/>
      <c r="EH203" s="71"/>
      <c r="EI203" s="71"/>
      <c r="EJ203" s="71"/>
      <c r="EK203" s="183"/>
      <c r="EL203" s="183"/>
      <c r="EM203" s="183"/>
      <c r="EN203" s="183"/>
      <c r="EO203" s="183"/>
      <c r="EP203" s="183"/>
      <c r="EQ203" s="166"/>
      <c r="ER203" s="71"/>
      <c r="ES203" s="71"/>
      <c r="ET203" s="71"/>
      <c r="EU203" s="71"/>
      <c r="EV203" s="71"/>
      <c r="EW203" s="71"/>
      <c r="EX203" s="71"/>
      <c r="EY203" s="71"/>
      <c r="EZ203" s="71"/>
      <c r="FA203" s="71"/>
      <c r="FB203" s="71"/>
      <c r="FC203" s="71"/>
      <c r="FD203" s="71"/>
      <c r="FE203" s="71"/>
      <c r="FF203" s="71"/>
      <c r="FG203" s="71"/>
      <c r="FH203" s="71"/>
      <c r="FI203" s="71"/>
      <c r="FJ203" s="71"/>
      <c r="FK203" s="71"/>
      <c r="FL203" s="71"/>
      <c r="FM203" s="170" t="e">
        <f t="shared" si="180"/>
        <v>#DIV/0!</v>
      </c>
      <c r="FN203" s="170" t="e">
        <f t="shared" si="181"/>
        <v>#DIV/0!</v>
      </c>
      <c r="FO203" s="172" t="e">
        <f t="shared" si="182"/>
        <v>#DIV/0!</v>
      </c>
      <c r="FP203" s="172" t="e">
        <f t="shared" si="183"/>
        <v>#DIV/0!</v>
      </c>
      <c r="FQ203" s="173" t="e">
        <f t="shared" si="184"/>
        <v>#DIV/0!</v>
      </c>
    </row>
    <row r="204" spans="2:173" hidden="1" x14ac:dyDescent="0.25">
      <c r="B204" s="263" t="s">
        <v>439</v>
      </c>
      <c r="C204" s="71">
        <v>4496</v>
      </c>
      <c r="D204" s="71">
        <v>3958</v>
      </c>
      <c r="E204" s="71">
        <v>3528</v>
      </c>
      <c r="F204" s="71">
        <v>2351</v>
      </c>
      <c r="G204" s="71"/>
      <c r="H204" s="152">
        <v>93.5</v>
      </c>
      <c r="I204" s="152">
        <v>69.3</v>
      </c>
      <c r="J204" s="152"/>
      <c r="K204" s="152">
        <v>7.8</v>
      </c>
      <c r="L204" s="71"/>
      <c r="M204" s="152">
        <v>16.8</v>
      </c>
      <c r="N204" s="152"/>
      <c r="O204" s="152"/>
      <c r="P204" s="152"/>
      <c r="Q204" s="152"/>
      <c r="R204" s="71"/>
      <c r="S204" s="71"/>
      <c r="T204" s="71"/>
      <c r="U204" s="71"/>
      <c r="V204" s="71"/>
      <c r="W204" s="71"/>
      <c r="X204" s="71"/>
      <c r="Y204" s="71"/>
      <c r="Z204" s="71"/>
      <c r="AA204" s="71"/>
      <c r="AB204" s="71"/>
      <c r="AC204" s="71"/>
      <c r="AD204" s="71"/>
      <c r="AE204" s="71"/>
      <c r="AF204" s="157">
        <v>3.69</v>
      </c>
      <c r="AG204" s="157">
        <v>2.19</v>
      </c>
      <c r="AH204" s="157">
        <v>2.91</v>
      </c>
      <c r="AI204" s="157">
        <v>4.7699999999999996</v>
      </c>
      <c r="AJ204" s="157">
        <v>5.0599999999999996</v>
      </c>
      <c r="AK204" s="157">
        <v>1.87</v>
      </c>
      <c r="AL204" s="157">
        <v>2.58</v>
      </c>
      <c r="AM204" s="157">
        <v>2.46</v>
      </c>
      <c r="AN204" s="157">
        <v>1.1000000000000001</v>
      </c>
      <c r="AO204" s="157">
        <v>3.16</v>
      </c>
      <c r="AP204" s="157">
        <v>2.46</v>
      </c>
      <c r="AQ204" s="157">
        <v>5.62</v>
      </c>
      <c r="AR204" s="157">
        <v>0.7</v>
      </c>
      <c r="AS204" s="157">
        <v>7.92</v>
      </c>
      <c r="AT204" s="157">
        <v>3.78</v>
      </c>
      <c r="AU204" s="157">
        <v>1.99</v>
      </c>
      <c r="AV204" s="157">
        <v>2.23</v>
      </c>
      <c r="AW204" s="157">
        <v>2.06</v>
      </c>
      <c r="AX204" s="71"/>
      <c r="AY204" s="71">
        <v>85</v>
      </c>
      <c r="AZ204" s="71">
        <v>86</v>
      </c>
      <c r="BA204" s="71">
        <v>84</v>
      </c>
      <c r="BB204" s="71">
        <v>83</v>
      </c>
      <c r="BC204" s="71">
        <v>83</v>
      </c>
      <c r="BD204" s="71">
        <v>86</v>
      </c>
      <c r="BE204" s="71">
        <v>87</v>
      </c>
      <c r="BF204" s="71">
        <v>82</v>
      </c>
      <c r="BG204" s="71">
        <v>81</v>
      </c>
      <c r="BH204" s="71">
        <v>76</v>
      </c>
      <c r="BI204" s="71">
        <v>83</v>
      </c>
      <c r="BJ204" s="71"/>
      <c r="BK204" s="71"/>
      <c r="BL204" s="71">
        <v>64</v>
      </c>
      <c r="BM204" s="71"/>
      <c r="BN204" s="71"/>
      <c r="BO204" s="71"/>
      <c r="BP204" s="71"/>
      <c r="BQ204" s="71">
        <v>74</v>
      </c>
      <c r="BR204" s="71"/>
      <c r="BS204" s="150">
        <v>4.28</v>
      </c>
      <c r="BT204" s="150">
        <v>0.55000000000000004</v>
      </c>
      <c r="BU204" s="150">
        <v>0.62</v>
      </c>
      <c r="BV204" s="150">
        <v>0.13</v>
      </c>
      <c r="BW204" s="150">
        <v>0.4</v>
      </c>
      <c r="BX204" s="150">
        <v>2.93</v>
      </c>
      <c r="BY204" s="150"/>
      <c r="BZ204" s="71"/>
      <c r="CA204" s="71"/>
      <c r="CB204" s="152">
        <v>79</v>
      </c>
      <c r="CC204" s="152">
        <v>82</v>
      </c>
      <c r="CD204" s="152">
        <v>76</v>
      </c>
      <c r="CE204" s="152">
        <v>87</v>
      </c>
      <c r="CF204" s="152">
        <v>4.04</v>
      </c>
      <c r="CG204" s="71"/>
      <c r="CH204" s="152"/>
      <c r="CI204" s="150"/>
      <c r="CJ204" s="150"/>
      <c r="CK204" s="150"/>
      <c r="CL204" s="150"/>
      <c r="CM204" s="150"/>
      <c r="CN204" s="150"/>
      <c r="CO204" s="150"/>
      <c r="CP204" s="150"/>
      <c r="CQ204" s="150"/>
      <c r="CR204" s="150"/>
      <c r="CS204" s="150"/>
      <c r="CT204" s="150"/>
      <c r="CU204" s="71"/>
      <c r="CV204" s="157"/>
      <c r="CW204" s="157">
        <f t="shared" ref="CW204:DB205" si="185">AF204*AZ204/100</f>
        <v>3.1733999999999996</v>
      </c>
      <c r="CX204" s="157">
        <f t="shared" si="185"/>
        <v>1.8396000000000001</v>
      </c>
      <c r="CY204" s="157">
        <f t="shared" si="185"/>
        <v>2.4153000000000002</v>
      </c>
      <c r="CZ204" s="157">
        <f t="shared" si="185"/>
        <v>3.9590999999999998</v>
      </c>
      <c r="DA204" s="157">
        <f t="shared" si="185"/>
        <v>4.3515999999999995</v>
      </c>
      <c r="DB204" s="157">
        <f t="shared" si="185"/>
        <v>1.6269</v>
      </c>
      <c r="DC204" s="157">
        <f>(AK204*BE204+BL204*AR204)/100</f>
        <v>2.0749</v>
      </c>
      <c r="DD204" s="157">
        <f>AL204*BF204/100</f>
        <v>2.1156000000000001</v>
      </c>
      <c r="DE204" s="157">
        <f t="shared" si="168"/>
        <v>3.64</v>
      </c>
      <c r="DF204" s="157">
        <f>AM204*BG204/100</f>
        <v>1.9925999999999999</v>
      </c>
      <c r="DG204" s="157">
        <f t="shared" si="170"/>
        <v>0.83600000000000008</v>
      </c>
      <c r="DH204" s="157">
        <f t="shared" si="171"/>
        <v>2.6228000000000002</v>
      </c>
      <c r="DI204" s="157">
        <f t="shared" si="172"/>
        <v>0</v>
      </c>
      <c r="DJ204" s="157">
        <f t="shared" si="173"/>
        <v>0</v>
      </c>
      <c r="DK204" s="157">
        <f t="shared" si="174"/>
        <v>0.44799999999999995</v>
      </c>
      <c r="DL204" s="157">
        <f t="shared" si="175"/>
        <v>0</v>
      </c>
      <c r="DM204" s="157">
        <f t="shared" si="176"/>
        <v>0</v>
      </c>
      <c r="DN204" s="157">
        <f t="shared" si="177"/>
        <v>0</v>
      </c>
      <c r="DO204" s="157">
        <f t="shared" si="178"/>
        <v>0</v>
      </c>
      <c r="DP204" s="157">
        <f t="shared" si="179"/>
        <v>1.5244</v>
      </c>
      <c r="DQ204" s="157">
        <f t="shared" si="142"/>
        <v>2.3147000000000002</v>
      </c>
      <c r="DR204" s="157">
        <f t="shared" si="143"/>
        <v>2.4026000000000001</v>
      </c>
      <c r="DS204" s="157">
        <f t="shared" si="144"/>
        <v>3.2528000000000001</v>
      </c>
      <c r="DT204" s="157">
        <f t="shared" si="145"/>
        <v>3.7236000000000002</v>
      </c>
      <c r="DU204" s="71"/>
      <c r="DV204" s="71"/>
      <c r="DW204" s="159"/>
      <c r="DX204" s="160"/>
      <c r="DY204" s="71"/>
      <c r="DZ204" s="71"/>
      <c r="EA204" s="172">
        <v>0.94</v>
      </c>
      <c r="EB204" s="162">
        <f t="shared" si="111"/>
        <v>2.7542</v>
      </c>
      <c r="EC204" s="71"/>
      <c r="ED204" s="71"/>
      <c r="EE204" s="71"/>
      <c r="EF204" s="71"/>
      <c r="EG204" s="180"/>
      <c r="EH204" s="71"/>
      <c r="EI204" s="71"/>
      <c r="EJ204" s="71"/>
      <c r="EK204" s="174"/>
      <c r="EL204" s="174"/>
      <c r="EM204" s="174"/>
      <c r="EN204" s="174"/>
      <c r="EO204" s="174"/>
      <c r="EP204" s="174"/>
      <c r="EQ204" s="172"/>
      <c r="ER204" s="71"/>
      <c r="ES204" s="71"/>
      <c r="ET204" s="71"/>
      <c r="EU204" s="71"/>
      <c r="EV204" s="71"/>
      <c r="EW204" s="71"/>
      <c r="EX204" s="71"/>
      <c r="EY204" s="71"/>
      <c r="EZ204" s="71"/>
      <c r="FA204" s="71"/>
      <c r="FB204" s="71"/>
      <c r="FC204" s="71"/>
      <c r="FD204" s="71"/>
      <c r="FE204" s="71"/>
      <c r="FF204" s="71"/>
      <c r="FG204" s="71"/>
      <c r="FH204" s="71"/>
      <c r="FI204" s="71"/>
      <c r="FJ204" s="71"/>
      <c r="FK204" s="71"/>
      <c r="FL204" s="71"/>
      <c r="FM204" s="170">
        <f t="shared" si="180"/>
        <v>0.66247379454926636</v>
      </c>
      <c r="FN204" s="170">
        <f t="shared" si="181"/>
        <v>0.61006289308176109</v>
      </c>
      <c r="FO204" s="172">
        <f t="shared" si="182"/>
        <v>1.0859106529209621</v>
      </c>
      <c r="FP204" s="172">
        <f t="shared" si="183"/>
        <v>0.21115910181606934</v>
      </c>
      <c r="FQ204" s="173">
        <f t="shared" si="184"/>
        <v>5.7129870129870128E-2</v>
      </c>
    </row>
    <row r="205" spans="2:173" hidden="1" x14ac:dyDescent="0.25">
      <c r="B205" s="263" t="s">
        <v>438</v>
      </c>
      <c r="C205" s="71">
        <v>4496</v>
      </c>
      <c r="D205" s="71">
        <v>3958</v>
      </c>
      <c r="E205" s="71">
        <v>3528</v>
      </c>
      <c r="F205" s="71">
        <v>2351</v>
      </c>
      <c r="G205" s="71"/>
      <c r="H205" s="152">
        <v>90</v>
      </c>
      <c r="I205" s="152">
        <v>67</v>
      </c>
      <c r="J205" s="152"/>
      <c r="K205" s="152">
        <v>10</v>
      </c>
      <c r="L205" s="71"/>
      <c r="M205" s="152">
        <v>17</v>
      </c>
      <c r="N205" s="152"/>
      <c r="O205" s="152"/>
      <c r="P205" s="152"/>
      <c r="Q205" s="152"/>
      <c r="R205" s="71"/>
      <c r="S205" s="71"/>
      <c r="T205" s="71"/>
      <c r="U205" s="71"/>
      <c r="V205" s="71"/>
      <c r="W205" s="71"/>
      <c r="X205" s="71"/>
      <c r="Y205" s="71"/>
      <c r="Z205" s="71"/>
      <c r="AA205" s="71"/>
      <c r="AB205" s="71"/>
      <c r="AC205" s="71"/>
      <c r="AD205" s="71"/>
      <c r="AE205" s="71"/>
      <c r="AF205" s="157">
        <v>3.74</v>
      </c>
      <c r="AG205" s="157">
        <v>2.36</v>
      </c>
      <c r="AH205" s="157">
        <v>2.59</v>
      </c>
      <c r="AI205" s="157">
        <v>4.8</v>
      </c>
      <c r="AJ205" s="157">
        <v>5.25</v>
      </c>
      <c r="AK205" s="157">
        <v>1.77</v>
      </c>
      <c r="AL205" s="157">
        <v>2.62</v>
      </c>
      <c r="AM205" s="157">
        <v>2.83</v>
      </c>
      <c r="AN205" s="157">
        <v>0.82</v>
      </c>
      <c r="AO205" s="157">
        <v>3.05</v>
      </c>
      <c r="AP205" s="157">
        <v>4.13</v>
      </c>
      <c r="AQ205" s="157">
        <v>6.08</v>
      </c>
      <c r="AR205" s="157">
        <v>0.59</v>
      </c>
      <c r="AS205" s="157">
        <v>8.24</v>
      </c>
      <c r="AT205" s="157">
        <v>3.96</v>
      </c>
      <c r="AU205" s="157">
        <v>2.58</v>
      </c>
      <c r="AV205" s="157">
        <v>2.6</v>
      </c>
      <c r="AW205" s="157">
        <v>1.88</v>
      </c>
      <c r="AX205" s="71"/>
      <c r="AY205" s="71">
        <v>85</v>
      </c>
      <c r="AZ205" s="71">
        <v>86</v>
      </c>
      <c r="BA205" s="71">
        <v>84</v>
      </c>
      <c r="BB205" s="71">
        <v>83</v>
      </c>
      <c r="BC205" s="71">
        <v>83</v>
      </c>
      <c r="BD205" s="71">
        <v>86</v>
      </c>
      <c r="BE205" s="71">
        <v>87</v>
      </c>
      <c r="BF205" s="71">
        <v>82</v>
      </c>
      <c r="BG205" s="71">
        <v>81</v>
      </c>
      <c r="BH205" s="71">
        <v>76</v>
      </c>
      <c r="BI205" s="71">
        <v>83</v>
      </c>
      <c r="BJ205" s="71"/>
      <c r="BK205" s="71"/>
      <c r="BL205" s="71">
        <v>64</v>
      </c>
      <c r="BM205" s="71"/>
      <c r="BN205" s="71"/>
      <c r="BO205" s="71"/>
      <c r="BP205" s="71"/>
      <c r="BQ205" s="71">
        <v>74</v>
      </c>
      <c r="BR205" s="71"/>
      <c r="BS205" s="150">
        <v>4.28</v>
      </c>
      <c r="BT205" s="150">
        <v>0.55000000000000004</v>
      </c>
      <c r="BU205" s="150">
        <v>0.62</v>
      </c>
      <c r="BV205" s="150">
        <v>0.13</v>
      </c>
      <c r="BW205" s="150">
        <v>0.4</v>
      </c>
      <c r="BX205" s="150">
        <v>2.93</v>
      </c>
      <c r="BY205" s="150"/>
      <c r="BZ205" s="71"/>
      <c r="CA205" s="71"/>
      <c r="CB205" s="152">
        <v>79</v>
      </c>
      <c r="CC205" s="152">
        <v>82</v>
      </c>
      <c r="CD205" s="152">
        <v>76</v>
      </c>
      <c r="CE205" s="152">
        <v>87</v>
      </c>
      <c r="CF205" s="152">
        <v>4.04</v>
      </c>
      <c r="CG205" s="71"/>
      <c r="CH205" s="152"/>
      <c r="CI205" s="150"/>
      <c r="CJ205" s="150"/>
      <c r="CK205" s="150"/>
      <c r="CL205" s="150"/>
      <c r="CM205" s="150"/>
      <c r="CN205" s="150"/>
      <c r="CO205" s="150"/>
      <c r="CP205" s="150"/>
      <c r="CQ205" s="150"/>
      <c r="CR205" s="150"/>
      <c r="CS205" s="150"/>
      <c r="CT205" s="150"/>
      <c r="CU205" s="71"/>
      <c r="CV205" s="157"/>
      <c r="CW205" s="157">
        <f t="shared" si="185"/>
        <v>3.2164000000000006</v>
      </c>
      <c r="CX205" s="157">
        <f t="shared" si="185"/>
        <v>1.9823999999999997</v>
      </c>
      <c r="CY205" s="157">
        <f t="shared" si="185"/>
        <v>2.1497000000000002</v>
      </c>
      <c r="CZ205" s="157">
        <f t="shared" si="185"/>
        <v>3.984</v>
      </c>
      <c r="DA205" s="157">
        <f t="shared" si="185"/>
        <v>4.5149999999999997</v>
      </c>
      <c r="DB205" s="157">
        <f t="shared" si="185"/>
        <v>1.5399</v>
      </c>
      <c r="DC205" s="157">
        <f>(AK205*BE205+BL205*AR205)/100</f>
        <v>1.9175</v>
      </c>
      <c r="DD205" s="157">
        <f>AL205*BF205/100</f>
        <v>2.1484000000000001</v>
      </c>
      <c r="DE205" s="157">
        <f t="shared" si="168"/>
        <v>3.5396000000000001</v>
      </c>
      <c r="DF205" s="157">
        <f>AM205*BG205/100</f>
        <v>2.2923</v>
      </c>
      <c r="DG205" s="157">
        <f t="shared" si="170"/>
        <v>0.62319999999999998</v>
      </c>
      <c r="DH205" s="157">
        <f t="shared" si="171"/>
        <v>2.5314999999999999</v>
      </c>
      <c r="DI205" s="157">
        <f t="shared" si="172"/>
        <v>0</v>
      </c>
      <c r="DJ205" s="157">
        <f t="shared" si="173"/>
        <v>0</v>
      </c>
      <c r="DK205" s="157">
        <f t="shared" si="174"/>
        <v>0.37759999999999999</v>
      </c>
      <c r="DL205" s="157">
        <f t="shared" si="175"/>
        <v>0</v>
      </c>
      <c r="DM205" s="157">
        <f t="shared" si="176"/>
        <v>0</v>
      </c>
      <c r="DN205" s="157">
        <f t="shared" si="177"/>
        <v>0</v>
      </c>
      <c r="DO205" s="157">
        <f t="shared" si="178"/>
        <v>0</v>
      </c>
      <c r="DP205" s="157">
        <f t="shared" si="179"/>
        <v>1.3912</v>
      </c>
      <c r="DQ205" s="157">
        <f t="shared" si="142"/>
        <v>2.3147000000000002</v>
      </c>
      <c r="DR205" s="157">
        <f t="shared" si="143"/>
        <v>2.4026000000000001</v>
      </c>
      <c r="DS205" s="157">
        <f t="shared" si="144"/>
        <v>3.2528000000000001</v>
      </c>
      <c r="DT205" s="157">
        <f t="shared" si="145"/>
        <v>3.7236000000000002</v>
      </c>
      <c r="DU205" s="71"/>
      <c r="DV205" s="71"/>
      <c r="DW205" s="159"/>
      <c r="DX205" s="160"/>
      <c r="DY205" s="71"/>
      <c r="DZ205" s="71"/>
      <c r="EA205" s="172">
        <v>0.94</v>
      </c>
      <c r="EB205" s="162">
        <f t="shared" si="111"/>
        <v>2.7542</v>
      </c>
      <c r="EC205" s="71"/>
      <c r="ED205" s="71"/>
      <c r="EE205" s="71"/>
      <c r="EF205" s="71"/>
      <c r="EG205" s="180"/>
      <c r="EH205" s="71"/>
      <c r="EI205" s="71"/>
      <c r="EJ205" s="71"/>
      <c r="EK205" s="174"/>
      <c r="EL205" s="174"/>
      <c r="EM205" s="174"/>
      <c r="EN205" s="174"/>
      <c r="EO205" s="174"/>
      <c r="EP205" s="174"/>
      <c r="EQ205" s="172"/>
      <c r="ER205" s="71"/>
      <c r="ES205" s="71"/>
      <c r="ET205" s="71"/>
      <c r="EU205" s="71"/>
      <c r="EV205" s="71"/>
      <c r="EW205" s="71"/>
      <c r="EX205" s="71"/>
      <c r="EY205" s="71"/>
      <c r="EZ205" s="71"/>
      <c r="FA205" s="71"/>
      <c r="FB205" s="71"/>
      <c r="FC205" s="71"/>
      <c r="FD205" s="71"/>
      <c r="FE205" s="71"/>
      <c r="FF205" s="71"/>
      <c r="FG205" s="71"/>
      <c r="FH205" s="71"/>
      <c r="FI205" s="71"/>
      <c r="FJ205" s="71"/>
      <c r="FK205" s="71"/>
      <c r="FL205" s="71"/>
      <c r="FM205" s="170">
        <f t="shared" si="180"/>
        <v>0.63541666666666663</v>
      </c>
      <c r="FN205" s="170">
        <f t="shared" si="181"/>
        <v>0.53958333333333341</v>
      </c>
      <c r="FO205" s="172">
        <f t="shared" si="182"/>
        <v>1.1776061776061775</v>
      </c>
      <c r="FP205" s="172">
        <f t="shared" si="183"/>
        <v>0.15642570281124499</v>
      </c>
      <c r="FQ205" s="173">
        <f t="shared" si="184"/>
        <v>5.9462686567164177E-2</v>
      </c>
    </row>
    <row r="206" spans="2:173" hidden="1" x14ac:dyDescent="0.25">
      <c r="B206" s="263" t="s">
        <v>440</v>
      </c>
      <c r="C206" s="71">
        <v>4496</v>
      </c>
      <c r="D206" s="71">
        <v>3958</v>
      </c>
      <c r="E206" s="71">
        <v>3528</v>
      </c>
      <c r="F206" s="71">
        <v>2351</v>
      </c>
      <c r="G206" s="71"/>
      <c r="H206" s="152">
        <v>61</v>
      </c>
      <c r="I206" s="152">
        <v>42</v>
      </c>
      <c r="J206" s="152"/>
      <c r="K206" s="152">
        <v>0.76</v>
      </c>
      <c r="L206" s="71"/>
      <c r="M206" s="152">
        <v>15.03</v>
      </c>
      <c r="N206" s="152"/>
      <c r="O206" s="152"/>
      <c r="P206" s="152"/>
      <c r="Q206" s="152"/>
      <c r="R206" s="71"/>
      <c r="S206" s="71"/>
      <c r="T206" s="71"/>
      <c r="U206" s="71"/>
      <c r="V206" s="71"/>
      <c r="W206" s="71"/>
      <c r="X206" s="71"/>
      <c r="Y206" s="71"/>
      <c r="Z206" s="71"/>
      <c r="AA206" s="71"/>
      <c r="AB206" s="71"/>
      <c r="AC206" s="71"/>
      <c r="AD206" s="71"/>
      <c r="AE206" s="71"/>
      <c r="AF206" s="157">
        <v>1.6379999999999999</v>
      </c>
      <c r="AG206" s="157">
        <v>1.974</v>
      </c>
      <c r="AH206" s="157">
        <v>0.63</v>
      </c>
      <c r="AI206" s="157">
        <v>1.64</v>
      </c>
      <c r="AJ206" s="157">
        <v>2.1</v>
      </c>
      <c r="AK206" s="157">
        <v>0.46200000000000002</v>
      </c>
      <c r="AL206" s="157">
        <v>0.58799999999999997</v>
      </c>
      <c r="AM206" s="157">
        <v>0.92400000000000004</v>
      </c>
      <c r="AN206" s="157">
        <v>0.126</v>
      </c>
      <c r="AO206" s="157">
        <v>0.92400000000000004</v>
      </c>
      <c r="AP206" s="157">
        <v>2.226</v>
      </c>
      <c r="AQ206" s="157">
        <v>2.1419999999999999</v>
      </c>
      <c r="AR206" s="157">
        <v>8.4000000000000005E-2</v>
      </c>
      <c r="AS206" s="157">
        <v>4.2</v>
      </c>
      <c r="AT206" s="157">
        <v>3.1080000000000001</v>
      </c>
      <c r="AU206" s="157">
        <v>1.47</v>
      </c>
      <c r="AV206" s="157">
        <v>1.008</v>
      </c>
      <c r="AW206" s="157"/>
      <c r="AX206" s="71"/>
      <c r="AY206" s="71">
        <v>85</v>
      </c>
      <c r="AZ206" s="71">
        <v>86</v>
      </c>
      <c r="BA206" s="71">
        <v>84</v>
      </c>
      <c r="BB206" s="71">
        <v>83</v>
      </c>
      <c r="BC206" s="71">
        <v>83</v>
      </c>
      <c r="BD206" s="71">
        <v>86</v>
      </c>
      <c r="BE206" s="71">
        <v>87</v>
      </c>
      <c r="BF206" s="71">
        <v>82</v>
      </c>
      <c r="BG206" s="71">
        <v>81</v>
      </c>
      <c r="BH206" s="71">
        <v>76</v>
      </c>
      <c r="BI206" s="71">
        <v>83</v>
      </c>
      <c r="BJ206" s="71"/>
      <c r="BK206" s="71"/>
      <c r="BL206" s="71">
        <v>64</v>
      </c>
      <c r="BM206" s="71"/>
      <c r="BN206" s="71"/>
      <c r="BO206" s="71"/>
      <c r="BP206" s="71"/>
      <c r="BQ206" s="71"/>
      <c r="BR206" s="71"/>
      <c r="BS206" s="150"/>
      <c r="BT206" s="150"/>
      <c r="BU206" s="150"/>
      <c r="BV206" s="150"/>
      <c r="BW206" s="150"/>
      <c r="BX206" s="150"/>
      <c r="BY206" s="150"/>
      <c r="BZ206" s="71"/>
      <c r="CA206" s="71"/>
      <c r="CB206" s="152"/>
      <c r="CC206" s="152"/>
      <c r="CD206" s="71"/>
      <c r="CE206" s="71"/>
      <c r="CF206" s="71"/>
      <c r="CG206" s="71"/>
      <c r="CH206" s="152"/>
      <c r="CI206" s="150"/>
      <c r="CJ206" s="150"/>
      <c r="CK206" s="150"/>
      <c r="CL206" s="150"/>
      <c r="CM206" s="150"/>
      <c r="CN206" s="150"/>
      <c r="CO206" s="150"/>
      <c r="CP206" s="150"/>
      <c r="CQ206" s="150"/>
      <c r="CR206" s="150"/>
      <c r="CS206" s="150"/>
      <c r="CT206" s="150"/>
      <c r="CU206" s="71"/>
      <c r="CV206" s="157"/>
      <c r="CW206" s="157">
        <f t="shared" si="160"/>
        <v>1.4086799999999999</v>
      </c>
      <c r="CX206" s="157">
        <f t="shared" si="161"/>
        <v>1.6581600000000001</v>
      </c>
      <c r="CY206" s="157">
        <f t="shared" si="162"/>
        <v>0.52290000000000003</v>
      </c>
      <c r="CZ206" s="157">
        <f t="shared" si="163"/>
        <v>1.3612</v>
      </c>
      <c r="DA206" s="157">
        <f t="shared" si="164"/>
        <v>1.806</v>
      </c>
      <c r="DB206" s="157">
        <f t="shared" si="165"/>
        <v>0.40194000000000002</v>
      </c>
      <c r="DC206" s="157">
        <f t="shared" si="166"/>
        <v>0.45569999999999999</v>
      </c>
      <c r="DD206" s="157">
        <f t="shared" si="167"/>
        <v>0.48215999999999992</v>
      </c>
      <c r="DE206" s="157">
        <f t="shared" si="168"/>
        <v>0.48215999999999992</v>
      </c>
      <c r="DF206" s="157">
        <f t="shared" si="169"/>
        <v>0.74844000000000011</v>
      </c>
      <c r="DG206" s="157">
        <f t="shared" si="170"/>
        <v>9.5760000000000012E-2</v>
      </c>
      <c r="DH206" s="157">
        <f t="shared" si="171"/>
        <v>0.76692000000000005</v>
      </c>
      <c r="DI206" s="157">
        <f t="shared" si="172"/>
        <v>0</v>
      </c>
      <c r="DJ206" s="157">
        <f t="shared" si="173"/>
        <v>0</v>
      </c>
      <c r="DK206" s="157">
        <f t="shared" si="174"/>
        <v>5.3760000000000002E-2</v>
      </c>
      <c r="DL206" s="157">
        <f t="shared" si="175"/>
        <v>0</v>
      </c>
      <c r="DM206" s="157">
        <f t="shared" si="176"/>
        <v>0</v>
      </c>
      <c r="DN206" s="157">
        <f t="shared" si="177"/>
        <v>0</v>
      </c>
      <c r="DO206" s="157">
        <f t="shared" si="178"/>
        <v>0</v>
      </c>
      <c r="DP206" s="157">
        <f t="shared" si="179"/>
        <v>0</v>
      </c>
      <c r="DQ206" s="157">
        <f t="shared" si="142"/>
        <v>0</v>
      </c>
      <c r="DR206" s="157">
        <f t="shared" si="143"/>
        <v>0</v>
      </c>
      <c r="DS206" s="157">
        <f t="shared" si="144"/>
        <v>0</v>
      </c>
      <c r="DT206" s="157">
        <f t="shared" si="145"/>
        <v>0</v>
      </c>
      <c r="DU206" s="71"/>
      <c r="DV206" s="71"/>
      <c r="DW206" s="159"/>
      <c r="DX206" s="160"/>
      <c r="DY206" s="71"/>
      <c r="DZ206" s="71"/>
      <c r="EA206" s="172"/>
      <c r="EB206" s="162">
        <f t="shared" si="111"/>
        <v>0</v>
      </c>
      <c r="EC206" s="71"/>
      <c r="ED206" s="71"/>
      <c r="EE206" s="71"/>
      <c r="EF206" s="71"/>
      <c r="EG206" s="180"/>
      <c r="EH206" s="71"/>
      <c r="EI206" s="71"/>
      <c r="EJ206" s="71"/>
      <c r="EK206" s="174"/>
      <c r="EL206" s="174"/>
      <c r="EM206" s="174"/>
      <c r="EN206" s="174"/>
      <c r="EO206" s="174"/>
      <c r="EP206" s="174"/>
      <c r="EQ206" s="172"/>
      <c r="ER206" s="71"/>
      <c r="ES206" s="71"/>
      <c r="ET206" s="71"/>
      <c r="EU206" s="71"/>
      <c r="EV206" s="71"/>
      <c r="EW206" s="71"/>
      <c r="EX206" s="71"/>
      <c r="EY206" s="71"/>
      <c r="EZ206" s="71"/>
      <c r="FA206" s="71"/>
      <c r="FB206" s="71"/>
      <c r="FC206" s="71"/>
      <c r="FD206" s="71"/>
      <c r="FE206" s="71"/>
      <c r="FF206" s="71"/>
      <c r="FG206" s="71"/>
      <c r="FH206" s="71"/>
      <c r="FI206" s="71"/>
      <c r="FJ206" s="71"/>
      <c r="FK206" s="71"/>
      <c r="FL206" s="71"/>
      <c r="FM206" s="170">
        <f t="shared" si="180"/>
        <v>0.56341463414634152</v>
      </c>
      <c r="FN206" s="170">
        <f t="shared" si="181"/>
        <v>0.38414634146341464</v>
      </c>
      <c r="FO206" s="172">
        <f t="shared" si="182"/>
        <v>1.4666666666666666</v>
      </c>
      <c r="FP206" s="172">
        <f t="shared" si="183"/>
        <v>7.0349691448721732E-2</v>
      </c>
      <c r="FQ206" s="173">
        <f t="shared" si="184"/>
        <v>3.2409523809523812E-2</v>
      </c>
    </row>
    <row r="207" spans="2:173" hidden="1" x14ac:dyDescent="0.25">
      <c r="B207" s="263" t="s">
        <v>441</v>
      </c>
      <c r="C207" s="71">
        <v>4740.0349999999999</v>
      </c>
      <c r="D207" s="71">
        <v>3782.22</v>
      </c>
      <c r="E207" s="71">
        <v>3585.97</v>
      </c>
      <c r="F207" s="71">
        <v>2556.6999999999998</v>
      </c>
      <c r="G207" s="71"/>
      <c r="H207" s="71"/>
      <c r="I207" s="71"/>
      <c r="J207" s="71"/>
      <c r="K207" s="71"/>
      <c r="L207" s="71"/>
      <c r="M207" s="152"/>
      <c r="N207" s="152"/>
      <c r="O207" s="152"/>
      <c r="P207" s="152"/>
      <c r="Q207" s="152"/>
      <c r="R207" s="71"/>
      <c r="S207" s="71"/>
      <c r="T207" s="71"/>
      <c r="U207" s="71"/>
      <c r="V207" s="71"/>
      <c r="W207" s="71"/>
      <c r="X207" s="71"/>
      <c r="Y207" s="71"/>
      <c r="Z207" s="71"/>
      <c r="AA207" s="71"/>
      <c r="AB207" s="71"/>
      <c r="AC207" s="71"/>
      <c r="AD207" s="71"/>
      <c r="AE207" s="71"/>
      <c r="AF207" s="157">
        <f>(AF190*0.935)+(AF206*0.065)</f>
        <v>4.28592</v>
      </c>
      <c r="AG207" s="157">
        <f t="shared" ref="AG207:AV207" si="186">(AG190*0.935)+(AG206*0.065)</f>
        <v>1.7552099999999999</v>
      </c>
      <c r="AH207" s="157">
        <f t="shared" si="186"/>
        <v>3.3789000000000002</v>
      </c>
      <c r="AI207" s="157">
        <f t="shared" si="186"/>
        <v>5.4454500000000001</v>
      </c>
      <c r="AJ207" s="157">
        <f t="shared" si="186"/>
        <v>3.9887000000000001</v>
      </c>
      <c r="AK207" s="157">
        <f t="shared" si="186"/>
        <v>0.9837300000000001</v>
      </c>
      <c r="AL207" s="157">
        <f t="shared" si="186"/>
        <v>3.4977200000000002</v>
      </c>
      <c r="AM207" s="157">
        <f t="shared" si="186"/>
        <v>2.6593599999999999</v>
      </c>
      <c r="AN207" s="157">
        <f t="shared" si="186"/>
        <v>0.94319000000000008</v>
      </c>
      <c r="AO207" s="157">
        <f t="shared" si="186"/>
        <v>3.4447600000000005</v>
      </c>
      <c r="AP207" s="157">
        <f t="shared" si="186"/>
        <v>0.14469000000000001</v>
      </c>
      <c r="AQ207" s="157">
        <f t="shared" si="186"/>
        <v>0.13922999999999999</v>
      </c>
      <c r="AR207" s="157">
        <f t="shared" si="186"/>
        <v>1.0620099999999999</v>
      </c>
      <c r="AS207" s="157">
        <f t="shared" si="186"/>
        <v>0.27300000000000002</v>
      </c>
      <c r="AT207" s="157">
        <f t="shared" si="186"/>
        <v>0.20202000000000001</v>
      </c>
      <c r="AU207" s="157">
        <f t="shared" si="186"/>
        <v>9.5549999999999996E-2</v>
      </c>
      <c r="AV207" s="157">
        <f t="shared" si="186"/>
        <v>6.5520000000000009E-2</v>
      </c>
      <c r="AW207" s="157">
        <f>(AW190*0.935)+(AW206*0.065)</f>
        <v>0</v>
      </c>
      <c r="AX207" s="71"/>
      <c r="AY207" s="186">
        <f t="shared" ref="AY207:BQ207" si="187">(AY190*0.935)+(AY206*0.065)</f>
        <v>5.5250000000000004</v>
      </c>
      <c r="AZ207" s="186">
        <f t="shared" si="187"/>
        <v>94.69550000000001</v>
      </c>
      <c r="BA207" s="186">
        <f t="shared" si="187"/>
        <v>89.292099999999991</v>
      </c>
      <c r="BB207" s="186">
        <f t="shared" si="187"/>
        <v>88.684799999999996</v>
      </c>
      <c r="BC207" s="186">
        <f t="shared" si="187"/>
        <v>87.759150000000005</v>
      </c>
      <c r="BD207" s="186">
        <f t="shared" si="187"/>
        <v>86.60775000000001</v>
      </c>
      <c r="BE207" s="186">
        <f t="shared" si="187"/>
        <v>89.992000000000004</v>
      </c>
      <c r="BF207" s="186">
        <f t="shared" si="187"/>
        <v>89.227550000000008</v>
      </c>
      <c r="BG207" s="186">
        <f t="shared" si="187"/>
        <v>84.637150000000005</v>
      </c>
      <c r="BH207" s="186">
        <f t="shared" si="187"/>
        <v>90.960000000000008</v>
      </c>
      <c r="BI207" s="186">
        <f t="shared" si="187"/>
        <v>86.496899999999997</v>
      </c>
      <c r="BJ207" s="186">
        <f t="shared" si="187"/>
        <v>0</v>
      </c>
      <c r="BK207" s="186">
        <f t="shared" si="187"/>
        <v>0</v>
      </c>
      <c r="BL207" s="186">
        <f t="shared" si="187"/>
        <v>76.977800000000002</v>
      </c>
      <c r="BM207" s="186">
        <f t="shared" si="187"/>
        <v>0</v>
      </c>
      <c r="BN207" s="186">
        <f t="shared" si="187"/>
        <v>0</v>
      </c>
      <c r="BO207" s="186">
        <f t="shared" si="187"/>
        <v>0</v>
      </c>
      <c r="BP207" s="186">
        <f t="shared" si="187"/>
        <v>0</v>
      </c>
      <c r="BQ207" s="186">
        <f t="shared" si="187"/>
        <v>0</v>
      </c>
      <c r="BR207" s="71"/>
      <c r="BS207" s="150"/>
      <c r="BT207" s="150"/>
      <c r="BU207" s="150"/>
      <c r="BV207" s="150"/>
      <c r="BW207" s="150"/>
      <c r="BX207" s="150"/>
      <c r="BY207" s="150"/>
      <c r="BZ207" s="71"/>
      <c r="CA207" s="71"/>
      <c r="CB207" s="152"/>
      <c r="CC207" s="152"/>
      <c r="CD207" s="71"/>
      <c r="CE207" s="71"/>
      <c r="CF207" s="71"/>
      <c r="CG207" s="71"/>
      <c r="CH207" s="152"/>
      <c r="CI207" s="150"/>
      <c r="CJ207" s="150"/>
      <c r="CK207" s="150"/>
      <c r="CL207" s="150"/>
      <c r="CM207" s="150"/>
      <c r="CN207" s="150"/>
      <c r="CO207" s="150"/>
      <c r="CP207" s="150"/>
      <c r="CQ207" s="150"/>
      <c r="CR207" s="150"/>
      <c r="CS207" s="150"/>
      <c r="CT207" s="150"/>
      <c r="CU207" s="71"/>
      <c r="CV207" s="157"/>
      <c r="CW207" s="157">
        <f t="shared" si="160"/>
        <v>4.0585733736000007</v>
      </c>
      <c r="CX207" s="157">
        <f t="shared" si="161"/>
        <v>1.5672638684099995</v>
      </c>
      <c r="CY207" s="157">
        <f t="shared" si="162"/>
        <v>2.9965707071999996</v>
      </c>
      <c r="CZ207" s="157">
        <f t="shared" si="163"/>
        <v>4.7788806336750005</v>
      </c>
      <c r="DA207" s="157">
        <f t="shared" si="164"/>
        <v>3.4545233242500006</v>
      </c>
      <c r="DB207" s="157">
        <f t="shared" si="165"/>
        <v>0.88527830160000009</v>
      </c>
      <c r="DC207" s="157">
        <f t="shared" si="166"/>
        <v>1.70279023538</v>
      </c>
      <c r="DD207" s="157">
        <f t="shared" si="167"/>
        <v>3.1209298618600001</v>
      </c>
      <c r="DE207" s="157">
        <f t="shared" si="168"/>
        <v>3.1209298618600001</v>
      </c>
      <c r="DF207" s="157">
        <f t="shared" si="169"/>
        <v>2.2508065122400001</v>
      </c>
      <c r="DG207" s="157">
        <f t="shared" si="170"/>
        <v>0.85792562400000005</v>
      </c>
      <c r="DH207" s="157">
        <f t="shared" si="171"/>
        <v>2.9796106124400001</v>
      </c>
      <c r="DI207" s="157">
        <f t="shared" si="172"/>
        <v>0</v>
      </c>
      <c r="DJ207" s="157">
        <f t="shared" si="173"/>
        <v>0</v>
      </c>
      <c r="DK207" s="157">
        <f t="shared" si="174"/>
        <v>0.81751193377999998</v>
      </c>
      <c r="DL207" s="157">
        <f t="shared" si="175"/>
        <v>0</v>
      </c>
      <c r="DM207" s="157">
        <f t="shared" si="176"/>
        <v>0</v>
      </c>
      <c r="DN207" s="157">
        <f t="shared" si="177"/>
        <v>0</v>
      </c>
      <c r="DO207" s="157">
        <f t="shared" si="178"/>
        <v>0</v>
      </c>
      <c r="DP207" s="157">
        <f t="shared" si="179"/>
        <v>0</v>
      </c>
      <c r="DQ207" s="157">
        <f t="shared" si="142"/>
        <v>0</v>
      </c>
      <c r="DR207" s="157">
        <f t="shared" si="143"/>
        <v>0</v>
      </c>
      <c r="DS207" s="157">
        <f t="shared" si="144"/>
        <v>0</v>
      </c>
      <c r="DT207" s="157">
        <f t="shared" si="145"/>
        <v>0</v>
      </c>
      <c r="DU207" s="71"/>
      <c r="DV207" s="71"/>
      <c r="DW207" s="159"/>
      <c r="DX207" s="160"/>
      <c r="DY207" s="71"/>
      <c r="DZ207" s="71"/>
      <c r="EA207" s="172"/>
      <c r="EB207" s="162">
        <f t="shared" si="111"/>
        <v>0</v>
      </c>
      <c r="EC207" s="71"/>
      <c r="ED207" s="71"/>
      <c r="EE207" s="71"/>
      <c r="EF207" s="71"/>
      <c r="EG207" s="180"/>
      <c r="EH207" s="71"/>
      <c r="EI207" s="71"/>
      <c r="EJ207" s="71"/>
      <c r="EK207" s="174"/>
      <c r="EL207" s="174"/>
      <c r="EM207" s="174"/>
      <c r="EN207" s="174"/>
      <c r="EO207" s="174"/>
      <c r="EP207" s="174"/>
      <c r="EQ207" s="172"/>
      <c r="ER207" s="71"/>
      <c r="ES207" s="71"/>
      <c r="ET207" s="71"/>
      <c r="EU207" s="71"/>
      <c r="EV207" s="71"/>
      <c r="EW207" s="71"/>
      <c r="EX207" s="71"/>
      <c r="EY207" s="71"/>
      <c r="EZ207" s="71"/>
      <c r="FA207" s="71"/>
      <c r="FB207" s="71"/>
      <c r="FC207" s="71"/>
      <c r="FD207" s="71"/>
      <c r="FE207" s="71"/>
      <c r="FF207" s="71"/>
      <c r="FG207" s="71"/>
      <c r="FH207" s="71"/>
      <c r="FI207" s="71"/>
      <c r="FJ207" s="71"/>
      <c r="FK207" s="71"/>
      <c r="FL207" s="71"/>
      <c r="FM207" s="170">
        <f t="shared" si="180"/>
        <v>0.62349550885280303</v>
      </c>
      <c r="FN207" s="170">
        <f t="shared" si="181"/>
        <v>0.62704447691877396</v>
      </c>
      <c r="FO207" s="172">
        <f t="shared" si="182"/>
        <v>0.99434016533657998</v>
      </c>
      <c r="FP207" s="172">
        <f t="shared" si="183"/>
        <v>0.179524388609859</v>
      </c>
      <c r="FQ207" s="173" t="e">
        <f t="shared" si="184"/>
        <v>#DIV/0!</v>
      </c>
    </row>
    <row r="208" spans="2:173" ht="12.75" hidden="1" customHeight="1" x14ac:dyDescent="0.25">
      <c r="B208" s="263" t="s">
        <v>442</v>
      </c>
      <c r="C208" s="71">
        <v>4496</v>
      </c>
      <c r="D208" s="71">
        <v>3958</v>
      </c>
      <c r="E208" s="71">
        <v>3528</v>
      </c>
      <c r="F208" s="71">
        <v>2351</v>
      </c>
      <c r="G208" s="71"/>
      <c r="H208" s="71"/>
      <c r="I208" s="71"/>
      <c r="J208" s="71"/>
      <c r="K208" s="71"/>
      <c r="L208" s="71"/>
      <c r="M208" s="152"/>
      <c r="N208" s="152"/>
      <c r="O208" s="152"/>
      <c r="P208" s="152"/>
      <c r="Q208" s="152"/>
      <c r="R208" s="71"/>
      <c r="S208" s="71"/>
      <c r="T208" s="71"/>
      <c r="U208" s="71"/>
      <c r="V208" s="71"/>
      <c r="W208" s="71"/>
      <c r="X208" s="71"/>
      <c r="Y208" s="71"/>
      <c r="Z208" s="71"/>
      <c r="AA208" s="71"/>
      <c r="AB208" s="71"/>
      <c r="AC208" s="71"/>
      <c r="AD208" s="71"/>
      <c r="AE208" s="71"/>
      <c r="AF208" s="157">
        <f>(AF204*0.935)+(AF206*0.065)</f>
        <v>3.5566200000000001</v>
      </c>
      <c r="AG208" s="157">
        <f t="shared" ref="AG208:BQ208" si="188">(AG204*0.935)+(AG206*0.065)</f>
        <v>2.1759599999999999</v>
      </c>
      <c r="AH208" s="157">
        <f t="shared" si="188"/>
        <v>2.7618000000000005</v>
      </c>
      <c r="AI208" s="157">
        <f t="shared" si="188"/>
        <v>4.5665500000000003</v>
      </c>
      <c r="AJ208" s="157">
        <f t="shared" si="188"/>
        <v>4.8675999999999995</v>
      </c>
      <c r="AK208" s="157">
        <f t="shared" si="188"/>
        <v>1.7784800000000003</v>
      </c>
      <c r="AL208" s="157">
        <f t="shared" si="188"/>
        <v>2.45052</v>
      </c>
      <c r="AM208" s="157">
        <f t="shared" si="188"/>
        <v>2.36016</v>
      </c>
      <c r="AN208" s="157">
        <f t="shared" si="188"/>
        <v>1.0366900000000001</v>
      </c>
      <c r="AO208" s="157">
        <f t="shared" si="188"/>
        <v>3.0146600000000001</v>
      </c>
      <c r="AP208" s="157">
        <f t="shared" si="188"/>
        <v>2.4447900000000002</v>
      </c>
      <c r="AQ208" s="157">
        <f t="shared" si="188"/>
        <v>5.393930000000001</v>
      </c>
      <c r="AR208" s="157">
        <f t="shared" si="188"/>
        <v>0.65995999999999999</v>
      </c>
      <c r="AS208" s="157">
        <f>(AS204*0.935)+(AS206*0.065)</f>
        <v>7.6782000000000004</v>
      </c>
      <c r="AT208" s="157">
        <f t="shared" si="188"/>
        <v>3.7363200000000001</v>
      </c>
      <c r="AU208" s="157">
        <f t="shared" si="188"/>
        <v>1.9562000000000002</v>
      </c>
      <c r="AV208" s="157">
        <f t="shared" si="188"/>
        <v>2.1505700000000001</v>
      </c>
      <c r="AW208" s="157">
        <f t="shared" si="188"/>
        <v>1.9261000000000001</v>
      </c>
      <c r="AX208" s="71"/>
      <c r="AY208" s="71">
        <f t="shared" si="188"/>
        <v>85.000000000000014</v>
      </c>
      <c r="AZ208" s="71">
        <f t="shared" si="188"/>
        <v>86.000000000000014</v>
      </c>
      <c r="BA208" s="71">
        <f t="shared" si="188"/>
        <v>84</v>
      </c>
      <c r="BB208" s="71">
        <f t="shared" si="188"/>
        <v>83</v>
      </c>
      <c r="BC208" s="71">
        <f t="shared" si="188"/>
        <v>83</v>
      </c>
      <c r="BD208" s="71">
        <f t="shared" si="188"/>
        <v>86.000000000000014</v>
      </c>
      <c r="BE208" s="71">
        <f t="shared" si="188"/>
        <v>87</v>
      </c>
      <c r="BF208" s="71">
        <f t="shared" si="188"/>
        <v>82</v>
      </c>
      <c r="BG208" s="71">
        <f t="shared" si="188"/>
        <v>81</v>
      </c>
      <c r="BH208" s="71">
        <f t="shared" si="188"/>
        <v>76</v>
      </c>
      <c r="BI208" s="71">
        <f t="shared" si="188"/>
        <v>83</v>
      </c>
      <c r="BJ208" s="71">
        <f t="shared" si="188"/>
        <v>0</v>
      </c>
      <c r="BK208" s="71">
        <f t="shared" si="188"/>
        <v>0</v>
      </c>
      <c r="BL208" s="71">
        <f t="shared" si="188"/>
        <v>64</v>
      </c>
      <c r="BM208" s="71">
        <f t="shared" si="188"/>
        <v>0</v>
      </c>
      <c r="BN208" s="71">
        <f t="shared" si="188"/>
        <v>0</v>
      </c>
      <c r="BO208" s="71">
        <f t="shared" si="188"/>
        <v>0</v>
      </c>
      <c r="BP208" s="71">
        <f t="shared" si="188"/>
        <v>0</v>
      </c>
      <c r="BQ208" s="186">
        <f t="shared" si="188"/>
        <v>69.19</v>
      </c>
      <c r="BR208" s="71"/>
      <c r="BS208" s="150"/>
      <c r="BT208" s="150"/>
      <c r="BU208" s="150"/>
      <c r="BV208" s="150"/>
      <c r="BW208" s="150"/>
      <c r="BX208" s="150"/>
      <c r="BY208" s="150"/>
      <c r="BZ208" s="71"/>
      <c r="CA208" s="71"/>
      <c r="CB208" s="152"/>
      <c r="CC208" s="152"/>
      <c r="CD208" s="71"/>
      <c r="CE208" s="71"/>
      <c r="CF208" s="71"/>
      <c r="CG208" s="71"/>
      <c r="CH208" s="152"/>
      <c r="CI208" s="150"/>
      <c r="CJ208" s="150"/>
      <c r="CK208" s="150"/>
      <c r="CL208" s="150"/>
      <c r="CM208" s="150"/>
      <c r="CN208" s="150"/>
      <c r="CO208" s="150"/>
      <c r="CP208" s="150"/>
      <c r="CQ208" s="150"/>
      <c r="CR208" s="150"/>
      <c r="CS208" s="150"/>
      <c r="CT208" s="150"/>
      <c r="CU208" s="71"/>
      <c r="CV208" s="157"/>
      <c r="CW208" s="157">
        <f t="shared" ref="CW208:CW217" si="189">AF208*AZ208/100</f>
        <v>3.0586932000000009</v>
      </c>
      <c r="CX208" s="157">
        <f t="shared" ref="CX208:CX217" si="190">AG208*BA208/100</f>
        <v>1.8278064000000001</v>
      </c>
      <c r="CY208" s="157">
        <f t="shared" ref="CY208:CY217" si="191">AH208*BB208/100</f>
        <v>2.2922940000000001</v>
      </c>
      <c r="CZ208" s="157">
        <f t="shared" ref="CZ208:CZ217" si="192">AI208*BC208/100</f>
        <v>3.7902365000000002</v>
      </c>
      <c r="DA208" s="157">
        <f t="shared" ref="DA208:DA217" si="193">AJ208*BD208/100</f>
        <v>4.1861360000000003</v>
      </c>
      <c r="DB208" s="157">
        <f t="shared" ref="DB208:DB217" si="194">AK208*BE208/100</f>
        <v>1.5472776000000001</v>
      </c>
      <c r="DC208" s="157">
        <f t="shared" ref="DC208:DC217" si="195">(AK208*BE208+BL208*AR208)/100</f>
        <v>1.9696520000000002</v>
      </c>
      <c r="DD208" s="157">
        <f t="shared" ref="DD208:DD217" si="196">AL208*BF208/100</f>
        <v>2.0094264000000002</v>
      </c>
      <c r="DE208" s="157">
        <f t="shared" ref="DE208:DE217" si="197">DD208+BQ208*AW208/100</f>
        <v>3.3420949900000005</v>
      </c>
      <c r="DF208" s="157">
        <f t="shared" ref="DF208:DF217" si="198">AM208*BG208/100</f>
        <v>1.9117295999999999</v>
      </c>
      <c r="DG208" s="157">
        <f t="shared" ref="DG208:DG217" si="199">AN208*BH208/100</f>
        <v>0.78788440000000004</v>
      </c>
      <c r="DH208" s="157">
        <f t="shared" ref="DH208:DH217" si="200">AO208*BI208/100</f>
        <v>2.5021678000000001</v>
      </c>
      <c r="DI208" s="157">
        <f t="shared" ref="DI208:DI217" si="201">AP208*BJ208/100</f>
        <v>0</v>
      </c>
      <c r="DJ208" s="157">
        <f t="shared" ref="DJ208:DJ217" si="202">AQ208*BK208/100</f>
        <v>0</v>
      </c>
      <c r="DK208" s="157">
        <f t="shared" ref="DK208:DK217" si="203">AR208*BL208/100</f>
        <v>0.42237439999999998</v>
      </c>
      <c r="DL208" s="157">
        <f t="shared" ref="DL208:DL217" si="204">AS208*BM208/100</f>
        <v>0</v>
      </c>
      <c r="DM208" s="157">
        <f t="shared" ref="DM208:DM217" si="205">AT208*BN208/100</f>
        <v>0</v>
      </c>
      <c r="DN208" s="157">
        <f t="shared" ref="DN208:DN217" si="206">AU208*BO208/100</f>
        <v>0</v>
      </c>
      <c r="DO208" s="157">
        <f t="shared" ref="DO208:DO217" si="207">AV208*BP208/100</f>
        <v>0</v>
      </c>
      <c r="DP208" s="157">
        <f t="shared" ref="DP208:DP217" si="208">AW208*BQ208/100</f>
        <v>1.3326685900000002</v>
      </c>
      <c r="DQ208" s="157">
        <f t="shared" ref="DQ208:DQ215" si="209">CB208*BX208/100</f>
        <v>0</v>
      </c>
      <c r="DR208" s="157">
        <f t="shared" ref="DR208:DR215" si="210">CC208*BX208/100</f>
        <v>0</v>
      </c>
      <c r="DS208" s="157">
        <f t="shared" ref="DS208:DS215" si="211">BS208*CD208/100</f>
        <v>0</v>
      </c>
      <c r="DT208" s="157">
        <f t="shared" ref="DT208:DT215" si="212">BS208*CE208/100</f>
        <v>0</v>
      </c>
      <c r="DU208" s="71"/>
      <c r="DV208" s="71"/>
      <c r="DW208" s="159"/>
      <c r="DX208" s="160"/>
      <c r="DY208" s="71"/>
      <c r="DZ208" s="71"/>
      <c r="EA208" s="172"/>
      <c r="EB208" s="162">
        <f t="shared" si="111"/>
        <v>0</v>
      </c>
      <c r="EC208" s="71"/>
      <c r="ED208" s="71"/>
      <c r="EE208" s="71"/>
      <c r="EF208" s="71"/>
      <c r="EG208" s="180"/>
      <c r="EH208" s="71"/>
      <c r="EI208" s="71"/>
      <c r="EJ208" s="71"/>
      <c r="EK208" s="174"/>
      <c r="EL208" s="174"/>
      <c r="EM208" s="174"/>
      <c r="EN208" s="174"/>
      <c r="EO208" s="174"/>
      <c r="EP208" s="174"/>
      <c r="EQ208" s="172"/>
      <c r="ER208" s="71"/>
      <c r="ES208" s="71"/>
      <c r="ET208" s="71"/>
      <c r="EU208" s="71"/>
      <c r="EV208" s="71"/>
      <c r="EW208" s="71"/>
      <c r="EX208" s="71"/>
      <c r="EY208" s="71"/>
      <c r="EZ208" s="71"/>
      <c r="FA208" s="71"/>
      <c r="FB208" s="71"/>
      <c r="FC208" s="71"/>
      <c r="FD208" s="71"/>
      <c r="FE208" s="71"/>
      <c r="FF208" s="71"/>
      <c r="FG208" s="71"/>
      <c r="FH208" s="71"/>
      <c r="FI208" s="71"/>
      <c r="FJ208" s="71"/>
      <c r="FK208" s="71"/>
      <c r="FL208" s="71"/>
      <c r="FM208" s="170">
        <f t="shared" si="180"/>
        <v>0.66016139098444115</v>
      </c>
      <c r="FN208" s="170">
        <f t="shared" si="181"/>
        <v>0.60478917344603689</v>
      </c>
      <c r="FO208" s="172">
        <f t="shared" si="182"/>
        <v>1.0915562314432616</v>
      </c>
      <c r="FP208" s="172">
        <f t="shared" si="183"/>
        <v>0.20787209452497224</v>
      </c>
      <c r="FQ208" s="173" t="e">
        <f t="shared" si="184"/>
        <v>#DIV/0!</v>
      </c>
    </row>
    <row r="209" spans="2:173" hidden="1" x14ac:dyDescent="0.25">
      <c r="B209" s="263" t="s">
        <v>443</v>
      </c>
      <c r="C209" s="71"/>
      <c r="D209" s="71"/>
      <c r="E209" s="71"/>
      <c r="F209" s="71"/>
      <c r="G209" s="71"/>
      <c r="H209" s="71"/>
      <c r="I209" s="71"/>
      <c r="J209" s="71"/>
      <c r="K209" s="71"/>
      <c r="L209" s="71"/>
      <c r="M209" s="152"/>
      <c r="N209" s="152"/>
      <c r="O209" s="152"/>
      <c r="P209" s="152"/>
      <c r="Q209" s="152"/>
      <c r="R209" s="71"/>
      <c r="S209" s="71"/>
      <c r="T209" s="71"/>
      <c r="U209" s="71"/>
      <c r="V209" s="71"/>
      <c r="W209" s="71"/>
      <c r="X209" s="71"/>
      <c r="Y209" s="71"/>
      <c r="Z209" s="71"/>
      <c r="AA209" s="71"/>
      <c r="AB209" s="71"/>
      <c r="AC209" s="71"/>
      <c r="AD209" s="71"/>
      <c r="AE209" s="71"/>
      <c r="AF209" s="157"/>
      <c r="AG209" s="157"/>
      <c r="AH209" s="157"/>
      <c r="AI209" s="157"/>
      <c r="AJ209" s="157"/>
      <c r="AK209" s="157"/>
      <c r="AL209" s="157"/>
      <c r="AM209" s="157"/>
      <c r="AN209" s="157"/>
      <c r="AO209" s="157"/>
      <c r="AP209" s="157"/>
      <c r="AQ209" s="157"/>
      <c r="AR209" s="157"/>
      <c r="AS209" s="157"/>
      <c r="AT209" s="157"/>
      <c r="AU209" s="157"/>
      <c r="AV209" s="157"/>
      <c r="AW209" s="157"/>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150"/>
      <c r="BT209" s="150"/>
      <c r="BU209" s="150"/>
      <c r="BV209" s="150"/>
      <c r="BW209" s="150"/>
      <c r="BX209" s="150"/>
      <c r="BY209" s="150"/>
      <c r="BZ209" s="71"/>
      <c r="CA209" s="71"/>
      <c r="CB209" s="152"/>
      <c r="CC209" s="152"/>
      <c r="CD209" s="71"/>
      <c r="CE209" s="71"/>
      <c r="CF209" s="71"/>
      <c r="CG209" s="71"/>
      <c r="CH209" s="152"/>
      <c r="CI209" s="150"/>
      <c r="CJ209" s="150"/>
      <c r="CK209" s="150"/>
      <c r="CL209" s="150"/>
      <c r="CM209" s="150"/>
      <c r="CN209" s="150"/>
      <c r="CO209" s="150"/>
      <c r="CP209" s="150"/>
      <c r="CQ209" s="150"/>
      <c r="CR209" s="150"/>
      <c r="CS209" s="150"/>
      <c r="CT209" s="150"/>
      <c r="CU209" s="71"/>
      <c r="CV209" s="157"/>
      <c r="CW209" s="157">
        <f t="shared" si="189"/>
        <v>0</v>
      </c>
      <c r="CX209" s="157">
        <f t="shared" si="190"/>
        <v>0</v>
      </c>
      <c r="CY209" s="157">
        <f t="shared" si="191"/>
        <v>0</v>
      </c>
      <c r="CZ209" s="157">
        <f t="shared" si="192"/>
        <v>0</v>
      </c>
      <c r="DA209" s="157">
        <f t="shared" si="193"/>
        <v>0</v>
      </c>
      <c r="DB209" s="157">
        <f t="shared" si="194"/>
        <v>0</v>
      </c>
      <c r="DC209" s="157">
        <f t="shared" si="195"/>
        <v>0</v>
      </c>
      <c r="DD209" s="157">
        <f t="shared" si="196"/>
        <v>0</v>
      </c>
      <c r="DE209" s="157">
        <f t="shared" si="197"/>
        <v>0</v>
      </c>
      <c r="DF209" s="157">
        <f t="shared" si="198"/>
        <v>0</v>
      </c>
      <c r="DG209" s="157">
        <f t="shared" si="199"/>
        <v>0</v>
      </c>
      <c r="DH209" s="157">
        <f t="shared" si="200"/>
        <v>0</v>
      </c>
      <c r="DI209" s="157">
        <f t="shared" si="201"/>
        <v>0</v>
      </c>
      <c r="DJ209" s="157">
        <f t="shared" si="202"/>
        <v>0</v>
      </c>
      <c r="DK209" s="157">
        <f t="shared" si="203"/>
        <v>0</v>
      </c>
      <c r="DL209" s="157">
        <f t="shared" si="204"/>
        <v>0</v>
      </c>
      <c r="DM209" s="157">
        <f t="shared" si="205"/>
        <v>0</v>
      </c>
      <c r="DN209" s="157">
        <f t="shared" si="206"/>
        <v>0</v>
      </c>
      <c r="DO209" s="157">
        <f t="shared" si="207"/>
        <v>0</v>
      </c>
      <c r="DP209" s="157">
        <f t="shared" si="208"/>
        <v>0</v>
      </c>
      <c r="DQ209" s="157">
        <f t="shared" si="209"/>
        <v>0</v>
      </c>
      <c r="DR209" s="157">
        <f t="shared" si="210"/>
        <v>0</v>
      </c>
      <c r="DS209" s="157">
        <f t="shared" si="211"/>
        <v>0</v>
      </c>
      <c r="DT209" s="157">
        <f t="shared" si="212"/>
        <v>0</v>
      </c>
      <c r="DU209" s="71"/>
      <c r="DV209" s="71"/>
      <c r="DW209" s="159"/>
      <c r="DX209" s="160"/>
      <c r="DY209" s="71"/>
      <c r="DZ209" s="71"/>
      <c r="EA209" s="166"/>
      <c r="EB209" s="162">
        <f t="shared" ref="EB209:EB215" si="213">BX209*EA209</f>
        <v>0</v>
      </c>
      <c r="EC209" s="71"/>
      <c r="ED209" s="71"/>
      <c r="EE209" s="71"/>
      <c r="EF209" s="71"/>
      <c r="EG209" s="180"/>
      <c r="EH209" s="71"/>
      <c r="EI209" s="71"/>
      <c r="EJ209" s="71"/>
      <c r="EK209" s="183">
        <v>5.2499999999999998E-2</v>
      </c>
      <c r="EL209" s="183">
        <v>0.06</v>
      </c>
      <c r="EM209" s="183">
        <v>0.02</v>
      </c>
      <c r="EN209" s="183">
        <v>8.9999999999999993E-3</v>
      </c>
      <c r="EO209" s="183">
        <v>1.4999999999999999E-4</v>
      </c>
      <c r="EP209" s="183">
        <v>2.0000000000000001E-4</v>
      </c>
      <c r="EQ209" s="187">
        <v>9.8999999999999994E-5</v>
      </c>
      <c r="ER209" s="71"/>
      <c r="ES209" s="71">
        <v>2000250</v>
      </c>
      <c r="ET209" s="71">
        <v>327000</v>
      </c>
      <c r="EU209" s="71">
        <v>20000</v>
      </c>
      <c r="EV209" s="71">
        <v>795</v>
      </c>
      <c r="EW209" s="71">
        <v>9</v>
      </c>
      <c r="EX209" s="71">
        <v>13635</v>
      </c>
      <c r="EY209" s="71">
        <v>6500</v>
      </c>
      <c r="EZ209" s="71">
        <v>1800</v>
      </c>
      <c r="FA209" s="71">
        <v>50</v>
      </c>
      <c r="FB209" s="71">
        <v>300</v>
      </c>
      <c r="FC209" s="71">
        <v>1000</v>
      </c>
      <c r="FD209" s="71"/>
      <c r="FE209" s="71"/>
      <c r="FF209" s="71"/>
      <c r="FG209" s="71"/>
      <c r="FH209" s="71"/>
      <c r="FI209" s="71"/>
      <c r="FJ209" s="71"/>
      <c r="FK209" s="71"/>
      <c r="FL209" s="71"/>
      <c r="FM209" s="170" t="e">
        <f t="shared" si="180"/>
        <v>#DIV/0!</v>
      </c>
      <c r="FN209" s="170" t="e">
        <f t="shared" si="181"/>
        <v>#DIV/0!</v>
      </c>
      <c r="FO209" s="172" t="e">
        <f t="shared" si="182"/>
        <v>#DIV/0!</v>
      </c>
      <c r="FP209" s="172" t="e">
        <f t="shared" si="183"/>
        <v>#DIV/0!</v>
      </c>
      <c r="FQ209" s="173" t="e">
        <f t="shared" si="184"/>
        <v>#DIV/0!</v>
      </c>
    </row>
    <row r="210" spans="2:173" hidden="1" x14ac:dyDescent="0.25">
      <c r="B210" s="263" t="s">
        <v>444</v>
      </c>
      <c r="C210" s="71"/>
      <c r="D210" s="71"/>
      <c r="E210" s="71">
        <v>3395</v>
      </c>
      <c r="F210" s="71">
        <v>2638</v>
      </c>
      <c r="G210" s="71"/>
      <c r="H210" s="152">
        <v>95</v>
      </c>
      <c r="I210" s="152">
        <v>70</v>
      </c>
      <c r="J210" s="71"/>
      <c r="K210" s="71"/>
      <c r="L210" s="71"/>
      <c r="M210" s="152"/>
      <c r="N210" s="152"/>
      <c r="O210" s="152"/>
      <c r="P210" s="152"/>
      <c r="Q210" s="152"/>
      <c r="R210" s="71"/>
      <c r="S210" s="71"/>
      <c r="T210" s="71"/>
      <c r="U210" s="71"/>
      <c r="V210" s="71"/>
      <c r="W210" s="71"/>
      <c r="X210" s="71"/>
      <c r="Y210" s="71"/>
      <c r="Z210" s="71"/>
      <c r="AA210" s="71"/>
      <c r="AB210" s="71"/>
      <c r="AC210" s="71"/>
      <c r="AD210" s="71"/>
      <c r="AE210" s="71"/>
      <c r="AF210" s="157">
        <v>0.42</v>
      </c>
      <c r="AG210" s="157">
        <v>0.1</v>
      </c>
      <c r="AH210" s="157">
        <v>0.72</v>
      </c>
      <c r="AI210" s="157">
        <v>0.53</v>
      </c>
      <c r="AJ210" s="157">
        <v>1.49</v>
      </c>
      <c r="AK210" s="157">
        <v>0.25</v>
      </c>
      <c r="AL210" s="157">
        <v>0.37</v>
      </c>
      <c r="AM210" s="157">
        <v>80</v>
      </c>
      <c r="AN210" s="157">
        <v>0.06</v>
      </c>
      <c r="AO210" s="157">
        <v>0.45</v>
      </c>
      <c r="AP210" s="157">
        <v>0.6</v>
      </c>
      <c r="AQ210" s="157">
        <v>0.62</v>
      </c>
      <c r="AR210" s="157">
        <v>0.06</v>
      </c>
      <c r="AS210" s="157">
        <v>0.94</v>
      </c>
      <c r="AT210" s="157">
        <v>0.5</v>
      </c>
      <c r="AU210" s="157">
        <v>0.33</v>
      </c>
      <c r="AV210" s="157">
        <v>0.23</v>
      </c>
      <c r="AW210" s="157">
        <v>0.16</v>
      </c>
      <c r="AX210" s="71"/>
      <c r="AY210" s="71"/>
      <c r="AZ210" s="186">
        <v>45.2</v>
      </c>
      <c r="BA210" s="186">
        <v>42.3</v>
      </c>
      <c r="BB210" s="186">
        <v>75</v>
      </c>
      <c r="BC210" s="186">
        <v>44.8</v>
      </c>
      <c r="BD210" s="186">
        <v>84</v>
      </c>
      <c r="BE210" s="186">
        <v>43</v>
      </c>
      <c r="BF210" s="186">
        <v>52</v>
      </c>
      <c r="BG210" s="186">
        <v>100</v>
      </c>
      <c r="BH210" s="186">
        <v>62.8</v>
      </c>
      <c r="BI210" s="186">
        <v>47.6</v>
      </c>
      <c r="BJ210" s="186">
        <v>43.1</v>
      </c>
      <c r="BK210" s="186">
        <v>45.5</v>
      </c>
      <c r="BL210" s="186">
        <v>33</v>
      </c>
      <c r="BM210" s="186">
        <v>53</v>
      </c>
      <c r="BN210" s="186">
        <v>26</v>
      </c>
      <c r="BO210" s="186">
        <v>45</v>
      </c>
      <c r="BP210" s="186">
        <v>50</v>
      </c>
      <c r="BQ210" s="186">
        <v>60</v>
      </c>
      <c r="BR210" s="71"/>
      <c r="BS210" s="150">
        <v>0.01</v>
      </c>
      <c r="BT210" s="150"/>
      <c r="BU210" s="150">
        <v>0.48</v>
      </c>
      <c r="BV210" s="150">
        <v>0.04</v>
      </c>
      <c r="BW210" s="150">
        <v>0.01</v>
      </c>
      <c r="BX210" s="150">
        <v>0.88</v>
      </c>
      <c r="BY210" s="150"/>
      <c r="BZ210" s="71"/>
      <c r="CA210" s="71"/>
      <c r="CB210" s="152"/>
      <c r="CC210" s="152">
        <v>96.8</v>
      </c>
      <c r="CD210" s="71"/>
      <c r="CE210" s="71"/>
      <c r="CF210" s="71"/>
      <c r="CG210" s="71"/>
      <c r="CH210" s="152"/>
      <c r="CI210" s="150"/>
      <c r="CJ210" s="150"/>
      <c r="CK210" s="150"/>
      <c r="CL210" s="150"/>
      <c r="CM210" s="150"/>
      <c r="CN210" s="150"/>
      <c r="CO210" s="150"/>
      <c r="CP210" s="150"/>
      <c r="CQ210" s="150"/>
      <c r="CR210" s="150"/>
      <c r="CS210" s="150"/>
      <c r="CT210" s="150"/>
      <c r="CU210" s="71"/>
      <c r="CV210" s="157"/>
      <c r="CW210" s="157">
        <f t="shared" si="189"/>
        <v>0.18984000000000001</v>
      </c>
      <c r="CX210" s="157">
        <f t="shared" si="190"/>
        <v>4.2299999999999997E-2</v>
      </c>
      <c r="CY210" s="157">
        <f t="shared" si="191"/>
        <v>0.54</v>
      </c>
      <c r="CZ210" s="157">
        <f t="shared" si="192"/>
        <v>0.23743999999999998</v>
      </c>
      <c r="DA210" s="157">
        <f t="shared" si="193"/>
        <v>1.2516</v>
      </c>
      <c r="DB210" s="157">
        <f t="shared" si="194"/>
        <v>0.1075</v>
      </c>
      <c r="DC210" s="157">
        <f t="shared" si="195"/>
        <v>0.1273</v>
      </c>
      <c r="DD210" s="157">
        <f t="shared" si="196"/>
        <v>0.19239999999999999</v>
      </c>
      <c r="DE210" s="157">
        <f t="shared" si="197"/>
        <v>0.28839999999999999</v>
      </c>
      <c r="DF210" s="157">
        <f t="shared" si="198"/>
        <v>80</v>
      </c>
      <c r="DG210" s="157">
        <f t="shared" si="199"/>
        <v>3.7679999999999998E-2</v>
      </c>
      <c r="DH210" s="157">
        <f t="shared" si="200"/>
        <v>0.21420000000000003</v>
      </c>
      <c r="DI210" s="157">
        <f t="shared" si="201"/>
        <v>0.2586</v>
      </c>
      <c r="DJ210" s="157">
        <f t="shared" si="202"/>
        <v>0.28210000000000002</v>
      </c>
      <c r="DK210" s="157">
        <f t="shared" si="203"/>
        <v>1.9799999999999998E-2</v>
      </c>
      <c r="DL210" s="157">
        <f t="shared" si="204"/>
        <v>0.49819999999999998</v>
      </c>
      <c r="DM210" s="157">
        <f t="shared" si="205"/>
        <v>0.13</v>
      </c>
      <c r="DN210" s="157">
        <f t="shared" si="206"/>
        <v>0.14850000000000002</v>
      </c>
      <c r="DO210" s="157">
        <f t="shared" si="207"/>
        <v>0.115</v>
      </c>
      <c r="DP210" s="157">
        <f t="shared" si="208"/>
        <v>9.6000000000000002E-2</v>
      </c>
      <c r="DQ210" s="157">
        <f t="shared" si="209"/>
        <v>0</v>
      </c>
      <c r="DR210" s="157">
        <f t="shared" si="210"/>
        <v>0.85183999999999993</v>
      </c>
      <c r="DS210" s="157">
        <f t="shared" si="211"/>
        <v>0</v>
      </c>
      <c r="DT210" s="157">
        <f t="shared" si="212"/>
        <v>0</v>
      </c>
      <c r="DU210" s="71"/>
      <c r="DV210" s="71"/>
      <c r="DW210" s="159"/>
      <c r="DX210" s="160"/>
      <c r="DY210" s="71"/>
      <c r="DZ210" s="71"/>
      <c r="EA210" s="166">
        <v>1</v>
      </c>
      <c r="EB210" s="162">
        <f t="shared" si="213"/>
        <v>0.88</v>
      </c>
      <c r="EC210" s="71"/>
      <c r="ED210" s="71"/>
      <c r="EE210" s="71"/>
      <c r="EF210" s="71"/>
      <c r="EG210" s="180"/>
      <c r="EH210" s="71"/>
      <c r="EI210" s="71"/>
      <c r="EJ210" s="71"/>
      <c r="EK210" s="183"/>
      <c r="EL210" s="183"/>
      <c r="EM210" s="183"/>
      <c r="EN210" s="183"/>
      <c r="EO210" s="183"/>
      <c r="EP210" s="183"/>
      <c r="EQ210" s="166"/>
      <c r="ER210" s="71"/>
      <c r="ES210" s="71"/>
      <c r="ET210" s="71"/>
      <c r="EU210" s="71"/>
      <c r="EV210" s="71"/>
      <c r="EW210" s="71"/>
      <c r="EX210" s="71"/>
      <c r="EY210" s="71"/>
      <c r="EZ210" s="71"/>
      <c r="FA210" s="71"/>
      <c r="FB210" s="71"/>
      <c r="FC210" s="71"/>
      <c r="FD210" s="71"/>
      <c r="FE210" s="71"/>
      <c r="FF210" s="71"/>
      <c r="FG210" s="71"/>
      <c r="FH210" s="71"/>
      <c r="FI210" s="71"/>
      <c r="FJ210" s="71"/>
      <c r="FK210" s="71"/>
      <c r="FL210" s="71"/>
      <c r="FM210" s="170">
        <f t="shared" si="180"/>
        <v>0.90212264150943411</v>
      </c>
      <c r="FN210" s="170">
        <f t="shared" si="181"/>
        <v>2.2742587601078168</v>
      </c>
      <c r="FO210" s="172">
        <f t="shared" si="182"/>
        <v>0.39666666666666667</v>
      </c>
      <c r="FP210" s="172">
        <f t="shared" si="183"/>
        <v>0.15869272237196766</v>
      </c>
      <c r="FQ210" s="173">
        <f t="shared" si="184"/>
        <v>3.3919999999999996E-3</v>
      </c>
    </row>
    <row r="211" spans="2:173" hidden="1" x14ac:dyDescent="0.25">
      <c r="B211" s="263" t="s">
        <v>445</v>
      </c>
      <c r="C211" s="71"/>
      <c r="D211" s="71"/>
      <c r="E211" s="71"/>
      <c r="F211" s="71"/>
      <c r="G211" s="71"/>
      <c r="H211" s="71"/>
      <c r="I211" s="71"/>
      <c r="J211" s="71"/>
      <c r="K211" s="71"/>
      <c r="L211" s="71"/>
      <c r="M211" s="152"/>
      <c r="N211" s="152"/>
      <c r="O211" s="152"/>
      <c r="P211" s="152"/>
      <c r="Q211" s="152"/>
      <c r="R211" s="71"/>
      <c r="S211" s="71"/>
      <c r="T211" s="71"/>
      <c r="U211" s="71"/>
      <c r="V211" s="71"/>
      <c r="W211" s="71"/>
      <c r="X211" s="71"/>
      <c r="Y211" s="71"/>
      <c r="Z211" s="71"/>
      <c r="AA211" s="71"/>
      <c r="AB211" s="71"/>
      <c r="AC211" s="71"/>
      <c r="AD211" s="71"/>
      <c r="AE211" s="71"/>
      <c r="AF211" s="157"/>
      <c r="AG211" s="157"/>
      <c r="AH211" s="157"/>
      <c r="AI211" s="157"/>
      <c r="AJ211" s="157"/>
      <c r="AK211" s="157"/>
      <c r="AL211" s="157"/>
      <c r="AM211" s="157"/>
      <c r="AN211" s="157"/>
      <c r="AO211" s="157"/>
      <c r="AP211" s="157"/>
      <c r="AQ211" s="157"/>
      <c r="AR211" s="157"/>
      <c r="AS211" s="157"/>
      <c r="AT211" s="157"/>
      <c r="AU211" s="157"/>
      <c r="AV211" s="157"/>
      <c r="AW211" s="157"/>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150"/>
      <c r="BT211" s="150"/>
      <c r="BU211" s="150"/>
      <c r="BV211" s="150"/>
      <c r="BW211" s="150"/>
      <c r="BX211" s="150"/>
      <c r="BY211" s="150"/>
      <c r="BZ211" s="71"/>
      <c r="CA211" s="71"/>
      <c r="CB211" s="152"/>
      <c r="CC211" s="152"/>
      <c r="CD211" s="71"/>
      <c r="CE211" s="71"/>
      <c r="CF211" s="71"/>
      <c r="CG211" s="71"/>
      <c r="CH211" s="152"/>
      <c r="CI211" s="150"/>
      <c r="CJ211" s="150"/>
      <c r="CK211" s="150"/>
      <c r="CL211" s="150"/>
      <c r="CM211" s="150"/>
      <c r="CN211" s="150"/>
      <c r="CO211" s="150"/>
      <c r="CP211" s="150"/>
      <c r="CQ211" s="150"/>
      <c r="CR211" s="150"/>
      <c r="CS211" s="150"/>
      <c r="CT211" s="150"/>
      <c r="CU211" s="71"/>
      <c r="CV211" s="157"/>
      <c r="CW211" s="157">
        <f t="shared" si="189"/>
        <v>0</v>
      </c>
      <c r="CX211" s="157">
        <f t="shared" si="190"/>
        <v>0</v>
      </c>
      <c r="CY211" s="157">
        <f t="shared" si="191"/>
        <v>0</v>
      </c>
      <c r="CZ211" s="157">
        <f t="shared" si="192"/>
        <v>0</v>
      </c>
      <c r="DA211" s="157">
        <f t="shared" si="193"/>
        <v>0</v>
      </c>
      <c r="DB211" s="157">
        <f t="shared" si="194"/>
        <v>0</v>
      </c>
      <c r="DC211" s="157">
        <f t="shared" si="195"/>
        <v>0</v>
      </c>
      <c r="DD211" s="157">
        <f t="shared" si="196"/>
        <v>0</v>
      </c>
      <c r="DE211" s="157">
        <f t="shared" si="197"/>
        <v>0</v>
      </c>
      <c r="DF211" s="157">
        <f t="shared" si="198"/>
        <v>0</v>
      </c>
      <c r="DG211" s="157">
        <f t="shared" si="199"/>
        <v>0</v>
      </c>
      <c r="DH211" s="157">
        <f t="shared" si="200"/>
        <v>0</v>
      </c>
      <c r="DI211" s="157">
        <f t="shared" si="201"/>
        <v>0</v>
      </c>
      <c r="DJ211" s="157">
        <f t="shared" si="202"/>
        <v>0</v>
      </c>
      <c r="DK211" s="157">
        <f t="shared" si="203"/>
        <v>0</v>
      </c>
      <c r="DL211" s="157">
        <f t="shared" si="204"/>
        <v>0</v>
      </c>
      <c r="DM211" s="157">
        <f t="shared" si="205"/>
        <v>0</v>
      </c>
      <c r="DN211" s="157">
        <f t="shared" si="206"/>
        <v>0</v>
      </c>
      <c r="DO211" s="157">
        <f t="shared" si="207"/>
        <v>0</v>
      </c>
      <c r="DP211" s="157">
        <f t="shared" si="208"/>
        <v>0</v>
      </c>
      <c r="DQ211" s="157">
        <f t="shared" si="209"/>
        <v>0</v>
      </c>
      <c r="DR211" s="157">
        <f t="shared" si="210"/>
        <v>0</v>
      </c>
      <c r="DS211" s="157">
        <f t="shared" si="211"/>
        <v>0</v>
      </c>
      <c r="DT211" s="157">
        <f t="shared" si="212"/>
        <v>0</v>
      </c>
      <c r="DU211" s="71"/>
      <c r="DV211" s="71"/>
      <c r="DW211" s="159"/>
      <c r="DX211" s="160"/>
      <c r="DY211" s="71"/>
      <c r="DZ211" s="71"/>
      <c r="EA211" s="166"/>
      <c r="EB211" s="162">
        <f t="shared" si="213"/>
        <v>0</v>
      </c>
      <c r="EC211" s="71"/>
      <c r="ED211" s="71"/>
      <c r="EE211" s="71">
        <v>1135000</v>
      </c>
      <c r="EF211" s="71">
        <v>2500</v>
      </c>
      <c r="EG211" s="180"/>
      <c r="EH211" s="71"/>
      <c r="EI211" s="71"/>
      <c r="EJ211" s="71"/>
      <c r="EK211" s="183"/>
      <c r="EL211" s="183"/>
      <c r="EM211" s="183"/>
      <c r="EN211" s="183"/>
      <c r="EO211" s="183"/>
      <c r="EP211" s="183"/>
      <c r="EQ211" s="166"/>
      <c r="ER211" s="71"/>
      <c r="ES211" s="71"/>
      <c r="ET211" s="71"/>
      <c r="EU211" s="71"/>
      <c r="EV211" s="71"/>
      <c r="EW211" s="71"/>
      <c r="EX211" s="71"/>
      <c r="EY211" s="71"/>
      <c r="EZ211" s="71"/>
      <c r="FA211" s="71"/>
      <c r="FB211" s="71"/>
      <c r="FC211" s="71"/>
      <c r="FD211" s="71"/>
      <c r="FE211" s="71"/>
      <c r="FF211" s="71"/>
      <c r="FG211" s="71"/>
      <c r="FH211" s="71"/>
      <c r="FI211" s="71"/>
      <c r="FJ211" s="71"/>
      <c r="FK211" s="71"/>
      <c r="FL211" s="71"/>
      <c r="FM211" s="170" t="e">
        <f t="shared" si="180"/>
        <v>#DIV/0!</v>
      </c>
      <c r="FN211" s="170" t="e">
        <f t="shared" si="181"/>
        <v>#DIV/0!</v>
      </c>
      <c r="FO211" s="172" t="e">
        <f t="shared" si="182"/>
        <v>#DIV/0!</v>
      </c>
      <c r="FP211" s="172" t="e">
        <f t="shared" si="183"/>
        <v>#DIV/0!</v>
      </c>
      <c r="FQ211" s="173" t="e">
        <f t="shared" si="184"/>
        <v>#DIV/0!</v>
      </c>
    </row>
    <row r="212" spans="2:173" hidden="1" x14ac:dyDescent="0.25">
      <c r="B212" s="263" t="s">
        <v>446</v>
      </c>
      <c r="C212" s="71"/>
      <c r="D212" s="71">
        <v>3439</v>
      </c>
      <c r="E212" s="71">
        <v>3158</v>
      </c>
      <c r="F212" s="71">
        <v>2387</v>
      </c>
      <c r="G212" s="71"/>
      <c r="H212" s="152">
        <v>88.22</v>
      </c>
      <c r="I212" s="152">
        <v>28.15</v>
      </c>
      <c r="J212" s="152">
        <v>7.28</v>
      </c>
      <c r="K212" s="152">
        <v>7.5</v>
      </c>
      <c r="L212" s="71"/>
      <c r="M212" s="152">
        <v>4.2371129999999999</v>
      </c>
      <c r="N212" s="152"/>
      <c r="O212" s="152">
        <v>0.99662099999999998</v>
      </c>
      <c r="P212" s="152">
        <v>0.956677</v>
      </c>
      <c r="Q212" s="152">
        <v>0.89321700000000004</v>
      </c>
      <c r="R212" s="71"/>
      <c r="S212" s="71"/>
      <c r="T212" s="152">
        <v>6.9381440000000003</v>
      </c>
      <c r="U212" s="152">
        <v>33.50515</v>
      </c>
      <c r="V212" s="152">
        <v>12.1134</v>
      </c>
      <c r="W212" s="152">
        <v>2.6907220000000001</v>
      </c>
      <c r="X212" s="152">
        <v>32.319589999999998</v>
      </c>
      <c r="Y212" s="71"/>
      <c r="Z212" s="71"/>
      <c r="AA212" s="71"/>
      <c r="AB212" s="71"/>
      <c r="AC212" s="71"/>
      <c r="AD212" s="71"/>
      <c r="AE212" s="71"/>
      <c r="AF212" s="157">
        <v>1.196117216117216</v>
      </c>
      <c r="AG212" s="157">
        <v>0.73210622710622697</v>
      </c>
      <c r="AH212" s="157">
        <v>1.0517582417582416</v>
      </c>
      <c r="AI212" s="157">
        <v>3.2274542124542118</v>
      </c>
      <c r="AJ212" s="157">
        <v>0.79397435897435886</v>
      </c>
      <c r="AK212" s="157">
        <v>0.56712454212454211</v>
      </c>
      <c r="AL212" s="157">
        <v>1.3817216117216116</v>
      </c>
      <c r="AM212" s="157">
        <v>1.0208241758241756</v>
      </c>
      <c r="AN212" s="157">
        <v>0.21653846153846151</v>
      </c>
      <c r="AO212" s="157">
        <v>1.392032967032967</v>
      </c>
      <c r="AP212" s="157"/>
      <c r="AQ212" s="157"/>
      <c r="AR212" s="157">
        <v>0.52587912087912081</v>
      </c>
      <c r="AS212" s="157"/>
      <c r="AT212" s="157"/>
      <c r="AU212" s="157"/>
      <c r="AV212" s="157"/>
      <c r="AW212" s="157">
        <v>1.0723809523809522</v>
      </c>
      <c r="AX212" s="71"/>
      <c r="AY212" s="71">
        <v>74</v>
      </c>
      <c r="AZ212" s="71">
        <v>81</v>
      </c>
      <c r="BA212" s="71">
        <v>78</v>
      </c>
      <c r="BB212" s="71">
        <v>76</v>
      </c>
      <c r="BC212" s="71">
        <v>84</v>
      </c>
      <c r="BD212" s="71">
        <v>61</v>
      </c>
      <c r="BE212" s="71">
        <v>82</v>
      </c>
      <c r="BF212" s="71">
        <v>81</v>
      </c>
      <c r="BG212" s="71">
        <v>71</v>
      </c>
      <c r="BH212" s="71">
        <v>71</v>
      </c>
      <c r="BI212" s="71">
        <v>75</v>
      </c>
      <c r="BJ212" s="71"/>
      <c r="BK212" s="71"/>
      <c r="BL212" s="71">
        <v>73</v>
      </c>
      <c r="BM212" s="71"/>
      <c r="BN212" s="71"/>
      <c r="BO212" s="71"/>
      <c r="BP212" s="71"/>
      <c r="BQ212" s="71">
        <v>81</v>
      </c>
      <c r="BR212" s="71"/>
      <c r="BS212" s="150">
        <v>2.4E-2</v>
      </c>
      <c r="BT212" s="150">
        <v>0.19</v>
      </c>
      <c r="BU212" s="150"/>
      <c r="BV212" s="150"/>
      <c r="BW212" s="150">
        <v>0.22</v>
      </c>
      <c r="BX212" s="150">
        <v>0.87</v>
      </c>
      <c r="BY212" s="150"/>
      <c r="BZ212" s="71"/>
      <c r="CA212" s="71"/>
      <c r="CB212" s="152">
        <v>59</v>
      </c>
      <c r="CC212" s="152">
        <v>64</v>
      </c>
      <c r="CD212" s="71"/>
      <c r="CE212" s="71"/>
      <c r="CF212" s="71"/>
      <c r="CG212" s="71"/>
      <c r="CH212" s="152">
        <v>17.510400000000001</v>
      </c>
      <c r="CI212" s="150">
        <v>0.91020000000000001</v>
      </c>
      <c r="CJ212" s="150">
        <v>0.54759999999999998</v>
      </c>
      <c r="CK212" s="150">
        <v>0.7632000000000001</v>
      </c>
      <c r="CL212" s="150">
        <v>2.665</v>
      </c>
      <c r="CM212" s="150">
        <v>0.495</v>
      </c>
      <c r="CN212" s="150">
        <v>0.45599999999999996</v>
      </c>
      <c r="CO212" s="150">
        <v>0.75959999999999994</v>
      </c>
      <c r="CP212" s="150">
        <v>1.0686000000000002</v>
      </c>
      <c r="CQ212" s="150">
        <v>2.0202</v>
      </c>
      <c r="CR212" s="150">
        <v>0.63359999999999994</v>
      </c>
      <c r="CS212" s="150">
        <v>0.126</v>
      </c>
      <c r="CT212" s="150">
        <v>0.9869</v>
      </c>
      <c r="CU212" s="71"/>
      <c r="CV212" s="157">
        <v>20.245999999999999</v>
      </c>
      <c r="CW212" s="157">
        <f t="shared" si="189"/>
        <v>0.96885494505494496</v>
      </c>
      <c r="CX212" s="157">
        <f t="shared" si="190"/>
        <v>0.57104285714285696</v>
      </c>
      <c r="CY212" s="157">
        <f t="shared" si="191"/>
        <v>0.79933626373626365</v>
      </c>
      <c r="CZ212" s="157">
        <f t="shared" si="192"/>
        <v>2.711061538461538</v>
      </c>
      <c r="DA212" s="157">
        <f t="shared" si="193"/>
        <v>0.48432435897435888</v>
      </c>
      <c r="DB212" s="157">
        <f t="shared" si="194"/>
        <v>0.46504212454212451</v>
      </c>
      <c r="DC212" s="157">
        <f t="shared" si="195"/>
        <v>0.84893388278388271</v>
      </c>
      <c r="DD212" s="157">
        <f t="shared" si="196"/>
        <v>1.1191945054945054</v>
      </c>
      <c r="DE212" s="157">
        <f t="shared" si="197"/>
        <v>1.9878230769230765</v>
      </c>
      <c r="DF212" s="157">
        <f t="shared" si="198"/>
        <v>0.72478516483516475</v>
      </c>
      <c r="DG212" s="157">
        <f t="shared" si="199"/>
        <v>0.15374230769230768</v>
      </c>
      <c r="DH212" s="157">
        <f t="shared" si="200"/>
        <v>1.0440247252747252</v>
      </c>
      <c r="DI212" s="157">
        <f t="shared" si="201"/>
        <v>0</v>
      </c>
      <c r="DJ212" s="157">
        <f t="shared" si="202"/>
        <v>0</v>
      </c>
      <c r="DK212" s="157">
        <f t="shared" si="203"/>
        <v>0.38389175824175825</v>
      </c>
      <c r="DL212" s="157">
        <f t="shared" si="204"/>
        <v>0</v>
      </c>
      <c r="DM212" s="157">
        <f t="shared" si="205"/>
        <v>0</v>
      </c>
      <c r="DN212" s="157">
        <f t="shared" si="206"/>
        <v>0</v>
      </c>
      <c r="DO212" s="157">
        <f t="shared" si="207"/>
        <v>0</v>
      </c>
      <c r="DP212" s="157">
        <f t="shared" si="208"/>
        <v>0.86862857142857119</v>
      </c>
      <c r="DQ212" s="157">
        <f t="shared" si="209"/>
        <v>0.51329999999999998</v>
      </c>
      <c r="DR212" s="157">
        <f t="shared" si="210"/>
        <v>0.55679999999999996</v>
      </c>
      <c r="DS212" s="157">
        <f t="shared" si="211"/>
        <v>0</v>
      </c>
      <c r="DT212" s="157">
        <f t="shared" si="212"/>
        <v>0</v>
      </c>
      <c r="DU212" s="71"/>
      <c r="DV212" s="71"/>
      <c r="DW212" s="159"/>
      <c r="DX212" s="160"/>
      <c r="DY212" s="71"/>
      <c r="DZ212" s="71"/>
      <c r="EA212" s="166">
        <v>0.77</v>
      </c>
      <c r="EB212" s="162">
        <f t="shared" si="213"/>
        <v>0.66990000000000005</v>
      </c>
      <c r="EC212" s="71">
        <v>4.4249999999999998</v>
      </c>
      <c r="ED212" s="71"/>
      <c r="EE212" s="71"/>
      <c r="EF212" s="71"/>
      <c r="EG212" s="205">
        <v>0.18</v>
      </c>
      <c r="EH212" s="71"/>
      <c r="EI212" s="71"/>
      <c r="EJ212" s="71"/>
      <c r="EK212" s="183"/>
      <c r="EL212" s="183"/>
      <c r="EM212" s="183"/>
      <c r="EN212" s="183"/>
      <c r="EO212" s="183"/>
      <c r="EP212" s="183"/>
      <c r="EQ212" s="166"/>
      <c r="ER212" s="71"/>
      <c r="ES212" s="71"/>
      <c r="ET212" s="71"/>
      <c r="EU212" s="71"/>
      <c r="EV212" s="71"/>
      <c r="EW212" s="71"/>
      <c r="EX212" s="71"/>
      <c r="EY212" s="71"/>
      <c r="EZ212" s="71"/>
      <c r="FA212" s="71"/>
      <c r="FB212" s="71"/>
      <c r="FC212" s="71"/>
      <c r="FD212" s="71"/>
      <c r="FE212" s="71"/>
      <c r="FF212" s="71"/>
      <c r="FG212" s="71"/>
      <c r="FH212" s="71"/>
      <c r="FI212" s="71"/>
      <c r="FJ212" s="71"/>
      <c r="FK212" s="71"/>
      <c r="FL212" s="71"/>
      <c r="FM212" s="170">
        <f t="shared" si="180"/>
        <v>0.38509812870835242</v>
      </c>
      <c r="FN212" s="170">
        <f t="shared" si="181"/>
        <v>0.29484253765403928</v>
      </c>
      <c r="FO212" s="172">
        <f t="shared" si="182"/>
        <v>1.3061145510835914</v>
      </c>
      <c r="FP212" s="172">
        <f t="shared" si="183"/>
        <v>5.6709265175718858E-2</v>
      </c>
      <c r="FQ212" s="173">
        <f t="shared" si="184"/>
        <v>9.6307692307692289E-2</v>
      </c>
    </row>
    <row r="213" spans="2:173" hidden="1" x14ac:dyDescent="0.25">
      <c r="B213" s="263" t="s">
        <v>452</v>
      </c>
      <c r="C213" s="71"/>
      <c r="D213" s="151"/>
      <c r="E213" s="151">
        <v>3617</v>
      </c>
      <c r="F213" s="151">
        <v>2273</v>
      </c>
      <c r="G213" s="71"/>
      <c r="H213" s="152">
        <v>93</v>
      </c>
      <c r="I213" s="153">
        <v>56</v>
      </c>
      <c r="J213" s="154">
        <v>4</v>
      </c>
      <c r="K213" s="154">
        <v>3</v>
      </c>
      <c r="L213" s="71"/>
      <c r="M213" s="71">
        <v>7</v>
      </c>
      <c r="N213" s="71"/>
      <c r="O213" s="71"/>
      <c r="P213" s="71"/>
      <c r="Q213" s="71"/>
      <c r="R213" s="71"/>
      <c r="S213" s="71">
        <v>1</v>
      </c>
      <c r="T213" s="71">
        <v>0.6</v>
      </c>
      <c r="U213" s="71">
        <v>9.1999999999999993</v>
      </c>
      <c r="V213" s="71">
        <v>5.8</v>
      </c>
      <c r="W213" s="71"/>
      <c r="X213" s="71"/>
      <c r="Y213" s="71">
        <v>11</v>
      </c>
      <c r="Z213" s="71">
        <v>5.7</v>
      </c>
      <c r="AA213" s="71"/>
      <c r="AB213" s="71"/>
      <c r="AC213" s="71"/>
      <c r="AD213" s="71"/>
      <c r="AE213" s="71"/>
      <c r="AF213" s="150">
        <v>3.97</v>
      </c>
      <c r="AG213" s="150">
        <v>1.47</v>
      </c>
      <c r="AH213" s="149">
        <v>2.75</v>
      </c>
      <c r="AI213" s="149">
        <v>4.32</v>
      </c>
      <c r="AJ213" s="149">
        <v>3.45</v>
      </c>
      <c r="AK213" s="149">
        <v>0.77</v>
      </c>
      <c r="AL213" s="149">
        <v>2.9</v>
      </c>
      <c r="AM213" s="149">
        <v>2.1800000000000002</v>
      </c>
      <c r="AN213" s="149">
        <v>0.77</v>
      </c>
      <c r="AO213" s="149">
        <v>2.82</v>
      </c>
      <c r="AP213" s="149">
        <v>2.41</v>
      </c>
      <c r="AQ213" s="149">
        <v>6.34</v>
      </c>
      <c r="AR213" s="149">
        <v>0.82</v>
      </c>
      <c r="AS213" s="149">
        <v>9.92</v>
      </c>
      <c r="AT213" s="149">
        <v>2.37</v>
      </c>
      <c r="AU213" s="149">
        <v>2.87</v>
      </c>
      <c r="AV213" s="149">
        <v>2.4300000000000002</v>
      </c>
      <c r="AW213" s="149">
        <v>2.0299999999999998</v>
      </c>
      <c r="AX213" s="71"/>
      <c r="AY213" s="147">
        <v>88.6</v>
      </c>
      <c r="AZ213" s="168">
        <v>95.1</v>
      </c>
      <c r="BA213" s="168">
        <v>88.4</v>
      </c>
      <c r="BB213" s="147">
        <v>88.3</v>
      </c>
      <c r="BC213" s="147">
        <v>88.8</v>
      </c>
      <c r="BD213" s="147">
        <v>87.1</v>
      </c>
      <c r="BE213" s="148">
        <v>90.6</v>
      </c>
      <c r="BF213" s="147">
        <v>89.8</v>
      </c>
      <c r="BG213" s="147">
        <v>85.1</v>
      </c>
      <c r="BH213" s="147">
        <v>88.6</v>
      </c>
      <c r="BI213" s="147">
        <v>88.7</v>
      </c>
      <c r="BJ213" s="147">
        <v>87.5</v>
      </c>
      <c r="BK213" s="147">
        <v>87.9</v>
      </c>
      <c r="BL213" s="148">
        <v>84.1</v>
      </c>
      <c r="BM213" s="148">
        <v>90.6</v>
      </c>
      <c r="BN213" s="148">
        <v>90.7</v>
      </c>
      <c r="BO213" s="148">
        <v>91.2</v>
      </c>
      <c r="BP213" s="148">
        <v>91</v>
      </c>
      <c r="BQ213" s="148">
        <v>89.6</v>
      </c>
      <c r="BR213" s="71"/>
      <c r="BS213" s="149">
        <v>0.35</v>
      </c>
      <c r="BT213" s="150">
        <v>0.1</v>
      </c>
      <c r="BU213" s="150">
        <v>2.5</v>
      </c>
      <c r="BV213" s="150">
        <v>0.35</v>
      </c>
      <c r="BW213" s="150">
        <v>0.02</v>
      </c>
      <c r="BX213" s="149">
        <v>0.75</v>
      </c>
      <c r="BY213" s="150">
        <v>0.45</v>
      </c>
      <c r="BZ213" s="71"/>
      <c r="CA213" s="71"/>
      <c r="CB213" s="152"/>
      <c r="CC213" s="152">
        <v>59.8</v>
      </c>
      <c r="CD213" s="71"/>
      <c r="CE213" s="71"/>
      <c r="CF213" s="71"/>
      <c r="CG213" s="71"/>
      <c r="CH213" s="152">
        <v>56</v>
      </c>
      <c r="CI213" s="150"/>
      <c r="CJ213" s="150"/>
      <c r="CK213" s="150"/>
      <c r="CL213" s="150"/>
      <c r="CM213" s="150"/>
      <c r="CN213" s="150"/>
      <c r="CO213" s="150"/>
      <c r="CP213" s="150"/>
      <c r="CQ213" s="150"/>
      <c r="CR213" s="150"/>
      <c r="CS213" s="150"/>
      <c r="CT213" s="150"/>
      <c r="CU213" s="71"/>
      <c r="CV213" s="157"/>
      <c r="CW213" s="157">
        <f t="shared" si="189"/>
        <v>3.7754699999999999</v>
      </c>
      <c r="CX213" s="157">
        <f t="shared" si="190"/>
        <v>1.29948</v>
      </c>
      <c r="CY213" s="157">
        <f t="shared" si="191"/>
        <v>2.4282499999999998</v>
      </c>
      <c r="CZ213" s="157">
        <f t="shared" si="192"/>
        <v>3.83616</v>
      </c>
      <c r="DA213" s="157">
        <f t="shared" si="193"/>
        <v>3.00495</v>
      </c>
      <c r="DB213" s="157">
        <f t="shared" si="194"/>
        <v>0.69762000000000002</v>
      </c>
      <c r="DC213" s="157">
        <f t="shared" si="195"/>
        <v>1.3872399999999998</v>
      </c>
      <c r="DD213" s="157">
        <f t="shared" si="196"/>
        <v>2.6041999999999996</v>
      </c>
      <c r="DE213" s="157">
        <f t="shared" si="197"/>
        <v>4.4230799999999997</v>
      </c>
      <c r="DF213" s="157">
        <f t="shared" si="198"/>
        <v>1.8551800000000001</v>
      </c>
      <c r="DG213" s="157">
        <f t="shared" si="199"/>
        <v>0.68221999999999994</v>
      </c>
      <c r="DH213" s="157">
        <f t="shared" si="200"/>
        <v>2.5013399999999999</v>
      </c>
      <c r="DI213" s="157">
        <f t="shared" si="201"/>
        <v>2.1087500000000001</v>
      </c>
      <c r="DJ213" s="157">
        <f t="shared" si="202"/>
        <v>5.5728600000000004</v>
      </c>
      <c r="DK213" s="157">
        <f t="shared" si="203"/>
        <v>0.6896199999999999</v>
      </c>
      <c r="DL213" s="157">
        <f t="shared" si="204"/>
        <v>8.98752</v>
      </c>
      <c r="DM213" s="157">
        <f t="shared" si="205"/>
        <v>2.1495899999999999</v>
      </c>
      <c r="DN213" s="157">
        <f t="shared" si="206"/>
        <v>2.6174400000000002</v>
      </c>
      <c r="DO213" s="157">
        <f t="shared" si="207"/>
        <v>2.2113</v>
      </c>
      <c r="DP213" s="157">
        <f t="shared" si="208"/>
        <v>1.8188799999999998</v>
      </c>
      <c r="DQ213" s="188">
        <v>0</v>
      </c>
      <c r="DR213" s="157">
        <v>0.44849999999999995</v>
      </c>
      <c r="DS213" s="188">
        <v>0</v>
      </c>
      <c r="DT213" s="157">
        <v>0</v>
      </c>
      <c r="DU213" s="71"/>
      <c r="DV213" s="158"/>
      <c r="DW213" s="159">
        <v>1000</v>
      </c>
      <c r="DX213" s="160">
        <v>0.5</v>
      </c>
      <c r="DY213" s="151"/>
      <c r="DZ213" s="151"/>
      <c r="EA213" s="169">
        <v>0.4</v>
      </c>
      <c r="EB213" s="162">
        <v>0.30000000000000004</v>
      </c>
      <c r="EC213" s="163"/>
      <c r="ED213" s="163"/>
      <c r="EE213" s="163"/>
      <c r="EF213" s="163"/>
      <c r="EG213" s="206">
        <v>0.49650000000000005</v>
      </c>
      <c r="EH213" s="163"/>
      <c r="EI213" s="171"/>
      <c r="EJ213" s="163"/>
      <c r="EK213" s="163"/>
      <c r="EL213" s="163"/>
      <c r="EM213" s="163"/>
      <c r="EN213" s="163"/>
      <c r="EO213" s="163"/>
      <c r="EP213" s="163"/>
      <c r="EQ213" s="163"/>
      <c r="ER213" s="163"/>
      <c r="ES213" s="71"/>
      <c r="ET213" s="71"/>
      <c r="EU213" s="71"/>
      <c r="EV213" s="71"/>
      <c r="EW213" s="71"/>
      <c r="EX213" s="71"/>
      <c r="EY213" s="71"/>
      <c r="EZ213" s="71"/>
      <c r="FA213" s="71"/>
      <c r="FB213" s="71"/>
      <c r="FC213" s="71"/>
      <c r="FD213" s="71"/>
      <c r="FE213" s="163"/>
      <c r="FF213" s="163"/>
      <c r="FG213" s="163"/>
      <c r="FH213" s="163">
        <v>93</v>
      </c>
      <c r="FI213" s="163"/>
      <c r="FJ213" s="163"/>
      <c r="FK213" s="163"/>
      <c r="FL213" s="163"/>
      <c r="FM213" s="170">
        <f t="shared" si="180"/>
        <v>0.65204266766766761</v>
      </c>
      <c r="FN213" s="170">
        <f t="shared" si="181"/>
        <v>0.6329897605939272</v>
      </c>
      <c r="FO213" s="172">
        <f t="shared" si="182"/>
        <v>1.0300998661587564</v>
      </c>
      <c r="FP213" s="172">
        <f t="shared" si="183"/>
        <v>0.17783929763096429</v>
      </c>
      <c r="FQ213" s="173">
        <f t="shared" si="184"/>
        <v>6.8502857142857143E-2</v>
      </c>
    </row>
    <row r="214" spans="2:173" hidden="1" x14ac:dyDescent="0.25">
      <c r="B214" s="263" t="s">
        <v>454</v>
      </c>
      <c r="C214">
        <v>4849</v>
      </c>
      <c r="D214" s="13">
        <v>3334.6524799999997</v>
      </c>
      <c r="E214" s="186">
        <v>3088.6446000000001</v>
      </c>
      <c r="F214" s="186">
        <v>2162.7126000000003</v>
      </c>
      <c r="H214" s="152">
        <v>89.14</v>
      </c>
      <c r="I214">
        <v>28.14</v>
      </c>
      <c r="J214">
        <v>7.69</v>
      </c>
      <c r="K214">
        <v>6</v>
      </c>
      <c r="M214">
        <v>4.6500000000000004</v>
      </c>
      <c r="U214">
        <v>26.96</v>
      </c>
      <c r="V214">
        <v>10.54</v>
      </c>
      <c r="W214">
        <v>3.17</v>
      </c>
      <c r="AF214" s="157">
        <v>1.23</v>
      </c>
      <c r="AG214" s="157">
        <v>0.77</v>
      </c>
      <c r="AH214" s="157">
        <v>1.01</v>
      </c>
      <c r="AI214" s="157">
        <v>3.15</v>
      </c>
      <c r="AJ214" s="157">
        <v>0.96</v>
      </c>
      <c r="AK214" s="157">
        <v>0.56999999999999995</v>
      </c>
      <c r="AL214" s="157">
        <v>1.34</v>
      </c>
      <c r="AM214" s="157">
        <v>1.06</v>
      </c>
      <c r="AN214" s="157">
        <v>0.22</v>
      </c>
      <c r="AO214" s="157">
        <v>1.38</v>
      </c>
      <c r="AP214" s="157">
        <v>1.96</v>
      </c>
      <c r="AQ214" s="157">
        <v>1.9</v>
      </c>
      <c r="AR214" s="157">
        <v>0.56000000000000005</v>
      </c>
      <c r="AY214">
        <v>74</v>
      </c>
      <c r="AZ214" s="71">
        <v>81</v>
      </c>
      <c r="BA214" s="71">
        <v>78</v>
      </c>
      <c r="BB214" s="71">
        <v>76</v>
      </c>
      <c r="BC214" s="71">
        <v>84</v>
      </c>
      <c r="BD214" s="71">
        <v>61</v>
      </c>
      <c r="BE214" s="71">
        <v>82</v>
      </c>
      <c r="BF214" s="71">
        <v>81</v>
      </c>
      <c r="BG214" s="71">
        <v>71</v>
      </c>
      <c r="BH214" s="71">
        <v>71</v>
      </c>
      <c r="BI214" s="71">
        <v>75</v>
      </c>
      <c r="BJ214" s="71">
        <v>79</v>
      </c>
      <c r="BK214" s="71">
        <v>69</v>
      </c>
      <c r="BL214" s="71">
        <v>73</v>
      </c>
      <c r="BM214" s="71">
        <v>81</v>
      </c>
      <c r="BN214" s="71">
        <v>64</v>
      </c>
      <c r="BO214" s="71">
        <v>74</v>
      </c>
      <c r="BP214" s="71">
        <v>77</v>
      </c>
      <c r="BQ214" s="71">
        <v>81</v>
      </c>
      <c r="BS214" s="131">
        <v>0.04</v>
      </c>
      <c r="BT214" s="131"/>
      <c r="BU214" s="131">
        <v>1.17</v>
      </c>
      <c r="BV214" s="131">
        <v>0.35</v>
      </c>
      <c r="BW214" s="131">
        <v>0.2</v>
      </c>
      <c r="BX214" s="131">
        <v>0.89</v>
      </c>
      <c r="BY214" s="131">
        <v>0.71</v>
      </c>
      <c r="CA214" s="131">
        <v>0.26</v>
      </c>
      <c r="CB214" s="131">
        <v>60</v>
      </c>
      <c r="CC214" s="152">
        <v>65</v>
      </c>
      <c r="CD214" s="131">
        <v>50</v>
      </c>
      <c r="CE214" s="131">
        <v>60</v>
      </c>
      <c r="CF214" s="131">
        <v>28.497</v>
      </c>
      <c r="CH214" s="9"/>
      <c r="CV214" s="2"/>
      <c r="CW214" s="157">
        <f t="shared" si="189"/>
        <v>0.99629999999999996</v>
      </c>
      <c r="CX214" s="157">
        <f t="shared" si="190"/>
        <v>0.60060000000000002</v>
      </c>
      <c r="CY214" s="157">
        <f t="shared" si="191"/>
        <v>0.76760000000000006</v>
      </c>
      <c r="CZ214" s="157">
        <f t="shared" si="192"/>
        <v>2.6459999999999995</v>
      </c>
      <c r="DA214" s="157">
        <f t="shared" si="193"/>
        <v>0.5855999999999999</v>
      </c>
      <c r="DB214" s="157">
        <f t="shared" si="194"/>
        <v>0.46739999999999993</v>
      </c>
      <c r="DC214" s="157">
        <f t="shared" si="195"/>
        <v>0.87620000000000009</v>
      </c>
      <c r="DD214" s="157">
        <f t="shared" si="196"/>
        <v>1.0854000000000001</v>
      </c>
      <c r="DE214" s="157">
        <f t="shared" si="197"/>
        <v>1.0854000000000001</v>
      </c>
      <c r="DF214" s="157">
        <f t="shared" si="198"/>
        <v>0.75260000000000005</v>
      </c>
      <c r="DG214" s="157">
        <f t="shared" si="199"/>
        <v>0.15620000000000001</v>
      </c>
      <c r="DH214" s="157">
        <f t="shared" si="200"/>
        <v>1.0349999999999999</v>
      </c>
      <c r="DI214" s="157">
        <f t="shared" si="201"/>
        <v>1.5484</v>
      </c>
      <c r="DJ214" s="157">
        <f t="shared" si="202"/>
        <v>1.3109999999999999</v>
      </c>
      <c r="DK214" s="157">
        <f t="shared" si="203"/>
        <v>0.40880000000000005</v>
      </c>
      <c r="DL214" s="157">
        <f t="shared" si="204"/>
        <v>0</v>
      </c>
      <c r="DM214" s="157">
        <f t="shared" si="205"/>
        <v>0</v>
      </c>
      <c r="DN214" s="157">
        <f t="shared" si="206"/>
        <v>0</v>
      </c>
      <c r="DO214" s="157">
        <f t="shared" si="207"/>
        <v>0</v>
      </c>
      <c r="DP214" s="157">
        <f t="shared" si="208"/>
        <v>0</v>
      </c>
      <c r="DQ214" s="188">
        <f t="shared" si="209"/>
        <v>0.53400000000000003</v>
      </c>
      <c r="DR214" s="188">
        <f t="shared" si="210"/>
        <v>0.57850000000000001</v>
      </c>
      <c r="DS214" s="188">
        <f t="shared" si="211"/>
        <v>0.02</v>
      </c>
      <c r="DT214" s="188">
        <f t="shared" si="212"/>
        <v>2.4E-2</v>
      </c>
      <c r="DW214" s="159">
        <v>150</v>
      </c>
      <c r="DX214" s="160">
        <v>7.4999999999999997E-2</v>
      </c>
      <c r="EA214" s="172">
        <v>0.74</v>
      </c>
      <c r="EB214" s="189">
        <f t="shared" si="213"/>
        <v>0.65859999999999996</v>
      </c>
      <c r="EC214">
        <v>3.5577000000000001</v>
      </c>
      <c r="EG214" s="7">
        <v>0.18</v>
      </c>
      <c r="EH214">
        <v>75</v>
      </c>
      <c r="EI214">
        <v>46.72</v>
      </c>
      <c r="EK214" s="190"/>
      <c r="EL214" s="190"/>
      <c r="EM214" s="190"/>
      <c r="EN214" s="190"/>
      <c r="EO214" s="190"/>
      <c r="EP214" s="190"/>
      <c r="EQ214" s="191"/>
      <c r="FG214" s="195">
        <v>4.1500000000000002E-2</v>
      </c>
      <c r="FH214" s="194">
        <v>0.88500000000000001</v>
      </c>
      <c r="FI214">
        <v>56.21</v>
      </c>
      <c r="FJ214">
        <v>1.22</v>
      </c>
      <c r="FK214">
        <v>3.46</v>
      </c>
      <c r="FM214" s="170">
        <f t="shared" si="180"/>
        <v>0.39115646258503406</v>
      </c>
      <c r="FN214" s="170">
        <f t="shared" si="181"/>
        <v>0.29009826152683305</v>
      </c>
      <c r="FO214" s="172">
        <f t="shared" si="182"/>
        <v>1.3483585200625323</v>
      </c>
      <c r="FP214" s="172">
        <f t="shared" si="183"/>
        <v>5.9032501889644762E-2</v>
      </c>
      <c r="FQ214" s="173">
        <f t="shared" si="184"/>
        <v>9.4029850746268642E-2</v>
      </c>
    </row>
    <row r="215" spans="2:173" hidden="1" x14ac:dyDescent="0.25">
      <c r="B215" s="263" t="s">
        <v>455</v>
      </c>
      <c r="C215">
        <v>4849</v>
      </c>
      <c r="D215">
        <v>3439</v>
      </c>
      <c r="E215" s="71">
        <v>3243</v>
      </c>
      <c r="F215" s="71">
        <v>2387</v>
      </c>
      <c r="H215" s="152">
        <v>87</v>
      </c>
      <c r="I215">
        <v>28.93</v>
      </c>
      <c r="J215">
        <v>7.28</v>
      </c>
      <c r="K215">
        <v>7.5</v>
      </c>
      <c r="M215" s="152">
        <v>4.24</v>
      </c>
      <c r="O215">
        <v>0.997</v>
      </c>
      <c r="P215">
        <v>0.95499999999999996</v>
      </c>
      <c r="Q215">
        <v>0.89300000000000002</v>
      </c>
      <c r="T215">
        <v>6.94</v>
      </c>
      <c r="U215" s="71">
        <v>33.5</v>
      </c>
      <c r="V215" s="71">
        <v>12.1</v>
      </c>
      <c r="W215">
        <v>2.69</v>
      </c>
      <c r="X215">
        <v>32.32</v>
      </c>
      <c r="AB215">
        <v>40.71</v>
      </c>
      <c r="AC215">
        <v>70</v>
      </c>
      <c r="AD215">
        <v>43.7</v>
      </c>
      <c r="AF215" s="157">
        <v>1.34</v>
      </c>
      <c r="AG215" s="157">
        <v>0.82</v>
      </c>
      <c r="AH215" s="157">
        <v>1.1499999999999999</v>
      </c>
      <c r="AI215" s="157">
        <v>3.07</v>
      </c>
      <c r="AJ215" s="157">
        <v>1.1399999999999999</v>
      </c>
      <c r="AK215" s="157">
        <v>0.5</v>
      </c>
      <c r="AL215" s="157">
        <v>1.3</v>
      </c>
      <c r="AM215" s="157">
        <v>1.1000000000000001</v>
      </c>
      <c r="AN215" s="157">
        <v>0.27</v>
      </c>
      <c r="AO215" s="157">
        <v>1.48</v>
      </c>
      <c r="AP215" s="157">
        <v>1.84</v>
      </c>
      <c r="AQ215" s="157">
        <v>1.79</v>
      </c>
      <c r="AR215" s="157">
        <v>0.59</v>
      </c>
      <c r="AS215" s="157">
        <v>3.37</v>
      </c>
      <c r="AT215" s="157">
        <v>1.24</v>
      </c>
      <c r="AU215" s="157">
        <v>2.15</v>
      </c>
      <c r="AV215" s="157">
        <v>1.2</v>
      </c>
      <c r="AW215" s="157">
        <v>0.97</v>
      </c>
      <c r="AY215" s="157">
        <v>74</v>
      </c>
      <c r="AZ215" s="71">
        <v>81</v>
      </c>
      <c r="BA215" s="71">
        <v>78</v>
      </c>
      <c r="BB215" s="71">
        <v>76</v>
      </c>
      <c r="BC215" s="71">
        <v>84</v>
      </c>
      <c r="BD215" s="71">
        <v>61</v>
      </c>
      <c r="BE215" s="71">
        <v>82</v>
      </c>
      <c r="BF215" s="71">
        <v>81</v>
      </c>
      <c r="BG215" s="71">
        <v>71</v>
      </c>
      <c r="BH215" s="71">
        <v>71</v>
      </c>
      <c r="BI215" s="71">
        <v>75</v>
      </c>
      <c r="BJ215" s="71">
        <v>79</v>
      </c>
      <c r="BK215" s="71">
        <v>69</v>
      </c>
      <c r="BL215" s="71">
        <v>73</v>
      </c>
      <c r="BM215" s="71">
        <v>81</v>
      </c>
      <c r="BN215" s="71">
        <v>64</v>
      </c>
      <c r="BO215" s="71">
        <v>74</v>
      </c>
      <c r="BP215" s="71">
        <v>77</v>
      </c>
      <c r="BQ215" s="71">
        <v>81</v>
      </c>
      <c r="BS215" s="131">
        <v>0.12</v>
      </c>
      <c r="BT215" s="131"/>
      <c r="BU215" s="131">
        <v>0.9</v>
      </c>
      <c r="BV215" s="131">
        <v>0.28999999999999998</v>
      </c>
      <c r="BW215" s="131">
        <v>0.22</v>
      </c>
      <c r="BX215" s="131">
        <v>0.73</v>
      </c>
      <c r="BY215" s="131">
        <v>0.66</v>
      </c>
      <c r="CA215" s="131">
        <v>0.26</v>
      </c>
      <c r="CB215" s="152">
        <v>60</v>
      </c>
      <c r="CC215" s="152">
        <v>65</v>
      </c>
      <c r="CD215">
        <v>50</v>
      </c>
      <c r="CE215">
        <v>60</v>
      </c>
      <c r="CF215">
        <v>28.5</v>
      </c>
      <c r="CH215" s="9">
        <v>17.491</v>
      </c>
      <c r="CI215">
        <v>0.85799999999999998</v>
      </c>
      <c r="CJ215">
        <v>0.52500000000000002</v>
      </c>
      <c r="CK215">
        <v>0.73399999999999999</v>
      </c>
      <c r="CL215">
        <v>2.5670000000000002</v>
      </c>
      <c r="CM215">
        <v>0.42399999999999999</v>
      </c>
      <c r="CN215">
        <v>0.44</v>
      </c>
      <c r="CO215">
        <v>0.79200000000000004</v>
      </c>
      <c r="CP215">
        <v>1.0449999999999999</v>
      </c>
      <c r="CQ215">
        <v>1.8560000000000001</v>
      </c>
      <c r="CR215">
        <v>0.63400000000000001</v>
      </c>
      <c r="CS215">
        <v>0.13200000000000001</v>
      </c>
      <c r="CT215">
        <v>0.95899999999999996</v>
      </c>
      <c r="CV215" s="2">
        <v>20.224</v>
      </c>
      <c r="CW215" s="157">
        <f t="shared" si="189"/>
        <v>1.0854000000000001</v>
      </c>
      <c r="CX215" s="157">
        <f t="shared" si="190"/>
        <v>0.63959999999999995</v>
      </c>
      <c r="CY215" s="157">
        <f t="shared" si="191"/>
        <v>0.87399999999999989</v>
      </c>
      <c r="CZ215" s="157">
        <f t="shared" si="192"/>
        <v>2.5787999999999998</v>
      </c>
      <c r="DA215" s="157">
        <f t="shared" si="193"/>
        <v>0.69539999999999991</v>
      </c>
      <c r="DB215" s="157">
        <f t="shared" si="194"/>
        <v>0.41</v>
      </c>
      <c r="DC215" s="157">
        <f t="shared" si="195"/>
        <v>0.84069999999999989</v>
      </c>
      <c r="DD215" s="157">
        <f t="shared" si="196"/>
        <v>1.0529999999999999</v>
      </c>
      <c r="DE215" s="157">
        <f t="shared" si="197"/>
        <v>1.8386999999999998</v>
      </c>
      <c r="DF215" s="157">
        <f t="shared" si="198"/>
        <v>0.78100000000000014</v>
      </c>
      <c r="DG215" s="157">
        <f t="shared" si="199"/>
        <v>0.19170000000000001</v>
      </c>
      <c r="DH215" s="157">
        <f t="shared" si="200"/>
        <v>1.1100000000000001</v>
      </c>
      <c r="DI215" s="157">
        <f t="shared" si="201"/>
        <v>1.4536000000000002</v>
      </c>
      <c r="DJ215" s="157">
        <f t="shared" si="202"/>
        <v>1.2351000000000001</v>
      </c>
      <c r="DK215" s="157">
        <f t="shared" si="203"/>
        <v>0.43070000000000003</v>
      </c>
      <c r="DL215" s="157">
        <f t="shared" si="204"/>
        <v>2.7297000000000002</v>
      </c>
      <c r="DM215" s="157">
        <f t="shared" si="205"/>
        <v>0.79359999999999997</v>
      </c>
      <c r="DN215" s="157">
        <f t="shared" si="206"/>
        <v>1.591</v>
      </c>
      <c r="DO215" s="157">
        <f t="shared" si="207"/>
        <v>0.92399999999999993</v>
      </c>
      <c r="DP215" s="157">
        <f t="shared" si="208"/>
        <v>0.78569999999999995</v>
      </c>
      <c r="DQ215" s="188">
        <f t="shared" si="209"/>
        <v>0.43799999999999994</v>
      </c>
      <c r="DR215" s="193">
        <f t="shared" si="210"/>
        <v>0.47449999999999998</v>
      </c>
      <c r="DS215" s="188">
        <f t="shared" si="211"/>
        <v>0.06</v>
      </c>
      <c r="DT215" s="188">
        <f t="shared" si="212"/>
        <v>7.1999999999999995E-2</v>
      </c>
      <c r="DW215" s="159">
        <v>200</v>
      </c>
      <c r="DX215" s="160">
        <v>0.1</v>
      </c>
      <c r="EA215" s="172">
        <v>0.77</v>
      </c>
      <c r="EB215" s="162">
        <f t="shared" si="213"/>
        <v>0.56210000000000004</v>
      </c>
      <c r="EG215" s="7">
        <v>0.18</v>
      </c>
      <c r="EH215">
        <v>93.75</v>
      </c>
      <c r="EI215">
        <v>43.07</v>
      </c>
      <c r="EK215" s="146"/>
      <c r="EL215" s="146"/>
      <c r="EM215" s="146"/>
      <c r="EN215" s="146"/>
      <c r="EO215" s="146"/>
      <c r="EP215" s="146"/>
      <c r="EQ215" s="115"/>
      <c r="FG215" s="115">
        <v>4.2000000000000003E-2</v>
      </c>
      <c r="FH215" s="194">
        <v>0.88500000000000001</v>
      </c>
      <c r="FI215">
        <v>56.21</v>
      </c>
      <c r="FJ215">
        <v>1.22</v>
      </c>
      <c r="FK215">
        <v>4.3099999999999996</v>
      </c>
      <c r="FM215" s="170">
        <f t="shared" si="180"/>
        <v>0.43043275942298753</v>
      </c>
      <c r="FN215" s="170">
        <f t="shared" si="181"/>
        <v>0.33891732588800993</v>
      </c>
      <c r="FO215" s="172">
        <f t="shared" si="182"/>
        <v>1.2700228832951947</v>
      </c>
      <c r="FP215" s="172">
        <f t="shared" si="183"/>
        <v>7.4336900884132168E-2</v>
      </c>
      <c r="FQ215" s="173">
        <f t="shared" si="184"/>
        <v>8.9139301762875905E-2</v>
      </c>
    </row>
    <row r="216" spans="2:173" hidden="1" x14ac:dyDescent="0.25">
      <c r="B216" s="263" t="s">
        <v>456</v>
      </c>
      <c r="BS216" s="131"/>
      <c r="BT216" s="131"/>
      <c r="BU216" s="131"/>
      <c r="BV216" s="131"/>
      <c r="BW216" s="131"/>
      <c r="BX216" s="131"/>
      <c r="BY216" s="131"/>
      <c r="CH216" s="9"/>
      <c r="CV216" s="2"/>
      <c r="CW216" s="157">
        <f t="shared" si="189"/>
        <v>0</v>
      </c>
      <c r="CX216" s="157">
        <f t="shared" si="190"/>
        <v>0</v>
      </c>
      <c r="CY216" s="157">
        <f t="shared" si="191"/>
        <v>0</v>
      </c>
      <c r="CZ216" s="157">
        <f t="shared" si="192"/>
        <v>0</v>
      </c>
      <c r="DA216" s="157">
        <f t="shared" si="193"/>
        <v>0</v>
      </c>
      <c r="DB216" s="157">
        <f t="shared" si="194"/>
        <v>0</v>
      </c>
      <c r="DC216" s="157">
        <f t="shared" si="195"/>
        <v>0</v>
      </c>
      <c r="DD216" s="157">
        <f t="shared" si="196"/>
        <v>0</v>
      </c>
      <c r="DE216" s="157">
        <f t="shared" si="197"/>
        <v>0</v>
      </c>
      <c r="DF216" s="157">
        <f t="shared" si="198"/>
        <v>0</v>
      </c>
      <c r="DG216" s="157">
        <f t="shared" si="199"/>
        <v>0</v>
      </c>
      <c r="DH216" s="157">
        <f t="shared" si="200"/>
        <v>0</v>
      </c>
      <c r="DI216" s="157">
        <f t="shared" si="201"/>
        <v>0</v>
      </c>
      <c r="DJ216" s="157">
        <f t="shared" si="202"/>
        <v>0</v>
      </c>
      <c r="DK216" s="157">
        <f t="shared" si="203"/>
        <v>0</v>
      </c>
      <c r="DL216" s="157">
        <f t="shared" si="204"/>
        <v>0</v>
      </c>
      <c r="DM216" s="157">
        <f t="shared" si="205"/>
        <v>0</v>
      </c>
      <c r="DN216" s="157">
        <f t="shared" si="206"/>
        <v>0</v>
      </c>
      <c r="DO216" s="157">
        <f t="shared" si="207"/>
        <v>0</v>
      </c>
      <c r="DP216" s="157">
        <f t="shared" si="208"/>
        <v>0</v>
      </c>
      <c r="EE216">
        <v>1135000</v>
      </c>
      <c r="EF216">
        <v>2500</v>
      </c>
      <c r="EK216" s="146"/>
      <c r="EL216" s="146"/>
      <c r="EM216" s="146"/>
      <c r="EN216" s="146"/>
      <c r="EO216" s="146"/>
      <c r="EP216" s="146"/>
      <c r="EQ216" s="115"/>
      <c r="FM216" s="170" t="e">
        <f t="shared" si="180"/>
        <v>#DIV/0!</v>
      </c>
      <c r="FN216" s="170" t="e">
        <f t="shared" si="181"/>
        <v>#DIV/0!</v>
      </c>
      <c r="FO216" s="172" t="e">
        <f t="shared" si="182"/>
        <v>#DIV/0!</v>
      </c>
      <c r="FP216" s="172" t="e">
        <f t="shared" si="183"/>
        <v>#DIV/0!</v>
      </c>
      <c r="FQ216" s="173" t="e">
        <f t="shared" si="184"/>
        <v>#DIV/0!</v>
      </c>
    </row>
    <row r="217" spans="2:173" hidden="1" x14ac:dyDescent="0.25">
      <c r="B217" s="263" t="s">
        <v>460</v>
      </c>
      <c r="E217">
        <v>3617</v>
      </c>
      <c r="F217">
        <v>2273</v>
      </c>
      <c r="H217">
        <v>93</v>
      </c>
      <c r="I217">
        <v>56</v>
      </c>
      <c r="J217">
        <v>4</v>
      </c>
      <c r="K217">
        <v>3</v>
      </c>
      <c r="M217">
        <v>7</v>
      </c>
      <c r="S217">
        <v>1</v>
      </c>
      <c r="T217">
        <v>0.6</v>
      </c>
      <c r="U217">
        <v>9.1999999999999993</v>
      </c>
      <c r="V217">
        <v>5.8</v>
      </c>
      <c r="Y217">
        <v>11</v>
      </c>
      <c r="Z217">
        <v>5.7</v>
      </c>
      <c r="AF217">
        <v>3.97</v>
      </c>
      <c r="AG217">
        <v>1.47</v>
      </c>
      <c r="AH217">
        <v>2.75</v>
      </c>
      <c r="AI217">
        <v>4.32</v>
      </c>
      <c r="AJ217">
        <v>3.45</v>
      </c>
      <c r="AK217">
        <v>0.77</v>
      </c>
      <c r="AL217">
        <v>2.9</v>
      </c>
      <c r="AM217">
        <v>2.1800000000000002</v>
      </c>
      <c r="AN217">
        <v>0.77</v>
      </c>
      <c r="AO217">
        <v>2.82</v>
      </c>
      <c r="AP217">
        <v>2.41</v>
      </c>
      <c r="AQ217">
        <v>6.34</v>
      </c>
      <c r="AR217">
        <v>0.82</v>
      </c>
      <c r="AS217">
        <v>9.92</v>
      </c>
      <c r="AT217">
        <v>2.37</v>
      </c>
      <c r="AU217">
        <v>2.87</v>
      </c>
      <c r="AV217">
        <v>2.4300000000000002</v>
      </c>
      <c r="AW217">
        <v>2.0299999999999998</v>
      </c>
      <c r="AY217">
        <v>88.6</v>
      </c>
      <c r="AZ217">
        <v>95.1</v>
      </c>
      <c r="BA217">
        <v>88.4</v>
      </c>
      <c r="BB217">
        <v>88.3</v>
      </c>
      <c r="BC217">
        <v>88.8</v>
      </c>
      <c r="BD217">
        <v>87.1</v>
      </c>
      <c r="BE217">
        <v>90.6</v>
      </c>
      <c r="BF217">
        <v>89.8</v>
      </c>
      <c r="BG217">
        <v>85.1</v>
      </c>
      <c r="BH217">
        <v>88.6</v>
      </c>
      <c r="BI217">
        <v>88.7</v>
      </c>
      <c r="BJ217">
        <v>87.5</v>
      </c>
      <c r="BK217">
        <v>87.9</v>
      </c>
      <c r="BL217">
        <v>84.1</v>
      </c>
      <c r="BM217">
        <v>90.6</v>
      </c>
      <c r="BN217">
        <v>90.7</v>
      </c>
      <c r="BO217">
        <v>91.2</v>
      </c>
      <c r="BP217">
        <v>91</v>
      </c>
      <c r="BQ217">
        <v>89.6</v>
      </c>
      <c r="BS217" s="131">
        <v>0.35</v>
      </c>
      <c r="BT217" s="131">
        <v>0.1</v>
      </c>
      <c r="BU217" s="131">
        <v>2.5</v>
      </c>
      <c r="BV217" s="131">
        <v>0.35</v>
      </c>
      <c r="BW217" s="131">
        <v>0.02</v>
      </c>
      <c r="BX217" s="131">
        <v>0.75</v>
      </c>
      <c r="BY217" s="131">
        <v>0.45</v>
      </c>
      <c r="CC217">
        <v>59.8</v>
      </c>
      <c r="CH217" s="9">
        <v>56</v>
      </c>
      <c r="CV217" s="2"/>
      <c r="CW217" s="157">
        <f t="shared" si="189"/>
        <v>3.7754699999999999</v>
      </c>
      <c r="CX217" s="157">
        <f t="shared" si="190"/>
        <v>1.29948</v>
      </c>
      <c r="CY217" s="157">
        <f t="shared" si="191"/>
        <v>2.4282499999999998</v>
      </c>
      <c r="CZ217" s="157">
        <f t="shared" si="192"/>
        <v>3.83616</v>
      </c>
      <c r="DA217" s="157">
        <f t="shared" si="193"/>
        <v>3.00495</v>
      </c>
      <c r="DB217" s="157">
        <f t="shared" si="194"/>
        <v>0.69762000000000002</v>
      </c>
      <c r="DC217" s="157">
        <f t="shared" si="195"/>
        <v>1.3872399999999998</v>
      </c>
      <c r="DD217" s="157">
        <f t="shared" si="196"/>
        <v>2.6041999999999996</v>
      </c>
      <c r="DE217" s="157">
        <f t="shared" si="197"/>
        <v>4.4230799999999997</v>
      </c>
      <c r="DF217" s="157">
        <f t="shared" si="198"/>
        <v>1.8551800000000001</v>
      </c>
      <c r="DG217" s="157">
        <f t="shared" si="199"/>
        <v>0.68221999999999994</v>
      </c>
      <c r="DH217" s="157">
        <f t="shared" si="200"/>
        <v>2.5013399999999999</v>
      </c>
      <c r="DI217" s="157">
        <f t="shared" si="201"/>
        <v>2.1087500000000001</v>
      </c>
      <c r="DJ217" s="157">
        <f t="shared" si="202"/>
        <v>5.5728600000000004</v>
      </c>
      <c r="DK217" s="157">
        <f t="shared" si="203"/>
        <v>0.6896199999999999</v>
      </c>
      <c r="DL217" s="157">
        <f t="shared" si="204"/>
        <v>8.98752</v>
      </c>
      <c r="DM217" s="157">
        <f t="shared" si="205"/>
        <v>2.1495899999999999</v>
      </c>
      <c r="DN217" s="157">
        <f t="shared" si="206"/>
        <v>2.6174400000000002</v>
      </c>
      <c r="DO217" s="157">
        <f t="shared" si="207"/>
        <v>2.2113</v>
      </c>
      <c r="DP217" s="157">
        <f t="shared" si="208"/>
        <v>1.8188799999999998</v>
      </c>
      <c r="DQ217">
        <v>0</v>
      </c>
      <c r="DR217">
        <v>0.44849999999999995</v>
      </c>
      <c r="DS217">
        <v>0</v>
      </c>
      <c r="DT217">
        <v>0</v>
      </c>
      <c r="DW217">
        <v>1000</v>
      </c>
      <c r="DX217">
        <v>0.5</v>
      </c>
      <c r="EA217" s="115">
        <v>0.4</v>
      </c>
      <c r="EB217">
        <v>0.30000000000000004</v>
      </c>
      <c r="EG217" s="203">
        <v>0.49650000000000005</v>
      </c>
      <c r="EK217" s="146"/>
      <c r="EL217" s="146"/>
      <c r="EM217" s="146"/>
      <c r="EN217" s="146"/>
      <c r="EO217" s="146"/>
      <c r="EP217" s="146"/>
      <c r="EQ217" s="115"/>
      <c r="FH217">
        <v>93</v>
      </c>
      <c r="FM217" s="170">
        <f t="shared" si="180"/>
        <v>0.65204266766766761</v>
      </c>
      <c r="FN217" s="170">
        <f t="shared" si="181"/>
        <v>0.6329897605939272</v>
      </c>
      <c r="FO217" s="172">
        <f t="shared" si="182"/>
        <v>1.0300998661587564</v>
      </c>
      <c r="FP217" s="172">
        <f t="shared" si="183"/>
        <v>0.17783929763096429</v>
      </c>
      <c r="FQ217" s="173">
        <f t="shared" si="184"/>
        <v>6.8502857142857143E-2</v>
      </c>
    </row>
    <row r="218" spans="2:173" hidden="1" x14ac:dyDescent="0.25">
      <c r="B218" s="263" t="s">
        <v>462</v>
      </c>
      <c r="E218">
        <v>3004</v>
      </c>
      <c r="F218">
        <v>2420</v>
      </c>
      <c r="H218" s="152">
        <v>55</v>
      </c>
      <c r="I218">
        <v>68.02</v>
      </c>
      <c r="AJ218">
        <v>55</v>
      </c>
      <c r="BD218">
        <v>100</v>
      </c>
      <c r="BS218" s="131"/>
      <c r="BT218" s="131"/>
      <c r="BU218" s="131"/>
      <c r="BV218" s="131"/>
      <c r="BW218" s="131"/>
      <c r="BX218" s="131"/>
      <c r="BY218" s="131"/>
      <c r="CH218" s="9"/>
      <c r="CW218" s="157">
        <f t="shared" ref="CW218:CW228" si="214">AF218*AZ218/100</f>
        <v>0</v>
      </c>
      <c r="CX218" s="157">
        <f t="shared" ref="CX218:CX228" si="215">AG218*BA218/100</f>
        <v>0</v>
      </c>
      <c r="CY218" s="157">
        <f t="shared" ref="CY218:CY228" si="216">AH218*BB218/100</f>
        <v>0</v>
      </c>
      <c r="CZ218" s="157">
        <f t="shared" ref="CZ218:CZ228" si="217">AI218*BC218/100</f>
        <v>0</v>
      </c>
      <c r="DA218" s="157">
        <f t="shared" ref="DA218:DA228" si="218">AJ218*BD218/100</f>
        <v>55</v>
      </c>
      <c r="DB218" s="157">
        <f t="shared" ref="DB218:DB228" si="219">AK218*BE218/100</f>
        <v>0</v>
      </c>
      <c r="DC218" s="157">
        <f t="shared" ref="DC218:DC228" si="220">(AK218*BE218+BL218*AR218)/100</f>
        <v>0</v>
      </c>
      <c r="DD218" s="157">
        <f t="shared" ref="DD218:DD228" si="221">AL218*BF218/100</f>
        <v>0</v>
      </c>
      <c r="DE218" s="157">
        <f t="shared" ref="DE218:DE228" si="222">DD218+BQ218*AW218/100</f>
        <v>0</v>
      </c>
      <c r="DF218" s="157">
        <f t="shared" ref="DF218:DF228" si="223">AM218*BG218/100</f>
        <v>0</v>
      </c>
      <c r="DG218" s="157">
        <f t="shared" ref="DG218:DG228" si="224">AN218*BH218/100</f>
        <v>0</v>
      </c>
      <c r="DH218" s="157">
        <f t="shared" ref="DH218:DH228" si="225">AO218*BI218/100</f>
        <v>0</v>
      </c>
      <c r="DI218" s="157">
        <f t="shared" ref="DI218:DI228" si="226">AP218*BJ218/100</f>
        <v>0</v>
      </c>
      <c r="DJ218" s="157">
        <f t="shared" ref="DJ218:DJ228" si="227">AQ218*BK218/100</f>
        <v>0</v>
      </c>
      <c r="DK218" s="157">
        <f t="shared" ref="DK218:DK228" si="228">AR218*BL218/100</f>
        <v>0</v>
      </c>
      <c r="DL218" s="157">
        <f t="shared" ref="DL218:DL228" si="229">AS218*BM218/100</f>
        <v>0</v>
      </c>
      <c r="DM218" s="157">
        <f t="shared" ref="DM218:DM228" si="230">AT218*BN218/100</f>
        <v>0</v>
      </c>
      <c r="DN218" s="157">
        <f t="shared" ref="DN218:DN228" si="231">AU218*BO218/100</f>
        <v>0</v>
      </c>
      <c r="DO218" s="157">
        <f t="shared" ref="DO218:DO228" si="232">AV218*BP218/100</f>
        <v>0</v>
      </c>
      <c r="DP218" s="157">
        <f t="shared" ref="DP218:DP228" si="233">AW218*BQ218/100</f>
        <v>0</v>
      </c>
      <c r="EK218" s="146"/>
      <c r="EL218" s="146"/>
      <c r="EM218" s="146"/>
      <c r="EN218" s="146"/>
      <c r="EO218" s="146"/>
      <c r="EP218" s="146"/>
      <c r="EQ218" s="115"/>
      <c r="FM218" s="170" t="e">
        <f t="shared" ref="FM218:FM228" si="234">DH218/CZ218</f>
        <v>#DIV/0!</v>
      </c>
      <c r="FN218" s="170" t="e">
        <f t="shared" ref="FN218:FN228" si="235">CY218/CZ218</f>
        <v>#DIV/0!</v>
      </c>
      <c r="FO218" s="172" t="e">
        <f t="shared" ref="FO218:FO228" si="236">DH218/CY218</f>
        <v>#DIV/0!</v>
      </c>
      <c r="FP218" s="172" t="e">
        <f t="shared" ref="FP218:FP228" si="237">DG218/CZ218</f>
        <v>#DIV/0!</v>
      </c>
      <c r="FQ218" s="173">
        <f t="shared" ref="FQ218:FQ228" si="238">CZ218/I218</f>
        <v>0</v>
      </c>
    </row>
    <row r="219" spans="2:173" s="65" customFormat="1" ht="15.6" x14ac:dyDescent="0.25">
      <c r="B219" s="296" t="s">
        <v>476</v>
      </c>
      <c r="C219" s="65">
        <v>4849</v>
      </c>
      <c r="D219" s="311">
        <f>71.216*K219+2905.22</f>
        <v>3759.8119999999999</v>
      </c>
      <c r="E219" s="311">
        <f>(D219/(H219/100)-I219*10/(H219/100))*H219/100</f>
        <v>3485.1119999999996</v>
      </c>
      <c r="F219" s="312">
        <f>'DDGS Calculator'!G13*2.20462</f>
        <v>2137.6000000000004</v>
      </c>
      <c r="H219" s="65">
        <v>88.95</v>
      </c>
      <c r="I219" s="65">
        <v>27.47</v>
      </c>
      <c r="J219" s="65">
        <v>7.63</v>
      </c>
      <c r="K219" s="310">
        <v>12</v>
      </c>
      <c r="M219" s="313">
        <v>4.1100000000000003</v>
      </c>
      <c r="T219" s="313">
        <v>6.43</v>
      </c>
      <c r="U219" s="310">
        <v>32.83</v>
      </c>
      <c r="V219" s="310">
        <v>11.79</v>
      </c>
      <c r="W219" s="313">
        <v>2.6907216494845358</v>
      </c>
      <c r="X219" s="313">
        <v>29.82</v>
      </c>
      <c r="AB219" s="65">
        <v>40.710000000000008</v>
      </c>
      <c r="AC219" s="65">
        <v>70</v>
      </c>
      <c r="AD219" s="310">
        <v>43.692400000000006</v>
      </c>
      <c r="AF219" s="65">
        <v>1.18</v>
      </c>
      <c r="AG219" s="65">
        <v>0.73</v>
      </c>
      <c r="AH219" s="65">
        <v>1.03</v>
      </c>
      <c r="AI219" s="65">
        <v>3.2</v>
      </c>
      <c r="AJ219" s="65">
        <v>0.83</v>
      </c>
      <c r="AK219" s="65">
        <v>0.55000000000000004</v>
      </c>
      <c r="AL219" s="65">
        <v>1.34</v>
      </c>
      <c r="AM219" s="65">
        <v>1</v>
      </c>
      <c r="AN219" s="65">
        <v>0.21</v>
      </c>
      <c r="AO219" s="65">
        <v>1.36</v>
      </c>
      <c r="AR219" s="65">
        <v>0.44</v>
      </c>
      <c r="AW219" s="65">
        <v>1.22</v>
      </c>
      <c r="AY219" s="65">
        <v>73</v>
      </c>
      <c r="AZ219" s="65">
        <v>81</v>
      </c>
      <c r="BA219" s="65">
        <v>80</v>
      </c>
      <c r="BB219" s="65">
        <v>72</v>
      </c>
      <c r="BC219" s="65">
        <v>87</v>
      </c>
      <c r="BD219" s="65">
        <v>62</v>
      </c>
      <c r="BE219" s="65">
        <v>80</v>
      </c>
      <c r="BF219" s="65">
        <v>83</v>
      </c>
      <c r="BG219" s="65">
        <v>71</v>
      </c>
      <c r="BH219" s="65">
        <v>67</v>
      </c>
      <c r="BI219" s="65">
        <v>79</v>
      </c>
      <c r="BL219" s="65">
        <v>73</v>
      </c>
      <c r="BQ219" s="65">
        <v>81</v>
      </c>
      <c r="BS219" s="65">
        <v>0.1</v>
      </c>
      <c r="BT219" s="65">
        <v>0.2</v>
      </c>
      <c r="BU219" s="65">
        <v>0.93</v>
      </c>
      <c r="BV219" s="65">
        <v>0.32</v>
      </c>
      <c r="BW219" s="65">
        <v>0.19</v>
      </c>
      <c r="BX219" s="65">
        <v>0.68</v>
      </c>
      <c r="BY219" s="314">
        <v>0.47</v>
      </c>
      <c r="CB219" s="65">
        <v>56.55</v>
      </c>
      <c r="CC219" s="65">
        <v>61.47</v>
      </c>
      <c r="CF219" s="313">
        <v>27.593999999999998</v>
      </c>
      <c r="CH219" s="315">
        <v>17.510400000000001</v>
      </c>
      <c r="CI219" s="315">
        <v>0.91020000000000001</v>
      </c>
      <c r="CJ219" s="315">
        <v>0.54759999999999998</v>
      </c>
      <c r="CK219" s="315">
        <v>0.7632000000000001</v>
      </c>
      <c r="CL219" s="315">
        <v>2.665</v>
      </c>
      <c r="CM219" s="315">
        <v>0.495</v>
      </c>
      <c r="CN219" s="315">
        <v>0.45599999999999996</v>
      </c>
      <c r="CO219" s="315">
        <v>0.75959999999999994</v>
      </c>
      <c r="CP219" s="315">
        <v>1.0686000000000002</v>
      </c>
      <c r="CQ219" s="315">
        <v>2.0202</v>
      </c>
      <c r="CR219" s="315">
        <v>0.63359999999999994</v>
      </c>
      <c r="CS219" s="315">
        <v>0.126</v>
      </c>
      <c r="CT219" s="315">
        <v>0.9869</v>
      </c>
      <c r="CV219" s="315">
        <v>20.246399999999998</v>
      </c>
      <c r="CW219" s="316">
        <f t="shared" si="214"/>
        <v>0.95579999999999998</v>
      </c>
      <c r="CX219" s="316">
        <f t="shared" si="215"/>
        <v>0.58399999999999996</v>
      </c>
      <c r="CY219" s="316">
        <f t="shared" si="216"/>
        <v>0.74159999999999993</v>
      </c>
      <c r="CZ219" s="316">
        <f t="shared" si="217"/>
        <v>2.7840000000000003</v>
      </c>
      <c r="DA219" s="316">
        <f t="shared" si="218"/>
        <v>0.51460000000000006</v>
      </c>
      <c r="DB219" s="316">
        <f t="shared" si="219"/>
        <v>0.44</v>
      </c>
      <c r="DC219" s="316">
        <f t="shared" si="220"/>
        <v>0.7612000000000001</v>
      </c>
      <c r="DD219" s="316">
        <f t="shared" si="221"/>
        <v>1.1122000000000001</v>
      </c>
      <c r="DE219" s="316">
        <f t="shared" si="222"/>
        <v>2.1004</v>
      </c>
      <c r="DF219" s="316">
        <f t="shared" si="223"/>
        <v>0.71</v>
      </c>
      <c r="DG219" s="316">
        <f t="shared" si="224"/>
        <v>0.14069999999999999</v>
      </c>
      <c r="DH219" s="316">
        <f t="shared" si="225"/>
        <v>1.0744</v>
      </c>
      <c r="DI219" s="316">
        <f t="shared" si="226"/>
        <v>0</v>
      </c>
      <c r="DJ219" s="316">
        <f t="shared" si="227"/>
        <v>0</v>
      </c>
      <c r="DK219" s="316">
        <f t="shared" si="228"/>
        <v>0.32119999999999999</v>
      </c>
      <c r="DL219" s="316">
        <f t="shared" si="229"/>
        <v>0</v>
      </c>
      <c r="DM219" s="316">
        <f t="shared" si="230"/>
        <v>0</v>
      </c>
      <c r="DN219" s="316">
        <f t="shared" si="231"/>
        <v>0</v>
      </c>
      <c r="DO219" s="316">
        <f t="shared" si="232"/>
        <v>0</v>
      </c>
      <c r="DP219" s="316">
        <f t="shared" si="233"/>
        <v>0.98819999999999997</v>
      </c>
      <c r="DQ219" s="65">
        <f>BX219*CB219/100</f>
        <v>0.38453999999999999</v>
      </c>
      <c r="DR219" s="65">
        <f>BX219*CC219/100</f>
        <v>0.41799600000000003</v>
      </c>
      <c r="DW219" s="317">
        <f>DX219*2000</f>
        <v>180</v>
      </c>
      <c r="DX219" s="318">
        <f>'DDGS Calculator'!D7/2000</f>
        <v>0.09</v>
      </c>
      <c r="DY219" s="319"/>
      <c r="DZ219" s="319"/>
      <c r="EA219" s="320">
        <v>0.77</v>
      </c>
      <c r="EB219" s="321">
        <f>CG219*EA219</f>
        <v>0</v>
      </c>
      <c r="EC219" s="322">
        <f>0.59*AF219</f>
        <v>0.69619999999999993</v>
      </c>
      <c r="ED219" s="323"/>
      <c r="EE219" s="324"/>
      <c r="EF219" s="325">
        <v>0.25</v>
      </c>
      <c r="EG219" s="325">
        <v>0.18</v>
      </c>
      <c r="EH219" s="326">
        <f>125*AF219/10</f>
        <v>14.75</v>
      </c>
      <c r="EK219" s="327"/>
      <c r="EL219" s="327"/>
      <c r="EM219" s="327"/>
      <c r="EN219" s="327"/>
      <c r="EO219" s="327"/>
      <c r="EP219" s="327"/>
      <c r="EQ219" s="328"/>
      <c r="FM219" s="329">
        <f t="shared" si="234"/>
        <v>0.38591954022988501</v>
      </c>
      <c r="FN219" s="329">
        <f t="shared" si="235"/>
        <v>0.26637931034482754</v>
      </c>
      <c r="FO219" s="330">
        <f t="shared" si="236"/>
        <v>1.4487594390507013</v>
      </c>
      <c r="FP219" s="330">
        <f t="shared" si="237"/>
        <v>5.0538793103448269E-2</v>
      </c>
      <c r="FQ219" s="331">
        <f t="shared" si="238"/>
        <v>0.10134692391700038</v>
      </c>
    </row>
    <row r="220" spans="2:173" x14ac:dyDescent="0.25">
      <c r="B220" s="84" t="s">
        <v>343</v>
      </c>
      <c r="BS220" s="131"/>
      <c r="BT220" s="131"/>
      <c r="BU220" s="131"/>
      <c r="BV220" s="131"/>
      <c r="BW220" s="131"/>
      <c r="BX220" s="131"/>
      <c r="BY220" s="131"/>
      <c r="CH220" s="9"/>
      <c r="CW220" s="157">
        <f t="shared" si="214"/>
        <v>0</v>
      </c>
      <c r="CX220" s="157">
        <f t="shared" si="215"/>
        <v>0</v>
      </c>
      <c r="CY220" s="157">
        <f t="shared" si="216"/>
        <v>0</v>
      </c>
      <c r="CZ220" s="157">
        <f t="shared" si="217"/>
        <v>0</v>
      </c>
      <c r="DA220" s="157">
        <f t="shared" si="218"/>
        <v>0</v>
      </c>
      <c r="DB220" s="157">
        <f t="shared" si="219"/>
        <v>0</v>
      </c>
      <c r="DC220" s="157">
        <f t="shared" si="220"/>
        <v>0</v>
      </c>
      <c r="DD220" s="157">
        <f t="shared" si="221"/>
        <v>0</v>
      </c>
      <c r="DE220" s="157">
        <f t="shared" si="222"/>
        <v>0</v>
      </c>
      <c r="DF220" s="157">
        <f t="shared" si="223"/>
        <v>0</v>
      </c>
      <c r="DG220" s="157">
        <f t="shared" si="224"/>
        <v>0</v>
      </c>
      <c r="DH220" s="157">
        <f t="shared" si="225"/>
        <v>0</v>
      </c>
      <c r="DI220" s="157">
        <f t="shared" si="226"/>
        <v>0</v>
      </c>
      <c r="DJ220" s="157">
        <f t="shared" si="227"/>
        <v>0</v>
      </c>
      <c r="DK220" s="157">
        <f t="shared" si="228"/>
        <v>0</v>
      </c>
      <c r="DL220" s="157">
        <f t="shared" si="229"/>
        <v>0</v>
      </c>
      <c r="DM220" s="157">
        <f t="shared" si="230"/>
        <v>0</v>
      </c>
      <c r="DN220" s="157">
        <f t="shared" si="231"/>
        <v>0</v>
      </c>
      <c r="DO220" s="157">
        <f t="shared" si="232"/>
        <v>0</v>
      </c>
      <c r="DP220" s="157">
        <f t="shared" si="233"/>
        <v>0</v>
      </c>
      <c r="FM220" s="170" t="e">
        <f t="shared" si="234"/>
        <v>#DIV/0!</v>
      </c>
      <c r="FN220" s="170" t="e">
        <f t="shared" si="235"/>
        <v>#DIV/0!</v>
      </c>
      <c r="FO220" s="172" t="e">
        <f t="shared" si="236"/>
        <v>#DIV/0!</v>
      </c>
      <c r="FP220" s="172" t="e">
        <f t="shared" si="237"/>
        <v>#DIV/0!</v>
      </c>
      <c r="FQ220" s="173" t="e">
        <f t="shared" si="238"/>
        <v>#DIV/0!</v>
      </c>
    </row>
    <row r="221" spans="2:173" x14ac:dyDescent="0.25">
      <c r="B221" s="84" t="s">
        <v>343</v>
      </c>
      <c r="BS221" s="131"/>
      <c r="BT221" s="131"/>
      <c r="BU221" s="131"/>
      <c r="BV221" s="131"/>
      <c r="BW221" s="131"/>
      <c r="BX221" s="131"/>
      <c r="BY221" s="131"/>
      <c r="CH221" s="9"/>
      <c r="CW221" s="157">
        <f t="shared" si="214"/>
        <v>0</v>
      </c>
      <c r="CX221" s="157">
        <f t="shared" si="215"/>
        <v>0</v>
      </c>
      <c r="CY221" s="157">
        <f t="shared" si="216"/>
        <v>0</v>
      </c>
      <c r="CZ221" s="157">
        <f t="shared" si="217"/>
        <v>0</v>
      </c>
      <c r="DA221" s="157">
        <f t="shared" si="218"/>
        <v>0</v>
      </c>
      <c r="DB221" s="157">
        <f t="shared" si="219"/>
        <v>0</v>
      </c>
      <c r="DC221" s="157">
        <f t="shared" si="220"/>
        <v>0</v>
      </c>
      <c r="DD221" s="157">
        <f t="shared" si="221"/>
        <v>0</v>
      </c>
      <c r="DE221" s="157">
        <f t="shared" si="222"/>
        <v>0</v>
      </c>
      <c r="DF221" s="157">
        <f t="shared" si="223"/>
        <v>0</v>
      </c>
      <c r="DG221" s="157">
        <f t="shared" si="224"/>
        <v>0</v>
      </c>
      <c r="DH221" s="157">
        <f t="shared" si="225"/>
        <v>0</v>
      </c>
      <c r="DI221" s="157">
        <f t="shared" si="226"/>
        <v>0</v>
      </c>
      <c r="DJ221" s="157">
        <f t="shared" si="227"/>
        <v>0</v>
      </c>
      <c r="DK221" s="157">
        <f t="shared" si="228"/>
        <v>0</v>
      </c>
      <c r="DL221" s="157">
        <f t="shared" si="229"/>
        <v>0</v>
      </c>
      <c r="DM221" s="157">
        <f t="shared" si="230"/>
        <v>0</v>
      </c>
      <c r="DN221" s="157">
        <f t="shared" si="231"/>
        <v>0</v>
      </c>
      <c r="DO221" s="157">
        <f t="shared" si="232"/>
        <v>0</v>
      </c>
      <c r="DP221" s="157">
        <f t="shared" si="233"/>
        <v>0</v>
      </c>
      <c r="FM221" s="170" t="e">
        <f t="shared" si="234"/>
        <v>#DIV/0!</v>
      </c>
      <c r="FN221" s="170" t="e">
        <f t="shared" si="235"/>
        <v>#DIV/0!</v>
      </c>
      <c r="FO221" s="172" t="e">
        <f t="shared" si="236"/>
        <v>#DIV/0!</v>
      </c>
      <c r="FP221" s="172" t="e">
        <f t="shared" si="237"/>
        <v>#DIV/0!</v>
      </c>
      <c r="FQ221" s="173" t="e">
        <f t="shared" si="238"/>
        <v>#DIV/0!</v>
      </c>
    </row>
    <row r="222" spans="2:173" x14ac:dyDescent="0.25">
      <c r="B222" s="84" t="s">
        <v>343</v>
      </c>
      <c r="BS222" s="131"/>
      <c r="BT222" s="131"/>
      <c r="BU222" s="131"/>
      <c r="BV222" s="131"/>
      <c r="BW222" s="131"/>
      <c r="BX222" s="131"/>
      <c r="BY222" s="131"/>
      <c r="CH222" s="9"/>
      <c r="CW222" s="157">
        <f t="shared" si="214"/>
        <v>0</v>
      </c>
      <c r="CX222" s="157">
        <f t="shared" si="215"/>
        <v>0</v>
      </c>
      <c r="CY222" s="157">
        <f t="shared" si="216"/>
        <v>0</v>
      </c>
      <c r="CZ222" s="157">
        <f t="shared" si="217"/>
        <v>0</v>
      </c>
      <c r="DA222" s="157">
        <f t="shared" si="218"/>
        <v>0</v>
      </c>
      <c r="DB222" s="157">
        <f t="shared" si="219"/>
        <v>0</v>
      </c>
      <c r="DC222" s="157">
        <f t="shared" si="220"/>
        <v>0</v>
      </c>
      <c r="DD222" s="157">
        <f t="shared" si="221"/>
        <v>0</v>
      </c>
      <c r="DE222" s="157">
        <f t="shared" si="222"/>
        <v>0</v>
      </c>
      <c r="DF222" s="157">
        <f t="shared" si="223"/>
        <v>0</v>
      </c>
      <c r="DG222" s="157">
        <f t="shared" si="224"/>
        <v>0</v>
      </c>
      <c r="DH222" s="157">
        <f t="shared" si="225"/>
        <v>0</v>
      </c>
      <c r="DI222" s="157">
        <f t="shared" si="226"/>
        <v>0</v>
      </c>
      <c r="DJ222" s="157">
        <f t="shared" si="227"/>
        <v>0</v>
      </c>
      <c r="DK222" s="157">
        <f t="shared" si="228"/>
        <v>0</v>
      </c>
      <c r="DL222" s="157">
        <f t="shared" si="229"/>
        <v>0</v>
      </c>
      <c r="DM222" s="157">
        <f t="shared" si="230"/>
        <v>0</v>
      </c>
      <c r="DN222" s="157">
        <f t="shared" si="231"/>
        <v>0</v>
      </c>
      <c r="DO222" s="157">
        <f t="shared" si="232"/>
        <v>0</v>
      </c>
      <c r="DP222" s="157">
        <f t="shared" si="233"/>
        <v>0</v>
      </c>
      <c r="FM222" s="170" t="e">
        <f t="shared" si="234"/>
        <v>#DIV/0!</v>
      </c>
      <c r="FN222" s="170" t="e">
        <f t="shared" si="235"/>
        <v>#DIV/0!</v>
      </c>
      <c r="FO222" s="172" t="e">
        <f t="shared" si="236"/>
        <v>#DIV/0!</v>
      </c>
      <c r="FP222" s="172" t="e">
        <f t="shared" si="237"/>
        <v>#DIV/0!</v>
      </c>
      <c r="FQ222" s="173" t="e">
        <f t="shared" si="238"/>
        <v>#DIV/0!</v>
      </c>
    </row>
    <row r="223" spans="2:173" x14ac:dyDescent="0.25">
      <c r="B223" s="84" t="s">
        <v>343</v>
      </c>
      <c r="BS223" s="131"/>
      <c r="BT223" s="131"/>
      <c r="BU223" s="131"/>
      <c r="BV223" s="131"/>
      <c r="BW223" s="131"/>
      <c r="BX223" s="131"/>
      <c r="BY223" s="131"/>
      <c r="CH223" s="9"/>
      <c r="CW223" s="157">
        <f t="shared" si="214"/>
        <v>0</v>
      </c>
      <c r="CX223" s="157">
        <f t="shared" si="215"/>
        <v>0</v>
      </c>
      <c r="CY223" s="157">
        <f t="shared" si="216"/>
        <v>0</v>
      </c>
      <c r="CZ223" s="157">
        <f t="shared" si="217"/>
        <v>0</v>
      </c>
      <c r="DA223" s="157">
        <f t="shared" si="218"/>
        <v>0</v>
      </c>
      <c r="DB223" s="157">
        <f t="shared" si="219"/>
        <v>0</v>
      </c>
      <c r="DC223" s="157">
        <f t="shared" si="220"/>
        <v>0</v>
      </c>
      <c r="DD223" s="157">
        <f t="shared" si="221"/>
        <v>0</v>
      </c>
      <c r="DE223" s="157">
        <f t="shared" si="222"/>
        <v>0</v>
      </c>
      <c r="DF223" s="157">
        <f t="shared" si="223"/>
        <v>0</v>
      </c>
      <c r="DG223" s="157">
        <f t="shared" si="224"/>
        <v>0</v>
      </c>
      <c r="DH223" s="157">
        <f t="shared" si="225"/>
        <v>0</v>
      </c>
      <c r="DI223" s="157">
        <f t="shared" si="226"/>
        <v>0</v>
      </c>
      <c r="DJ223" s="157">
        <f t="shared" si="227"/>
        <v>0</v>
      </c>
      <c r="DK223" s="157">
        <f t="shared" si="228"/>
        <v>0</v>
      </c>
      <c r="DL223" s="157">
        <f t="shared" si="229"/>
        <v>0</v>
      </c>
      <c r="DM223" s="157">
        <f t="shared" si="230"/>
        <v>0</v>
      </c>
      <c r="DN223" s="157">
        <f t="shared" si="231"/>
        <v>0</v>
      </c>
      <c r="DO223" s="157">
        <f t="shared" si="232"/>
        <v>0</v>
      </c>
      <c r="DP223" s="157">
        <f t="shared" si="233"/>
        <v>0</v>
      </c>
      <c r="FM223" s="170" t="e">
        <f t="shared" si="234"/>
        <v>#DIV/0!</v>
      </c>
      <c r="FN223" s="170" t="e">
        <f t="shared" si="235"/>
        <v>#DIV/0!</v>
      </c>
      <c r="FO223" s="172" t="e">
        <f t="shared" si="236"/>
        <v>#DIV/0!</v>
      </c>
      <c r="FP223" s="172" t="e">
        <f t="shared" si="237"/>
        <v>#DIV/0!</v>
      </c>
      <c r="FQ223" s="173" t="e">
        <f t="shared" si="238"/>
        <v>#DIV/0!</v>
      </c>
    </row>
    <row r="224" spans="2:173" x14ac:dyDescent="0.25">
      <c r="B224" s="84" t="s">
        <v>343</v>
      </c>
      <c r="BS224" s="131"/>
      <c r="BT224" s="131"/>
      <c r="BU224" s="131"/>
      <c r="BV224" s="131"/>
      <c r="BW224" s="131"/>
      <c r="BX224" s="131"/>
      <c r="BY224" s="131"/>
      <c r="CH224" s="9"/>
      <c r="CW224" s="157">
        <f t="shared" si="214"/>
        <v>0</v>
      </c>
      <c r="CX224" s="157">
        <f t="shared" si="215"/>
        <v>0</v>
      </c>
      <c r="CY224" s="157">
        <f t="shared" si="216"/>
        <v>0</v>
      </c>
      <c r="CZ224" s="157">
        <f t="shared" si="217"/>
        <v>0</v>
      </c>
      <c r="DA224" s="157">
        <f t="shared" si="218"/>
        <v>0</v>
      </c>
      <c r="DB224" s="157">
        <f t="shared" si="219"/>
        <v>0</v>
      </c>
      <c r="DC224" s="157">
        <f t="shared" si="220"/>
        <v>0</v>
      </c>
      <c r="DD224" s="157">
        <f t="shared" si="221"/>
        <v>0</v>
      </c>
      <c r="DE224" s="157">
        <f t="shared" si="222"/>
        <v>0</v>
      </c>
      <c r="DF224" s="157">
        <f t="shared" si="223"/>
        <v>0</v>
      </c>
      <c r="DG224" s="157">
        <f t="shared" si="224"/>
        <v>0</v>
      </c>
      <c r="DH224" s="157">
        <f t="shared" si="225"/>
        <v>0</v>
      </c>
      <c r="DI224" s="157">
        <f t="shared" si="226"/>
        <v>0</v>
      </c>
      <c r="DJ224" s="157">
        <f t="shared" si="227"/>
        <v>0</v>
      </c>
      <c r="DK224" s="157">
        <f t="shared" si="228"/>
        <v>0</v>
      </c>
      <c r="DL224" s="157">
        <f t="shared" si="229"/>
        <v>0</v>
      </c>
      <c r="DM224" s="157">
        <f t="shared" si="230"/>
        <v>0</v>
      </c>
      <c r="DN224" s="157">
        <f t="shared" si="231"/>
        <v>0</v>
      </c>
      <c r="DO224" s="157">
        <f t="shared" si="232"/>
        <v>0</v>
      </c>
      <c r="DP224" s="157">
        <f t="shared" si="233"/>
        <v>0</v>
      </c>
      <c r="FM224" s="170" t="e">
        <f t="shared" si="234"/>
        <v>#DIV/0!</v>
      </c>
      <c r="FN224" s="170" t="e">
        <f t="shared" si="235"/>
        <v>#DIV/0!</v>
      </c>
      <c r="FO224" s="172" t="e">
        <f t="shared" si="236"/>
        <v>#DIV/0!</v>
      </c>
      <c r="FP224" s="172" t="e">
        <f t="shared" si="237"/>
        <v>#DIV/0!</v>
      </c>
      <c r="FQ224" s="173" t="e">
        <f t="shared" si="238"/>
        <v>#DIV/0!</v>
      </c>
    </row>
    <row r="225" spans="2:173" x14ac:dyDescent="0.25">
      <c r="B225" s="84" t="s">
        <v>343</v>
      </c>
      <c r="BS225" s="131"/>
      <c r="BT225" s="131"/>
      <c r="BU225" s="131"/>
      <c r="BV225" s="131"/>
      <c r="BW225" s="131"/>
      <c r="BX225" s="131"/>
      <c r="BY225" s="131"/>
      <c r="CH225" s="9"/>
      <c r="CW225" s="157">
        <f t="shared" si="214"/>
        <v>0</v>
      </c>
      <c r="CX225" s="157">
        <f t="shared" si="215"/>
        <v>0</v>
      </c>
      <c r="CY225" s="157">
        <f t="shared" si="216"/>
        <v>0</v>
      </c>
      <c r="CZ225" s="157">
        <f t="shared" si="217"/>
        <v>0</v>
      </c>
      <c r="DA225" s="157">
        <f t="shared" si="218"/>
        <v>0</v>
      </c>
      <c r="DB225" s="157">
        <f t="shared" si="219"/>
        <v>0</v>
      </c>
      <c r="DC225" s="157">
        <f t="shared" si="220"/>
        <v>0</v>
      </c>
      <c r="DD225" s="157">
        <f t="shared" si="221"/>
        <v>0</v>
      </c>
      <c r="DE225" s="157">
        <f t="shared" si="222"/>
        <v>0</v>
      </c>
      <c r="DF225" s="157">
        <f t="shared" si="223"/>
        <v>0</v>
      </c>
      <c r="DG225" s="157">
        <f t="shared" si="224"/>
        <v>0</v>
      </c>
      <c r="DH225" s="157">
        <f t="shared" si="225"/>
        <v>0</v>
      </c>
      <c r="DI225" s="157">
        <f t="shared" si="226"/>
        <v>0</v>
      </c>
      <c r="DJ225" s="157">
        <f t="shared" si="227"/>
        <v>0</v>
      </c>
      <c r="DK225" s="157">
        <f t="shared" si="228"/>
        <v>0</v>
      </c>
      <c r="DL225" s="157">
        <f t="shared" si="229"/>
        <v>0</v>
      </c>
      <c r="DM225" s="157">
        <f t="shared" si="230"/>
        <v>0</v>
      </c>
      <c r="DN225" s="157">
        <f t="shared" si="231"/>
        <v>0</v>
      </c>
      <c r="DO225" s="157">
        <f t="shared" si="232"/>
        <v>0</v>
      </c>
      <c r="DP225" s="157">
        <f t="shared" si="233"/>
        <v>0</v>
      </c>
      <c r="FM225" s="170" t="e">
        <f t="shared" si="234"/>
        <v>#DIV/0!</v>
      </c>
      <c r="FN225" s="170" t="e">
        <f t="shared" si="235"/>
        <v>#DIV/0!</v>
      </c>
      <c r="FO225" s="172" t="e">
        <f t="shared" si="236"/>
        <v>#DIV/0!</v>
      </c>
      <c r="FP225" s="172" t="e">
        <f t="shared" si="237"/>
        <v>#DIV/0!</v>
      </c>
      <c r="FQ225" s="173" t="e">
        <f t="shared" si="238"/>
        <v>#DIV/0!</v>
      </c>
    </row>
    <row r="226" spans="2:173" x14ac:dyDescent="0.25">
      <c r="B226" s="84" t="s">
        <v>343</v>
      </c>
      <c r="BS226" s="131"/>
      <c r="BT226" s="131"/>
      <c r="BU226" s="131"/>
      <c r="BV226" s="131"/>
      <c r="BW226" s="131"/>
      <c r="BX226" s="131"/>
      <c r="BY226" s="131"/>
      <c r="CH226" s="9"/>
      <c r="CW226" s="157">
        <f t="shared" si="214"/>
        <v>0</v>
      </c>
      <c r="CX226" s="157">
        <f t="shared" si="215"/>
        <v>0</v>
      </c>
      <c r="CY226" s="157">
        <f t="shared" si="216"/>
        <v>0</v>
      </c>
      <c r="CZ226" s="157">
        <f t="shared" si="217"/>
        <v>0</v>
      </c>
      <c r="DA226" s="157">
        <f t="shared" si="218"/>
        <v>0</v>
      </c>
      <c r="DB226" s="157">
        <f t="shared" si="219"/>
        <v>0</v>
      </c>
      <c r="DC226" s="157">
        <f t="shared" si="220"/>
        <v>0</v>
      </c>
      <c r="DD226" s="157">
        <f t="shared" si="221"/>
        <v>0</v>
      </c>
      <c r="DE226" s="157">
        <f t="shared" si="222"/>
        <v>0</v>
      </c>
      <c r="DF226" s="157">
        <f t="shared" si="223"/>
        <v>0</v>
      </c>
      <c r="DG226" s="157">
        <f t="shared" si="224"/>
        <v>0</v>
      </c>
      <c r="DH226" s="157">
        <f t="shared" si="225"/>
        <v>0</v>
      </c>
      <c r="DI226" s="157">
        <f t="shared" si="226"/>
        <v>0</v>
      </c>
      <c r="DJ226" s="157">
        <f t="shared" si="227"/>
        <v>0</v>
      </c>
      <c r="DK226" s="157">
        <f t="shared" si="228"/>
        <v>0</v>
      </c>
      <c r="DL226" s="157">
        <f t="shared" si="229"/>
        <v>0</v>
      </c>
      <c r="DM226" s="157">
        <f t="shared" si="230"/>
        <v>0</v>
      </c>
      <c r="DN226" s="157">
        <f t="shared" si="231"/>
        <v>0</v>
      </c>
      <c r="DO226" s="157">
        <f t="shared" si="232"/>
        <v>0</v>
      </c>
      <c r="DP226" s="157">
        <f t="shared" si="233"/>
        <v>0</v>
      </c>
      <c r="FM226" s="170" t="e">
        <f t="shared" si="234"/>
        <v>#DIV/0!</v>
      </c>
      <c r="FN226" s="170" t="e">
        <f t="shared" si="235"/>
        <v>#DIV/0!</v>
      </c>
      <c r="FO226" s="172" t="e">
        <f t="shared" si="236"/>
        <v>#DIV/0!</v>
      </c>
      <c r="FP226" s="172" t="e">
        <f t="shared" si="237"/>
        <v>#DIV/0!</v>
      </c>
      <c r="FQ226" s="173" t="e">
        <f t="shared" si="238"/>
        <v>#DIV/0!</v>
      </c>
    </row>
    <row r="227" spans="2:173" x14ac:dyDescent="0.25">
      <c r="B227" s="84" t="s">
        <v>343</v>
      </c>
      <c r="BS227" s="131"/>
      <c r="BT227" s="131"/>
      <c r="BU227" s="131"/>
      <c r="BV227" s="131"/>
      <c r="BW227" s="131"/>
      <c r="BX227" s="131"/>
      <c r="BY227" s="131"/>
      <c r="CH227" s="9"/>
      <c r="CW227" s="157">
        <f t="shared" si="214"/>
        <v>0</v>
      </c>
      <c r="CX227" s="157">
        <f t="shared" si="215"/>
        <v>0</v>
      </c>
      <c r="CY227" s="157">
        <f t="shared" si="216"/>
        <v>0</v>
      </c>
      <c r="CZ227" s="157">
        <f t="shared" si="217"/>
        <v>0</v>
      </c>
      <c r="DA227" s="157">
        <f t="shared" si="218"/>
        <v>0</v>
      </c>
      <c r="DB227" s="157">
        <f t="shared" si="219"/>
        <v>0</v>
      </c>
      <c r="DC227" s="157">
        <f t="shared" si="220"/>
        <v>0</v>
      </c>
      <c r="DD227" s="157">
        <f t="shared" si="221"/>
        <v>0</v>
      </c>
      <c r="DE227" s="157">
        <f t="shared" si="222"/>
        <v>0</v>
      </c>
      <c r="DF227" s="157">
        <f t="shared" si="223"/>
        <v>0</v>
      </c>
      <c r="DG227" s="157">
        <f t="shared" si="224"/>
        <v>0</v>
      </c>
      <c r="DH227" s="157">
        <f t="shared" si="225"/>
        <v>0</v>
      </c>
      <c r="DI227" s="157">
        <f t="shared" si="226"/>
        <v>0</v>
      </c>
      <c r="DJ227" s="157">
        <f t="shared" si="227"/>
        <v>0</v>
      </c>
      <c r="DK227" s="157">
        <f t="shared" si="228"/>
        <v>0</v>
      </c>
      <c r="DL227" s="157">
        <f t="shared" si="229"/>
        <v>0</v>
      </c>
      <c r="DM227" s="157">
        <f t="shared" si="230"/>
        <v>0</v>
      </c>
      <c r="DN227" s="157">
        <f t="shared" si="231"/>
        <v>0</v>
      </c>
      <c r="DO227" s="157">
        <f t="shared" si="232"/>
        <v>0</v>
      </c>
      <c r="DP227" s="157">
        <f t="shared" si="233"/>
        <v>0</v>
      </c>
      <c r="FM227" s="170" t="e">
        <f t="shared" si="234"/>
        <v>#DIV/0!</v>
      </c>
      <c r="FN227" s="170" t="e">
        <f t="shared" si="235"/>
        <v>#DIV/0!</v>
      </c>
      <c r="FO227" s="172" t="e">
        <f t="shared" si="236"/>
        <v>#DIV/0!</v>
      </c>
      <c r="FP227" s="172" t="e">
        <f t="shared" si="237"/>
        <v>#DIV/0!</v>
      </c>
      <c r="FQ227" s="173" t="e">
        <f t="shared" si="238"/>
        <v>#DIV/0!</v>
      </c>
    </row>
    <row r="228" spans="2:173" x14ac:dyDescent="0.25">
      <c r="B228" s="84" t="s">
        <v>343</v>
      </c>
      <c r="BS228" s="131"/>
      <c r="BT228" s="131"/>
      <c r="BU228" s="131"/>
      <c r="BV228" s="131"/>
      <c r="BW228" s="131"/>
      <c r="BX228" s="131"/>
      <c r="BY228" s="131"/>
      <c r="CH228" s="9"/>
      <c r="CW228" s="157">
        <f t="shared" si="214"/>
        <v>0</v>
      </c>
      <c r="CX228" s="157">
        <f t="shared" si="215"/>
        <v>0</v>
      </c>
      <c r="CY228" s="157">
        <f t="shared" si="216"/>
        <v>0</v>
      </c>
      <c r="CZ228" s="157">
        <f t="shared" si="217"/>
        <v>0</v>
      </c>
      <c r="DA228" s="157">
        <f t="shared" si="218"/>
        <v>0</v>
      </c>
      <c r="DB228" s="157">
        <f t="shared" si="219"/>
        <v>0</v>
      </c>
      <c r="DC228" s="157">
        <f t="shared" si="220"/>
        <v>0</v>
      </c>
      <c r="DD228" s="157">
        <f t="shared" si="221"/>
        <v>0</v>
      </c>
      <c r="DE228" s="157">
        <f t="shared" si="222"/>
        <v>0</v>
      </c>
      <c r="DF228" s="157">
        <f t="shared" si="223"/>
        <v>0</v>
      </c>
      <c r="DG228" s="157">
        <f t="shared" si="224"/>
        <v>0</v>
      </c>
      <c r="DH228" s="157">
        <f t="shared" si="225"/>
        <v>0</v>
      </c>
      <c r="DI228" s="157">
        <f t="shared" si="226"/>
        <v>0</v>
      </c>
      <c r="DJ228" s="157">
        <f t="shared" si="227"/>
        <v>0</v>
      </c>
      <c r="DK228" s="157">
        <f t="shared" si="228"/>
        <v>0</v>
      </c>
      <c r="DL228" s="157">
        <f t="shared" si="229"/>
        <v>0</v>
      </c>
      <c r="DM228" s="157">
        <f t="shared" si="230"/>
        <v>0</v>
      </c>
      <c r="DN228" s="157">
        <f t="shared" si="231"/>
        <v>0</v>
      </c>
      <c r="DO228" s="157">
        <f t="shared" si="232"/>
        <v>0</v>
      </c>
      <c r="DP228" s="157">
        <f t="shared" si="233"/>
        <v>0</v>
      </c>
      <c r="FM228" s="170" t="e">
        <f t="shared" si="234"/>
        <v>#DIV/0!</v>
      </c>
      <c r="FN228" s="170" t="e">
        <f t="shared" si="235"/>
        <v>#DIV/0!</v>
      </c>
      <c r="FO228" s="172" t="e">
        <f t="shared" si="236"/>
        <v>#DIV/0!</v>
      </c>
      <c r="FP228" s="172" t="e">
        <f t="shared" si="237"/>
        <v>#DIV/0!</v>
      </c>
      <c r="FQ228" s="173" t="e">
        <f t="shared" si="238"/>
        <v>#DIV/0!</v>
      </c>
    </row>
    <row r="229" spans="2:173" x14ac:dyDescent="0.25">
      <c r="B229" s="84"/>
      <c r="BS229" s="131"/>
      <c r="BT229" s="131"/>
      <c r="BU229" s="131"/>
      <c r="BV229" s="131"/>
      <c r="BW229" s="131"/>
      <c r="BX229" s="131"/>
      <c r="BY229" s="131"/>
      <c r="CH229" s="9"/>
    </row>
    <row r="230" spans="2:173" x14ac:dyDescent="0.25">
      <c r="B230" s="84"/>
      <c r="BS230" s="131"/>
      <c r="BT230" s="131"/>
      <c r="BU230" s="131"/>
      <c r="BV230" s="131"/>
      <c r="BW230" s="131"/>
      <c r="BX230" s="131"/>
      <c r="BY230" s="131"/>
      <c r="CH230" s="9"/>
    </row>
    <row r="231" spans="2:173" x14ac:dyDescent="0.25">
      <c r="B231" s="54" t="s">
        <v>164</v>
      </c>
      <c r="BS231" s="131"/>
      <c r="BT231" s="131"/>
      <c r="BU231" s="131"/>
      <c r="BV231" s="131"/>
      <c r="BW231" s="131"/>
      <c r="BX231" s="131"/>
      <c r="BY231" s="131"/>
      <c r="CH231" s="9"/>
      <c r="DV231" s="52" t="s">
        <v>165</v>
      </c>
      <c r="DW231" s="52" t="s">
        <v>166</v>
      </c>
      <c r="DX231" s="52" t="s">
        <v>167</v>
      </c>
    </row>
    <row r="232" spans="2:173" ht="14.4" x14ac:dyDescent="0.3">
      <c r="B232" s="55" t="s">
        <v>160</v>
      </c>
      <c r="BS232" s="131"/>
      <c r="BT232" s="131"/>
      <c r="BU232" s="131"/>
      <c r="BV232" s="131"/>
      <c r="BW232" s="131"/>
      <c r="BX232" s="131"/>
      <c r="BY232" s="131"/>
      <c r="CH232" s="9"/>
      <c r="DV232" s="127">
        <f>0.000027</f>
        <v>2.6999999999999999E-5</v>
      </c>
      <c r="DW232" s="127">
        <v>-1.5318E-2</v>
      </c>
      <c r="DX232" s="128">
        <v>4.1143020000000003</v>
      </c>
    </row>
    <row r="233" spans="2:173" ht="14.4" x14ac:dyDescent="0.3">
      <c r="B233" s="55" t="s">
        <v>161</v>
      </c>
      <c r="BS233" s="131"/>
      <c r="BT233" s="131"/>
      <c r="BU233" s="131"/>
      <c r="BV233" s="131"/>
      <c r="BW233" s="131"/>
      <c r="BX233" s="131"/>
      <c r="BY233" s="131"/>
      <c r="CH233" s="9"/>
      <c r="DV233" s="127">
        <f>0.00004</f>
        <v>4.0000000000000003E-5</v>
      </c>
      <c r="DW233" s="127">
        <v>-1.9913E-2</v>
      </c>
      <c r="DX233" s="128">
        <v>4.3697429999999997</v>
      </c>
    </row>
    <row r="234" spans="2:173" ht="14.4" x14ac:dyDescent="0.3">
      <c r="B234" s="55" t="s">
        <v>162</v>
      </c>
      <c r="CH234" s="9"/>
      <c r="DV234" s="127">
        <f>0.000033</f>
        <v>3.3000000000000003E-5</v>
      </c>
      <c r="DW234" s="127">
        <v>-1.7616E-2</v>
      </c>
      <c r="DX234" s="128">
        <v>4.2420229999999997</v>
      </c>
    </row>
    <row r="235" spans="2:173" ht="14.4" x14ac:dyDescent="0.3">
      <c r="B235" s="55" t="s">
        <v>163</v>
      </c>
      <c r="CH235" s="9"/>
      <c r="DV235" s="127"/>
      <c r="DW235" s="127">
        <f xml:space="preserve"> -0.006993</f>
        <v>-6.9930000000000001E-3</v>
      </c>
      <c r="DX235" s="128">
        <v>3.7038530000000001</v>
      </c>
    </row>
    <row r="236" spans="2:173" ht="14.4" x14ac:dyDescent="0.3">
      <c r="B236" s="56" t="s">
        <v>168</v>
      </c>
      <c r="CH236" s="9"/>
      <c r="DV236" s="127">
        <f xml:space="preserve"> 0.0000335</f>
        <v>3.3500000000000001E-5</v>
      </c>
      <c r="DW236" s="127">
        <f>- 0.0182435</f>
        <v>-1.8243499999999999E-2</v>
      </c>
      <c r="DX236" s="128">
        <v>4.4442051999999999</v>
      </c>
    </row>
    <row r="237" spans="2:173" ht="14.4" x14ac:dyDescent="0.3">
      <c r="B237" s="56" t="s">
        <v>169</v>
      </c>
      <c r="DV237" s="127"/>
      <c r="DW237" s="127">
        <f xml:space="preserve"> -0.006472</f>
        <v>-6.4720000000000003E-3</v>
      </c>
      <c r="DX237" s="128">
        <v>3.4834800000000001</v>
      </c>
    </row>
    <row r="238" spans="2:173" ht="14.4" x14ac:dyDescent="0.3">
      <c r="B238" s="56" t="s">
        <v>159</v>
      </c>
      <c r="DV238" s="127">
        <f xml:space="preserve"> 0.0000361</f>
        <v>3.6100000000000003E-5</v>
      </c>
      <c r="DW238" s="127">
        <v>-1.9140600000000001E-2</v>
      </c>
      <c r="DX238" s="128">
        <v>4.4392250000000004</v>
      </c>
    </row>
  </sheetData>
  <phoneticPr fontId="0" type="noConversion"/>
  <pageMargins left="0.75" right="0.75" top="1" bottom="1" header="0.5" footer="0.5"/>
  <pageSetup orientation="portrait" r:id="rId1"/>
  <headerFooter alignWithMargins="0"/>
  <ignoredErrors>
    <ignoredError sqref="F176 D176:E177 F177:Y177 Z177:DK177 DQ177:DS177 DU177:DV177 DX177:EF177 EH177:EJ177 FG177:FN177" unlocked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DF512-8CFC-44FB-B435-831B0526254A}">
  <sheetPr codeName="Sheet8"/>
  <dimension ref="A1:S32"/>
  <sheetViews>
    <sheetView workbookViewId="0">
      <selection activeCell="N7" sqref="N7"/>
    </sheetView>
  </sheetViews>
  <sheetFormatPr defaultRowHeight="13.2" x14ac:dyDescent="0.25"/>
  <cols>
    <col min="1" max="1" width="2.77734375" style="337" customWidth="1"/>
    <col min="2" max="3" width="11.77734375" style="337" customWidth="1"/>
    <col min="4" max="4" width="11.5546875" style="337" customWidth="1"/>
    <col min="5" max="5" width="10.21875" style="337" hidden="1" customWidth="1"/>
    <col min="6" max="6" width="3" style="337" bestFit="1" customWidth="1"/>
    <col min="7" max="9" width="11.77734375" style="337" customWidth="1"/>
    <col min="10" max="10" width="8.77734375" style="337" hidden="1" customWidth="1"/>
    <col min="11" max="11" width="3.21875" style="337" customWidth="1"/>
    <col min="12" max="13" width="11.77734375" style="337" customWidth="1"/>
    <col min="14" max="14" width="12.88671875" style="337" customWidth="1"/>
    <col min="15" max="15" width="8.77734375" style="337" customWidth="1"/>
    <col min="16" max="16" width="3.21875" style="337" customWidth="1"/>
    <col min="17" max="17" width="11.21875" style="337" bestFit="1" customWidth="1"/>
    <col min="18" max="256" width="8.88671875" style="337"/>
    <col min="257" max="257" width="2.77734375" style="337" customWidth="1"/>
    <col min="258" max="259" width="11.77734375" style="337" customWidth="1"/>
    <col min="260" max="260" width="11.5546875" style="337" customWidth="1"/>
    <col min="261" max="261" width="0" style="337" hidden="1" customWidth="1"/>
    <col min="262" max="262" width="3" style="337" bestFit="1" customWidth="1"/>
    <col min="263" max="265" width="11.77734375" style="337" customWidth="1"/>
    <col min="266" max="266" width="0" style="337" hidden="1" customWidth="1"/>
    <col min="267" max="267" width="3.21875" style="337" customWidth="1"/>
    <col min="268" max="270" width="11.77734375" style="337" customWidth="1"/>
    <col min="271" max="271" width="0" style="337" hidden="1" customWidth="1"/>
    <col min="272" max="272" width="3.21875" style="337" customWidth="1"/>
    <col min="273" max="273" width="11.21875" style="337" bestFit="1" customWidth="1"/>
    <col min="274" max="512" width="8.88671875" style="337"/>
    <col min="513" max="513" width="2.77734375" style="337" customWidth="1"/>
    <col min="514" max="515" width="11.77734375" style="337" customWidth="1"/>
    <col min="516" max="516" width="11.5546875" style="337" customWidth="1"/>
    <col min="517" max="517" width="0" style="337" hidden="1" customWidth="1"/>
    <col min="518" max="518" width="3" style="337" bestFit="1" customWidth="1"/>
    <col min="519" max="521" width="11.77734375" style="337" customWidth="1"/>
    <col min="522" max="522" width="0" style="337" hidden="1" customWidth="1"/>
    <col min="523" max="523" width="3.21875" style="337" customWidth="1"/>
    <col min="524" max="526" width="11.77734375" style="337" customWidth="1"/>
    <col min="527" max="527" width="0" style="337" hidden="1" customWidth="1"/>
    <col min="528" max="528" width="3.21875" style="337" customWidth="1"/>
    <col min="529" max="529" width="11.21875" style="337" bestFit="1" customWidth="1"/>
    <col min="530" max="768" width="8.88671875" style="337"/>
    <col min="769" max="769" width="2.77734375" style="337" customWidth="1"/>
    <col min="770" max="771" width="11.77734375" style="337" customWidth="1"/>
    <col min="772" max="772" width="11.5546875" style="337" customWidth="1"/>
    <col min="773" max="773" width="0" style="337" hidden="1" customWidth="1"/>
    <col min="774" max="774" width="3" style="337" bestFit="1" customWidth="1"/>
    <col min="775" max="777" width="11.77734375" style="337" customWidth="1"/>
    <col min="778" max="778" width="0" style="337" hidden="1" customWidth="1"/>
    <col min="779" max="779" width="3.21875" style="337" customWidth="1"/>
    <col min="780" max="782" width="11.77734375" style="337" customWidth="1"/>
    <col min="783" max="783" width="0" style="337" hidden="1" customWidth="1"/>
    <col min="784" max="784" width="3.21875" style="337" customWidth="1"/>
    <col min="785" max="785" width="11.21875" style="337" bestFit="1" customWidth="1"/>
    <col min="786" max="1024" width="8.88671875" style="337"/>
    <col min="1025" max="1025" width="2.77734375" style="337" customWidth="1"/>
    <col min="1026" max="1027" width="11.77734375" style="337" customWidth="1"/>
    <col min="1028" max="1028" width="11.5546875" style="337" customWidth="1"/>
    <col min="1029" max="1029" width="0" style="337" hidden="1" customWidth="1"/>
    <col min="1030" max="1030" width="3" style="337" bestFit="1" customWidth="1"/>
    <col min="1031" max="1033" width="11.77734375" style="337" customWidth="1"/>
    <col min="1034" max="1034" width="0" style="337" hidden="1" customWidth="1"/>
    <col min="1035" max="1035" width="3.21875" style="337" customWidth="1"/>
    <col min="1036" max="1038" width="11.77734375" style="337" customWidth="1"/>
    <col min="1039" max="1039" width="0" style="337" hidden="1" customWidth="1"/>
    <col min="1040" max="1040" width="3.21875" style="337" customWidth="1"/>
    <col min="1041" max="1041" width="11.21875" style="337" bestFit="1" customWidth="1"/>
    <col min="1042" max="1280" width="8.88671875" style="337"/>
    <col min="1281" max="1281" width="2.77734375" style="337" customWidth="1"/>
    <col min="1282" max="1283" width="11.77734375" style="337" customWidth="1"/>
    <col min="1284" max="1284" width="11.5546875" style="337" customWidth="1"/>
    <col min="1285" max="1285" width="0" style="337" hidden="1" customWidth="1"/>
    <col min="1286" max="1286" width="3" style="337" bestFit="1" customWidth="1"/>
    <col min="1287" max="1289" width="11.77734375" style="337" customWidth="1"/>
    <col min="1290" max="1290" width="0" style="337" hidden="1" customWidth="1"/>
    <col min="1291" max="1291" width="3.21875" style="337" customWidth="1"/>
    <col min="1292" max="1294" width="11.77734375" style="337" customWidth="1"/>
    <col min="1295" max="1295" width="0" style="337" hidden="1" customWidth="1"/>
    <col min="1296" max="1296" width="3.21875" style="337" customWidth="1"/>
    <col min="1297" max="1297" width="11.21875" style="337" bestFit="1" customWidth="1"/>
    <col min="1298" max="1536" width="8.88671875" style="337"/>
    <col min="1537" max="1537" width="2.77734375" style="337" customWidth="1"/>
    <col min="1538" max="1539" width="11.77734375" style="337" customWidth="1"/>
    <col min="1540" max="1540" width="11.5546875" style="337" customWidth="1"/>
    <col min="1541" max="1541" width="0" style="337" hidden="1" customWidth="1"/>
    <col min="1542" max="1542" width="3" style="337" bestFit="1" customWidth="1"/>
    <col min="1543" max="1545" width="11.77734375" style="337" customWidth="1"/>
    <col min="1546" max="1546" width="0" style="337" hidden="1" customWidth="1"/>
    <col min="1547" max="1547" width="3.21875" style="337" customWidth="1"/>
    <col min="1548" max="1550" width="11.77734375" style="337" customWidth="1"/>
    <col min="1551" max="1551" width="0" style="337" hidden="1" customWidth="1"/>
    <col min="1552" max="1552" width="3.21875" style="337" customWidth="1"/>
    <col min="1553" max="1553" width="11.21875" style="337" bestFit="1" customWidth="1"/>
    <col min="1554" max="1792" width="8.88671875" style="337"/>
    <col min="1793" max="1793" width="2.77734375" style="337" customWidth="1"/>
    <col min="1794" max="1795" width="11.77734375" style="337" customWidth="1"/>
    <col min="1796" max="1796" width="11.5546875" style="337" customWidth="1"/>
    <col min="1797" max="1797" width="0" style="337" hidden="1" customWidth="1"/>
    <col min="1798" max="1798" width="3" style="337" bestFit="1" customWidth="1"/>
    <col min="1799" max="1801" width="11.77734375" style="337" customWidth="1"/>
    <col min="1802" max="1802" width="0" style="337" hidden="1" customWidth="1"/>
    <col min="1803" max="1803" width="3.21875" style="337" customWidth="1"/>
    <col min="1804" max="1806" width="11.77734375" style="337" customWidth="1"/>
    <col min="1807" max="1807" width="0" style="337" hidden="1" customWidth="1"/>
    <col min="1808" max="1808" width="3.21875" style="337" customWidth="1"/>
    <col min="1809" max="1809" width="11.21875" style="337" bestFit="1" customWidth="1"/>
    <col min="1810" max="2048" width="8.88671875" style="337"/>
    <col min="2049" max="2049" width="2.77734375" style="337" customWidth="1"/>
    <col min="2050" max="2051" width="11.77734375" style="337" customWidth="1"/>
    <col min="2052" max="2052" width="11.5546875" style="337" customWidth="1"/>
    <col min="2053" max="2053" width="0" style="337" hidden="1" customWidth="1"/>
    <col min="2054" max="2054" width="3" style="337" bestFit="1" customWidth="1"/>
    <col min="2055" max="2057" width="11.77734375" style="337" customWidth="1"/>
    <col min="2058" max="2058" width="0" style="337" hidden="1" customWidth="1"/>
    <col min="2059" max="2059" width="3.21875" style="337" customWidth="1"/>
    <col min="2060" max="2062" width="11.77734375" style="337" customWidth="1"/>
    <col min="2063" max="2063" width="0" style="337" hidden="1" customWidth="1"/>
    <col min="2064" max="2064" width="3.21875" style="337" customWidth="1"/>
    <col min="2065" max="2065" width="11.21875" style="337" bestFit="1" customWidth="1"/>
    <col min="2066" max="2304" width="8.88671875" style="337"/>
    <col min="2305" max="2305" width="2.77734375" style="337" customWidth="1"/>
    <col min="2306" max="2307" width="11.77734375" style="337" customWidth="1"/>
    <col min="2308" max="2308" width="11.5546875" style="337" customWidth="1"/>
    <col min="2309" max="2309" width="0" style="337" hidden="1" customWidth="1"/>
    <col min="2310" max="2310" width="3" style="337" bestFit="1" customWidth="1"/>
    <col min="2311" max="2313" width="11.77734375" style="337" customWidth="1"/>
    <col min="2314" max="2314" width="0" style="337" hidden="1" customWidth="1"/>
    <col min="2315" max="2315" width="3.21875" style="337" customWidth="1"/>
    <col min="2316" max="2318" width="11.77734375" style="337" customWidth="1"/>
    <col min="2319" max="2319" width="0" style="337" hidden="1" customWidth="1"/>
    <col min="2320" max="2320" width="3.21875" style="337" customWidth="1"/>
    <col min="2321" max="2321" width="11.21875" style="337" bestFit="1" customWidth="1"/>
    <col min="2322" max="2560" width="8.88671875" style="337"/>
    <col min="2561" max="2561" width="2.77734375" style="337" customWidth="1"/>
    <col min="2562" max="2563" width="11.77734375" style="337" customWidth="1"/>
    <col min="2564" max="2564" width="11.5546875" style="337" customWidth="1"/>
    <col min="2565" max="2565" width="0" style="337" hidden="1" customWidth="1"/>
    <col min="2566" max="2566" width="3" style="337" bestFit="1" customWidth="1"/>
    <col min="2567" max="2569" width="11.77734375" style="337" customWidth="1"/>
    <col min="2570" max="2570" width="0" style="337" hidden="1" customWidth="1"/>
    <col min="2571" max="2571" width="3.21875" style="337" customWidth="1"/>
    <col min="2572" max="2574" width="11.77734375" style="337" customWidth="1"/>
    <col min="2575" max="2575" width="0" style="337" hidden="1" customWidth="1"/>
    <col min="2576" max="2576" width="3.21875" style="337" customWidth="1"/>
    <col min="2577" max="2577" width="11.21875" style="337" bestFit="1" customWidth="1"/>
    <col min="2578" max="2816" width="8.88671875" style="337"/>
    <col min="2817" max="2817" width="2.77734375" style="337" customWidth="1"/>
    <col min="2818" max="2819" width="11.77734375" style="337" customWidth="1"/>
    <col min="2820" max="2820" width="11.5546875" style="337" customWidth="1"/>
    <col min="2821" max="2821" width="0" style="337" hidden="1" customWidth="1"/>
    <col min="2822" max="2822" width="3" style="337" bestFit="1" customWidth="1"/>
    <col min="2823" max="2825" width="11.77734375" style="337" customWidth="1"/>
    <col min="2826" max="2826" width="0" style="337" hidden="1" customWidth="1"/>
    <col min="2827" max="2827" width="3.21875" style="337" customWidth="1"/>
    <col min="2828" max="2830" width="11.77734375" style="337" customWidth="1"/>
    <col min="2831" max="2831" width="0" style="337" hidden="1" customWidth="1"/>
    <col min="2832" max="2832" width="3.21875" style="337" customWidth="1"/>
    <col min="2833" max="2833" width="11.21875" style="337" bestFit="1" customWidth="1"/>
    <col min="2834" max="3072" width="8.88671875" style="337"/>
    <col min="3073" max="3073" width="2.77734375" style="337" customWidth="1"/>
    <col min="3074" max="3075" width="11.77734375" style="337" customWidth="1"/>
    <col min="3076" max="3076" width="11.5546875" style="337" customWidth="1"/>
    <col min="3077" max="3077" width="0" style="337" hidden="1" customWidth="1"/>
    <col min="3078" max="3078" width="3" style="337" bestFit="1" customWidth="1"/>
    <col min="3079" max="3081" width="11.77734375" style="337" customWidth="1"/>
    <col min="3082" max="3082" width="0" style="337" hidden="1" customWidth="1"/>
    <col min="3083" max="3083" width="3.21875" style="337" customWidth="1"/>
    <col min="3084" max="3086" width="11.77734375" style="337" customWidth="1"/>
    <col min="3087" max="3087" width="0" style="337" hidden="1" customWidth="1"/>
    <col min="3088" max="3088" width="3.21875" style="337" customWidth="1"/>
    <col min="3089" max="3089" width="11.21875" style="337" bestFit="1" customWidth="1"/>
    <col min="3090" max="3328" width="8.88671875" style="337"/>
    <col min="3329" max="3329" width="2.77734375" style="337" customWidth="1"/>
    <col min="3330" max="3331" width="11.77734375" style="337" customWidth="1"/>
    <col min="3332" max="3332" width="11.5546875" style="337" customWidth="1"/>
    <col min="3333" max="3333" width="0" style="337" hidden="1" customWidth="1"/>
    <col min="3334" max="3334" width="3" style="337" bestFit="1" customWidth="1"/>
    <col min="3335" max="3337" width="11.77734375" style="337" customWidth="1"/>
    <col min="3338" max="3338" width="0" style="337" hidden="1" customWidth="1"/>
    <col min="3339" max="3339" width="3.21875" style="337" customWidth="1"/>
    <col min="3340" max="3342" width="11.77734375" style="337" customWidth="1"/>
    <col min="3343" max="3343" width="0" style="337" hidden="1" customWidth="1"/>
    <col min="3344" max="3344" width="3.21875" style="337" customWidth="1"/>
    <col min="3345" max="3345" width="11.21875" style="337" bestFit="1" customWidth="1"/>
    <col min="3346" max="3584" width="8.88671875" style="337"/>
    <col min="3585" max="3585" width="2.77734375" style="337" customWidth="1"/>
    <col min="3586" max="3587" width="11.77734375" style="337" customWidth="1"/>
    <col min="3588" max="3588" width="11.5546875" style="337" customWidth="1"/>
    <col min="3589" max="3589" width="0" style="337" hidden="1" customWidth="1"/>
    <col min="3590" max="3590" width="3" style="337" bestFit="1" customWidth="1"/>
    <col min="3591" max="3593" width="11.77734375" style="337" customWidth="1"/>
    <col min="3594" max="3594" width="0" style="337" hidden="1" customWidth="1"/>
    <col min="3595" max="3595" width="3.21875" style="337" customWidth="1"/>
    <col min="3596" max="3598" width="11.77734375" style="337" customWidth="1"/>
    <col min="3599" max="3599" width="0" style="337" hidden="1" customWidth="1"/>
    <col min="3600" max="3600" width="3.21875" style="337" customWidth="1"/>
    <col min="3601" max="3601" width="11.21875" style="337" bestFit="1" customWidth="1"/>
    <col min="3602" max="3840" width="8.88671875" style="337"/>
    <col min="3841" max="3841" width="2.77734375" style="337" customWidth="1"/>
    <col min="3842" max="3843" width="11.77734375" style="337" customWidth="1"/>
    <col min="3844" max="3844" width="11.5546875" style="337" customWidth="1"/>
    <col min="3845" max="3845" width="0" style="337" hidden="1" customWidth="1"/>
    <col min="3846" max="3846" width="3" style="337" bestFit="1" customWidth="1"/>
    <col min="3847" max="3849" width="11.77734375" style="337" customWidth="1"/>
    <col min="3850" max="3850" width="0" style="337" hidden="1" customWidth="1"/>
    <col min="3851" max="3851" width="3.21875" style="337" customWidth="1"/>
    <col min="3852" max="3854" width="11.77734375" style="337" customWidth="1"/>
    <col min="3855" max="3855" width="0" style="337" hidden="1" customWidth="1"/>
    <col min="3856" max="3856" width="3.21875" style="337" customWidth="1"/>
    <col min="3857" max="3857" width="11.21875" style="337" bestFit="1" customWidth="1"/>
    <col min="3858" max="4096" width="8.88671875" style="337"/>
    <col min="4097" max="4097" width="2.77734375" style="337" customWidth="1"/>
    <col min="4098" max="4099" width="11.77734375" style="337" customWidth="1"/>
    <col min="4100" max="4100" width="11.5546875" style="337" customWidth="1"/>
    <col min="4101" max="4101" width="0" style="337" hidden="1" customWidth="1"/>
    <col min="4102" max="4102" width="3" style="337" bestFit="1" customWidth="1"/>
    <col min="4103" max="4105" width="11.77734375" style="337" customWidth="1"/>
    <col min="4106" max="4106" width="0" style="337" hidden="1" customWidth="1"/>
    <col min="4107" max="4107" width="3.21875" style="337" customWidth="1"/>
    <col min="4108" max="4110" width="11.77734375" style="337" customWidth="1"/>
    <col min="4111" max="4111" width="0" style="337" hidden="1" customWidth="1"/>
    <col min="4112" max="4112" width="3.21875" style="337" customWidth="1"/>
    <col min="4113" max="4113" width="11.21875" style="337" bestFit="1" customWidth="1"/>
    <col min="4114" max="4352" width="8.88671875" style="337"/>
    <col min="4353" max="4353" width="2.77734375" style="337" customWidth="1"/>
    <col min="4354" max="4355" width="11.77734375" style="337" customWidth="1"/>
    <col min="4356" max="4356" width="11.5546875" style="337" customWidth="1"/>
    <col min="4357" max="4357" width="0" style="337" hidden="1" customWidth="1"/>
    <col min="4358" max="4358" width="3" style="337" bestFit="1" customWidth="1"/>
    <col min="4359" max="4361" width="11.77734375" style="337" customWidth="1"/>
    <col min="4362" max="4362" width="0" style="337" hidden="1" customWidth="1"/>
    <col min="4363" max="4363" width="3.21875" style="337" customWidth="1"/>
    <col min="4364" max="4366" width="11.77734375" style="337" customWidth="1"/>
    <col min="4367" max="4367" width="0" style="337" hidden="1" customWidth="1"/>
    <col min="4368" max="4368" width="3.21875" style="337" customWidth="1"/>
    <col min="4369" max="4369" width="11.21875" style="337" bestFit="1" customWidth="1"/>
    <col min="4370" max="4608" width="8.88671875" style="337"/>
    <col min="4609" max="4609" width="2.77734375" style="337" customWidth="1"/>
    <col min="4610" max="4611" width="11.77734375" style="337" customWidth="1"/>
    <col min="4612" max="4612" width="11.5546875" style="337" customWidth="1"/>
    <col min="4613" max="4613" width="0" style="337" hidden="1" customWidth="1"/>
    <col min="4614" max="4614" width="3" style="337" bestFit="1" customWidth="1"/>
    <col min="4615" max="4617" width="11.77734375" style="337" customWidth="1"/>
    <col min="4618" max="4618" width="0" style="337" hidden="1" customWidth="1"/>
    <col min="4619" max="4619" width="3.21875" style="337" customWidth="1"/>
    <col min="4620" max="4622" width="11.77734375" style="337" customWidth="1"/>
    <col min="4623" max="4623" width="0" style="337" hidden="1" customWidth="1"/>
    <col min="4624" max="4624" width="3.21875" style="337" customWidth="1"/>
    <col min="4625" max="4625" width="11.21875" style="337" bestFit="1" customWidth="1"/>
    <col min="4626" max="4864" width="8.88671875" style="337"/>
    <col min="4865" max="4865" width="2.77734375" style="337" customWidth="1"/>
    <col min="4866" max="4867" width="11.77734375" style="337" customWidth="1"/>
    <col min="4868" max="4868" width="11.5546875" style="337" customWidth="1"/>
    <col min="4869" max="4869" width="0" style="337" hidden="1" customWidth="1"/>
    <col min="4870" max="4870" width="3" style="337" bestFit="1" customWidth="1"/>
    <col min="4871" max="4873" width="11.77734375" style="337" customWidth="1"/>
    <col min="4874" max="4874" width="0" style="337" hidden="1" customWidth="1"/>
    <col min="4875" max="4875" width="3.21875" style="337" customWidth="1"/>
    <col min="4876" max="4878" width="11.77734375" style="337" customWidth="1"/>
    <col min="4879" max="4879" width="0" style="337" hidden="1" customWidth="1"/>
    <col min="4880" max="4880" width="3.21875" style="337" customWidth="1"/>
    <col min="4881" max="4881" width="11.21875" style="337" bestFit="1" customWidth="1"/>
    <col min="4882" max="5120" width="8.88671875" style="337"/>
    <col min="5121" max="5121" width="2.77734375" style="337" customWidth="1"/>
    <col min="5122" max="5123" width="11.77734375" style="337" customWidth="1"/>
    <col min="5124" max="5124" width="11.5546875" style="337" customWidth="1"/>
    <col min="5125" max="5125" width="0" style="337" hidden="1" customWidth="1"/>
    <col min="5126" max="5126" width="3" style="337" bestFit="1" customWidth="1"/>
    <col min="5127" max="5129" width="11.77734375" style="337" customWidth="1"/>
    <col min="5130" max="5130" width="0" style="337" hidden="1" customWidth="1"/>
    <col min="5131" max="5131" width="3.21875" style="337" customWidth="1"/>
    <col min="5132" max="5134" width="11.77734375" style="337" customWidth="1"/>
    <col min="5135" max="5135" width="0" style="337" hidden="1" customWidth="1"/>
    <col min="5136" max="5136" width="3.21875" style="337" customWidth="1"/>
    <col min="5137" max="5137" width="11.21875" style="337" bestFit="1" customWidth="1"/>
    <col min="5138" max="5376" width="8.88671875" style="337"/>
    <col min="5377" max="5377" width="2.77734375" style="337" customWidth="1"/>
    <col min="5378" max="5379" width="11.77734375" style="337" customWidth="1"/>
    <col min="5380" max="5380" width="11.5546875" style="337" customWidth="1"/>
    <col min="5381" max="5381" width="0" style="337" hidden="1" customWidth="1"/>
    <col min="5382" max="5382" width="3" style="337" bestFit="1" customWidth="1"/>
    <col min="5383" max="5385" width="11.77734375" style="337" customWidth="1"/>
    <col min="5386" max="5386" width="0" style="337" hidden="1" customWidth="1"/>
    <col min="5387" max="5387" width="3.21875" style="337" customWidth="1"/>
    <col min="5388" max="5390" width="11.77734375" style="337" customWidth="1"/>
    <col min="5391" max="5391" width="0" style="337" hidden="1" customWidth="1"/>
    <col min="5392" max="5392" width="3.21875" style="337" customWidth="1"/>
    <col min="5393" max="5393" width="11.21875" style="337" bestFit="1" customWidth="1"/>
    <col min="5394" max="5632" width="8.88671875" style="337"/>
    <col min="5633" max="5633" width="2.77734375" style="337" customWidth="1"/>
    <col min="5634" max="5635" width="11.77734375" style="337" customWidth="1"/>
    <col min="5636" max="5636" width="11.5546875" style="337" customWidth="1"/>
    <col min="5637" max="5637" width="0" style="337" hidden="1" customWidth="1"/>
    <col min="5638" max="5638" width="3" style="337" bestFit="1" customWidth="1"/>
    <col min="5639" max="5641" width="11.77734375" style="337" customWidth="1"/>
    <col min="5642" max="5642" width="0" style="337" hidden="1" customWidth="1"/>
    <col min="5643" max="5643" width="3.21875" style="337" customWidth="1"/>
    <col min="5644" max="5646" width="11.77734375" style="337" customWidth="1"/>
    <col min="5647" max="5647" width="0" style="337" hidden="1" customWidth="1"/>
    <col min="5648" max="5648" width="3.21875" style="337" customWidth="1"/>
    <col min="5649" max="5649" width="11.21875" style="337" bestFit="1" customWidth="1"/>
    <col min="5650" max="5888" width="8.88671875" style="337"/>
    <col min="5889" max="5889" width="2.77734375" style="337" customWidth="1"/>
    <col min="5890" max="5891" width="11.77734375" style="337" customWidth="1"/>
    <col min="5892" max="5892" width="11.5546875" style="337" customWidth="1"/>
    <col min="5893" max="5893" width="0" style="337" hidden="1" customWidth="1"/>
    <col min="5894" max="5894" width="3" style="337" bestFit="1" customWidth="1"/>
    <col min="5895" max="5897" width="11.77734375" style="337" customWidth="1"/>
    <col min="5898" max="5898" width="0" style="337" hidden="1" customWidth="1"/>
    <col min="5899" max="5899" width="3.21875" style="337" customWidth="1"/>
    <col min="5900" max="5902" width="11.77734375" style="337" customWidth="1"/>
    <col min="5903" max="5903" width="0" style="337" hidden="1" customWidth="1"/>
    <col min="5904" max="5904" width="3.21875" style="337" customWidth="1"/>
    <col min="5905" max="5905" width="11.21875" style="337" bestFit="1" customWidth="1"/>
    <col min="5906" max="6144" width="8.88671875" style="337"/>
    <col min="6145" max="6145" width="2.77734375" style="337" customWidth="1"/>
    <col min="6146" max="6147" width="11.77734375" style="337" customWidth="1"/>
    <col min="6148" max="6148" width="11.5546875" style="337" customWidth="1"/>
    <col min="6149" max="6149" width="0" style="337" hidden="1" customWidth="1"/>
    <col min="6150" max="6150" width="3" style="337" bestFit="1" customWidth="1"/>
    <col min="6151" max="6153" width="11.77734375" style="337" customWidth="1"/>
    <col min="6154" max="6154" width="0" style="337" hidden="1" customWidth="1"/>
    <col min="6155" max="6155" width="3.21875" style="337" customWidth="1"/>
    <col min="6156" max="6158" width="11.77734375" style="337" customWidth="1"/>
    <col min="6159" max="6159" width="0" style="337" hidden="1" customWidth="1"/>
    <col min="6160" max="6160" width="3.21875" style="337" customWidth="1"/>
    <col min="6161" max="6161" width="11.21875" style="337" bestFit="1" customWidth="1"/>
    <col min="6162" max="6400" width="8.88671875" style="337"/>
    <col min="6401" max="6401" width="2.77734375" style="337" customWidth="1"/>
    <col min="6402" max="6403" width="11.77734375" style="337" customWidth="1"/>
    <col min="6404" max="6404" width="11.5546875" style="337" customWidth="1"/>
    <col min="6405" max="6405" width="0" style="337" hidden="1" customWidth="1"/>
    <col min="6406" max="6406" width="3" style="337" bestFit="1" customWidth="1"/>
    <col min="6407" max="6409" width="11.77734375" style="337" customWidth="1"/>
    <col min="6410" max="6410" width="0" style="337" hidden="1" customWidth="1"/>
    <col min="6411" max="6411" width="3.21875" style="337" customWidth="1"/>
    <col min="6412" max="6414" width="11.77734375" style="337" customWidth="1"/>
    <col min="6415" max="6415" width="0" style="337" hidden="1" customWidth="1"/>
    <col min="6416" max="6416" width="3.21875" style="337" customWidth="1"/>
    <col min="6417" max="6417" width="11.21875" style="337" bestFit="1" customWidth="1"/>
    <col min="6418" max="6656" width="8.88671875" style="337"/>
    <col min="6657" max="6657" width="2.77734375" style="337" customWidth="1"/>
    <col min="6658" max="6659" width="11.77734375" style="337" customWidth="1"/>
    <col min="6660" max="6660" width="11.5546875" style="337" customWidth="1"/>
    <col min="6661" max="6661" width="0" style="337" hidden="1" customWidth="1"/>
    <col min="6662" max="6662" width="3" style="337" bestFit="1" customWidth="1"/>
    <col min="6663" max="6665" width="11.77734375" style="337" customWidth="1"/>
    <col min="6666" max="6666" width="0" style="337" hidden="1" customWidth="1"/>
    <col min="6667" max="6667" width="3.21875" style="337" customWidth="1"/>
    <col min="6668" max="6670" width="11.77734375" style="337" customWidth="1"/>
    <col min="6671" max="6671" width="0" style="337" hidden="1" customWidth="1"/>
    <col min="6672" max="6672" width="3.21875" style="337" customWidth="1"/>
    <col min="6673" max="6673" width="11.21875" style="337" bestFit="1" customWidth="1"/>
    <col min="6674" max="6912" width="8.88671875" style="337"/>
    <col min="6913" max="6913" width="2.77734375" style="337" customWidth="1"/>
    <col min="6914" max="6915" width="11.77734375" style="337" customWidth="1"/>
    <col min="6916" max="6916" width="11.5546875" style="337" customWidth="1"/>
    <col min="6917" max="6917" width="0" style="337" hidden="1" customWidth="1"/>
    <col min="6918" max="6918" width="3" style="337" bestFit="1" customWidth="1"/>
    <col min="6919" max="6921" width="11.77734375" style="337" customWidth="1"/>
    <col min="6922" max="6922" width="0" style="337" hidden="1" customWidth="1"/>
    <col min="6923" max="6923" width="3.21875" style="337" customWidth="1"/>
    <col min="6924" max="6926" width="11.77734375" style="337" customWidth="1"/>
    <col min="6927" max="6927" width="0" style="337" hidden="1" customWidth="1"/>
    <col min="6928" max="6928" width="3.21875" style="337" customWidth="1"/>
    <col min="6929" max="6929" width="11.21875" style="337" bestFit="1" customWidth="1"/>
    <col min="6930" max="7168" width="8.88671875" style="337"/>
    <col min="7169" max="7169" width="2.77734375" style="337" customWidth="1"/>
    <col min="7170" max="7171" width="11.77734375" style="337" customWidth="1"/>
    <col min="7172" max="7172" width="11.5546875" style="337" customWidth="1"/>
    <col min="7173" max="7173" width="0" style="337" hidden="1" customWidth="1"/>
    <col min="7174" max="7174" width="3" style="337" bestFit="1" customWidth="1"/>
    <col min="7175" max="7177" width="11.77734375" style="337" customWidth="1"/>
    <col min="7178" max="7178" width="0" style="337" hidden="1" customWidth="1"/>
    <col min="7179" max="7179" width="3.21875" style="337" customWidth="1"/>
    <col min="7180" max="7182" width="11.77734375" style="337" customWidth="1"/>
    <col min="7183" max="7183" width="0" style="337" hidden="1" customWidth="1"/>
    <col min="7184" max="7184" width="3.21875" style="337" customWidth="1"/>
    <col min="7185" max="7185" width="11.21875" style="337" bestFit="1" customWidth="1"/>
    <col min="7186" max="7424" width="8.88671875" style="337"/>
    <col min="7425" max="7425" width="2.77734375" style="337" customWidth="1"/>
    <col min="7426" max="7427" width="11.77734375" style="337" customWidth="1"/>
    <col min="7428" max="7428" width="11.5546875" style="337" customWidth="1"/>
    <col min="7429" max="7429" width="0" style="337" hidden="1" customWidth="1"/>
    <col min="7430" max="7430" width="3" style="337" bestFit="1" customWidth="1"/>
    <col min="7431" max="7433" width="11.77734375" style="337" customWidth="1"/>
    <col min="7434" max="7434" width="0" style="337" hidden="1" customWidth="1"/>
    <col min="7435" max="7435" width="3.21875" style="337" customWidth="1"/>
    <col min="7436" max="7438" width="11.77734375" style="337" customWidth="1"/>
    <col min="7439" max="7439" width="0" style="337" hidden="1" customWidth="1"/>
    <col min="7440" max="7440" width="3.21875" style="337" customWidth="1"/>
    <col min="7441" max="7441" width="11.21875" style="337" bestFit="1" customWidth="1"/>
    <col min="7442" max="7680" width="8.88671875" style="337"/>
    <col min="7681" max="7681" width="2.77734375" style="337" customWidth="1"/>
    <col min="7682" max="7683" width="11.77734375" style="337" customWidth="1"/>
    <col min="7684" max="7684" width="11.5546875" style="337" customWidth="1"/>
    <col min="7685" max="7685" width="0" style="337" hidden="1" customWidth="1"/>
    <col min="7686" max="7686" width="3" style="337" bestFit="1" customWidth="1"/>
    <col min="7687" max="7689" width="11.77734375" style="337" customWidth="1"/>
    <col min="7690" max="7690" width="0" style="337" hidden="1" customWidth="1"/>
    <col min="7691" max="7691" width="3.21875" style="337" customWidth="1"/>
    <col min="7692" max="7694" width="11.77734375" style="337" customWidth="1"/>
    <col min="7695" max="7695" width="0" style="337" hidden="1" customWidth="1"/>
    <col min="7696" max="7696" width="3.21875" style="337" customWidth="1"/>
    <col min="7697" max="7697" width="11.21875" style="337" bestFit="1" customWidth="1"/>
    <col min="7698" max="7936" width="8.88671875" style="337"/>
    <col min="7937" max="7937" width="2.77734375" style="337" customWidth="1"/>
    <col min="7938" max="7939" width="11.77734375" style="337" customWidth="1"/>
    <col min="7940" max="7940" width="11.5546875" style="337" customWidth="1"/>
    <col min="7941" max="7941" width="0" style="337" hidden="1" customWidth="1"/>
    <col min="7942" max="7942" width="3" style="337" bestFit="1" customWidth="1"/>
    <col min="7943" max="7945" width="11.77734375" style="337" customWidth="1"/>
    <col min="7946" max="7946" width="0" style="337" hidden="1" customWidth="1"/>
    <col min="7947" max="7947" width="3.21875" style="337" customWidth="1"/>
    <col min="7948" max="7950" width="11.77734375" style="337" customWidth="1"/>
    <col min="7951" max="7951" width="0" style="337" hidden="1" customWidth="1"/>
    <col min="7952" max="7952" width="3.21875" style="337" customWidth="1"/>
    <col min="7953" max="7953" width="11.21875" style="337" bestFit="1" customWidth="1"/>
    <col min="7954" max="8192" width="8.88671875" style="337"/>
    <col min="8193" max="8193" width="2.77734375" style="337" customWidth="1"/>
    <col min="8194" max="8195" width="11.77734375" style="337" customWidth="1"/>
    <col min="8196" max="8196" width="11.5546875" style="337" customWidth="1"/>
    <col min="8197" max="8197" width="0" style="337" hidden="1" customWidth="1"/>
    <col min="8198" max="8198" width="3" style="337" bestFit="1" customWidth="1"/>
    <col min="8199" max="8201" width="11.77734375" style="337" customWidth="1"/>
    <col min="8202" max="8202" width="0" style="337" hidden="1" customWidth="1"/>
    <col min="8203" max="8203" width="3.21875" style="337" customWidth="1"/>
    <col min="8204" max="8206" width="11.77734375" style="337" customWidth="1"/>
    <col min="8207" max="8207" width="0" style="337" hidden="1" customWidth="1"/>
    <col min="8208" max="8208" width="3.21875" style="337" customWidth="1"/>
    <col min="8209" max="8209" width="11.21875" style="337" bestFit="1" customWidth="1"/>
    <col min="8210" max="8448" width="8.88671875" style="337"/>
    <col min="8449" max="8449" width="2.77734375" style="337" customWidth="1"/>
    <col min="8450" max="8451" width="11.77734375" style="337" customWidth="1"/>
    <col min="8452" max="8452" width="11.5546875" style="337" customWidth="1"/>
    <col min="8453" max="8453" width="0" style="337" hidden="1" customWidth="1"/>
    <col min="8454" max="8454" width="3" style="337" bestFit="1" customWidth="1"/>
    <col min="8455" max="8457" width="11.77734375" style="337" customWidth="1"/>
    <col min="8458" max="8458" width="0" style="337" hidden="1" customWidth="1"/>
    <col min="8459" max="8459" width="3.21875" style="337" customWidth="1"/>
    <col min="8460" max="8462" width="11.77734375" style="337" customWidth="1"/>
    <col min="8463" max="8463" width="0" style="337" hidden="1" customWidth="1"/>
    <col min="8464" max="8464" width="3.21875" style="337" customWidth="1"/>
    <col min="8465" max="8465" width="11.21875" style="337" bestFit="1" customWidth="1"/>
    <col min="8466" max="8704" width="8.88671875" style="337"/>
    <col min="8705" max="8705" width="2.77734375" style="337" customWidth="1"/>
    <col min="8706" max="8707" width="11.77734375" style="337" customWidth="1"/>
    <col min="8708" max="8708" width="11.5546875" style="337" customWidth="1"/>
    <col min="8709" max="8709" width="0" style="337" hidden="1" customWidth="1"/>
    <col min="8710" max="8710" width="3" style="337" bestFit="1" customWidth="1"/>
    <col min="8711" max="8713" width="11.77734375" style="337" customWidth="1"/>
    <col min="8714" max="8714" width="0" style="337" hidden="1" customWidth="1"/>
    <col min="8715" max="8715" width="3.21875" style="337" customWidth="1"/>
    <col min="8716" max="8718" width="11.77734375" style="337" customWidth="1"/>
    <col min="8719" max="8719" width="0" style="337" hidden="1" customWidth="1"/>
    <col min="8720" max="8720" width="3.21875" style="337" customWidth="1"/>
    <col min="8721" max="8721" width="11.21875" style="337" bestFit="1" customWidth="1"/>
    <col min="8722" max="8960" width="8.88671875" style="337"/>
    <col min="8961" max="8961" width="2.77734375" style="337" customWidth="1"/>
    <col min="8962" max="8963" width="11.77734375" style="337" customWidth="1"/>
    <col min="8964" max="8964" width="11.5546875" style="337" customWidth="1"/>
    <col min="8965" max="8965" width="0" style="337" hidden="1" customWidth="1"/>
    <col min="8966" max="8966" width="3" style="337" bestFit="1" customWidth="1"/>
    <col min="8967" max="8969" width="11.77734375" style="337" customWidth="1"/>
    <col min="8970" max="8970" width="0" style="337" hidden="1" customWidth="1"/>
    <col min="8971" max="8971" width="3.21875" style="337" customWidth="1"/>
    <col min="8972" max="8974" width="11.77734375" style="337" customWidth="1"/>
    <col min="8975" max="8975" width="0" style="337" hidden="1" customWidth="1"/>
    <col min="8976" max="8976" width="3.21875" style="337" customWidth="1"/>
    <col min="8977" max="8977" width="11.21875" style="337" bestFit="1" customWidth="1"/>
    <col min="8978" max="9216" width="8.88671875" style="337"/>
    <col min="9217" max="9217" width="2.77734375" style="337" customWidth="1"/>
    <col min="9218" max="9219" width="11.77734375" style="337" customWidth="1"/>
    <col min="9220" max="9220" width="11.5546875" style="337" customWidth="1"/>
    <col min="9221" max="9221" width="0" style="337" hidden="1" customWidth="1"/>
    <col min="9222" max="9222" width="3" style="337" bestFit="1" customWidth="1"/>
    <col min="9223" max="9225" width="11.77734375" style="337" customWidth="1"/>
    <col min="9226" max="9226" width="0" style="337" hidden="1" customWidth="1"/>
    <col min="9227" max="9227" width="3.21875" style="337" customWidth="1"/>
    <col min="9228" max="9230" width="11.77734375" style="337" customWidth="1"/>
    <col min="9231" max="9231" width="0" style="337" hidden="1" customWidth="1"/>
    <col min="9232" max="9232" width="3.21875" style="337" customWidth="1"/>
    <col min="9233" max="9233" width="11.21875" style="337" bestFit="1" customWidth="1"/>
    <col min="9234" max="9472" width="8.88671875" style="337"/>
    <col min="9473" max="9473" width="2.77734375" style="337" customWidth="1"/>
    <col min="9474" max="9475" width="11.77734375" style="337" customWidth="1"/>
    <col min="9476" max="9476" width="11.5546875" style="337" customWidth="1"/>
    <col min="9477" max="9477" width="0" style="337" hidden="1" customWidth="1"/>
    <col min="9478" max="9478" width="3" style="337" bestFit="1" customWidth="1"/>
    <col min="9479" max="9481" width="11.77734375" style="337" customWidth="1"/>
    <col min="9482" max="9482" width="0" style="337" hidden="1" customWidth="1"/>
    <col min="9483" max="9483" width="3.21875" style="337" customWidth="1"/>
    <col min="9484" max="9486" width="11.77734375" style="337" customWidth="1"/>
    <col min="9487" max="9487" width="0" style="337" hidden="1" customWidth="1"/>
    <col min="9488" max="9488" width="3.21875" style="337" customWidth="1"/>
    <col min="9489" max="9489" width="11.21875" style="337" bestFit="1" customWidth="1"/>
    <col min="9490" max="9728" width="8.88671875" style="337"/>
    <col min="9729" max="9729" width="2.77734375" style="337" customWidth="1"/>
    <col min="9730" max="9731" width="11.77734375" style="337" customWidth="1"/>
    <col min="9732" max="9732" width="11.5546875" style="337" customWidth="1"/>
    <col min="9733" max="9733" width="0" style="337" hidden="1" customWidth="1"/>
    <col min="9734" max="9734" width="3" style="337" bestFit="1" customWidth="1"/>
    <col min="9735" max="9737" width="11.77734375" style="337" customWidth="1"/>
    <col min="9738" max="9738" width="0" style="337" hidden="1" customWidth="1"/>
    <col min="9739" max="9739" width="3.21875" style="337" customWidth="1"/>
    <col min="9740" max="9742" width="11.77734375" style="337" customWidth="1"/>
    <col min="9743" max="9743" width="0" style="337" hidden="1" customWidth="1"/>
    <col min="9744" max="9744" width="3.21875" style="337" customWidth="1"/>
    <col min="9745" max="9745" width="11.21875" style="337" bestFit="1" customWidth="1"/>
    <col min="9746" max="9984" width="8.88671875" style="337"/>
    <col min="9985" max="9985" width="2.77734375" style="337" customWidth="1"/>
    <col min="9986" max="9987" width="11.77734375" style="337" customWidth="1"/>
    <col min="9988" max="9988" width="11.5546875" style="337" customWidth="1"/>
    <col min="9989" max="9989" width="0" style="337" hidden="1" customWidth="1"/>
    <col min="9990" max="9990" width="3" style="337" bestFit="1" customWidth="1"/>
    <col min="9991" max="9993" width="11.77734375" style="337" customWidth="1"/>
    <col min="9994" max="9994" width="0" style="337" hidden="1" customWidth="1"/>
    <col min="9995" max="9995" width="3.21875" style="337" customWidth="1"/>
    <col min="9996" max="9998" width="11.77734375" style="337" customWidth="1"/>
    <col min="9999" max="9999" width="0" style="337" hidden="1" customWidth="1"/>
    <col min="10000" max="10000" width="3.21875" style="337" customWidth="1"/>
    <col min="10001" max="10001" width="11.21875" style="337" bestFit="1" customWidth="1"/>
    <col min="10002" max="10240" width="8.88671875" style="337"/>
    <col min="10241" max="10241" width="2.77734375" style="337" customWidth="1"/>
    <col min="10242" max="10243" width="11.77734375" style="337" customWidth="1"/>
    <col min="10244" max="10244" width="11.5546875" style="337" customWidth="1"/>
    <col min="10245" max="10245" width="0" style="337" hidden="1" customWidth="1"/>
    <col min="10246" max="10246" width="3" style="337" bestFit="1" customWidth="1"/>
    <col min="10247" max="10249" width="11.77734375" style="337" customWidth="1"/>
    <col min="10250" max="10250" width="0" style="337" hidden="1" customWidth="1"/>
    <col min="10251" max="10251" width="3.21875" style="337" customWidth="1"/>
    <col min="10252" max="10254" width="11.77734375" style="337" customWidth="1"/>
    <col min="10255" max="10255" width="0" style="337" hidden="1" customWidth="1"/>
    <col min="10256" max="10256" width="3.21875" style="337" customWidth="1"/>
    <col min="10257" max="10257" width="11.21875" style="337" bestFit="1" customWidth="1"/>
    <col min="10258" max="10496" width="8.88671875" style="337"/>
    <col min="10497" max="10497" width="2.77734375" style="337" customWidth="1"/>
    <col min="10498" max="10499" width="11.77734375" style="337" customWidth="1"/>
    <col min="10500" max="10500" width="11.5546875" style="337" customWidth="1"/>
    <col min="10501" max="10501" width="0" style="337" hidden="1" customWidth="1"/>
    <col min="10502" max="10502" width="3" style="337" bestFit="1" customWidth="1"/>
    <col min="10503" max="10505" width="11.77734375" style="337" customWidth="1"/>
    <col min="10506" max="10506" width="0" style="337" hidden="1" customWidth="1"/>
    <col min="10507" max="10507" width="3.21875" style="337" customWidth="1"/>
    <col min="10508" max="10510" width="11.77734375" style="337" customWidth="1"/>
    <col min="10511" max="10511" width="0" style="337" hidden="1" customWidth="1"/>
    <col min="10512" max="10512" width="3.21875" style="337" customWidth="1"/>
    <col min="10513" max="10513" width="11.21875" style="337" bestFit="1" customWidth="1"/>
    <col min="10514" max="10752" width="8.88671875" style="337"/>
    <col min="10753" max="10753" width="2.77734375" style="337" customWidth="1"/>
    <col min="10754" max="10755" width="11.77734375" style="337" customWidth="1"/>
    <col min="10756" max="10756" width="11.5546875" style="337" customWidth="1"/>
    <col min="10757" max="10757" width="0" style="337" hidden="1" customWidth="1"/>
    <col min="10758" max="10758" width="3" style="337" bestFit="1" customWidth="1"/>
    <col min="10759" max="10761" width="11.77734375" style="337" customWidth="1"/>
    <col min="10762" max="10762" width="0" style="337" hidden="1" customWidth="1"/>
    <col min="10763" max="10763" width="3.21875" style="337" customWidth="1"/>
    <col min="10764" max="10766" width="11.77734375" style="337" customWidth="1"/>
    <col min="10767" max="10767" width="0" style="337" hidden="1" customWidth="1"/>
    <col min="10768" max="10768" width="3.21875" style="337" customWidth="1"/>
    <col min="10769" max="10769" width="11.21875" style="337" bestFit="1" customWidth="1"/>
    <col min="10770" max="11008" width="8.88671875" style="337"/>
    <col min="11009" max="11009" width="2.77734375" style="337" customWidth="1"/>
    <col min="11010" max="11011" width="11.77734375" style="337" customWidth="1"/>
    <col min="11012" max="11012" width="11.5546875" style="337" customWidth="1"/>
    <col min="11013" max="11013" width="0" style="337" hidden="1" customWidth="1"/>
    <col min="11014" max="11014" width="3" style="337" bestFit="1" customWidth="1"/>
    <col min="11015" max="11017" width="11.77734375" style="337" customWidth="1"/>
    <col min="11018" max="11018" width="0" style="337" hidden="1" customWidth="1"/>
    <col min="11019" max="11019" width="3.21875" style="337" customWidth="1"/>
    <col min="11020" max="11022" width="11.77734375" style="337" customWidth="1"/>
    <col min="11023" max="11023" width="0" style="337" hidden="1" customWidth="1"/>
    <col min="11024" max="11024" width="3.21875" style="337" customWidth="1"/>
    <col min="11025" max="11025" width="11.21875" style="337" bestFit="1" customWidth="1"/>
    <col min="11026" max="11264" width="8.88671875" style="337"/>
    <col min="11265" max="11265" width="2.77734375" style="337" customWidth="1"/>
    <col min="11266" max="11267" width="11.77734375" style="337" customWidth="1"/>
    <col min="11268" max="11268" width="11.5546875" style="337" customWidth="1"/>
    <col min="11269" max="11269" width="0" style="337" hidden="1" customWidth="1"/>
    <col min="11270" max="11270" width="3" style="337" bestFit="1" customWidth="1"/>
    <col min="11271" max="11273" width="11.77734375" style="337" customWidth="1"/>
    <col min="11274" max="11274" width="0" style="337" hidden="1" customWidth="1"/>
    <col min="11275" max="11275" width="3.21875" style="337" customWidth="1"/>
    <col min="11276" max="11278" width="11.77734375" style="337" customWidth="1"/>
    <col min="11279" max="11279" width="0" style="337" hidden="1" customWidth="1"/>
    <col min="11280" max="11280" width="3.21875" style="337" customWidth="1"/>
    <col min="11281" max="11281" width="11.21875" style="337" bestFit="1" customWidth="1"/>
    <col min="11282" max="11520" width="8.88671875" style="337"/>
    <col min="11521" max="11521" width="2.77734375" style="337" customWidth="1"/>
    <col min="11522" max="11523" width="11.77734375" style="337" customWidth="1"/>
    <col min="11524" max="11524" width="11.5546875" style="337" customWidth="1"/>
    <col min="11525" max="11525" width="0" style="337" hidden="1" customWidth="1"/>
    <col min="11526" max="11526" width="3" style="337" bestFit="1" customWidth="1"/>
    <col min="11527" max="11529" width="11.77734375" style="337" customWidth="1"/>
    <col min="11530" max="11530" width="0" style="337" hidden="1" customWidth="1"/>
    <col min="11531" max="11531" width="3.21875" style="337" customWidth="1"/>
    <col min="11532" max="11534" width="11.77734375" style="337" customWidth="1"/>
    <col min="11535" max="11535" width="0" style="337" hidden="1" customWidth="1"/>
    <col min="11536" max="11536" width="3.21875" style="337" customWidth="1"/>
    <col min="11537" max="11537" width="11.21875" style="337" bestFit="1" customWidth="1"/>
    <col min="11538" max="11776" width="8.88671875" style="337"/>
    <col min="11777" max="11777" width="2.77734375" style="337" customWidth="1"/>
    <col min="11778" max="11779" width="11.77734375" style="337" customWidth="1"/>
    <col min="11780" max="11780" width="11.5546875" style="337" customWidth="1"/>
    <col min="11781" max="11781" width="0" style="337" hidden="1" customWidth="1"/>
    <col min="11782" max="11782" width="3" style="337" bestFit="1" customWidth="1"/>
    <col min="11783" max="11785" width="11.77734375" style="337" customWidth="1"/>
    <col min="11786" max="11786" width="0" style="337" hidden="1" customWidth="1"/>
    <col min="11787" max="11787" width="3.21875" style="337" customWidth="1"/>
    <col min="11788" max="11790" width="11.77734375" style="337" customWidth="1"/>
    <col min="11791" max="11791" width="0" style="337" hidden="1" customWidth="1"/>
    <col min="11792" max="11792" width="3.21875" style="337" customWidth="1"/>
    <col min="11793" max="11793" width="11.21875" style="337" bestFit="1" customWidth="1"/>
    <col min="11794" max="12032" width="8.88671875" style="337"/>
    <col min="12033" max="12033" width="2.77734375" style="337" customWidth="1"/>
    <col min="12034" max="12035" width="11.77734375" style="337" customWidth="1"/>
    <col min="12036" max="12036" width="11.5546875" style="337" customWidth="1"/>
    <col min="12037" max="12037" width="0" style="337" hidden="1" customWidth="1"/>
    <col min="12038" max="12038" width="3" style="337" bestFit="1" customWidth="1"/>
    <col min="12039" max="12041" width="11.77734375" style="337" customWidth="1"/>
    <col min="12042" max="12042" width="0" style="337" hidden="1" customWidth="1"/>
    <col min="12043" max="12043" width="3.21875" style="337" customWidth="1"/>
    <col min="12044" max="12046" width="11.77734375" style="337" customWidth="1"/>
    <col min="12047" max="12047" width="0" style="337" hidden="1" customWidth="1"/>
    <col min="12048" max="12048" width="3.21875" style="337" customWidth="1"/>
    <col min="12049" max="12049" width="11.21875" style="337" bestFit="1" customWidth="1"/>
    <col min="12050" max="12288" width="8.88671875" style="337"/>
    <col min="12289" max="12289" width="2.77734375" style="337" customWidth="1"/>
    <col min="12290" max="12291" width="11.77734375" style="337" customWidth="1"/>
    <col min="12292" max="12292" width="11.5546875" style="337" customWidth="1"/>
    <col min="12293" max="12293" width="0" style="337" hidden="1" customWidth="1"/>
    <col min="12294" max="12294" width="3" style="337" bestFit="1" customWidth="1"/>
    <col min="12295" max="12297" width="11.77734375" style="337" customWidth="1"/>
    <col min="12298" max="12298" width="0" style="337" hidden="1" customWidth="1"/>
    <col min="12299" max="12299" width="3.21875" style="337" customWidth="1"/>
    <col min="12300" max="12302" width="11.77734375" style="337" customWidth="1"/>
    <col min="12303" max="12303" width="0" style="337" hidden="1" customWidth="1"/>
    <col min="12304" max="12304" width="3.21875" style="337" customWidth="1"/>
    <col min="12305" max="12305" width="11.21875" style="337" bestFit="1" customWidth="1"/>
    <col min="12306" max="12544" width="8.88671875" style="337"/>
    <col min="12545" max="12545" width="2.77734375" style="337" customWidth="1"/>
    <col min="12546" max="12547" width="11.77734375" style="337" customWidth="1"/>
    <col min="12548" max="12548" width="11.5546875" style="337" customWidth="1"/>
    <col min="12549" max="12549" width="0" style="337" hidden="1" customWidth="1"/>
    <col min="12550" max="12550" width="3" style="337" bestFit="1" customWidth="1"/>
    <col min="12551" max="12553" width="11.77734375" style="337" customWidth="1"/>
    <col min="12554" max="12554" width="0" style="337" hidden="1" customWidth="1"/>
    <col min="12555" max="12555" width="3.21875" style="337" customWidth="1"/>
    <col min="12556" max="12558" width="11.77734375" style="337" customWidth="1"/>
    <col min="12559" max="12559" width="0" style="337" hidden="1" customWidth="1"/>
    <col min="12560" max="12560" width="3.21875" style="337" customWidth="1"/>
    <col min="12561" max="12561" width="11.21875" style="337" bestFit="1" customWidth="1"/>
    <col min="12562" max="12800" width="8.88671875" style="337"/>
    <col min="12801" max="12801" width="2.77734375" style="337" customWidth="1"/>
    <col min="12802" max="12803" width="11.77734375" style="337" customWidth="1"/>
    <col min="12804" max="12804" width="11.5546875" style="337" customWidth="1"/>
    <col min="12805" max="12805" width="0" style="337" hidden="1" customWidth="1"/>
    <col min="12806" max="12806" width="3" style="337" bestFit="1" customWidth="1"/>
    <col min="12807" max="12809" width="11.77734375" style="337" customWidth="1"/>
    <col min="12810" max="12810" width="0" style="337" hidden="1" customWidth="1"/>
    <col min="12811" max="12811" width="3.21875" style="337" customWidth="1"/>
    <col min="12812" max="12814" width="11.77734375" style="337" customWidth="1"/>
    <col min="12815" max="12815" width="0" style="337" hidden="1" customWidth="1"/>
    <col min="12816" max="12816" width="3.21875" style="337" customWidth="1"/>
    <col min="12817" max="12817" width="11.21875" style="337" bestFit="1" customWidth="1"/>
    <col min="12818" max="13056" width="8.88671875" style="337"/>
    <col min="13057" max="13057" width="2.77734375" style="337" customWidth="1"/>
    <col min="13058" max="13059" width="11.77734375" style="337" customWidth="1"/>
    <col min="13060" max="13060" width="11.5546875" style="337" customWidth="1"/>
    <col min="13061" max="13061" width="0" style="337" hidden="1" customWidth="1"/>
    <col min="13062" max="13062" width="3" style="337" bestFit="1" customWidth="1"/>
    <col min="13063" max="13065" width="11.77734375" style="337" customWidth="1"/>
    <col min="13066" max="13066" width="0" style="337" hidden="1" customWidth="1"/>
    <col min="13067" max="13067" width="3.21875" style="337" customWidth="1"/>
    <col min="13068" max="13070" width="11.77734375" style="337" customWidth="1"/>
    <col min="13071" max="13071" width="0" style="337" hidden="1" customWidth="1"/>
    <col min="13072" max="13072" width="3.21875" style="337" customWidth="1"/>
    <col min="13073" max="13073" width="11.21875" style="337" bestFit="1" customWidth="1"/>
    <col min="13074" max="13312" width="8.88671875" style="337"/>
    <col min="13313" max="13313" width="2.77734375" style="337" customWidth="1"/>
    <col min="13314" max="13315" width="11.77734375" style="337" customWidth="1"/>
    <col min="13316" max="13316" width="11.5546875" style="337" customWidth="1"/>
    <col min="13317" max="13317" width="0" style="337" hidden="1" customWidth="1"/>
    <col min="13318" max="13318" width="3" style="337" bestFit="1" customWidth="1"/>
    <col min="13319" max="13321" width="11.77734375" style="337" customWidth="1"/>
    <col min="13322" max="13322" width="0" style="337" hidden="1" customWidth="1"/>
    <col min="13323" max="13323" width="3.21875" style="337" customWidth="1"/>
    <col min="13324" max="13326" width="11.77734375" style="337" customWidth="1"/>
    <col min="13327" max="13327" width="0" style="337" hidden="1" customWidth="1"/>
    <col min="13328" max="13328" width="3.21875" style="337" customWidth="1"/>
    <col min="13329" max="13329" width="11.21875" style="337" bestFit="1" customWidth="1"/>
    <col min="13330" max="13568" width="8.88671875" style="337"/>
    <col min="13569" max="13569" width="2.77734375" style="337" customWidth="1"/>
    <col min="13570" max="13571" width="11.77734375" style="337" customWidth="1"/>
    <col min="13572" max="13572" width="11.5546875" style="337" customWidth="1"/>
    <col min="13573" max="13573" width="0" style="337" hidden="1" customWidth="1"/>
    <col min="13574" max="13574" width="3" style="337" bestFit="1" customWidth="1"/>
    <col min="13575" max="13577" width="11.77734375" style="337" customWidth="1"/>
    <col min="13578" max="13578" width="0" style="337" hidden="1" customWidth="1"/>
    <col min="13579" max="13579" width="3.21875" style="337" customWidth="1"/>
    <col min="13580" max="13582" width="11.77734375" style="337" customWidth="1"/>
    <col min="13583" max="13583" width="0" style="337" hidden="1" customWidth="1"/>
    <col min="13584" max="13584" width="3.21875" style="337" customWidth="1"/>
    <col min="13585" max="13585" width="11.21875" style="337" bestFit="1" customWidth="1"/>
    <col min="13586" max="13824" width="8.88671875" style="337"/>
    <col min="13825" max="13825" width="2.77734375" style="337" customWidth="1"/>
    <col min="13826" max="13827" width="11.77734375" style="337" customWidth="1"/>
    <col min="13828" max="13828" width="11.5546875" style="337" customWidth="1"/>
    <col min="13829" max="13829" width="0" style="337" hidden="1" customWidth="1"/>
    <col min="13830" max="13830" width="3" style="337" bestFit="1" customWidth="1"/>
    <col min="13831" max="13833" width="11.77734375" style="337" customWidth="1"/>
    <col min="13834" max="13834" width="0" style="337" hidden="1" customWidth="1"/>
    <col min="13835" max="13835" width="3.21875" style="337" customWidth="1"/>
    <col min="13836" max="13838" width="11.77734375" style="337" customWidth="1"/>
    <col min="13839" max="13839" width="0" style="337" hidden="1" customWidth="1"/>
    <col min="13840" max="13840" width="3.21875" style="337" customWidth="1"/>
    <col min="13841" max="13841" width="11.21875" style="337" bestFit="1" customWidth="1"/>
    <col min="13842" max="14080" width="8.88671875" style="337"/>
    <col min="14081" max="14081" width="2.77734375" style="337" customWidth="1"/>
    <col min="14082" max="14083" width="11.77734375" style="337" customWidth="1"/>
    <col min="14084" max="14084" width="11.5546875" style="337" customWidth="1"/>
    <col min="14085" max="14085" width="0" style="337" hidden="1" customWidth="1"/>
    <col min="14086" max="14086" width="3" style="337" bestFit="1" customWidth="1"/>
    <col min="14087" max="14089" width="11.77734375" style="337" customWidth="1"/>
    <col min="14090" max="14090" width="0" style="337" hidden="1" customWidth="1"/>
    <col min="14091" max="14091" width="3.21875" style="337" customWidth="1"/>
    <col min="14092" max="14094" width="11.77734375" style="337" customWidth="1"/>
    <col min="14095" max="14095" width="0" style="337" hidden="1" customWidth="1"/>
    <col min="14096" max="14096" width="3.21875" style="337" customWidth="1"/>
    <col min="14097" max="14097" width="11.21875" style="337" bestFit="1" customWidth="1"/>
    <col min="14098" max="14336" width="8.88671875" style="337"/>
    <col min="14337" max="14337" width="2.77734375" style="337" customWidth="1"/>
    <col min="14338" max="14339" width="11.77734375" style="337" customWidth="1"/>
    <col min="14340" max="14340" width="11.5546875" style="337" customWidth="1"/>
    <col min="14341" max="14341" width="0" style="337" hidden="1" customWidth="1"/>
    <col min="14342" max="14342" width="3" style="337" bestFit="1" customWidth="1"/>
    <col min="14343" max="14345" width="11.77734375" style="337" customWidth="1"/>
    <col min="14346" max="14346" width="0" style="337" hidden="1" customWidth="1"/>
    <col min="14347" max="14347" width="3.21875" style="337" customWidth="1"/>
    <col min="14348" max="14350" width="11.77734375" style="337" customWidth="1"/>
    <col min="14351" max="14351" width="0" style="337" hidden="1" customWidth="1"/>
    <col min="14352" max="14352" width="3.21875" style="337" customWidth="1"/>
    <col min="14353" max="14353" width="11.21875" style="337" bestFit="1" customWidth="1"/>
    <col min="14354" max="14592" width="8.88671875" style="337"/>
    <col min="14593" max="14593" width="2.77734375" style="337" customWidth="1"/>
    <col min="14594" max="14595" width="11.77734375" style="337" customWidth="1"/>
    <col min="14596" max="14596" width="11.5546875" style="337" customWidth="1"/>
    <col min="14597" max="14597" width="0" style="337" hidden="1" customWidth="1"/>
    <col min="14598" max="14598" width="3" style="337" bestFit="1" customWidth="1"/>
    <col min="14599" max="14601" width="11.77734375" style="337" customWidth="1"/>
    <col min="14602" max="14602" width="0" style="337" hidden="1" customWidth="1"/>
    <col min="14603" max="14603" width="3.21875" style="337" customWidth="1"/>
    <col min="14604" max="14606" width="11.77734375" style="337" customWidth="1"/>
    <col min="14607" max="14607" width="0" style="337" hidden="1" customWidth="1"/>
    <col min="14608" max="14608" width="3.21875" style="337" customWidth="1"/>
    <col min="14609" max="14609" width="11.21875" style="337" bestFit="1" customWidth="1"/>
    <col min="14610" max="14848" width="8.88671875" style="337"/>
    <col min="14849" max="14849" width="2.77734375" style="337" customWidth="1"/>
    <col min="14850" max="14851" width="11.77734375" style="337" customWidth="1"/>
    <col min="14852" max="14852" width="11.5546875" style="337" customWidth="1"/>
    <col min="14853" max="14853" width="0" style="337" hidden="1" customWidth="1"/>
    <col min="14854" max="14854" width="3" style="337" bestFit="1" customWidth="1"/>
    <col min="14855" max="14857" width="11.77734375" style="337" customWidth="1"/>
    <col min="14858" max="14858" width="0" style="337" hidden="1" customWidth="1"/>
    <col min="14859" max="14859" width="3.21875" style="337" customWidth="1"/>
    <col min="14860" max="14862" width="11.77734375" style="337" customWidth="1"/>
    <col min="14863" max="14863" width="0" style="337" hidden="1" customWidth="1"/>
    <col min="14864" max="14864" width="3.21875" style="337" customWidth="1"/>
    <col min="14865" max="14865" width="11.21875" style="337" bestFit="1" customWidth="1"/>
    <col min="14866" max="15104" width="8.88671875" style="337"/>
    <col min="15105" max="15105" width="2.77734375" style="337" customWidth="1"/>
    <col min="15106" max="15107" width="11.77734375" style="337" customWidth="1"/>
    <col min="15108" max="15108" width="11.5546875" style="337" customWidth="1"/>
    <col min="15109" max="15109" width="0" style="337" hidden="1" customWidth="1"/>
    <col min="15110" max="15110" width="3" style="337" bestFit="1" customWidth="1"/>
    <col min="15111" max="15113" width="11.77734375" style="337" customWidth="1"/>
    <col min="15114" max="15114" width="0" style="337" hidden="1" customWidth="1"/>
    <col min="15115" max="15115" width="3.21875" style="337" customWidth="1"/>
    <col min="15116" max="15118" width="11.77734375" style="337" customWidth="1"/>
    <col min="15119" max="15119" width="0" style="337" hidden="1" customWidth="1"/>
    <col min="15120" max="15120" width="3.21875" style="337" customWidth="1"/>
    <col min="15121" max="15121" width="11.21875" style="337" bestFit="1" customWidth="1"/>
    <col min="15122" max="15360" width="8.88671875" style="337"/>
    <col min="15361" max="15361" width="2.77734375" style="337" customWidth="1"/>
    <col min="15362" max="15363" width="11.77734375" style="337" customWidth="1"/>
    <col min="15364" max="15364" width="11.5546875" style="337" customWidth="1"/>
    <col min="15365" max="15365" width="0" style="337" hidden="1" customWidth="1"/>
    <col min="15366" max="15366" width="3" style="337" bestFit="1" customWidth="1"/>
    <col min="15367" max="15369" width="11.77734375" style="337" customWidth="1"/>
    <col min="15370" max="15370" width="0" style="337" hidden="1" customWidth="1"/>
    <col min="15371" max="15371" width="3.21875" style="337" customWidth="1"/>
    <col min="15372" max="15374" width="11.77734375" style="337" customWidth="1"/>
    <col min="15375" max="15375" width="0" style="337" hidden="1" customWidth="1"/>
    <col min="15376" max="15376" width="3.21875" style="337" customWidth="1"/>
    <col min="15377" max="15377" width="11.21875" style="337" bestFit="1" customWidth="1"/>
    <col min="15378" max="15616" width="8.88671875" style="337"/>
    <col min="15617" max="15617" width="2.77734375" style="337" customWidth="1"/>
    <col min="15618" max="15619" width="11.77734375" style="337" customWidth="1"/>
    <col min="15620" max="15620" width="11.5546875" style="337" customWidth="1"/>
    <col min="15621" max="15621" width="0" style="337" hidden="1" customWidth="1"/>
    <col min="15622" max="15622" width="3" style="337" bestFit="1" customWidth="1"/>
    <col min="15623" max="15625" width="11.77734375" style="337" customWidth="1"/>
    <col min="15626" max="15626" width="0" style="337" hidden="1" customWidth="1"/>
    <col min="15627" max="15627" width="3.21875" style="337" customWidth="1"/>
    <col min="15628" max="15630" width="11.77734375" style="337" customWidth="1"/>
    <col min="15631" max="15631" width="0" style="337" hidden="1" customWidth="1"/>
    <col min="15632" max="15632" width="3.21875" style="337" customWidth="1"/>
    <col min="15633" max="15633" width="11.21875" style="337" bestFit="1" customWidth="1"/>
    <col min="15634" max="15872" width="8.88671875" style="337"/>
    <col min="15873" max="15873" width="2.77734375" style="337" customWidth="1"/>
    <col min="15874" max="15875" width="11.77734375" style="337" customWidth="1"/>
    <col min="15876" max="15876" width="11.5546875" style="337" customWidth="1"/>
    <col min="15877" max="15877" width="0" style="337" hidden="1" customWidth="1"/>
    <col min="15878" max="15878" width="3" style="337" bestFit="1" customWidth="1"/>
    <col min="15879" max="15881" width="11.77734375" style="337" customWidth="1"/>
    <col min="15882" max="15882" width="0" style="337" hidden="1" customWidth="1"/>
    <col min="15883" max="15883" width="3.21875" style="337" customWidth="1"/>
    <col min="15884" max="15886" width="11.77734375" style="337" customWidth="1"/>
    <col min="15887" max="15887" width="0" style="337" hidden="1" customWidth="1"/>
    <col min="15888" max="15888" width="3.21875" style="337" customWidth="1"/>
    <col min="15889" max="15889" width="11.21875" style="337" bestFit="1" customWidth="1"/>
    <col min="15890" max="16128" width="8.88671875" style="337"/>
    <col min="16129" max="16129" width="2.77734375" style="337" customWidth="1"/>
    <col min="16130" max="16131" width="11.77734375" style="337" customWidth="1"/>
    <col min="16132" max="16132" width="11.5546875" style="337" customWidth="1"/>
    <col min="16133" max="16133" width="0" style="337" hidden="1" customWidth="1"/>
    <col min="16134" max="16134" width="3" style="337" bestFit="1" customWidth="1"/>
    <col min="16135" max="16137" width="11.77734375" style="337" customWidth="1"/>
    <col min="16138" max="16138" width="0" style="337" hidden="1" customWidth="1"/>
    <col min="16139" max="16139" width="3.21875" style="337" customWidth="1"/>
    <col min="16140" max="16142" width="11.77734375" style="337" customWidth="1"/>
    <col min="16143" max="16143" width="0" style="337" hidden="1" customWidth="1"/>
    <col min="16144" max="16144" width="3.21875" style="337" customWidth="1"/>
    <col min="16145" max="16145" width="11.21875" style="337" bestFit="1" customWidth="1"/>
    <col min="16146" max="16384" width="8.88671875" style="337"/>
  </cols>
  <sheetData>
    <row r="1" spans="1:19" ht="17.399999999999999" x14ac:dyDescent="0.3">
      <c r="A1" s="334"/>
      <c r="B1" s="334"/>
      <c r="C1" s="334"/>
      <c r="D1" s="335"/>
      <c r="E1" s="334"/>
      <c r="F1" s="336"/>
      <c r="G1" s="336"/>
      <c r="H1" s="336" t="s">
        <v>494</v>
      </c>
      <c r="I1" s="334"/>
      <c r="J1" s="334"/>
      <c r="K1" s="334"/>
      <c r="L1" s="334"/>
      <c r="M1" s="334"/>
      <c r="N1" s="334"/>
      <c r="O1" s="334"/>
      <c r="P1" s="334"/>
    </row>
    <row r="2" spans="1:19" ht="6.75" customHeight="1" x14ac:dyDescent="0.25">
      <c r="A2" s="334"/>
      <c r="B2" s="334"/>
      <c r="C2" s="334"/>
      <c r="D2" s="334"/>
      <c r="E2" s="334"/>
      <c r="F2" s="334"/>
      <c r="G2" s="334"/>
      <c r="H2" s="334"/>
      <c r="I2" s="334"/>
      <c r="J2" s="334"/>
      <c r="K2" s="334"/>
      <c r="L2" s="334"/>
      <c r="M2" s="334"/>
      <c r="N2" s="334"/>
      <c r="O2" s="334"/>
      <c r="P2" s="334"/>
    </row>
    <row r="3" spans="1:19" x14ac:dyDescent="0.25">
      <c r="A3" s="334"/>
      <c r="B3" s="551" t="s">
        <v>495</v>
      </c>
      <c r="C3" s="552"/>
      <c r="D3" s="553"/>
      <c r="F3" s="334"/>
      <c r="G3" s="554" t="s">
        <v>496</v>
      </c>
      <c r="H3" s="554"/>
      <c r="I3" s="554"/>
      <c r="K3" s="334"/>
      <c r="L3" s="555" t="s">
        <v>497</v>
      </c>
      <c r="M3" s="555"/>
      <c r="N3" s="555"/>
      <c r="P3" s="334"/>
      <c r="Q3" s="338"/>
      <c r="R3" s="338"/>
    </row>
    <row r="4" spans="1:19" x14ac:dyDescent="0.25">
      <c r="A4" s="334"/>
      <c r="B4" s="556" t="s">
        <v>498</v>
      </c>
      <c r="C4" s="557"/>
      <c r="D4" s="558"/>
      <c r="F4" s="334"/>
      <c r="G4" s="559" t="s">
        <v>498</v>
      </c>
      <c r="H4" s="560"/>
      <c r="I4" s="561"/>
      <c r="K4" s="339"/>
      <c r="L4" s="562" t="s">
        <v>498</v>
      </c>
      <c r="M4" s="563"/>
      <c r="N4" s="564"/>
      <c r="P4" s="339"/>
      <c r="S4" s="338"/>
    </row>
    <row r="5" spans="1:19" x14ac:dyDescent="0.25">
      <c r="A5" s="334"/>
      <c r="B5" s="340" t="s">
        <v>499</v>
      </c>
      <c r="C5" s="340" t="s">
        <v>500</v>
      </c>
      <c r="D5" s="340" t="s">
        <v>134</v>
      </c>
      <c r="F5" s="334"/>
      <c r="G5" s="341" t="s">
        <v>499</v>
      </c>
      <c r="H5" s="341" t="s">
        <v>500</v>
      </c>
      <c r="I5" s="341" t="s">
        <v>134</v>
      </c>
      <c r="K5" s="334"/>
      <c r="L5" s="342" t="s">
        <v>499</v>
      </c>
      <c r="M5" s="342" t="s">
        <v>500</v>
      </c>
      <c r="N5" s="342" t="s">
        <v>134</v>
      </c>
      <c r="P5" s="334"/>
    </row>
    <row r="6" spans="1:19" x14ac:dyDescent="0.25">
      <c r="A6" s="334"/>
      <c r="B6" s="343">
        <v>50</v>
      </c>
      <c r="C6" s="344">
        <v>270</v>
      </c>
      <c r="D6" s="343">
        <v>2.8</v>
      </c>
      <c r="F6" s="334"/>
      <c r="G6" s="343">
        <v>50</v>
      </c>
      <c r="H6" s="344">
        <v>270</v>
      </c>
      <c r="I6" s="343">
        <v>2.9</v>
      </c>
      <c r="K6" s="345"/>
      <c r="L6" s="343">
        <v>50</v>
      </c>
      <c r="M6" s="343">
        <v>285</v>
      </c>
      <c r="N6" s="372">
        <v>2.59</v>
      </c>
      <c r="P6" s="345"/>
    </row>
    <row r="7" spans="1:19" ht="6.75" customHeight="1" x14ac:dyDescent="0.25">
      <c r="A7" s="334"/>
      <c r="B7" s="334"/>
      <c r="C7" s="334"/>
      <c r="D7" s="345"/>
      <c r="F7" s="345"/>
      <c r="G7" s="345"/>
      <c r="H7" s="345"/>
      <c r="I7" s="345"/>
      <c r="K7" s="334"/>
      <c r="L7" s="345"/>
      <c r="M7" s="345"/>
      <c r="N7" s="345"/>
      <c r="P7" s="334"/>
    </row>
    <row r="8" spans="1:19" x14ac:dyDescent="0.25">
      <c r="A8" s="334"/>
      <c r="B8" s="340" t="s">
        <v>501</v>
      </c>
      <c r="C8" s="340" t="s">
        <v>500</v>
      </c>
      <c r="D8" s="340" t="s">
        <v>502</v>
      </c>
      <c r="E8" s="346">
        <f>IF(B9=0,E8,((0.00463*$B9^2 + 1.68*$B9 - 22.05)/(((0.00463*$C$6^2 + 1.68*$C$6 - 22.05)-(0.00463*$B$6^2 + 1.68*$B$6 - 22.05))/($C$6-$B$6))*$D$6))</f>
        <v>65.115764170040492</v>
      </c>
      <c r="F8" s="345"/>
      <c r="G8" s="341" t="s">
        <v>501</v>
      </c>
      <c r="H8" s="341" t="s">
        <v>500</v>
      </c>
      <c r="I8" s="341" t="s">
        <v>502</v>
      </c>
      <c r="J8" s="346">
        <f>IF(G9=0,J8,((0.00463*G9^2 + 1.68*G9 - 22.05)/(((0.00463*H$6^2 + 1.68*H$6 - 22.05)-(0.00463*G$6^2 + 1.68*G$6 - 22.05))/(H$6-G$6))*I$6))</f>
        <v>67.441327176113361</v>
      </c>
      <c r="K8" s="334"/>
      <c r="L8" s="342" t="s">
        <v>501</v>
      </c>
      <c r="M8" s="342" t="s">
        <v>500</v>
      </c>
      <c r="N8" s="342" t="s">
        <v>502</v>
      </c>
      <c r="O8" s="346">
        <f>IF(L9=0,O8,((0.00463*L9^2 + 1.68*L9 - 22.05)/(((0.00463*M$6^2 + 1.68*M$6 - 22.05)-(0.00463*L$6^2 + 1.68*L$6 - 22.05))/(M$6-L$6))*N$6))</f>
        <v>58.937419724238261</v>
      </c>
      <c r="P8" s="334"/>
    </row>
    <row r="9" spans="1:19" ht="13.8" thickBot="1" x14ac:dyDescent="0.3">
      <c r="A9" s="334"/>
      <c r="B9" s="343">
        <v>50</v>
      </c>
      <c r="C9" s="347">
        <v>75</v>
      </c>
      <c r="D9" s="348">
        <f t="shared" ref="D9:D14" si="0">IF(C9="",0,(E9-E8))</f>
        <v>50.010279605263136</v>
      </c>
      <c r="E9" s="346">
        <f t="shared" ref="E9:E14" si="1">IF(C9="","",((0.00463*C9^2 + 1.68*C9 - 22.05)/(((0.00463*C$6^2 + 1.68*C$6 - 22.05)-(0.00463*B$6^2 + 1.68*B$6 - 22.05))/(C$6-B$6))*D$6))</f>
        <v>115.12604377530363</v>
      </c>
      <c r="F9" s="349"/>
      <c r="G9" s="343">
        <v>50</v>
      </c>
      <c r="H9" s="347">
        <v>75</v>
      </c>
      <c r="I9" s="350">
        <f t="shared" ref="I9:I14" si="2">IF(H9="","",(J9-J8))</f>
        <v>51.796361019736821</v>
      </c>
      <c r="J9" s="346">
        <f t="shared" ref="J9:J14" si="3">IF(H9="","",((0.00463*H9^2 + 1.68*H9 - 22.05)/(((0.00463*H$6^2 + 1.68*H$6 - 22.05)-(0.00463*G$6^2 + 1.68*G$6 - 22.05))/(H$6-G$6))*I$6))</f>
        <v>119.23768819585018</v>
      </c>
      <c r="K9" s="351"/>
      <c r="L9" s="343">
        <v>50</v>
      </c>
      <c r="M9" s="347">
        <v>85</v>
      </c>
      <c r="N9" s="463">
        <f t="shared" ref="N9:N14" si="4">IF(M9="","",(O9-O8))</f>
        <v>64.670241098095005</v>
      </c>
      <c r="O9" s="346">
        <f t="shared" ref="O9:O14" si="5">IF(L10="","",((0.00463*L10^2 + 1.68*L10 - 22.05)/(((0.00463*M$6^2 + 1.68*M$6 - 22.05)-(0.00463*L$6^2 + 1.68*L$6 - 22.05))/(M$6-L$6))*N$6))</f>
        <v>123.60766082233327</v>
      </c>
      <c r="P9" s="351"/>
      <c r="Q9" s="337">
        <f t="shared" ref="Q9:Q14" si="6">(M9-L9)*$N$6</f>
        <v>90.649999999999991</v>
      </c>
    </row>
    <row r="10" spans="1:19" ht="13.8" thickBot="1" x14ac:dyDescent="0.3">
      <c r="A10" s="334"/>
      <c r="B10" s="340">
        <f t="shared" ref="B10:B15" si="7">IF(C9="","",C9)</f>
        <v>75</v>
      </c>
      <c r="C10" s="347">
        <v>140</v>
      </c>
      <c r="D10" s="348">
        <f t="shared" si="0"/>
        <v>154.01439144736838</v>
      </c>
      <c r="E10" s="346">
        <f t="shared" si="1"/>
        <v>269.14043522267201</v>
      </c>
      <c r="F10" s="349"/>
      <c r="G10" s="341">
        <f t="shared" ref="G10:G15" si="8">IF(H9="","",H9)</f>
        <v>75</v>
      </c>
      <c r="H10" s="347">
        <v>125</v>
      </c>
      <c r="I10" s="350">
        <f t="shared" si="2"/>
        <v>119.51859817813764</v>
      </c>
      <c r="J10" s="346">
        <f t="shared" si="3"/>
        <v>238.75628637398782</v>
      </c>
      <c r="K10" s="351"/>
      <c r="L10" s="342">
        <f t="shared" ref="L10:L15" si="9">IF(M9="","",M9)</f>
        <v>85</v>
      </c>
      <c r="M10" s="347">
        <v>120</v>
      </c>
      <c r="N10" s="463">
        <f t="shared" si="4"/>
        <v>73.763156713761802</v>
      </c>
      <c r="O10" s="346">
        <f t="shared" si="5"/>
        <v>197.37081753609507</v>
      </c>
      <c r="P10" s="351"/>
      <c r="Q10" s="337">
        <f t="shared" si="6"/>
        <v>90.649999999999991</v>
      </c>
    </row>
    <row r="11" spans="1:19" ht="13.8" thickBot="1" x14ac:dyDescent="0.3">
      <c r="A11" s="334"/>
      <c r="B11" s="340">
        <f t="shared" si="7"/>
        <v>140</v>
      </c>
      <c r="C11" s="347">
        <v>195</v>
      </c>
      <c r="D11" s="348">
        <f t="shared" si="0"/>
        <v>157.38287575910925</v>
      </c>
      <c r="E11" s="346">
        <f t="shared" si="1"/>
        <v>426.52331098178126</v>
      </c>
      <c r="F11" s="349"/>
      <c r="G11" s="341">
        <f t="shared" si="8"/>
        <v>125</v>
      </c>
      <c r="H11" s="347">
        <v>170</v>
      </c>
      <c r="I11" s="350">
        <f t="shared" si="2"/>
        <v>125.72223715840076</v>
      </c>
      <c r="J11" s="346">
        <f t="shared" si="3"/>
        <v>364.47852353238858</v>
      </c>
      <c r="K11" s="351"/>
      <c r="L11" s="342">
        <f t="shared" si="9"/>
        <v>120</v>
      </c>
      <c r="M11" s="347">
        <v>160</v>
      </c>
      <c r="N11" s="463">
        <f t="shared" si="4"/>
        <v>95.43493291654417</v>
      </c>
      <c r="O11" s="346">
        <f t="shared" si="5"/>
        <v>292.80575045263924</v>
      </c>
      <c r="P11" s="351"/>
      <c r="Q11" s="337">
        <f t="shared" si="6"/>
        <v>103.6</v>
      </c>
    </row>
    <row r="12" spans="1:19" ht="13.8" thickBot="1" x14ac:dyDescent="0.3">
      <c r="A12" s="334"/>
      <c r="B12" s="340">
        <f t="shared" si="7"/>
        <v>195</v>
      </c>
      <c r="C12" s="347">
        <v>240</v>
      </c>
      <c r="D12" s="348">
        <f t="shared" si="0"/>
        <v>147.21985703441305</v>
      </c>
      <c r="E12" s="346">
        <f t="shared" si="1"/>
        <v>573.74316801619432</v>
      </c>
      <c r="F12" s="349"/>
      <c r="G12" s="341">
        <f t="shared" si="8"/>
        <v>170</v>
      </c>
      <c r="H12" s="347">
        <v>210</v>
      </c>
      <c r="I12" s="350">
        <f t="shared" si="2"/>
        <v>126.19256072874504</v>
      </c>
      <c r="J12" s="346">
        <f t="shared" si="3"/>
        <v>490.67108426113361</v>
      </c>
      <c r="K12" s="351"/>
      <c r="L12" s="342">
        <f t="shared" si="9"/>
        <v>160</v>
      </c>
      <c r="M12" s="347">
        <v>200</v>
      </c>
      <c r="N12" s="463">
        <f t="shared" si="4"/>
        <v>107.31139412884363</v>
      </c>
      <c r="O12" s="346">
        <f t="shared" si="5"/>
        <v>400.11714458148288</v>
      </c>
      <c r="P12" s="351"/>
      <c r="Q12" s="337">
        <f t="shared" si="6"/>
        <v>103.6</v>
      </c>
    </row>
    <row r="13" spans="1:19" x14ac:dyDescent="0.25">
      <c r="A13" s="334"/>
      <c r="B13" s="340">
        <f t="shared" si="7"/>
        <v>240</v>
      </c>
      <c r="C13" s="343">
        <v>280</v>
      </c>
      <c r="D13" s="348">
        <f t="shared" si="0"/>
        <v>144.80364372469637</v>
      </c>
      <c r="E13" s="346">
        <f t="shared" si="1"/>
        <v>718.54681174089069</v>
      </c>
      <c r="F13" s="349"/>
      <c r="G13" s="341">
        <f t="shared" si="8"/>
        <v>210</v>
      </c>
      <c r="H13" s="343">
        <v>250</v>
      </c>
      <c r="I13" s="350">
        <f t="shared" si="2"/>
        <v>139.78264170040484</v>
      </c>
      <c r="J13" s="346">
        <f t="shared" si="3"/>
        <v>630.45372596153845</v>
      </c>
      <c r="K13" s="351"/>
      <c r="L13" s="342">
        <f t="shared" si="9"/>
        <v>200</v>
      </c>
      <c r="M13" s="343">
        <v>240</v>
      </c>
      <c r="N13" s="463">
        <f t="shared" si="4"/>
        <v>119.18785534114284</v>
      </c>
      <c r="O13" s="346">
        <f t="shared" si="5"/>
        <v>519.30499992262571</v>
      </c>
      <c r="P13" s="351"/>
      <c r="Q13" s="337">
        <f t="shared" si="6"/>
        <v>103.6</v>
      </c>
    </row>
    <row r="14" spans="1:19" x14ac:dyDescent="0.25">
      <c r="A14" s="334"/>
      <c r="B14" s="340">
        <f t="shared" si="7"/>
        <v>280</v>
      </c>
      <c r="C14" s="343">
        <v>280</v>
      </c>
      <c r="D14" s="348">
        <f t="shared" si="0"/>
        <v>0</v>
      </c>
      <c r="E14" s="346">
        <f t="shared" si="1"/>
        <v>718.54681174089069</v>
      </c>
      <c r="F14" s="334"/>
      <c r="G14" s="341">
        <f t="shared" si="8"/>
        <v>250</v>
      </c>
      <c r="H14" s="343">
        <v>280</v>
      </c>
      <c r="I14" s="350">
        <f t="shared" si="2"/>
        <v>113.7554719129555</v>
      </c>
      <c r="J14" s="346">
        <f t="shared" si="3"/>
        <v>744.20919787449395</v>
      </c>
      <c r="K14" s="351"/>
      <c r="L14" s="342">
        <f t="shared" si="9"/>
        <v>240</v>
      </c>
      <c r="M14" s="343">
        <v>285</v>
      </c>
      <c r="N14" s="463">
        <f t="shared" si="4"/>
        <v>148.28241980161249</v>
      </c>
      <c r="O14" s="346">
        <f t="shared" si="5"/>
        <v>667.5874197242382</v>
      </c>
      <c r="P14" s="351"/>
      <c r="Q14" s="337">
        <f t="shared" si="6"/>
        <v>116.55</v>
      </c>
    </row>
    <row r="15" spans="1:19" x14ac:dyDescent="0.25">
      <c r="A15" s="334"/>
      <c r="B15" s="340">
        <f t="shared" si="7"/>
        <v>280</v>
      </c>
      <c r="C15" s="345"/>
      <c r="D15" s="334"/>
      <c r="F15" s="334"/>
      <c r="G15" s="341">
        <f t="shared" si="8"/>
        <v>280</v>
      </c>
      <c r="H15" s="345"/>
      <c r="I15" s="334"/>
      <c r="J15" s="352"/>
      <c r="K15" s="351"/>
      <c r="L15" s="342">
        <f t="shared" si="9"/>
        <v>285</v>
      </c>
      <c r="M15" s="345"/>
      <c r="N15" s="334"/>
      <c r="O15" s="352"/>
      <c r="P15" s="351"/>
      <c r="S15" s="337">
        <v>611</v>
      </c>
    </row>
    <row r="16" spans="1:19" x14ac:dyDescent="0.25">
      <c r="A16" s="334"/>
      <c r="B16" s="334"/>
      <c r="C16" s="345"/>
      <c r="D16" s="345"/>
      <c r="E16" s="334"/>
      <c r="F16" s="334"/>
      <c r="G16" s="334"/>
      <c r="H16" s="334"/>
      <c r="I16" s="334"/>
      <c r="K16" s="334"/>
      <c r="L16" s="334"/>
      <c r="M16" s="334"/>
      <c r="N16" s="334"/>
      <c r="P16" s="334"/>
    </row>
    <row r="17" spans="1:16" x14ac:dyDescent="0.25">
      <c r="A17" s="334"/>
      <c r="B17" s="353"/>
      <c r="C17" s="540" t="s">
        <v>503</v>
      </c>
      <c r="D17" s="541"/>
      <c r="E17" s="354"/>
      <c r="F17" s="343">
        <v>3</v>
      </c>
      <c r="G17" s="355" t="s">
        <v>504</v>
      </c>
      <c r="H17" s="334"/>
      <c r="I17" s="334"/>
      <c r="J17" s="334"/>
      <c r="K17" s="334"/>
      <c r="L17" s="334"/>
      <c r="M17" s="334"/>
      <c r="N17" s="334"/>
      <c r="O17" s="334"/>
      <c r="P17" s="334"/>
    </row>
    <row r="18" spans="1:16" x14ac:dyDescent="0.25">
      <c r="A18" s="334"/>
      <c r="B18" s="334"/>
      <c r="C18" s="334"/>
      <c r="D18" s="334"/>
      <c r="E18" s="339"/>
      <c r="F18" s="334"/>
      <c r="G18" s="334"/>
      <c r="H18" s="334"/>
      <c r="I18" s="334"/>
      <c r="J18" s="334"/>
      <c r="K18" s="334"/>
      <c r="L18" s="334"/>
      <c r="M18" s="334"/>
      <c r="N18" s="334"/>
      <c r="O18" s="334"/>
      <c r="P18" s="334"/>
    </row>
    <row r="19" spans="1:16" ht="7.5" customHeight="1" x14ac:dyDescent="0.25">
      <c r="A19" s="356"/>
      <c r="B19" s="356"/>
      <c r="C19" s="356"/>
      <c r="D19" s="356"/>
      <c r="E19" s="356"/>
      <c r="F19" s="356"/>
      <c r="G19" s="356"/>
      <c r="H19" s="356"/>
      <c r="I19" s="356"/>
      <c r="J19" s="356"/>
      <c r="K19" s="356"/>
      <c r="L19" s="356"/>
      <c r="M19" s="356"/>
      <c r="N19" s="356"/>
      <c r="O19" s="356"/>
      <c r="P19" s="356"/>
    </row>
    <row r="20" spans="1:16" ht="15.6" x14ac:dyDescent="0.3">
      <c r="A20" s="334"/>
      <c r="B20" s="357"/>
      <c r="C20" s="358"/>
      <c r="D20" s="358"/>
      <c r="E20" s="359"/>
      <c r="F20" s="358"/>
      <c r="G20" s="358"/>
      <c r="H20" s="358" t="s">
        <v>505</v>
      </c>
      <c r="I20" s="357"/>
      <c r="J20" s="334"/>
      <c r="K20" s="334"/>
      <c r="L20" s="357"/>
      <c r="M20" s="357"/>
      <c r="N20" s="357"/>
      <c r="O20" s="334"/>
      <c r="P20" s="334"/>
    </row>
    <row r="21" spans="1:16" x14ac:dyDescent="0.25">
      <c r="A21" s="334"/>
      <c r="B21" s="334"/>
      <c r="C21" s="334"/>
      <c r="D21" s="360" t="s">
        <v>506</v>
      </c>
      <c r="E21" s="360"/>
      <c r="F21" s="360"/>
      <c r="G21" s="360"/>
      <c r="H21" s="360"/>
      <c r="I21" s="360"/>
      <c r="K21" s="360"/>
      <c r="L21" s="360"/>
      <c r="M21" s="334"/>
      <c r="N21" s="334"/>
      <c r="P21" s="334"/>
    </row>
    <row r="22" spans="1:16" x14ac:dyDescent="0.25">
      <c r="A22" s="334"/>
      <c r="B22" s="339"/>
      <c r="C22" s="345"/>
      <c r="D22" s="361"/>
      <c r="E22" s="360"/>
      <c r="F22" s="362"/>
      <c r="G22" s="360"/>
      <c r="H22" s="362" t="s">
        <v>507</v>
      </c>
      <c r="I22" s="343" t="s">
        <v>508</v>
      </c>
      <c r="K22" s="360"/>
      <c r="L22" s="343" t="s">
        <v>509</v>
      </c>
      <c r="M22" s="363"/>
      <c r="N22" s="363"/>
      <c r="P22" s="334"/>
    </row>
    <row r="23" spans="1:16" x14ac:dyDescent="0.25">
      <c r="A23" s="334"/>
      <c r="B23" s="334"/>
      <c r="C23" s="334"/>
      <c r="D23" s="334"/>
      <c r="E23" s="334"/>
      <c r="F23" s="334"/>
      <c r="G23" s="334"/>
      <c r="H23" s="334"/>
      <c r="I23" s="334"/>
      <c r="K23" s="334"/>
      <c r="L23" s="334"/>
      <c r="M23" s="334"/>
      <c r="N23" s="334"/>
      <c r="P23" s="334"/>
    </row>
    <row r="24" spans="1:16" x14ac:dyDescent="0.25">
      <c r="A24" s="334"/>
      <c r="B24" s="542" t="s">
        <v>510</v>
      </c>
      <c r="C24" s="543"/>
      <c r="D24" s="544"/>
      <c r="F24" s="334"/>
      <c r="G24" s="545" t="s">
        <v>511</v>
      </c>
      <c r="H24" s="546"/>
      <c r="I24" s="547"/>
      <c r="K24" s="334"/>
      <c r="L24" s="548" t="s">
        <v>512</v>
      </c>
      <c r="M24" s="549"/>
      <c r="N24" s="550"/>
      <c r="P24" s="334"/>
    </row>
    <row r="25" spans="1:16" x14ac:dyDescent="0.25">
      <c r="A25" s="334"/>
      <c r="B25" s="340" t="s">
        <v>499</v>
      </c>
      <c r="C25" s="340" t="str">
        <f>I22</f>
        <v>Sequence 1</v>
      </c>
      <c r="D25" s="340" t="str">
        <f>L22</f>
        <v>Sequence 2</v>
      </c>
      <c r="F25" s="334"/>
      <c r="G25" s="341" t="s">
        <v>499</v>
      </c>
      <c r="H25" s="341" t="str">
        <f>I22</f>
        <v>Sequence 1</v>
      </c>
      <c r="I25" s="341" t="str">
        <f>L22</f>
        <v>Sequence 2</v>
      </c>
      <c r="K25" s="334"/>
      <c r="L25" s="342" t="s">
        <v>499</v>
      </c>
      <c r="M25" s="342" t="str">
        <f>I22</f>
        <v>Sequence 1</v>
      </c>
      <c r="N25" s="342" t="str">
        <f>L22</f>
        <v>Sequence 2</v>
      </c>
      <c r="P25" s="334"/>
    </row>
    <row r="26" spans="1:16" x14ac:dyDescent="0.25">
      <c r="A26" s="334"/>
      <c r="B26" s="340">
        <f t="shared" ref="B26:B31" si="10">B9</f>
        <v>50</v>
      </c>
      <c r="C26" s="343" t="s">
        <v>135</v>
      </c>
      <c r="D26" s="343" t="s">
        <v>37</v>
      </c>
      <c r="F26" s="334"/>
      <c r="G26" s="341">
        <f t="shared" ref="G26:G31" si="11">G9</f>
        <v>50</v>
      </c>
      <c r="H26" s="343" t="s">
        <v>135</v>
      </c>
      <c r="I26" s="343" t="s">
        <v>37</v>
      </c>
      <c r="K26" s="334"/>
      <c r="L26" s="342">
        <f t="shared" ref="L26:L31" si="12">L9</f>
        <v>50</v>
      </c>
      <c r="M26" s="343" t="s">
        <v>135</v>
      </c>
      <c r="N26" s="343" t="s">
        <v>37</v>
      </c>
      <c r="P26" s="334"/>
    </row>
    <row r="27" spans="1:16" x14ac:dyDescent="0.25">
      <c r="A27" s="334"/>
      <c r="B27" s="340">
        <f t="shared" si="10"/>
        <v>75</v>
      </c>
      <c r="C27" s="343" t="s">
        <v>136</v>
      </c>
      <c r="D27" s="343" t="s">
        <v>38</v>
      </c>
      <c r="F27" s="334"/>
      <c r="G27" s="341">
        <f t="shared" si="11"/>
        <v>75</v>
      </c>
      <c r="H27" s="343" t="s">
        <v>136</v>
      </c>
      <c r="I27" s="343" t="s">
        <v>38</v>
      </c>
      <c r="K27" s="334"/>
      <c r="L27" s="342">
        <f t="shared" si="12"/>
        <v>85</v>
      </c>
      <c r="M27" s="343" t="s">
        <v>136</v>
      </c>
      <c r="N27" s="343" t="s">
        <v>38</v>
      </c>
      <c r="P27" s="334"/>
    </row>
    <row r="28" spans="1:16" x14ac:dyDescent="0.25">
      <c r="A28" s="334"/>
      <c r="B28" s="340">
        <f t="shared" si="10"/>
        <v>140</v>
      </c>
      <c r="C28" s="343" t="s">
        <v>137</v>
      </c>
      <c r="D28" s="343" t="s">
        <v>39</v>
      </c>
      <c r="F28" s="334"/>
      <c r="G28" s="341">
        <f t="shared" si="11"/>
        <v>125</v>
      </c>
      <c r="H28" s="343" t="s">
        <v>137</v>
      </c>
      <c r="I28" s="343" t="s">
        <v>39</v>
      </c>
      <c r="K28" s="334"/>
      <c r="L28" s="342">
        <f t="shared" si="12"/>
        <v>120</v>
      </c>
      <c r="M28" s="343" t="s">
        <v>137</v>
      </c>
      <c r="N28" s="343" t="s">
        <v>39</v>
      </c>
      <c r="P28" s="334"/>
    </row>
    <row r="29" spans="1:16" x14ac:dyDescent="0.25">
      <c r="A29" s="334"/>
      <c r="B29" s="340">
        <f t="shared" si="10"/>
        <v>195</v>
      </c>
      <c r="C29" s="343" t="s">
        <v>138</v>
      </c>
      <c r="D29" s="343" t="s">
        <v>40</v>
      </c>
      <c r="F29" s="334"/>
      <c r="G29" s="341">
        <f t="shared" si="11"/>
        <v>170</v>
      </c>
      <c r="H29" s="343" t="s">
        <v>138</v>
      </c>
      <c r="I29" s="343" t="s">
        <v>40</v>
      </c>
      <c r="K29" s="334"/>
      <c r="L29" s="342">
        <f t="shared" si="12"/>
        <v>160</v>
      </c>
      <c r="M29" s="343" t="s">
        <v>138</v>
      </c>
      <c r="N29" s="343" t="s">
        <v>40</v>
      </c>
      <c r="P29" s="334"/>
    </row>
    <row r="30" spans="1:16" x14ac:dyDescent="0.25">
      <c r="A30" s="334"/>
      <c r="B30" s="340">
        <f t="shared" si="10"/>
        <v>240</v>
      </c>
      <c r="C30" s="343" t="s">
        <v>139</v>
      </c>
      <c r="D30" s="343" t="s">
        <v>41</v>
      </c>
      <c r="F30" s="334"/>
      <c r="G30" s="341">
        <f t="shared" si="11"/>
        <v>210</v>
      </c>
      <c r="H30" s="343" t="s">
        <v>139</v>
      </c>
      <c r="I30" s="343" t="s">
        <v>41</v>
      </c>
      <c r="K30" s="334"/>
      <c r="L30" s="342">
        <f>L13</f>
        <v>200</v>
      </c>
      <c r="M30" s="343" t="s">
        <v>139</v>
      </c>
      <c r="N30" s="343" t="s">
        <v>41</v>
      </c>
      <c r="P30" s="334"/>
    </row>
    <row r="31" spans="1:16" x14ac:dyDescent="0.25">
      <c r="A31" s="334"/>
      <c r="B31" s="340">
        <f t="shared" si="10"/>
        <v>280</v>
      </c>
      <c r="C31" s="343" t="s">
        <v>140</v>
      </c>
      <c r="D31" s="343" t="s">
        <v>141</v>
      </c>
      <c r="F31" s="334"/>
      <c r="G31" s="341">
        <f t="shared" si="11"/>
        <v>250</v>
      </c>
      <c r="H31" s="343" t="s">
        <v>140</v>
      </c>
      <c r="I31" s="343" t="s">
        <v>141</v>
      </c>
      <c r="K31" s="334"/>
      <c r="L31" s="342">
        <f t="shared" si="12"/>
        <v>240</v>
      </c>
      <c r="M31" s="343" t="s">
        <v>140</v>
      </c>
      <c r="N31" s="343" t="s">
        <v>141</v>
      </c>
      <c r="P31" s="334"/>
    </row>
    <row r="32" spans="1:16" x14ac:dyDescent="0.25">
      <c r="A32" s="334"/>
      <c r="B32" s="334"/>
      <c r="C32" s="334"/>
      <c r="D32" s="334"/>
      <c r="E32" s="334"/>
      <c r="F32" s="334"/>
      <c r="G32" s="334"/>
      <c r="H32" s="334"/>
      <c r="I32" s="334"/>
      <c r="K32" s="334"/>
      <c r="L32" s="334"/>
      <c r="M32" s="334"/>
      <c r="N32" s="334"/>
      <c r="P32" s="334"/>
    </row>
  </sheetData>
  <mergeCells count="10">
    <mergeCell ref="C17:D17"/>
    <mergeCell ref="B24:D24"/>
    <mergeCell ref="G24:I24"/>
    <mergeCell ref="L24:N24"/>
    <mergeCell ref="B3:D3"/>
    <mergeCell ref="G3:I3"/>
    <mergeCell ref="L3:N3"/>
    <mergeCell ref="B4:D4"/>
    <mergeCell ref="G4:I4"/>
    <mergeCell ref="L4:N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630E3-3491-4A71-B063-430EA0F3B1E0}">
  <sheetPr codeName="Sheet1">
    <tabColor theme="3" tint="-0.249977111117893"/>
  </sheetPr>
  <dimension ref="A1:BG378"/>
  <sheetViews>
    <sheetView zoomScale="97" zoomScaleNormal="120" workbookViewId="0">
      <pane xSplit="1" ySplit="6" topLeftCell="B291" activePane="bottomRight" state="frozen"/>
      <selection activeCell="A273" sqref="A273:XFD273"/>
      <selection pane="topRight" activeCell="A273" sqref="A273:XFD273"/>
      <selection pane="bottomLeft" activeCell="A273" sqref="A273:XFD273"/>
      <selection pane="bottomRight" activeCell="K316" sqref="I316:K316"/>
    </sheetView>
  </sheetViews>
  <sheetFormatPr defaultColWidth="8.77734375" defaultRowHeight="13.2" x14ac:dyDescent="0.25"/>
  <cols>
    <col min="1" max="1" width="41.6640625" bestFit="1" customWidth="1"/>
    <col min="2" max="14" width="10.109375" style="6" customWidth="1"/>
    <col min="15" max="15" width="10.109375" customWidth="1"/>
    <col min="16" max="21" width="10.109375" style="6" customWidth="1"/>
    <col min="22" max="22" width="8.77734375" customWidth="1"/>
    <col min="23" max="28" width="10.109375" style="6" customWidth="1"/>
    <col min="30" max="35" width="10.109375" style="6" customWidth="1"/>
    <col min="37" max="37" width="10" style="6" customWidth="1"/>
    <col min="38" max="42" width="10.109375" style="6" customWidth="1"/>
    <col min="44" max="49" width="10.109375" style="6" customWidth="1"/>
  </cols>
  <sheetData>
    <row r="1" spans="1:49" ht="15.6" x14ac:dyDescent="0.25">
      <c r="A1" t="s">
        <v>1</v>
      </c>
      <c r="B1" s="475"/>
      <c r="I1" s="8">
        <f>B7-I7</f>
        <v>60.619646436457288</v>
      </c>
      <c r="J1" s="8">
        <f t="shared" ref="J1:N2" si="0">C7-J7</f>
        <v>61.851981937445316</v>
      </c>
      <c r="K1" s="8">
        <f t="shared" si="0"/>
        <v>62.863452286277152</v>
      </c>
      <c r="L1" s="8">
        <f t="shared" si="0"/>
        <v>63.067460779901467</v>
      </c>
      <c r="M1" s="8">
        <f t="shared" si="0"/>
        <v>63.16441076963747</v>
      </c>
      <c r="N1" s="8">
        <f t="shared" si="0"/>
        <v>63.375460717311626</v>
      </c>
      <c r="P1" s="8">
        <f>I7-P7</f>
        <v>62.229683761819842</v>
      </c>
      <c r="Q1" s="8">
        <f t="shared" ref="Q1:U2" si="1">J7-Q7</f>
        <v>62.962401149761718</v>
      </c>
      <c r="R1" s="8">
        <f t="shared" si="1"/>
        <v>63.72852016505135</v>
      </c>
      <c r="S1" s="8">
        <f t="shared" si="1"/>
        <v>63.368787214147687</v>
      </c>
      <c r="T1" s="8">
        <f t="shared" si="1"/>
        <v>64.183592817687668</v>
      </c>
      <c r="U1" s="8">
        <f t="shared" si="1"/>
        <v>64.491565436705514</v>
      </c>
      <c r="W1" s="8">
        <f>P7-W7</f>
        <v>62.193615479173559</v>
      </c>
      <c r="X1" s="8">
        <f t="shared" ref="X1:AB2" si="2">Q7-X7</f>
        <v>62.918400970577977</v>
      </c>
      <c r="Y1" s="8">
        <f t="shared" si="2"/>
        <v>62.582557298557958</v>
      </c>
      <c r="Z1" s="8">
        <f t="shared" si="2"/>
        <v>63.673217859722172</v>
      </c>
      <c r="AA1" s="8">
        <f t="shared" si="2"/>
        <v>64.267776747386279</v>
      </c>
      <c r="AB1" s="8">
        <f t="shared" si="2"/>
        <v>64.779628250065798</v>
      </c>
      <c r="AD1" s="8">
        <f>W7-AD7</f>
        <v>62.127409463226286</v>
      </c>
      <c r="AE1" s="8">
        <f t="shared" ref="AE1:AI2" si="3">X7-AE7</f>
        <v>61.846921659380996</v>
      </c>
      <c r="AF1" s="8">
        <f t="shared" si="3"/>
        <v>62.844651879662251</v>
      </c>
      <c r="AG1" s="8">
        <f t="shared" si="3"/>
        <v>63.86146076337559</v>
      </c>
      <c r="AH1" s="8">
        <f t="shared" si="3"/>
        <v>65.087574645041514</v>
      </c>
      <c r="AI1" s="8">
        <f t="shared" si="3"/>
        <v>65.812290409599427</v>
      </c>
      <c r="AK1" s="8">
        <f>AD7-AK7</f>
        <v>66.503151968323778</v>
      </c>
      <c r="AL1" s="8">
        <f t="shared" ref="AL1:AP2" si="4">AE7-AL7</f>
        <v>62.139749705692566</v>
      </c>
      <c r="AM1" s="8">
        <f t="shared" si="4"/>
        <v>63.198988139651874</v>
      </c>
      <c r="AN1" s="8">
        <f t="shared" si="4"/>
        <v>64.438244419837702</v>
      </c>
      <c r="AO1" s="8">
        <f t="shared" si="4"/>
        <v>65.552479997885939</v>
      </c>
      <c r="AP1" s="8">
        <f t="shared" si="4"/>
        <v>65.818099651696912</v>
      </c>
      <c r="AR1" s="8">
        <f>AK7-AR7</f>
        <v>60.462893817680651</v>
      </c>
      <c r="AS1" s="8">
        <f t="shared" ref="AS1:AW2" si="5">AL7-AS7</f>
        <v>62.167611431870682</v>
      </c>
      <c r="AT1" s="8">
        <f t="shared" si="5"/>
        <v>63.439525129767162</v>
      </c>
      <c r="AU1" s="8">
        <f t="shared" si="5"/>
        <v>65.200341365679378</v>
      </c>
      <c r="AV1" s="8">
        <f t="shared" si="5"/>
        <v>65.548992799088865</v>
      </c>
      <c r="AW1" s="8">
        <f t="shared" si="5"/>
        <v>65.810614751669846</v>
      </c>
    </row>
    <row r="2" spans="1:49" ht="15.6" x14ac:dyDescent="0.25">
      <c r="A2" t="s">
        <v>569</v>
      </c>
      <c r="B2" s="476"/>
      <c r="I2" s="8">
        <f>B8-I8</f>
        <v>39.132228852415665</v>
      </c>
      <c r="J2" s="8">
        <f t="shared" si="0"/>
        <v>37.938018062554647</v>
      </c>
      <c r="K2" s="8">
        <f t="shared" si="0"/>
        <v>36.956158218368955</v>
      </c>
      <c r="L2" s="8">
        <f t="shared" si="0"/>
        <v>36.337021253876856</v>
      </c>
      <c r="M2" s="8">
        <f t="shared" si="0"/>
        <v>36.373418218717916</v>
      </c>
      <c r="N2" s="8">
        <f t="shared" si="0"/>
        <v>36.052670839384973</v>
      </c>
      <c r="P2" s="8">
        <f>I8-P8</f>
        <v>37.593115207398796</v>
      </c>
      <c r="Q2" s="8">
        <f t="shared" si="1"/>
        <v>36.871452500527312</v>
      </c>
      <c r="R2" s="8">
        <f t="shared" si="1"/>
        <v>36.102257806047646</v>
      </c>
      <c r="S2" s="8">
        <f t="shared" si="1"/>
        <v>36.460672525844984</v>
      </c>
      <c r="T2" s="8">
        <f t="shared" si="1"/>
        <v>35.817524173783795</v>
      </c>
      <c r="U2" s="8">
        <f t="shared" si="1"/>
        <v>35.559113456303066</v>
      </c>
      <c r="W2" s="8">
        <f>P8-W8</f>
        <v>37.596384520826405</v>
      </c>
      <c r="X2" s="8">
        <f t="shared" si="2"/>
        <v>36.871599029421986</v>
      </c>
      <c r="Y2" s="8">
        <f t="shared" si="2"/>
        <v>37.217748863521365</v>
      </c>
      <c r="Z2" s="8">
        <f t="shared" si="2"/>
        <v>36.174599768070038</v>
      </c>
      <c r="AA2" s="8">
        <f t="shared" si="2"/>
        <v>35.742223252613712</v>
      </c>
      <c r="AB2" s="8">
        <f t="shared" si="2"/>
        <v>35.654799691356857</v>
      </c>
      <c r="AD2" s="8">
        <f>W8-AD8</f>
        <v>37.682283786018843</v>
      </c>
      <c r="AE2" s="8">
        <f t="shared" si="3"/>
        <v>37.96425214054284</v>
      </c>
      <c r="AF2" s="8">
        <f t="shared" si="3"/>
        <v>36.954194179633305</v>
      </c>
      <c r="AG2" s="8">
        <f t="shared" si="3"/>
        <v>36.178791682824567</v>
      </c>
      <c r="AH2" s="8">
        <f t="shared" si="3"/>
        <v>36.078265071860187</v>
      </c>
      <c r="AI2" s="8">
        <f t="shared" si="3"/>
        <v>35.912513000423814</v>
      </c>
      <c r="AK2" s="8">
        <f>AD8-AK8</f>
        <v>33.311166318662686</v>
      </c>
      <c r="AL2" s="8">
        <f t="shared" si="4"/>
        <v>37.650250294307625</v>
      </c>
      <c r="AM2" s="8">
        <f t="shared" si="4"/>
        <v>36.811011860348344</v>
      </c>
      <c r="AN2" s="8">
        <f t="shared" si="4"/>
        <v>36.445529547036358</v>
      </c>
      <c r="AO2" s="8">
        <f t="shared" si="4"/>
        <v>36.18037607694032</v>
      </c>
      <c r="AP2" s="8">
        <f t="shared" si="4"/>
        <v>35.915679199366878</v>
      </c>
      <c r="AR2" s="8">
        <f>AK8-AR8</f>
        <v>39.331295415931208</v>
      </c>
      <c r="AS2" s="8">
        <f>AL8-AS8</f>
        <v>37.642036311898437</v>
      </c>
      <c r="AT2" s="8">
        <f>AM8-AT8</f>
        <v>36.596279493980774</v>
      </c>
      <c r="AU2" s="8">
        <f t="shared" si="5"/>
        <v>36.543469687386505</v>
      </c>
      <c r="AV2" s="8">
        <f t="shared" si="5"/>
        <v>36.17548979757953</v>
      </c>
      <c r="AW2" s="8">
        <f t="shared" si="5"/>
        <v>35.914249307722002</v>
      </c>
    </row>
    <row r="3" spans="1:49" ht="15.6" x14ac:dyDescent="0.3">
      <c r="A3" s="4"/>
      <c r="B3" s="196" t="s">
        <v>37</v>
      </c>
      <c r="C3" s="196" t="s">
        <v>38</v>
      </c>
      <c r="D3" s="196" t="s">
        <v>39</v>
      </c>
      <c r="E3" s="196" t="s">
        <v>40</v>
      </c>
      <c r="F3" s="196" t="s">
        <v>41</v>
      </c>
      <c r="G3" s="196" t="s">
        <v>141</v>
      </c>
      <c r="H3" s="196"/>
      <c r="I3" s="196" t="s">
        <v>37</v>
      </c>
      <c r="J3" s="196" t="s">
        <v>38</v>
      </c>
      <c r="K3" s="196" t="s">
        <v>39</v>
      </c>
      <c r="L3" s="196" t="s">
        <v>40</v>
      </c>
      <c r="M3" s="196" t="s">
        <v>41</v>
      </c>
      <c r="N3" s="196" t="s">
        <v>141</v>
      </c>
      <c r="O3" s="196"/>
      <c r="P3" s="196" t="s">
        <v>37</v>
      </c>
      <c r="Q3" s="196" t="s">
        <v>38</v>
      </c>
      <c r="R3" s="196" t="s">
        <v>39</v>
      </c>
      <c r="S3" s="196" t="s">
        <v>40</v>
      </c>
      <c r="T3" s="196" t="s">
        <v>41</v>
      </c>
      <c r="U3" s="196" t="s">
        <v>141</v>
      </c>
      <c r="W3" s="196" t="s">
        <v>37</v>
      </c>
      <c r="X3" s="196" t="s">
        <v>38</v>
      </c>
      <c r="Y3" s="196" t="s">
        <v>39</v>
      </c>
      <c r="Z3" s="196" t="s">
        <v>40</v>
      </c>
      <c r="AA3" s="196" t="s">
        <v>41</v>
      </c>
      <c r="AB3" s="196" t="s">
        <v>141</v>
      </c>
      <c r="AD3" s="196" t="s">
        <v>37</v>
      </c>
      <c r="AE3" s="196" t="s">
        <v>38</v>
      </c>
      <c r="AF3" s="196" t="s">
        <v>39</v>
      </c>
      <c r="AG3" s="196" t="s">
        <v>40</v>
      </c>
      <c r="AH3" s="196" t="s">
        <v>41</v>
      </c>
      <c r="AI3" s="196" t="s">
        <v>141</v>
      </c>
      <c r="AK3" s="196" t="s">
        <v>37</v>
      </c>
      <c r="AL3" s="196" t="s">
        <v>38</v>
      </c>
      <c r="AM3" s="196" t="s">
        <v>39</v>
      </c>
      <c r="AN3" s="196" t="s">
        <v>40</v>
      </c>
      <c r="AO3" s="196" t="s">
        <v>41</v>
      </c>
      <c r="AP3" s="196" t="s">
        <v>141</v>
      </c>
      <c r="AR3" s="196" t="s">
        <v>37</v>
      </c>
      <c r="AS3" s="196" t="s">
        <v>38</v>
      </c>
      <c r="AT3" s="196" t="s">
        <v>39</v>
      </c>
      <c r="AU3" s="196" t="s">
        <v>40</v>
      </c>
      <c r="AV3" s="196" t="s">
        <v>41</v>
      </c>
      <c r="AW3" s="196" t="s">
        <v>141</v>
      </c>
    </row>
    <row r="4" spans="1:49" ht="12.75" customHeight="1" x14ac:dyDescent="0.25">
      <c r="B4"/>
      <c r="C4" s="565"/>
      <c r="D4" s="565"/>
      <c r="E4" s="565"/>
      <c r="F4" s="565"/>
      <c r="G4" s="75"/>
      <c r="I4" s="566" t="s">
        <v>72</v>
      </c>
      <c r="J4" s="566"/>
      <c r="K4" s="566"/>
      <c r="L4" s="566"/>
      <c r="M4" s="566"/>
      <c r="N4" s="75"/>
      <c r="O4" s="6"/>
      <c r="P4" s="565" t="s">
        <v>72</v>
      </c>
      <c r="Q4" s="565"/>
      <c r="R4" s="565"/>
      <c r="S4" s="565"/>
      <c r="T4" s="565"/>
      <c r="U4" s="75"/>
      <c r="W4" s="565" t="s">
        <v>72</v>
      </c>
      <c r="X4" s="565"/>
      <c r="Y4" s="565"/>
      <c r="Z4" s="565"/>
      <c r="AA4" s="565"/>
      <c r="AB4" s="75"/>
      <c r="AD4" s="565" t="s">
        <v>72</v>
      </c>
      <c r="AE4" s="565"/>
      <c r="AF4" s="565"/>
      <c r="AG4" s="565"/>
      <c r="AH4" s="565"/>
      <c r="AI4" s="75"/>
      <c r="AK4" s="565" t="s">
        <v>72</v>
      </c>
      <c r="AL4" s="565"/>
      <c r="AM4" s="565"/>
      <c r="AN4" s="565"/>
      <c r="AO4" s="565"/>
      <c r="AP4" s="75"/>
      <c r="AR4" s="565" t="s">
        <v>72</v>
      </c>
      <c r="AS4" s="565"/>
      <c r="AT4" s="565"/>
      <c r="AU4" s="565"/>
      <c r="AV4" s="565"/>
      <c r="AW4" s="75"/>
    </row>
    <row r="5" spans="1:49" x14ac:dyDescent="0.25">
      <c r="A5" s="13"/>
      <c r="B5" s="376">
        <v>50</v>
      </c>
      <c r="C5" s="376">
        <v>85</v>
      </c>
      <c r="D5" s="376">
        <v>120</v>
      </c>
      <c r="E5" s="376">
        <v>160</v>
      </c>
      <c r="F5" s="376">
        <v>200</v>
      </c>
      <c r="G5" s="376">
        <v>240</v>
      </c>
      <c r="H5" s="99"/>
      <c r="I5" s="474">
        <v>50</v>
      </c>
      <c r="J5" s="474">
        <v>85</v>
      </c>
      <c r="K5" s="474">
        <v>120</v>
      </c>
      <c r="L5" s="474">
        <v>160</v>
      </c>
      <c r="M5" s="474">
        <v>200</v>
      </c>
      <c r="N5" s="474">
        <v>240</v>
      </c>
      <c r="O5" s="99"/>
      <c r="P5" s="376">
        <v>50</v>
      </c>
      <c r="Q5" s="376">
        <v>85</v>
      </c>
      <c r="R5" s="376">
        <v>120</v>
      </c>
      <c r="S5" s="376">
        <v>160</v>
      </c>
      <c r="T5" s="376">
        <v>200</v>
      </c>
      <c r="U5" s="376">
        <v>240</v>
      </c>
      <c r="W5" s="376">
        <v>50</v>
      </c>
      <c r="X5" s="376">
        <v>85</v>
      </c>
      <c r="Y5" s="376">
        <v>120</v>
      </c>
      <c r="Z5" s="376">
        <v>160</v>
      </c>
      <c r="AA5" s="376">
        <v>200</v>
      </c>
      <c r="AB5" s="376">
        <v>240</v>
      </c>
      <c r="AD5" s="376">
        <v>50</v>
      </c>
      <c r="AE5" s="376">
        <v>85</v>
      </c>
      <c r="AF5" s="376">
        <v>120</v>
      </c>
      <c r="AG5" s="376">
        <v>160</v>
      </c>
      <c r="AH5" s="376">
        <v>200</v>
      </c>
      <c r="AI5" s="376">
        <v>240</v>
      </c>
      <c r="AK5" s="376">
        <v>50</v>
      </c>
      <c r="AL5" s="376">
        <v>85</v>
      </c>
      <c r="AM5" s="376">
        <v>120</v>
      </c>
      <c r="AN5" s="376">
        <v>160</v>
      </c>
      <c r="AO5" s="376">
        <v>200</v>
      </c>
      <c r="AP5" s="376">
        <v>240</v>
      </c>
      <c r="AR5" s="376">
        <v>50</v>
      </c>
      <c r="AS5" s="376">
        <v>85</v>
      </c>
      <c r="AT5" s="376">
        <v>120</v>
      </c>
      <c r="AU5" s="376">
        <v>160</v>
      </c>
      <c r="AV5" s="376">
        <v>200</v>
      </c>
      <c r="AW5" s="376">
        <v>240</v>
      </c>
    </row>
    <row r="6" spans="1:49" ht="13.8" thickBot="1" x14ac:dyDescent="0.3">
      <c r="A6" s="306" t="s">
        <v>15</v>
      </c>
      <c r="B6" s="11">
        <v>85</v>
      </c>
      <c r="C6" s="11">
        <v>120</v>
      </c>
      <c r="D6" s="11">
        <v>160</v>
      </c>
      <c r="E6" s="11">
        <v>200</v>
      </c>
      <c r="F6" s="11">
        <v>240</v>
      </c>
      <c r="G6" s="11">
        <v>285</v>
      </c>
      <c r="H6" s="222"/>
      <c r="I6" s="11">
        <v>85</v>
      </c>
      <c r="J6" s="11">
        <v>120</v>
      </c>
      <c r="K6" s="11">
        <v>160</v>
      </c>
      <c r="L6" s="11">
        <v>200</v>
      </c>
      <c r="M6" s="11">
        <v>240</v>
      </c>
      <c r="N6" s="11">
        <v>285</v>
      </c>
      <c r="O6" s="94"/>
      <c r="P6" s="11">
        <v>85</v>
      </c>
      <c r="Q6" s="11">
        <v>120</v>
      </c>
      <c r="R6" s="11">
        <v>160</v>
      </c>
      <c r="S6" s="11">
        <v>200</v>
      </c>
      <c r="T6" s="11">
        <v>240</v>
      </c>
      <c r="U6" s="11">
        <v>285</v>
      </c>
      <c r="W6" s="11">
        <v>85</v>
      </c>
      <c r="X6" s="11">
        <v>120</v>
      </c>
      <c r="Y6" s="11">
        <v>160</v>
      </c>
      <c r="Z6" s="11">
        <v>200</v>
      </c>
      <c r="AA6" s="11">
        <v>240</v>
      </c>
      <c r="AB6" s="11">
        <v>285</v>
      </c>
      <c r="AD6" s="11">
        <v>85</v>
      </c>
      <c r="AE6" s="11">
        <v>120</v>
      </c>
      <c r="AF6" s="11">
        <v>160</v>
      </c>
      <c r="AG6" s="11">
        <v>200</v>
      </c>
      <c r="AH6" s="11">
        <v>240</v>
      </c>
      <c r="AI6" s="11">
        <v>285</v>
      </c>
      <c r="AK6" s="11">
        <v>85</v>
      </c>
      <c r="AL6" s="11">
        <v>120</v>
      </c>
      <c r="AM6" s="11">
        <v>160</v>
      </c>
      <c r="AN6" s="11">
        <v>200</v>
      </c>
      <c r="AO6" s="11">
        <v>240</v>
      </c>
      <c r="AP6" s="11">
        <v>285</v>
      </c>
      <c r="AR6" s="11">
        <v>85</v>
      </c>
      <c r="AS6" s="11">
        <v>120</v>
      </c>
      <c r="AT6" s="11">
        <v>160</v>
      </c>
      <c r="AU6" s="11">
        <v>200</v>
      </c>
      <c r="AV6" s="11">
        <v>240</v>
      </c>
      <c r="AW6" s="11">
        <v>285</v>
      </c>
    </row>
    <row r="7" spans="1:49" x14ac:dyDescent="0.25">
      <c r="A7" t="s">
        <v>1</v>
      </c>
      <c r="B7" s="291">
        <f>IF(B5="","",((((B236-B297)*2000)+((SUM(B9:B229)-2000)*((IF($A8=Nutrients!$B$79,Nutrients!$DA$79,(IF($A8=Nutrients!$B$77,Nutrients!$DA$77,Nutrients!$DA$78)))))))/((IF($A7=Nutrients!$B$8,Nutrients!$DA$8,Nutrients!$DA$9))-((IF($A8=Nutrients!$B$79,Nutrients!$DA$79,(IF($A8=Nutrients!$B$77,Nutrients!$DA$77,Nutrients!$DA$78))))))))</f>
        <v>1323.1904784197848</v>
      </c>
      <c r="C7" s="291">
        <f>IF(C5="","",((((C236-C297)*2000)+((SUM(C9:C229)-2000)*((IF($A8=Nutrients!$B$79,Nutrients!$DA$79,(IF($A8=Nutrients!$B$77,Nutrients!$DA$77,Nutrients!$DA$78)))))))/((IF($A7=Nutrients!$B$8,Nutrients!$DA$8,Nutrients!$DA$9))-((IF($A8=Nutrients!$B$79,Nutrients!$DA$79,(IF($A8=Nutrients!$B$77,Nutrients!$DA$77,Nutrients!$DA$78))))))))</f>
        <v>1438.5863426264264</v>
      </c>
      <c r="D7" s="291">
        <f>IF(D5="","",((((D236-D297)*2000)+((SUM(D9:D229)-2000)*((IF($A8=Nutrients!$B$79,Nutrients!$DA$79,(IF($A8=Nutrients!$B$77,Nutrients!$DA$77,Nutrients!$DA$78)))))))/((IF($A7=Nutrients!$B$8,Nutrients!$DA$8,Nutrients!$DA$9))-((IF($A8=Nutrients!$B$79,Nutrients!$DA$79,(IF($A8=Nutrients!$B$77,Nutrients!$DA$77,Nutrients!$DA$78))))))))</f>
        <v>1538.5624561307404</v>
      </c>
      <c r="E7" s="291">
        <f>IF(E5="","",((((E236-E297)*2000)+((SUM(E9:E229)-2000)*((IF($A8=Nutrients!$B$79,Nutrients!$DA$79,(IF($A8=Nutrients!$B$77,Nutrients!$DA$77,Nutrients!$DA$78)))))))/((IF($A7=Nutrients!$B$8,Nutrients!$DA$8,Nutrients!$DA$9))-((IF($A8=Nutrients!$B$79,Nutrients!$DA$79,(IF($A8=Nutrients!$B$77,Nutrients!$DA$77,Nutrients!$DA$78))))))))</f>
        <v>1622.5648380110952</v>
      </c>
      <c r="F7" s="291">
        <f>IF(F5="","",((((F236-F297)*2000)+((SUM(F9:F229)-2000)*((IF($A8=Nutrients!$B$79,Nutrients!$DA$79,(IF($A8=Nutrients!$B$77,Nutrients!$DA$77,Nutrients!$DA$78)))))))/((IF($A7=Nutrients!$B$8,Nutrients!$DA$8,Nutrients!$DA$9))-((IF($A8=Nutrients!$B$79,Nutrients!$DA$79,(IF($A8=Nutrients!$B$77,Nutrients!$DA$77,Nutrients!$DA$78))))))))</f>
        <v>1679.6960832539069</v>
      </c>
      <c r="G7" s="291">
        <f>IF(G5="","",((((G236-G297)*2000)+((SUM(G9:G229)-2000)*((IF($A8=Nutrients!$B$79,Nutrients!$DA$79,(IF($A8=Nutrients!$B$77,Nutrients!$DA$77,Nutrients!$DA$78)))))))/((IF($A7=Nutrients!$B$8,Nutrients!$DA$8,Nutrients!$DA$9))-((IF($A8=Nutrients!$B$79,Nutrients!$DA$79,(IF($A8=Nutrients!$B$77,Nutrients!$DA$77,Nutrients!$DA$78))))))))</f>
        <v>1707.9835561942639</v>
      </c>
      <c r="H7" s="291"/>
      <c r="I7" s="291">
        <f>IF(I5="","",((((I236-I297)*2000)+((SUM(I9:I229)-2000)*((IF($A8=Nutrients!$B$79,Nutrients!$DA$79,(IF($A8=Nutrients!$B$77,Nutrients!$DA$77,Nutrients!$DA$78)))))))/((IF($A7=Nutrients!$B$8,Nutrients!$DA$8,Nutrients!$DA$9))-((IF($A8=Nutrients!$B$79,Nutrients!$DA$79,(IF($A8=Nutrients!$B$77,Nutrients!$DA$77,Nutrients!$DA$78))))))))</f>
        <v>1262.5708319833275</v>
      </c>
      <c r="J7" s="291">
        <f>IF(J5="","",((((J236-J297)*2000)+((SUM(J9:J229)-2000)*((IF($A8=Nutrients!$B$79,Nutrients!$DA$79,(IF($A8=Nutrients!$B$77,Nutrients!$DA$77,Nutrients!$DA$78)))))))/((IF($A7=Nutrients!$B$8,Nutrients!$DA$8,Nutrients!$DA$9))-((IF($A8=Nutrients!$B$79,Nutrients!$DA$79,(IF($A8=Nutrients!$B$77,Nutrients!$DA$77,Nutrients!$DA$78))))))))</f>
        <v>1376.734360688981</v>
      </c>
      <c r="K7" s="291">
        <f>IF(K5="","",((((K236-K297)*2000)+((SUM(K9:K229)-2000)*((IF($A8=Nutrients!$B$79,Nutrients!$DA$79,(IF($A8=Nutrients!$B$77,Nutrients!$DA$77,Nutrients!$DA$78)))))))/((IF($A7=Nutrients!$B$8,Nutrients!$DA$8,Nutrients!$DA$9))-((IF($A8=Nutrients!$B$79,Nutrients!$DA$79,(IF($A8=Nutrients!$B$77,Nutrients!$DA$77,Nutrients!$DA$78))))))))</f>
        <v>1475.6990038444633</v>
      </c>
      <c r="L7" s="291">
        <f>IF(L5="","",((((L236-L297)*2000)+((SUM(L9:L229)-2000)*((IF($A8=Nutrients!$B$79,Nutrients!$DA$79,(IF($A8=Nutrients!$B$77,Nutrients!$DA$77,Nutrients!$DA$78)))))))/((IF($A7=Nutrients!$B$8,Nutrients!$DA$8,Nutrients!$DA$9))-((IF($A8=Nutrients!$B$79,Nutrients!$DA$79,(IF($A8=Nutrients!$B$77,Nutrients!$DA$77,Nutrients!$DA$78))))))))</f>
        <v>1559.4973772311937</v>
      </c>
      <c r="M7" s="291">
        <f>IF(M5="","",((((M236-M297)*2000)+((SUM(M9:M229)-2000)*((IF($A8=Nutrients!$B$79,Nutrients!$DA$79,(IF($A8=Nutrients!$B$77,Nutrients!$DA$77,Nutrients!$DA$78)))))))/((IF($A7=Nutrients!$B$8,Nutrients!$DA$8,Nutrients!$DA$9))-((IF($A8=Nutrients!$B$79,Nutrients!$DA$79,(IF($A8=Nutrients!$B$77,Nutrients!$DA$77,Nutrients!$DA$78))))))))</f>
        <v>1616.5316724842694</v>
      </c>
      <c r="N7" s="291">
        <f>IF(N5="","",((((N236-N297)*2000)+((SUM(N9:N229)-2000)*((IF($A8=Nutrients!$B$79,Nutrients!$DA$79,(IF($A8=Nutrients!$B$77,Nutrients!$DA$77,Nutrients!$DA$78)))))))/((IF($A7=Nutrients!$B$8,Nutrients!$DA$8,Nutrients!$DA$9))-((IF($A8=Nutrients!$B$79,Nutrients!$DA$79,(IF($A8=Nutrients!$B$77,Nutrients!$DA$77,Nutrients!$DA$78))))))))</f>
        <v>1644.6080954769523</v>
      </c>
      <c r="O7" s="30"/>
      <c r="P7" s="291">
        <f>IF(P5="","",((((P236-P297)*2000)+((SUM(P9:P229)-2000)*((IF($A8=Nutrients!$B$79,Nutrients!$DA$79,(IF($A8=Nutrients!$B$77,Nutrients!$DA$77,Nutrients!$DA$78)))))))/((IF($A7=Nutrients!$B$8,Nutrients!$DA$8,Nutrients!$DA$9))-((IF($A8=Nutrients!$B$79,Nutrients!$DA$79,(IF($A8=Nutrients!$B$77,Nutrients!$DA$77,Nutrients!$DA$78))))))))</f>
        <v>1200.3411482215076</v>
      </c>
      <c r="Q7" s="291">
        <f>IF(Q5="","",((((Q236-Q297)*2000)+((SUM(Q9:Q229)-2000)*((IF($A8=Nutrients!$B$79,Nutrients!$DA$79,(IF($A8=Nutrients!$B$77,Nutrients!$DA$77,Nutrients!$DA$78)))))))/((IF($A7=Nutrients!$B$8,Nutrients!$DA$8,Nutrients!$DA$9))-((IF($A8=Nutrients!$B$79,Nutrients!$DA$79,(IF($A8=Nutrients!$B$77,Nutrients!$DA$77,Nutrients!$DA$78))))))))</f>
        <v>1313.7719595392193</v>
      </c>
      <c r="R7" s="291">
        <f>IF(R5="","",((((R236-R297)*2000)+((SUM(R9:R229)-2000)*((IF($A8=Nutrients!$B$79,Nutrients!$DA$79,(IF($A8=Nutrients!$B$77,Nutrients!$DA$77,Nutrients!$DA$78)))))))/((IF($A7=Nutrients!$B$8,Nutrients!$DA$8,Nutrients!$DA$9))-((IF($A8=Nutrients!$B$79,Nutrients!$DA$79,(IF($A8=Nutrients!$B$77,Nutrients!$DA$77,Nutrients!$DA$78))))))))</f>
        <v>1411.9704836794119</v>
      </c>
      <c r="S7" s="291">
        <f>IF(S5="","",((((S236-S297)*2000)+((SUM(S9:S229)-2000)*((IF($A8=Nutrients!$B$79,Nutrients!$DA$79,(IF($A8=Nutrients!$B$77,Nutrients!$DA$77,Nutrients!$DA$78)))))))/((IF($A7=Nutrients!$B$8,Nutrients!$DA$8,Nutrients!$DA$9))-((IF($A8=Nutrients!$B$79,Nutrients!$DA$79,(IF($A8=Nutrients!$B$77,Nutrients!$DA$77,Nutrients!$DA$78))))))))</f>
        <v>1496.128590017046</v>
      </c>
      <c r="T7" s="291">
        <f>IF(T5="","",((((T236-T297)*2000)+((SUM(T9:T229)-2000)*((IF($A8=Nutrients!$B$79,Nutrients!$DA$79,(IF($A8=Nutrients!$B$77,Nutrients!$DA$77,Nutrients!$DA$78)))))))/((IF($A7=Nutrients!$B$8,Nutrients!$DA$8,Nutrients!$DA$9))-((IF($A8=Nutrients!$B$79,Nutrients!$DA$79,(IF($A8=Nutrients!$B$77,Nutrients!$DA$77,Nutrients!$DA$78))))))))</f>
        <v>1552.3480796665817</v>
      </c>
      <c r="U7" s="291">
        <f>IF(U5="","",((((U236-U297)*2000)+((SUM(U9:U229)-2000)*((IF($A8=Nutrients!$B$79,Nutrients!$DA$79,(IF($A8=Nutrients!$B$77,Nutrients!$DA$77,Nutrients!$DA$78)))))))/((IF($A7=Nutrients!$B$8,Nutrients!$DA$8,Nutrients!$DA$9))-((IF($A8=Nutrients!$B$79,Nutrients!$DA$79,(IF($A8=Nutrients!$B$77,Nutrients!$DA$77,Nutrients!$DA$78))))))))</f>
        <v>1580.1165300402467</v>
      </c>
      <c r="W7" s="291">
        <f>IF(W5="","",((((W236-W297)*2000)+((SUM(W9:W229)-2000)*((IF($A8=Nutrients!$B$79,Nutrients!$DA$79,(IF($A8=Nutrients!$B$77,Nutrients!$DA$77,Nutrients!$DA$78)))))))/((IF($A7=Nutrients!$B$8,Nutrients!$DA$8,Nutrients!$DA$9))-((IF($A8=Nutrients!$B$79,Nutrients!$DA$79,(IF($A8=Nutrients!$B$77,Nutrients!$DA$77,Nutrients!$DA$78))))))))</f>
        <v>1138.1475327423341</v>
      </c>
      <c r="X7" s="291">
        <f>IF(X5="","",((((X236-X297)*2000)+((SUM(X9:X229)-2000)*((IF($A8=Nutrients!$B$79,Nutrients!$DA$79,(IF($A8=Nutrients!$B$77,Nutrients!$DA$77,Nutrients!$DA$78)))))))/((IF($A7=Nutrients!$B$8,Nutrients!$DA$8,Nutrients!$DA$9))-((IF($A8=Nutrients!$B$79,Nutrients!$DA$79,(IF($A8=Nutrients!$B$77,Nutrients!$DA$77,Nutrients!$DA$78))))))))</f>
        <v>1250.8535585686413</v>
      </c>
      <c r="Y7" s="291">
        <f>IF(Y5="","",((((Y236-Y297)*2000)+((SUM(Y9:Y229)-2000)*((IF($A8=Nutrients!$B$79,Nutrients!$DA$79,(IF($A8=Nutrients!$B$77,Nutrients!$DA$77,Nutrients!$DA$78)))))))/((IF($A7=Nutrients!$B$8,Nutrients!$DA$8,Nutrients!$DA$9))-((IF($A8=Nutrients!$B$79,Nutrients!$DA$79,(IF($A8=Nutrients!$B$77,Nutrients!$DA$77,Nutrients!$DA$78))))))))</f>
        <v>1349.387926380854</v>
      </c>
      <c r="Z7" s="291">
        <f>IF(Z5="","",((((Z236-Z297)*2000)+((SUM(Z9:Z229)-2000)*((IF($A8=Nutrients!$B$79,Nutrients!$DA$79,(IF($A8=Nutrients!$B$77,Nutrients!$DA$77,Nutrients!$DA$78)))))))/((IF($A7=Nutrients!$B$8,Nutrients!$DA$8,Nutrients!$DA$9))-((IF($A8=Nutrients!$B$79,Nutrients!$DA$79,(IF($A8=Nutrients!$B$77,Nutrients!$DA$77,Nutrients!$DA$78))))))))</f>
        <v>1432.4553721573238</v>
      </c>
      <c r="AA7" s="291">
        <f>IF(AA5="","",((((AA236-AA297)*2000)+((SUM(AA9:AA229)-2000)*((IF($A8=Nutrients!$B$79,Nutrients!$DA$79,(IF($A8=Nutrients!$B$77,Nutrients!$DA$77,Nutrients!$DA$78)))))))/((IF($A7=Nutrients!$B$8,Nutrients!$DA$8,Nutrients!$DA$9))-((IF($A8=Nutrients!$B$79,Nutrients!$DA$79,(IF($A8=Nutrients!$B$77,Nutrients!$DA$77,Nutrients!$DA$78))))))))</f>
        <v>1488.0803029191954</v>
      </c>
      <c r="AB7" s="291">
        <f>IF(AB5="","",((((AB236-AB297)*2000)+((SUM(AB9:AB229)-2000)*((IF($A8=Nutrients!$B$79,Nutrients!$DA$79,(IF($A8=Nutrients!$B$77,Nutrients!$DA$77,Nutrients!$DA$78)))))))/((IF($A7=Nutrients!$B$8,Nutrients!$DA$8,Nutrients!$DA$9))-((IF($A8=Nutrients!$B$79,Nutrients!$DA$79,(IF($A8=Nutrients!$B$77,Nutrients!$DA$77,Nutrients!$DA$78))))))))</f>
        <v>1515.3369017901809</v>
      </c>
      <c r="AD7" s="291">
        <f>IF(AD5="","",((((AD236-AD297)*2000)+((SUM(AD9:AD229)-2000)*((IF($A8=Nutrients!$B$79,Nutrients!$DA$79,(IF($A8=Nutrients!$B$77,Nutrients!$DA$77,Nutrients!$DA$78)))))))/((IF($A7=Nutrients!$B$8,Nutrients!$DA$8,Nutrients!$DA$9))-((IF($A8=Nutrients!$B$79,Nutrients!$DA$79,(IF($A8=Nutrients!$B$77,Nutrients!$DA$77,Nutrients!$DA$78))))))))</f>
        <v>1076.0201232791078</v>
      </c>
      <c r="AE7" s="291">
        <f>IF(AE5="","",((((AE236-AE297)*2000)+((SUM(AE9:AE229)-2000)*((IF($A8=Nutrients!$B$79,Nutrients!$DA$79,(IF($A8=Nutrients!$B$77,Nutrients!$DA$77,Nutrients!$DA$78)))))))/((IF($A7=Nutrients!$B$8,Nutrients!$DA$8,Nutrients!$DA$9))-((IF($A8=Nutrients!$B$79,Nutrients!$DA$79,(IF($A8=Nutrients!$B$77,Nutrients!$DA$77,Nutrients!$DA$78))))))))</f>
        <v>1189.0066369092604</v>
      </c>
      <c r="AF7" s="291">
        <f>IF(AF5="","",((((AF236-AF297)*2000)+((SUM(AF9:AF229)-2000)*((IF($A8=Nutrients!$B$79,Nutrients!$DA$79,(IF($A8=Nutrients!$B$77,Nutrients!$DA$77,Nutrients!$DA$78)))))))/((IF($A7=Nutrients!$B$8,Nutrients!$DA$8,Nutrients!$DA$9))-((IF($A8=Nutrients!$B$79,Nutrients!$DA$79,(IF($A8=Nutrients!$B$77,Nutrients!$DA$77,Nutrients!$DA$78))))))))</f>
        <v>1286.5432745011917</v>
      </c>
      <c r="AG7" s="291">
        <f>IF(AG5="","",((((AG236-AG297)*2000)+((SUM(AG9:AG229)-2000)*((IF($A8=Nutrients!$B$79,Nutrients!$DA$79,(IF($A8=Nutrients!$B$77,Nutrients!$DA$77,Nutrients!$DA$78)))))))/((IF($A7=Nutrients!$B$8,Nutrients!$DA$8,Nutrients!$DA$9))-((IF($A8=Nutrients!$B$79,Nutrients!$DA$79,(IF($A8=Nutrients!$B$77,Nutrients!$DA$77,Nutrients!$DA$78))))))))</f>
        <v>1368.5939113939482</v>
      </c>
      <c r="AH7" s="291">
        <f>IF(AH5="","",((((AH236-AH297)*2000)+((SUM(AH9:AH229)-2000)*((IF($A8=Nutrients!$B$79,Nutrients!$DA$79,(IF($A8=Nutrients!$B$77,Nutrients!$DA$77,Nutrients!$DA$78)))))))/((IF($A7=Nutrients!$B$8,Nutrients!$DA$8,Nutrients!$DA$9))-((IF($A8=Nutrients!$B$79,Nutrients!$DA$79,(IF($A8=Nutrients!$B$77,Nutrients!$DA$77,Nutrients!$DA$78))))))))</f>
        <v>1422.9927282741539</v>
      </c>
      <c r="AI7" s="291">
        <f>IF(AI5="","",((((AI236-AI297)*2000)+((SUM(AI9:AI229)-2000)*((IF($A8=Nutrients!$B$79,Nutrients!$DA$79,(IF($A8=Nutrients!$B$77,Nutrients!$DA$77,Nutrients!$DA$78)))))))/((IF($A7=Nutrients!$B$8,Nutrients!$DA$8,Nutrients!$DA$9))-((IF($A8=Nutrients!$B$79,Nutrients!$DA$79,(IF($A8=Nutrients!$B$77,Nutrients!$DA$77,Nutrients!$DA$78))))))))</f>
        <v>1449.5246113805815</v>
      </c>
      <c r="AK7" s="291">
        <f>IF(AK5="","",((((AK236-AK297)*2000)+((SUM(AK9:AK229)-2000)*((IF($A8=Nutrients!$B$79,Nutrients!$DA$79,(IF($A8=Nutrients!$B$77,Nutrients!$DA$77,Nutrients!$DA$78)))))))/((IF($A7=Nutrients!$B$8,Nutrients!$DA$8,Nutrients!$DA$9))-((IF($A8=Nutrients!$B$79,Nutrients!$DA$79,(IF($A8=Nutrients!$B$77,Nutrients!$DA$77,Nutrients!$DA$78))))))))</f>
        <v>1009.516971310784</v>
      </c>
      <c r="AL7" s="291">
        <f>IF(AL5="","",((((AL236-AL297)*2000)+((SUM(AL9:AL229)-2000)*((IF($A8=Nutrients!$B$79,Nutrients!$DA$79,(IF($A8=Nutrients!$B$77,Nutrients!$DA$77,Nutrients!$DA$78)))))))/((IF($A7=Nutrients!$B$8,Nutrients!$DA$8,Nutrients!$DA$9))-((IF($A8=Nutrients!$B$79,Nutrients!$DA$79,(IF($A8=Nutrients!$B$77,Nutrients!$DA$77,Nutrients!$DA$78))))))))</f>
        <v>1126.8668872035678</v>
      </c>
      <c r="AM7" s="291">
        <f>IF(AM5="","",((((AM236-AM297)*2000)+((SUM(AM9:AM229)-2000)*((IF($A8=Nutrients!$B$79,Nutrients!$DA$79,(IF($A8=Nutrients!$B$77,Nutrients!$DA$77,Nutrients!$DA$78)))))))/((IF($A7=Nutrients!$B$8,Nutrients!$DA$8,Nutrients!$DA$9))-((IF($A8=Nutrients!$B$79,Nutrients!$DA$79,(IF($A8=Nutrients!$B$77,Nutrients!$DA$77,Nutrients!$DA$78))))))))</f>
        <v>1223.3442863615398</v>
      </c>
      <c r="AN7" s="291">
        <f>IF(AN5="","",((((AN236-AN297)*2000)+((SUM(AN9:AN229)-2000)*((IF($A8=Nutrients!$B$79,Nutrients!$DA$79,(IF($A8=Nutrients!$B$77,Nutrients!$DA$77,Nutrients!$DA$78)))))))/((IF($A7=Nutrients!$B$8,Nutrients!$DA$8,Nutrients!$DA$9))-((IF($A8=Nutrients!$B$79,Nutrients!$DA$79,(IF($A8=Nutrients!$B$77,Nutrients!$DA$77,Nutrients!$DA$78))))))))</f>
        <v>1304.1556669741105</v>
      </c>
      <c r="AO7" s="291">
        <f>IF(AO5="","",((((AO236-AO297)*2000)+((SUM(AO9:AO229)-2000)*((IF($A8=Nutrients!$B$79,Nutrients!$DA$79,(IF($A8=Nutrients!$B$77,Nutrients!$DA$77,Nutrients!$DA$78)))))))/((IF($A7=Nutrients!$B$8,Nutrients!$DA$8,Nutrients!$DA$9))-((IF($A8=Nutrients!$B$79,Nutrients!$DA$79,(IF($A8=Nutrients!$B$77,Nutrients!$DA$77,Nutrients!$DA$78))))))))</f>
        <v>1357.440248276268</v>
      </c>
      <c r="AP7" s="291">
        <f>IF(AP5="","",((((AP236-AP297)*2000)+((SUM(AP9:AP229)-2000)*((IF($A8=Nutrients!$B$79,Nutrients!$DA$79,(IF($A8=Nutrients!$B$77,Nutrients!$DA$77,Nutrients!$DA$78)))))))/((IF($A7=Nutrients!$B$8,Nutrients!$DA$8,Nutrients!$DA$9))-((IF($A8=Nutrients!$B$79,Nutrients!$DA$79,(IF($A8=Nutrients!$B$77,Nutrients!$DA$77,Nutrients!$DA$78))))))))</f>
        <v>1383.7065117288846</v>
      </c>
      <c r="AR7" s="291">
        <f>IF(AR5="","",((((AR236-AR297)*2000)+((SUM(AR9:AR229)-2000)*((IF($A8=Nutrients!$B$79,Nutrients!$DA$79,(IF($A8=Nutrients!$B$77,Nutrients!$DA$77,Nutrients!$DA$78)))))))/((IF($A7=Nutrients!$B$8,Nutrients!$DA$8,Nutrients!$DA$9))-((IF($A8=Nutrients!$B$79,Nutrients!$DA$79,(IF($A8=Nutrients!$B$77,Nutrients!$DA$77,Nutrients!$DA$78))))))))</f>
        <v>949.05407749310336</v>
      </c>
      <c r="AS7" s="291">
        <f>IF(AS5="","",((((AS236-AS297)*2000)+((SUM(AS9:AS229)-2000)*((IF($A8=Nutrients!$B$79,Nutrients!$DA$79,(IF($A8=Nutrients!$B$77,Nutrients!$DA$77,Nutrients!$DA$78)))))))/((IF($A7=Nutrients!$B$8,Nutrients!$DA$8,Nutrients!$DA$9))-((IF($A8=Nutrients!$B$79,Nutrients!$DA$79,(IF($A8=Nutrients!$B$77,Nutrients!$DA$77,Nutrients!$DA$78))))))))</f>
        <v>1064.6992757716971</v>
      </c>
      <c r="AT7" s="291">
        <f>IF(AT5="","",((((AT236-AT297)*2000)+((SUM(AT9:AT229)-2000)*((IF($A8=Nutrients!$B$79,Nutrients!$DA$79,(IF($A8=Nutrients!$B$77,Nutrients!$DA$77,Nutrients!$DA$78)))))))/((IF($A7=Nutrients!$B$8,Nutrients!$DA$8,Nutrients!$DA$9))-((IF($A8=Nutrients!$B$79,Nutrients!$DA$79,(IF($A8=Nutrients!$B$77,Nutrients!$DA$77,Nutrients!$DA$78))))))))</f>
        <v>1159.9047612317727</v>
      </c>
      <c r="AU7" s="291">
        <f>IF(AU5="","",((((AU236-AU297)*2000)+((SUM(AU9:AU229)-2000)*((IF($A8=Nutrients!$B$79,Nutrients!$DA$79,(IF($A8=Nutrients!$B$77,Nutrients!$DA$77,Nutrients!$DA$78)))))))/((IF($A7=Nutrients!$B$8,Nutrients!$DA$8,Nutrients!$DA$9))-((IF($A8=Nutrients!$B$79,Nutrients!$DA$79,(IF($A8=Nutrients!$B$77,Nutrients!$DA$77,Nutrients!$DA$78))))))))</f>
        <v>1238.9553256084312</v>
      </c>
      <c r="AV7" s="291">
        <f>IF(AV5="","",((((AV236-AV297)*2000)+((SUM(AV9:AV229)-2000)*((IF($A8=Nutrients!$B$79,Nutrients!$DA$79,(IF($A8=Nutrients!$B$77,Nutrients!$DA$77,Nutrients!$DA$78)))))))/((IF($A7=Nutrients!$B$8,Nutrients!$DA$8,Nutrients!$DA$9))-((IF($A8=Nutrients!$B$79,Nutrients!$DA$79,(IF($A8=Nutrients!$B$77,Nutrients!$DA$77,Nutrients!$DA$78))))))))</f>
        <v>1291.8912554771791</v>
      </c>
      <c r="AW7" s="291">
        <f>IF(AW5="","",((((AW236-AW297)*2000)+((SUM(AW9:AW229)-2000)*((IF($A8=Nutrients!$B$79,Nutrients!$DA$79,(IF($A8=Nutrients!$B$77,Nutrients!$DA$77,Nutrients!$DA$78)))))))/((IF($A7=Nutrients!$B$8,Nutrients!$DA$8,Nutrients!$DA$9))-((IF($A8=Nutrients!$B$79,Nutrients!$DA$79,(IF($A8=Nutrients!$B$77,Nutrients!$DA$77,Nutrients!$DA$78))))))))</f>
        <v>1317.8958969772148</v>
      </c>
    </row>
    <row r="8" spans="1:49" x14ac:dyDescent="0.25">
      <c r="A8" t="s">
        <v>295</v>
      </c>
      <c r="B8" s="291">
        <f t="shared" ref="B8:G8" si="6">IF(B5="","",2000-SUM(B9:B218)-B7)</f>
        <v>618.86019033712819</v>
      </c>
      <c r="C8" s="291">
        <f t="shared" si="6"/>
        <v>508.40076632216437</v>
      </c>
      <c r="D8" s="291">
        <f t="shared" si="6"/>
        <v>413.17469083498395</v>
      </c>
      <c r="E8" s="291">
        <f t="shared" si="6"/>
        <v>332.93731204963137</v>
      </c>
      <c r="F8" s="291">
        <f t="shared" si="6"/>
        <v>279.42017973722363</v>
      </c>
      <c r="G8" s="291">
        <f t="shared" si="6"/>
        <v>252.24678261106305</v>
      </c>
      <c r="H8" s="291"/>
      <c r="I8" s="291">
        <f t="shared" ref="I8:N8" si="7">IF(I5="","",2000-SUM(I9:I220)-I7)</f>
        <v>579.72796148471252</v>
      </c>
      <c r="J8" s="291">
        <f t="shared" si="7"/>
        <v>470.46274825960973</v>
      </c>
      <c r="K8" s="291">
        <f t="shared" si="7"/>
        <v>376.21853261661499</v>
      </c>
      <c r="L8" s="291">
        <f t="shared" si="7"/>
        <v>296.60029079575452</v>
      </c>
      <c r="M8" s="291">
        <f t="shared" si="7"/>
        <v>243.04676151850572</v>
      </c>
      <c r="N8" s="291">
        <f t="shared" si="7"/>
        <v>216.19411177167808</v>
      </c>
      <c r="O8" s="30"/>
      <c r="P8" s="291">
        <f t="shared" ref="P8:U8" si="8">IF(P5="","",2000-SUM(P9:P220)-P7)</f>
        <v>542.13484627731373</v>
      </c>
      <c r="Q8" s="291">
        <f t="shared" si="8"/>
        <v>433.59129575908241</v>
      </c>
      <c r="R8" s="291">
        <f t="shared" si="8"/>
        <v>340.11627481056735</v>
      </c>
      <c r="S8" s="291">
        <f t="shared" si="8"/>
        <v>260.13961826990953</v>
      </c>
      <c r="T8" s="291">
        <f t="shared" si="8"/>
        <v>207.22923734472192</v>
      </c>
      <c r="U8" s="291">
        <f t="shared" si="8"/>
        <v>180.63499831537501</v>
      </c>
      <c r="W8" s="291">
        <f t="shared" ref="W8:AB8" si="9">IF(W5="","",2000-SUM(W9:W220)-W7)</f>
        <v>504.53846175648732</v>
      </c>
      <c r="X8" s="291">
        <f t="shared" si="9"/>
        <v>396.71969672966043</v>
      </c>
      <c r="Y8" s="291">
        <f t="shared" si="9"/>
        <v>302.89852594704598</v>
      </c>
      <c r="Z8" s="291">
        <f t="shared" si="9"/>
        <v>223.9650185018395</v>
      </c>
      <c r="AA8" s="291">
        <f t="shared" si="9"/>
        <v>171.48701409210821</v>
      </c>
      <c r="AB8" s="291">
        <f t="shared" si="9"/>
        <v>144.98019862401816</v>
      </c>
      <c r="AD8" s="291">
        <f t="shared" ref="AD8:AI8" si="10">IF(AD5="","",2000-SUM(AD9:AD220)-AD7)</f>
        <v>466.85617797046848</v>
      </c>
      <c r="AE8" s="291">
        <f t="shared" si="10"/>
        <v>358.75544458911759</v>
      </c>
      <c r="AF8" s="291">
        <f t="shared" si="10"/>
        <v>265.94433176741268</v>
      </c>
      <c r="AG8" s="291">
        <f t="shared" si="10"/>
        <v>187.78622681901493</v>
      </c>
      <c r="AH8" s="291">
        <f t="shared" si="10"/>
        <v>135.40874902024802</v>
      </c>
      <c r="AI8" s="291">
        <f t="shared" si="10"/>
        <v>109.06768562359434</v>
      </c>
      <c r="AK8" s="291">
        <f t="shared" ref="AK8:AP8" si="11">IF(AK5="","",2000-SUM(AK9:AK220)-AK7)</f>
        <v>433.54501165180579</v>
      </c>
      <c r="AL8" s="291">
        <f t="shared" si="11"/>
        <v>321.10519429480996</v>
      </c>
      <c r="AM8" s="291">
        <f t="shared" si="11"/>
        <v>229.13331990706433</v>
      </c>
      <c r="AN8" s="291">
        <f t="shared" si="11"/>
        <v>151.34069727197857</v>
      </c>
      <c r="AO8" s="291">
        <f t="shared" si="11"/>
        <v>99.228372943307704</v>
      </c>
      <c r="AP8" s="291">
        <f t="shared" si="11"/>
        <v>73.152006424227466</v>
      </c>
      <c r="AR8" s="291">
        <f t="shared" ref="AR8:AW8" si="12">IF(AR5="","",2000-SUM(AR9:AR220)-AR7)</f>
        <v>394.21371623587459</v>
      </c>
      <c r="AS8" s="291">
        <f t="shared" si="12"/>
        <v>283.46315798291153</v>
      </c>
      <c r="AT8" s="291">
        <f t="shared" si="12"/>
        <v>192.53704041308356</v>
      </c>
      <c r="AU8" s="291">
        <f t="shared" si="12"/>
        <v>114.79722758459206</v>
      </c>
      <c r="AV8" s="291">
        <f t="shared" si="12"/>
        <v>63.052883145728174</v>
      </c>
      <c r="AW8" s="291">
        <f t="shared" si="12"/>
        <v>37.237757116505463</v>
      </c>
    </row>
    <row r="9" spans="1:49" ht="13.05" hidden="1" customHeight="1" x14ac:dyDescent="0.25">
      <c r="A9" t="str">
        <f>Nutrients!B8</f>
        <v>Corn</v>
      </c>
      <c r="B9" s="99"/>
      <c r="C9" s="99"/>
      <c r="D9" s="99"/>
      <c r="E9" s="99"/>
      <c r="F9" s="99"/>
      <c r="G9" s="99"/>
      <c r="H9" s="99"/>
      <c r="I9" s="99"/>
      <c r="J9" s="99"/>
      <c r="K9" s="99"/>
      <c r="L9" s="99"/>
      <c r="M9" s="99"/>
      <c r="N9" s="99"/>
      <c r="O9" s="10"/>
      <c r="P9" s="99"/>
      <c r="Q9" s="99"/>
      <c r="R9" s="99"/>
      <c r="S9" s="99"/>
      <c r="T9" s="99"/>
      <c r="U9" s="99"/>
      <c r="W9" s="99"/>
      <c r="X9" s="99"/>
      <c r="Y9" s="99"/>
      <c r="Z9" s="99"/>
      <c r="AA9" s="99"/>
      <c r="AB9" s="99"/>
      <c r="AD9" s="99"/>
      <c r="AE9" s="99"/>
      <c r="AF9" s="99"/>
      <c r="AG9" s="99"/>
      <c r="AH9" s="99"/>
      <c r="AI9" s="99"/>
      <c r="AK9" s="99"/>
      <c r="AL9" s="99"/>
      <c r="AM9" s="99"/>
      <c r="AN9" s="99"/>
      <c r="AO9" s="99"/>
      <c r="AP9" s="99"/>
      <c r="AR9" s="99"/>
      <c r="AS9" s="99"/>
      <c r="AT9" s="99"/>
      <c r="AU9" s="99"/>
      <c r="AV9" s="99"/>
      <c r="AW9" s="99"/>
    </row>
    <row r="10" spans="1:49" ht="13.05" hidden="1" customHeight="1" x14ac:dyDescent="0.25">
      <c r="A10" t="str">
        <f>Nutrients!B9</f>
        <v>Milo</v>
      </c>
      <c r="B10" s="99"/>
      <c r="C10" s="99"/>
      <c r="D10" s="99"/>
      <c r="E10" s="99"/>
      <c r="F10" s="99"/>
      <c r="G10" s="99"/>
      <c r="H10" s="99"/>
      <c r="I10" s="99"/>
      <c r="J10" s="99"/>
      <c r="K10" s="99"/>
      <c r="L10" s="99"/>
      <c r="M10" s="99"/>
      <c r="N10" s="99"/>
      <c r="O10" s="10"/>
      <c r="P10" s="99"/>
      <c r="Q10" s="99"/>
      <c r="R10" s="99"/>
      <c r="S10" s="99"/>
      <c r="T10" s="99"/>
      <c r="U10" s="99"/>
      <c r="W10" s="99"/>
      <c r="X10" s="99"/>
      <c r="Y10" s="99"/>
      <c r="Z10" s="99"/>
      <c r="AA10" s="99"/>
      <c r="AB10" s="99"/>
      <c r="AD10" s="99"/>
      <c r="AE10" s="99"/>
      <c r="AF10" s="99"/>
      <c r="AG10" s="99"/>
      <c r="AH10" s="99"/>
      <c r="AI10" s="99"/>
      <c r="AK10" s="99"/>
      <c r="AL10" s="99"/>
      <c r="AM10" s="99"/>
      <c r="AN10" s="99"/>
      <c r="AO10" s="99"/>
      <c r="AP10" s="99"/>
      <c r="AR10" s="99"/>
      <c r="AS10" s="99"/>
      <c r="AT10" s="99"/>
      <c r="AU10" s="99"/>
      <c r="AV10" s="99"/>
      <c r="AW10" s="99"/>
    </row>
    <row r="11" spans="1:49" ht="13.05" hidden="1" customHeight="1" x14ac:dyDescent="0.25">
      <c r="A11" t="str">
        <f>Nutrients!B10</f>
        <v>Alfalfa Meal</v>
      </c>
      <c r="B11" s="106"/>
      <c r="C11" s="106"/>
      <c r="D11" s="106"/>
      <c r="E11" s="106"/>
      <c r="F11" s="106"/>
      <c r="G11" s="106"/>
      <c r="H11" s="106"/>
      <c r="I11" s="106"/>
      <c r="J11" s="106"/>
      <c r="K11" s="106"/>
      <c r="L11" s="106"/>
      <c r="M11" s="106"/>
      <c r="N11" s="106"/>
      <c r="O11" s="29"/>
      <c r="P11" s="106"/>
      <c r="Q11" s="106"/>
      <c r="R11" s="106"/>
      <c r="S11" s="106"/>
      <c r="T11" s="106"/>
      <c r="U11" s="106"/>
      <c r="W11" s="106"/>
      <c r="X11" s="106"/>
      <c r="Y11" s="106"/>
      <c r="Z11" s="106"/>
      <c r="AA11" s="106"/>
      <c r="AB11" s="106"/>
      <c r="AD11" s="106"/>
      <c r="AE11" s="106"/>
      <c r="AF11" s="106"/>
      <c r="AG11" s="106"/>
      <c r="AH11" s="106"/>
      <c r="AI11" s="106"/>
      <c r="AK11" s="106"/>
      <c r="AL11" s="106"/>
      <c r="AM11" s="106"/>
      <c r="AN11" s="106"/>
      <c r="AO11" s="106"/>
      <c r="AP11" s="106"/>
      <c r="AR11" s="106"/>
      <c r="AS11" s="106"/>
      <c r="AT11" s="106"/>
      <c r="AU11" s="106"/>
      <c r="AV11" s="106"/>
      <c r="AW11" s="106"/>
    </row>
    <row r="12" spans="1:49" ht="13.05" hidden="1" customHeight="1" x14ac:dyDescent="0.25">
      <c r="A12" t="str">
        <f>Nutrients!B11</f>
        <v>Bakery Meal</v>
      </c>
      <c r="B12" s="106"/>
      <c r="C12" s="106"/>
      <c r="D12" s="106"/>
      <c r="E12" s="106"/>
      <c r="F12" s="106"/>
      <c r="G12" s="106"/>
      <c r="H12" s="106"/>
      <c r="I12" s="106"/>
      <c r="J12" s="106"/>
      <c r="K12" s="106"/>
      <c r="L12" s="106"/>
      <c r="M12" s="106"/>
      <c r="N12" s="106"/>
      <c r="O12" s="29"/>
      <c r="P12" s="106"/>
      <c r="Q12" s="106"/>
      <c r="R12" s="106"/>
      <c r="S12" s="106"/>
      <c r="T12" s="106"/>
      <c r="U12" s="106"/>
      <c r="W12" s="106"/>
      <c r="X12" s="106"/>
      <c r="Y12" s="106"/>
      <c r="Z12" s="106"/>
      <c r="AA12" s="106"/>
      <c r="AB12" s="106"/>
      <c r="AD12" s="106"/>
      <c r="AE12" s="106"/>
      <c r="AF12" s="106"/>
      <c r="AG12" s="106"/>
      <c r="AH12" s="106"/>
      <c r="AI12" s="106"/>
      <c r="AK12" s="106"/>
      <c r="AL12" s="106"/>
      <c r="AM12" s="106"/>
      <c r="AN12" s="106"/>
      <c r="AO12" s="106"/>
      <c r="AP12" s="106"/>
      <c r="AR12" s="106"/>
      <c r="AS12" s="106"/>
      <c r="AT12" s="106"/>
      <c r="AU12" s="106"/>
      <c r="AV12" s="106"/>
      <c r="AW12" s="106"/>
    </row>
    <row r="13" spans="1:49" ht="13.05" hidden="1" customHeight="1" x14ac:dyDescent="0.25">
      <c r="A13" t="str">
        <f>Nutrients!B12</f>
        <v>Barley</v>
      </c>
      <c r="B13" s="99"/>
      <c r="C13" s="99"/>
      <c r="D13" s="99"/>
      <c r="E13" s="99"/>
      <c r="F13" s="99"/>
      <c r="G13" s="99"/>
      <c r="H13" s="99"/>
      <c r="I13" s="99"/>
      <c r="J13" s="99"/>
      <c r="K13" s="99"/>
      <c r="L13" s="99"/>
      <c r="M13" s="99"/>
      <c r="N13" s="99"/>
      <c r="O13" s="10"/>
      <c r="P13" s="99"/>
      <c r="Q13" s="99"/>
      <c r="R13" s="99"/>
      <c r="S13" s="99"/>
      <c r="T13" s="99"/>
      <c r="U13" s="99"/>
      <c r="W13" s="99"/>
      <c r="X13" s="99"/>
      <c r="Y13" s="99"/>
      <c r="Z13" s="99"/>
      <c r="AA13" s="99"/>
      <c r="AB13" s="99"/>
      <c r="AD13" s="99"/>
      <c r="AE13" s="99"/>
      <c r="AF13" s="99"/>
      <c r="AG13" s="99"/>
      <c r="AH13" s="99"/>
      <c r="AI13" s="99"/>
      <c r="AK13" s="99"/>
      <c r="AL13" s="99"/>
      <c r="AM13" s="99"/>
      <c r="AN13" s="99"/>
      <c r="AO13" s="99"/>
      <c r="AP13" s="99"/>
      <c r="AR13" s="99"/>
      <c r="AS13" s="99"/>
      <c r="AT13" s="99"/>
      <c r="AU13" s="99"/>
      <c r="AV13" s="99"/>
      <c r="AW13" s="99"/>
    </row>
    <row r="14" spans="1:49" ht="13.05" hidden="1" customHeight="1" x14ac:dyDescent="0.25">
      <c r="A14" t="str">
        <f>Nutrients!B13</f>
        <v>Barley, Hulless</v>
      </c>
      <c r="B14" s="99"/>
      <c r="C14" s="99"/>
      <c r="D14" s="99"/>
      <c r="E14" s="99"/>
      <c r="F14" s="99"/>
      <c r="G14" s="99"/>
      <c r="H14" s="99"/>
      <c r="I14" s="99"/>
      <c r="J14" s="99"/>
      <c r="K14" s="99"/>
      <c r="L14" s="99"/>
      <c r="M14" s="99"/>
      <c r="N14" s="99"/>
      <c r="O14" s="10"/>
      <c r="P14" s="99"/>
      <c r="Q14" s="99"/>
      <c r="R14" s="99"/>
      <c r="S14" s="99"/>
      <c r="T14" s="99"/>
      <c r="U14" s="99"/>
      <c r="W14" s="99"/>
      <c r="X14" s="99"/>
      <c r="Y14" s="99"/>
      <c r="Z14" s="99"/>
      <c r="AA14" s="99"/>
      <c r="AB14" s="99"/>
      <c r="AD14" s="99"/>
      <c r="AE14" s="99"/>
      <c r="AF14" s="99"/>
      <c r="AG14" s="99"/>
      <c r="AH14" s="99"/>
      <c r="AI14" s="99"/>
      <c r="AK14" s="99"/>
      <c r="AL14" s="99"/>
      <c r="AM14" s="99"/>
      <c r="AN14" s="99"/>
      <c r="AO14" s="99"/>
      <c r="AP14" s="99"/>
      <c r="AR14" s="99"/>
      <c r="AS14" s="99"/>
      <c r="AT14" s="99"/>
      <c r="AU14" s="99"/>
      <c r="AV14" s="99"/>
      <c r="AW14" s="99"/>
    </row>
    <row r="15" spans="1:49" ht="13.05" hidden="1" customHeight="1" x14ac:dyDescent="0.25">
      <c r="A15" t="str">
        <f>Nutrients!B14</f>
        <v>Beans, Faba</v>
      </c>
      <c r="B15" s="99"/>
      <c r="C15" s="99"/>
      <c r="D15" s="99"/>
      <c r="E15" s="99"/>
      <c r="F15" s="99"/>
      <c r="G15" s="99"/>
      <c r="H15" s="99"/>
      <c r="I15" s="99"/>
      <c r="J15" s="99"/>
      <c r="K15" s="99"/>
      <c r="L15" s="99"/>
      <c r="M15" s="99"/>
      <c r="N15" s="99"/>
      <c r="O15" s="10"/>
      <c r="P15" s="99"/>
      <c r="Q15" s="99"/>
      <c r="R15" s="99"/>
      <c r="S15" s="99"/>
      <c r="T15" s="99"/>
      <c r="U15" s="99"/>
      <c r="W15" s="99"/>
      <c r="X15" s="99"/>
      <c r="Y15" s="99"/>
      <c r="Z15" s="99"/>
      <c r="AA15" s="99"/>
      <c r="AB15" s="99"/>
      <c r="AD15" s="99"/>
      <c r="AE15" s="99"/>
      <c r="AF15" s="99"/>
      <c r="AG15" s="99"/>
      <c r="AH15" s="99"/>
      <c r="AI15" s="99"/>
      <c r="AK15" s="99"/>
      <c r="AL15" s="99"/>
      <c r="AM15" s="99"/>
      <c r="AN15" s="99"/>
      <c r="AO15" s="99"/>
      <c r="AP15" s="99"/>
      <c r="AR15" s="99"/>
      <c r="AS15" s="99"/>
      <c r="AT15" s="99"/>
      <c r="AU15" s="99"/>
      <c r="AV15" s="99"/>
      <c r="AW15" s="99"/>
    </row>
    <row r="16" spans="1:49" ht="13.05" hidden="1" customHeight="1" x14ac:dyDescent="0.25">
      <c r="A16" t="str">
        <f>Nutrients!B15</f>
        <v>Blood Meal</v>
      </c>
      <c r="B16" s="99"/>
      <c r="C16" s="99"/>
      <c r="D16" s="99"/>
      <c r="E16" s="99"/>
      <c r="F16" s="99"/>
      <c r="G16" s="99"/>
      <c r="H16" s="99"/>
      <c r="I16" s="99"/>
      <c r="J16" s="99"/>
      <c r="K16" s="99"/>
      <c r="L16" s="99"/>
      <c r="M16" s="99"/>
      <c r="N16" s="99"/>
      <c r="O16" s="10"/>
      <c r="P16" s="99"/>
      <c r="Q16" s="99"/>
      <c r="R16" s="99"/>
      <c r="S16" s="99"/>
      <c r="T16" s="99"/>
      <c r="U16" s="99"/>
      <c r="W16" s="99"/>
      <c r="X16" s="99"/>
      <c r="Y16" s="99"/>
      <c r="Z16" s="99"/>
      <c r="AA16" s="99"/>
      <c r="AB16" s="99"/>
      <c r="AD16" s="99"/>
      <c r="AE16" s="99"/>
      <c r="AF16" s="99"/>
      <c r="AG16" s="99"/>
      <c r="AH16" s="99"/>
      <c r="AI16" s="99"/>
      <c r="AK16" s="99"/>
      <c r="AL16" s="99"/>
      <c r="AM16" s="99"/>
      <c r="AN16" s="99"/>
      <c r="AO16" s="99"/>
      <c r="AP16" s="99"/>
      <c r="AR16" s="99"/>
      <c r="AS16" s="99"/>
      <c r="AT16" s="99"/>
      <c r="AU16" s="99"/>
      <c r="AV16" s="99"/>
      <c r="AW16" s="99"/>
    </row>
    <row r="17" spans="1:49" ht="13.05" hidden="1" customHeight="1" x14ac:dyDescent="0.25">
      <c r="A17" t="str">
        <f>Nutrients!B16</f>
        <v>Blood Plasma</v>
      </c>
      <c r="B17" s="99"/>
      <c r="C17" s="99"/>
      <c r="D17" s="99"/>
      <c r="E17" s="99"/>
      <c r="F17" s="99"/>
      <c r="G17" s="99"/>
      <c r="H17" s="99"/>
      <c r="I17" s="99"/>
      <c r="J17" s="99"/>
      <c r="K17" s="99"/>
      <c r="L17" s="99"/>
      <c r="M17" s="99"/>
      <c r="N17" s="99"/>
      <c r="O17" s="10"/>
      <c r="P17" s="99"/>
      <c r="Q17" s="99"/>
      <c r="R17" s="99"/>
      <c r="S17" s="99"/>
      <c r="T17" s="99"/>
      <c r="U17" s="99"/>
      <c r="W17" s="99"/>
      <c r="X17" s="99"/>
      <c r="Y17" s="99"/>
      <c r="Z17" s="99"/>
      <c r="AA17" s="99"/>
      <c r="AB17" s="99"/>
      <c r="AD17" s="99"/>
      <c r="AE17" s="99"/>
      <c r="AF17" s="99"/>
      <c r="AG17" s="99"/>
      <c r="AH17" s="99"/>
      <c r="AI17" s="99"/>
      <c r="AK17" s="99"/>
      <c r="AL17" s="99"/>
      <c r="AM17" s="99"/>
      <c r="AN17" s="99"/>
      <c r="AO17" s="99"/>
      <c r="AP17" s="99"/>
      <c r="AR17" s="99"/>
      <c r="AS17" s="99"/>
      <c r="AT17" s="99"/>
      <c r="AU17" s="99"/>
      <c r="AV17" s="99"/>
      <c r="AW17" s="99"/>
    </row>
    <row r="18" spans="1:49" ht="13.05" hidden="1" customHeight="1" x14ac:dyDescent="0.25">
      <c r="A18" t="str">
        <f>Nutrients!B17</f>
        <v>Brewers Grain</v>
      </c>
      <c r="B18" s="99"/>
      <c r="C18" s="99"/>
      <c r="D18" s="99"/>
      <c r="E18" s="99"/>
      <c r="F18" s="99"/>
      <c r="G18" s="99"/>
      <c r="H18" s="99"/>
      <c r="I18" s="99"/>
      <c r="J18" s="99"/>
      <c r="K18" s="99"/>
      <c r="L18" s="99"/>
      <c r="M18" s="99"/>
      <c r="N18" s="99"/>
      <c r="O18" s="10"/>
      <c r="P18" s="99"/>
      <c r="Q18" s="99"/>
      <c r="R18" s="99"/>
      <c r="S18" s="99"/>
      <c r="T18" s="99"/>
      <c r="U18" s="99"/>
      <c r="W18" s="99"/>
      <c r="X18" s="99"/>
      <c r="Y18" s="99"/>
      <c r="Z18" s="99"/>
      <c r="AA18" s="99"/>
      <c r="AB18" s="99"/>
      <c r="AD18" s="99"/>
      <c r="AE18" s="99"/>
      <c r="AF18" s="99"/>
      <c r="AG18" s="99"/>
      <c r="AH18" s="99"/>
      <c r="AI18" s="99"/>
      <c r="AK18" s="99"/>
      <c r="AL18" s="99"/>
      <c r="AM18" s="99"/>
      <c r="AN18" s="99"/>
      <c r="AO18" s="99"/>
      <c r="AP18" s="99"/>
      <c r="AR18" s="99"/>
      <c r="AS18" s="99"/>
      <c r="AT18" s="99"/>
      <c r="AU18" s="99"/>
      <c r="AV18" s="99"/>
      <c r="AW18" s="99"/>
    </row>
    <row r="19" spans="1:49" ht="13.05" hidden="1" customHeight="1" x14ac:dyDescent="0.25">
      <c r="A19" t="str">
        <f>Nutrients!B18</f>
        <v>Canola, Full Fat</v>
      </c>
      <c r="B19" s="99"/>
      <c r="C19" s="99"/>
      <c r="D19" s="99"/>
      <c r="E19" s="99"/>
      <c r="F19" s="99"/>
      <c r="G19" s="99"/>
      <c r="H19" s="99"/>
      <c r="I19" s="99"/>
      <c r="J19" s="99"/>
      <c r="K19" s="99"/>
      <c r="L19" s="99"/>
      <c r="M19" s="99"/>
      <c r="N19" s="99"/>
      <c r="O19" s="10"/>
      <c r="P19" s="99"/>
      <c r="Q19" s="99"/>
      <c r="R19" s="99"/>
      <c r="S19" s="99"/>
      <c r="T19" s="99"/>
      <c r="U19" s="99"/>
      <c r="W19" s="99"/>
      <c r="X19" s="99"/>
      <c r="Y19" s="99"/>
      <c r="Z19" s="99"/>
      <c r="AA19" s="99"/>
      <c r="AB19" s="99"/>
      <c r="AD19" s="99"/>
      <c r="AE19" s="99"/>
      <c r="AF19" s="99"/>
      <c r="AG19" s="99"/>
      <c r="AH19" s="99"/>
      <c r="AI19" s="99"/>
      <c r="AK19" s="99"/>
      <c r="AL19" s="99"/>
      <c r="AM19" s="99"/>
      <c r="AN19" s="99"/>
      <c r="AO19" s="99"/>
      <c r="AP19" s="99"/>
      <c r="AR19" s="99"/>
      <c r="AS19" s="99"/>
      <c r="AT19" s="99"/>
      <c r="AU19" s="99"/>
      <c r="AV19" s="99"/>
      <c r="AW19" s="99"/>
    </row>
    <row r="20" spans="1:49" ht="13.05" hidden="1" customHeight="1" x14ac:dyDescent="0.25">
      <c r="A20" t="str">
        <f>Nutrients!B19</f>
        <v>Canola Meal, Expelled</v>
      </c>
      <c r="B20" s="99"/>
      <c r="C20" s="99"/>
      <c r="D20" s="99"/>
      <c r="E20" s="99"/>
      <c r="F20" s="99"/>
      <c r="G20" s="99"/>
      <c r="H20" s="99"/>
      <c r="I20" s="99"/>
      <c r="J20" s="99"/>
      <c r="K20" s="99"/>
      <c r="L20" s="99"/>
      <c r="M20" s="99"/>
      <c r="N20" s="99"/>
      <c r="O20" s="10"/>
      <c r="P20" s="99"/>
      <c r="Q20" s="99"/>
      <c r="R20" s="99"/>
      <c r="S20" s="99"/>
      <c r="T20" s="99"/>
      <c r="U20" s="99"/>
      <c r="W20" s="99"/>
      <c r="X20" s="99"/>
      <c r="Y20" s="99"/>
      <c r="Z20" s="99"/>
      <c r="AA20" s="99"/>
      <c r="AB20" s="99"/>
      <c r="AD20" s="99"/>
      <c r="AE20" s="99"/>
      <c r="AF20" s="99"/>
      <c r="AG20" s="99"/>
      <c r="AH20" s="99"/>
      <c r="AI20" s="99"/>
      <c r="AK20" s="99"/>
      <c r="AL20" s="99"/>
      <c r="AM20" s="99"/>
      <c r="AN20" s="99"/>
      <c r="AO20" s="99"/>
      <c r="AP20" s="99"/>
      <c r="AR20" s="99"/>
      <c r="AS20" s="99"/>
      <c r="AT20" s="99"/>
      <c r="AU20" s="99"/>
      <c r="AV20" s="99"/>
      <c r="AW20" s="99"/>
    </row>
    <row r="21" spans="1:49" ht="13.05" hidden="1" customHeight="1" x14ac:dyDescent="0.25">
      <c r="A21" t="str">
        <f>Nutrients!B20</f>
        <v>Canola Meal, Solvent Extracted</v>
      </c>
      <c r="B21" s="99"/>
      <c r="C21" s="99"/>
      <c r="D21" s="99"/>
      <c r="E21" s="99"/>
      <c r="F21" s="99"/>
      <c r="G21" s="99"/>
      <c r="H21" s="99"/>
      <c r="I21" s="99"/>
      <c r="J21" s="99"/>
      <c r="K21" s="99"/>
      <c r="L21" s="99"/>
      <c r="M21" s="99"/>
      <c r="N21" s="99"/>
      <c r="O21" s="10"/>
      <c r="P21" s="99"/>
      <c r="Q21" s="99"/>
      <c r="R21" s="99"/>
      <c r="S21" s="99"/>
      <c r="T21" s="99"/>
      <c r="U21" s="99"/>
      <c r="W21" s="99"/>
      <c r="X21" s="99"/>
      <c r="Y21" s="99"/>
      <c r="Z21" s="99"/>
      <c r="AA21" s="99"/>
      <c r="AB21" s="99"/>
      <c r="AD21" s="99"/>
      <c r="AE21" s="99"/>
      <c r="AF21" s="99"/>
      <c r="AG21" s="99"/>
      <c r="AH21" s="99"/>
      <c r="AI21" s="99"/>
      <c r="AK21" s="99"/>
      <c r="AL21" s="99"/>
      <c r="AM21" s="99"/>
      <c r="AN21" s="99"/>
      <c r="AO21" s="99"/>
      <c r="AP21" s="99"/>
      <c r="AR21" s="99"/>
      <c r="AS21" s="99"/>
      <c r="AT21" s="99"/>
      <c r="AU21" s="99"/>
      <c r="AV21" s="99"/>
      <c r="AW21" s="99"/>
    </row>
    <row r="22" spans="1:49" ht="13.05" hidden="1" customHeight="1" x14ac:dyDescent="0.25">
      <c r="A22" t="str">
        <f>Nutrients!B21</f>
        <v>Casava Meal</v>
      </c>
      <c r="B22" s="99"/>
      <c r="C22" s="99"/>
      <c r="D22" s="99"/>
      <c r="E22" s="99"/>
      <c r="F22" s="99"/>
      <c r="G22" s="99"/>
      <c r="H22" s="99"/>
      <c r="I22" s="99"/>
      <c r="J22" s="99"/>
      <c r="K22" s="99"/>
      <c r="L22" s="99"/>
      <c r="M22" s="99"/>
      <c r="N22" s="99"/>
      <c r="O22" s="10"/>
      <c r="P22" s="99"/>
      <c r="Q22" s="99"/>
      <c r="R22" s="99"/>
      <c r="S22" s="99"/>
      <c r="T22" s="99"/>
      <c r="U22" s="99"/>
      <c r="W22" s="99"/>
      <c r="X22" s="99"/>
      <c r="Y22" s="99"/>
      <c r="Z22" s="99"/>
      <c r="AA22" s="99"/>
      <c r="AB22" s="99"/>
      <c r="AD22" s="99"/>
      <c r="AE22" s="99"/>
      <c r="AF22" s="99"/>
      <c r="AG22" s="99"/>
      <c r="AH22" s="99"/>
      <c r="AI22" s="99"/>
      <c r="AK22" s="99"/>
      <c r="AL22" s="99"/>
      <c r="AM22" s="99"/>
      <c r="AN22" s="99"/>
      <c r="AO22" s="99"/>
      <c r="AP22" s="99"/>
      <c r="AR22" s="99"/>
      <c r="AS22" s="99"/>
      <c r="AT22" s="99"/>
      <c r="AU22" s="99"/>
      <c r="AV22" s="99"/>
      <c r="AW22" s="99"/>
    </row>
    <row r="23" spans="1:49" ht="13.05" hidden="1" customHeight="1" x14ac:dyDescent="0.25">
      <c r="A23" t="str">
        <f>Nutrients!B22</f>
        <v>Citrus Pulp</v>
      </c>
      <c r="B23" s="99"/>
      <c r="C23" s="99"/>
      <c r="D23" s="99"/>
      <c r="E23" s="99"/>
      <c r="F23" s="99"/>
      <c r="G23" s="99"/>
      <c r="H23" s="99"/>
      <c r="I23" s="99"/>
      <c r="J23" s="99"/>
      <c r="K23" s="99"/>
      <c r="L23" s="99"/>
      <c r="M23" s="99"/>
      <c r="N23" s="99"/>
      <c r="O23" s="10"/>
      <c r="P23" s="99"/>
      <c r="Q23" s="99"/>
      <c r="R23" s="99"/>
      <c r="S23" s="99"/>
      <c r="T23" s="99"/>
      <c r="U23" s="99"/>
      <c r="W23" s="99"/>
      <c r="X23" s="99"/>
      <c r="Y23" s="99"/>
      <c r="Z23" s="99"/>
      <c r="AA23" s="99"/>
      <c r="AB23" s="99"/>
      <c r="AD23" s="99"/>
      <c r="AE23" s="99"/>
      <c r="AF23" s="99"/>
      <c r="AG23" s="99"/>
      <c r="AH23" s="99"/>
      <c r="AI23" s="99"/>
      <c r="AK23" s="99"/>
      <c r="AL23" s="99"/>
      <c r="AM23" s="99"/>
      <c r="AN23" s="99"/>
      <c r="AO23" s="99"/>
      <c r="AP23" s="99"/>
      <c r="AR23" s="99"/>
      <c r="AS23" s="99"/>
      <c r="AT23" s="99"/>
      <c r="AU23" s="99"/>
      <c r="AV23" s="99"/>
      <c r="AW23" s="99"/>
    </row>
    <row r="24" spans="1:49" ht="13.05" hidden="1" customHeight="1" x14ac:dyDescent="0.25">
      <c r="A24" t="str">
        <f>Nutrients!B23</f>
        <v>Copra Meal</v>
      </c>
      <c r="B24" s="99"/>
      <c r="C24" s="99"/>
      <c r="D24" s="99"/>
      <c r="E24" s="99"/>
      <c r="F24" s="99"/>
      <c r="G24" s="99"/>
      <c r="H24" s="99"/>
      <c r="I24" s="99"/>
      <c r="J24" s="99"/>
      <c r="K24" s="99"/>
      <c r="L24" s="99"/>
      <c r="M24" s="99"/>
      <c r="N24" s="99"/>
      <c r="O24" s="10"/>
      <c r="P24" s="99"/>
      <c r="Q24" s="99"/>
      <c r="R24" s="99"/>
      <c r="S24" s="99"/>
      <c r="T24" s="99"/>
      <c r="U24" s="99"/>
      <c r="W24" s="99"/>
      <c r="X24" s="99"/>
      <c r="Y24" s="99"/>
      <c r="Z24" s="99"/>
      <c r="AA24" s="99"/>
      <c r="AB24" s="99"/>
      <c r="AD24" s="99"/>
      <c r="AE24" s="99"/>
      <c r="AF24" s="99"/>
      <c r="AG24" s="99"/>
      <c r="AH24" s="99"/>
      <c r="AI24" s="99"/>
      <c r="AK24" s="99"/>
      <c r="AL24" s="99"/>
      <c r="AM24" s="99"/>
      <c r="AN24" s="99"/>
      <c r="AO24" s="99"/>
      <c r="AP24" s="99"/>
      <c r="AR24" s="99"/>
      <c r="AS24" s="99"/>
      <c r="AT24" s="99"/>
      <c r="AU24" s="99"/>
      <c r="AV24" s="99"/>
      <c r="AW24" s="99"/>
    </row>
    <row r="25" spans="1:49" ht="13.05" hidden="1" customHeight="1" x14ac:dyDescent="0.25">
      <c r="A25" t="str">
        <f>Nutrients!B24</f>
        <v>Corn, Yellow Dent</v>
      </c>
      <c r="B25" s="99"/>
      <c r="C25" s="99"/>
      <c r="D25" s="99"/>
      <c r="E25" s="99"/>
      <c r="F25" s="99"/>
      <c r="G25" s="99"/>
      <c r="H25" s="99"/>
      <c r="I25" s="99"/>
      <c r="J25" s="99"/>
      <c r="K25" s="99"/>
      <c r="L25" s="99"/>
      <c r="M25" s="99"/>
      <c r="N25" s="99"/>
      <c r="O25" s="10"/>
      <c r="P25" s="99"/>
      <c r="Q25" s="99"/>
      <c r="R25" s="99"/>
      <c r="S25" s="99"/>
      <c r="T25" s="99"/>
      <c r="U25" s="99"/>
      <c r="W25" s="99"/>
      <c r="X25" s="99"/>
      <c r="Y25" s="99"/>
      <c r="Z25" s="99"/>
      <c r="AA25" s="99"/>
      <c r="AB25" s="99"/>
      <c r="AD25" s="99"/>
      <c r="AE25" s="99"/>
      <c r="AF25" s="99"/>
      <c r="AG25" s="99"/>
      <c r="AH25" s="99"/>
      <c r="AI25" s="99"/>
      <c r="AK25" s="99"/>
      <c r="AL25" s="99"/>
      <c r="AM25" s="99"/>
      <c r="AN25" s="99"/>
      <c r="AO25" s="99"/>
      <c r="AP25" s="99"/>
      <c r="AR25" s="99"/>
      <c r="AS25" s="99"/>
      <c r="AT25" s="99"/>
      <c r="AU25" s="99"/>
      <c r="AV25" s="99"/>
      <c r="AW25" s="99"/>
    </row>
    <row r="26" spans="1:49" ht="13.05" hidden="1" customHeight="1" x14ac:dyDescent="0.25">
      <c r="A26" t="str">
        <f>Nutrients!B25</f>
        <v>Corn, Nutridense</v>
      </c>
      <c r="B26" s="99"/>
      <c r="C26" s="99"/>
      <c r="D26" s="99"/>
      <c r="E26" s="99"/>
      <c r="F26" s="99"/>
      <c r="G26" s="99"/>
      <c r="H26" s="99"/>
      <c r="I26" s="99"/>
      <c r="J26" s="99"/>
      <c r="K26" s="99"/>
      <c r="L26" s="99"/>
      <c r="M26" s="99"/>
      <c r="N26" s="99"/>
      <c r="O26" s="10"/>
      <c r="P26" s="99"/>
      <c r="Q26" s="99"/>
      <c r="R26" s="99"/>
      <c r="S26" s="99"/>
      <c r="T26" s="99"/>
      <c r="U26" s="99"/>
      <c r="W26" s="99"/>
      <c r="X26" s="99"/>
      <c r="Y26" s="99"/>
      <c r="Z26" s="99"/>
      <c r="AA26" s="99"/>
      <c r="AB26" s="99"/>
      <c r="AD26" s="99"/>
      <c r="AE26" s="99"/>
      <c r="AF26" s="99"/>
      <c r="AG26" s="99"/>
      <c r="AH26" s="99"/>
      <c r="AI26" s="99"/>
      <c r="AK26" s="99"/>
      <c r="AL26" s="99"/>
      <c r="AM26" s="99"/>
      <c r="AN26" s="99"/>
      <c r="AO26" s="99"/>
      <c r="AP26" s="99"/>
      <c r="AR26" s="99"/>
      <c r="AS26" s="99"/>
      <c r="AT26" s="99"/>
      <c r="AU26" s="99"/>
      <c r="AV26" s="99"/>
      <c r="AW26" s="99"/>
    </row>
    <row r="27" spans="1:49" ht="13.05" hidden="1" customHeight="1" x14ac:dyDescent="0.25">
      <c r="A27" t="str">
        <f>Nutrients!B26</f>
        <v>Corn Bran</v>
      </c>
      <c r="B27" s="99"/>
      <c r="C27" s="99"/>
      <c r="D27" s="99"/>
      <c r="E27" s="99"/>
      <c r="F27" s="99"/>
      <c r="G27" s="99"/>
      <c r="H27" s="99"/>
      <c r="I27" s="99"/>
      <c r="J27" s="99"/>
      <c r="K27" s="99"/>
      <c r="L27" s="99"/>
      <c r="M27" s="99"/>
      <c r="N27" s="99"/>
      <c r="O27" s="10"/>
      <c r="P27" s="99"/>
      <c r="Q27" s="99"/>
      <c r="R27" s="99"/>
      <c r="S27" s="99"/>
      <c r="T27" s="99"/>
      <c r="U27" s="99"/>
      <c r="W27" s="99"/>
      <c r="X27" s="99"/>
      <c r="Y27" s="99"/>
      <c r="Z27" s="99"/>
      <c r="AA27" s="99"/>
      <c r="AB27" s="99"/>
      <c r="AD27" s="99"/>
      <c r="AE27" s="99"/>
      <c r="AF27" s="99"/>
      <c r="AG27" s="99"/>
      <c r="AH27" s="99"/>
      <c r="AI27" s="99"/>
      <c r="AK27" s="99"/>
      <c r="AL27" s="99"/>
      <c r="AM27" s="99"/>
      <c r="AN27" s="99"/>
      <c r="AO27" s="99"/>
      <c r="AP27" s="99"/>
      <c r="AR27" s="99"/>
      <c r="AS27" s="99"/>
      <c r="AT27" s="99"/>
      <c r="AU27" s="99"/>
      <c r="AV27" s="99"/>
      <c r="AW27" s="99"/>
    </row>
    <row r="28" spans="1:49" ht="13.05" hidden="1" customHeight="1" x14ac:dyDescent="0.25">
      <c r="A28" t="str">
        <f>Nutrients!B27</f>
        <v>Corn DDG</v>
      </c>
      <c r="B28" s="99"/>
      <c r="C28" s="99"/>
      <c r="D28" s="99"/>
      <c r="E28" s="99"/>
      <c r="F28" s="99"/>
      <c r="G28" s="99"/>
      <c r="H28" s="99"/>
      <c r="I28" s="99"/>
      <c r="J28" s="99"/>
      <c r="K28" s="99"/>
      <c r="L28" s="99"/>
      <c r="M28" s="99"/>
      <c r="N28" s="99"/>
      <c r="O28" s="10"/>
      <c r="P28" s="99"/>
      <c r="Q28" s="99"/>
      <c r="R28" s="99"/>
      <c r="S28" s="99"/>
      <c r="T28" s="99"/>
      <c r="U28" s="99"/>
      <c r="W28" s="99"/>
      <c r="X28" s="99"/>
      <c r="Y28" s="99"/>
      <c r="Z28" s="99"/>
      <c r="AA28" s="99"/>
      <c r="AB28" s="99"/>
      <c r="AD28" s="99"/>
      <c r="AE28" s="99"/>
      <c r="AF28" s="99"/>
      <c r="AG28" s="99"/>
      <c r="AH28" s="99"/>
      <c r="AI28" s="99"/>
      <c r="AK28" s="99"/>
      <c r="AL28" s="99"/>
      <c r="AM28" s="99"/>
      <c r="AN28" s="99"/>
      <c r="AO28" s="99"/>
      <c r="AP28" s="99"/>
      <c r="AR28" s="99"/>
      <c r="AS28" s="99"/>
      <c r="AT28" s="99"/>
      <c r="AU28" s="99"/>
      <c r="AV28" s="99"/>
      <c r="AW28" s="99"/>
    </row>
    <row r="29" spans="1:49" ht="13.05" hidden="1" customHeight="1" x14ac:dyDescent="0.25">
      <c r="A29" t="str">
        <f>Nutrients!B28</f>
        <v>Corn DDGS, &gt;10% Oil</v>
      </c>
      <c r="B29" s="99"/>
      <c r="C29" s="99"/>
      <c r="D29" s="99"/>
      <c r="E29" s="99"/>
      <c r="F29" s="99"/>
      <c r="G29" s="99"/>
      <c r="H29" s="99"/>
      <c r="I29" s="99"/>
      <c r="J29" s="99"/>
      <c r="K29" s="99"/>
      <c r="L29" s="99"/>
      <c r="M29" s="99"/>
      <c r="N29" s="99"/>
      <c r="O29" s="10"/>
      <c r="P29" s="99"/>
      <c r="Q29" s="99"/>
      <c r="R29" s="99"/>
      <c r="S29" s="99"/>
      <c r="T29" s="99"/>
      <c r="U29" s="99"/>
      <c r="W29" s="99"/>
      <c r="X29" s="99"/>
      <c r="Y29" s="99"/>
      <c r="Z29" s="99"/>
      <c r="AA29" s="99"/>
      <c r="AB29" s="99"/>
      <c r="AD29" s="99"/>
      <c r="AE29" s="99"/>
      <c r="AF29" s="99"/>
      <c r="AG29" s="99"/>
      <c r="AH29" s="99"/>
      <c r="AI29" s="99"/>
      <c r="AK29" s="99"/>
      <c r="AL29" s="99"/>
      <c r="AM29" s="99"/>
      <c r="AN29" s="99"/>
      <c r="AO29" s="99"/>
      <c r="AP29" s="99"/>
      <c r="AR29" s="99"/>
      <c r="AS29" s="99"/>
      <c r="AT29" s="99"/>
      <c r="AU29" s="99"/>
      <c r="AV29" s="99"/>
      <c r="AW29" s="99"/>
    </row>
    <row r="30" spans="1:49" ht="13.05" hidden="1" customHeight="1" x14ac:dyDescent="0.25">
      <c r="A30" t="str">
        <f>Nutrients!B29</f>
        <v>Corn DDGS, &gt;6 and &lt;9% Oil</v>
      </c>
      <c r="B30" s="99"/>
      <c r="C30" s="99"/>
      <c r="D30" s="99"/>
      <c r="E30" s="99"/>
      <c r="F30" s="99"/>
      <c r="G30" s="99"/>
      <c r="H30" s="99"/>
      <c r="I30" s="99"/>
      <c r="J30" s="99"/>
      <c r="K30" s="99"/>
      <c r="L30" s="99"/>
      <c r="M30" s="99"/>
      <c r="N30" s="99"/>
      <c r="O30" s="10"/>
      <c r="P30" s="99"/>
      <c r="Q30" s="99"/>
      <c r="R30" s="99"/>
      <c r="S30" s="99"/>
      <c r="T30" s="99"/>
      <c r="U30" s="99"/>
      <c r="W30" s="99"/>
      <c r="X30" s="99"/>
      <c r="Y30" s="99"/>
      <c r="Z30" s="99"/>
      <c r="AA30" s="99"/>
      <c r="AB30" s="99"/>
      <c r="AD30" s="99"/>
      <c r="AE30" s="99"/>
      <c r="AF30" s="99"/>
      <c r="AG30" s="99"/>
      <c r="AH30" s="99"/>
      <c r="AI30" s="99"/>
      <c r="AK30" s="99"/>
      <c r="AL30" s="99"/>
      <c r="AM30" s="99"/>
      <c r="AN30" s="99"/>
      <c r="AO30" s="99"/>
      <c r="AP30" s="99"/>
      <c r="AR30" s="99"/>
      <c r="AS30" s="99"/>
      <c r="AT30" s="99"/>
      <c r="AU30" s="99"/>
      <c r="AV30" s="99"/>
      <c r="AW30" s="99"/>
    </row>
    <row r="31" spans="1:49" ht="13.05" hidden="1" customHeight="1" x14ac:dyDescent="0.25">
      <c r="A31" t="str">
        <f>Nutrients!B30</f>
        <v>Corn DDGS, &lt;4% Oil</v>
      </c>
      <c r="B31" s="99"/>
      <c r="C31" s="99"/>
      <c r="D31" s="99"/>
      <c r="E31" s="99"/>
      <c r="F31" s="99"/>
      <c r="G31" s="99"/>
      <c r="H31" s="99"/>
      <c r="I31" s="99"/>
      <c r="J31" s="99"/>
      <c r="K31" s="99"/>
      <c r="L31" s="99"/>
      <c r="M31" s="99"/>
      <c r="N31" s="99"/>
      <c r="O31" s="10"/>
      <c r="P31" s="99"/>
      <c r="Q31" s="99"/>
      <c r="R31" s="99"/>
      <c r="S31" s="99"/>
      <c r="T31" s="99"/>
      <c r="U31" s="99"/>
      <c r="W31" s="99"/>
      <c r="X31" s="99"/>
      <c r="Y31" s="99"/>
      <c r="Z31" s="99"/>
      <c r="AA31" s="99"/>
      <c r="AB31" s="99"/>
      <c r="AD31" s="99"/>
      <c r="AE31" s="99"/>
      <c r="AF31" s="99"/>
      <c r="AG31" s="99"/>
      <c r="AH31" s="99"/>
      <c r="AI31" s="99"/>
      <c r="AK31" s="99"/>
      <c r="AL31" s="99"/>
      <c r="AM31" s="99"/>
      <c r="AN31" s="99"/>
      <c r="AO31" s="99"/>
      <c r="AP31" s="99"/>
      <c r="AR31" s="99"/>
      <c r="AS31" s="99"/>
      <c r="AT31" s="99"/>
      <c r="AU31" s="99"/>
      <c r="AV31" s="99"/>
      <c r="AW31" s="99"/>
    </row>
    <row r="32" spans="1:49" ht="13.05" hidden="1" customHeight="1" x14ac:dyDescent="0.25">
      <c r="A32" t="str">
        <f>Nutrients!B31</f>
        <v>Corn HP DDG</v>
      </c>
      <c r="B32" s="99"/>
      <c r="C32" s="99"/>
      <c r="D32" s="99"/>
      <c r="E32" s="99"/>
      <c r="F32" s="99"/>
      <c r="G32" s="99"/>
      <c r="H32" s="99"/>
      <c r="I32" s="99"/>
      <c r="J32" s="99"/>
      <c r="K32" s="99"/>
      <c r="L32" s="99"/>
      <c r="M32" s="99"/>
      <c r="N32" s="99"/>
      <c r="O32" s="10"/>
      <c r="P32" s="99"/>
      <c r="Q32" s="99"/>
      <c r="R32" s="99"/>
      <c r="S32" s="99"/>
      <c r="T32" s="99"/>
      <c r="U32" s="99"/>
      <c r="W32" s="99"/>
      <c r="X32" s="99"/>
      <c r="Y32" s="99"/>
      <c r="Z32" s="99"/>
      <c r="AA32" s="99"/>
      <c r="AB32" s="99"/>
      <c r="AD32" s="99"/>
      <c r="AE32" s="99"/>
      <c r="AF32" s="99"/>
      <c r="AG32" s="99"/>
      <c r="AH32" s="99"/>
      <c r="AI32" s="99"/>
      <c r="AK32" s="99"/>
      <c r="AL32" s="99"/>
      <c r="AM32" s="99"/>
      <c r="AN32" s="99"/>
      <c r="AO32" s="99"/>
      <c r="AP32" s="99"/>
      <c r="AR32" s="99"/>
      <c r="AS32" s="99"/>
      <c r="AT32" s="99"/>
      <c r="AU32" s="99"/>
      <c r="AV32" s="99"/>
      <c r="AW32" s="99"/>
    </row>
    <row r="33" spans="1:49" ht="13.05" hidden="1" customHeight="1" x14ac:dyDescent="0.25">
      <c r="A33" t="str">
        <f>Nutrients!B32</f>
        <v>Corn Germ</v>
      </c>
      <c r="B33" s="99"/>
      <c r="C33" s="99"/>
      <c r="D33" s="99"/>
      <c r="E33" s="99"/>
      <c r="F33" s="99"/>
      <c r="G33" s="99"/>
      <c r="H33" s="99"/>
      <c r="I33" s="99"/>
      <c r="J33" s="99"/>
      <c r="K33" s="99"/>
      <c r="L33" s="99"/>
      <c r="M33" s="99"/>
      <c r="N33" s="99"/>
      <c r="O33" s="10"/>
      <c r="P33" s="99"/>
      <c r="Q33" s="99"/>
      <c r="R33" s="99"/>
      <c r="S33" s="99"/>
      <c r="T33" s="99"/>
      <c r="U33" s="99"/>
      <c r="W33" s="99"/>
      <c r="X33" s="99"/>
      <c r="Y33" s="99"/>
      <c r="Z33" s="99"/>
      <c r="AA33" s="99"/>
      <c r="AB33" s="99"/>
      <c r="AD33" s="99"/>
      <c r="AE33" s="99"/>
      <c r="AF33" s="99"/>
      <c r="AG33" s="99"/>
      <c r="AH33" s="99"/>
      <c r="AI33" s="99"/>
      <c r="AK33" s="99"/>
      <c r="AL33" s="99"/>
      <c r="AM33" s="99"/>
      <c r="AN33" s="99"/>
      <c r="AO33" s="99"/>
      <c r="AP33" s="99"/>
      <c r="AR33" s="99"/>
      <c r="AS33" s="99"/>
      <c r="AT33" s="99"/>
      <c r="AU33" s="99"/>
      <c r="AV33" s="99"/>
      <c r="AW33" s="99"/>
    </row>
    <row r="34" spans="1:49" ht="13.05" hidden="1" customHeight="1" x14ac:dyDescent="0.25">
      <c r="A34" t="str">
        <f>Nutrients!B33</f>
        <v>Corn Germ Meal</v>
      </c>
      <c r="B34" s="99"/>
      <c r="C34" s="99"/>
      <c r="D34" s="99"/>
      <c r="E34" s="99"/>
      <c r="F34" s="99"/>
      <c r="G34" s="99"/>
      <c r="H34" s="99"/>
      <c r="I34" s="99"/>
      <c r="J34" s="99"/>
      <c r="K34" s="99"/>
      <c r="L34" s="99"/>
      <c r="M34" s="99"/>
      <c r="N34" s="99"/>
      <c r="O34" s="10"/>
      <c r="P34" s="99"/>
      <c r="Q34" s="99"/>
      <c r="R34" s="99"/>
      <c r="S34" s="99"/>
      <c r="T34" s="99"/>
      <c r="U34" s="99"/>
      <c r="W34" s="99"/>
      <c r="X34" s="99"/>
      <c r="Y34" s="99"/>
      <c r="Z34" s="99"/>
      <c r="AA34" s="99"/>
      <c r="AB34" s="99"/>
      <c r="AD34" s="99"/>
      <c r="AE34" s="99"/>
      <c r="AF34" s="99"/>
      <c r="AG34" s="99"/>
      <c r="AH34" s="99"/>
      <c r="AI34" s="99"/>
      <c r="AK34" s="99"/>
      <c r="AL34" s="99"/>
      <c r="AM34" s="99"/>
      <c r="AN34" s="99"/>
      <c r="AO34" s="99"/>
      <c r="AP34" s="99"/>
      <c r="AR34" s="99"/>
      <c r="AS34" s="99"/>
      <c r="AT34" s="99"/>
      <c r="AU34" s="99"/>
      <c r="AV34" s="99"/>
      <c r="AW34" s="99"/>
    </row>
    <row r="35" spans="1:49" ht="13.05" hidden="1" customHeight="1" x14ac:dyDescent="0.25">
      <c r="A35" t="str">
        <f>Nutrients!B34</f>
        <v>Corn Gluten Feed</v>
      </c>
      <c r="B35" s="99"/>
      <c r="C35" s="99"/>
      <c r="D35" s="99"/>
      <c r="E35" s="99"/>
      <c r="F35" s="99"/>
      <c r="G35" s="99"/>
      <c r="H35" s="99"/>
      <c r="I35" s="99"/>
      <c r="J35" s="99"/>
      <c r="K35" s="99"/>
      <c r="L35" s="99"/>
      <c r="M35" s="99"/>
      <c r="N35" s="99"/>
      <c r="O35" s="10"/>
      <c r="P35" s="99"/>
      <c r="Q35" s="99"/>
      <c r="R35" s="99"/>
      <c r="S35" s="99"/>
      <c r="T35" s="99"/>
      <c r="U35" s="99"/>
      <c r="W35" s="99"/>
      <c r="X35" s="99"/>
      <c r="Y35" s="99"/>
      <c r="Z35" s="99"/>
      <c r="AA35" s="99"/>
      <c r="AB35" s="99"/>
      <c r="AD35" s="99"/>
      <c r="AE35" s="99"/>
      <c r="AF35" s="99"/>
      <c r="AG35" s="99"/>
      <c r="AH35" s="99"/>
      <c r="AI35" s="99"/>
      <c r="AK35" s="99"/>
      <c r="AL35" s="99"/>
      <c r="AM35" s="99"/>
      <c r="AN35" s="99"/>
      <c r="AO35" s="99"/>
      <c r="AP35" s="99"/>
      <c r="AR35" s="99"/>
      <c r="AS35" s="99"/>
      <c r="AT35" s="99"/>
      <c r="AU35" s="99"/>
      <c r="AV35" s="99"/>
      <c r="AW35" s="99"/>
    </row>
    <row r="36" spans="1:49" ht="13.05" hidden="1" customHeight="1" x14ac:dyDescent="0.25">
      <c r="A36" t="str">
        <f>Nutrients!B35</f>
        <v>Corn Gluten Meal</v>
      </c>
      <c r="B36" s="99"/>
      <c r="C36" s="99"/>
      <c r="D36" s="99"/>
      <c r="E36" s="99"/>
      <c r="F36" s="99"/>
      <c r="G36" s="99"/>
      <c r="H36" s="99"/>
      <c r="I36" s="99"/>
      <c r="J36" s="99"/>
      <c r="K36" s="99"/>
      <c r="L36" s="99"/>
      <c r="M36" s="99"/>
      <c r="N36" s="99"/>
      <c r="O36" s="10"/>
      <c r="P36" s="99"/>
      <c r="Q36" s="99"/>
      <c r="R36" s="99"/>
      <c r="S36" s="99"/>
      <c r="T36" s="99"/>
      <c r="U36" s="99"/>
      <c r="W36" s="99"/>
      <c r="X36" s="99"/>
      <c r="Y36" s="99"/>
      <c r="Z36" s="99"/>
      <c r="AA36" s="99"/>
      <c r="AB36" s="99"/>
      <c r="AD36" s="99"/>
      <c r="AE36" s="99"/>
      <c r="AF36" s="99"/>
      <c r="AG36" s="99"/>
      <c r="AH36" s="99"/>
      <c r="AI36" s="99"/>
      <c r="AK36" s="99"/>
      <c r="AL36" s="99"/>
      <c r="AM36" s="99"/>
      <c r="AN36" s="99"/>
      <c r="AO36" s="99"/>
      <c r="AP36" s="99"/>
      <c r="AR36" s="99"/>
      <c r="AS36" s="99"/>
      <c r="AT36" s="99"/>
      <c r="AU36" s="99"/>
      <c r="AV36" s="99"/>
      <c r="AW36" s="99"/>
    </row>
    <row r="37" spans="1:49" ht="13.05" hidden="1" customHeight="1" x14ac:dyDescent="0.25">
      <c r="A37" t="str">
        <f>Nutrients!B36</f>
        <v>Corn Grits, Hominy Feed</v>
      </c>
      <c r="B37" s="99"/>
      <c r="C37" s="99"/>
      <c r="D37" s="99"/>
      <c r="E37" s="99"/>
      <c r="F37" s="99"/>
      <c r="G37" s="99"/>
      <c r="H37" s="99"/>
      <c r="I37" s="99"/>
      <c r="J37" s="99"/>
      <c r="K37" s="99"/>
      <c r="L37" s="99"/>
      <c r="M37" s="99"/>
      <c r="N37" s="99"/>
      <c r="O37" s="10"/>
      <c r="P37" s="99"/>
      <c r="Q37" s="99"/>
      <c r="R37" s="99"/>
      <c r="S37" s="99"/>
      <c r="T37" s="99"/>
      <c r="U37" s="99"/>
      <c r="W37" s="99"/>
      <c r="X37" s="99"/>
      <c r="Y37" s="99"/>
      <c r="Z37" s="99"/>
      <c r="AA37" s="99"/>
      <c r="AB37" s="99"/>
      <c r="AD37" s="99"/>
      <c r="AE37" s="99"/>
      <c r="AF37" s="99"/>
      <c r="AG37" s="99"/>
      <c r="AH37" s="99"/>
      <c r="AI37" s="99"/>
      <c r="AK37" s="99"/>
      <c r="AL37" s="99"/>
      <c r="AM37" s="99"/>
      <c r="AN37" s="99"/>
      <c r="AO37" s="99"/>
      <c r="AP37" s="99"/>
      <c r="AR37" s="99"/>
      <c r="AS37" s="99"/>
      <c r="AT37" s="99"/>
      <c r="AU37" s="99"/>
      <c r="AV37" s="99"/>
      <c r="AW37" s="99"/>
    </row>
    <row r="38" spans="1:49" ht="13.05" hidden="1" customHeight="1" x14ac:dyDescent="0.25">
      <c r="A38" t="str">
        <f>Nutrients!B37</f>
        <v>Cotton Seeds, Fullfat</v>
      </c>
      <c r="B38" s="99"/>
      <c r="C38" s="99"/>
      <c r="D38" s="99"/>
      <c r="E38" s="99"/>
      <c r="F38" s="99"/>
      <c r="G38" s="99"/>
      <c r="H38" s="99"/>
      <c r="I38" s="99"/>
      <c r="J38" s="99"/>
      <c r="K38" s="99"/>
      <c r="L38" s="99"/>
      <c r="M38" s="99"/>
      <c r="N38" s="99"/>
      <c r="O38" s="10"/>
      <c r="P38" s="99"/>
      <c r="Q38" s="99"/>
      <c r="R38" s="99"/>
      <c r="S38" s="99"/>
      <c r="T38" s="99"/>
      <c r="U38" s="99"/>
      <c r="W38" s="99"/>
      <c r="X38" s="99"/>
      <c r="Y38" s="99"/>
      <c r="Z38" s="99"/>
      <c r="AA38" s="99"/>
      <c r="AB38" s="99"/>
      <c r="AD38" s="99"/>
      <c r="AE38" s="99"/>
      <c r="AF38" s="99"/>
      <c r="AG38" s="99"/>
      <c r="AH38" s="99"/>
      <c r="AI38" s="99"/>
      <c r="AK38" s="99"/>
      <c r="AL38" s="99"/>
      <c r="AM38" s="99"/>
      <c r="AN38" s="99"/>
      <c r="AO38" s="99"/>
      <c r="AP38" s="99"/>
      <c r="AR38" s="99"/>
      <c r="AS38" s="99"/>
      <c r="AT38" s="99"/>
      <c r="AU38" s="99"/>
      <c r="AV38" s="99"/>
      <c r="AW38" s="99"/>
    </row>
    <row r="39" spans="1:49" ht="13.05" hidden="1" customHeight="1" x14ac:dyDescent="0.25">
      <c r="A39" t="str">
        <f>Nutrients!B38</f>
        <v>Cotton Seed Meal</v>
      </c>
      <c r="B39" s="99"/>
      <c r="C39" s="99"/>
      <c r="D39" s="99"/>
      <c r="E39" s="99"/>
      <c r="F39" s="99"/>
      <c r="G39" s="99"/>
      <c r="H39" s="99"/>
      <c r="I39" s="99"/>
      <c r="J39" s="99"/>
      <c r="K39" s="99"/>
      <c r="L39" s="99"/>
      <c r="M39" s="99"/>
      <c r="N39" s="99"/>
      <c r="O39" s="10"/>
      <c r="P39" s="99"/>
      <c r="Q39" s="99"/>
      <c r="R39" s="99"/>
      <c r="S39" s="99"/>
      <c r="T39" s="99"/>
      <c r="U39" s="99"/>
      <c r="W39" s="99"/>
      <c r="X39" s="99"/>
      <c r="Y39" s="99"/>
      <c r="Z39" s="99"/>
      <c r="AA39" s="99"/>
      <c r="AB39" s="99"/>
      <c r="AD39" s="99"/>
      <c r="AE39" s="99"/>
      <c r="AF39" s="99"/>
      <c r="AG39" s="99"/>
      <c r="AH39" s="99"/>
      <c r="AI39" s="99"/>
      <c r="AK39" s="99"/>
      <c r="AL39" s="99"/>
      <c r="AM39" s="99"/>
      <c r="AN39" s="99"/>
      <c r="AO39" s="99"/>
      <c r="AP39" s="99"/>
      <c r="AR39" s="99"/>
      <c r="AS39" s="99"/>
      <c r="AT39" s="99"/>
      <c r="AU39" s="99"/>
      <c r="AV39" s="99"/>
      <c r="AW39" s="99"/>
    </row>
    <row r="40" spans="1:49" ht="13.05" hidden="1" customHeight="1" x14ac:dyDescent="0.25">
      <c r="A40" t="str">
        <f>Nutrients!B39</f>
        <v>Feather Meal</v>
      </c>
      <c r="B40" s="99"/>
      <c r="C40" s="99"/>
      <c r="D40" s="99"/>
      <c r="E40" s="99"/>
      <c r="F40" s="99"/>
      <c r="G40" s="99"/>
      <c r="H40" s="99"/>
      <c r="I40" s="99"/>
      <c r="J40" s="99"/>
      <c r="K40" s="99"/>
      <c r="L40" s="99"/>
      <c r="M40" s="99"/>
      <c r="N40" s="99"/>
      <c r="O40" s="10"/>
      <c r="P40" s="99"/>
      <c r="Q40" s="99"/>
      <c r="R40" s="99"/>
      <c r="S40" s="99"/>
      <c r="T40" s="99"/>
      <c r="U40" s="99"/>
      <c r="W40" s="99"/>
      <c r="X40" s="99"/>
      <c r="Y40" s="99"/>
      <c r="Z40" s="99"/>
      <c r="AA40" s="99"/>
      <c r="AB40" s="99"/>
      <c r="AD40" s="99"/>
      <c r="AE40" s="99"/>
      <c r="AF40" s="99"/>
      <c r="AG40" s="99"/>
      <c r="AH40" s="99"/>
      <c r="AI40" s="99"/>
      <c r="AK40" s="99"/>
      <c r="AL40" s="99"/>
      <c r="AM40" s="99"/>
      <c r="AN40" s="99"/>
      <c r="AO40" s="99"/>
      <c r="AP40" s="99"/>
      <c r="AR40" s="99"/>
      <c r="AS40" s="99"/>
      <c r="AT40" s="99"/>
      <c r="AU40" s="99"/>
      <c r="AV40" s="99"/>
      <c r="AW40" s="99"/>
    </row>
    <row r="41" spans="1:49" ht="13.05" hidden="1" customHeight="1" x14ac:dyDescent="0.25">
      <c r="A41" t="str">
        <f>Nutrients!B40</f>
        <v>Fish Meal Combined</v>
      </c>
      <c r="B41" s="99"/>
      <c r="C41" s="99"/>
      <c r="D41" s="99"/>
      <c r="E41" s="99"/>
      <c r="F41" s="99"/>
      <c r="G41" s="99"/>
      <c r="H41" s="99"/>
      <c r="I41" s="99"/>
      <c r="J41" s="99"/>
      <c r="K41" s="99"/>
      <c r="L41" s="99"/>
      <c r="M41" s="99"/>
      <c r="N41" s="99"/>
      <c r="O41" s="10"/>
      <c r="P41" s="99"/>
      <c r="Q41" s="99"/>
      <c r="R41" s="99"/>
      <c r="S41" s="99"/>
      <c r="T41" s="99"/>
      <c r="U41" s="99"/>
      <c r="W41" s="99"/>
      <c r="X41" s="99"/>
      <c r="Y41" s="99"/>
      <c r="Z41" s="99"/>
      <c r="AA41" s="99"/>
      <c r="AB41" s="99"/>
      <c r="AD41" s="99"/>
      <c r="AE41" s="99"/>
      <c r="AF41" s="99"/>
      <c r="AG41" s="99"/>
      <c r="AH41" s="99"/>
      <c r="AI41" s="99"/>
      <c r="AK41" s="99"/>
      <c r="AL41" s="99"/>
      <c r="AM41" s="99"/>
      <c r="AN41" s="99"/>
      <c r="AO41" s="99"/>
      <c r="AP41" s="99"/>
      <c r="AR41" s="99"/>
      <c r="AS41" s="99"/>
      <c r="AT41" s="99"/>
      <c r="AU41" s="99"/>
      <c r="AV41" s="99"/>
      <c r="AW41" s="99"/>
    </row>
    <row r="42" spans="1:49" ht="13.05" hidden="1" customHeight="1" x14ac:dyDescent="0.25">
      <c r="A42" t="str">
        <f>Nutrients!B41</f>
        <v>Flaxseed</v>
      </c>
      <c r="B42" s="99"/>
      <c r="C42" s="99"/>
      <c r="D42" s="99"/>
      <c r="E42" s="99"/>
      <c r="F42" s="99"/>
      <c r="G42" s="99"/>
      <c r="H42" s="99"/>
      <c r="I42" s="99"/>
      <c r="J42" s="99"/>
      <c r="K42" s="99"/>
      <c r="L42" s="99"/>
      <c r="M42" s="99"/>
      <c r="N42" s="99"/>
      <c r="O42" s="10"/>
      <c r="P42" s="99"/>
      <c r="Q42" s="99"/>
      <c r="R42" s="99"/>
      <c r="S42" s="99"/>
      <c r="T42" s="99"/>
      <c r="U42" s="99"/>
      <c r="W42" s="99"/>
      <c r="X42" s="99"/>
      <c r="Y42" s="99"/>
      <c r="Z42" s="99"/>
      <c r="AA42" s="99"/>
      <c r="AB42" s="99"/>
      <c r="AD42" s="99"/>
      <c r="AE42" s="99"/>
      <c r="AF42" s="99"/>
      <c r="AG42" s="99"/>
      <c r="AH42" s="99"/>
      <c r="AI42" s="99"/>
      <c r="AK42" s="99"/>
      <c r="AL42" s="99"/>
      <c r="AM42" s="99"/>
      <c r="AN42" s="99"/>
      <c r="AO42" s="99"/>
      <c r="AP42" s="99"/>
      <c r="AR42" s="99"/>
      <c r="AS42" s="99"/>
      <c r="AT42" s="99"/>
      <c r="AU42" s="99"/>
      <c r="AV42" s="99"/>
      <c r="AW42" s="99"/>
    </row>
    <row r="43" spans="1:49" ht="13.05" hidden="1" customHeight="1" x14ac:dyDescent="0.25">
      <c r="A43" t="str">
        <f>Nutrients!B42</f>
        <v>Flaxseed Meal</v>
      </c>
      <c r="B43" s="99"/>
      <c r="C43" s="99"/>
      <c r="D43" s="99"/>
      <c r="E43" s="99"/>
      <c r="F43" s="99"/>
      <c r="G43" s="99"/>
      <c r="H43" s="99"/>
      <c r="I43" s="99"/>
      <c r="J43" s="99"/>
      <c r="K43" s="99"/>
      <c r="L43" s="99"/>
      <c r="M43" s="99"/>
      <c r="N43" s="99"/>
      <c r="O43" s="10"/>
      <c r="P43" s="99"/>
      <c r="Q43" s="99"/>
      <c r="R43" s="99"/>
      <c r="S43" s="99"/>
      <c r="T43" s="99"/>
      <c r="U43" s="99"/>
      <c r="W43" s="99"/>
      <c r="X43" s="99"/>
      <c r="Y43" s="99"/>
      <c r="Z43" s="99"/>
      <c r="AA43" s="99"/>
      <c r="AB43" s="99"/>
      <c r="AD43" s="99"/>
      <c r="AE43" s="99"/>
      <c r="AF43" s="99"/>
      <c r="AG43" s="99"/>
      <c r="AH43" s="99"/>
      <c r="AI43" s="99"/>
      <c r="AK43" s="99"/>
      <c r="AL43" s="99"/>
      <c r="AM43" s="99"/>
      <c r="AN43" s="99"/>
      <c r="AO43" s="99"/>
      <c r="AP43" s="99"/>
      <c r="AR43" s="99"/>
      <c r="AS43" s="99"/>
      <c r="AT43" s="99"/>
      <c r="AU43" s="99"/>
      <c r="AV43" s="99"/>
      <c r="AW43" s="99"/>
    </row>
    <row r="44" spans="1:49" ht="13.05" hidden="1" customHeight="1" x14ac:dyDescent="0.25">
      <c r="A44" t="str">
        <f>Nutrients!B43</f>
        <v>Lupins</v>
      </c>
      <c r="B44" s="99"/>
      <c r="C44" s="99"/>
      <c r="D44" s="99"/>
      <c r="E44" s="99"/>
      <c r="F44" s="99"/>
      <c r="G44" s="99"/>
      <c r="H44" s="99"/>
      <c r="I44" s="99"/>
      <c r="J44" s="99"/>
      <c r="K44" s="99"/>
      <c r="L44" s="99"/>
      <c r="M44" s="99"/>
      <c r="N44" s="99"/>
      <c r="O44" s="10"/>
      <c r="P44" s="99"/>
      <c r="Q44" s="99"/>
      <c r="R44" s="99"/>
      <c r="S44" s="99"/>
      <c r="T44" s="99"/>
      <c r="U44" s="99"/>
      <c r="W44" s="99"/>
      <c r="X44" s="99"/>
      <c r="Y44" s="99"/>
      <c r="Z44" s="99"/>
      <c r="AA44" s="99"/>
      <c r="AB44" s="99"/>
      <c r="AD44" s="99"/>
      <c r="AE44" s="99"/>
      <c r="AF44" s="99"/>
      <c r="AG44" s="99"/>
      <c r="AH44" s="99"/>
      <c r="AI44" s="99"/>
      <c r="AK44" s="99"/>
      <c r="AL44" s="99"/>
      <c r="AM44" s="99"/>
      <c r="AN44" s="99"/>
      <c r="AO44" s="99"/>
      <c r="AP44" s="99"/>
      <c r="AR44" s="99"/>
      <c r="AS44" s="99"/>
      <c r="AT44" s="99"/>
      <c r="AU44" s="99"/>
      <c r="AV44" s="99"/>
      <c r="AW44" s="99"/>
    </row>
    <row r="45" spans="1:49" ht="13.05" hidden="1" customHeight="1" x14ac:dyDescent="0.25">
      <c r="A45" t="str">
        <f>Nutrients!B44</f>
        <v>Meat Meal</v>
      </c>
      <c r="B45" s="99"/>
      <c r="C45" s="99"/>
      <c r="D45" s="99"/>
      <c r="E45" s="99"/>
      <c r="F45" s="99"/>
      <c r="G45" s="99"/>
      <c r="H45" s="99"/>
      <c r="I45" s="99"/>
      <c r="J45" s="99"/>
      <c r="K45" s="99"/>
      <c r="L45" s="99"/>
      <c r="M45" s="99"/>
      <c r="N45" s="99"/>
      <c r="O45" s="10"/>
      <c r="P45" s="99"/>
      <c r="Q45" s="99"/>
      <c r="R45" s="99"/>
      <c r="S45" s="99"/>
      <c r="T45" s="99"/>
      <c r="U45" s="99"/>
      <c r="W45" s="99"/>
      <c r="X45" s="99"/>
      <c r="Y45" s="99"/>
      <c r="Z45" s="99"/>
      <c r="AA45" s="99"/>
      <c r="AB45" s="99"/>
      <c r="AD45" s="99"/>
      <c r="AE45" s="99"/>
      <c r="AF45" s="99"/>
      <c r="AG45" s="99"/>
      <c r="AH45" s="99"/>
      <c r="AI45" s="99"/>
      <c r="AK45" s="99"/>
      <c r="AL45" s="99"/>
      <c r="AM45" s="99"/>
      <c r="AN45" s="99"/>
      <c r="AO45" s="99"/>
      <c r="AP45" s="99"/>
      <c r="AR45" s="99"/>
      <c r="AS45" s="99"/>
      <c r="AT45" s="99"/>
      <c r="AU45" s="99"/>
      <c r="AV45" s="99"/>
      <c r="AW45" s="99"/>
    </row>
    <row r="46" spans="1:49" ht="13.05" hidden="1" customHeight="1" x14ac:dyDescent="0.25">
      <c r="A46" t="str">
        <f>Nutrients!B45</f>
        <v>Meat and Bone Meal, P &gt;4%</v>
      </c>
      <c r="B46" s="99"/>
      <c r="C46" s="99"/>
      <c r="D46" s="99"/>
      <c r="E46" s="99"/>
      <c r="F46" s="99"/>
      <c r="G46" s="99"/>
      <c r="H46" s="99"/>
      <c r="I46" s="99"/>
      <c r="J46" s="99"/>
      <c r="K46" s="99"/>
      <c r="L46" s="99"/>
      <c r="M46" s="99"/>
      <c r="N46" s="99"/>
      <c r="O46" s="10"/>
      <c r="P46" s="99"/>
      <c r="Q46" s="99"/>
      <c r="R46" s="99"/>
      <c r="S46" s="99"/>
      <c r="T46" s="99"/>
      <c r="U46" s="99"/>
      <c r="W46" s="99"/>
      <c r="X46" s="99"/>
      <c r="Y46" s="99"/>
      <c r="Z46" s="99"/>
      <c r="AA46" s="99"/>
      <c r="AB46" s="99"/>
      <c r="AD46" s="99"/>
      <c r="AE46" s="99"/>
      <c r="AF46" s="99"/>
      <c r="AG46" s="99"/>
      <c r="AH46" s="99"/>
      <c r="AI46" s="99"/>
      <c r="AK46" s="99"/>
      <c r="AL46" s="99"/>
      <c r="AM46" s="99"/>
      <c r="AN46" s="99"/>
      <c r="AO46" s="99"/>
      <c r="AP46" s="99"/>
      <c r="AR46" s="99"/>
      <c r="AS46" s="99"/>
      <c r="AT46" s="99"/>
      <c r="AU46" s="99"/>
      <c r="AV46" s="99"/>
      <c r="AW46" s="99"/>
    </row>
    <row r="47" spans="1:49" ht="13.05" hidden="1" customHeight="1" x14ac:dyDescent="0.25">
      <c r="A47" t="str">
        <f>Nutrients!B46</f>
        <v>Milk, Casein</v>
      </c>
      <c r="B47" s="99"/>
      <c r="C47" s="99"/>
      <c r="D47" s="99"/>
      <c r="E47" s="99"/>
      <c r="F47" s="99"/>
      <c r="G47" s="99"/>
      <c r="H47" s="99"/>
      <c r="I47" s="99"/>
      <c r="J47" s="99"/>
      <c r="K47" s="99"/>
      <c r="L47" s="99"/>
      <c r="M47" s="99"/>
      <c r="N47" s="99"/>
      <c r="O47" s="10"/>
      <c r="P47" s="99"/>
      <c r="Q47" s="99"/>
      <c r="R47" s="99"/>
      <c r="S47" s="99"/>
      <c r="T47" s="99"/>
      <c r="U47" s="99"/>
      <c r="W47" s="99"/>
      <c r="X47" s="99"/>
      <c r="Y47" s="99"/>
      <c r="Z47" s="99"/>
      <c r="AA47" s="99"/>
      <c r="AB47" s="99"/>
      <c r="AD47" s="99"/>
      <c r="AE47" s="99"/>
      <c r="AF47" s="99"/>
      <c r="AG47" s="99"/>
      <c r="AH47" s="99"/>
      <c r="AI47" s="99"/>
      <c r="AK47" s="99"/>
      <c r="AL47" s="99"/>
      <c r="AM47" s="99"/>
      <c r="AN47" s="99"/>
      <c r="AO47" s="99"/>
      <c r="AP47" s="99"/>
      <c r="AR47" s="99"/>
      <c r="AS47" s="99"/>
      <c r="AT47" s="99"/>
      <c r="AU47" s="99"/>
      <c r="AV47" s="99"/>
      <c r="AW47" s="99"/>
    </row>
    <row r="48" spans="1:49" ht="13.05" hidden="1" customHeight="1" x14ac:dyDescent="0.25">
      <c r="A48" t="str">
        <f>Nutrients!B47</f>
        <v>Milk, Lactose</v>
      </c>
      <c r="B48" s="99"/>
      <c r="C48" s="99"/>
      <c r="D48" s="99"/>
      <c r="E48" s="99"/>
      <c r="F48" s="99"/>
      <c r="G48" s="99"/>
      <c r="H48" s="99"/>
      <c r="I48" s="99"/>
      <c r="J48" s="99"/>
      <c r="K48" s="99"/>
      <c r="L48" s="99"/>
      <c r="M48" s="99"/>
      <c r="N48" s="99"/>
      <c r="O48" s="10"/>
      <c r="P48" s="99"/>
      <c r="Q48" s="99"/>
      <c r="R48" s="99"/>
      <c r="S48" s="99"/>
      <c r="T48" s="99"/>
      <c r="U48" s="99"/>
      <c r="W48" s="99"/>
      <c r="X48" s="99"/>
      <c r="Y48" s="99"/>
      <c r="Z48" s="99"/>
      <c r="AA48" s="99"/>
      <c r="AB48" s="99"/>
      <c r="AD48" s="99"/>
      <c r="AE48" s="99"/>
      <c r="AF48" s="99"/>
      <c r="AG48" s="99"/>
      <c r="AH48" s="99"/>
      <c r="AI48" s="99"/>
      <c r="AK48" s="99"/>
      <c r="AL48" s="99"/>
      <c r="AM48" s="99"/>
      <c r="AN48" s="99"/>
      <c r="AO48" s="99"/>
      <c r="AP48" s="99"/>
      <c r="AR48" s="99"/>
      <c r="AS48" s="99"/>
      <c r="AT48" s="99"/>
      <c r="AU48" s="99"/>
      <c r="AV48" s="99"/>
      <c r="AW48" s="99"/>
    </row>
    <row r="49" spans="1:49" ht="13.05" hidden="1" customHeight="1" x14ac:dyDescent="0.25">
      <c r="A49" t="str">
        <f>Nutrients!B48</f>
        <v>Milk, Skim Milk Powder</v>
      </c>
      <c r="B49" s="99"/>
      <c r="C49" s="99"/>
      <c r="D49" s="99"/>
      <c r="E49" s="99"/>
      <c r="F49" s="99"/>
      <c r="G49" s="99"/>
      <c r="H49" s="99"/>
      <c r="I49" s="99"/>
      <c r="J49" s="99"/>
      <c r="K49" s="99"/>
      <c r="L49" s="99"/>
      <c r="M49" s="99"/>
      <c r="N49" s="99"/>
      <c r="O49" s="10"/>
      <c r="P49" s="99"/>
      <c r="Q49" s="99"/>
      <c r="R49" s="99"/>
      <c r="S49" s="99"/>
      <c r="T49" s="99"/>
      <c r="U49" s="99"/>
      <c r="W49" s="99"/>
      <c r="X49" s="99"/>
      <c r="Y49" s="99"/>
      <c r="Z49" s="99"/>
      <c r="AA49" s="99"/>
      <c r="AB49" s="99"/>
      <c r="AD49" s="99"/>
      <c r="AE49" s="99"/>
      <c r="AF49" s="99"/>
      <c r="AG49" s="99"/>
      <c r="AH49" s="99"/>
      <c r="AI49" s="99"/>
      <c r="AK49" s="99"/>
      <c r="AL49" s="99"/>
      <c r="AM49" s="99"/>
      <c r="AN49" s="99"/>
      <c r="AO49" s="99"/>
      <c r="AP49" s="99"/>
      <c r="AR49" s="99"/>
      <c r="AS49" s="99"/>
      <c r="AT49" s="99"/>
      <c r="AU49" s="99"/>
      <c r="AV49" s="99"/>
      <c r="AW49" s="99"/>
    </row>
    <row r="50" spans="1:49" ht="13.05" hidden="1" customHeight="1" x14ac:dyDescent="0.25">
      <c r="A50" t="str">
        <f>Nutrients!B49</f>
        <v>Milk, Whey Powder</v>
      </c>
      <c r="B50" s="99"/>
      <c r="C50" s="99"/>
      <c r="D50" s="99"/>
      <c r="E50" s="99"/>
      <c r="F50" s="99"/>
      <c r="G50" s="99"/>
      <c r="H50" s="99"/>
      <c r="I50" s="99"/>
      <c r="J50" s="99"/>
      <c r="K50" s="99"/>
      <c r="L50" s="99"/>
      <c r="M50" s="99"/>
      <c r="N50" s="99"/>
      <c r="O50" s="10"/>
      <c r="P50" s="99"/>
      <c r="Q50" s="99"/>
      <c r="R50" s="99"/>
      <c r="S50" s="99"/>
      <c r="T50" s="99"/>
      <c r="U50" s="99"/>
      <c r="W50" s="99"/>
      <c r="X50" s="99"/>
      <c r="Y50" s="99"/>
      <c r="Z50" s="99"/>
      <c r="AA50" s="99"/>
      <c r="AB50" s="99"/>
      <c r="AD50" s="99"/>
      <c r="AE50" s="99"/>
      <c r="AF50" s="99"/>
      <c r="AG50" s="99"/>
      <c r="AH50" s="99"/>
      <c r="AI50" s="99"/>
      <c r="AK50" s="99"/>
      <c r="AL50" s="99"/>
      <c r="AM50" s="99"/>
      <c r="AN50" s="99"/>
      <c r="AO50" s="99"/>
      <c r="AP50" s="99"/>
      <c r="AR50" s="99"/>
      <c r="AS50" s="99"/>
      <c r="AT50" s="99"/>
      <c r="AU50" s="99"/>
      <c r="AV50" s="99"/>
      <c r="AW50" s="99"/>
    </row>
    <row r="51" spans="1:49" ht="13.05" hidden="1" customHeight="1" x14ac:dyDescent="0.25">
      <c r="A51" t="str">
        <f>Nutrients!B50</f>
        <v>Milk, Whey Permeate, 80% lactose</v>
      </c>
      <c r="B51" s="99"/>
      <c r="C51" s="99"/>
      <c r="D51" s="99"/>
      <c r="E51" s="99"/>
      <c r="F51" s="99"/>
      <c r="G51" s="99"/>
      <c r="H51" s="99"/>
      <c r="I51" s="99"/>
      <c r="J51" s="99"/>
      <c r="K51" s="99"/>
      <c r="L51" s="99"/>
      <c r="M51" s="99"/>
      <c r="N51" s="99"/>
      <c r="O51" s="10"/>
      <c r="P51" s="99"/>
      <c r="Q51" s="99"/>
      <c r="R51" s="99"/>
      <c r="S51" s="99"/>
      <c r="T51" s="99"/>
      <c r="U51" s="99"/>
      <c r="W51" s="99"/>
      <c r="X51" s="99"/>
      <c r="Y51" s="99"/>
      <c r="Z51" s="99"/>
      <c r="AA51" s="99"/>
      <c r="AB51" s="99"/>
      <c r="AD51" s="99"/>
      <c r="AE51" s="99"/>
      <c r="AF51" s="99"/>
      <c r="AG51" s="99"/>
      <c r="AH51" s="99"/>
      <c r="AI51" s="99"/>
      <c r="AK51" s="99"/>
      <c r="AL51" s="99"/>
      <c r="AM51" s="99"/>
      <c r="AN51" s="99"/>
      <c r="AO51" s="99"/>
      <c r="AP51" s="99"/>
      <c r="AR51" s="99"/>
      <c r="AS51" s="99"/>
      <c r="AT51" s="99"/>
      <c r="AU51" s="99"/>
      <c r="AV51" s="99"/>
      <c r="AW51" s="99"/>
    </row>
    <row r="52" spans="1:49" ht="12.75" hidden="1" customHeight="1" x14ac:dyDescent="0.25">
      <c r="A52" t="str">
        <f>Nutrients!B51</f>
        <v>Milk, Whey Protein Concentrate</v>
      </c>
      <c r="B52" s="99"/>
      <c r="C52" s="99"/>
      <c r="D52" s="99"/>
      <c r="E52" s="99"/>
      <c r="F52" s="99"/>
      <c r="G52" s="99"/>
      <c r="H52" s="99"/>
      <c r="I52" s="99"/>
      <c r="J52" s="99"/>
      <c r="K52" s="99"/>
      <c r="L52" s="99"/>
      <c r="M52" s="99"/>
      <c r="N52" s="99"/>
      <c r="O52" s="10"/>
      <c r="P52" s="99"/>
      <c r="Q52" s="99"/>
      <c r="R52" s="99"/>
      <c r="S52" s="99"/>
      <c r="T52" s="99"/>
      <c r="U52" s="99"/>
      <c r="W52" s="99"/>
      <c r="X52" s="99"/>
      <c r="Y52" s="99"/>
      <c r="Z52" s="99"/>
      <c r="AA52" s="99"/>
      <c r="AB52" s="99"/>
      <c r="AD52" s="99"/>
      <c r="AE52" s="99"/>
      <c r="AF52" s="99"/>
      <c r="AG52" s="99"/>
      <c r="AH52" s="99"/>
      <c r="AI52" s="99"/>
      <c r="AK52" s="99"/>
      <c r="AL52" s="99"/>
      <c r="AM52" s="99"/>
      <c r="AN52" s="99"/>
      <c r="AO52" s="99"/>
      <c r="AP52" s="99"/>
      <c r="AR52" s="99"/>
      <c r="AS52" s="99"/>
      <c r="AT52" s="99"/>
      <c r="AU52" s="99"/>
      <c r="AV52" s="99"/>
      <c r="AW52" s="99"/>
    </row>
    <row r="53" spans="1:49" ht="12.75" hidden="1" customHeight="1" x14ac:dyDescent="0.25">
      <c r="A53" t="str">
        <f>Nutrients!B52</f>
        <v>Millet</v>
      </c>
      <c r="B53" s="99"/>
      <c r="C53" s="99"/>
      <c r="D53" s="99"/>
      <c r="E53" s="99"/>
      <c r="F53" s="99"/>
      <c r="G53" s="99"/>
      <c r="H53" s="99"/>
      <c r="I53" s="99"/>
      <c r="J53" s="99"/>
      <c r="K53" s="99"/>
      <c r="L53" s="99"/>
      <c r="M53" s="99"/>
      <c r="N53" s="99"/>
      <c r="O53" s="10"/>
      <c r="P53" s="99"/>
      <c r="Q53" s="99"/>
      <c r="R53" s="99"/>
      <c r="S53" s="99"/>
      <c r="T53" s="99"/>
      <c r="U53" s="99"/>
      <c r="W53" s="99"/>
      <c r="X53" s="99"/>
      <c r="Y53" s="99"/>
      <c r="Z53" s="99"/>
      <c r="AA53" s="99"/>
      <c r="AB53" s="99"/>
      <c r="AD53" s="99"/>
      <c r="AE53" s="99"/>
      <c r="AF53" s="99"/>
      <c r="AG53" s="99"/>
      <c r="AH53" s="99"/>
      <c r="AI53" s="99"/>
      <c r="AK53" s="99"/>
      <c r="AL53" s="99"/>
      <c r="AM53" s="99"/>
      <c r="AN53" s="99"/>
      <c r="AO53" s="99"/>
      <c r="AP53" s="99"/>
      <c r="AR53" s="99"/>
      <c r="AS53" s="99"/>
      <c r="AT53" s="99"/>
      <c r="AU53" s="99"/>
      <c r="AV53" s="99"/>
      <c r="AW53" s="99"/>
    </row>
    <row r="54" spans="1:49" ht="12.75" hidden="1" customHeight="1" x14ac:dyDescent="0.25">
      <c r="A54" t="str">
        <f>Nutrients!B53</f>
        <v>Molasses, Sugarbeet</v>
      </c>
      <c r="B54" s="99"/>
      <c r="C54" s="99"/>
      <c r="D54" s="99"/>
      <c r="E54" s="99"/>
      <c r="F54" s="99"/>
      <c r="G54" s="99"/>
      <c r="H54" s="99"/>
      <c r="I54" s="99"/>
      <c r="J54" s="99"/>
      <c r="K54" s="99"/>
      <c r="L54" s="99"/>
      <c r="M54" s="99"/>
      <c r="N54" s="99"/>
      <c r="O54" s="10"/>
      <c r="P54" s="99"/>
      <c r="Q54" s="99"/>
      <c r="R54" s="99"/>
      <c r="S54" s="99"/>
      <c r="T54" s="99"/>
      <c r="U54" s="99"/>
      <c r="W54" s="99"/>
      <c r="X54" s="99"/>
      <c r="Y54" s="99"/>
      <c r="Z54" s="99"/>
      <c r="AA54" s="99"/>
      <c r="AB54" s="99"/>
      <c r="AD54" s="99"/>
      <c r="AE54" s="99"/>
      <c r="AF54" s="99"/>
      <c r="AG54" s="99"/>
      <c r="AH54" s="99"/>
      <c r="AI54" s="99"/>
      <c r="AK54" s="99"/>
      <c r="AL54" s="99"/>
      <c r="AM54" s="99"/>
      <c r="AN54" s="99"/>
      <c r="AO54" s="99"/>
      <c r="AP54" s="99"/>
      <c r="AR54" s="99"/>
      <c r="AS54" s="99"/>
      <c r="AT54" s="99"/>
      <c r="AU54" s="99"/>
      <c r="AV54" s="99"/>
      <c r="AW54" s="99"/>
    </row>
    <row r="55" spans="1:49" ht="12.75" hidden="1" customHeight="1" x14ac:dyDescent="0.25">
      <c r="A55" t="str">
        <f>Nutrients!B54</f>
        <v>Molasses, Sugarcane</v>
      </c>
      <c r="B55" s="99"/>
      <c r="C55" s="99"/>
      <c r="D55" s="99"/>
      <c r="E55" s="99"/>
      <c r="F55" s="99"/>
      <c r="G55" s="99"/>
      <c r="H55" s="99"/>
      <c r="I55" s="99"/>
      <c r="J55" s="99"/>
      <c r="K55" s="99"/>
      <c r="L55" s="99"/>
      <c r="M55" s="99"/>
      <c r="N55" s="99"/>
      <c r="O55" s="10"/>
      <c r="P55" s="99"/>
      <c r="Q55" s="99"/>
      <c r="R55" s="99"/>
      <c r="S55" s="99"/>
      <c r="T55" s="99"/>
      <c r="U55" s="99"/>
      <c r="W55" s="99"/>
      <c r="X55" s="99"/>
      <c r="Y55" s="99"/>
      <c r="Z55" s="99"/>
      <c r="AA55" s="99"/>
      <c r="AB55" s="99"/>
      <c r="AD55" s="99"/>
      <c r="AE55" s="99"/>
      <c r="AF55" s="99"/>
      <c r="AG55" s="99"/>
      <c r="AH55" s="99"/>
      <c r="AI55" s="99"/>
      <c r="AK55" s="99"/>
      <c r="AL55" s="99"/>
      <c r="AM55" s="99"/>
      <c r="AN55" s="99"/>
      <c r="AO55" s="99"/>
      <c r="AP55" s="99"/>
      <c r="AR55" s="99"/>
      <c r="AS55" s="99"/>
      <c r="AT55" s="99"/>
      <c r="AU55" s="99"/>
      <c r="AV55" s="99"/>
      <c r="AW55" s="99"/>
    </row>
    <row r="56" spans="1:49" ht="12.75" hidden="1" customHeight="1" x14ac:dyDescent="0.25">
      <c r="A56" t="str">
        <f>Nutrients!B55</f>
        <v>Oats</v>
      </c>
      <c r="B56" s="99"/>
      <c r="C56" s="99"/>
      <c r="D56" s="99"/>
      <c r="E56" s="99"/>
      <c r="F56" s="99"/>
      <c r="G56" s="99"/>
      <c r="H56" s="99"/>
      <c r="I56" s="99"/>
      <c r="J56" s="99"/>
      <c r="K56" s="99"/>
      <c r="L56" s="99"/>
      <c r="M56" s="99"/>
      <c r="N56" s="99"/>
      <c r="O56" s="10"/>
      <c r="P56" s="99"/>
      <c r="Q56" s="99"/>
      <c r="R56" s="99"/>
      <c r="S56" s="99"/>
      <c r="T56" s="99"/>
      <c r="U56" s="99"/>
      <c r="W56" s="99"/>
      <c r="X56" s="99"/>
      <c r="Y56" s="99"/>
      <c r="Z56" s="99"/>
      <c r="AA56" s="99"/>
      <c r="AB56" s="99"/>
      <c r="AD56" s="99"/>
      <c r="AE56" s="99"/>
      <c r="AF56" s="99"/>
      <c r="AG56" s="99"/>
      <c r="AH56" s="99"/>
      <c r="AI56" s="99"/>
      <c r="AK56" s="99"/>
      <c r="AL56" s="99"/>
      <c r="AM56" s="99"/>
      <c r="AN56" s="99"/>
      <c r="AO56" s="99"/>
      <c r="AP56" s="99"/>
      <c r="AR56" s="99"/>
      <c r="AS56" s="99"/>
      <c r="AT56" s="99"/>
      <c r="AU56" s="99"/>
      <c r="AV56" s="99"/>
      <c r="AW56" s="99"/>
    </row>
    <row r="57" spans="1:49" ht="12.75" hidden="1" customHeight="1" x14ac:dyDescent="0.25">
      <c r="A57" t="str">
        <f>Nutrients!B56</f>
        <v>Oats, Naked</v>
      </c>
      <c r="B57" s="99"/>
      <c r="C57" s="99"/>
      <c r="D57" s="99"/>
      <c r="E57" s="99"/>
      <c r="F57" s="99"/>
      <c r="G57" s="99"/>
      <c r="H57" s="99"/>
      <c r="I57" s="99"/>
      <c r="J57" s="99"/>
      <c r="K57" s="99"/>
      <c r="L57" s="99"/>
      <c r="M57" s="99"/>
      <c r="N57" s="99"/>
      <c r="O57" s="10"/>
      <c r="P57" s="99"/>
      <c r="Q57" s="99"/>
      <c r="R57" s="99"/>
      <c r="S57" s="99"/>
      <c r="T57" s="99"/>
      <c r="U57" s="99"/>
      <c r="W57" s="99"/>
      <c r="X57" s="99"/>
      <c r="Y57" s="99"/>
      <c r="Z57" s="99"/>
      <c r="AA57" s="99"/>
      <c r="AB57" s="99"/>
      <c r="AD57" s="99"/>
      <c r="AE57" s="99"/>
      <c r="AF57" s="99"/>
      <c r="AG57" s="99"/>
      <c r="AH57" s="99"/>
      <c r="AI57" s="99"/>
      <c r="AK57" s="99"/>
      <c r="AL57" s="99"/>
      <c r="AM57" s="99"/>
      <c r="AN57" s="99"/>
      <c r="AO57" s="99"/>
      <c r="AP57" s="99"/>
      <c r="AR57" s="99"/>
      <c r="AS57" s="99"/>
      <c r="AT57" s="99"/>
      <c r="AU57" s="99"/>
      <c r="AV57" s="99"/>
      <c r="AW57" s="99"/>
    </row>
    <row r="58" spans="1:49" ht="12.75" hidden="1" customHeight="1" x14ac:dyDescent="0.25">
      <c r="A58" t="str">
        <f>Nutrients!B57</f>
        <v>Oat Groats</v>
      </c>
      <c r="B58" s="99"/>
      <c r="C58" s="99"/>
      <c r="D58" s="99"/>
      <c r="E58" s="99"/>
      <c r="F58" s="99"/>
      <c r="G58" s="99"/>
      <c r="H58" s="99"/>
      <c r="I58" s="99"/>
      <c r="J58" s="99"/>
      <c r="K58" s="99"/>
      <c r="L58" s="99"/>
      <c r="M58" s="99"/>
      <c r="N58" s="99"/>
      <c r="O58" s="10"/>
      <c r="P58" s="99"/>
      <c r="Q58" s="99"/>
      <c r="R58" s="99"/>
      <c r="S58" s="99"/>
      <c r="T58" s="99"/>
      <c r="U58" s="99"/>
      <c r="W58" s="99"/>
      <c r="X58" s="99"/>
      <c r="Y58" s="99"/>
      <c r="Z58" s="99"/>
      <c r="AA58" s="99"/>
      <c r="AB58" s="99"/>
      <c r="AD58" s="99"/>
      <c r="AE58" s="99"/>
      <c r="AF58" s="99"/>
      <c r="AG58" s="99"/>
      <c r="AH58" s="99"/>
      <c r="AI58" s="99"/>
      <c r="AK58" s="99"/>
      <c r="AL58" s="99"/>
      <c r="AM58" s="99"/>
      <c r="AN58" s="99"/>
      <c r="AO58" s="99"/>
      <c r="AP58" s="99"/>
      <c r="AR58" s="99"/>
      <c r="AS58" s="99"/>
      <c r="AT58" s="99"/>
      <c r="AU58" s="99"/>
      <c r="AV58" s="99"/>
      <c r="AW58" s="99"/>
    </row>
    <row r="59" spans="1:49" ht="12.75" hidden="1" customHeight="1" x14ac:dyDescent="0.25">
      <c r="A59" t="str">
        <f>Nutrients!B58</f>
        <v>Peanut Meal, Expelled</v>
      </c>
      <c r="B59" s="99"/>
      <c r="C59" s="99"/>
      <c r="D59" s="99"/>
      <c r="E59" s="99"/>
      <c r="F59" s="99"/>
      <c r="G59" s="99"/>
      <c r="H59" s="99"/>
      <c r="I59" s="99"/>
      <c r="J59" s="99"/>
      <c r="K59" s="99"/>
      <c r="L59" s="99"/>
      <c r="M59" s="99"/>
      <c r="N59" s="99"/>
      <c r="O59" s="10"/>
      <c r="P59" s="99"/>
      <c r="Q59" s="99"/>
      <c r="R59" s="99"/>
      <c r="S59" s="99"/>
      <c r="T59" s="99"/>
      <c r="U59" s="99"/>
      <c r="W59" s="99"/>
      <c r="X59" s="99"/>
      <c r="Y59" s="99"/>
      <c r="Z59" s="99"/>
      <c r="AA59" s="99"/>
      <c r="AB59" s="99"/>
      <c r="AD59" s="99"/>
      <c r="AE59" s="99"/>
      <c r="AF59" s="99"/>
      <c r="AG59" s="99"/>
      <c r="AH59" s="99"/>
      <c r="AI59" s="99"/>
      <c r="AK59" s="99"/>
      <c r="AL59" s="99"/>
      <c r="AM59" s="99"/>
      <c r="AN59" s="99"/>
      <c r="AO59" s="99"/>
      <c r="AP59" s="99"/>
      <c r="AR59" s="99"/>
      <c r="AS59" s="99"/>
      <c r="AT59" s="99"/>
      <c r="AU59" s="99"/>
      <c r="AV59" s="99"/>
      <c r="AW59" s="99"/>
    </row>
    <row r="60" spans="1:49" ht="12.75" hidden="1" customHeight="1" x14ac:dyDescent="0.25">
      <c r="A60" t="str">
        <f>Nutrients!B59</f>
        <v>Peanut Meal, Extracted</v>
      </c>
      <c r="B60" s="99"/>
      <c r="C60" s="99"/>
      <c r="D60" s="99"/>
      <c r="E60" s="99"/>
      <c r="F60" s="99"/>
      <c r="G60" s="99"/>
      <c r="H60" s="99"/>
      <c r="I60" s="99"/>
      <c r="J60" s="99"/>
      <c r="K60" s="99"/>
      <c r="L60" s="99"/>
      <c r="M60" s="99"/>
      <c r="N60" s="99"/>
      <c r="O60" s="10"/>
      <c r="P60" s="99"/>
      <c r="Q60" s="99"/>
      <c r="R60" s="99"/>
      <c r="S60" s="99"/>
      <c r="T60" s="99"/>
      <c r="U60" s="99"/>
      <c r="W60" s="99"/>
      <c r="X60" s="99"/>
      <c r="Y60" s="99"/>
      <c r="Z60" s="99"/>
      <c r="AA60" s="99"/>
      <c r="AB60" s="99"/>
      <c r="AD60" s="99"/>
      <c r="AE60" s="99"/>
      <c r="AF60" s="99"/>
      <c r="AG60" s="99"/>
      <c r="AH60" s="99"/>
      <c r="AI60" s="99"/>
      <c r="AK60" s="99"/>
      <c r="AL60" s="99"/>
      <c r="AM60" s="99"/>
      <c r="AN60" s="99"/>
      <c r="AO60" s="99"/>
      <c r="AP60" s="99"/>
      <c r="AR60" s="99"/>
      <c r="AS60" s="99"/>
      <c r="AT60" s="99"/>
      <c r="AU60" s="99"/>
      <c r="AV60" s="99"/>
      <c r="AW60" s="99"/>
    </row>
    <row r="61" spans="1:49" ht="12.75" hidden="1" customHeight="1" x14ac:dyDescent="0.25">
      <c r="A61" t="str">
        <f>Nutrients!B60</f>
        <v>Peas, Field Peas</v>
      </c>
      <c r="B61" s="99"/>
      <c r="C61" s="99"/>
      <c r="D61" s="99"/>
      <c r="E61" s="99"/>
      <c r="F61" s="99"/>
      <c r="G61" s="99"/>
      <c r="H61" s="99"/>
      <c r="I61" s="99"/>
      <c r="J61" s="99"/>
      <c r="K61" s="99"/>
      <c r="L61" s="99"/>
      <c r="M61" s="99"/>
      <c r="N61" s="99"/>
      <c r="O61" s="10"/>
      <c r="P61" s="99"/>
      <c r="Q61" s="99"/>
      <c r="R61" s="99"/>
      <c r="S61" s="99"/>
      <c r="T61" s="99"/>
      <c r="U61" s="99"/>
      <c r="W61" s="99"/>
      <c r="X61" s="99"/>
      <c r="Y61" s="99"/>
      <c r="Z61" s="99"/>
      <c r="AA61" s="99"/>
      <c r="AB61" s="99"/>
      <c r="AD61" s="99"/>
      <c r="AE61" s="99"/>
      <c r="AF61" s="99"/>
      <c r="AG61" s="99"/>
      <c r="AH61" s="99"/>
      <c r="AI61" s="99"/>
      <c r="AK61" s="99"/>
      <c r="AL61" s="99"/>
      <c r="AM61" s="99"/>
      <c r="AN61" s="99"/>
      <c r="AO61" s="99"/>
      <c r="AP61" s="99"/>
      <c r="AR61" s="99"/>
      <c r="AS61" s="99"/>
      <c r="AT61" s="99"/>
      <c r="AU61" s="99"/>
      <c r="AV61" s="99"/>
      <c r="AW61" s="99"/>
    </row>
    <row r="62" spans="1:49" ht="12.75" hidden="1" customHeight="1" x14ac:dyDescent="0.25">
      <c r="A62" t="str">
        <f>Nutrients!B61</f>
        <v>Pea Protein Concentrate</v>
      </c>
      <c r="B62" s="99"/>
      <c r="C62" s="99"/>
      <c r="D62" s="99"/>
      <c r="E62" s="99"/>
      <c r="F62" s="99"/>
      <c r="G62" s="99"/>
      <c r="H62" s="99"/>
      <c r="I62" s="99"/>
      <c r="J62" s="99"/>
      <c r="K62" s="99"/>
      <c r="L62" s="99"/>
      <c r="M62" s="99"/>
      <c r="N62" s="99"/>
      <c r="O62" s="10"/>
      <c r="P62" s="99"/>
      <c r="Q62" s="99"/>
      <c r="R62" s="99"/>
      <c r="S62" s="99"/>
      <c r="T62" s="99"/>
      <c r="U62" s="99"/>
      <c r="W62" s="99"/>
      <c r="X62" s="99"/>
      <c r="Y62" s="99"/>
      <c r="Z62" s="99"/>
      <c r="AA62" s="99"/>
      <c r="AB62" s="99"/>
      <c r="AD62" s="99"/>
      <c r="AE62" s="99"/>
      <c r="AF62" s="99"/>
      <c r="AG62" s="99"/>
      <c r="AH62" s="99"/>
      <c r="AI62" s="99"/>
      <c r="AK62" s="99"/>
      <c r="AL62" s="99"/>
      <c r="AM62" s="99"/>
      <c r="AN62" s="99"/>
      <c r="AO62" s="99"/>
      <c r="AP62" s="99"/>
      <c r="AR62" s="99"/>
      <c r="AS62" s="99"/>
      <c r="AT62" s="99"/>
      <c r="AU62" s="99"/>
      <c r="AV62" s="99"/>
      <c r="AW62" s="99"/>
    </row>
    <row r="63" spans="1:49" ht="12.75" hidden="1" customHeight="1" x14ac:dyDescent="0.25">
      <c r="A63" t="str">
        <f>Nutrients!B62</f>
        <v>Potato Protein Concentrate</v>
      </c>
      <c r="B63" s="99"/>
      <c r="C63" s="99"/>
      <c r="D63" s="99"/>
      <c r="E63" s="99"/>
      <c r="F63" s="99"/>
      <c r="G63" s="99"/>
      <c r="H63" s="99"/>
      <c r="I63" s="99"/>
      <c r="J63" s="99"/>
      <c r="K63" s="99"/>
      <c r="L63" s="99"/>
      <c r="M63" s="99"/>
      <c r="N63" s="99"/>
      <c r="O63" s="10"/>
      <c r="P63" s="99"/>
      <c r="Q63" s="99"/>
      <c r="R63" s="99"/>
      <c r="S63" s="99"/>
      <c r="T63" s="99"/>
      <c r="U63" s="99"/>
      <c r="W63" s="99"/>
      <c r="X63" s="99"/>
      <c r="Y63" s="99"/>
      <c r="Z63" s="99"/>
      <c r="AA63" s="99"/>
      <c r="AB63" s="99"/>
      <c r="AD63" s="99"/>
      <c r="AE63" s="99"/>
      <c r="AF63" s="99"/>
      <c r="AG63" s="99"/>
      <c r="AH63" s="99"/>
      <c r="AI63" s="99"/>
      <c r="AK63" s="99"/>
      <c r="AL63" s="99"/>
      <c r="AM63" s="99"/>
      <c r="AN63" s="99"/>
      <c r="AO63" s="99"/>
      <c r="AP63" s="99"/>
      <c r="AR63" s="99"/>
      <c r="AS63" s="99"/>
      <c r="AT63" s="99"/>
      <c r="AU63" s="99"/>
      <c r="AV63" s="99"/>
      <c r="AW63" s="99"/>
    </row>
    <row r="64" spans="1:49" ht="12.75" hidden="1" customHeight="1" x14ac:dyDescent="0.25">
      <c r="A64" t="str">
        <f>Nutrients!B63</f>
        <v>Poultry Byproduct</v>
      </c>
      <c r="B64" s="99"/>
      <c r="C64" s="99"/>
      <c r="D64" s="99"/>
      <c r="E64" s="99"/>
      <c r="F64" s="99"/>
      <c r="G64" s="99"/>
      <c r="H64" s="99"/>
      <c r="I64" s="99"/>
      <c r="J64" s="99"/>
      <c r="K64" s="99"/>
      <c r="L64" s="99"/>
      <c r="M64" s="99"/>
      <c r="N64" s="99"/>
      <c r="O64" s="10"/>
      <c r="P64" s="99"/>
      <c r="Q64" s="99"/>
      <c r="R64" s="99"/>
      <c r="S64" s="99"/>
      <c r="T64" s="99"/>
      <c r="U64" s="99"/>
      <c r="W64" s="99"/>
      <c r="X64" s="99"/>
      <c r="Y64" s="99"/>
      <c r="Z64" s="99"/>
      <c r="AA64" s="99"/>
      <c r="AB64" s="99"/>
      <c r="AD64" s="99"/>
      <c r="AE64" s="99"/>
      <c r="AF64" s="99"/>
      <c r="AG64" s="99"/>
      <c r="AH64" s="99"/>
      <c r="AI64" s="99"/>
      <c r="AK64" s="99"/>
      <c r="AL64" s="99"/>
      <c r="AM64" s="99"/>
      <c r="AN64" s="99"/>
      <c r="AO64" s="99"/>
      <c r="AP64" s="99"/>
      <c r="AR64" s="99"/>
      <c r="AS64" s="99"/>
      <c r="AT64" s="99"/>
      <c r="AU64" s="99"/>
      <c r="AV64" s="99"/>
      <c r="AW64" s="99"/>
    </row>
    <row r="65" spans="1:49" ht="12.75" hidden="1" customHeight="1" x14ac:dyDescent="0.25">
      <c r="A65" t="str">
        <f>Nutrients!B64</f>
        <v>Rice</v>
      </c>
      <c r="B65" s="99"/>
      <c r="C65" s="99"/>
      <c r="D65" s="99"/>
      <c r="E65" s="99"/>
      <c r="F65" s="99"/>
      <c r="G65" s="99"/>
      <c r="H65" s="99"/>
      <c r="I65" s="99"/>
      <c r="J65" s="99"/>
      <c r="K65" s="99"/>
      <c r="L65" s="99"/>
      <c r="M65" s="99"/>
      <c r="N65" s="99"/>
      <c r="O65" s="10"/>
      <c r="P65" s="99"/>
      <c r="Q65" s="99"/>
      <c r="R65" s="99"/>
      <c r="S65" s="99"/>
      <c r="T65" s="99"/>
      <c r="U65" s="99"/>
      <c r="W65" s="99"/>
      <c r="X65" s="99"/>
      <c r="Y65" s="99"/>
      <c r="Z65" s="99"/>
      <c r="AA65" s="99"/>
      <c r="AB65" s="99"/>
      <c r="AD65" s="99"/>
      <c r="AE65" s="99"/>
      <c r="AF65" s="99"/>
      <c r="AG65" s="99"/>
      <c r="AH65" s="99"/>
      <c r="AI65" s="99"/>
      <c r="AK65" s="99"/>
      <c r="AL65" s="99"/>
      <c r="AM65" s="99"/>
      <c r="AN65" s="99"/>
      <c r="AO65" s="99"/>
      <c r="AP65" s="99"/>
      <c r="AR65" s="99"/>
      <c r="AS65" s="99"/>
      <c r="AT65" s="99"/>
      <c r="AU65" s="99"/>
      <c r="AV65" s="99"/>
      <c r="AW65" s="99"/>
    </row>
    <row r="66" spans="1:49" ht="12.75" hidden="1" customHeight="1" x14ac:dyDescent="0.25">
      <c r="A66" t="str">
        <f>Nutrients!B65</f>
        <v>Rice Bran</v>
      </c>
      <c r="B66" s="99"/>
      <c r="C66" s="99"/>
      <c r="D66" s="99"/>
      <c r="E66" s="99"/>
      <c r="F66" s="99"/>
      <c r="G66" s="99"/>
      <c r="H66" s="99"/>
      <c r="I66" s="99"/>
      <c r="J66" s="99"/>
      <c r="K66" s="99"/>
      <c r="L66" s="99"/>
      <c r="M66" s="99"/>
      <c r="N66" s="99"/>
      <c r="O66" s="10"/>
      <c r="P66" s="99"/>
      <c r="Q66" s="99"/>
      <c r="R66" s="99"/>
      <c r="S66" s="99"/>
      <c r="T66" s="99"/>
      <c r="U66" s="99"/>
      <c r="W66" s="99"/>
      <c r="X66" s="99"/>
      <c r="Y66" s="99"/>
      <c r="Z66" s="99"/>
      <c r="AA66" s="99"/>
      <c r="AB66" s="99"/>
      <c r="AD66" s="99"/>
      <c r="AE66" s="99"/>
      <c r="AF66" s="99"/>
      <c r="AG66" s="99"/>
      <c r="AH66" s="99"/>
      <c r="AI66" s="99"/>
      <c r="AK66" s="99"/>
      <c r="AL66" s="99"/>
      <c r="AM66" s="99"/>
      <c r="AN66" s="99"/>
      <c r="AO66" s="99"/>
      <c r="AP66" s="99"/>
      <c r="AR66" s="99"/>
      <c r="AS66" s="99"/>
      <c r="AT66" s="99"/>
      <c r="AU66" s="99"/>
      <c r="AV66" s="99"/>
      <c r="AW66" s="99"/>
    </row>
    <row r="67" spans="1:49" ht="12.75" hidden="1" customHeight="1" x14ac:dyDescent="0.25">
      <c r="A67" t="str">
        <f>Nutrients!B66</f>
        <v>Rice Bran, Defatted</v>
      </c>
      <c r="B67" s="99"/>
      <c r="C67" s="99"/>
      <c r="D67" s="99"/>
      <c r="E67" s="99"/>
      <c r="F67" s="99"/>
      <c r="G67" s="99"/>
      <c r="H67" s="99"/>
      <c r="I67" s="99"/>
      <c r="J67" s="99"/>
      <c r="K67" s="99"/>
      <c r="L67" s="99"/>
      <c r="M67" s="99"/>
      <c r="N67" s="99"/>
      <c r="O67" s="10"/>
      <c r="P67" s="99"/>
      <c r="Q67" s="99"/>
      <c r="R67" s="99"/>
      <c r="S67" s="99"/>
      <c r="T67" s="99"/>
      <c r="U67" s="99"/>
      <c r="W67" s="99"/>
      <c r="X67" s="99"/>
      <c r="Y67" s="99"/>
      <c r="Z67" s="99"/>
      <c r="AA67" s="99"/>
      <c r="AB67" s="99"/>
      <c r="AD67" s="99"/>
      <c r="AE67" s="99"/>
      <c r="AF67" s="99"/>
      <c r="AG67" s="99"/>
      <c r="AH67" s="99"/>
      <c r="AI67" s="99"/>
      <c r="AK67" s="99"/>
      <c r="AL67" s="99"/>
      <c r="AM67" s="99"/>
      <c r="AN67" s="99"/>
      <c r="AO67" s="99"/>
      <c r="AP67" s="99"/>
      <c r="AR67" s="99"/>
      <c r="AS67" s="99"/>
      <c r="AT67" s="99"/>
      <c r="AU67" s="99"/>
      <c r="AV67" s="99"/>
      <c r="AW67" s="99"/>
    </row>
    <row r="68" spans="1:49" ht="12.75" hidden="1" customHeight="1" x14ac:dyDescent="0.25">
      <c r="A68" t="str">
        <f>Nutrients!B67</f>
        <v>Rice, Broken</v>
      </c>
      <c r="B68" s="99"/>
      <c r="C68" s="99"/>
      <c r="D68" s="99"/>
      <c r="E68" s="99"/>
      <c r="F68" s="99"/>
      <c r="G68" s="99"/>
      <c r="H68" s="99"/>
      <c r="I68" s="99"/>
      <c r="J68" s="99"/>
      <c r="K68" s="99"/>
      <c r="L68" s="99"/>
      <c r="M68" s="99"/>
      <c r="N68" s="99"/>
      <c r="O68" s="10"/>
      <c r="P68" s="99"/>
      <c r="Q68" s="99"/>
      <c r="R68" s="99"/>
      <c r="S68" s="99"/>
      <c r="T68" s="99"/>
      <c r="U68" s="99"/>
      <c r="W68" s="99"/>
      <c r="X68" s="99"/>
      <c r="Y68" s="99"/>
      <c r="Z68" s="99"/>
      <c r="AA68" s="99"/>
      <c r="AB68" s="99"/>
      <c r="AD68" s="99"/>
      <c r="AE68" s="99"/>
      <c r="AF68" s="99"/>
      <c r="AG68" s="99"/>
      <c r="AH68" s="99"/>
      <c r="AI68" s="99"/>
      <c r="AK68" s="99"/>
      <c r="AL68" s="99"/>
      <c r="AM68" s="99"/>
      <c r="AN68" s="99"/>
      <c r="AO68" s="99"/>
      <c r="AP68" s="99"/>
      <c r="AR68" s="99"/>
      <c r="AS68" s="99"/>
      <c r="AT68" s="99"/>
      <c r="AU68" s="99"/>
      <c r="AV68" s="99"/>
      <c r="AW68" s="99"/>
    </row>
    <row r="69" spans="1:49" ht="12.75" hidden="1" customHeight="1" x14ac:dyDescent="0.25">
      <c r="A69" t="str">
        <f>Nutrients!B68</f>
        <v>Rye</v>
      </c>
      <c r="B69" s="99"/>
      <c r="C69" s="99"/>
      <c r="D69" s="99"/>
      <c r="E69" s="99"/>
      <c r="F69" s="99"/>
      <c r="G69" s="99"/>
      <c r="H69" s="99"/>
      <c r="I69" s="99"/>
      <c r="J69" s="99"/>
      <c r="K69" s="99"/>
      <c r="L69" s="99"/>
      <c r="M69" s="99"/>
      <c r="N69" s="99"/>
      <c r="O69" s="10"/>
      <c r="P69" s="99"/>
      <c r="Q69" s="99"/>
      <c r="R69" s="99"/>
      <c r="S69" s="99"/>
      <c r="T69" s="99"/>
      <c r="U69" s="99"/>
      <c r="W69" s="99"/>
      <c r="X69" s="99"/>
      <c r="Y69" s="99"/>
      <c r="Z69" s="99"/>
      <c r="AA69" s="99"/>
      <c r="AB69" s="99"/>
      <c r="AD69" s="99"/>
      <c r="AE69" s="99"/>
      <c r="AF69" s="99"/>
      <c r="AG69" s="99"/>
      <c r="AH69" s="99"/>
      <c r="AI69" s="99"/>
      <c r="AK69" s="99"/>
      <c r="AL69" s="99"/>
      <c r="AM69" s="99"/>
      <c r="AN69" s="99"/>
      <c r="AO69" s="99"/>
      <c r="AP69" s="99"/>
      <c r="AR69" s="99"/>
      <c r="AS69" s="99"/>
      <c r="AT69" s="99"/>
      <c r="AU69" s="99"/>
      <c r="AV69" s="99"/>
      <c r="AW69" s="99"/>
    </row>
    <row r="70" spans="1:49" ht="12.75" hidden="1" customHeight="1" x14ac:dyDescent="0.25">
      <c r="A70" t="str">
        <f>Nutrients!B69</f>
        <v>Sesame Meal</v>
      </c>
      <c r="B70" s="99"/>
      <c r="C70" s="99"/>
      <c r="D70" s="99"/>
      <c r="E70" s="99"/>
      <c r="F70" s="99"/>
      <c r="G70" s="99"/>
      <c r="H70" s="99"/>
      <c r="I70" s="99"/>
      <c r="J70" s="99"/>
      <c r="K70" s="99"/>
      <c r="L70" s="99"/>
      <c r="M70" s="99"/>
      <c r="N70" s="99"/>
      <c r="O70" s="10"/>
      <c r="P70" s="99"/>
      <c r="Q70" s="99"/>
      <c r="R70" s="99"/>
      <c r="S70" s="99"/>
      <c r="T70" s="99"/>
      <c r="U70" s="99"/>
      <c r="W70" s="99"/>
      <c r="X70" s="99"/>
      <c r="Y70" s="99"/>
      <c r="Z70" s="99"/>
      <c r="AA70" s="99"/>
      <c r="AB70" s="99"/>
      <c r="AD70" s="99"/>
      <c r="AE70" s="99"/>
      <c r="AF70" s="99"/>
      <c r="AG70" s="99"/>
      <c r="AH70" s="99"/>
      <c r="AI70" s="99"/>
      <c r="AK70" s="99"/>
      <c r="AL70" s="99"/>
      <c r="AM70" s="99"/>
      <c r="AN70" s="99"/>
      <c r="AO70" s="99"/>
      <c r="AP70" s="99"/>
      <c r="AR70" s="99"/>
      <c r="AS70" s="99"/>
      <c r="AT70" s="99"/>
      <c r="AU70" s="99"/>
      <c r="AV70" s="99"/>
      <c r="AW70" s="99"/>
    </row>
    <row r="71" spans="1:49" ht="12.75" hidden="1" customHeight="1" x14ac:dyDescent="0.25">
      <c r="A71" t="str">
        <f>Nutrients!B70</f>
        <v>Sorghum</v>
      </c>
      <c r="B71" s="99"/>
      <c r="C71" s="99"/>
      <c r="D71" s="99"/>
      <c r="E71" s="99"/>
      <c r="F71" s="99"/>
      <c r="G71" s="99"/>
      <c r="H71" s="99"/>
      <c r="I71" s="99"/>
      <c r="J71" s="99"/>
      <c r="K71" s="99"/>
      <c r="L71" s="99"/>
      <c r="M71" s="99"/>
      <c r="N71" s="99"/>
      <c r="O71" s="10"/>
      <c r="P71" s="99"/>
      <c r="Q71" s="99"/>
      <c r="R71" s="99"/>
      <c r="S71" s="99"/>
      <c r="T71" s="99"/>
      <c r="U71" s="99"/>
      <c r="W71" s="99"/>
      <c r="X71" s="99"/>
      <c r="Y71" s="99"/>
      <c r="Z71" s="99"/>
      <c r="AA71" s="99"/>
      <c r="AB71" s="99"/>
      <c r="AD71" s="99"/>
      <c r="AE71" s="99"/>
      <c r="AF71" s="99"/>
      <c r="AG71" s="99"/>
      <c r="AH71" s="99"/>
      <c r="AI71" s="99"/>
      <c r="AK71" s="99"/>
      <c r="AL71" s="99"/>
      <c r="AM71" s="99"/>
      <c r="AN71" s="99"/>
      <c r="AO71" s="99"/>
      <c r="AP71" s="99"/>
      <c r="AR71" s="99"/>
      <c r="AS71" s="99"/>
      <c r="AT71" s="99"/>
      <c r="AU71" s="99"/>
      <c r="AV71" s="99"/>
      <c r="AW71" s="99"/>
    </row>
    <row r="72" spans="1:49" ht="12.75" hidden="1" customHeight="1" x14ac:dyDescent="0.25">
      <c r="A72" t="str">
        <f>Nutrients!B71</f>
        <v>Soybeans, Full Fat</v>
      </c>
      <c r="B72" s="99"/>
      <c r="C72" s="99"/>
      <c r="D72" s="99"/>
      <c r="E72" s="99"/>
      <c r="F72" s="99"/>
      <c r="G72" s="99"/>
      <c r="H72" s="99"/>
      <c r="I72" s="99"/>
      <c r="J72" s="99"/>
      <c r="K72" s="99"/>
      <c r="L72" s="99"/>
      <c r="M72" s="99"/>
      <c r="N72" s="99"/>
      <c r="O72" s="10"/>
      <c r="P72" s="99"/>
      <c r="Q72" s="99"/>
      <c r="R72" s="99"/>
      <c r="S72" s="99"/>
      <c r="T72" s="99"/>
      <c r="U72" s="99"/>
      <c r="W72" s="99"/>
      <c r="X72" s="99"/>
      <c r="Y72" s="99"/>
      <c r="Z72" s="99"/>
      <c r="AA72" s="99"/>
      <c r="AB72" s="99"/>
      <c r="AD72" s="99"/>
      <c r="AE72" s="99"/>
      <c r="AF72" s="99"/>
      <c r="AG72" s="99"/>
      <c r="AH72" s="99"/>
      <c r="AI72" s="99"/>
      <c r="AK72" s="99"/>
      <c r="AL72" s="99"/>
      <c r="AM72" s="99"/>
      <c r="AN72" s="99"/>
      <c r="AO72" s="99"/>
      <c r="AP72" s="99"/>
      <c r="AR72" s="99"/>
      <c r="AS72" s="99"/>
      <c r="AT72" s="99"/>
      <c r="AU72" s="99"/>
      <c r="AV72" s="99"/>
      <c r="AW72" s="99"/>
    </row>
    <row r="73" spans="1:49" ht="12.75" hidden="1" customHeight="1" x14ac:dyDescent="0.25">
      <c r="A73" t="str">
        <f>Nutrients!B72</f>
        <v>Soybeans, High Protein, Full Fat</v>
      </c>
      <c r="B73" s="99"/>
      <c r="C73" s="99"/>
      <c r="D73" s="99"/>
      <c r="E73" s="99"/>
      <c r="F73" s="99"/>
      <c r="G73" s="99"/>
      <c r="H73" s="99"/>
      <c r="I73" s="99"/>
      <c r="J73" s="99"/>
      <c r="K73" s="99"/>
      <c r="L73" s="99"/>
      <c r="M73" s="99"/>
      <c r="N73" s="99"/>
      <c r="O73" s="10"/>
      <c r="P73" s="99"/>
      <c r="Q73" s="99"/>
      <c r="R73" s="99"/>
      <c r="S73" s="99"/>
      <c r="T73" s="99"/>
      <c r="U73" s="99"/>
      <c r="W73" s="99"/>
      <c r="X73" s="99"/>
      <c r="Y73" s="99"/>
      <c r="Z73" s="99"/>
      <c r="AA73" s="99"/>
      <c r="AB73" s="99"/>
      <c r="AD73" s="99"/>
      <c r="AE73" s="99"/>
      <c r="AF73" s="99"/>
      <c r="AG73" s="99"/>
      <c r="AH73" s="99"/>
      <c r="AI73" s="99"/>
      <c r="AK73" s="99"/>
      <c r="AL73" s="99"/>
      <c r="AM73" s="99"/>
      <c r="AN73" s="99"/>
      <c r="AO73" s="99"/>
      <c r="AP73" s="99"/>
      <c r="AR73" s="99"/>
      <c r="AS73" s="99"/>
      <c r="AT73" s="99"/>
      <c r="AU73" s="99"/>
      <c r="AV73" s="99"/>
      <c r="AW73" s="99"/>
    </row>
    <row r="74" spans="1:49" ht="12.75" hidden="1" customHeight="1" x14ac:dyDescent="0.25">
      <c r="A74" t="str">
        <f>Nutrients!B73</f>
        <v>Soybeans, Low Oligosaccharide, Full Fat</v>
      </c>
      <c r="B74" s="99"/>
      <c r="C74" s="99"/>
      <c r="D74" s="99"/>
      <c r="E74" s="99"/>
      <c r="F74" s="99"/>
      <c r="G74" s="99"/>
      <c r="H74" s="99"/>
      <c r="I74" s="99"/>
      <c r="J74" s="99"/>
      <c r="K74" s="99"/>
      <c r="L74" s="99"/>
      <c r="M74" s="99"/>
      <c r="N74" s="99"/>
      <c r="O74" s="10"/>
      <c r="P74" s="99"/>
      <c r="Q74" s="99"/>
      <c r="R74" s="99"/>
      <c r="S74" s="99"/>
      <c r="T74" s="99"/>
      <c r="U74" s="99"/>
      <c r="W74" s="99"/>
      <c r="X74" s="99"/>
      <c r="Y74" s="99"/>
      <c r="Z74" s="99"/>
      <c r="AA74" s="99"/>
      <c r="AB74" s="99"/>
      <c r="AD74" s="99"/>
      <c r="AE74" s="99"/>
      <c r="AF74" s="99"/>
      <c r="AG74" s="99"/>
      <c r="AH74" s="99"/>
      <c r="AI74" s="99"/>
      <c r="AK74" s="99"/>
      <c r="AL74" s="99"/>
      <c r="AM74" s="99"/>
      <c r="AN74" s="99"/>
      <c r="AO74" s="99"/>
      <c r="AP74" s="99"/>
      <c r="AR74" s="99"/>
      <c r="AS74" s="99"/>
      <c r="AT74" s="99"/>
      <c r="AU74" s="99"/>
      <c r="AV74" s="99"/>
      <c r="AW74" s="99"/>
    </row>
    <row r="75" spans="1:49" ht="12.75" hidden="1" customHeight="1" x14ac:dyDescent="0.25">
      <c r="A75" t="str">
        <f>Nutrients!B74</f>
        <v>Soybean Meal, High Protein, Expelled</v>
      </c>
      <c r="B75" s="99"/>
      <c r="C75" s="99"/>
      <c r="D75" s="99"/>
      <c r="E75" s="99"/>
      <c r="F75" s="99"/>
      <c r="G75" s="99"/>
      <c r="H75" s="99"/>
      <c r="I75" s="99"/>
      <c r="J75" s="99"/>
      <c r="K75" s="99"/>
      <c r="L75" s="99"/>
      <c r="M75" s="99"/>
      <c r="N75" s="99"/>
      <c r="O75" s="10"/>
      <c r="P75" s="99"/>
      <c r="Q75" s="99"/>
      <c r="R75" s="99"/>
      <c r="S75" s="99"/>
      <c r="T75" s="99"/>
      <c r="U75" s="99"/>
      <c r="W75" s="99"/>
      <c r="X75" s="99"/>
      <c r="Y75" s="99"/>
      <c r="Z75" s="99"/>
      <c r="AA75" s="99"/>
      <c r="AB75" s="99"/>
      <c r="AD75" s="99"/>
      <c r="AE75" s="99"/>
      <c r="AF75" s="99"/>
      <c r="AG75" s="99"/>
      <c r="AH75" s="99"/>
      <c r="AI75" s="99"/>
      <c r="AK75" s="99"/>
      <c r="AL75" s="99"/>
      <c r="AM75" s="99"/>
      <c r="AN75" s="99"/>
      <c r="AO75" s="99"/>
      <c r="AP75" s="99"/>
      <c r="AR75" s="99"/>
      <c r="AS75" s="99"/>
      <c r="AT75" s="99"/>
      <c r="AU75" s="99"/>
      <c r="AV75" s="99"/>
      <c r="AW75" s="99"/>
    </row>
    <row r="76" spans="1:49" ht="12.75" hidden="1" customHeight="1" x14ac:dyDescent="0.25">
      <c r="A76" t="str">
        <f>Nutrients!B75</f>
        <v>Soybean Meal, Low Oligosacch, Expell</v>
      </c>
      <c r="B76" s="99"/>
      <c r="C76" s="99"/>
      <c r="D76" s="99"/>
      <c r="E76" s="99"/>
      <c r="F76" s="99"/>
      <c r="G76" s="99"/>
      <c r="H76" s="99"/>
      <c r="I76" s="99"/>
      <c r="J76" s="99"/>
      <c r="K76" s="99"/>
      <c r="L76" s="99"/>
      <c r="M76" s="99"/>
      <c r="N76" s="99"/>
      <c r="O76" s="10"/>
      <c r="P76" s="99"/>
      <c r="Q76" s="99"/>
      <c r="R76" s="99"/>
      <c r="S76" s="99"/>
      <c r="T76" s="99"/>
      <c r="U76" s="99"/>
      <c r="W76" s="99"/>
      <c r="X76" s="99"/>
      <c r="Y76" s="99"/>
      <c r="Z76" s="99"/>
      <c r="AA76" s="99"/>
      <c r="AB76" s="99"/>
      <c r="AD76" s="99"/>
      <c r="AE76" s="99"/>
      <c r="AF76" s="99"/>
      <c r="AG76" s="99"/>
      <c r="AH76" s="99"/>
      <c r="AI76" s="99"/>
      <c r="AK76" s="99"/>
      <c r="AL76" s="99"/>
      <c r="AM76" s="99"/>
      <c r="AN76" s="99"/>
      <c r="AO76" s="99"/>
      <c r="AP76" s="99"/>
      <c r="AR76" s="99"/>
      <c r="AS76" s="99"/>
      <c r="AT76" s="99"/>
      <c r="AU76" s="99"/>
      <c r="AV76" s="99"/>
      <c r="AW76" s="99"/>
    </row>
    <row r="77" spans="1:49" ht="12.75" hidden="1" customHeight="1" x14ac:dyDescent="0.25">
      <c r="A77" t="str">
        <f>Nutrients!B76</f>
        <v>Soybean Meal, Expelled</v>
      </c>
      <c r="B77" s="99"/>
      <c r="C77" s="99"/>
      <c r="D77" s="99"/>
      <c r="E77" s="99"/>
      <c r="F77" s="99"/>
      <c r="G77" s="99"/>
      <c r="H77" s="99"/>
      <c r="I77" s="99"/>
      <c r="J77" s="99"/>
      <c r="K77" s="99"/>
      <c r="L77" s="99"/>
      <c r="M77" s="99"/>
      <c r="N77" s="99"/>
      <c r="O77" s="10"/>
      <c r="P77" s="99"/>
      <c r="Q77" s="99"/>
      <c r="R77" s="99"/>
      <c r="S77" s="99"/>
      <c r="T77" s="99"/>
      <c r="U77" s="99"/>
      <c r="W77" s="99"/>
      <c r="X77" s="99"/>
      <c r="Y77" s="99"/>
      <c r="Z77" s="99"/>
      <c r="AA77" s="99"/>
      <c r="AB77" s="99"/>
      <c r="AD77" s="99"/>
      <c r="AE77" s="99"/>
      <c r="AF77" s="99"/>
      <c r="AG77" s="99"/>
      <c r="AH77" s="99"/>
      <c r="AI77" s="99"/>
      <c r="AK77" s="99"/>
      <c r="AL77" s="99"/>
      <c r="AM77" s="99"/>
      <c r="AN77" s="99"/>
      <c r="AO77" s="99"/>
      <c r="AP77" s="99"/>
      <c r="AR77" s="99"/>
      <c r="AS77" s="99"/>
      <c r="AT77" s="99"/>
      <c r="AU77" s="99"/>
      <c r="AV77" s="99"/>
      <c r="AW77" s="99"/>
    </row>
    <row r="78" spans="1:49" ht="12.75" hidden="1" customHeight="1" x14ac:dyDescent="0.25">
      <c r="A78" t="str">
        <f>Nutrients!B77</f>
        <v>Soybean Meal, Dehulled, Expelled</v>
      </c>
      <c r="B78" s="99"/>
      <c r="C78" s="99"/>
      <c r="D78" s="99"/>
      <c r="E78" s="99"/>
      <c r="F78" s="99"/>
      <c r="G78" s="99"/>
      <c r="H78" s="99"/>
      <c r="I78" s="99"/>
      <c r="J78" s="99"/>
      <c r="K78" s="99"/>
      <c r="L78" s="99"/>
      <c r="M78" s="99"/>
      <c r="N78" s="99"/>
      <c r="O78" s="10"/>
      <c r="P78" s="99"/>
      <c r="Q78" s="99"/>
      <c r="R78" s="99"/>
      <c r="S78" s="99"/>
      <c r="T78" s="99"/>
      <c r="U78" s="99"/>
      <c r="W78" s="99"/>
      <c r="X78" s="99"/>
      <c r="Y78" s="99"/>
      <c r="Z78" s="99"/>
      <c r="AA78" s="99"/>
      <c r="AB78" s="99"/>
      <c r="AD78" s="99"/>
      <c r="AE78" s="99"/>
      <c r="AF78" s="99"/>
      <c r="AG78" s="99"/>
      <c r="AH78" s="99"/>
      <c r="AI78" s="99"/>
      <c r="AK78" s="99"/>
      <c r="AL78" s="99"/>
      <c r="AM78" s="99"/>
      <c r="AN78" s="99"/>
      <c r="AO78" s="99"/>
      <c r="AP78" s="99"/>
      <c r="AR78" s="99"/>
      <c r="AS78" s="99"/>
      <c r="AT78" s="99"/>
      <c r="AU78" s="99"/>
      <c r="AV78" s="99"/>
      <c r="AW78" s="99"/>
    </row>
    <row r="79" spans="1:49" ht="12.75" hidden="1" customHeight="1" x14ac:dyDescent="0.25">
      <c r="A79" t="str">
        <f>Nutrients!B78</f>
        <v>Soybean Meal, Solvent Extracted</v>
      </c>
      <c r="B79" s="99"/>
      <c r="C79" s="99"/>
      <c r="D79" s="99"/>
      <c r="E79" s="99"/>
      <c r="F79" s="99"/>
      <c r="G79" s="99"/>
      <c r="H79" s="99"/>
      <c r="I79" s="99"/>
      <c r="J79" s="99"/>
      <c r="K79" s="99"/>
      <c r="L79" s="99"/>
      <c r="M79" s="99"/>
      <c r="N79" s="99"/>
      <c r="O79" s="10"/>
      <c r="P79" s="99"/>
      <c r="Q79" s="99"/>
      <c r="R79" s="99"/>
      <c r="S79" s="99"/>
      <c r="T79" s="99"/>
      <c r="U79" s="99"/>
      <c r="W79" s="99"/>
      <c r="X79" s="99"/>
      <c r="Y79" s="99"/>
      <c r="Z79" s="99"/>
      <c r="AA79" s="99"/>
      <c r="AB79" s="99"/>
      <c r="AD79" s="99"/>
      <c r="AE79" s="99"/>
      <c r="AF79" s="99"/>
      <c r="AG79" s="99"/>
      <c r="AH79" s="99"/>
      <c r="AI79" s="99"/>
      <c r="AK79" s="99"/>
      <c r="AL79" s="99"/>
      <c r="AM79" s="99"/>
      <c r="AN79" s="99"/>
      <c r="AO79" s="99"/>
      <c r="AP79" s="99"/>
      <c r="AR79" s="99"/>
      <c r="AS79" s="99"/>
      <c r="AT79" s="99"/>
      <c r="AU79" s="99"/>
      <c r="AV79" s="99"/>
      <c r="AW79" s="99"/>
    </row>
    <row r="80" spans="1:49" ht="12.75" hidden="1" customHeight="1" x14ac:dyDescent="0.25">
      <c r="A80" t="str">
        <f>Nutrients!B79</f>
        <v>Soybean Meal, Dehull, Sol Extr</v>
      </c>
      <c r="B80" s="99"/>
      <c r="C80" s="99"/>
      <c r="D80" s="99"/>
      <c r="E80" s="99"/>
      <c r="F80" s="99"/>
      <c r="G80" s="99"/>
      <c r="H80" s="99"/>
      <c r="I80" s="99"/>
      <c r="J80" s="99"/>
      <c r="K80" s="99"/>
      <c r="L80" s="99"/>
      <c r="M80" s="99"/>
      <c r="N80" s="99"/>
      <c r="O80" s="10"/>
      <c r="P80" s="99"/>
      <c r="Q80" s="99"/>
      <c r="R80" s="99"/>
      <c r="S80" s="99"/>
      <c r="T80" s="99"/>
      <c r="U80" s="99"/>
      <c r="W80" s="99"/>
      <c r="X80" s="99"/>
      <c r="Y80" s="99"/>
      <c r="Z80" s="99"/>
      <c r="AA80" s="99"/>
      <c r="AB80" s="99"/>
      <c r="AD80" s="99"/>
      <c r="AE80" s="99"/>
      <c r="AF80" s="99"/>
      <c r="AG80" s="99"/>
      <c r="AH80" s="99"/>
      <c r="AI80" s="99"/>
      <c r="AK80" s="99"/>
      <c r="AL80" s="99"/>
      <c r="AM80" s="99"/>
      <c r="AN80" s="99"/>
      <c r="AO80" s="99"/>
      <c r="AP80" s="99"/>
      <c r="AR80" s="99"/>
      <c r="AS80" s="99"/>
      <c r="AT80" s="99"/>
      <c r="AU80" s="99"/>
      <c r="AV80" s="99"/>
      <c r="AW80" s="99"/>
    </row>
    <row r="81" spans="1:49" ht="12.75" hidden="1" customHeight="1" x14ac:dyDescent="0.25">
      <c r="A81" t="str">
        <f>Nutrients!B80</f>
        <v>Soybean Meal, High Prot, Dehull, Solv Extr</v>
      </c>
      <c r="B81" s="99"/>
      <c r="C81" s="99"/>
      <c r="D81" s="99"/>
      <c r="E81" s="99"/>
      <c r="F81" s="99"/>
      <c r="G81" s="99"/>
      <c r="H81" s="99"/>
      <c r="I81" s="99"/>
      <c r="J81" s="99"/>
      <c r="K81" s="99"/>
      <c r="L81" s="99"/>
      <c r="M81" s="99"/>
      <c r="N81" s="99"/>
      <c r="O81" s="10"/>
      <c r="P81" s="99"/>
      <c r="Q81" s="99"/>
      <c r="R81" s="99"/>
      <c r="S81" s="99"/>
      <c r="T81" s="99"/>
      <c r="U81" s="99"/>
      <c r="W81" s="99"/>
      <c r="X81" s="99"/>
      <c r="Y81" s="99"/>
      <c r="Z81" s="99"/>
      <c r="AA81" s="99"/>
      <c r="AB81" s="99"/>
      <c r="AD81" s="99"/>
      <c r="AE81" s="99"/>
      <c r="AF81" s="99"/>
      <c r="AG81" s="99"/>
      <c r="AH81" s="99"/>
      <c r="AI81" s="99"/>
      <c r="AK81" s="99"/>
      <c r="AL81" s="99"/>
      <c r="AM81" s="99"/>
      <c r="AN81" s="99"/>
      <c r="AO81" s="99"/>
      <c r="AP81" s="99"/>
      <c r="AR81" s="99"/>
      <c r="AS81" s="99"/>
      <c r="AT81" s="99"/>
      <c r="AU81" s="99"/>
      <c r="AV81" s="99"/>
      <c r="AW81" s="99"/>
    </row>
    <row r="82" spans="1:49" ht="12.75" hidden="1" customHeight="1" x14ac:dyDescent="0.25">
      <c r="A82" t="str">
        <f>Nutrients!B81</f>
        <v>Soybean Meal, Enzyme Treated</v>
      </c>
      <c r="B82" s="99"/>
      <c r="C82" s="99"/>
      <c r="D82" s="99"/>
      <c r="E82" s="99"/>
      <c r="F82" s="99"/>
      <c r="G82" s="99"/>
      <c r="H82" s="99"/>
      <c r="I82" s="99"/>
      <c r="J82" s="99"/>
      <c r="K82" s="99"/>
      <c r="L82" s="99"/>
      <c r="M82" s="99"/>
      <c r="N82" s="99"/>
      <c r="O82" s="10"/>
      <c r="P82" s="99"/>
      <c r="Q82" s="99"/>
      <c r="R82" s="99"/>
      <c r="S82" s="99"/>
      <c r="T82" s="99"/>
      <c r="U82" s="99"/>
      <c r="W82" s="99"/>
      <c r="X82" s="99"/>
      <c r="Y82" s="99"/>
      <c r="Z82" s="99"/>
      <c r="AA82" s="99"/>
      <c r="AB82" s="99"/>
      <c r="AD82" s="99"/>
      <c r="AE82" s="99"/>
      <c r="AF82" s="99"/>
      <c r="AG82" s="99"/>
      <c r="AH82" s="99"/>
      <c r="AI82" s="99"/>
      <c r="AK82" s="99"/>
      <c r="AL82" s="99"/>
      <c r="AM82" s="99"/>
      <c r="AN82" s="99"/>
      <c r="AO82" s="99"/>
      <c r="AP82" s="99"/>
      <c r="AR82" s="99"/>
      <c r="AS82" s="99"/>
      <c r="AT82" s="99"/>
      <c r="AU82" s="99"/>
      <c r="AV82" s="99"/>
      <c r="AW82" s="99"/>
    </row>
    <row r="83" spans="1:49" ht="12.75" hidden="1" customHeight="1" x14ac:dyDescent="0.25">
      <c r="A83" t="str">
        <f>Nutrients!B82</f>
        <v>Soybean Meal, Fermented</v>
      </c>
      <c r="B83" s="99"/>
      <c r="C83" s="99"/>
      <c r="D83" s="99"/>
      <c r="E83" s="99"/>
      <c r="F83" s="99"/>
      <c r="G83" s="99"/>
      <c r="H83" s="99"/>
      <c r="I83" s="99"/>
      <c r="J83" s="99"/>
      <c r="K83" s="99"/>
      <c r="L83" s="99"/>
      <c r="M83" s="99"/>
      <c r="N83" s="99"/>
      <c r="O83" s="10"/>
      <c r="P83" s="99"/>
      <c r="Q83" s="99"/>
      <c r="R83" s="99"/>
      <c r="S83" s="99"/>
      <c r="T83" s="99"/>
      <c r="U83" s="99"/>
      <c r="W83" s="99"/>
      <c r="X83" s="99"/>
      <c r="Y83" s="99"/>
      <c r="Z83" s="99"/>
      <c r="AA83" s="99"/>
      <c r="AB83" s="99"/>
      <c r="AD83" s="99"/>
      <c r="AE83" s="99"/>
      <c r="AF83" s="99"/>
      <c r="AG83" s="99"/>
      <c r="AH83" s="99"/>
      <c r="AI83" s="99"/>
      <c r="AK83" s="99"/>
      <c r="AL83" s="99"/>
      <c r="AM83" s="99"/>
      <c r="AN83" s="99"/>
      <c r="AO83" s="99"/>
      <c r="AP83" s="99"/>
      <c r="AR83" s="99"/>
      <c r="AS83" s="99"/>
      <c r="AT83" s="99"/>
      <c r="AU83" s="99"/>
      <c r="AV83" s="99"/>
      <c r="AW83" s="99"/>
    </row>
    <row r="84" spans="1:49" ht="12.75" hidden="1" customHeight="1" x14ac:dyDescent="0.25">
      <c r="A84" t="str">
        <f>Nutrients!B83</f>
        <v>Soybean Hulls</v>
      </c>
      <c r="B84" s="99"/>
      <c r="C84" s="99"/>
      <c r="D84" s="99"/>
      <c r="E84" s="99"/>
      <c r="F84" s="99"/>
      <c r="G84" s="99"/>
      <c r="H84" s="99"/>
      <c r="I84" s="99"/>
      <c r="J84" s="99"/>
      <c r="K84" s="99"/>
      <c r="L84" s="99"/>
      <c r="M84" s="99"/>
      <c r="N84" s="99"/>
      <c r="O84" s="10"/>
      <c r="P84" s="99"/>
      <c r="Q84" s="99"/>
      <c r="R84" s="99"/>
      <c r="S84" s="99"/>
      <c r="T84" s="99"/>
      <c r="U84" s="99"/>
      <c r="W84" s="99"/>
      <c r="X84" s="99"/>
      <c r="Y84" s="99"/>
      <c r="Z84" s="99"/>
      <c r="AA84" s="99"/>
      <c r="AB84" s="99"/>
      <c r="AD84" s="99"/>
      <c r="AE84" s="99"/>
      <c r="AF84" s="99"/>
      <c r="AG84" s="99"/>
      <c r="AH84" s="99"/>
      <c r="AI84" s="99"/>
      <c r="AK84" s="99"/>
      <c r="AL84" s="99"/>
      <c r="AM84" s="99"/>
      <c r="AN84" s="99"/>
      <c r="AO84" s="99"/>
      <c r="AP84" s="99"/>
      <c r="AR84" s="99"/>
      <c r="AS84" s="99"/>
      <c r="AT84" s="99"/>
      <c r="AU84" s="99"/>
      <c r="AV84" s="99"/>
      <c r="AW84" s="99"/>
    </row>
    <row r="85" spans="1:49" ht="12.75" hidden="1" customHeight="1" x14ac:dyDescent="0.25">
      <c r="A85" t="str">
        <f>Nutrients!B84</f>
        <v>Soy Protein Concentrate</v>
      </c>
      <c r="B85" s="99"/>
      <c r="C85" s="99"/>
      <c r="D85" s="99"/>
      <c r="E85" s="99"/>
      <c r="F85" s="99"/>
      <c r="G85" s="99"/>
      <c r="H85" s="99"/>
      <c r="I85" s="99"/>
      <c r="J85" s="99"/>
      <c r="K85" s="99"/>
      <c r="L85" s="99"/>
      <c r="M85" s="99"/>
      <c r="N85" s="99"/>
      <c r="O85" s="10"/>
      <c r="P85" s="99"/>
      <c r="Q85" s="99"/>
      <c r="R85" s="99"/>
      <c r="S85" s="99"/>
      <c r="T85" s="99"/>
      <c r="U85" s="99"/>
      <c r="W85" s="99"/>
      <c r="X85" s="99"/>
      <c r="Y85" s="99"/>
      <c r="Z85" s="99"/>
      <c r="AA85" s="99"/>
      <c r="AB85" s="99"/>
      <c r="AD85" s="99"/>
      <c r="AE85" s="99"/>
      <c r="AF85" s="99"/>
      <c r="AG85" s="99"/>
      <c r="AH85" s="99"/>
      <c r="AI85" s="99"/>
      <c r="AK85" s="99"/>
      <c r="AL85" s="99"/>
      <c r="AM85" s="99"/>
      <c r="AN85" s="99"/>
      <c r="AO85" s="99"/>
      <c r="AP85" s="99"/>
      <c r="AR85" s="99"/>
      <c r="AS85" s="99"/>
      <c r="AT85" s="99"/>
      <c r="AU85" s="99"/>
      <c r="AV85" s="99"/>
      <c r="AW85" s="99"/>
    </row>
    <row r="86" spans="1:49" ht="12.75" hidden="1" customHeight="1" x14ac:dyDescent="0.25">
      <c r="A86" t="str">
        <f>Nutrients!B85</f>
        <v>Soy Protein Isolate</v>
      </c>
      <c r="B86" s="99"/>
      <c r="C86" s="99"/>
      <c r="D86" s="99"/>
      <c r="E86" s="99"/>
      <c r="F86" s="99"/>
      <c r="G86" s="99"/>
      <c r="H86" s="99"/>
      <c r="I86" s="99"/>
      <c r="J86" s="99"/>
      <c r="K86" s="99"/>
      <c r="L86" s="99"/>
      <c r="M86" s="99"/>
      <c r="N86" s="99"/>
      <c r="O86" s="10"/>
      <c r="P86" s="99"/>
      <c r="Q86" s="99"/>
      <c r="R86" s="99"/>
      <c r="S86" s="99"/>
      <c r="T86" s="99"/>
      <c r="U86" s="99"/>
      <c r="W86" s="99"/>
      <c r="X86" s="99"/>
      <c r="Y86" s="99"/>
      <c r="Z86" s="99"/>
      <c r="AA86" s="99"/>
      <c r="AB86" s="99"/>
      <c r="AD86" s="99"/>
      <c r="AE86" s="99"/>
      <c r="AF86" s="99"/>
      <c r="AG86" s="99"/>
      <c r="AH86" s="99"/>
      <c r="AI86" s="99"/>
      <c r="AK86" s="99"/>
      <c r="AL86" s="99"/>
      <c r="AM86" s="99"/>
      <c r="AN86" s="99"/>
      <c r="AO86" s="99"/>
      <c r="AP86" s="99"/>
      <c r="AR86" s="99"/>
      <c r="AS86" s="99"/>
      <c r="AT86" s="99"/>
      <c r="AU86" s="99"/>
      <c r="AV86" s="99"/>
      <c r="AW86" s="99"/>
    </row>
    <row r="87" spans="1:49" ht="12.75" hidden="1" customHeight="1" x14ac:dyDescent="0.25">
      <c r="A87" t="str">
        <f>Nutrients!B86</f>
        <v>Sugar Beet Pulp</v>
      </c>
      <c r="B87" s="99"/>
      <c r="C87" s="99"/>
      <c r="D87" s="99"/>
      <c r="E87" s="99"/>
      <c r="F87" s="99"/>
      <c r="G87" s="99"/>
      <c r="H87" s="99"/>
      <c r="I87" s="99"/>
      <c r="J87" s="99"/>
      <c r="K87" s="99"/>
      <c r="L87" s="99"/>
      <c r="M87" s="99"/>
      <c r="N87" s="99"/>
      <c r="O87" s="10"/>
      <c r="P87" s="99"/>
      <c r="Q87" s="99"/>
      <c r="R87" s="99"/>
      <c r="S87" s="99"/>
      <c r="T87" s="99"/>
      <c r="U87" s="99"/>
      <c r="W87" s="99"/>
      <c r="X87" s="99"/>
      <c r="Y87" s="99"/>
      <c r="Z87" s="99"/>
      <c r="AA87" s="99"/>
      <c r="AB87" s="99"/>
      <c r="AD87" s="99"/>
      <c r="AE87" s="99"/>
      <c r="AF87" s="99"/>
      <c r="AG87" s="99"/>
      <c r="AH87" s="99"/>
      <c r="AI87" s="99"/>
      <c r="AK87" s="99"/>
      <c r="AL87" s="99"/>
      <c r="AM87" s="99"/>
      <c r="AN87" s="99"/>
      <c r="AO87" s="99"/>
      <c r="AP87" s="99"/>
      <c r="AR87" s="99"/>
      <c r="AS87" s="99"/>
      <c r="AT87" s="99"/>
      <c r="AU87" s="99"/>
      <c r="AV87" s="99"/>
      <c r="AW87" s="99"/>
    </row>
    <row r="88" spans="1:49" ht="12.75" hidden="1" customHeight="1" x14ac:dyDescent="0.25">
      <c r="A88" t="str">
        <f>Nutrients!B87</f>
        <v>Sunflower, Full Fat</v>
      </c>
      <c r="B88" s="99"/>
      <c r="C88" s="99"/>
      <c r="D88" s="99"/>
      <c r="E88" s="99"/>
      <c r="F88" s="99"/>
      <c r="G88" s="99"/>
      <c r="H88" s="99"/>
      <c r="I88" s="99"/>
      <c r="J88" s="99"/>
      <c r="K88" s="99"/>
      <c r="L88" s="99"/>
      <c r="M88" s="99"/>
      <c r="N88" s="99"/>
      <c r="O88" s="10"/>
      <c r="P88" s="99"/>
      <c r="Q88" s="99"/>
      <c r="R88" s="99"/>
      <c r="S88" s="99"/>
      <c r="T88" s="99"/>
      <c r="U88" s="99"/>
      <c r="W88" s="99"/>
      <c r="X88" s="99"/>
      <c r="Y88" s="99"/>
      <c r="Z88" s="99"/>
      <c r="AA88" s="99"/>
      <c r="AB88" s="99"/>
      <c r="AD88" s="99"/>
      <c r="AE88" s="99"/>
      <c r="AF88" s="99"/>
      <c r="AG88" s="99"/>
      <c r="AH88" s="99"/>
      <c r="AI88" s="99"/>
      <c r="AK88" s="99"/>
      <c r="AL88" s="99"/>
      <c r="AM88" s="99"/>
      <c r="AN88" s="99"/>
      <c r="AO88" s="99"/>
      <c r="AP88" s="99"/>
      <c r="AR88" s="99"/>
      <c r="AS88" s="99"/>
      <c r="AT88" s="99"/>
      <c r="AU88" s="99"/>
      <c r="AV88" s="99"/>
      <c r="AW88" s="99"/>
    </row>
    <row r="89" spans="1:49" ht="12.75" hidden="1" customHeight="1" x14ac:dyDescent="0.25">
      <c r="A89" t="str">
        <f>Nutrients!B88</f>
        <v>Sunflower Meal, Solvent Extracted</v>
      </c>
      <c r="B89" s="99"/>
      <c r="C89" s="99"/>
      <c r="D89" s="99"/>
      <c r="E89" s="99"/>
      <c r="F89" s="99"/>
      <c r="G89" s="99"/>
      <c r="H89" s="99"/>
      <c r="I89" s="99"/>
      <c r="J89" s="99"/>
      <c r="K89" s="99"/>
      <c r="L89" s="99"/>
      <c r="M89" s="99"/>
      <c r="N89" s="99"/>
      <c r="O89" s="10"/>
      <c r="P89" s="99"/>
      <c r="Q89" s="99"/>
      <c r="R89" s="99"/>
      <c r="S89" s="99"/>
      <c r="T89" s="99"/>
      <c r="U89" s="99"/>
      <c r="W89" s="99"/>
      <c r="X89" s="99"/>
      <c r="Y89" s="99"/>
      <c r="Z89" s="99"/>
      <c r="AA89" s="99"/>
      <c r="AB89" s="99"/>
      <c r="AD89" s="99"/>
      <c r="AE89" s="99"/>
      <c r="AF89" s="99"/>
      <c r="AG89" s="99"/>
      <c r="AH89" s="99"/>
      <c r="AI89" s="99"/>
      <c r="AK89" s="99"/>
      <c r="AL89" s="99"/>
      <c r="AM89" s="99"/>
      <c r="AN89" s="99"/>
      <c r="AO89" s="99"/>
      <c r="AP89" s="99"/>
      <c r="AR89" s="99"/>
      <c r="AS89" s="99"/>
      <c r="AT89" s="99"/>
      <c r="AU89" s="99"/>
      <c r="AV89" s="99"/>
      <c r="AW89" s="99"/>
    </row>
    <row r="90" spans="1:49" ht="12.75" hidden="1" customHeight="1" x14ac:dyDescent="0.25">
      <c r="A90" t="str">
        <f>Nutrients!B89</f>
        <v>Sunflower Meal, Dehulled, Solvent Extr</v>
      </c>
      <c r="B90" s="99"/>
      <c r="C90" s="99"/>
      <c r="D90" s="99"/>
      <c r="E90" s="99"/>
      <c r="F90" s="99"/>
      <c r="G90" s="99"/>
      <c r="H90" s="99"/>
      <c r="I90" s="99"/>
      <c r="J90" s="99"/>
      <c r="K90" s="99"/>
      <c r="L90" s="99"/>
      <c r="M90" s="99"/>
      <c r="N90" s="99"/>
      <c r="O90" s="10"/>
      <c r="P90" s="99"/>
      <c r="Q90" s="99"/>
      <c r="R90" s="99"/>
      <c r="S90" s="99"/>
      <c r="T90" s="99"/>
      <c r="U90" s="99"/>
      <c r="W90" s="99"/>
      <c r="X90" s="99"/>
      <c r="Y90" s="99"/>
      <c r="Z90" s="99"/>
      <c r="AA90" s="99"/>
      <c r="AB90" s="99"/>
      <c r="AD90" s="99"/>
      <c r="AE90" s="99"/>
      <c r="AF90" s="99"/>
      <c r="AG90" s="99"/>
      <c r="AH90" s="99"/>
      <c r="AI90" s="99"/>
      <c r="AK90" s="99"/>
      <c r="AL90" s="99"/>
      <c r="AM90" s="99"/>
      <c r="AN90" s="99"/>
      <c r="AO90" s="99"/>
      <c r="AP90" s="99"/>
      <c r="AR90" s="99"/>
      <c r="AS90" s="99"/>
      <c r="AT90" s="99"/>
      <c r="AU90" s="99"/>
      <c r="AV90" s="99"/>
      <c r="AW90" s="99"/>
    </row>
    <row r="91" spans="1:49" ht="12.75" hidden="1" customHeight="1" x14ac:dyDescent="0.25">
      <c r="A91" t="str">
        <f>Nutrients!B90</f>
        <v>Triticale</v>
      </c>
      <c r="B91" s="99"/>
      <c r="C91" s="99"/>
      <c r="D91" s="99"/>
      <c r="E91" s="99"/>
      <c r="F91" s="99"/>
      <c r="G91" s="99"/>
      <c r="H91" s="99"/>
      <c r="I91" s="99"/>
      <c r="J91" s="99"/>
      <c r="K91" s="99"/>
      <c r="L91" s="99"/>
      <c r="M91" s="99"/>
      <c r="N91" s="99"/>
      <c r="O91" s="10"/>
      <c r="P91" s="99"/>
      <c r="Q91" s="99"/>
      <c r="R91" s="99"/>
      <c r="S91" s="99"/>
      <c r="T91" s="99"/>
      <c r="U91" s="99"/>
      <c r="W91" s="99"/>
      <c r="X91" s="99"/>
      <c r="Y91" s="99"/>
      <c r="Z91" s="99"/>
      <c r="AA91" s="99"/>
      <c r="AB91" s="99"/>
      <c r="AD91" s="99"/>
      <c r="AE91" s="99"/>
      <c r="AF91" s="99"/>
      <c r="AG91" s="99"/>
      <c r="AH91" s="99"/>
      <c r="AI91" s="99"/>
      <c r="AK91" s="99"/>
      <c r="AL91" s="99"/>
      <c r="AM91" s="99"/>
      <c r="AN91" s="99"/>
      <c r="AO91" s="99"/>
      <c r="AP91" s="99"/>
      <c r="AR91" s="99"/>
      <c r="AS91" s="99"/>
      <c r="AT91" s="99"/>
      <c r="AU91" s="99"/>
      <c r="AV91" s="99"/>
      <c r="AW91" s="99"/>
    </row>
    <row r="92" spans="1:49" ht="12.75" hidden="1" customHeight="1" x14ac:dyDescent="0.25">
      <c r="A92" t="str">
        <f>Nutrients!B91</f>
        <v>Wheat, Hard Red</v>
      </c>
      <c r="B92" s="99"/>
      <c r="C92" s="99"/>
      <c r="D92" s="99"/>
      <c r="E92" s="99"/>
      <c r="F92" s="99"/>
      <c r="G92" s="99"/>
      <c r="H92" s="99"/>
      <c r="I92" s="99"/>
      <c r="J92" s="99"/>
      <c r="K92" s="99"/>
      <c r="L92" s="99"/>
      <c r="M92" s="99"/>
      <c r="N92" s="99"/>
      <c r="O92" s="10"/>
      <c r="P92" s="99"/>
      <c r="Q92" s="99"/>
      <c r="R92" s="99"/>
      <c r="S92" s="99"/>
      <c r="T92" s="99"/>
      <c r="U92" s="99"/>
      <c r="W92" s="99"/>
      <c r="X92" s="99"/>
      <c r="Y92" s="99"/>
      <c r="Z92" s="99"/>
      <c r="AA92" s="99"/>
      <c r="AB92" s="99"/>
      <c r="AD92" s="99"/>
      <c r="AE92" s="99"/>
      <c r="AF92" s="99"/>
      <c r="AG92" s="99"/>
      <c r="AH92" s="99"/>
      <c r="AI92" s="99"/>
      <c r="AK92" s="99"/>
      <c r="AL92" s="99"/>
      <c r="AM92" s="99"/>
      <c r="AN92" s="99"/>
      <c r="AO92" s="99"/>
      <c r="AP92" s="99"/>
      <c r="AR92" s="99"/>
      <c r="AS92" s="99"/>
      <c r="AT92" s="99"/>
      <c r="AU92" s="99"/>
      <c r="AV92" s="99"/>
      <c r="AW92" s="99"/>
    </row>
    <row r="93" spans="1:49" ht="12.75" hidden="1" customHeight="1" x14ac:dyDescent="0.25">
      <c r="A93" t="str">
        <f>Nutrients!B92</f>
        <v>Wheat, Soft Red</v>
      </c>
      <c r="B93" s="99"/>
      <c r="C93" s="99"/>
      <c r="D93" s="99"/>
      <c r="E93" s="99"/>
      <c r="F93" s="99"/>
      <c r="G93" s="99"/>
      <c r="H93" s="99"/>
      <c r="I93" s="99"/>
      <c r="J93" s="99"/>
      <c r="K93" s="99"/>
      <c r="L93" s="99"/>
      <c r="M93" s="99"/>
      <c r="N93" s="99"/>
      <c r="O93" s="10"/>
      <c r="P93" s="99"/>
      <c r="Q93" s="99"/>
      <c r="R93" s="99"/>
      <c r="S93" s="99"/>
      <c r="T93" s="99"/>
      <c r="U93" s="99"/>
      <c r="W93" s="99"/>
      <c r="X93" s="99"/>
      <c r="Y93" s="99"/>
      <c r="Z93" s="99"/>
      <c r="AA93" s="99"/>
      <c r="AB93" s="99"/>
      <c r="AD93" s="99"/>
      <c r="AE93" s="99"/>
      <c r="AF93" s="99"/>
      <c r="AG93" s="99"/>
      <c r="AH93" s="99"/>
      <c r="AI93" s="99"/>
      <c r="AK93" s="99"/>
      <c r="AL93" s="99"/>
      <c r="AM93" s="99"/>
      <c r="AN93" s="99"/>
      <c r="AO93" s="99"/>
      <c r="AP93" s="99"/>
      <c r="AR93" s="99"/>
      <c r="AS93" s="99"/>
      <c r="AT93" s="99"/>
      <c r="AU93" s="99"/>
      <c r="AV93" s="99"/>
      <c r="AW93" s="99"/>
    </row>
    <row r="94" spans="1:49" ht="12.75" hidden="1" customHeight="1" x14ac:dyDescent="0.25">
      <c r="A94" t="str">
        <f>Nutrients!B93</f>
        <v>Wheat Bran</v>
      </c>
      <c r="B94" s="99"/>
      <c r="C94" s="99"/>
      <c r="D94" s="99"/>
      <c r="E94" s="99"/>
      <c r="F94" s="99"/>
      <c r="G94" s="99"/>
      <c r="H94" s="99"/>
      <c r="I94" s="99"/>
      <c r="J94" s="99"/>
      <c r="K94" s="99"/>
      <c r="L94" s="99"/>
      <c r="M94" s="99"/>
      <c r="N94" s="99"/>
      <c r="O94" s="10"/>
      <c r="P94" s="99"/>
      <c r="Q94" s="99"/>
      <c r="R94" s="99"/>
      <c r="S94" s="99"/>
      <c r="T94" s="99"/>
      <c r="U94" s="99"/>
      <c r="W94" s="99"/>
      <c r="X94" s="99"/>
      <c r="Y94" s="99"/>
      <c r="Z94" s="99"/>
      <c r="AA94" s="99"/>
      <c r="AB94" s="99"/>
      <c r="AD94" s="99"/>
      <c r="AE94" s="99"/>
      <c r="AF94" s="99"/>
      <c r="AG94" s="99"/>
      <c r="AH94" s="99"/>
      <c r="AI94" s="99"/>
      <c r="AK94" s="99"/>
      <c r="AL94" s="99"/>
      <c r="AM94" s="99"/>
      <c r="AN94" s="99"/>
      <c r="AO94" s="99"/>
      <c r="AP94" s="99"/>
      <c r="AR94" s="99"/>
      <c r="AS94" s="99"/>
      <c r="AT94" s="99"/>
      <c r="AU94" s="99"/>
      <c r="AV94" s="99"/>
      <c r="AW94" s="99"/>
    </row>
    <row r="95" spans="1:49" ht="12.75" hidden="1" customHeight="1" x14ac:dyDescent="0.25">
      <c r="A95" t="str">
        <f>Nutrients!B94</f>
        <v>Wheat Middlings</v>
      </c>
      <c r="B95" s="99"/>
      <c r="C95" s="99"/>
      <c r="D95" s="99"/>
      <c r="E95" s="99"/>
      <c r="F95" s="99"/>
      <c r="G95" s="99"/>
      <c r="H95" s="99"/>
      <c r="I95" s="99"/>
      <c r="J95" s="99"/>
      <c r="K95" s="99"/>
      <c r="L95" s="99"/>
      <c r="M95" s="99"/>
      <c r="N95" s="99"/>
      <c r="O95" s="10"/>
      <c r="P95" s="99"/>
      <c r="Q95" s="99"/>
      <c r="R95" s="99"/>
      <c r="S95" s="99"/>
      <c r="T95" s="99"/>
      <c r="U95" s="99"/>
      <c r="W95" s="99"/>
      <c r="X95" s="99"/>
      <c r="Y95" s="99"/>
      <c r="Z95" s="99"/>
      <c r="AA95" s="99"/>
      <c r="AB95" s="99"/>
      <c r="AD95" s="99"/>
      <c r="AE95" s="99"/>
      <c r="AF95" s="99"/>
      <c r="AG95" s="99"/>
      <c r="AH95" s="99"/>
      <c r="AI95" s="99"/>
      <c r="AK95" s="99"/>
      <c r="AL95" s="99"/>
      <c r="AM95" s="99"/>
      <c r="AN95" s="99"/>
      <c r="AO95" s="99"/>
      <c r="AP95" s="99"/>
      <c r="AR95" s="99"/>
      <c r="AS95" s="99"/>
      <c r="AT95" s="99"/>
      <c r="AU95" s="99"/>
      <c r="AV95" s="99"/>
      <c r="AW95" s="99"/>
    </row>
    <row r="96" spans="1:49" ht="12.75" hidden="1" customHeight="1" x14ac:dyDescent="0.25">
      <c r="A96" t="str">
        <f>Nutrients!B95</f>
        <v>Wheat Shorts</v>
      </c>
      <c r="B96" s="99"/>
      <c r="C96" s="99"/>
      <c r="D96" s="99"/>
      <c r="E96" s="99"/>
      <c r="F96" s="99"/>
      <c r="G96" s="99"/>
      <c r="H96" s="99"/>
      <c r="I96" s="99"/>
      <c r="J96" s="99"/>
      <c r="K96" s="99"/>
      <c r="L96" s="99"/>
      <c r="M96" s="99"/>
      <c r="N96" s="99"/>
      <c r="O96" s="10"/>
      <c r="P96" s="99"/>
      <c r="Q96" s="99"/>
      <c r="R96" s="99"/>
      <c r="S96" s="99"/>
      <c r="T96" s="99"/>
      <c r="U96" s="99"/>
      <c r="W96" s="99"/>
      <c r="X96" s="99"/>
      <c r="Y96" s="99"/>
      <c r="Z96" s="99"/>
      <c r="AA96" s="99"/>
      <c r="AB96" s="99"/>
      <c r="AD96" s="99"/>
      <c r="AE96" s="99"/>
      <c r="AF96" s="99"/>
      <c r="AG96" s="99"/>
      <c r="AH96" s="99"/>
      <c r="AI96" s="99"/>
      <c r="AK96" s="99"/>
      <c r="AL96" s="99"/>
      <c r="AM96" s="99"/>
      <c r="AN96" s="99"/>
      <c r="AO96" s="99"/>
      <c r="AP96" s="99"/>
      <c r="AR96" s="99"/>
      <c r="AS96" s="99"/>
      <c r="AT96" s="99"/>
      <c r="AU96" s="99"/>
      <c r="AV96" s="99"/>
      <c r="AW96" s="99"/>
    </row>
    <row r="97" spans="1:49" ht="12.75" hidden="1" customHeight="1" x14ac:dyDescent="0.25">
      <c r="A97" t="str">
        <f>Nutrients!B96</f>
        <v>Wheat DDGS</v>
      </c>
      <c r="B97" s="99"/>
      <c r="C97" s="99"/>
      <c r="D97" s="99"/>
      <c r="E97" s="99"/>
      <c r="F97" s="99"/>
      <c r="G97" s="99"/>
      <c r="H97" s="99"/>
      <c r="I97" s="99"/>
      <c r="J97" s="99"/>
      <c r="K97" s="99"/>
      <c r="L97" s="99"/>
      <c r="M97" s="99"/>
      <c r="N97" s="99"/>
      <c r="O97" s="10"/>
      <c r="P97" s="99"/>
      <c r="Q97" s="99"/>
      <c r="R97" s="99"/>
      <c r="S97" s="99"/>
      <c r="T97" s="99"/>
      <c r="U97" s="99"/>
      <c r="W97" s="99"/>
      <c r="X97" s="99"/>
      <c r="Y97" s="99"/>
      <c r="Z97" s="99"/>
      <c r="AA97" s="99"/>
      <c r="AB97" s="99"/>
      <c r="AD97" s="99"/>
      <c r="AE97" s="99"/>
      <c r="AF97" s="99"/>
      <c r="AG97" s="99"/>
      <c r="AH97" s="99"/>
      <c r="AI97" s="99"/>
      <c r="AK97" s="99"/>
      <c r="AL97" s="99"/>
      <c r="AM97" s="99"/>
      <c r="AN97" s="99"/>
      <c r="AO97" s="99"/>
      <c r="AP97" s="99"/>
      <c r="AR97" s="99"/>
      <c r="AS97" s="99"/>
      <c r="AT97" s="99"/>
      <c r="AU97" s="99"/>
      <c r="AV97" s="99"/>
      <c r="AW97" s="99"/>
    </row>
    <row r="98" spans="1:49" ht="12.75" hidden="1" customHeight="1" x14ac:dyDescent="0.25">
      <c r="A98" t="str">
        <f>Nutrients!B97</f>
        <v>Yeast, Brewers' Yeast</v>
      </c>
      <c r="B98" s="99"/>
      <c r="C98" s="99"/>
      <c r="D98" s="99"/>
      <c r="E98" s="99"/>
      <c r="F98" s="99"/>
      <c r="G98" s="99"/>
      <c r="H98" s="99"/>
      <c r="I98" s="99"/>
      <c r="J98" s="99"/>
      <c r="K98" s="99"/>
      <c r="L98" s="99"/>
      <c r="M98" s="99"/>
      <c r="N98" s="99"/>
      <c r="O98" s="10"/>
      <c r="P98" s="99"/>
      <c r="Q98" s="99"/>
      <c r="R98" s="99"/>
      <c r="S98" s="99"/>
      <c r="T98" s="99"/>
      <c r="U98" s="99"/>
      <c r="W98" s="99"/>
      <c r="X98" s="99"/>
      <c r="Y98" s="99"/>
      <c r="Z98" s="99"/>
      <c r="AA98" s="99"/>
      <c r="AB98" s="99"/>
      <c r="AD98" s="99"/>
      <c r="AE98" s="99"/>
      <c r="AF98" s="99"/>
      <c r="AG98" s="99"/>
      <c r="AH98" s="99"/>
      <c r="AI98" s="99"/>
      <c r="AK98" s="99"/>
      <c r="AL98" s="99"/>
      <c r="AM98" s="99"/>
      <c r="AN98" s="99"/>
      <c r="AO98" s="99"/>
      <c r="AP98" s="99"/>
      <c r="AR98" s="99"/>
      <c r="AS98" s="99"/>
      <c r="AT98" s="99"/>
      <c r="AU98" s="99"/>
      <c r="AV98" s="99"/>
      <c r="AW98" s="99"/>
    </row>
    <row r="99" spans="1:49" ht="12.75" hidden="1" customHeight="1" x14ac:dyDescent="0.25">
      <c r="A99" t="str">
        <f>Nutrients!B98</f>
        <v>Yeast, Single Cell Protein</v>
      </c>
      <c r="B99" s="99"/>
      <c r="C99" s="99"/>
      <c r="D99" s="99"/>
      <c r="E99" s="99"/>
      <c r="F99" s="99"/>
      <c r="G99" s="99"/>
      <c r="H99" s="99"/>
      <c r="I99" s="99"/>
      <c r="J99" s="99"/>
      <c r="K99" s="99"/>
      <c r="L99" s="99"/>
      <c r="M99" s="99"/>
      <c r="N99" s="99"/>
      <c r="O99" s="10"/>
      <c r="P99" s="99"/>
      <c r="Q99" s="99"/>
      <c r="R99" s="99"/>
      <c r="S99" s="99"/>
      <c r="T99" s="99"/>
      <c r="U99" s="99"/>
      <c r="W99" s="99"/>
      <c r="X99" s="99"/>
      <c r="Y99" s="99"/>
      <c r="Z99" s="99"/>
      <c r="AA99" s="99"/>
      <c r="AB99" s="99"/>
      <c r="AD99" s="99"/>
      <c r="AE99" s="99"/>
      <c r="AF99" s="99"/>
      <c r="AG99" s="99"/>
      <c r="AH99" s="99"/>
      <c r="AI99" s="99"/>
      <c r="AK99" s="99"/>
      <c r="AL99" s="99"/>
      <c r="AM99" s="99"/>
      <c r="AN99" s="99"/>
      <c r="AO99" s="99"/>
      <c r="AP99" s="99"/>
      <c r="AR99" s="99"/>
      <c r="AS99" s="99"/>
      <c r="AT99" s="99"/>
      <c r="AU99" s="99"/>
      <c r="AV99" s="99"/>
      <c r="AW99" s="99"/>
    </row>
    <row r="100" spans="1:49" ht="12.75" hidden="1" customHeight="1" x14ac:dyDescent="0.25">
      <c r="A100" t="str">
        <f>Nutrients!B99</f>
        <v>Beef Tallow</v>
      </c>
      <c r="B100" s="99"/>
      <c r="C100" s="99"/>
      <c r="D100" s="99"/>
      <c r="E100" s="99"/>
      <c r="F100" s="99"/>
      <c r="G100" s="99"/>
      <c r="H100" s="99"/>
      <c r="I100" s="99"/>
      <c r="J100" s="99"/>
      <c r="K100" s="99"/>
      <c r="L100" s="99"/>
      <c r="M100" s="99"/>
      <c r="N100" s="99"/>
      <c r="O100" s="10"/>
      <c r="P100" s="99"/>
      <c r="Q100" s="99"/>
      <c r="R100" s="99"/>
      <c r="S100" s="99"/>
      <c r="T100" s="99"/>
      <c r="U100" s="99"/>
      <c r="W100" s="99"/>
      <c r="X100" s="99"/>
      <c r="Y100" s="99"/>
      <c r="Z100" s="99"/>
      <c r="AA100" s="99"/>
      <c r="AB100" s="99"/>
      <c r="AD100" s="99"/>
      <c r="AE100" s="99"/>
      <c r="AF100" s="99"/>
      <c r="AG100" s="99"/>
      <c r="AH100" s="99"/>
      <c r="AI100" s="99"/>
      <c r="AK100" s="99"/>
      <c r="AL100" s="99"/>
      <c r="AM100" s="99"/>
      <c r="AN100" s="99"/>
      <c r="AO100" s="99"/>
      <c r="AP100" s="99"/>
      <c r="AR100" s="99"/>
      <c r="AS100" s="99"/>
      <c r="AT100" s="99"/>
      <c r="AU100" s="99"/>
      <c r="AV100" s="99"/>
      <c r="AW100" s="99"/>
    </row>
    <row r="101" spans="1:49" x14ac:dyDescent="0.25">
      <c r="A101" t="str">
        <f>Nutrients!B100</f>
        <v>Choice White Grease</v>
      </c>
      <c r="B101" s="99"/>
      <c r="C101" s="99"/>
      <c r="D101" s="99"/>
      <c r="E101" s="99"/>
      <c r="F101" s="99"/>
      <c r="G101" s="99"/>
      <c r="H101" s="99"/>
      <c r="I101" s="99"/>
      <c r="J101" s="99"/>
      <c r="K101" s="99"/>
      <c r="L101" s="99"/>
      <c r="M101" s="99"/>
      <c r="N101" s="99"/>
      <c r="O101" s="10"/>
      <c r="P101" s="99"/>
      <c r="Q101" s="99"/>
      <c r="R101" s="99"/>
      <c r="S101" s="99"/>
      <c r="T101" s="99"/>
      <c r="U101" s="99"/>
      <c r="W101" s="99"/>
      <c r="X101" s="99"/>
      <c r="Y101" s="99"/>
      <c r="Z101" s="99"/>
      <c r="AA101" s="99"/>
      <c r="AB101" s="99"/>
      <c r="AD101" s="99"/>
      <c r="AE101" s="99"/>
      <c r="AF101" s="99"/>
      <c r="AG101" s="99"/>
      <c r="AH101" s="99"/>
      <c r="AI101" s="99"/>
      <c r="AJ101" s="398"/>
      <c r="AK101" s="99"/>
      <c r="AL101" s="99"/>
      <c r="AM101" s="99"/>
      <c r="AN101" s="99"/>
      <c r="AO101" s="99"/>
      <c r="AP101" s="99"/>
      <c r="AR101" s="99"/>
      <c r="AS101" s="99"/>
      <c r="AT101" s="99"/>
      <c r="AU101" s="99"/>
      <c r="AV101" s="99"/>
      <c r="AW101" s="99"/>
    </row>
    <row r="102" spans="1:49" ht="13.05" hidden="1" customHeight="1" x14ac:dyDescent="0.25">
      <c r="A102" t="str">
        <f>Nutrients!B101</f>
        <v>Poultry Fat</v>
      </c>
      <c r="B102" s="99"/>
      <c r="C102" s="99"/>
      <c r="D102" s="99"/>
      <c r="E102" s="99"/>
      <c r="F102" s="99"/>
      <c r="G102" s="99"/>
      <c r="H102" s="99"/>
      <c r="I102" s="99"/>
      <c r="J102" s="99"/>
      <c r="K102" s="99"/>
      <c r="L102" s="99"/>
      <c r="M102" s="99"/>
      <c r="N102" s="99"/>
      <c r="O102" s="10"/>
      <c r="P102" s="99"/>
      <c r="Q102" s="99"/>
      <c r="R102" s="99"/>
      <c r="S102" s="99"/>
      <c r="T102" s="99"/>
      <c r="U102" s="99"/>
      <c r="W102" s="99"/>
      <c r="X102" s="99"/>
      <c r="Y102" s="99"/>
      <c r="Z102" s="99"/>
      <c r="AA102" s="99"/>
      <c r="AB102" s="99"/>
      <c r="AD102" s="99"/>
      <c r="AE102" s="99"/>
      <c r="AF102" s="99"/>
      <c r="AG102" s="99"/>
      <c r="AH102" s="99"/>
      <c r="AI102" s="99"/>
      <c r="AK102" s="99"/>
      <c r="AL102" s="99"/>
      <c r="AM102" s="99"/>
      <c r="AN102" s="99"/>
      <c r="AO102" s="99"/>
      <c r="AP102" s="99"/>
      <c r="AR102" s="99"/>
      <c r="AS102" s="99"/>
      <c r="AT102" s="99"/>
      <c r="AU102" s="99"/>
      <c r="AV102" s="99"/>
      <c r="AW102" s="99"/>
    </row>
    <row r="103" spans="1:49" ht="13.05" hidden="1" customHeight="1" x14ac:dyDescent="0.25">
      <c r="A103" t="str">
        <f>Nutrients!B102</f>
        <v>Lard</v>
      </c>
      <c r="B103" s="99"/>
      <c r="C103" s="99"/>
      <c r="D103" s="99"/>
      <c r="E103" s="99"/>
      <c r="F103" s="99"/>
      <c r="G103" s="99"/>
      <c r="H103" s="99"/>
      <c r="I103" s="99"/>
      <c r="J103" s="99"/>
      <c r="K103" s="99"/>
      <c r="L103" s="99"/>
      <c r="M103" s="99"/>
      <c r="N103" s="99"/>
      <c r="O103" s="10"/>
      <c r="P103" s="99"/>
      <c r="Q103" s="99"/>
      <c r="R103" s="99"/>
      <c r="S103" s="99"/>
      <c r="T103" s="99"/>
      <c r="U103" s="99"/>
      <c r="W103" s="99"/>
      <c r="X103" s="99"/>
      <c r="Y103" s="99"/>
      <c r="Z103" s="99"/>
      <c r="AA103" s="99"/>
      <c r="AB103" s="99"/>
      <c r="AD103" s="99"/>
      <c r="AE103" s="99"/>
      <c r="AF103" s="99"/>
      <c r="AG103" s="99"/>
      <c r="AH103" s="99"/>
      <c r="AI103" s="99"/>
      <c r="AK103" s="99"/>
      <c r="AL103" s="99"/>
      <c r="AM103" s="99"/>
      <c r="AN103" s="99"/>
      <c r="AO103" s="99"/>
      <c r="AP103" s="99"/>
      <c r="AR103" s="99"/>
      <c r="AS103" s="99"/>
      <c r="AT103" s="99"/>
      <c r="AU103" s="99"/>
      <c r="AV103" s="99"/>
      <c r="AW103" s="99"/>
    </row>
    <row r="104" spans="1:49" ht="13.05" hidden="1" customHeight="1" x14ac:dyDescent="0.25">
      <c r="A104" t="str">
        <f>Nutrients!B103</f>
        <v>Restaurant Grease</v>
      </c>
      <c r="B104" s="99"/>
      <c r="C104" s="99"/>
      <c r="D104" s="99"/>
      <c r="E104" s="99"/>
      <c r="F104" s="99"/>
      <c r="G104" s="99"/>
      <c r="H104" s="99"/>
      <c r="I104" s="99"/>
      <c r="J104" s="99"/>
      <c r="K104" s="99"/>
      <c r="L104" s="99"/>
      <c r="M104" s="99"/>
      <c r="N104" s="99"/>
      <c r="O104" s="10"/>
      <c r="P104" s="99"/>
      <c r="Q104" s="99"/>
      <c r="R104" s="99"/>
      <c r="S104" s="99"/>
      <c r="T104" s="99"/>
      <c r="U104" s="99"/>
      <c r="W104" s="99"/>
      <c r="X104" s="99"/>
      <c r="Y104" s="99"/>
      <c r="Z104" s="99"/>
      <c r="AA104" s="99"/>
      <c r="AB104" s="99"/>
      <c r="AD104" s="99"/>
      <c r="AE104" s="99"/>
      <c r="AF104" s="99"/>
      <c r="AG104" s="99"/>
      <c r="AH104" s="99"/>
      <c r="AI104" s="99"/>
      <c r="AK104" s="99"/>
      <c r="AL104" s="99"/>
      <c r="AM104" s="99"/>
      <c r="AN104" s="99"/>
      <c r="AO104" s="99"/>
      <c r="AP104" s="99"/>
      <c r="AR104" s="99"/>
      <c r="AS104" s="99"/>
      <c r="AT104" s="99"/>
      <c r="AU104" s="99"/>
      <c r="AV104" s="99"/>
      <c r="AW104" s="99"/>
    </row>
    <row r="105" spans="1:49" ht="13.05" hidden="1" customHeight="1" x14ac:dyDescent="0.25">
      <c r="A105" t="str">
        <f>Nutrients!B104</f>
        <v>Canola oil</v>
      </c>
      <c r="B105" s="99"/>
      <c r="C105" s="99"/>
      <c r="D105" s="99"/>
      <c r="E105" s="99"/>
      <c r="F105" s="99"/>
      <c r="G105" s="99"/>
      <c r="H105" s="99"/>
      <c r="I105" s="99"/>
      <c r="J105" s="99"/>
      <c r="K105" s="99"/>
      <c r="L105" s="99"/>
      <c r="M105" s="99"/>
      <c r="N105" s="99"/>
      <c r="O105" s="10"/>
      <c r="P105" s="99"/>
      <c r="Q105" s="99"/>
      <c r="R105" s="99"/>
      <c r="S105" s="99"/>
      <c r="T105" s="99"/>
      <c r="U105" s="99"/>
      <c r="W105" s="99"/>
      <c r="X105" s="99"/>
      <c r="Y105" s="99"/>
      <c r="Z105" s="99"/>
      <c r="AA105" s="99"/>
      <c r="AB105" s="99"/>
      <c r="AD105" s="99"/>
      <c r="AE105" s="99"/>
      <c r="AF105" s="99"/>
      <c r="AG105" s="99"/>
      <c r="AH105" s="99"/>
      <c r="AI105" s="99"/>
      <c r="AK105" s="99"/>
      <c r="AL105" s="99"/>
      <c r="AM105" s="99"/>
      <c r="AN105" s="99"/>
      <c r="AO105" s="99"/>
      <c r="AP105" s="99"/>
      <c r="AR105" s="99"/>
      <c r="AS105" s="99"/>
      <c r="AT105" s="99"/>
      <c r="AU105" s="99"/>
      <c r="AV105" s="99"/>
      <c r="AW105" s="99"/>
    </row>
    <row r="106" spans="1:49" ht="13.05" hidden="1" customHeight="1" x14ac:dyDescent="0.25">
      <c r="A106" t="str">
        <f>Nutrients!B105</f>
        <v>Coconut oil</v>
      </c>
      <c r="B106" s="99"/>
      <c r="C106" s="99"/>
      <c r="D106" s="99"/>
      <c r="E106" s="99"/>
      <c r="F106" s="99"/>
      <c r="G106" s="99"/>
      <c r="H106" s="99"/>
      <c r="I106" s="99"/>
      <c r="J106" s="99"/>
      <c r="K106" s="99"/>
      <c r="L106" s="99"/>
      <c r="M106" s="99"/>
      <c r="N106" s="99"/>
      <c r="O106" s="10"/>
      <c r="P106" s="99"/>
      <c r="Q106" s="99"/>
      <c r="R106" s="99"/>
      <c r="S106" s="99"/>
      <c r="T106" s="99"/>
      <c r="U106" s="99"/>
      <c r="W106" s="99"/>
      <c r="X106" s="99"/>
      <c r="Y106" s="99"/>
      <c r="Z106" s="99"/>
      <c r="AA106" s="99"/>
      <c r="AB106" s="99"/>
      <c r="AD106" s="99"/>
      <c r="AE106" s="99"/>
      <c r="AF106" s="99"/>
      <c r="AG106" s="99"/>
      <c r="AH106" s="99"/>
      <c r="AI106" s="99"/>
      <c r="AK106" s="99"/>
      <c r="AL106" s="99"/>
      <c r="AM106" s="99"/>
      <c r="AN106" s="99"/>
      <c r="AO106" s="99"/>
      <c r="AP106" s="99"/>
      <c r="AR106" s="99"/>
      <c r="AS106" s="99"/>
      <c r="AT106" s="99"/>
      <c r="AU106" s="99"/>
      <c r="AV106" s="99"/>
      <c r="AW106" s="99"/>
    </row>
    <row r="107" spans="1:49" ht="13.05" hidden="1" customHeight="1" x14ac:dyDescent="0.25">
      <c r="A107" t="str">
        <f>Nutrients!B106</f>
        <v>Corn oil</v>
      </c>
      <c r="B107" s="99"/>
      <c r="C107" s="99"/>
      <c r="D107" s="99"/>
      <c r="E107" s="99"/>
      <c r="F107" s="99"/>
      <c r="G107" s="99"/>
      <c r="H107" s="99"/>
      <c r="I107" s="99"/>
      <c r="J107" s="99"/>
      <c r="K107" s="99"/>
      <c r="L107" s="99"/>
      <c r="M107" s="99"/>
      <c r="N107" s="99"/>
      <c r="O107" s="10"/>
      <c r="P107" s="99"/>
      <c r="Q107" s="99"/>
      <c r="R107" s="99"/>
      <c r="S107" s="99"/>
      <c r="T107" s="99"/>
      <c r="U107" s="99"/>
      <c r="W107" s="99"/>
      <c r="X107" s="99"/>
      <c r="Y107" s="99"/>
      <c r="Z107" s="99"/>
      <c r="AA107" s="99"/>
      <c r="AB107" s="99"/>
      <c r="AD107" s="99"/>
      <c r="AE107" s="99"/>
      <c r="AF107" s="99"/>
      <c r="AG107" s="99"/>
      <c r="AH107" s="99"/>
      <c r="AI107" s="99"/>
      <c r="AK107" s="99"/>
      <c r="AL107" s="99"/>
      <c r="AM107" s="99"/>
      <c r="AN107" s="99"/>
      <c r="AO107" s="99"/>
      <c r="AP107" s="99"/>
      <c r="AR107" s="99"/>
      <c r="AS107" s="99"/>
      <c r="AT107" s="99"/>
      <c r="AU107" s="99"/>
      <c r="AV107" s="99"/>
      <c r="AW107" s="99"/>
    </row>
    <row r="108" spans="1:49" ht="13.05" hidden="1" customHeight="1" x14ac:dyDescent="0.25">
      <c r="A108" t="str">
        <f>Nutrients!B107</f>
        <v>Palm Kernel oil</v>
      </c>
      <c r="B108" s="99"/>
      <c r="C108" s="99"/>
      <c r="D108" s="99"/>
      <c r="E108" s="99"/>
      <c r="F108" s="99"/>
      <c r="G108" s="99"/>
      <c r="H108" s="99"/>
      <c r="I108" s="99"/>
      <c r="J108" s="99"/>
      <c r="K108" s="99"/>
      <c r="L108" s="99"/>
      <c r="M108" s="99"/>
      <c r="N108" s="99"/>
      <c r="O108" s="10"/>
      <c r="P108" s="99"/>
      <c r="Q108" s="99"/>
      <c r="R108" s="99"/>
      <c r="S108" s="99"/>
      <c r="T108" s="99"/>
      <c r="U108" s="99"/>
      <c r="W108" s="99"/>
      <c r="X108" s="99"/>
      <c r="Y108" s="99"/>
      <c r="Z108" s="99"/>
      <c r="AA108" s="99"/>
      <c r="AB108" s="99"/>
      <c r="AD108" s="99"/>
      <c r="AE108" s="99"/>
      <c r="AF108" s="99"/>
      <c r="AG108" s="99"/>
      <c r="AH108" s="99"/>
      <c r="AI108" s="99"/>
      <c r="AK108" s="99"/>
      <c r="AL108" s="99"/>
      <c r="AM108" s="99"/>
      <c r="AN108" s="99"/>
      <c r="AO108" s="99"/>
      <c r="AP108" s="99"/>
      <c r="AR108" s="99"/>
      <c r="AS108" s="99"/>
      <c r="AT108" s="99"/>
      <c r="AU108" s="99"/>
      <c r="AV108" s="99"/>
      <c r="AW108" s="99"/>
    </row>
    <row r="109" spans="1:49" ht="13.05" hidden="1" customHeight="1" x14ac:dyDescent="0.25">
      <c r="A109" t="str">
        <f>Nutrients!B108</f>
        <v>Soybean oil</v>
      </c>
      <c r="B109" s="99"/>
      <c r="C109" s="99"/>
      <c r="D109" s="99"/>
      <c r="E109" s="99"/>
      <c r="F109" s="99"/>
      <c r="G109" s="99"/>
      <c r="H109" s="99"/>
      <c r="I109" s="99"/>
      <c r="J109" s="99"/>
      <c r="K109" s="99"/>
      <c r="L109" s="99"/>
      <c r="M109" s="99"/>
      <c r="N109" s="99"/>
      <c r="O109" s="10"/>
      <c r="P109" s="99"/>
      <c r="Q109" s="99"/>
      <c r="R109" s="99"/>
      <c r="S109" s="99"/>
      <c r="T109" s="99"/>
      <c r="U109" s="99"/>
      <c r="W109" s="99"/>
      <c r="X109" s="99"/>
      <c r="Y109" s="99"/>
      <c r="Z109" s="99"/>
      <c r="AA109" s="99"/>
      <c r="AB109" s="99"/>
      <c r="AD109" s="99"/>
      <c r="AE109" s="99"/>
      <c r="AF109" s="99"/>
      <c r="AG109" s="99"/>
      <c r="AH109" s="99"/>
      <c r="AI109" s="99"/>
      <c r="AK109" s="99"/>
      <c r="AL109" s="99"/>
      <c r="AM109" s="99"/>
      <c r="AN109" s="99"/>
      <c r="AO109" s="99"/>
      <c r="AP109" s="99"/>
      <c r="AR109" s="99"/>
      <c r="AS109" s="99"/>
      <c r="AT109" s="99"/>
      <c r="AU109" s="99"/>
      <c r="AV109" s="99"/>
      <c r="AW109" s="99"/>
    </row>
    <row r="110" spans="1:49" ht="13.05" hidden="1" customHeight="1" x14ac:dyDescent="0.25">
      <c r="A110" t="str">
        <f>Nutrients!B109</f>
        <v>Soybean Lecithin</v>
      </c>
      <c r="B110" s="99"/>
      <c r="C110" s="99"/>
      <c r="D110" s="99"/>
      <c r="E110" s="99"/>
      <c r="F110" s="99"/>
      <c r="G110" s="99"/>
      <c r="H110" s="99"/>
      <c r="I110" s="99"/>
      <c r="J110" s="99"/>
      <c r="K110" s="99"/>
      <c r="L110" s="99"/>
      <c r="M110" s="99"/>
      <c r="N110" s="99"/>
      <c r="O110" s="10"/>
      <c r="P110" s="99"/>
      <c r="Q110" s="99"/>
      <c r="R110" s="99"/>
      <c r="S110" s="99"/>
      <c r="T110" s="99"/>
      <c r="U110" s="99"/>
      <c r="W110" s="99"/>
      <c r="X110" s="99"/>
      <c r="Y110" s="99"/>
      <c r="Z110" s="99"/>
      <c r="AA110" s="99"/>
      <c r="AB110" s="99"/>
      <c r="AD110" s="99"/>
      <c r="AE110" s="99"/>
      <c r="AF110" s="99"/>
      <c r="AG110" s="99"/>
      <c r="AH110" s="99"/>
      <c r="AI110" s="99"/>
      <c r="AK110" s="99"/>
      <c r="AL110" s="99"/>
      <c r="AM110" s="99"/>
      <c r="AN110" s="99"/>
      <c r="AO110" s="99"/>
      <c r="AP110" s="99"/>
      <c r="AR110" s="99"/>
      <c r="AS110" s="99"/>
      <c r="AT110" s="99"/>
      <c r="AU110" s="99"/>
      <c r="AV110" s="99"/>
      <c r="AW110" s="99"/>
    </row>
    <row r="111" spans="1:49" ht="13.05" hidden="1" customHeight="1" x14ac:dyDescent="0.25">
      <c r="A111" t="str">
        <f>Nutrients!B110</f>
        <v>Sunflower oil</v>
      </c>
      <c r="B111" s="99"/>
      <c r="C111" s="99"/>
      <c r="D111" s="99"/>
      <c r="E111" s="99"/>
      <c r="F111" s="99"/>
      <c r="G111" s="99"/>
      <c r="H111" s="99"/>
      <c r="I111" s="99"/>
      <c r="J111" s="99"/>
      <c r="K111" s="99"/>
      <c r="L111" s="99"/>
      <c r="M111" s="99"/>
      <c r="N111" s="99"/>
      <c r="O111" s="10"/>
      <c r="P111" s="99"/>
      <c r="Q111" s="99"/>
      <c r="R111" s="99"/>
      <c r="S111" s="99"/>
      <c r="T111" s="99"/>
      <c r="U111" s="99"/>
      <c r="W111" s="99"/>
      <c r="X111" s="99"/>
      <c r="Y111" s="99"/>
      <c r="Z111" s="99"/>
      <c r="AA111" s="99"/>
      <c r="AB111" s="99"/>
      <c r="AD111" s="99"/>
      <c r="AE111" s="99"/>
      <c r="AF111" s="99"/>
      <c r="AG111" s="99"/>
      <c r="AH111" s="99"/>
      <c r="AI111" s="99"/>
      <c r="AK111" s="99"/>
      <c r="AL111" s="99"/>
      <c r="AM111" s="99"/>
      <c r="AN111" s="99"/>
      <c r="AO111" s="99"/>
      <c r="AP111" s="99"/>
      <c r="AR111" s="99"/>
      <c r="AS111" s="99"/>
      <c r="AT111" s="99"/>
      <c r="AU111" s="99"/>
      <c r="AV111" s="99"/>
      <c r="AW111" s="99"/>
    </row>
    <row r="112" spans="1:49" ht="13.05" hidden="1" customHeight="1" x14ac:dyDescent="0.25">
      <c r="A112" t="str">
        <f>Nutrients!B111</f>
        <v>Fat, A/V blend</v>
      </c>
      <c r="B112" s="99"/>
      <c r="C112" s="99"/>
      <c r="D112" s="99"/>
      <c r="E112" s="99"/>
      <c r="F112" s="99"/>
      <c r="G112" s="99"/>
      <c r="H112" s="99"/>
      <c r="I112" s="99"/>
      <c r="J112" s="99"/>
      <c r="K112" s="99"/>
      <c r="L112" s="99"/>
      <c r="M112" s="99"/>
      <c r="N112" s="99"/>
      <c r="O112" s="10"/>
      <c r="P112" s="99"/>
      <c r="Q112" s="99"/>
      <c r="R112" s="99"/>
      <c r="S112" s="99"/>
      <c r="T112" s="99"/>
      <c r="U112" s="99"/>
      <c r="W112" s="99"/>
      <c r="X112" s="99"/>
      <c r="Y112" s="99"/>
      <c r="Z112" s="99"/>
      <c r="AA112" s="99"/>
      <c r="AB112" s="99"/>
      <c r="AD112" s="99"/>
      <c r="AE112" s="99"/>
      <c r="AF112" s="99"/>
      <c r="AG112" s="99"/>
      <c r="AH112" s="99"/>
      <c r="AI112" s="99"/>
      <c r="AK112" s="99"/>
      <c r="AL112" s="99"/>
      <c r="AM112" s="99"/>
      <c r="AN112" s="99"/>
      <c r="AO112" s="99"/>
      <c r="AP112" s="99"/>
      <c r="AR112" s="99"/>
      <c r="AS112" s="99"/>
      <c r="AT112" s="99"/>
      <c r="AU112" s="99"/>
      <c r="AV112" s="99"/>
      <c r="AW112" s="99"/>
    </row>
    <row r="113" spans="1:51" x14ac:dyDescent="0.25">
      <c r="A113" t="s">
        <v>327</v>
      </c>
      <c r="B113" s="106">
        <v>20.650850091543401</v>
      </c>
      <c r="C113" s="106">
        <v>19.206</v>
      </c>
      <c r="D113" s="106">
        <v>19.148185418768257</v>
      </c>
      <c r="E113" s="106">
        <v>18.64855351548341</v>
      </c>
      <c r="F113" s="106">
        <v>18.080501293847359</v>
      </c>
      <c r="G113" s="106">
        <v>17.747857076024747</v>
      </c>
      <c r="H113" s="106"/>
      <c r="I113" s="106">
        <v>21.302725380416337</v>
      </c>
      <c r="J113" s="106">
        <v>19.896000000000001</v>
      </c>
      <c r="K113" s="106">
        <v>19.854046420115569</v>
      </c>
      <c r="L113" s="106">
        <v>19.192483222547349</v>
      </c>
      <c r="M113" s="106">
        <v>18.682939713542989</v>
      </c>
      <c r="N113" s="106">
        <v>18.307407625021</v>
      </c>
      <c r="O113" s="29"/>
      <c r="P113" s="106">
        <v>22.005524349635031</v>
      </c>
      <c r="Q113" s="106">
        <v>20.596522561060773</v>
      </c>
      <c r="R113" s="106">
        <v>20.564824391214646</v>
      </c>
      <c r="S113" s="106">
        <v>19.90194296254014</v>
      </c>
      <c r="T113" s="106">
        <v>19.392906410118851</v>
      </c>
      <c r="U113" s="106">
        <v>19.018086518029566</v>
      </c>
      <c r="V113" s="9"/>
      <c r="W113" s="106">
        <v>22.675524349635033</v>
      </c>
      <c r="X113" s="106">
        <v>21.266522561060775</v>
      </c>
      <c r="Y113" s="106">
        <v>21.234824391214648</v>
      </c>
      <c r="Z113" s="106">
        <v>20.571942962540142</v>
      </c>
      <c r="AA113" s="106">
        <v>20.062906410118853</v>
      </c>
      <c r="AB113" s="106">
        <v>19.821084135767716</v>
      </c>
      <c r="AC113" s="9"/>
      <c r="AD113" s="106">
        <v>23.36521759887999</v>
      </c>
      <c r="AE113" s="106">
        <v>21.957696360984666</v>
      </c>
      <c r="AF113" s="106">
        <v>21.92941656439486</v>
      </c>
      <c r="AG113" s="106">
        <v>21.272195408740227</v>
      </c>
      <c r="AH113" s="106">
        <v>21.087790236012584</v>
      </c>
      <c r="AI113" s="106">
        <v>20.994905894456828</v>
      </c>
      <c r="AJ113" s="9"/>
      <c r="AK113" s="106">
        <v>24.059535885866481</v>
      </c>
      <c r="AL113" s="106">
        <v>22.627696360984668</v>
      </c>
      <c r="AM113" s="106">
        <v>22.599416564394861</v>
      </c>
      <c r="AN113" s="106">
        <v>22.209557883861148</v>
      </c>
      <c r="AO113" s="106">
        <v>22.260646310838833</v>
      </c>
      <c r="AP113" s="106">
        <v>22.168684745520736</v>
      </c>
      <c r="AQ113" s="9"/>
      <c r="AR113" s="106">
        <v>24.733725119478365</v>
      </c>
      <c r="AS113" s="106">
        <v>23.317344104753687</v>
      </c>
      <c r="AT113" s="106">
        <v>23.295221188143067</v>
      </c>
      <c r="AU113" s="106">
        <v>23.393368936927086</v>
      </c>
      <c r="AV113" s="106">
        <v>23.433612856971386</v>
      </c>
      <c r="AW113" s="106">
        <v>23.342500322011716</v>
      </c>
      <c r="AX113" s="9"/>
    </row>
    <row r="114" spans="1:51" ht="13.05" hidden="1" customHeight="1" x14ac:dyDescent="0.25">
      <c r="A114" t="str">
        <f>Nutrients!B113</f>
        <v>Calcium phosphate (tricalcium)</v>
      </c>
      <c r="B114" s="106"/>
      <c r="C114" s="106"/>
      <c r="D114" s="106"/>
      <c r="E114" s="106"/>
      <c r="F114" s="106"/>
      <c r="G114" s="106"/>
      <c r="H114" s="106"/>
      <c r="I114" s="106"/>
      <c r="J114" s="106"/>
      <c r="K114" s="106"/>
      <c r="L114" s="106"/>
      <c r="M114" s="106"/>
      <c r="N114" s="106"/>
      <c r="O114" s="29"/>
      <c r="P114" s="106"/>
      <c r="Q114" s="106"/>
      <c r="R114" s="106"/>
      <c r="S114" s="106"/>
      <c r="T114" s="106"/>
      <c r="U114" s="106"/>
      <c r="V114" s="9"/>
      <c r="W114" s="106"/>
      <c r="X114" s="106"/>
      <c r="Y114" s="106"/>
      <c r="Z114" s="106"/>
      <c r="AA114" s="106"/>
      <c r="AB114" s="106"/>
      <c r="AC114" s="9"/>
      <c r="AD114" s="106"/>
      <c r="AE114" s="106"/>
      <c r="AF114" s="106"/>
      <c r="AG114" s="106"/>
      <c r="AH114" s="106"/>
      <c r="AI114" s="106"/>
      <c r="AJ114" s="9"/>
      <c r="AK114" s="106"/>
      <c r="AL114" s="106"/>
      <c r="AM114" s="106"/>
      <c r="AN114" s="106"/>
      <c r="AO114" s="106"/>
      <c r="AP114" s="106"/>
      <c r="AQ114" s="9"/>
      <c r="AR114" s="106"/>
      <c r="AS114" s="106"/>
      <c r="AT114" s="106"/>
      <c r="AU114" s="106"/>
      <c r="AV114" s="106"/>
      <c r="AW114" s="106"/>
      <c r="AX114" s="9"/>
    </row>
    <row r="115" spans="1:51" ht="13.2" hidden="1" customHeight="1" x14ac:dyDescent="0.25">
      <c r="A115" t="str">
        <f>Nutrients!B114</f>
        <v>Calcium phosphate (dicalcium)</v>
      </c>
      <c r="B115" s="106"/>
      <c r="C115" s="106"/>
      <c r="D115" s="106"/>
      <c r="E115" s="106"/>
      <c r="F115" s="106"/>
      <c r="G115" s="106"/>
      <c r="H115" s="106"/>
      <c r="I115" s="106"/>
      <c r="J115" s="106"/>
      <c r="K115" s="106"/>
      <c r="L115" s="106"/>
      <c r="M115" s="106"/>
      <c r="N115" s="106"/>
      <c r="O115" s="29"/>
      <c r="P115" s="106"/>
      <c r="Q115" s="106"/>
      <c r="R115" s="106"/>
      <c r="S115" s="106"/>
      <c r="T115" s="106"/>
      <c r="U115" s="106"/>
      <c r="V115" s="9"/>
      <c r="W115" s="106"/>
      <c r="X115" s="106"/>
      <c r="Y115" s="106"/>
      <c r="Z115" s="106"/>
      <c r="AA115" s="106"/>
      <c r="AB115" s="106"/>
      <c r="AC115" s="9"/>
      <c r="AD115" s="106"/>
      <c r="AE115" s="106"/>
      <c r="AF115" s="106"/>
      <c r="AG115" s="106"/>
      <c r="AH115" s="106"/>
      <c r="AI115" s="106"/>
      <c r="AJ115" s="9"/>
      <c r="AK115" s="106"/>
      <c r="AL115" s="106"/>
      <c r="AM115" s="106"/>
      <c r="AN115" s="106"/>
      <c r="AO115" s="106"/>
      <c r="AP115" s="106"/>
      <c r="AQ115" s="9"/>
      <c r="AR115" s="106"/>
      <c r="AS115" s="106"/>
      <c r="AT115" s="106"/>
      <c r="AU115" s="106"/>
      <c r="AV115" s="106"/>
      <c r="AW115" s="106"/>
      <c r="AX115" s="9"/>
    </row>
    <row r="116" spans="1:51" x14ac:dyDescent="0.25">
      <c r="A116" t="s">
        <v>330</v>
      </c>
      <c r="B116" s="106">
        <v>13.279340186607511</v>
      </c>
      <c r="C116" s="106">
        <v>10.560038663342741</v>
      </c>
      <c r="D116" s="106">
        <v>7.7098828288906036</v>
      </c>
      <c r="E116" s="106">
        <v>5.7362235571478868</v>
      </c>
      <c r="F116" s="106">
        <v>4.249911842640179</v>
      </c>
      <c r="G116" s="106">
        <v>3.6237362366975527</v>
      </c>
      <c r="H116" s="106"/>
      <c r="I116" s="106">
        <v>12.059340186607511</v>
      </c>
      <c r="J116" s="106">
        <v>9.3400386633427406</v>
      </c>
      <c r="K116" s="106">
        <v>6.4898828288906039</v>
      </c>
      <c r="L116" s="106">
        <v>4.2618749180561419</v>
      </c>
      <c r="M116" s="106">
        <v>2.8506400350413044</v>
      </c>
      <c r="N116" s="106">
        <v>2.1485696763155113</v>
      </c>
      <c r="O116" s="29"/>
      <c r="P116" s="106">
        <v>10.83934018660751</v>
      </c>
      <c r="Q116" s="106">
        <v>8.1200386633427399</v>
      </c>
      <c r="R116" s="106">
        <v>5.2698828288906041</v>
      </c>
      <c r="S116" s="106">
        <v>3.0418749180561422</v>
      </c>
      <c r="T116" s="106">
        <v>1.6306400350413044</v>
      </c>
      <c r="U116" s="106">
        <v>0.92856967631551135</v>
      </c>
      <c r="V116" s="9"/>
      <c r="W116" s="106">
        <v>9.6193401866075092</v>
      </c>
      <c r="X116" s="106">
        <v>6.9000386633427402</v>
      </c>
      <c r="Y116" s="106">
        <v>4.0498828288906044</v>
      </c>
      <c r="Z116" s="106">
        <v>1.8218749180561422</v>
      </c>
      <c r="AA116" s="106">
        <v>0.41064003504130442</v>
      </c>
      <c r="AB116" s="106"/>
      <c r="AC116" s="9"/>
      <c r="AD116" s="106">
        <v>8.3993401866075086</v>
      </c>
      <c r="AE116" s="106">
        <v>5.6800386633427404</v>
      </c>
      <c r="AF116" s="106">
        <v>2.8298828288906046</v>
      </c>
      <c r="AG116" s="106">
        <v>0.60187491805614224</v>
      </c>
      <c r="AH116" s="106"/>
      <c r="AI116" s="106"/>
      <c r="AJ116" s="9"/>
      <c r="AK116" s="106">
        <v>7.1793401866075088</v>
      </c>
      <c r="AL116" s="106">
        <v>4.4600386633427407</v>
      </c>
      <c r="AM116" s="106">
        <v>1.6098828288906046</v>
      </c>
      <c r="AN116" s="106"/>
      <c r="AO116" s="106"/>
      <c r="AP116" s="106"/>
      <c r="AQ116" s="9"/>
      <c r="AR116" s="106">
        <v>5.9593401866075091</v>
      </c>
      <c r="AS116" s="106">
        <v>3.2400386633427409</v>
      </c>
      <c r="AT116" s="106">
        <v>0.38988282889060466</v>
      </c>
      <c r="AU116" s="106"/>
      <c r="AV116" s="106"/>
      <c r="AW116" s="106"/>
      <c r="AX116" s="9"/>
    </row>
    <row r="117" spans="1:51" ht="13.05" hidden="1" customHeight="1" x14ac:dyDescent="0.25">
      <c r="A117" t="str">
        <f>Nutrients!B116</f>
        <v>Calcium sulfate, dihydrate</v>
      </c>
      <c r="B117" s="106"/>
      <c r="C117" s="106"/>
      <c r="D117" s="106"/>
      <c r="E117" s="106"/>
      <c r="F117" s="106"/>
      <c r="G117" s="106"/>
      <c r="H117" s="106"/>
      <c r="I117" s="106"/>
      <c r="J117" s="106"/>
      <c r="K117" s="106"/>
      <c r="L117" s="106"/>
      <c r="M117" s="106"/>
      <c r="N117" s="106"/>
      <c r="O117" s="29"/>
      <c r="P117" s="106"/>
      <c r="Q117" s="106"/>
      <c r="R117" s="106"/>
      <c r="S117" s="106"/>
      <c r="T117" s="106"/>
      <c r="U117" s="106"/>
      <c r="V117" s="9"/>
      <c r="W117" s="106"/>
      <c r="X117" s="106"/>
      <c r="Y117" s="106"/>
      <c r="Z117" s="106"/>
      <c r="AA117" s="106"/>
      <c r="AB117" s="106"/>
      <c r="AC117" s="9"/>
      <c r="AD117" s="106"/>
      <c r="AE117" s="106"/>
      <c r="AF117" s="106"/>
      <c r="AG117" s="106"/>
      <c r="AH117" s="106"/>
      <c r="AI117" s="106"/>
      <c r="AJ117" s="9"/>
      <c r="AK117" s="106"/>
      <c r="AL117" s="106"/>
      <c r="AM117" s="106"/>
      <c r="AN117" s="106"/>
      <c r="AO117" s="106"/>
      <c r="AP117" s="106"/>
      <c r="AQ117" s="9"/>
      <c r="AR117" s="106"/>
      <c r="AS117" s="106"/>
      <c r="AT117" s="106"/>
      <c r="AU117" s="106"/>
      <c r="AV117" s="106"/>
      <c r="AW117" s="106"/>
      <c r="AX117" s="9"/>
    </row>
    <row r="118" spans="1:51" ht="13.05" hidden="1" customHeight="1" x14ac:dyDescent="0.25">
      <c r="A118" t="str">
        <f>Nutrients!B117</f>
        <v>Limestone, ground</v>
      </c>
      <c r="B118" s="106"/>
      <c r="C118" s="106"/>
      <c r="D118" s="106"/>
      <c r="E118" s="106"/>
      <c r="F118" s="106"/>
      <c r="G118" s="106"/>
      <c r="H118" s="106"/>
      <c r="I118" s="106"/>
      <c r="J118" s="106"/>
      <c r="K118" s="106"/>
      <c r="L118" s="106"/>
      <c r="M118" s="106"/>
      <c r="N118" s="106"/>
      <c r="O118" s="29"/>
      <c r="P118" s="106"/>
      <c r="Q118" s="106"/>
      <c r="R118" s="106"/>
      <c r="S118" s="106"/>
      <c r="T118" s="106"/>
      <c r="U118" s="106"/>
      <c r="V118" s="9"/>
      <c r="W118" s="106"/>
      <c r="X118" s="106"/>
      <c r="Y118" s="106"/>
      <c r="Z118" s="106"/>
      <c r="AA118" s="106"/>
      <c r="AB118" s="106"/>
      <c r="AC118" s="9"/>
      <c r="AD118" s="106"/>
      <c r="AE118" s="106"/>
      <c r="AF118" s="106"/>
      <c r="AG118" s="106"/>
      <c r="AH118" s="106"/>
      <c r="AI118" s="106"/>
      <c r="AJ118" s="9"/>
      <c r="AK118" s="106"/>
      <c r="AL118" s="106"/>
      <c r="AM118" s="106"/>
      <c r="AN118" s="106"/>
      <c r="AO118" s="106"/>
      <c r="AP118" s="106"/>
      <c r="AQ118" s="9"/>
      <c r="AR118" s="106"/>
      <c r="AS118" s="106"/>
      <c r="AT118" s="106"/>
      <c r="AU118" s="106"/>
      <c r="AV118" s="106"/>
      <c r="AW118" s="106"/>
      <c r="AX118" s="9"/>
    </row>
    <row r="119" spans="1:51" ht="13.05" hidden="1" customHeight="1" x14ac:dyDescent="0.25">
      <c r="A119" t="str">
        <f>Nutrients!B118</f>
        <v>Magnesium phosphate</v>
      </c>
      <c r="B119" s="106"/>
      <c r="C119" s="106"/>
      <c r="D119" s="106"/>
      <c r="E119" s="106"/>
      <c r="F119" s="106"/>
      <c r="G119" s="106"/>
      <c r="H119" s="106"/>
      <c r="I119" s="106"/>
      <c r="J119" s="106"/>
      <c r="K119" s="106"/>
      <c r="L119" s="106"/>
      <c r="M119" s="106"/>
      <c r="N119" s="106"/>
      <c r="O119" s="29"/>
      <c r="P119" s="106"/>
      <c r="Q119" s="106"/>
      <c r="R119" s="106"/>
      <c r="S119" s="106"/>
      <c r="T119" s="106"/>
      <c r="U119" s="106"/>
      <c r="V119" s="9"/>
      <c r="W119" s="106"/>
      <c r="X119" s="106"/>
      <c r="Y119" s="106"/>
      <c r="Z119" s="106"/>
      <c r="AA119" s="106"/>
      <c r="AB119" s="106"/>
      <c r="AC119" s="9"/>
      <c r="AD119" s="106"/>
      <c r="AE119" s="106"/>
      <c r="AF119" s="106"/>
      <c r="AG119" s="106"/>
      <c r="AH119" s="106"/>
      <c r="AI119" s="106"/>
      <c r="AJ119" s="9"/>
      <c r="AK119" s="106"/>
      <c r="AL119" s="106"/>
      <c r="AM119" s="106"/>
      <c r="AN119" s="106"/>
      <c r="AO119" s="106"/>
      <c r="AP119" s="106"/>
      <c r="AQ119" s="9"/>
      <c r="AR119" s="106"/>
      <c r="AS119" s="106"/>
      <c r="AT119" s="106"/>
      <c r="AU119" s="106"/>
      <c r="AV119" s="106"/>
      <c r="AW119" s="106"/>
      <c r="AX119" s="9"/>
    </row>
    <row r="120" spans="1:51" ht="13.05" hidden="1" customHeight="1" x14ac:dyDescent="0.25">
      <c r="A120" t="str">
        <f>Nutrients!B119</f>
        <v>Sodium carbonate</v>
      </c>
      <c r="B120" s="106"/>
      <c r="C120" s="106"/>
      <c r="D120" s="106"/>
      <c r="E120" s="106"/>
      <c r="F120" s="106"/>
      <c r="G120" s="106"/>
      <c r="H120" s="106"/>
      <c r="I120" s="106"/>
      <c r="J120" s="106"/>
      <c r="K120" s="106"/>
      <c r="L120" s="106"/>
      <c r="M120" s="106"/>
      <c r="N120" s="106"/>
      <c r="O120" s="29"/>
      <c r="P120" s="106"/>
      <c r="Q120" s="106"/>
      <c r="R120" s="106"/>
      <c r="S120" s="106"/>
      <c r="T120" s="106"/>
      <c r="U120" s="106"/>
      <c r="V120" s="9"/>
      <c r="W120" s="106"/>
      <c r="X120" s="106"/>
      <c r="Y120" s="106"/>
      <c r="Z120" s="106"/>
      <c r="AA120" s="106"/>
      <c r="AB120" s="106"/>
      <c r="AC120" s="9"/>
      <c r="AD120" s="106"/>
      <c r="AE120" s="106"/>
      <c r="AF120" s="106"/>
      <c r="AG120" s="106"/>
      <c r="AH120" s="106"/>
      <c r="AI120" s="106"/>
      <c r="AJ120" s="9"/>
      <c r="AK120" s="106"/>
      <c r="AL120" s="106"/>
      <c r="AM120" s="106"/>
      <c r="AN120" s="106"/>
      <c r="AO120" s="106"/>
      <c r="AP120" s="106"/>
      <c r="AQ120" s="9"/>
      <c r="AR120" s="106"/>
      <c r="AS120" s="106"/>
      <c r="AT120" s="106"/>
      <c r="AU120" s="106"/>
      <c r="AV120" s="106"/>
      <c r="AW120" s="106"/>
      <c r="AX120" s="9"/>
    </row>
    <row r="121" spans="1:51" ht="13.05" hidden="1" customHeight="1" x14ac:dyDescent="0.25">
      <c r="A121" t="str">
        <f>Nutrients!B120</f>
        <v>Sodium bicarbonate</v>
      </c>
      <c r="B121" s="106"/>
      <c r="C121" s="106"/>
      <c r="D121" s="106"/>
      <c r="E121" s="106"/>
      <c r="F121" s="106"/>
      <c r="G121" s="106"/>
      <c r="H121" s="106"/>
      <c r="I121" s="106"/>
      <c r="J121" s="106"/>
      <c r="K121" s="106"/>
      <c r="L121" s="106"/>
      <c r="M121" s="106"/>
      <c r="N121" s="106"/>
      <c r="O121" s="29"/>
      <c r="P121" s="106"/>
      <c r="Q121" s="106"/>
      <c r="R121" s="106"/>
      <c r="S121" s="106"/>
      <c r="T121" s="106"/>
      <c r="U121" s="106"/>
      <c r="V121" s="9"/>
      <c r="W121" s="106"/>
      <c r="X121" s="106"/>
      <c r="Y121" s="106"/>
      <c r="Z121" s="106"/>
      <c r="AA121" s="106"/>
      <c r="AB121" s="106"/>
      <c r="AC121" s="9"/>
      <c r="AD121" s="106"/>
      <c r="AE121" s="106"/>
      <c r="AF121" s="106"/>
      <c r="AG121" s="106"/>
      <c r="AH121" s="106"/>
      <c r="AI121" s="106"/>
      <c r="AJ121" s="9"/>
      <c r="AK121" s="106"/>
      <c r="AL121" s="106"/>
      <c r="AM121" s="106"/>
      <c r="AN121" s="106"/>
      <c r="AO121" s="106"/>
      <c r="AP121" s="106"/>
      <c r="AQ121" s="9"/>
      <c r="AR121" s="106"/>
      <c r="AS121" s="106"/>
      <c r="AT121" s="106"/>
      <c r="AU121" s="106"/>
      <c r="AV121" s="106"/>
      <c r="AW121" s="106"/>
      <c r="AX121" s="9"/>
    </row>
    <row r="122" spans="1:51" x14ac:dyDescent="0.25">
      <c r="A122" t="str">
        <f>Nutrients!B121</f>
        <v>Sodium chloride</v>
      </c>
      <c r="B122" s="106">
        <v>7</v>
      </c>
      <c r="C122" s="106">
        <v>7</v>
      </c>
      <c r="D122" s="106">
        <v>7</v>
      </c>
      <c r="E122" s="106">
        <v>7</v>
      </c>
      <c r="F122" s="106">
        <v>7</v>
      </c>
      <c r="G122" s="106">
        <v>7</v>
      </c>
      <c r="H122" s="106"/>
      <c r="I122" s="106">
        <v>7</v>
      </c>
      <c r="J122" s="106">
        <v>7</v>
      </c>
      <c r="K122" s="106">
        <v>7</v>
      </c>
      <c r="L122" s="106">
        <v>7</v>
      </c>
      <c r="M122" s="106">
        <v>7</v>
      </c>
      <c r="N122" s="106">
        <v>7</v>
      </c>
      <c r="O122" s="29"/>
      <c r="P122" s="106">
        <v>7</v>
      </c>
      <c r="Q122" s="106">
        <v>7</v>
      </c>
      <c r="R122" s="106">
        <v>7</v>
      </c>
      <c r="S122" s="106">
        <v>7</v>
      </c>
      <c r="T122" s="106">
        <v>7</v>
      </c>
      <c r="U122" s="106">
        <v>7</v>
      </c>
      <c r="V122" s="9"/>
      <c r="W122" s="106">
        <v>7</v>
      </c>
      <c r="X122" s="106">
        <v>7</v>
      </c>
      <c r="Y122" s="106">
        <v>7</v>
      </c>
      <c r="Z122" s="106">
        <v>7</v>
      </c>
      <c r="AA122" s="106">
        <v>7</v>
      </c>
      <c r="AB122" s="106">
        <v>7</v>
      </c>
      <c r="AC122" s="9"/>
      <c r="AD122" s="106">
        <v>7</v>
      </c>
      <c r="AE122" s="106">
        <v>7</v>
      </c>
      <c r="AF122" s="106">
        <v>7</v>
      </c>
      <c r="AG122" s="106">
        <v>7</v>
      </c>
      <c r="AH122" s="106">
        <v>7</v>
      </c>
      <c r="AI122" s="106">
        <v>7</v>
      </c>
      <c r="AJ122" s="9"/>
      <c r="AK122" s="106">
        <v>7</v>
      </c>
      <c r="AL122" s="106">
        <v>7</v>
      </c>
      <c r="AM122" s="106">
        <v>7</v>
      </c>
      <c r="AN122" s="106">
        <v>7</v>
      </c>
      <c r="AO122" s="106">
        <v>7</v>
      </c>
      <c r="AP122" s="106">
        <v>7</v>
      </c>
      <c r="AQ122" s="9"/>
      <c r="AR122" s="106">
        <v>7</v>
      </c>
      <c r="AS122" s="106">
        <v>7</v>
      </c>
      <c r="AT122" s="106">
        <v>7</v>
      </c>
      <c r="AU122" s="106">
        <v>7</v>
      </c>
      <c r="AV122" s="106">
        <v>7</v>
      </c>
      <c r="AW122" s="106">
        <v>7</v>
      </c>
      <c r="AX122" s="9"/>
    </row>
    <row r="123" spans="1:51" ht="13.05" hidden="1" customHeight="1" x14ac:dyDescent="0.25">
      <c r="A123" t="str">
        <f>Nutrients!B122</f>
        <v>Sodium phosphate, monobasic</v>
      </c>
      <c r="B123" s="106"/>
      <c r="C123" s="106"/>
      <c r="D123" s="106"/>
      <c r="E123" s="106"/>
      <c r="F123" s="106"/>
      <c r="G123" s="106"/>
      <c r="H123" s="106"/>
      <c r="I123" s="106"/>
      <c r="J123" s="106"/>
      <c r="K123" s="106"/>
      <c r="L123" s="106"/>
      <c r="M123" s="106"/>
      <c r="N123" s="106"/>
      <c r="O123" s="29"/>
      <c r="P123" s="106"/>
      <c r="Q123" s="106"/>
      <c r="R123" s="106"/>
      <c r="S123" s="106"/>
      <c r="T123" s="106"/>
      <c r="U123" s="106"/>
      <c r="V123" s="9"/>
      <c r="W123" s="106"/>
      <c r="X123" s="106"/>
      <c r="Y123" s="106"/>
      <c r="Z123" s="106"/>
      <c r="AA123" s="106"/>
      <c r="AB123" s="106"/>
      <c r="AC123" s="9"/>
      <c r="AD123" s="106"/>
      <c r="AE123" s="106"/>
      <c r="AF123" s="106"/>
      <c r="AG123" s="106"/>
      <c r="AH123" s="106"/>
      <c r="AI123" s="106"/>
      <c r="AJ123" s="9"/>
      <c r="AK123" s="106"/>
      <c r="AL123" s="106"/>
      <c r="AM123" s="106"/>
      <c r="AN123" s="106"/>
      <c r="AO123" s="106"/>
      <c r="AP123" s="106"/>
      <c r="AQ123" s="9"/>
      <c r="AR123" s="106"/>
      <c r="AS123" s="106"/>
      <c r="AT123" s="106"/>
      <c r="AU123" s="106"/>
      <c r="AV123" s="106"/>
      <c r="AW123" s="106"/>
      <c r="AX123" s="9"/>
    </row>
    <row r="124" spans="1:51" ht="13.05" hidden="1" customHeight="1" x14ac:dyDescent="0.25">
      <c r="A124" t="str">
        <f>Nutrients!B123</f>
        <v>Sodium sulfate, decahydrate</v>
      </c>
      <c r="B124" s="106"/>
      <c r="C124" s="106"/>
      <c r="D124" s="106"/>
      <c r="E124" s="106"/>
      <c r="F124" s="106"/>
      <c r="G124" s="106"/>
      <c r="H124" s="106"/>
      <c r="I124" s="106"/>
      <c r="J124" s="106"/>
      <c r="K124" s="106"/>
      <c r="L124" s="106"/>
      <c r="M124" s="106"/>
      <c r="N124" s="106"/>
      <c r="O124" s="29"/>
      <c r="P124" s="106"/>
      <c r="Q124" s="106"/>
      <c r="R124" s="106"/>
      <c r="S124" s="106"/>
      <c r="T124" s="106"/>
      <c r="U124" s="106"/>
      <c r="V124" s="9"/>
      <c r="W124" s="106"/>
      <c r="X124" s="106"/>
      <c r="Y124" s="106"/>
      <c r="Z124" s="106"/>
      <c r="AA124" s="106"/>
      <c r="AB124" s="106"/>
      <c r="AC124" s="9"/>
      <c r="AD124" s="106"/>
      <c r="AE124" s="106"/>
      <c r="AF124" s="106"/>
      <c r="AG124" s="106"/>
      <c r="AH124" s="106"/>
      <c r="AI124" s="106"/>
      <c r="AJ124" s="9"/>
      <c r="AK124" s="106"/>
      <c r="AL124" s="106"/>
      <c r="AM124" s="106"/>
      <c r="AN124" s="106"/>
      <c r="AO124" s="106"/>
      <c r="AP124" s="106"/>
      <c r="AQ124" s="9"/>
      <c r="AR124" s="106"/>
      <c r="AS124" s="106"/>
      <c r="AT124" s="106"/>
      <c r="AU124" s="106"/>
      <c r="AV124" s="106"/>
      <c r="AW124" s="106"/>
      <c r="AX124" s="9"/>
    </row>
    <row r="125" spans="1:51" x14ac:dyDescent="0.25">
      <c r="A125" t="s">
        <v>377</v>
      </c>
      <c r="B125" s="106">
        <v>6.3084820001521269</v>
      </c>
      <c r="C125" s="106">
        <v>6.2433597724335907</v>
      </c>
      <c r="D125" s="106">
        <v>6.1008877821794973</v>
      </c>
      <c r="E125" s="106">
        <v>6.0262980797710428</v>
      </c>
      <c r="F125" s="106">
        <v>5.9214818115557355</v>
      </c>
      <c r="G125" s="106">
        <v>5.7904970568511782</v>
      </c>
      <c r="H125" s="106"/>
      <c r="I125" s="106">
        <v>6.8584820001521267</v>
      </c>
      <c r="J125" s="106">
        <v>6.7933597724335906</v>
      </c>
      <c r="K125" s="106">
        <v>6.6508877821794972</v>
      </c>
      <c r="L125" s="106">
        <v>6.5762980797710426</v>
      </c>
      <c r="M125" s="106">
        <v>6.4714818115557353</v>
      </c>
      <c r="N125" s="106">
        <v>6.340497056851178</v>
      </c>
      <c r="O125" s="106"/>
      <c r="P125" s="106">
        <v>7.4084820001521265</v>
      </c>
      <c r="Q125" s="106">
        <v>7.3433597724335904</v>
      </c>
      <c r="R125" s="106">
        <v>7.200887782179497</v>
      </c>
      <c r="S125" s="106">
        <v>7.1262980797710425</v>
      </c>
      <c r="T125" s="106">
        <v>7.0214818115557351</v>
      </c>
      <c r="U125" s="106">
        <v>6.8904970568511779</v>
      </c>
      <c r="V125" s="106"/>
      <c r="W125" s="106">
        <v>7.9584820001521264</v>
      </c>
      <c r="X125" s="106">
        <v>7.8933597724335902</v>
      </c>
      <c r="Y125" s="106">
        <v>7.7508877821794968</v>
      </c>
      <c r="Z125" s="106">
        <v>7.6762980797710423</v>
      </c>
      <c r="AA125" s="106">
        <v>7.571481811555735</v>
      </c>
      <c r="AB125" s="106">
        <v>7.4404970568511777</v>
      </c>
      <c r="AC125" s="106"/>
      <c r="AD125" s="106">
        <v>8.5084820001521262</v>
      </c>
      <c r="AE125" s="106">
        <v>8.44335977243359</v>
      </c>
      <c r="AF125" s="106">
        <v>8.3008877821794975</v>
      </c>
      <c r="AG125" s="106">
        <v>8.226298079771043</v>
      </c>
      <c r="AH125" s="106">
        <v>8.1214818115557357</v>
      </c>
      <c r="AI125" s="106">
        <v>7.9904970568511775</v>
      </c>
      <c r="AJ125" s="106"/>
      <c r="AK125" s="106">
        <v>9.0584820001521269</v>
      </c>
      <c r="AL125" s="106">
        <v>8.9933597724335907</v>
      </c>
      <c r="AM125" s="106">
        <v>8.8508877821794982</v>
      </c>
      <c r="AN125" s="106">
        <v>8.7762980797710437</v>
      </c>
      <c r="AO125" s="106">
        <v>8.6714818115557364</v>
      </c>
      <c r="AP125" s="106">
        <v>8.5404970568511782</v>
      </c>
      <c r="AQ125" s="106"/>
      <c r="AR125" s="106">
        <v>9.6084820001521276</v>
      </c>
      <c r="AS125" s="106">
        <v>9.5433597724335915</v>
      </c>
      <c r="AT125" s="106">
        <v>9.4008877821794989</v>
      </c>
      <c r="AU125" s="106">
        <v>9.3262980797710444</v>
      </c>
      <c r="AV125" s="106">
        <v>9.2214818115557371</v>
      </c>
      <c r="AW125" s="106">
        <v>9.0904970568511789</v>
      </c>
      <c r="AX125" s="106"/>
      <c r="AY125" s="106"/>
    </row>
    <row r="126" spans="1:51" x14ac:dyDescent="0.25">
      <c r="A126" t="s">
        <v>338</v>
      </c>
      <c r="B126" s="106">
        <v>2.0001072741250949</v>
      </c>
      <c r="C126" s="106">
        <v>1.4142932363875236</v>
      </c>
      <c r="D126" s="106">
        <v>0.86934747110785748</v>
      </c>
      <c r="E126" s="106">
        <v>0.597281406401727</v>
      </c>
      <c r="F126" s="106">
        <v>0.26418732884583351</v>
      </c>
      <c r="G126" s="106">
        <v>0.20625243191767928</v>
      </c>
      <c r="H126" s="106"/>
      <c r="I126" s="106">
        <v>1.7701072741250949</v>
      </c>
      <c r="J126" s="106">
        <v>1.1842932363875236</v>
      </c>
      <c r="K126" s="106">
        <v>0.65309697440645997</v>
      </c>
      <c r="L126" s="106">
        <v>0.38218237220779228</v>
      </c>
      <c r="M126" s="91">
        <v>4.8849705104336741E-2</v>
      </c>
      <c r="N126" s="91"/>
      <c r="O126" s="29"/>
      <c r="P126" s="106">
        <v>1.550107274125095</v>
      </c>
      <c r="Q126" s="106">
        <v>0.97762432561587609</v>
      </c>
      <c r="R126" s="106">
        <v>0.43309697440646</v>
      </c>
      <c r="S126" s="106">
        <v>0.16218237220779227</v>
      </c>
      <c r="T126" s="91"/>
      <c r="U126" s="106"/>
      <c r="V126" s="9"/>
      <c r="W126" s="106">
        <v>1.330107274125095</v>
      </c>
      <c r="X126" s="106">
        <v>0.75762432561587612</v>
      </c>
      <c r="Y126" s="106">
        <v>0.22340313648572985</v>
      </c>
      <c r="Z126" s="106"/>
      <c r="AA126" s="106"/>
      <c r="AB126" s="106"/>
      <c r="AC126" s="9"/>
      <c r="AD126" s="106">
        <v>1.110107274125095</v>
      </c>
      <c r="AE126" s="106">
        <v>0.53762432561587614</v>
      </c>
      <c r="AF126" s="106"/>
      <c r="AG126" s="106"/>
      <c r="AH126" s="106"/>
      <c r="AI126" s="106"/>
      <c r="AJ126" s="9"/>
      <c r="AK126" s="106">
        <v>0.89010727412509505</v>
      </c>
      <c r="AL126" s="106">
        <v>0.31762432561587617</v>
      </c>
      <c r="AM126" s="106"/>
      <c r="AN126" s="106"/>
      <c r="AO126" s="106"/>
      <c r="AP126" s="106"/>
      <c r="AQ126" s="9"/>
      <c r="AR126" s="106">
        <v>0.67010727412509508</v>
      </c>
      <c r="AS126" s="106">
        <v>9.7624325615876167E-2</v>
      </c>
      <c r="AT126" s="106"/>
      <c r="AU126" s="106"/>
      <c r="AV126" s="106"/>
      <c r="AW126" s="106"/>
      <c r="AX126" s="9"/>
    </row>
    <row r="127" spans="1:51" x14ac:dyDescent="0.25">
      <c r="A127" t="s">
        <v>339</v>
      </c>
      <c r="B127" s="106">
        <v>2.1021642542029664</v>
      </c>
      <c r="C127" s="106">
        <v>1.8931061779303802</v>
      </c>
      <c r="D127" s="106">
        <v>1.6694885978130205</v>
      </c>
      <c r="E127" s="106">
        <v>1.6715266713984547</v>
      </c>
      <c r="F127" s="106">
        <v>1.5185483019032111</v>
      </c>
      <c r="G127" s="106">
        <v>1.5481920365803807</v>
      </c>
      <c r="H127" s="106"/>
      <c r="I127" s="106">
        <v>2.0221642542029663</v>
      </c>
      <c r="J127" s="106">
        <v>1.8131061779303801</v>
      </c>
      <c r="K127" s="106">
        <v>1.5894885978130204</v>
      </c>
      <c r="L127" s="106">
        <v>1.5915266713984546</v>
      </c>
      <c r="M127" s="106">
        <v>1.438548301903211</v>
      </c>
      <c r="N127" s="106">
        <v>1.4681920365803807</v>
      </c>
      <c r="O127" s="29"/>
      <c r="P127" s="106">
        <v>1.9421642542029662</v>
      </c>
      <c r="Q127" s="106">
        <v>1.73310617793038</v>
      </c>
      <c r="R127" s="106">
        <v>1.5094885978130204</v>
      </c>
      <c r="S127" s="106">
        <v>1.5115266713984545</v>
      </c>
      <c r="T127" s="106">
        <v>1.358548301903211</v>
      </c>
      <c r="U127" s="106">
        <v>1.3881920365803806</v>
      </c>
      <c r="V127" s="9"/>
      <c r="W127" s="106">
        <v>1.8621642542029662</v>
      </c>
      <c r="X127" s="106">
        <v>1.6531061779303799</v>
      </c>
      <c r="Y127" s="106">
        <v>1.4294885978130203</v>
      </c>
      <c r="Z127" s="106">
        <v>1.4315266713984545</v>
      </c>
      <c r="AA127" s="106">
        <v>1.2785483019032109</v>
      </c>
      <c r="AB127" s="106">
        <v>1.3081920365803805</v>
      </c>
      <c r="AC127" s="9"/>
      <c r="AD127" s="106">
        <v>1.7821642542029661</v>
      </c>
      <c r="AE127" s="106">
        <v>1.5731061779303799</v>
      </c>
      <c r="AF127" s="106">
        <v>1.3494885978130202</v>
      </c>
      <c r="AG127" s="106">
        <v>1.3515266713984544</v>
      </c>
      <c r="AH127" s="106">
        <v>1.1985483019032108</v>
      </c>
      <c r="AI127" s="106">
        <v>1.2281920365803805</v>
      </c>
      <c r="AJ127" s="9"/>
      <c r="AK127" s="106">
        <v>1.702164254202966</v>
      </c>
      <c r="AL127" s="106">
        <v>1.4931061779303798</v>
      </c>
      <c r="AM127" s="106">
        <v>1.2694885978130201</v>
      </c>
      <c r="AN127" s="106">
        <v>1.2715266713984543</v>
      </c>
      <c r="AO127" s="106">
        <v>1.1185483019032108</v>
      </c>
      <c r="AP127" s="106">
        <v>1.1481920365803804</v>
      </c>
      <c r="AQ127" s="9"/>
      <c r="AR127" s="106">
        <v>1.6221642542029659</v>
      </c>
      <c r="AS127" s="106">
        <v>1.4131061779303797</v>
      </c>
      <c r="AT127" s="106">
        <v>1.1894885978130201</v>
      </c>
      <c r="AU127" s="106">
        <v>1.1915266713984543</v>
      </c>
      <c r="AV127" s="106">
        <v>1.0385483019032107</v>
      </c>
      <c r="AW127" s="106">
        <v>1.0681920365803803</v>
      </c>
      <c r="AX127" s="9"/>
    </row>
    <row r="128" spans="1:51" x14ac:dyDescent="0.25">
      <c r="A128" t="s">
        <v>340</v>
      </c>
      <c r="B128" s="106">
        <v>0.1583874364560095</v>
      </c>
      <c r="C128" s="106">
        <v>0.24609320131494719</v>
      </c>
      <c r="D128" s="106">
        <v>0.31506093551644743</v>
      </c>
      <c r="E128" s="106">
        <v>0.36796670907097156</v>
      </c>
      <c r="F128" s="106">
        <v>0.39910643007729607</v>
      </c>
      <c r="G128" s="106">
        <v>0.40312635660152313</v>
      </c>
      <c r="H128" s="106"/>
      <c r="I128" s="106">
        <v>0.23838743645600952</v>
      </c>
      <c r="J128" s="106">
        <v>0.32609320131494718</v>
      </c>
      <c r="K128" s="106">
        <v>0.39506093551644744</v>
      </c>
      <c r="L128" s="106">
        <v>0.44796670907097158</v>
      </c>
      <c r="M128" s="106">
        <v>0.47910643007729609</v>
      </c>
      <c r="N128" s="106">
        <v>0.48312635660152314</v>
      </c>
      <c r="O128" s="29"/>
      <c r="P128" s="106">
        <v>0.32838743645600954</v>
      </c>
      <c r="Q128" s="106">
        <v>0.4160932013149472</v>
      </c>
      <c r="R128" s="106">
        <v>0.48506093551644747</v>
      </c>
      <c r="S128" s="106">
        <v>0.53796670907097155</v>
      </c>
      <c r="T128" s="106">
        <v>0.56910643007729611</v>
      </c>
      <c r="U128" s="106">
        <v>0.57312635660152311</v>
      </c>
      <c r="V128" s="9"/>
      <c r="W128" s="106">
        <v>0.41838743645600951</v>
      </c>
      <c r="X128" s="106">
        <v>0.50609320131494717</v>
      </c>
      <c r="Y128" s="106">
        <v>0.57506093551644744</v>
      </c>
      <c r="Z128" s="106">
        <v>0.62796670907097152</v>
      </c>
      <c r="AA128" s="106">
        <v>0.65910643007729608</v>
      </c>
      <c r="AB128" s="106">
        <v>0.66312635660152308</v>
      </c>
      <c r="AC128" s="9"/>
      <c r="AD128" s="106">
        <v>0.50838743645600948</v>
      </c>
      <c r="AE128" s="106">
        <v>0.59609320131494714</v>
      </c>
      <c r="AF128" s="106">
        <v>0.65271795811769306</v>
      </c>
      <c r="AG128" s="106">
        <v>0.71796670907097149</v>
      </c>
      <c r="AH128" s="106">
        <v>0.74070235612654567</v>
      </c>
      <c r="AI128" s="106">
        <v>0.74410800793571552</v>
      </c>
      <c r="AJ128" s="9"/>
      <c r="AK128" s="106">
        <v>0.59838743645600945</v>
      </c>
      <c r="AL128" s="106">
        <v>0.68609320131494711</v>
      </c>
      <c r="AM128" s="106">
        <v>0.74271795811769303</v>
      </c>
      <c r="AN128" s="106">
        <v>0.79625311888019668</v>
      </c>
      <c r="AO128" s="106">
        <v>0.83070235612654564</v>
      </c>
      <c r="AP128" s="106">
        <v>0.83410800793571549</v>
      </c>
      <c r="AQ128" s="9"/>
      <c r="AR128" s="106">
        <v>0.68838743645600942</v>
      </c>
      <c r="AS128" s="106">
        <v>0.77609320131494708</v>
      </c>
      <c r="AT128" s="106">
        <v>0.832717958117693</v>
      </c>
      <c r="AU128" s="106">
        <v>0.88625311888019664</v>
      </c>
      <c r="AV128" s="106">
        <v>0.91221840666227716</v>
      </c>
      <c r="AW128" s="106">
        <v>0.91515649083652495</v>
      </c>
      <c r="AX128" s="9"/>
    </row>
    <row r="129" spans="1:50" x14ac:dyDescent="0.25">
      <c r="A129" t="s">
        <v>341</v>
      </c>
      <c r="B129" s="106"/>
      <c r="C129" s="106"/>
      <c r="D129" s="106"/>
      <c r="E129" s="106"/>
      <c r="F129" s="106"/>
      <c r="G129" s="106"/>
      <c r="H129" s="106"/>
      <c r="I129" s="106"/>
      <c r="J129" s="106"/>
      <c r="K129" s="106"/>
      <c r="L129" s="106"/>
      <c r="M129" s="106"/>
      <c r="N129" s="106"/>
      <c r="O129" s="29"/>
      <c r="P129" s="106"/>
      <c r="Q129" s="106"/>
      <c r="R129" s="106"/>
      <c r="S129" s="106"/>
      <c r="T129" s="106"/>
      <c r="U129" s="106"/>
      <c r="V129" s="9"/>
      <c r="W129" s="106"/>
      <c r="X129" s="106"/>
      <c r="Y129" s="106"/>
      <c r="Z129" s="106"/>
      <c r="AA129" s="106"/>
      <c r="AB129" s="106"/>
      <c r="AC129" s="9"/>
      <c r="AD129" s="106"/>
      <c r="AE129" s="106"/>
      <c r="AF129" s="106"/>
      <c r="AG129" s="106"/>
      <c r="AH129" s="106"/>
      <c r="AI129" s="106"/>
      <c r="AJ129" s="9"/>
      <c r="AK129" s="106"/>
      <c r="AL129" s="106"/>
      <c r="AM129" s="106"/>
      <c r="AN129" s="106"/>
      <c r="AO129" s="106"/>
      <c r="AP129" s="106"/>
      <c r="AQ129" s="9"/>
      <c r="AR129" s="106"/>
      <c r="AS129" s="106"/>
      <c r="AT129" s="106"/>
      <c r="AU129" s="106"/>
      <c r="AV129" s="106"/>
      <c r="AW129" s="106"/>
      <c r="AX129" s="9"/>
    </row>
    <row r="130" spans="1:50" ht="13.05" hidden="1" customHeight="1" x14ac:dyDescent="0.25">
      <c r="A130" t="str">
        <f>Nutrients!B129</f>
        <v>L-Ile</v>
      </c>
      <c r="B130" s="106"/>
      <c r="C130" s="106"/>
      <c r="D130" s="106"/>
      <c r="E130" s="106"/>
      <c r="F130" s="106"/>
      <c r="G130" s="106"/>
      <c r="H130" s="106"/>
      <c r="I130" s="106"/>
      <c r="J130" s="106"/>
      <c r="K130" s="106"/>
      <c r="L130" s="106"/>
      <c r="M130" s="106"/>
      <c r="N130" s="106"/>
      <c r="O130" s="29"/>
      <c r="P130" s="106"/>
      <c r="Q130" s="106"/>
      <c r="R130" s="106"/>
      <c r="S130" s="106"/>
      <c r="T130" s="106"/>
      <c r="U130" s="106"/>
      <c r="V130" s="9"/>
      <c r="W130" s="106"/>
      <c r="X130" s="106"/>
      <c r="Y130" s="106"/>
      <c r="Z130" s="106"/>
      <c r="AA130" s="106"/>
      <c r="AB130" s="106"/>
      <c r="AC130" s="9"/>
      <c r="AD130" s="106"/>
      <c r="AE130" s="106"/>
      <c r="AF130" s="106"/>
      <c r="AG130" s="106"/>
      <c r="AH130" s="106"/>
      <c r="AI130" s="106"/>
      <c r="AJ130" s="9"/>
      <c r="AK130" s="106"/>
      <c r="AL130" s="106"/>
      <c r="AM130" s="106"/>
      <c r="AN130" s="106"/>
      <c r="AO130" s="106"/>
      <c r="AP130" s="106"/>
      <c r="AQ130" s="9"/>
      <c r="AR130" s="106"/>
      <c r="AS130" s="106"/>
      <c r="AT130" s="106"/>
      <c r="AU130" s="106"/>
      <c r="AV130" s="106"/>
      <c r="AW130" s="106"/>
      <c r="AX130" s="9"/>
    </row>
    <row r="131" spans="1:50" ht="13.05" hidden="1" customHeight="1" x14ac:dyDescent="0.25">
      <c r="A131" t="str">
        <f>Nutrients!B130</f>
        <v>Methionine hydroxy analog</v>
      </c>
      <c r="B131" s="106"/>
      <c r="C131" s="106"/>
      <c r="D131" s="106"/>
      <c r="E131" s="106"/>
      <c r="F131" s="106"/>
      <c r="G131" s="106"/>
      <c r="H131" s="106"/>
      <c r="I131" s="106"/>
      <c r="J131" s="106"/>
      <c r="K131" s="106"/>
      <c r="L131" s="106"/>
      <c r="M131" s="106"/>
      <c r="N131" s="106"/>
      <c r="O131" s="29"/>
      <c r="P131" s="106"/>
      <c r="Q131" s="106"/>
      <c r="R131" s="106"/>
      <c r="S131" s="106"/>
      <c r="T131" s="106"/>
      <c r="U131" s="106"/>
      <c r="V131" s="9"/>
      <c r="W131" s="106"/>
      <c r="X131" s="106"/>
      <c r="Y131" s="106"/>
      <c r="Z131" s="106"/>
      <c r="AA131" s="106"/>
      <c r="AB131" s="106"/>
      <c r="AC131" s="9"/>
      <c r="AD131" s="106"/>
      <c r="AE131" s="106"/>
      <c r="AF131" s="106"/>
      <c r="AG131" s="106"/>
      <c r="AH131" s="106"/>
      <c r="AI131" s="106"/>
      <c r="AJ131" s="9"/>
      <c r="AK131" s="106"/>
      <c r="AL131" s="106"/>
      <c r="AM131" s="106"/>
      <c r="AN131" s="106"/>
      <c r="AO131" s="106"/>
      <c r="AP131" s="106"/>
      <c r="AQ131" s="9"/>
      <c r="AR131" s="106"/>
      <c r="AS131" s="106"/>
      <c r="AT131" s="106"/>
      <c r="AU131" s="106"/>
      <c r="AV131" s="106"/>
      <c r="AW131" s="106"/>
      <c r="AX131" s="9"/>
    </row>
    <row r="132" spans="1:50" ht="13.05" hidden="1" customHeight="1" x14ac:dyDescent="0.25">
      <c r="A132" t="str">
        <f>Nutrients!B131</f>
        <v>Glutamine</v>
      </c>
      <c r="B132" s="106"/>
      <c r="C132" s="106"/>
      <c r="D132" s="106"/>
      <c r="E132" s="106"/>
      <c r="F132" s="106"/>
      <c r="G132" s="106"/>
      <c r="H132" s="106"/>
      <c r="I132" s="106"/>
      <c r="J132" s="106"/>
      <c r="K132" s="106"/>
      <c r="L132" s="106"/>
      <c r="M132" s="106"/>
      <c r="N132" s="106"/>
      <c r="O132" s="29"/>
      <c r="P132" s="106"/>
      <c r="Q132" s="106"/>
      <c r="R132" s="106"/>
      <c r="S132" s="106"/>
      <c r="T132" s="106"/>
      <c r="U132" s="106"/>
      <c r="V132" s="9"/>
      <c r="W132" s="106"/>
      <c r="X132" s="106"/>
      <c r="Y132" s="106"/>
      <c r="Z132" s="106"/>
      <c r="AA132" s="106"/>
      <c r="AB132" s="106"/>
      <c r="AC132" s="9"/>
      <c r="AD132" s="106"/>
      <c r="AE132" s="106"/>
      <c r="AF132" s="106"/>
      <c r="AG132" s="106"/>
      <c r="AH132" s="106"/>
      <c r="AI132" s="106"/>
      <c r="AJ132" s="9"/>
      <c r="AK132" s="106"/>
      <c r="AL132" s="106"/>
      <c r="AM132" s="106"/>
      <c r="AN132" s="106"/>
      <c r="AO132" s="106"/>
      <c r="AP132" s="106"/>
      <c r="AQ132" s="9"/>
      <c r="AR132" s="106"/>
      <c r="AS132" s="106"/>
      <c r="AT132" s="106"/>
      <c r="AU132" s="106"/>
      <c r="AV132" s="106"/>
      <c r="AW132" s="106"/>
      <c r="AX132" s="9"/>
    </row>
    <row r="133" spans="1:50" ht="13.05" hidden="1" customHeight="1" x14ac:dyDescent="0.25">
      <c r="A133" t="str">
        <f>Nutrients!B132</f>
        <v>Glutamic acid</v>
      </c>
      <c r="B133" s="106"/>
      <c r="C133" s="106"/>
      <c r="D133" s="106"/>
      <c r="E133" s="106"/>
      <c r="F133" s="106"/>
      <c r="G133" s="106"/>
      <c r="H133" s="106"/>
      <c r="I133" s="106"/>
      <c r="J133" s="106"/>
      <c r="K133" s="106"/>
      <c r="L133" s="106"/>
      <c r="M133" s="106"/>
      <c r="N133" s="106"/>
      <c r="O133" s="29"/>
      <c r="P133" s="106"/>
      <c r="Q133" s="106"/>
      <c r="R133" s="106"/>
      <c r="S133" s="106"/>
      <c r="T133" s="106"/>
      <c r="U133" s="106"/>
      <c r="V133" s="9"/>
      <c r="W133" s="106"/>
      <c r="X133" s="106"/>
      <c r="Y133" s="106"/>
      <c r="Z133" s="106"/>
      <c r="AA133" s="106"/>
      <c r="AB133" s="106"/>
      <c r="AC133" s="9"/>
      <c r="AD133" s="106"/>
      <c r="AE133" s="106"/>
      <c r="AF133" s="106"/>
      <c r="AG133" s="106"/>
      <c r="AH133" s="106"/>
      <c r="AI133" s="106"/>
      <c r="AJ133" s="9"/>
      <c r="AK133" s="106"/>
      <c r="AL133" s="106"/>
      <c r="AM133" s="106"/>
      <c r="AN133" s="106"/>
      <c r="AO133" s="106"/>
      <c r="AP133" s="106"/>
      <c r="AQ133" s="9"/>
      <c r="AR133" s="106"/>
      <c r="AS133" s="106"/>
      <c r="AT133" s="106"/>
      <c r="AU133" s="106"/>
      <c r="AV133" s="106"/>
      <c r="AW133" s="106"/>
      <c r="AX133" s="9"/>
    </row>
    <row r="134" spans="1:50" ht="13.05" hidden="1" customHeight="1" x14ac:dyDescent="0.25">
      <c r="A134" t="str">
        <f>Nutrients!B133</f>
        <v>Biolys</v>
      </c>
      <c r="B134" s="106"/>
      <c r="C134" s="106"/>
      <c r="D134" s="106"/>
      <c r="E134" s="106"/>
      <c r="F134" s="106"/>
      <c r="G134" s="106"/>
      <c r="H134" s="106"/>
      <c r="I134" s="106"/>
      <c r="J134" s="106"/>
      <c r="K134" s="106"/>
      <c r="L134" s="106"/>
      <c r="M134" s="106"/>
      <c r="N134" s="106"/>
      <c r="O134" s="29"/>
      <c r="P134" s="106"/>
      <c r="Q134" s="106"/>
      <c r="R134" s="106"/>
      <c r="S134" s="106"/>
      <c r="T134" s="106"/>
      <c r="U134" s="106"/>
      <c r="V134" s="9"/>
      <c r="W134" s="106"/>
      <c r="X134" s="106"/>
      <c r="Y134" s="106"/>
      <c r="Z134" s="106"/>
      <c r="AA134" s="106"/>
      <c r="AB134" s="106"/>
      <c r="AC134" s="9"/>
      <c r="AD134" s="106"/>
      <c r="AE134" s="106"/>
      <c r="AF134" s="106"/>
      <c r="AG134" s="106"/>
      <c r="AH134" s="106"/>
      <c r="AI134" s="106"/>
      <c r="AJ134" s="9"/>
      <c r="AK134" s="106"/>
      <c r="AL134" s="106"/>
      <c r="AM134" s="106"/>
      <c r="AN134" s="106"/>
      <c r="AO134" s="106"/>
      <c r="AP134" s="106"/>
      <c r="AQ134" s="9"/>
      <c r="AR134" s="106"/>
      <c r="AS134" s="106"/>
      <c r="AT134" s="106"/>
      <c r="AU134" s="106"/>
      <c r="AV134" s="106"/>
      <c r="AW134" s="106"/>
      <c r="AX134" s="9"/>
    </row>
    <row r="135" spans="1:50" ht="13.05" hidden="1" customHeight="1" x14ac:dyDescent="0.25">
      <c r="A135" t="str">
        <f>Nutrients!B134</f>
        <v>Liquid lysine 60%</v>
      </c>
      <c r="B135" s="106"/>
      <c r="C135" s="106"/>
      <c r="D135" s="106"/>
      <c r="E135" s="106"/>
      <c r="F135" s="106"/>
      <c r="G135" s="106"/>
      <c r="H135" s="106"/>
      <c r="I135" s="106"/>
      <c r="J135" s="106"/>
      <c r="K135" s="106"/>
      <c r="L135" s="106"/>
      <c r="M135" s="106"/>
      <c r="N135" s="106"/>
      <c r="O135" s="29"/>
      <c r="P135" s="106"/>
      <c r="Q135" s="106"/>
      <c r="R135" s="106"/>
      <c r="S135" s="106"/>
      <c r="T135" s="106"/>
      <c r="U135" s="106"/>
      <c r="V135" s="9"/>
      <c r="W135" s="106"/>
      <c r="X135" s="106"/>
      <c r="Y135" s="106"/>
      <c r="Z135" s="106"/>
      <c r="AA135" s="106"/>
      <c r="AB135" s="106"/>
      <c r="AC135" s="9"/>
      <c r="AD135" s="106"/>
      <c r="AE135" s="106"/>
      <c r="AF135" s="106"/>
      <c r="AG135" s="106"/>
      <c r="AH135" s="106"/>
      <c r="AI135" s="106"/>
      <c r="AJ135" s="9"/>
      <c r="AK135" s="106"/>
      <c r="AL135" s="106"/>
      <c r="AM135" s="106"/>
      <c r="AN135" s="106"/>
      <c r="AO135" s="106"/>
      <c r="AP135" s="106"/>
      <c r="AQ135" s="9"/>
      <c r="AR135" s="106"/>
      <c r="AS135" s="106"/>
      <c r="AT135" s="106"/>
      <c r="AU135" s="106"/>
      <c r="AV135" s="106"/>
      <c r="AW135" s="106"/>
      <c r="AX135" s="9"/>
    </row>
    <row r="136" spans="1:50" ht="13.05" hidden="1" customHeight="1" x14ac:dyDescent="0.25">
      <c r="A136" t="str">
        <f>Nutrients!B135</f>
        <v>MHA dry</v>
      </c>
      <c r="B136" s="106"/>
      <c r="C136" s="106"/>
      <c r="D136" s="106"/>
      <c r="E136" s="106"/>
      <c r="F136" s="106"/>
      <c r="G136" s="106"/>
      <c r="H136" s="106"/>
      <c r="I136" s="106"/>
      <c r="J136" s="106"/>
      <c r="K136" s="106"/>
      <c r="L136" s="106"/>
      <c r="M136" s="106"/>
      <c r="N136" s="106"/>
      <c r="O136" s="29"/>
      <c r="P136" s="106"/>
      <c r="Q136" s="106"/>
      <c r="R136" s="106"/>
      <c r="S136" s="106"/>
      <c r="T136" s="106"/>
      <c r="U136" s="106"/>
      <c r="V136" s="9"/>
      <c r="W136" s="106"/>
      <c r="X136" s="106"/>
      <c r="Y136" s="106"/>
      <c r="Z136" s="106"/>
      <c r="AA136" s="106"/>
      <c r="AB136" s="106"/>
      <c r="AC136" s="9"/>
      <c r="AD136" s="106"/>
      <c r="AE136" s="106"/>
      <c r="AF136" s="106"/>
      <c r="AG136" s="106"/>
      <c r="AH136" s="106"/>
      <c r="AI136" s="106"/>
      <c r="AJ136" s="9"/>
      <c r="AK136" s="106"/>
      <c r="AL136" s="106"/>
      <c r="AM136" s="106"/>
      <c r="AN136" s="106"/>
      <c r="AO136" s="106"/>
      <c r="AP136" s="106"/>
      <c r="AQ136" s="9"/>
      <c r="AR136" s="106"/>
      <c r="AS136" s="106"/>
      <c r="AT136" s="106"/>
      <c r="AU136" s="106"/>
      <c r="AV136" s="106"/>
      <c r="AW136" s="106"/>
      <c r="AX136" s="9"/>
    </row>
    <row r="137" spans="1:50" ht="13.05" hidden="1" customHeight="1" x14ac:dyDescent="0.25">
      <c r="A137" t="str">
        <f>Nutrients!B136</f>
        <v>Paylean, 9 g/lb</v>
      </c>
      <c r="B137" s="106"/>
      <c r="C137" s="106"/>
      <c r="D137" s="106"/>
      <c r="E137" s="106"/>
      <c r="F137" s="106"/>
      <c r="G137" s="106"/>
      <c r="H137" s="106"/>
      <c r="I137" s="106"/>
      <c r="J137" s="106"/>
      <c r="K137" s="106"/>
      <c r="L137" s="106"/>
      <c r="M137" s="106"/>
      <c r="N137" s="106"/>
      <c r="O137" s="29"/>
      <c r="P137" s="106"/>
      <c r="Q137" s="106"/>
      <c r="R137" s="106"/>
      <c r="S137" s="106"/>
      <c r="T137" s="106"/>
      <c r="U137" s="106"/>
      <c r="V137" s="9"/>
      <c r="W137" s="106"/>
      <c r="X137" s="106"/>
      <c r="Y137" s="106"/>
      <c r="Z137" s="106"/>
      <c r="AA137" s="106"/>
      <c r="AB137" s="106"/>
      <c r="AC137" s="9"/>
      <c r="AD137" s="106"/>
      <c r="AE137" s="106"/>
      <c r="AF137" s="106"/>
      <c r="AG137" s="106"/>
      <c r="AH137" s="106"/>
      <c r="AI137" s="106"/>
      <c r="AJ137" s="9"/>
      <c r="AK137" s="106"/>
      <c r="AL137" s="106"/>
      <c r="AM137" s="106"/>
      <c r="AN137" s="106"/>
      <c r="AO137" s="106"/>
      <c r="AP137" s="106"/>
      <c r="AQ137" s="9"/>
      <c r="AR137" s="106"/>
      <c r="AS137" s="106"/>
      <c r="AT137" s="106"/>
      <c r="AU137" s="106"/>
      <c r="AV137" s="106"/>
      <c r="AW137" s="106"/>
      <c r="AX137" s="9"/>
    </row>
    <row r="138" spans="1:50" ht="13.05" hidden="1" customHeight="1" x14ac:dyDescent="0.25">
      <c r="A138" t="str">
        <f>Nutrients!B137</f>
        <v>Tribasic copper chloride</v>
      </c>
      <c r="B138" s="106"/>
      <c r="C138" s="106"/>
      <c r="D138" s="106"/>
      <c r="E138" s="106"/>
      <c r="F138" s="106"/>
      <c r="G138" s="106"/>
      <c r="H138" s="106"/>
      <c r="I138" s="106"/>
      <c r="J138" s="106"/>
      <c r="K138" s="106"/>
      <c r="L138" s="106"/>
      <c r="M138" s="106"/>
      <c r="N138" s="106"/>
      <c r="O138" s="29"/>
      <c r="P138" s="106"/>
      <c r="Q138" s="106"/>
      <c r="R138" s="106"/>
      <c r="S138" s="106"/>
      <c r="T138" s="106"/>
      <c r="U138" s="106"/>
      <c r="V138" s="9"/>
      <c r="W138" s="106"/>
      <c r="X138" s="106"/>
      <c r="Y138" s="106"/>
      <c r="Z138" s="106"/>
      <c r="AA138" s="106"/>
      <c r="AB138" s="106"/>
      <c r="AC138" s="9"/>
      <c r="AD138" s="106"/>
      <c r="AE138" s="106"/>
      <c r="AF138" s="106"/>
      <c r="AG138" s="106"/>
      <c r="AH138" s="106"/>
      <c r="AI138" s="106"/>
      <c r="AJ138" s="9"/>
      <c r="AK138" s="106"/>
      <c r="AL138" s="106"/>
      <c r="AM138" s="106"/>
      <c r="AN138" s="106"/>
      <c r="AO138" s="106"/>
      <c r="AP138" s="106"/>
      <c r="AQ138" s="9"/>
      <c r="AR138" s="106"/>
      <c r="AS138" s="106"/>
      <c r="AT138" s="106"/>
      <c r="AU138" s="106"/>
      <c r="AV138" s="106"/>
      <c r="AW138" s="106"/>
      <c r="AX138" s="9"/>
    </row>
    <row r="139" spans="1:50" ht="13.05" hidden="1" customHeight="1" x14ac:dyDescent="0.25">
      <c r="A139" t="str">
        <f>Nutrients!B138</f>
        <v>2018 Starter base mix</v>
      </c>
      <c r="B139" s="106"/>
      <c r="C139" s="106"/>
      <c r="D139" s="106"/>
      <c r="E139" s="106"/>
      <c r="F139" s="106"/>
      <c r="G139" s="106"/>
      <c r="H139" s="106"/>
      <c r="I139" s="106"/>
      <c r="J139" s="106"/>
      <c r="K139" s="106"/>
      <c r="L139" s="106"/>
      <c r="M139" s="106"/>
      <c r="N139" s="106"/>
      <c r="O139" s="29"/>
      <c r="P139" s="106"/>
      <c r="Q139" s="106"/>
      <c r="R139" s="106"/>
      <c r="S139" s="106"/>
      <c r="T139" s="106"/>
      <c r="U139" s="106"/>
      <c r="V139" s="9"/>
      <c r="W139" s="106"/>
      <c r="X139" s="106"/>
      <c r="Y139" s="106"/>
      <c r="Z139" s="106"/>
      <c r="AA139" s="106"/>
      <c r="AB139" s="106"/>
      <c r="AC139" s="9"/>
      <c r="AD139" s="106"/>
      <c r="AE139" s="106"/>
      <c r="AF139" s="106"/>
      <c r="AG139" s="106"/>
      <c r="AH139" s="106"/>
      <c r="AI139" s="106"/>
      <c r="AJ139" s="9"/>
      <c r="AK139" s="106"/>
      <c r="AL139" s="106"/>
      <c r="AM139" s="106"/>
      <c r="AN139" s="106"/>
      <c r="AO139" s="106"/>
      <c r="AP139" s="106"/>
      <c r="AQ139" s="9"/>
      <c r="AR139" s="106"/>
      <c r="AS139" s="106"/>
      <c r="AT139" s="106"/>
      <c r="AU139" s="106"/>
      <c r="AV139" s="106"/>
      <c r="AW139" s="106"/>
      <c r="AX139" s="9"/>
    </row>
    <row r="140" spans="1:50" ht="13.05" hidden="1" customHeight="1" x14ac:dyDescent="0.25">
      <c r="A140" t="str">
        <f>Nutrients!B139</f>
        <v>2018 Grow-finish base mix</v>
      </c>
      <c r="B140" s="106"/>
      <c r="C140" s="106"/>
      <c r="D140" s="106"/>
      <c r="E140" s="106"/>
      <c r="F140" s="106"/>
      <c r="G140" s="106"/>
      <c r="H140" s="106"/>
      <c r="I140" s="106"/>
      <c r="J140" s="106"/>
      <c r="K140" s="106"/>
      <c r="L140" s="106"/>
      <c r="M140" s="106"/>
      <c r="N140" s="106"/>
      <c r="O140" s="29"/>
      <c r="P140" s="106"/>
      <c r="Q140" s="106"/>
      <c r="R140" s="106"/>
      <c r="S140" s="106"/>
      <c r="T140" s="106"/>
      <c r="U140" s="106"/>
      <c r="V140" s="9"/>
      <c r="W140" s="106"/>
      <c r="X140" s="106"/>
      <c r="Y140" s="106"/>
      <c r="Z140" s="106"/>
      <c r="AA140" s="106"/>
      <c r="AB140" s="106"/>
      <c r="AC140" s="9"/>
      <c r="AD140" s="106"/>
      <c r="AE140" s="106"/>
      <c r="AF140" s="106"/>
      <c r="AG140" s="106"/>
      <c r="AH140" s="106"/>
      <c r="AI140" s="106"/>
      <c r="AJ140" s="9"/>
      <c r="AK140" s="106"/>
      <c r="AL140" s="106"/>
      <c r="AM140" s="106"/>
      <c r="AN140" s="106"/>
      <c r="AO140" s="106"/>
      <c r="AP140" s="106"/>
      <c r="AQ140" s="9"/>
      <c r="AR140" s="106"/>
      <c r="AS140" s="106"/>
      <c r="AT140" s="106"/>
      <c r="AU140" s="106"/>
      <c r="AV140" s="106"/>
      <c r="AW140" s="106"/>
      <c r="AX140" s="9"/>
    </row>
    <row r="141" spans="1:50" ht="13.05" hidden="1" customHeight="1" x14ac:dyDescent="0.25">
      <c r="A141" t="str">
        <f>Nutrients!B140</f>
        <v>Developer base mix</v>
      </c>
      <c r="B141" s="106"/>
      <c r="C141" s="106"/>
      <c r="D141" s="106"/>
      <c r="E141" s="106"/>
      <c r="F141" s="106"/>
      <c r="G141" s="106"/>
      <c r="H141" s="106"/>
      <c r="I141" s="106"/>
      <c r="J141" s="106"/>
      <c r="K141" s="106"/>
      <c r="L141" s="106"/>
      <c r="M141" s="106"/>
      <c r="N141" s="106"/>
      <c r="O141" s="29"/>
      <c r="P141" s="106"/>
      <c r="Q141" s="106"/>
      <c r="R141" s="106"/>
      <c r="S141" s="106"/>
      <c r="T141" s="106"/>
      <c r="U141" s="106"/>
      <c r="V141" s="9"/>
      <c r="W141" s="106"/>
      <c r="X141" s="106"/>
      <c r="Y141" s="106"/>
      <c r="Z141" s="106"/>
      <c r="AA141" s="106"/>
      <c r="AB141" s="106"/>
      <c r="AC141" s="9"/>
      <c r="AD141" s="106"/>
      <c r="AE141" s="106"/>
      <c r="AF141" s="106"/>
      <c r="AG141" s="106"/>
      <c r="AH141" s="106"/>
      <c r="AI141" s="106"/>
      <c r="AJ141" s="9"/>
      <c r="AK141" s="106"/>
      <c r="AL141" s="106"/>
      <c r="AM141" s="106"/>
      <c r="AN141" s="106"/>
      <c r="AO141" s="106"/>
      <c r="AP141" s="106"/>
      <c r="AQ141" s="9"/>
      <c r="AR141" s="106"/>
      <c r="AS141" s="106"/>
      <c r="AT141" s="106"/>
      <c r="AU141" s="106"/>
      <c r="AV141" s="106"/>
      <c r="AW141" s="106"/>
      <c r="AX141" s="9"/>
    </row>
    <row r="142" spans="1:50" ht="13.05" hidden="1" customHeight="1" x14ac:dyDescent="0.25">
      <c r="A142" t="str">
        <f>Nutrients!B141</f>
        <v>2018 Sow base mix</v>
      </c>
      <c r="B142" s="106"/>
      <c r="C142" s="106"/>
      <c r="D142" s="106"/>
      <c r="E142" s="106"/>
      <c r="F142" s="106"/>
      <c r="G142" s="106"/>
      <c r="H142" s="106"/>
      <c r="I142" s="106"/>
      <c r="J142" s="106"/>
      <c r="K142" s="106"/>
      <c r="L142" s="106"/>
      <c r="M142" s="106"/>
      <c r="N142" s="106"/>
      <c r="O142" s="29"/>
      <c r="P142" s="106"/>
      <c r="Q142" s="106"/>
      <c r="R142" s="106"/>
      <c r="S142" s="106"/>
      <c r="T142" s="106"/>
      <c r="U142" s="106"/>
      <c r="V142" s="9"/>
      <c r="W142" s="106"/>
      <c r="X142" s="106"/>
      <c r="Y142" s="106"/>
      <c r="Z142" s="106"/>
      <c r="AA142" s="106"/>
      <c r="AB142" s="106"/>
      <c r="AC142" s="9"/>
      <c r="AD142" s="106"/>
      <c r="AE142" s="106"/>
      <c r="AF142" s="106"/>
      <c r="AG142" s="106"/>
      <c r="AH142" s="106"/>
      <c r="AI142" s="106"/>
      <c r="AJ142" s="9"/>
      <c r="AK142" s="106"/>
      <c r="AL142" s="106"/>
      <c r="AM142" s="106"/>
      <c r="AN142" s="106"/>
      <c r="AO142" s="106"/>
      <c r="AP142" s="106"/>
      <c r="AQ142" s="9"/>
      <c r="AR142" s="106"/>
      <c r="AS142" s="106"/>
      <c r="AT142" s="106"/>
      <c r="AU142" s="106"/>
      <c r="AV142" s="106"/>
      <c r="AW142" s="106"/>
      <c r="AX142" s="9"/>
    </row>
    <row r="143" spans="1:50" ht="13.2" hidden="1" customHeight="1" x14ac:dyDescent="0.25">
      <c r="A143" t="str">
        <f>Nutrients!B142</f>
        <v>Vitamin premix with phytase</v>
      </c>
      <c r="B143" s="106"/>
      <c r="C143" s="106"/>
      <c r="D143" s="106"/>
      <c r="E143" s="106"/>
      <c r="F143" s="106"/>
      <c r="G143" s="106"/>
      <c r="H143" s="106"/>
      <c r="I143" s="106"/>
      <c r="J143" s="106"/>
      <c r="K143" s="106"/>
      <c r="L143" s="106"/>
      <c r="M143" s="106"/>
      <c r="N143" s="106"/>
      <c r="O143" s="29"/>
      <c r="P143" s="106"/>
      <c r="Q143" s="106"/>
      <c r="R143" s="106"/>
      <c r="S143" s="106"/>
      <c r="T143" s="106"/>
      <c r="U143" s="106"/>
      <c r="V143" s="9"/>
      <c r="W143" s="106"/>
      <c r="X143" s="106"/>
      <c r="Y143" s="106"/>
      <c r="Z143" s="106"/>
      <c r="AA143" s="106"/>
      <c r="AB143" s="106"/>
      <c r="AC143" s="9"/>
      <c r="AD143" s="106"/>
      <c r="AE143" s="106"/>
      <c r="AF143" s="106"/>
      <c r="AG143" s="106"/>
      <c r="AH143" s="106"/>
      <c r="AI143" s="106"/>
      <c r="AJ143" s="9"/>
      <c r="AK143" s="106"/>
      <c r="AL143" s="106"/>
      <c r="AM143" s="106"/>
      <c r="AN143" s="106"/>
      <c r="AO143" s="106"/>
      <c r="AP143" s="106"/>
      <c r="AQ143" s="9"/>
      <c r="AR143" s="106"/>
      <c r="AS143" s="106"/>
      <c r="AT143" s="106"/>
      <c r="AU143" s="106"/>
      <c r="AV143" s="106"/>
      <c r="AW143" s="106"/>
      <c r="AX143" s="9"/>
    </row>
    <row r="144" spans="1:50" x14ac:dyDescent="0.25">
      <c r="A144" t="str">
        <f>Nutrients!B143</f>
        <v>Trace mineral premix</v>
      </c>
      <c r="B144" s="106">
        <v>3</v>
      </c>
      <c r="C144" s="106">
        <v>3</v>
      </c>
      <c r="D144" s="106">
        <v>2.5</v>
      </c>
      <c r="E144" s="106">
        <v>2</v>
      </c>
      <c r="F144" s="106">
        <v>1.5</v>
      </c>
      <c r="G144" s="106">
        <v>1.5</v>
      </c>
      <c r="H144" s="106"/>
      <c r="I144" s="106">
        <v>3</v>
      </c>
      <c r="J144" s="106">
        <v>3</v>
      </c>
      <c r="K144" s="106">
        <v>2.5</v>
      </c>
      <c r="L144" s="106">
        <v>2</v>
      </c>
      <c r="M144" s="106">
        <v>1.5</v>
      </c>
      <c r="N144" s="106">
        <v>1.5</v>
      </c>
      <c r="O144" s="29"/>
      <c r="P144" s="106">
        <v>3</v>
      </c>
      <c r="Q144" s="106">
        <v>3</v>
      </c>
      <c r="R144" s="106">
        <v>2.5</v>
      </c>
      <c r="S144" s="106">
        <v>2</v>
      </c>
      <c r="T144" s="106">
        <v>1.5</v>
      </c>
      <c r="U144" s="106">
        <v>1.5</v>
      </c>
      <c r="V144" s="9"/>
      <c r="W144" s="106">
        <v>3</v>
      </c>
      <c r="X144" s="106">
        <v>3</v>
      </c>
      <c r="Y144" s="106">
        <v>2.5</v>
      </c>
      <c r="Z144" s="106">
        <v>2</v>
      </c>
      <c r="AA144" s="106">
        <v>1.5</v>
      </c>
      <c r="AB144" s="106">
        <v>1.5</v>
      </c>
      <c r="AC144" s="9"/>
      <c r="AD144" s="106">
        <v>3</v>
      </c>
      <c r="AE144" s="106">
        <v>3</v>
      </c>
      <c r="AF144" s="106">
        <v>2.5</v>
      </c>
      <c r="AG144" s="106">
        <v>2</v>
      </c>
      <c r="AH144" s="106">
        <v>1.5</v>
      </c>
      <c r="AI144" s="106">
        <v>1.5</v>
      </c>
      <c r="AJ144" s="9"/>
      <c r="AK144" s="106">
        <v>3</v>
      </c>
      <c r="AL144" s="106">
        <v>3</v>
      </c>
      <c r="AM144" s="106">
        <v>2.5</v>
      </c>
      <c r="AN144" s="106">
        <v>2</v>
      </c>
      <c r="AO144" s="106">
        <v>1.5</v>
      </c>
      <c r="AP144" s="106">
        <v>1.5</v>
      </c>
      <c r="AQ144" s="9"/>
      <c r="AR144" s="106">
        <v>3</v>
      </c>
      <c r="AS144" s="106">
        <v>3</v>
      </c>
      <c r="AT144" s="106">
        <v>2.5</v>
      </c>
      <c r="AU144" s="106">
        <v>2</v>
      </c>
      <c r="AV144" s="106">
        <v>1.5</v>
      </c>
      <c r="AW144" s="106">
        <v>1.5</v>
      </c>
      <c r="AX144" s="9"/>
    </row>
    <row r="145" spans="1:50" ht="13.05" hidden="1" customHeight="1" x14ac:dyDescent="0.25">
      <c r="A145" t="str">
        <f>Nutrients!B144</f>
        <v>Sow add pack</v>
      </c>
      <c r="B145" s="106"/>
      <c r="C145" s="106"/>
      <c r="D145" s="106"/>
      <c r="E145" s="106"/>
      <c r="F145" s="106"/>
      <c r="G145" s="106"/>
      <c r="H145" s="106"/>
      <c r="I145" s="106"/>
      <c r="J145" s="106"/>
      <c r="K145" s="106"/>
      <c r="L145" s="106"/>
      <c r="M145" s="106"/>
      <c r="N145" s="106"/>
      <c r="O145" s="29"/>
      <c r="P145" s="106"/>
      <c r="Q145" s="106"/>
      <c r="R145" s="106"/>
      <c r="S145" s="106"/>
      <c r="T145" s="106"/>
      <c r="U145" s="106"/>
      <c r="V145" s="9"/>
      <c r="W145" s="106"/>
      <c r="X145" s="106"/>
      <c r="Y145" s="106"/>
      <c r="Z145" s="106"/>
      <c r="AA145" s="106"/>
      <c r="AB145" s="106"/>
      <c r="AC145" s="9"/>
      <c r="AD145" s="106"/>
      <c r="AE145" s="106"/>
      <c r="AF145" s="106"/>
      <c r="AG145" s="106"/>
      <c r="AH145" s="106"/>
      <c r="AI145" s="106"/>
      <c r="AJ145" s="9"/>
      <c r="AK145" s="106"/>
      <c r="AL145" s="106"/>
      <c r="AM145" s="106"/>
      <c r="AN145" s="106"/>
      <c r="AO145" s="106"/>
      <c r="AP145" s="106"/>
      <c r="AQ145" s="9"/>
      <c r="AR145" s="106"/>
      <c r="AS145" s="106"/>
      <c r="AT145" s="106"/>
      <c r="AU145" s="106"/>
      <c r="AV145" s="106"/>
      <c r="AW145" s="106"/>
      <c r="AX145" s="9"/>
    </row>
    <row r="146" spans="1:50" x14ac:dyDescent="0.25">
      <c r="A146" t="str">
        <f>Nutrients!B145</f>
        <v>Vitamin premix without phytase</v>
      </c>
      <c r="B146" s="106">
        <v>3</v>
      </c>
      <c r="C146" s="106">
        <v>3</v>
      </c>
      <c r="D146" s="106">
        <v>2.5</v>
      </c>
      <c r="E146" s="106">
        <v>2</v>
      </c>
      <c r="F146" s="106">
        <v>1.5</v>
      </c>
      <c r="G146" s="106">
        <v>1.5</v>
      </c>
      <c r="H146" s="106"/>
      <c r="I146" s="106">
        <v>3</v>
      </c>
      <c r="J146" s="106">
        <v>3</v>
      </c>
      <c r="K146" s="106">
        <v>2.5</v>
      </c>
      <c r="L146" s="106">
        <v>2</v>
      </c>
      <c r="M146" s="106">
        <v>1.5</v>
      </c>
      <c r="N146" s="106">
        <v>1.5</v>
      </c>
      <c r="O146" s="29"/>
      <c r="P146" s="106">
        <v>3</v>
      </c>
      <c r="Q146" s="106">
        <v>3</v>
      </c>
      <c r="R146" s="106">
        <v>2.5</v>
      </c>
      <c r="S146" s="106">
        <v>2</v>
      </c>
      <c r="T146" s="106">
        <v>1.5</v>
      </c>
      <c r="U146" s="106">
        <v>1.5</v>
      </c>
      <c r="V146" s="9"/>
      <c r="W146" s="106">
        <v>3</v>
      </c>
      <c r="X146" s="106">
        <v>3</v>
      </c>
      <c r="Y146" s="106">
        <v>2.5</v>
      </c>
      <c r="Z146" s="106">
        <v>2</v>
      </c>
      <c r="AA146" s="106">
        <v>1.5</v>
      </c>
      <c r="AB146" s="106">
        <v>1.5</v>
      </c>
      <c r="AC146" s="9"/>
      <c r="AD146" s="106">
        <v>3</v>
      </c>
      <c r="AE146" s="106">
        <v>3</v>
      </c>
      <c r="AF146" s="106">
        <v>2.5</v>
      </c>
      <c r="AG146" s="106">
        <v>2</v>
      </c>
      <c r="AH146" s="106">
        <v>1.5</v>
      </c>
      <c r="AI146" s="106">
        <v>1.5</v>
      </c>
      <c r="AJ146" s="9"/>
      <c r="AK146" s="106">
        <v>3</v>
      </c>
      <c r="AL146" s="106">
        <v>3</v>
      </c>
      <c r="AM146" s="106">
        <v>2.5</v>
      </c>
      <c r="AN146" s="106">
        <v>2</v>
      </c>
      <c r="AO146" s="106">
        <v>1.5</v>
      </c>
      <c r="AP146" s="106">
        <v>1.5</v>
      </c>
      <c r="AQ146" s="9"/>
      <c r="AR146" s="106">
        <v>3</v>
      </c>
      <c r="AS146" s="106">
        <v>3</v>
      </c>
      <c r="AT146" s="106">
        <v>2.5</v>
      </c>
      <c r="AU146" s="106">
        <v>2</v>
      </c>
      <c r="AV146" s="106">
        <v>1.5</v>
      </c>
      <c r="AW146" s="106">
        <v>1.5</v>
      </c>
      <c r="AX146" s="9"/>
    </row>
    <row r="147" spans="1:50" ht="13.05" hidden="1" customHeight="1" x14ac:dyDescent="0.25">
      <c r="A147" t="str">
        <f>Nutrients!B146</f>
        <v>GF DDGS Base Mix</v>
      </c>
      <c r="B147" s="106"/>
      <c r="C147" s="106"/>
      <c r="D147" s="106"/>
      <c r="E147" s="106"/>
      <c r="F147" s="106"/>
      <c r="G147" s="106"/>
      <c r="H147" s="106"/>
      <c r="I147" s="106"/>
      <c r="J147" s="106"/>
      <c r="K147" s="106"/>
      <c r="L147" s="106"/>
      <c r="M147" s="106"/>
      <c r="N147" s="106"/>
      <c r="O147" s="29"/>
      <c r="P147" s="106"/>
      <c r="Q147" s="106"/>
      <c r="R147" s="106"/>
      <c r="S147" s="106"/>
      <c r="T147" s="106"/>
      <c r="U147" s="106"/>
      <c r="V147" s="9"/>
      <c r="W147" s="106"/>
      <c r="X147" s="106"/>
      <c r="Y147" s="106"/>
      <c r="Z147" s="106"/>
      <c r="AA147" s="106"/>
      <c r="AB147" s="106"/>
      <c r="AC147" s="9"/>
      <c r="AD147" s="106"/>
      <c r="AE147" s="106"/>
      <c r="AF147" s="106"/>
      <c r="AG147" s="106"/>
      <c r="AH147" s="106"/>
      <c r="AI147" s="106"/>
      <c r="AJ147" s="9"/>
      <c r="AK147" s="106"/>
      <c r="AL147" s="106"/>
      <c r="AM147" s="106"/>
      <c r="AN147" s="106"/>
      <c r="AO147" s="106"/>
      <c r="AP147" s="106"/>
      <c r="AQ147" s="9"/>
      <c r="AR147" s="106"/>
      <c r="AS147" s="106"/>
      <c r="AT147" s="106"/>
      <c r="AU147" s="106"/>
      <c r="AV147" s="106"/>
      <c r="AW147" s="106"/>
      <c r="AX147" s="9"/>
    </row>
    <row r="148" spans="1:50" ht="13.05" hidden="1" customHeight="1" x14ac:dyDescent="0.25">
      <c r="A148" t="str">
        <f>Nutrients!B147</f>
        <v>GF synthetics Base Mix</v>
      </c>
      <c r="B148" s="106"/>
      <c r="C148" s="106"/>
      <c r="D148" s="106"/>
      <c r="E148" s="106"/>
      <c r="F148" s="106"/>
      <c r="G148" s="106"/>
      <c r="H148" s="106"/>
      <c r="I148" s="106"/>
      <c r="J148" s="106"/>
      <c r="K148" s="106"/>
      <c r="L148" s="106"/>
      <c r="M148" s="106"/>
      <c r="N148" s="106"/>
      <c r="O148" s="29"/>
      <c r="P148" s="106"/>
      <c r="Q148" s="106"/>
      <c r="R148" s="106"/>
      <c r="S148" s="106"/>
      <c r="T148" s="106"/>
      <c r="U148" s="106"/>
      <c r="V148" s="9"/>
      <c r="W148" s="106"/>
      <c r="X148" s="106"/>
      <c r="Y148" s="106"/>
      <c r="Z148" s="106"/>
      <c r="AA148" s="106"/>
      <c r="AB148" s="106"/>
      <c r="AC148" s="9"/>
      <c r="AD148" s="106"/>
      <c r="AE148" s="106"/>
      <c r="AF148" s="106"/>
      <c r="AG148" s="106"/>
      <c r="AH148" s="106"/>
      <c r="AI148" s="106"/>
      <c r="AJ148" s="9"/>
      <c r="AK148" s="106"/>
      <c r="AL148" s="106"/>
      <c r="AM148" s="106"/>
      <c r="AN148" s="106"/>
      <c r="AO148" s="106"/>
      <c r="AP148" s="106"/>
      <c r="AQ148" s="9"/>
      <c r="AR148" s="106"/>
      <c r="AS148" s="106"/>
      <c r="AT148" s="106"/>
      <c r="AU148" s="106"/>
      <c r="AV148" s="106"/>
      <c r="AW148" s="106"/>
      <c r="AX148" s="9"/>
    </row>
    <row r="149" spans="1:50" ht="13.05" hidden="1" customHeight="1" x14ac:dyDescent="0.25">
      <c r="A149" t="str">
        <f>Nutrients!B148</f>
        <v>Choline chloride 60%</v>
      </c>
      <c r="B149" s="106"/>
      <c r="C149" s="106"/>
      <c r="D149" s="106"/>
      <c r="E149" s="106"/>
      <c r="F149" s="106"/>
      <c r="G149" s="106"/>
      <c r="H149" s="106"/>
      <c r="I149" s="106"/>
      <c r="J149" s="106"/>
      <c r="K149" s="106"/>
      <c r="L149" s="106"/>
      <c r="M149" s="106"/>
      <c r="N149" s="106"/>
      <c r="O149" s="29"/>
      <c r="P149" s="106"/>
      <c r="Q149" s="106"/>
      <c r="R149" s="106"/>
      <c r="S149" s="106"/>
      <c r="T149" s="106"/>
      <c r="U149" s="106"/>
      <c r="V149" s="9"/>
      <c r="W149" s="106"/>
      <c r="X149" s="106"/>
      <c r="Y149" s="106"/>
      <c r="Z149" s="106"/>
      <c r="AA149" s="106"/>
      <c r="AB149" s="106"/>
      <c r="AC149" s="9"/>
      <c r="AD149" s="106"/>
      <c r="AE149" s="106"/>
      <c r="AF149" s="106"/>
      <c r="AG149" s="106"/>
      <c r="AH149" s="106"/>
      <c r="AI149" s="106"/>
      <c r="AJ149" s="9"/>
      <c r="AK149" s="106"/>
      <c r="AL149" s="106"/>
      <c r="AM149" s="106"/>
      <c r="AN149" s="106"/>
      <c r="AO149" s="106"/>
      <c r="AP149" s="106"/>
      <c r="AQ149" s="9"/>
      <c r="AR149" s="106"/>
      <c r="AS149" s="106"/>
      <c r="AT149" s="106"/>
      <c r="AU149" s="106"/>
      <c r="AV149" s="106"/>
      <c r="AW149" s="106"/>
      <c r="AX149" s="9"/>
    </row>
    <row r="150" spans="1:50" ht="13.05" hidden="1" customHeight="1" x14ac:dyDescent="0.25">
      <c r="A150" t="str">
        <f>Nutrients!B149</f>
        <v>Natuphos 600</v>
      </c>
      <c r="B150" s="106"/>
      <c r="C150" s="106"/>
      <c r="D150" s="106"/>
      <c r="E150" s="106"/>
      <c r="F150" s="106"/>
      <c r="G150" s="106"/>
      <c r="H150" s="106"/>
      <c r="I150" s="106"/>
      <c r="J150" s="106"/>
      <c r="K150" s="106"/>
      <c r="L150" s="106"/>
      <c r="M150" s="106"/>
      <c r="N150" s="106"/>
      <c r="O150" s="29"/>
      <c r="P150" s="106"/>
      <c r="Q150" s="106"/>
      <c r="R150" s="106"/>
      <c r="S150" s="106"/>
      <c r="T150" s="106"/>
      <c r="U150" s="106"/>
      <c r="V150" s="9"/>
      <c r="W150" s="106"/>
      <c r="X150" s="106"/>
      <c r="Y150" s="106"/>
      <c r="Z150" s="106"/>
      <c r="AA150" s="106"/>
      <c r="AB150" s="106"/>
      <c r="AC150" s="9"/>
      <c r="AD150" s="106"/>
      <c r="AE150" s="106"/>
      <c r="AF150" s="106"/>
      <c r="AG150" s="106"/>
      <c r="AH150" s="106"/>
      <c r="AI150" s="106"/>
      <c r="AJ150" s="9"/>
      <c r="AK150" s="106"/>
      <c r="AL150" s="106"/>
      <c r="AM150" s="106"/>
      <c r="AN150" s="106"/>
      <c r="AO150" s="106"/>
      <c r="AP150" s="106"/>
      <c r="AQ150" s="9"/>
      <c r="AR150" s="106"/>
      <c r="AS150" s="106"/>
      <c r="AT150" s="106"/>
      <c r="AU150" s="106"/>
      <c r="AV150" s="106"/>
      <c r="AW150" s="106"/>
      <c r="AX150" s="9"/>
    </row>
    <row r="151" spans="1:50" ht="13.05" hidden="1" customHeight="1" x14ac:dyDescent="0.25">
      <c r="A151" t="str">
        <f>Nutrients!B150</f>
        <v>Natuphos 1200</v>
      </c>
      <c r="B151" s="106"/>
      <c r="C151" s="106"/>
      <c r="D151" s="106"/>
      <c r="E151" s="106"/>
      <c r="F151" s="106"/>
      <c r="G151" s="106"/>
      <c r="H151" s="106"/>
      <c r="I151" s="106"/>
      <c r="J151" s="106"/>
      <c r="K151" s="106"/>
      <c r="L151" s="106"/>
      <c r="M151" s="106"/>
      <c r="N151" s="106"/>
      <c r="O151" s="29"/>
      <c r="P151" s="106"/>
      <c r="Q151" s="106"/>
      <c r="R151" s="106"/>
      <c r="S151" s="106"/>
      <c r="T151" s="106"/>
      <c r="U151" s="106"/>
      <c r="V151" s="9"/>
      <c r="W151" s="106"/>
      <c r="X151" s="106"/>
      <c r="Y151" s="106"/>
      <c r="Z151" s="106"/>
      <c r="AA151" s="106"/>
      <c r="AB151" s="106"/>
      <c r="AC151" s="9"/>
      <c r="AD151" s="106"/>
      <c r="AE151" s="106"/>
      <c r="AF151" s="106"/>
      <c r="AG151" s="106"/>
      <c r="AH151" s="106"/>
      <c r="AI151" s="106"/>
      <c r="AJ151" s="9"/>
      <c r="AK151" s="106"/>
      <c r="AL151" s="106"/>
      <c r="AM151" s="106"/>
      <c r="AN151" s="106"/>
      <c r="AO151" s="106"/>
      <c r="AP151" s="106"/>
      <c r="AQ151" s="9"/>
      <c r="AR151" s="106"/>
      <c r="AS151" s="106"/>
      <c r="AT151" s="106"/>
      <c r="AU151" s="106"/>
      <c r="AV151" s="106"/>
      <c r="AW151" s="106"/>
      <c r="AX151" s="9"/>
    </row>
    <row r="152" spans="1:50" ht="13.05" hidden="1" customHeight="1" x14ac:dyDescent="0.25">
      <c r="A152" t="str">
        <f>Nutrients!B151</f>
        <v>Optiphos 2000</v>
      </c>
      <c r="B152" s="106"/>
      <c r="C152" s="106"/>
      <c r="D152" s="106"/>
      <c r="E152" s="106"/>
      <c r="F152" s="106"/>
      <c r="G152" s="106"/>
      <c r="H152" s="106"/>
      <c r="I152" s="106"/>
      <c r="J152" s="106"/>
      <c r="K152" s="106"/>
      <c r="L152" s="106"/>
      <c r="M152" s="106"/>
      <c r="N152" s="106"/>
      <c r="O152" s="29"/>
      <c r="P152" s="106"/>
      <c r="Q152" s="106"/>
      <c r="R152" s="106"/>
      <c r="S152" s="106"/>
      <c r="T152" s="106"/>
      <c r="U152" s="106"/>
      <c r="V152" s="9"/>
      <c r="W152" s="106"/>
      <c r="X152" s="106"/>
      <c r="Y152" s="106"/>
      <c r="Z152" s="106"/>
      <c r="AA152" s="106"/>
      <c r="AB152" s="106"/>
      <c r="AC152" s="9"/>
      <c r="AD152" s="106"/>
      <c r="AE152" s="106"/>
      <c r="AF152" s="106"/>
      <c r="AG152" s="106"/>
      <c r="AH152" s="106"/>
      <c r="AI152" s="106"/>
      <c r="AJ152" s="9"/>
      <c r="AK152" s="106"/>
      <c r="AL152" s="106"/>
      <c r="AM152" s="106"/>
      <c r="AN152" s="106"/>
      <c r="AO152" s="106"/>
      <c r="AP152" s="106"/>
      <c r="AQ152" s="9"/>
      <c r="AR152" s="106"/>
      <c r="AS152" s="106"/>
      <c r="AT152" s="106"/>
      <c r="AU152" s="106"/>
      <c r="AV152" s="106"/>
      <c r="AW152" s="106"/>
      <c r="AX152" s="9"/>
    </row>
    <row r="153" spans="1:50" ht="13.05" hidden="1" customHeight="1" x14ac:dyDescent="0.25">
      <c r="A153" t="str">
        <f>Nutrients!B152</f>
        <v>Phyzyme 1200</v>
      </c>
      <c r="B153" s="106"/>
      <c r="C153" s="106"/>
      <c r="D153" s="106"/>
      <c r="E153" s="106"/>
      <c r="F153" s="106"/>
      <c r="G153" s="106"/>
      <c r="H153" s="106"/>
      <c r="I153" s="106"/>
      <c r="J153" s="106"/>
      <c r="K153" s="106"/>
      <c r="L153" s="106"/>
      <c r="M153" s="106"/>
      <c r="N153" s="106"/>
      <c r="O153" s="29"/>
      <c r="P153" s="106"/>
      <c r="Q153" s="106"/>
      <c r="R153" s="106"/>
      <c r="S153" s="106"/>
      <c r="T153" s="106"/>
      <c r="U153" s="106"/>
      <c r="V153" s="9"/>
      <c r="W153" s="106"/>
      <c r="X153" s="106"/>
      <c r="Y153" s="106"/>
      <c r="Z153" s="106"/>
      <c r="AA153" s="106"/>
      <c r="AB153" s="106"/>
      <c r="AC153" s="9"/>
      <c r="AD153" s="106"/>
      <c r="AE153" s="106"/>
      <c r="AF153" s="106"/>
      <c r="AG153" s="106"/>
      <c r="AH153" s="106"/>
      <c r="AI153" s="106"/>
      <c r="AJ153" s="9"/>
      <c r="AK153" s="106"/>
      <c r="AL153" s="106"/>
      <c r="AM153" s="106"/>
      <c r="AN153" s="106"/>
      <c r="AO153" s="106"/>
      <c r="AP153" s="106"/>
      <c r="AQ153" s="9"/>
      <c r="AR153" s="106"/>
      <c r="AS153" s="106"/>
      <c r="AT153" s="106"/>
      <c r="AU153" s="106"/>
      <c r="AV153" s="106"/>
      <c r="AW153" s="106"/>
      <c r="AX153" s="9"/>
    </row>
    <row r="154" spans="1:50" ht="13.05" hidden="1" customHeight="1" x14ac:dyDescent="0.25">
      <c r="A154" t="str">
        <f>Nutrients!B153</f>
        <v>Phyzyme 5000</v>
      </c>
      <c r="B154" s="106"/>
      <c r="C154" s="106"/>
      <c r="D154" s="106"/>
      <c r="E154" s="106"/>
      <c r="F154" s="106"/>
      <c r="G154" s="106"/>
      <c r="H154" s="106"/>
      <c r="I154" s="106"/>
      <c r="J154" s="106"/>
      <c r="K154" s="106"/>
      <c r="L154" s="106"/>
      <c r="M154" s="106"/>
      <c r="N154" s="106"/>
      <c r="O154" s="29"/>
      <c r="P154" s="106"/>
      <c r="Q154" s="106"/>
      <c r="R154" s="106"/>
      <c r="S154" s="106"/>
      <c r="T154" s="106"/>
      <c r="U154" s="106"/>
      <c r="V154" s="9"/>
      <c r="W154" s="106"/>
      <c r="X154" s="106"/>
      <c r="Y154" s="106"/>
      <c r="Z154" s="106"/>
      <c r="AA154" s="106"/>
      <c r="AB154" s="106"/>
      <c r="AC154" s="9"/>
      <c r="AD154" s="106"/>
      <c r="AE154" s="106"/>
      <c r="AF154" s="106"/>
      <c r="AG154" s="106"/>
      <c r="AH154" s="106"/>
      <c r="AI154" s="106"/>
      <c r="AJ154" s="9"/>
      <c r="AK154" s="106"/>
      <c r="AL154" s="106"/>
      <c r="AM154" s="106"/>
      <c r="AN154" s="106"/>
      <c r="AO154" s="106"/>
      <c r="AP154" s="106"/>
      <c r="AQ154" s="9"/>
      <c r="AR154" s="106"/>
      <c r="AS154" s="106"/>
      <c r="AT154" s="106"/>
      <c r="AU154" s="106"/>
      <c r="AV154" s="106"/>
      <c r="AW154" s="106"/>
      <c r="AX154" s="9"/>
    </row>
    <row r="155" spans="1:50" ht="13.05" hidden="1" customHeight="1" x14ac:dyDescent="0.25">
      <c r="A155" t="str">
        <f>Nutrients!B154</f>
        <v>Ronozyme Hiphos GT (10,000)</v>
      </c>
      <c r="B155" s="106"/>
      <c r="C155" s="106"/>
      <c r="D155" s="106"/>
      <c r="E155" s="106"/>
      <c r="F155" s="106"/>
      <c r="G155" s="106"/>
      <c r="H155" s="106"/>
      <c r="I155" s="106"/>
      <c r="J155" s="106"/>
      <c r="K155" s="106"/>
      <c r="L155" s="106"/>
      <c r="M155" s="106"/>
      <c r="N155" s="106"/>
      <c r="O155" s="29"/>
      <c r="P155" s="106"/>
      <c r="Q155" s="106"/>
      <c r="R155" s="106"/>
      <c r="S155" s="106"/>
      <c r="T155" s="106"/>
      <c r="U155" s="106"/>
      <c r="V155" s="9"/>
      <c r="W155" s="106"/>
      <c r="X155" s="106"/>
      <c r="Y155" s="106"/>
      <c r="Z155" s="106"/>
      <c r="AA155" s="106"/>
      <c r="AB155" s="106"/>
      <c r="AC155" s="9"/>
      <c r="AD155" s="106"/>
      <c r="AE155" s="106"/>
      <c r="AF155" s="106"/>
      <c r="AG155" s="106"/>
      <c r="AH155" s="106"/>
      <c r="AI155" s="106"/>
      <c r="AJ155" s="9"/>
      <c r="AK155" s="106"/>
      <c r="AL155" s="106"/>
      <c r="AM155" s="106"/>
      <c r="AN155" s="106"/>
      <c r="AO155" s="106"/>
      <c r="AP155" s="106"/>
      <c r="AQ155" s="9"/>
      <c r="AR155" s="106"/>
      <c r="AS155" s="106"/>
      <c r="AT155" s="106"/>
      <c r="AU155" s="106"/>
      <c r="AV155" s="106"/>
      <c r="AW155" s="106"/>
      <c r="AX155" s="9"/>
    </row>
    <row r="156" spans="1:50" ht="13.05" hidden="1" customHeight="1" x14ac:dyDescent="0.25">
      <c r="A156" t="str">
        <f>Nutrients!B155</f>
        <v>Ronozyme Hiphos M (50,000)</v>
      </c>
      <c r="B156" s="106"/>
      <c r="C156" s="106"/>
      <c r="D156" s="106"/>
      <c r="E156" s="106"/>
      <c r="F156" s="106"/>
      <c r="G156" s="106"/>
      <c r="H156" s="106"/>
      <c r="I156" s="106"/>
      <c r="J156" s="106"/>
      <c r="K156" s="106"/>
      <c r="L156" s="106"/>
      <c r="M156" s="106"/>
      <c r="N156" s="106"/>
      <c r="O156" s="29"/>
      <c r="P156" s="106"/>
      <c r="Q156" s="106"/>
      <c r="R156" s="106"/>
      <c r="S156" s="106"/>
      <c r="T156" s="106"/>
      <c r="U156" s="106"/>
      <c r="V156" s="9"/>
      <c r="W156" s="106"/>
      <c r="X156" s="106"/>
      <c r="Y156" s="106"/>
      <c r="Z156" s="106"/>
      <c r="AA156" s="106"/>
      <c r="AB156" s="106"/>
      <c r="AC156" s="9"/>
      <c r="AD156" s="106"/>
      <c r="AE156" s="106"/>
      <c r="AF156" s="106"/>
      <c r="AG156" s="106"/>
      <c r="AH156" s="106"/>
      <c r="AI156" s="106"/>
      <c r="AJ156" s="9"/>
      <c r="AK156" s="106"/>
      <c r="AL156" s="106"/>
      <c r="AM156" s="106"/>
      <c r="AN156" s="106"/>
      <c r="AO156" s="106"/>
      <c r="AP156" s="106"/>
      <c r="AQ156" s="9"/>
      <c r="AR156" s="106"/>
      <c r="AS156" s="106"/>
      <c r="AT156" s="106"/>
      <c r="AU156" s="106"/>
      <c r="AV156" s="106"/>
      <c r="AW156" s="106"/>
      <c r="AX156" s="9"/>
    </row>
    <row r="157" spans="1:50" ht="13.05" customHeight="1" x14ac:dyDescent="0.25">
      <c r="A157" t="str">
        <f>Nutrients!B156</f>
        <v>Ronozyme HiPhos 2700</v>
      </c>
      <c r="B157" s="106">
        <v>0.45</v>
      </c>
      <c r="C157" s="106">
        <v>0.45</v>
      </c>
      <c r="D157" s="106">
        <v>0.45</v>
      </c>
      <c r="E157" s="106">
        <v>0.45</v>
      </c>
      <c r="F157" s="106">
        <v>0.45</v>
      </c>
      <c r="G157" s="106">
        <v>0.45</v>
      </c>
      <c r="H157" s="106"/>
      <c r="I157" s="106">
        <v>0.45</v>
      </c>
      <c r="J157" s="106">
        <v>0.45</v>
      </c>
      <c r="K157" s="106">
        <v>0.45</v>
      </c>
      <c r="L157" s="106">
        <v>0.45</v>
      </c>
      <c r="M157" s="106">
        <v>0.45</v>
      </c>
      <c r="N157" s="106">
        <v>0.45</v>
      </c>
      <c r="O157" s="29"/>
      <c r="P157" s="106">
        <v>0.45</v>
      </c>
      <c r="Q157" s="106">
        <v>0.45</v>
      </c>
      <c r="R157" s="106">
        <v>0.45</v>
      </c>
      <c r="S157" s="106">
        <v>0.45</v>
      </c>
      <c r="T157" s="106">
        <v>0.45</v>
      </c>
      <c r="U157" s="106">
        <v>0.45</v>
      </c>
      <c r="V157" s="9"/>
      <c r="W157" s="106">
        <v>0.45</v>
      </c>
      <c r="X157" s="106">
        <v>0.45</v>
      </c>
      <c r="Y157" s="106">
        <v>0.45</v>
      </c>
      <c r="Z157" s="106">
        <v>0.45</v>
      </c>
      <c r="AA157" s="106">
        <v>0.45</v>
      </c>
      <c r="AB157" s="106">
        <v>0.45</v>
      </c>
      <c r="AC157" s="9"/>
      <c r="AD157" s="106">
        <v>0.45</v>
      </c>
      <c r="AE157" s="106">
        <v>0.45</v>
      </c>
      <c r="AF157" s="106">
        <v>0.45</v>
      </c>
      <c r="AG157" s="106">
        <v>0.45</v>
      </c>
      <c r="AH157" s="106">
        <v>0.45</v>
      </c>
      <c r="AI157" s="106">
        <v>0.45</v>
      </c>
      <c r="AJ157" s="9"/>
      <c r="AK157" s="106">
        <v>0.45</v>
      </c>
      <c r="AL157" s="106">
        <v>0.45</v>
      </c>
      <c r="AM157" s="106">
        <v>0.45</v>
      </c>
      <c r="AN157" s="106">
        <v>0.45</v>
      </c>
      <c r="AO157" s="106">
        <v>0.45</v>
      </c>
      <c r="AP157" s="106">
        <v>0.45</v>
      </c>
      <c r="AQ157" s="9"/>
      <c r="AR157" s="106">
        <v>0.45</v>
      </c>
      <c r="AS157" s="106">
        <v>0.45</v>
      </c>
      <c r="AT157" s="106">
        <v>0.45</v>
      </c>
      <c r="AU157" s="106">
        <v>0.45</v>
      </c>
      <c r="AV157" s="106">
        <v>0.45</v>
      </c>
      <c r="AW157" s="106">
        <v>0.45</v>
      </c>
      <c r="AX157" s="9"/>
    </row>
    <row r="158" spans="1:50" ht="13.05" hidden="1" customHeight="1" x14ac:dyDescent="0.25">
      <c r="A158" t="str">
        <f>Nutrients!B157</f>
        <v>Zinc oxide</v>
      </c>
      <c r="B158" s="106"/>
      <c r="C158" s="106"/>
      <c r="D158" s="106"/>
      <c r="E158" s="106"/>
      <c r="F158" s="106"/>
      <c r="G158" s="106"/>
      <c r="H158" s="106"/>
      <c r="I158" s="106"/>
      <c r="J158" s="106"/>
      <c r="K158" s="106"/>
      <c r="L158" s="106"/>
      <c r="M158" s="106"/>
      <c r="N158" s="106"/>
      <c r="O158" s="29"/>
      <c r="P158" s="106"/>
      <c r="Q158" s="106"/>
      <c r="R158" s="106"/>
      <c r="S158" s="106"/>
      <c r="T158" s="106"/>
      <c r="U158" s="106"/>
      <c r="V158" s="9"/>
      <c r="W158" s="106"/>
      <c r="X158" s="106"/>
      <c r="Y158" s="106"/>
      <c r="Z158" s="106"/>
      <c r="AA158" s="106"/>
      <c r="AB158" s="106"/>
      <c r="AC158" s="9"/>
      <c r="AD158" s="106"/>
      <c r="AE158" s="106"/>
      <c r="AF158" s="106"/>
      <c r="AG158" s="106"/>
      <c r="AH158" s="106"/>
      <c r="AI158" s="106"/>
      <c r="AJ158" s="9"/>
      <c r="AK158" s="106"/>
      <c r="AL158" s="106"/>
      <c r="AM158" s="106"/>
      <c r="AN158" s="106"/>
      <c r="AO158" s="106"/>
      <c r="AP158" s="106"/>
      <c r="AQ158" s="9"/>
      <c r="AR158" s="106"/>
      <c r="AS158" s="106"/>
      <c r="AT158" s="106"/>
      <c r="AU158" s="106"/>
      <c r="AV158" s="106"/>
      <c r="AW158" s="106"/>
      <c r="AX158" s="9"/>
    </row>
    <row r="159" spans="1:50" ht="13.05" hidden="1" customHeight="1" thickBot="1" x14ac:dyDescent="0.3">
      <c r="A159" t="str">
        <f>Nutrients!B158</f>
        <v>Copper sulfate</v>
      </c>
      <c r="B159" s="106"/>
      <c r="C159" s="106"/>
      <c r="D159" s="106"/>
      <c r="E159" s="106"/>
      <c r="F159" s="106"/>
      <c r="G159" s="106"/>
      <c r="H159" s="106"/>
      <c r="I159" s="106"/>
      <c r="J159" s="106"/>
      <c r="K159" s="106"/>
      <c r="L159" s="106"/>
      <c r="M159" s="106"/>
      <c r="N159" s="106"/>
      <c r="O159" s="29"/>
      <c r="P159" s="106"/>
      <c r="Q159" s="106"/>
      <c r="R159" s="106"/>
      <c r="S159" s="106"/>
      <c r="T159" s="106"/>
      <c r="U159" s="106"/>
      <c r="V159" s="9"/>
      <c r="W159" s="106"/>
      <c r="X159" s="106"/>
      <c r="Y159" s="106"/>
      <c r="Z159" s="106"/>
      <c r="AA159" s="106"/>
      <c r="AB159" s="106"/>
      <c r="AC159" s="9"/>
      <c r="AD159" s="106"/>
      <c r="AE159" s="106"/>
      <c r="AF159" s="106"/>
      <c r="AG159" s="106"/>
      <c r="AH159" s="106"/>
      <c r="AI159" s="106"/>
      <c r="AJ159" s="9"/>
      <c r="AK159" s="106"/>
      <c r="AL159" s="106"/>
      <c r="AM159" s="106"/>
      <c r="AN159" s="106"/>
      <c r="AO159" s="106"/>
      <c r="AP159" s="106"/>
      <c r="AQ159" s="9"/>
      <c r="AR159" s="106"/>
      <c r="AS159" s="106"/>
      <c r="AT159" s="106"/>
      <c r="AU159" s="106"/>
      <c r="AV159" s="106"/>
      <c r="AW159" s="106"/>
      <c r="AX159" s="9"/>
    </row>
    <row r="160" spans="1:50" ht="13.05" hidden="1" customHeight="1" thickBot="1" x14ac:dyDescent="0.3">
      <c r="A160" t="str">
        <f>Nutrients!B159</f>
        <v>Potassium chloride</v>
      </c>
      <c r="B160" s="106"/>
      <c r="C160" s="106"/>
      <c r="D160" s="106"/>
      <c r="E160" s="106"/>
      <c r="F160" s="106"/>
      <c r="G160" s="106"/>
      <c r="H160" s="106"/>
      <c r="I160" s="106"/>
      <c r="J160" s="106"/>
      <c r="K160" s="106"/>
      <c r="L160" s="106"/>
      <c r="M160" s="106"/>
      <c r="N160" s="106"/>
      <c r="O160" s="29"/>
      <c r="P160" s="106"/>
      <c r="Q160" s="106"/>
      <c r="R160" s="106"/>
      <c r="S160" s="106"/>
      <c r="T160" s="106"/>
      <c r="U160" s="106"/>
      <c r="V160" s="9"/>
      <c r="W160" s="106"/>
      <c r="X160" s="106"/>
      <c r="Y160" s="106"/>
      <c r="Z160" s="106"/>
      <c r="AA160" s="106"/>
      <c r="AB160" s="106"/>
      <c r="AC160" s="9"/>
      <c r="AD160" s="106"/>
      <c r="AE160" s="106"/>
      <c r="AF160" s="106"/>
      <c r="AG160" s="106"/>
      <c r="AH160" s="106"/>
      <c r="AI160" s="106"/>
      <c r="AJ160" s="9"/>
      <c r="AK160" s="106"/>
      <c r="AL160" s="106"/>
      <c r="AM160" s="106"/>
      <c r="AN160" s="106"/>
      <c r="AO160" s="106"/>
      <c r="AP160" s="106"/>
      <c r="AQ160" s="9"/>
      <c r="AR160" s="106"/>
      <c r="AS160" s="106"/>
      <c r="AT160" s="106"/>
      <c r="AU160" s="106"/>
      <c r="AV160" s="106"/>
      <c r="AW160" s="106"/>
      <c r="AX160" s="9"/>
    </row>
    <row r="161" spans="1:50" ht="13.05" hidden="1" customHeight="1" thickBot="1" x14ac:dyDescent="0.3">
      <c r="A161" t="str">
        <f>Nutrients!B160</f>
        <v>Calcium chloride</v>
      </c>
      <c r="B161" s="106"/>
      <c r="C161" s="106"/>
      <c r="D161" s="106"/>
      <c r="E161" s="106"/>
      <c r="F161" s="106"/>
      <c r="G161" s="106"/>
      <c r="H161" s="106"/>
      <c r="I161" s="106"/>
      <c r="J161" s="106"/>
      <c r="K161" s="106"/>
      <c r="L161" s="106"/>
      <c r="M161" s="106"/>
      <c r="N161" s="106"/>
      <c r="O161" s="29"/>
      <c r="P161" s="106"/>
      <c r="Q161" s="106"/>
      <c r="R161" s="106"/>
      <c r="S161" s="106"/>
      <c r="T161" s="106"/>
      <c r="U161" s="106"/>
      <c r="V161" s="9"/>
      <c r="W161" s="106"/>
      <c r="X161" s="106"/>
      <c r="Y161" s="106"/>
      <c r="Z161" s="106"/>
      <c r="AA161" s="106"/>
      <c r="AB161" s="106"/>
      <c r="AC161" s="9"/>
      <c r="AD161" s="106"/>
      <c r="AE161" s="106"/>
      <c r="AF161" s="106"/>
      <c r="AG161" s="106"/>
      <c r="AH161" s="106"/>
      <c r="AI161" s="106"/>
      <c r="AJ161" s="9"/>
      <c r="AK161" s="106"/>
      <c r="AL161" s="106"/>
      <c r="AM161" s="106"/>
      <c r="AN161" s="106"/>
      <c r="AO161" s="106"/>
      <c r="AP161" s="106"/>
      <c r="AQ161" s="9"/>
      <c r="AR161" s="106"/>
      <c r="AS161" s="106"/>
      <c r="AT161" s="106"/>
      <c r="AU161" s="106"/>
      <c r="AV161" s="106"/>
      <c r="AW161" s="106"/>
      <c r="AX161" s="9"/>
    </row>
    <row r="162" spans="1:50" ht="13.05" hidden="1" customHeight="1" thickBot="1" x14ac:dyDescent="0.3">
      <c r="A162" t="str">
        <f>Nutrients!B161</f>
        <v>Acidifier</v>
      </c>
      <c r="B162" s="106"/>
      <c r="C162" s="106"/>
      <c r="D162" s="106"/>
      <c r="E162" s="106"/>
      <c r="F162" s="106"/>
      <c r="G162" s="106"/>
      <c r="H162" s="106"/>
      <c r="I162" s="106"/>
      <c r="J162" s="106"/>
      <c r="K162" s="106"/>
      <c r="L162" s="106"/>
      <c r="M162" s="106"/>
      <c r="N162" s="106"/>
      <c r="O162" s="29"/>
      <c r="P162" s="106"/>
      <c r="Q162" s="106"/>
      <c r="R162" s="106"/>
      <c r="S162" s="106"/>
      <c r="T162" s="106"/>
      <c r="U162" s="106"/>
      <c r="V162" s="9"/>
      <c r="W162" s="106"/>
      <c r="X162" s="106"/>
      <c r="Y162" s="106"/>
      <c r="Z162" s="106"/>
      <c r="AA162" s="106"/>
      <c r="AB162" s="106"/>
      <c r="AC162" s="9"/>
      <c r="AD162" s="106"/>
      <c r="AE162" s="106"/>
      <c r="AF162" s="106"/>
      <c r="AG162" s="106"/>
      <c r="AH162" s="106"/>
      <c r="AI162" s="106"/>
      <c r="AJ162" s="9"/>
      <c r="AK162" s="106"/>
      <c r="AL162" s="106"/>
      <c r="AM162" s="106"/>
      <c r="AN162" s="106"/>
      <c r="AO162" s="106"/>
      <c r="AP162" s="106"/>
      <c r="AQ162" s="9"/>
      <c r="AR162" s="106"/>
      <c r="AS162" s="106"/>
      <c r="AT162" s="106"/>
      <c r="AU162" s="106"/>
      <c r="AV162" s="106"/>
      <c r="AW162" s="106"/>
      <c r="AX162" s="9"/>
    </row>
    <row r="163" spans="1:50" ht="13.05" hidden="1" customHeight="1" thickBot="1" x14ac:dyDescent="0.3">
      <c r="A163" t="str">
        <f>Nutrients!B162</f>
        <v>Vitamin E, 20,000 IU</v>
      </c>
      <c r="B163" s="106"/>
      <c r="C163" s="106"/>
      <c r="D163" s="106"/>
      <c r="E163" s="106"/>
      <c r="F163" s="106"/>
      <c r="G163" s="106"/>
      <c r="H163" s="106"/>
      <c r="I163" s="106"/>
      <c r="J163" s="106"/>
      <c r="K163" s="106"/>
      <c r="L163" s="106"/>
      <c r="M163" s="106"/>
      <c r="N163" s="106"/>
      <c r="O163" s="29"/>
      <c r="P163" s="106"/>
      <c r="Q163" s="106"/>
      <c r="R163" s="106"/>
      <c r="S163" s="106"/>
      <c r="T163" s="106"/>
      <c r="U163" s="106"/>
      <c r="V163" s="9"/>
      <c r="W163" s="106"/>
      <c r="X163" s="106"/>
      <c r="Y163" s="106"/>
      <c r="Z163" s="106"/>
      <c r="AA163" s="106"/>
      <c r="AB163" s="106"/>
      <c r="AC163" s="9"/>
      <c r="AD163" s="106"/>
      <c r="AE163" s="106"/>
      <c r="AF163" s="106"/>
      <c r="AG163" s="106"/>
      <c r="AH163" s="106"/>
      <c r="AI163" s="106"/>
      <c r="AJ163" s="9"/>
      <c r="AK163" s="106"/>
      <c r="AL163" s="106"/>
      <c r="AM163" s="106"/>
      <c r="AN163" s="106"/>
      <c r="AO163" s="106"/>
      <c r="AP163" s="106"/>
      <c r="AQ163" s="9"/>
      <c r="AR163" s="106"/>
      <c r="AS163" s="106"/>
      <c r="AT163" s="106"/>
      <c r="AU163" s="106"/>
      <c r="AV163" s="106"/>
      <c r="AW163" s="106"/>
      <c r="AX163" s="9"/>
    </row>
    <row r="164" spans="1:50" ht="13.05" hidden="1" customHeight="1" thickBot="1" x14ac:dyDescent="0.3">
      <c r="A164" t="str">
        <f>Nutrients!B163</f>
        <v>Other ingredient</v>
      </c>
      <c r="B164" s="106"/>
      <c r="C164" s="106"/>
      <c r="D164" s="106"/>
      <c r="E164" s="106"/>
      <c r="F164" s="106"/>
      <c r="G164" s="106"/>
      <c r="H164" s="106"/>
      <c r="I164" s="106"/>
      <c r="J164" s="106"/>
      <c r="K164" s="106"/>
      <c r="L164" s="106"/>
      <c r="M164" s="106"/>
      <c r="N164" s="106"/>
      <c r="O164" s="29"/>
      <c r="P164" s="106"/>
      <c r="Q164" s="106"/>
      <c r="R164" s="106"/>
      <c r="S164" s="106"/>
      <c r="T164" s="106"/>
      <c r="U164" s="106"/>
      <c r="V164" s="9"/>
      <c r="W164" s="106"/>
      <c r="X164" s="106"/>
      <c r="Y164" s="106"/>
      <c r="Z164" s="106"/>
      <c r="AA164" s="106"/>
      <c r="AB164" s="106"/>
      <c r="AC164" s="9"/>
      <c r="AD164" s="106"/>
      <c r="AE164" s="106"/>
      <c r="AF164" s="106"/>
      <c r="AG164" s="106"/>
      <c r="AH164" s="106"/>
      <c r="AI164" s="106"/>
      <c r="AJ164" s="9"/>
      <c r="AK164" s="106"/>
      <c r="AL164" s="106"/>
      <c r="AM164" s="106"/>
      <c r="AN164" s="106"/>
      <c r="AO164" s="106"/>
      <c r="AP164" s="106"/>
      <c r="AQ164" s="9"/>
      <c r="AR164" s="106"/>
      <c r="AS164" s="106"/>
      <c r="AT164" s="106"/>
      <c r="AU164" s="106"/>
      <c r="AV164" s="106"/>
      <c r="AW164" s="106"/>
      <c r="AX164" s="9"/>
    </row>
    <row r="165" spans="1:50" ht="13.05" hidden="1" customHeight="1" thickBot="1" x14ac:dyDescent="0.3">
      <c r="A165" t="str">
        <f>Nutrients!B164</f>
        <v>DPS 50</v>
      </c>
      <c r="B165" s="106"/>
      <c r="C165" s="106"/>
      <c r="D165" s="106"/>
      <c r="E165" s="106"/>
      <c r="F165" s="106"/>
      <c r="G165" s="106"/>
      <c r="H165" s="106"/>
      <c r="I165" s="106"/>
      <c r="J165" s="106"/>
      <c r="K165" s="106"/>
      <c r="L165" s="106"/>
      <c r="M165" s="106"/>
      <c r="N165" s="106"/>
      <c r="O165" s="29"/>
      <c r="P165" s="106"/>
      <c r="Q165" s="106"/>
      <c r="R165" s="106"/>
      <c r="S165" s="106"/>
      <c r="T165" s="106"/>
      <c r="U165" s="106"/>
      <c r="V165" s="9"/>
      <c r="W165" s="106"/>
      <c r="X165" s="106"/>
      <c r="Y165" s="106"/>
      <c r="Z165" s="106"/>
      <c r="AA165" s="106"/>
      <c r="AB165" s="106"/>
      <c r="AC165" s="9"/>
      <c r="AD165" s="106"/>
      <c r="AE165" s="106"/>
      <c r="AF165" s="106"/>
      <c r="AG165" s="106"/>
      <c r="AH165" s="106"/>
      <c r="AI165" s="106"/>
      <c r="AJ165" s="9"/>
      <c r="AK165" s="106"/>
      <c r="AL165" s="106"/>
      <c r="AM165" s="106"/>
      <c r="AN165" s="106"/>
      <c r="AO165" s="106"/>
      <c r="AP165" s="106"/>
      <c r="AQ165" s="9"/>
      <c r="AR165" s="106"/>
      <c r="AS165" s="106"/>
      <c r="AT165" s="106"/>
      <c r="AU165" s="106"/>
      <c r="AV165" s="106"/>
      <c r="AW165" s="106"/>
      <c r="AX165" s="9"/>
    </row>
    <row r="166" spans="1:50" ht="13.05" hidden="1" customHeight="1" thickBot="1" x14ac:dyDescent="0.3">
      <c r="A166" t="str">
        <f>Nutrients!B165</f>
        <v>PEP2+</v>
      </c>
      <c r="B166" s="106"/>
      <c r="C166" s="106"/>
      <c r="D166" s="106"/>
      <c r="E166" s="106"/>
      <c r="F166" s="106"/>
      <c r="G166" s="106"/>
      <c r="H166" s="106"/>
      <c r="I166" s="106"/>
      <c r="J166" s="106"/>
      <c r="K166" s="106"/>
      <c r="L166" s="106"/>
      <c r="M166" s="106"/>
      <c r="N166" s="106"/>
      <c r="O166" s="29"/>
      <c r="P166" s="106"/>
      <c r="Q166" s="106"/>
      <c r="R166" s="106"/>
      <c r="S166" s="106"/>
      <c r="T166" s="106"/>
      <c r="U166" s="106"/>
      <c r="V166" s="9"/>
      <c r="W166" s="106"/>
      <c r="X166" s="106"/>
      <c r="Y166" s="106"/>
      <c r="Z166" s="106"/>
      <c r="AA166" s="106"/>
      <c r="AB166" s="106"/>
      <c r="AC166" s="9"/>
      <c r="AD166" s="106"/>
      <c r="AE166" s="106"/>
      <c r="AF166" s="106"/>
      <c r="AG166" s="106"/>
      <c r="AH166" s="106"/>
      <c r="AI166" s="106"/>
      <c r="AJ166" s="9"/>
      <c r="AK166" s="106"/>
      <c r="AL166" s="106"/>
      <c r="AM166" s="106"/>
      <c r="AN166" s="106"/>
      <c r="AO166" s="106"/>
      <c r="AP166" s="106"/>
      <c r="AQ166" s="9"/>
      <c r="AR166" s="106"/>
      <c r="AS166" s="106"/>
      <c r="AT166" s="106"/>
      <c r="AU166" s="106"/>
      <c r="AV166" s="106"/>
      <c r="AW166" s="106"/>
      <c r="AX166" s="9"/>
    </row>
    <row r="167" spans="1:50" ht="13.05" hidden="1" customHeight="1" thickBot="1" x14ac:dyDescent="0.3">
      <c r="A167" t="str">
        <f>Nutrients!B166</f>
        <v>PEP NS</v>
      </c>
      <c r="B167" s="106"/>
      <c r="C167" s="106"/>
      <c r="D167" s="106"/>
      <c r="E167" s="106"/>
      <c r="F167" s="106"/>
      <c r="G167" s="106"/>
      <c r="H167" s="106"/>
      <c r="I167" s="106"/>
      <c r="J167" s="106"/>
      <c r="K167" s="106"/>
      <c r="L167" s="106"/>
      <c r="M167" s="106"/>
      <c r="N167" s="106"/>
      <c r="O167" s="29"/>
      <c r="P167" s="106"/>
      <c r="Q167" s="106"/>
      <c r="R167" s="106"/>
      <c r="S167" s="106"/>
      <c r="T167" s="106"/>
      <c r="U167" s="106"/>
      <c r="V167" s="9"/>
      <c r="W167" s="106"/>
      <c r="X167" s="106"/>
      <c r="Y167" s="106"/>
      <c r="Z167" s="106"/>
      <c r="AA167" s="106"/>
      <c r="AB167" s="106"/>
      <c r="AC167" s="9"/>
      <c r="AD167" s="106"/>
      <c r="AE167" s="106"/>
      <c r="AF167" s="106"/>
      <c r="AG167" s="106"/>
      <c r="AH167" s="106"/>
      <c r="AI167" s="106"/>
      <c r="AJ167" s="9"/>
      <c r="AK167" s="106"/>
      <c r="AL167" s="106"/>
      <c r="AM167" s="106"/>
      <c r="AN167" s="106"/>
      <c r="AO167" s="106"/>
      <c r="AP167" s="106"/>
      <c r="AQ167" s="9"/>
      <c r="AR167" s="106"/>
      <c r="AS167" s="106"/>
      <c r="AT167" s="106"/>
      <c r="AU167" s="106"/>
      <c r="AV167" s="106"/>
      <c r="AW167" s="106"/>
      <c r="AX167" s="9"/>
    </row>
    <row r="168" spans="1:50" ht="13.05" hidden="1" customHeight="1" thickBot="1" x14ac:dyDescent="0.3">
      <c r="A168" t="str">
        <f>Nutrients!B167</f>
        <v>Vitamin premix (2x) with phytase</v>
      </c>
      <c r="B168" s="106"/>
      <c r="C168" s="106"/>
      <c r="D168" s="106"/>
      <c r="E168" s="106"/>
      <c r="F168" s="106"/>
      <c r="G168" s="106"/>
      <c r="H168" s="106"/>
      <c r="I168" s="106"/>
      <c r="J168" s="106"/>
      <c r="K168" s="106"/>
      <c r="L168" s="106"/>
      <c r="M168" s="106"/>
      <c r="N168" s="106"/>
      <c r="O168" s="29"/>
      <c r="P168" s="106"/>
      <c r="Q168" s="106"/>
      <c r="R168" s="106"/>
      <c r="S168" s="106"/>
      <c r="T168" s="106"/>
      <c r="U168" s="106"/>
      <c r="V168" s="9"/>
      <c r="W168" s="106"/>
      <c r="X168" s="106"/>
      <c r="Y168" s="106"/>
      <c r="Z168" s="106"/>
      <c r="AA168" s="106"/>
      <c r="AB168" s="106"/>
      <c r="AC168" s="9"/>
      <c r="AD168" s="106"/>
      <c r="AE168" s="106"/>
      <c r="AF168" s="106"/>
      <c r="AG168" s="106"/>
      <c r="AH168" s="106"/>
      <c r="AI168" s="106"/>
      <c r="AJ168" s="9"/>
      <c r="AK168" s="106"/>
      <c r="AL168" s="106"/>
      <c r="AM168" s="106"/>
      <c r="AN168" s="106"/>
      <c r="AO168" s="106"/>
      <c r="AP168" s="106"/>
      <c r="AQ168" s="9"/>
      <c r="AR168" s="106"/>
      <c r="AS168" s="106"/>
      <c r="AT168" s="106"/>
      <c r="AU168" s="106"/>
      <c r="AV168" s="106"/>
      <c r="AW168" s="106"/>
      <c r="AX168" s="9"/>
    </row>
    <row r="169" spans="1:50" ht="13.05" hidden="1" customHeight="1" thickBot="1" x14ac:dyDescent="0.3">
      <c r="A169" t="str">
        <f>Nutrients!B168</f>
        <v>Vitamin premix (2x) without phytase</v>
      </c>
      <c r="B169" s="106"/>
      <c r="C169" s="106"/>
      <c r="D169" s="106"/>
      <c r="E169" s="106"/>
      <c r="F169" s="106"/>
      <c r="G169" s="106"/>
      <c r="H169" s="106"/>
      <c r="I169" s="106"/>
      <c r="J169" s="106"/>
      <c r="K169" s="106"/>
      <c r="L169" s="106"/>
      <c r="M169" s="106"/>
      <c r="N169" s="106"/>
      <c r="O169" s="29"/>
      <c r="P169" s="106"/>
      <c r="Q169" s="106"/>
      <c r="R169" s="106"/>
      <c r="S169" s="106"/>
      <c r="T169" s="106"/>
      <c r="U169" s="106"/>
      <c r="V169" s="9"/>
      <c r="W169" s="106"/>
      <c r="X169" s="106"/>
      <c r="Y169" s="106"/>
      <c r="Z169" s="106"/>
      <c r="AA169" s="106"/>
      <c r="AB169" s="106"/>
      <c r="AC169" s="9"/>
      <c r="AD169" s="106"/>
      <c r="AE169" s="106"/>
      <c r="AF169" s="106"/>
      <c r="AG169" s="106"/>
      <c r="AH169" s="106"/>
      <c r="AI169" s="106"/>
      <c r="AJ169" s="9"/>
      <c r="AK169" s="106"/>
      <c r="AL169" s="106"/>
      <c r="AM169" s="106"/>
      <c r="AN169" s="106"/>
      <c r="AO169" s="106"/>
      <c r="AP169" s="106"/>
      <c r="AQ169" s="9"/>
      <c r="AR169" s="106"/>
      <c r="AS169" s="106"/>
      <c r="AT169" s="106"/>
      <c r="AU169" s="106"/>
      <c r="AV169" s="106"/>
      <c r="AW169" s="106"/>
      <c r="AX169" s="9"/>
    </row>
    <row r="170" spans="1:50" ht="13.2" hidden="1" customHeight="1" thickBot="1" x14ac:dyDescent="0.3">
      <c r="A170" t="str">
        <f>Nutrients!B169</f>
        <v>Corn DDGS, 10.5% Oil</v>
      </c>
      <c r="B170" s="106"/>
      <c r="C170" s="106"/>
      <c r="D170" s="106"/>
      <c r="E170" s="106"/>
      <c r="F170" s="106"/>
      <c r="G170" s="106"/>
      <c r="H170" s="106"/>
      <c r="I170" s="106"/>
      <c r="J170" s="106"/>
      <c r="K170" s="106"/>
      <c r="L170" s="106"/>
      <c r="M170" s="106"/>
      <c r="N170" s="106"/>
      <c r="O170" s="29"/>
      <c r="P170" s="106"/>
      <c r="Q170" s="106"/>
      <c r="R170" s="106"/>
      <c r="S170" s="106"/>
      <c r="T170" s="106"/>
      <c r="U170" s="106"/>
      <c r="V170" s="9"/>
      <c r="W170" s="106"/>
      <c r="X170" s="106"/>
      <c r="Y170" s="106"/>
      <c r="Z170" s="106"/>
      <c r="AA170" s="106"/>
      <c r="AB170" s="106"/>
      <c r="AC170" s="9"/>
      <c r="AD170" s="106"/>
      <c r="AE170" s="106"/>
      <c r="AF170" s="106"/>
      <c r="AG170" s="106"/>
      <c r="AH170" s="106"/>
      <c r="AI170" s="106"/>
      <c r="AJ170" s="9"/>
      <c r="AK170" s="106"/>
      <c r="AL170" s="106"/>
      <c r="AM170" s="106"/>
      <c r="AN170" s="106"/>
      <c r="AO170" s="106"/>
      <c r="AP170" s="106"/>
      <c r="AQ170" s="9"/>
      <c r="AR170" s="106"/>
      <c r="AS170" s="106"/>
      <c r="AT170" s="106"/>
      <c r="AU170" s="106"/>
      <c r="AV170" s="106"/>
      <c r="AW170" s="106"/>
      <c r="AX170" s="9"/>
    </row>
    <row r="171" spans="1:50" ht="13.2" hidden="1" customHeight="1" thickBot="1" x14ac:dyDescent="0.3">
      <c r="A171" t="str">
        <f>Nutrients!B170</f>
        <v>Corn DDGS, 7.5% Oil</v>
      </c>
      <c r="B171" s="106"/>
      <c r="C171" s="106"/>
      <c r="D171" s="106"/>
      <c r="E171" s="106"/>
      <c r="F171" s="106"/>
      <c r="G171" s="106"/>
      <c r="H171" s="106"/>
      <c r="I171" s="106"/>
      <c r="J171" s="106"/>
      <c r="K171" s="106"/>
      <c r="L171" s="106"/>
      <c r="M171" s="106"/>
      <c r="N171" s="106"/>
      <c r="O171" s="29"/>
      <c r="P171" s="106"/>
      <c r="Q171" s="106"/>
      <c r="R171" s="106"/>
      <c r="S171" s="106"/>
      <c r="T171" s="106"/>
      <c r="U171" s="106"/>
      <c r="V171" s="9"/>
      <c r="W171" s="106"/>
      <c r="X171" s="106"/>
      <c r="Y171" s="106"/>
      <c r="Z171" s="106"/>
      <c r="AA171" s="106"/>
      <c r="AB171" s="106"/>
      <c r="AC171" s="9"/>
      <c r="AD171" s="106"/>
      <c r="AE171" s="106"/>
      <c r="AF171" s="106"/>
      <c r="AG171" s="106"/>
      <c r="AH171" s="106"/>
      <c r="AI171" s="106"/>
      <c r="AJ171" s="9"/>
      <c r="AK171" s="106"/>
      <c r="AL171" s="106"/>
      <c r="AM171" s="106"/>
      <c r="AN171" s="106"/>
      <c r="AO171" s="106"/>
      <c r="AP171" s="106"/>
      <c r="AQ171" s="9"/>
      <c r="AR171" s="106"/>
      <c r="AS171" s="106"/>
      <c r="AT171" s="106"/>
      <c r="AU171" s="106"/>
      <c r="AV171" s="106"/>
      <c r="AW171" s="106"/>
      <c r="AX171" s="9"/>
    </row>
    <row r="172" spans="1:50" ht="12.75" hidden="1" customHeight="1" thickBot="1" x14ac:dyDescent="0.3">
      <c r="A172" t="str">
        <f>Nutrients!B171</f>
        <v>Corn DDGS, 4.5% Oil</v>
      </c>
      <c r="B172" s="106"/>
      <c r="C172" s="106"/>
      <c r="D172" s="106"/>
      <c r="E172" s="106"/>
      <c r="F172" s="106"/>
      <c r="G172" s="106"/>
      <c r="H172" s="106"/>
      <c r="I172" s="106"/>
      <c r="J172" s="106"/>
      <c r="K172" s="106"/>
      <c r="L172" s="106"/>
      <c r="M172" s="106"/>
      <c r="N172" s="106"/>
      <c r="O172" s="29"/>
      <c r="P172" s="106"/>
      <c r="Q172" s="106"/>
      <c r="R172" s="106"/>
      <c r="S172" s="106"/>
      <c r="T172" s="106"/>
      <c r="U172" s="106"/>
      <c r="V172" s="9"/>
      <c r="W172" s="106"/>
      <c r="X172" s="106"/>
      <c r="Y172" s="106"/>
      <c r="Z172" s="106"/>
      <c r="AA172" s="106"/>
      <c r="AB172" s="106"/>
      <c r="AC172" s="9"/>
      <c r="AD172" s="106"/>
      <c r="AE172" s="106"/>
      <c r="AF172" s="106"/>
      <c r="AG172" s="106"/>
      <c r="AH172" s="106"/>
      <c r="AI172" s="106"/>
      <c r="AJ172" s="9"/>
      <c r="AK172" s="106"/>
      <c r="AL172" s="106"/>
      <c r="AM172" s="106"/>
      <c r="AN172" s="106"/>
      <c r="AO172" s="106"/>
      <c r="AP172" s="106"/>
      <c r="AQ172" s="9"/>
      <c r="AR172" s="106"/>
      <c r="AS172" s="106"/>
      <c r="AT172" s="106"/>
      <c r="AU172" s="106"/>
      <c r="AV172" s="106"/>
      <c r="AW172" s="106"/>
      <c r="AX172" s="9"/>
    </row>
    <row r="173" spans="1:50" ht="13.05" hidden="1" customHeight="1" thickBot="1" x14ac:dyDescent="0.3">
      <c r="A173" t="str">
        <f>Nutrients!B172</f>
        <v>MEPRO Hubbard</v>
      </c>
      <c r="B173" s="106"/>
      <c r="C173" s="106"/>
      <c r="D173" s="106"/>
      <c r="E173" s="106"/>
      <c r="F173" s="106"/>
      <c r="G173" s="106"/>
      <c r="H173" s="106"/>
      <c r="I173" s="106"/>
      <c r="J173" s="106"/>
      <c r="K173" s="106"/>
      <c r="L173" s="106"/>
      <c r="M173" s="106"/>
      <c r="N173" s="106"/>
      <c r="O173" s="29"/>
      <c r="P173" s="106"/>
      <c r="Q173" s="106"/>
      <c r="R173" s="106"/>
      <c r="S173" s="106"/>
      <c r="T173" s="106"/>
      <c r="U173" s="106"/>
      <c r="V173" s="9"/>
      <c r="W173" s="106"/>
      <c r="X173" s="106"/>
      <c r="Y173" s="106"/>
      <c r="Z173" s="106"/>
      <c r="AA173" s="106"/>
      <c r="AB173" s="106"/>
      <c r="AC173" s="9"/>
      <c r="AD173" s="106"/>
      <c r="AE173" s="106"/>
      <c r="AF173" s="106"/>
      <c r="AG173" s="106"/>
      <c r="AH173" s="106"/>
      <c r="AI173" s="106"/>
      <c r="AJ173" s="9"/>
      <c r="AK173" s="106"/>
      <c r="AL173" s="106"/>
      <c r="AM173" s="106"/>
      <c r="AN173" s="106"/>
      <c r="AO173" s="106"/>
      <c r="AP173" s="106"/>
      <c r="AQ173" s="9"/>
      <c r="AR173" s="106"/>
      <c r="AS173" s="106"/>
      <c r="AT173" s="106"/>
      <c r="AU173" s="106"/>
      <c r="AV173" s="106"/>
      <c r="AW173" s="106"/>
      <c r="AX173" s="9"/>
    </row>
    <row r="174" spans="1:50" ht="13.05" hidden="1" customHeight="1" thickBot="1" x14ac:dyDescent="0.3">
      <c r="A174" t="str">
        <f>Nutrients!B173</f>
        <v>HP 300 Apr 2022 loadings</v>
      </c>
      <c r="B174" s="106"/>
      <c r="C174" s="106"/>
      <c r="D174" s="106"/>
      <c r="E174" s="106"/>
      <c r="F174" s="106"/>
      <c r="G174" s="106"/>
      <c r="H174" s="106"/>
      <c r="I174" s="106"/>
      <c r="J174" s="106"/>
      <c r="K174" s="106"/>
      <c r="L174" s="106"/>
      <c r="M174" s="106"/>
      <c r="N174" s="106"/>
      <c r="O174" s="29"/>
      <c r="P174" s="106"/>
      <c r="Q174" s="106"/>
      <c r="R174" s="106"/>
      <c r="S174" s="106"/>
      <c r="T174" s="106"/>
      <c r="U174" s="106"/>
      <c r="V174" s="9"/>
      <c r="W174" s="106"/>
      <c r="X174" s="106"/>
      <c r="Y174" s="106"/>
      <c r="Z174" s="106"/>
      <c r="AA174" s="106"/>
      <c r="AB174" s="106"/>
      <c r="AC174" s="9"/>
      <c r="AD174" s="106"/>
      <c r="AE174" s="106"/>
      <c r="AF174" s="106"/>
      <c r="AG174" s="106"/>
      <c r="AH174" s="106"/>
      <c r="AI174" s="106"/>
      <c r="AJ174" s="9"/>
      <c r="AK174" s="106"/>
      <c r="AL174" s="106"/>
      <c r="AM174" s="106"/>
      <c r="AN174" s="106"/>
      <c r="AO174" s="106"/>
      <c r="AP174" s="106"/>
      <c r="AQ174" s="9"/>
      <c r="AR174" s="106"/>
      <c r="AS174" s="106"/>
      <c r="AT174" s="106"/>
      <c r="AU174" s="106"/>
      <c r="AV174" s="106"/>
      <c r="AW174" s="106"/>
      <c r="AX174" s="9"/>
    </row>
    <row r="175" spans="1:50" ht="13.05" hidden="1" customHeight="1" thickBot="1" x14ac:dyDescent="0.3">
      <c r="A175" t="str">
        <f>Nutrients!B174</f>
        <v>Glycine</v>
      </c>
      <c r="B175" s="106"/>
      <c r="C175" s="106"/>
      <c r="D175" s="106"/>
      <c r="E175" s="106"/>
      <c r="F175" s="106"/>
      <c r="G175" s="106"/>
      <c r="H175" s="106"/>
      <c r="I175" s="106"/>
      <c r="J175" s="106"/>
      <c r="K175" s="106"/>
      <c r="L175" s="106"/>
      <c r="M175" s="106"/>
      <c r="N175" s="106"/>
      <c r="O175" s="29"/>
      <c r="P175" s="106"/>
      <c r="Q175" s="106"/>
      <c r="R175" s="106"/>
      <c r="S175" s="106"/>
      <c r="T175" s="106"/>
      <c r="U175" s="106"/>
      <c r="V175" s="9"/>
      <c r="W175" s="106"/>
      <c r="X175" s="106"/>
      <c r="Y175" s="106"/>
      <c r="Z175" s="106"/>
      <c r="AA175" s="106"/>
      <c r="AB175" s="106"/>
      <c r="AC175" s="9"/>
      <c r="AD175" s="106"/>
      <c r="AE175" s="106"/>
      <c r="AF175" s="106"/>
      <c r="AG175" s="106"/>
      <c r="AH175" s="106"/>
      <c r="AI175" s="106"/>
      <c r="AJ175" s="9"/>
      <c r="AK175" s="106"/>
      <c r="AL175" s="106"/>
      <c r="AM175" s="106"/>
      <c r="AN175" s="106"/>
      <c r="AO175" s="106"/>
      <c r="AP175" s="106"/>
      <c r="AQ175" s="9"/>
      <c r="AR175" s="106"/>
      <c r="AS175" s="106"/>
      <c r="AT175" s="106"/>
      <c r="AU175" s="106"/>
      <c r="AV175" s="106"/>
      <c r="AW175" s="106"/>
      <c r="AX175" s="9"/>
    </row>
    <row r="176" spans="1:50" ht="13.05" hidden="1" customHeight="1" thickBot="1" x14ac:dyDescent="0.3">
      <c r="A176" t="str">
        <f>Nutrients!B175</f>
        <v>Phase 2 supplement 2018</v>
      </c>
      <c r="B176" s="106"/>
      <c r="C176" s="106"/>
      <c r="D176" s="106"/>
      <c r="E176" s="106"/>
      <c r="F176" s="106"/>
      <c r="G176" s="106"/>
      <c r="H176" s="106"/>
      <c r="I176" s="106"/>
      <c r="J176" s="106"/>
      <c r="K176" s="106"/>
      <c r="L176" s="106"/>
      <c r="M176" s="106"/>
      <c r="N176" s="106"/>
      <c r="O176" s="29"/>
      <c r="P176" s="106"/>
      <c r="Q176" s="106"/>
      <c r="R176" s="106"/>
      <c r="S176" s="106"/>
      <c r="T176" s="106"/>
      <c r="U176" s="106"/>
      <c r="V176" s="9"/>
      <c r="W176" s="106"/>
      <c r="X176" s="106"/>
      <c r="Y176" s="106"/>
      <c r="Z176" s="106"/>
      <c r="AA176" s="106"/>
      <c r="AB176" s="106"/>
      <c r="AC176" s="9"/>
      <c r="AD176" s="106"/>
      <c r="AE176" s="106"/>
      <c r="AF176" s="106"/>
      <c r="AG176" s="106"/>
      <c r="AH176" s="106"/>
      <c r="AI176" s="106"/>
      <c r="AJ176" s="9"/>
      <c r="AK176" s="106"/>
      <c r="AL176" s="106"/>
      <c r="AM176" s="106"/>
      <c r="AN176" s="106"/>
      <c r="AO176" s="106"/>
      <c r="AP176" s="106"/>
      <c r="AQ176" s="9"/>
      <c r="AR176" s="106"/>
      <c r="AS176" s="106"/>
      <c r="AT176" s="106"/>
      <c r="AU176" s="106"/>
      <c r="AV176" s="106"/>
      <c r="AW176" s="106"/>
      <c r="AX176" s="9"/>
    </row>
    <row r="177" spans="1:50" ht="13.05" hidden="1" customHeight="1" thickBot="1" x14ac:dyDescent="0.3">
      <c r="A177" t="str">
        <f>Nutrients!B176</f>
        <v>Fermex 200</v>
      </c>
      <c r="B177" s="106"/>
      <c r="C177" s="106"/>
      <c r="D177" s="106"/>
      <c r="E177" s="106"/>
      <c r="F177" s="106"/>
      <c r="G177" s="106"/>
      <c r="H177" s="106"/>
      <c r="I177" s="106"/>
      <c r="J177" s="106"/>
      <c r="K177" s="106"/>
      <c r="L177" s="106"/>
      <c r="M177" s="106"/>
      <c r="N177" s="106"/>
      <c r="O177" s="29"/>
      <c r="P177" s="106"/>
      <c r="Q177" s="106"/>
      <c r="R177" s="106"/>
      <c r="S177" s="106"/>
      <c r="T177" s="106"/>
      <c r="U177" s="106"/>
      <c r="V177" s="9"/>
      <c r="W177" s="106"/>
      <c r="X177" s="106"/>
      <c r="Y177" s="106"/>
      <c r="Z177" s="106"/>
      <c r="AA177" s="106"/>
      <c r="AB177" s="106"/>
      <c r="AC177" s="9"/>
      <c r="AD177" s="106"/>
      <c r="AE177" s="106"/>
      <c r="AF177" s="106"/>
      <c r="AG177" s="106"/>
      <c r="AH177" s="106"/>
      <c r="AI177" s="106"/>
      <c r="AJ177" s="9"/>
      <c r="AK177" s="106"/>
      <c r="AL177" s="106"/>
      <c r="AM177" s="106"/>
      <c r="AN177" s="106"/>
      <c r="AO177" s="106"/>
      <c r="AP177" s="106"/>
      <c r="AQ177" s="9"/>
      <c r="AR177" s="106"/>
      <c r="AS177" s="106"/>
      <c r="AT177" s="106"/>
      <c r="AU177" s="106"/>
      <c r="AV177" s="106"/>
      <c r="AW177" s="106"/>
      <c r="AX177" s="9"/>
    </row>
    <row r="178" spans="1:50" ht="13.05" hidden="1" customHeight="1" thickBot="1" x14ac:dyDescent="0.3">
      <c r="A178" t="str">
        <f>Nutrients!B177</f>
        <v>Soybean meal with 88% NE of corn</v>
      </c>
      <c r="B178" s="106"/>
      <c r="C178" s="106"/>
      <c r="D178" s="106"/>
      <c r="E178" s="106"/>
      <c r="F178" s="106"/>
      <c r="G178" s="106"/>
      <c r="H178" s="106"/>
      <c r="I178" s="106"/>
      <c r="J178" s="106"/>
      <c r="K178" s="106"/>
      <c r="L178" s="106"/>
      <c r="M178" s="106"/>
      <c r="N178" s="106"/>
      <c r="O178" s="29"/>
      <c r="P178" s="106"/>
      <c r="Q178" s="106"/>
      <c r="R178" s="106"/>
      <c r="S178" s="106"/>
      <c r="T178" s="106"/>
      <c r="U178" s="106"/>
      <c r="V178" s="9"/>
      <c r="W178" s="106"/>
      <c r="X178" s="106"/>
      <c r="Y178" s="106"/>
      <c r="Z178" s="106"/>
      <c r="AA178" s="106"/>
      <c r="AB178" s="106"/>
      <c r="AC178" s="9"/>
      <c r="AD178" s="106"/>
      <c r="AE178" s="106"/>
      <c r="AF178" s="106"/>
      <c r="AG178" s="106"/>
      <c r="AH178" s="106"/>
      <c r="AI178" s="106"/>
      <c r="AJ178" s="9"/>
      <c r="AK178" s="106"/>
      <c r="AL178" s="106"/>
      <c r="AM178" s="106"/>
      <c r="AN178" s="106"/>
      <c r="AO178" s="106"/>
      <c r="AP178" s="106"/>
      <c r="AQ178" s="9"/>
      <c r="AR178" s="106"/>
      <c r="AS178" s="106"/>
      <c r="AT178" s="106"/>
      <c r="AU178" s="106"/>
      <c r="AV178" s="106"/>
      <c r="AW178" s="106"/>
      <c r="AX178" s="9"/>
    </row>
    <row r="179" spans="1:50" ht="13.05" hidden="1" customHeight="1" thickBot="1" x14ac:dyDescent="0.3">
      <c r="A179" t="str">
        <f>Nutrients!B178</f>
        <v>Blue Dye NFP</v>
      </c>
      <c r="B179" s="106"/>
      <c r="C179" s="106"/>
      <c r="D179" s="106"/>
      <c r="E179" s="106"/>
      <c r="F179" s="106"/>
      <c r="G179" s="106"/>
      <c r="H179" s="106"/>
      <c r="I179" s="106"/>
      <c r="J179" s="106"/>
      <c r="K179" s="106"/>
      <c r="L179" s="106"/>
      <c r="M179" s="106"/>
      <c r="N179" s="106"/>
      <c r="O179" s="29"/>
      <c r="P179" s="106"/>
      <c r="Q179" s="106"/>
      <c r="R179" s="106"/>
      <c r="S179" s="106"/>
      <c r="T179" s="106"/>
      <c r="U179" s="106"/>
      <c r="V179" s="9"/>
      <c r="W179" s="106"/>
      <c r="X179" s="106"/>
      <c r="Y179" s="106"/>
      <c r="Z179" s="106"/>
      <c r="AA179" s="106"/>
      <c r="AB179" s="106"/>
      <c r="AC179" s="9"/>
      <c r="AD179" s="106"/>
      <c r="AE179" s="106"/>
      <c r="AF179" s="106"/>
      <c r="AG179" s="106"/>
      <c r="AH179" s="106"/>
      <c r="AI179" s="106"/>
      <c r="AJ179" s="9"/>
      <c r="AK179" s="106"/>
      <c r="AL179" s="106"/>
      <c r="AM179" s="106"/>
      <c r="AN179" s="106"/>
      <c r="AO179" s="106"/>
      <c r="AP179" s="106"/>
      <c r="AQ179" s="9"/>
      <c r="AR179" s="106"/>
      <c r="AS179" s="106"/>
      <c r="AT179" s="106"/>
      <c r="AU179" s="106"/>
      <c r="AV179" s="106"/>
      <c r="AW179" s="106"/>
      <c r="AX179" s="9"/>
    </row>
    <row r="180" spans="1:50" ht="13.05" hidden="1" customHeight="1" thickBot="1" x14ac:dyDescent="0.3">
      <c r="A180" t="str">
        <f>Nutrients!B179</f>
        <v>HP 300 2022 NFP</v>
      </c>
      <c r="B180" s="106"/>
      <c r="C180" s="106"/>
      <c r="D180" s="106"/>
      <c r="E180" s="106"/>
      <c r="F180" s="106"/>
      <c r="G180" s="106"/>
      <c r="H180" s="106"/>
      <c r="I180" s="106"/>
      <c r="J180" s="106"/>
      <c r="K180" s="106"/>
      <c r="L180" s="106"/>
      <c r="M180" s="106"/>
      <c r="N180" s="106"/>
      <c r="O180" s="29"/>
      <c r="P180" s="106"/>
      <c r="Q180" s="106"/>
      <c r="R180" s="106"/>
      <c r="S180" s="106"/>
      <c r="T180" s="106"/>
      <c r="U180" s="106"/>
      <c r="V180" s="9"/>
      <c r="W180" s="106"/>
      <c r="X180" s="106"/>
      <c r="Y180" s="106"/>
      <c r="Z180" s="106"/>
      <c r="AA180" s="106"/>
      <c r="AB180" s="106"/>
      <c r="AC180" s="9"/>
      <c r="AD180" s="106"/>
      <c r="AE180" s="106"/>
      <c r="AF180" s="106"/>
      <c r="AG180" s="106"/>
      <c r="AH180" s="106"/>
      <c r="AI180" s="106"/>
      <c r="AJ180" s="9"/>
      <c r="AK180" s="106"/>
      <c r="AL180" s="106"/>
      <c r="AM180" s="106"/>
      <c r="AN180" s="106"/>
      <c r="AO180" s="106"/>
      <c r="AP180" s="106"/>
      <c r="AQ180" s="9"/>
      <c r="AR180" s="106"/>
      <c r="AS180" s="106"/>
      <c r="AT180" s="106"/>
      <c r="AU180" s="106"/>
      <c r="AV180" s="106"/>
      <c r="AW180" s="106"/>
      <c r="AX180" s="9"/>
    </row>
    <row r="181" spans="1:50" ht="13.05" hidden="1" customHeight="1" thickBot="1" x14ac:dyDescent="0.3">
      <c r="A181" t="str">
        <f>Nutrients!B180</f>
        <v>AX3 Digest NFP</v>
      </c>
      <c r="B181" s="106"/>
      <c r="C181" s="106"/>
      <c r="D181" s="106"/>
      <c r="E181" s="106"/>
      <c r="F181" s="106"/>
      <c r="G181" s="106"/>
      <c r="H181" s="106"/>
      <c r="I181" s="106"/>
      <c r="J181" s="106"/>
      <c r="K181" s="106"/>
      <c r="L181" s="106"/>
      <c r="M181" s="106"/>
      <c r="N181" s="106"/>
      <c r="O181" s="29"/>
      <c r="P181" s="106"/>
      <c r="Q181" s="106"/>
      <c r="R181" s="106"/>
      <c r="S181" s="106"/>
      <c r="T181" s="106"/>
      <c r="U181" s="106"/>
      <c r="V181" s="9"/>
      <c r="W181" s="106"/>
      <c r="X181" s="106"/>
      <c r="Y181" s="106"/>
      <c r="Z181" s="106"/>
      <c r="AA181" s="106"/>
      <c r="AB181" s="106"/>
      <c r="AC181" s="9"/>
      <c r="AD181" s="106"/>
      <c r="AE181" s="106"/>
      <c r="AF181" s="106"/>
      <c r="AG181" s="106"/>
      <c r="AH181" s="106"/>
      <c r="AI181" s="106"/>
      <c r="AJ181" s="9"/>
      <c r="AK181" s="106"/>
      <c r="AL181" s="106"/>
      <c r="AM181" s="106"/>
      <c r="AN181" s="106"/>
      <c r="AO181" s="106"/>
      <c r="AP181" s="106"/>
      <c r="AQ181" s="9"/>
      <c r="AR181" s="106"/>
      <c r="AS181" s="106"/>
      <c r="AT181" s="106"/>
      <c r="AU181" s="106"/>
      <c r="AV181" s="106"/>
      <c r="AW181" s="106"/>
      <c r="AX181" s="9"/>
    </row>
    <row r="182" spans="1:50" ht="13.05" hidden="1" customHeight="1" thickBot="1" x14ac:dyDescent="0.3">
      <c r="A182" t="str">
        <f>Nutrients!B181</f>
        <v>Phase 2 supplement 2018 NFP</v>
      </c>
      <c r="B182" s="106"/>
      <c r="C182" s="106"/>
      <c r="D182" s="106"/>
      <c r="E182" s="106"/>
      <c r="F182" s="106"/>
      <c r="G182" s="106"/>
      <c r="H182" s="106"/>
      <c r="I182" s="106"/>
      <c r="J182" s="106"/>
      <c r="K182" s="106"/>
      <c r="L182" s="106"/>
      <c r="M182" s="106"/>
      <c r="N182" s="106"/>
      <c r="O182" s="29"/>
      <c r="P182" s="106"/>
      <c r="Q182" s="106"/>
      <c r="R182" s="106"/>
      <c r="S182" s="106"/>
      <c r="T182" s="106"/>
      <c r="U182" s="106"/>
      <c r="V182" s="9"/>
      <c r="W182" s="106"/>
      <c r="X182" s="106"/>
      <c r="Y182" s="106"/>
      <c r="Z182" s="106"/>
      <c r="AA182" s="106"/>
      <c r="AB182" s="106"/>
      <c r="AC182" s="9"/>
      <c r="AD182" s="106"/>
      <c r="AE182" s="106"/>
      <c r="AF182" s="106"/>
      <c r="AG182" s="106"/>
      <c r="AH182" s="106"/>
      <c r="AI182" s="106"/>
      <c r="AJ182" s="9"/>
      <c r="AK182" s="106"/>
      <c r="AL182" s="106"/>
      <c r="AM182" s="106"/>
      <c r="AN182" s="106"/>
      <c r="AO182" s="106"/>
      <c r="AP182" s="106"/>
      <c r="AQ182" s="9"/>
      <c r="AR182" s="106"/>
      <c r="AS182" s="106"/>
      <c r="AT182" s="106"/>
      <c r="AU182" s="106"/>
      <c r="AV182" s="106"/>
      <c r="AW182" s="106"/>
      <c r="AX182" s="9"/>
    </row>
    <row r="183" spans="1:50" ht="13.05" hidden="1" customHeight="1" thickBot="1" x14ac:dyDescent="0.3">
      <c r="A183" t="str">
        <f>Nutrients!B182</f>
        <v>Femex 200 NFP</v>
      </c>
      <c r="B183" s="106"/>
      <c r="C183" s="106"/>
      <c r="D183" s="106"/>
      <c r="E183" s="106"/>
      <c r="F183" s="106"/>
      <c r="G183" s="106"/>
      <c r="H183" s="106"/>
      <c r="I183" s="106"/>
      <c r="J183" s="106"/>
      <c r="K183" s="106"/>
      <c r="L183" s="106"/>
      <c r="M183" s="106"/>
      <c r="N183" s="106"/>
      <c r="O183" s="29"/>
      <c r="P183" s="106"/>
      <c r="Q183" s="106"/>
      <c r="R183" s="106"/>
      <c r="S183" s="106"/>
      <c r="T183" s="106"/>
      <c r="U183" s="106"/>
      <c r="V183" s="9"/>
      <c r="W183" s="106"/>
      <c r="X183" s="106"/>
      <c r="Y183" s="106"/>
      <c r="Z183" s="106"/>
      <c r="AA183" s="106"/>
      <c r="AB183" s="106"/>
      <c r="AC183" s="9"/>
      <c r="AD183" s="106"/>
      <c r="AE183" s="106"/>
      <c r="AF183" s="106"/>
      <c r="AG183" s="106"/>
      <c r="AH183" s="106"/>
      <c r="AI183" s="106"/>
      <c r="AJ183" s="9"/>
      <c r="AK183" s="106"/>
      <c r="AL183" s="106"/>
      <c r="AM183" s="106"/>
      <c r="AN183" s="106"/>
      <c r="AO183" s="106"/>
      <c r="AP183" s="106"/>
      <c r="AQ183" s="9"/>
      <c r="AR183" s="106"/>
      <c r="AS183" s="106"/>
      <c r="AT183" s="106"/>
      <c r="AU183" s="106"/>
      <c r="AV183" s="106"/>
      <c r="AW183" s="106"/>
      <c r="AX183" s="9"/>
    </row>
    <row r="184" spans="1:50" ht="13.05" hidden="1" customHeight="1" thickBot="1" x14ac:dyDescent="0.3">
      <c r="A184" t="str">
        <f>Nutrients!B183</f>
        <v xml:space="preserve">NFP Soybean meal w/88% NE of corn </v>
      </c>
      <c r="B184" s="106"/>
      <c r="C184" s="106"/>
      <c r="D184" s="106"/>
      <c r="E184" s="106"/>
      <c r="F184" s="106"/>
      <c r="G184" s="106"/>
      <c r="H184" s="106"/>
      <c r="I184" s="106"/>
      <c r="J184" s="106"/>
      <c r="K184" s="106"/>
      <c r="L184" s="106"/>
      <c r="M184" s="106"/>
      <c r="N184" s="106"/>
      <c r="O184" s="29"/>
      <c r="P184" s="106"/>
      <c r="Q184" s="106"/>
      <c r="R184" s="106"/>
      <c r="S184" s="106"/>
      <c r="T184" s="106"/>
      <c r="U184" s="106"/>
      <c r="V184" s="9"/>
      <c r="W184" s="106"/>
      <c r="X184" s="106"/>
      <c r="Y184" s="106"/>
      <c r="Z184" s="106"/>
      <c r="AA184" s="106"/>
      <c r="AB184" s="106"/>
      <c r="AC184" s="9"/>
      <c r="AD184" s="106"/>
      <c r="AE184" s="106"/>
      <c r="AF184" s="106"/>
      <c r="AG184" s="106"/>
      <c r="AH184" s="106"/>
      <c r="AI184" s="106"/>
      <c r="AJ184" s="9"/>
      <c r="AK184" s="106"/>
      <c r="AL184" s="106"/>
      <c r="AM184" s="106"/>
      <c r="AN184" s="106"/>
      <c r="AO184" s="106"/>
      <c r="AP184" s="106"/>
      <c r="AQ184" s="9"/>
      <c r="AR184" s="106"/>
      <c r="AS184" s="106"/>
      <c r="AT184" s="106"/>
      <c r="AU184" s="106"/>
      <c r="AV184" s="106"/>
      <c r="AW184" s="106"/>
      <c r="AX184" s="9"/>
    </row>
    <row r="185" spans="1:50" ht="13.05" hidden="1" customHeight="1" thickBot="1" x14ac:dyDescent="0.3">
      <c r="A185" t="str">
        <f>Nutrients!B184</f>
        <v>AV-E Digest NFP</v>
      </c>
      <c r="B185" s="106"/>
      <c r="C185" s="106"/>
      <c r="D185" s="106"/>
      <c r="E185" s="106"/>
      <c r="F185" s="106"/>
      <c r="G185" s="106"/>
      <c r="H185" s="106"/>
      <c r="I185" s="106"/>
      <c r="J185" s="106"/>
      <c r="K185" s="106"/>
      <c r="L185" s="106"/>
      <c r="M185" s="106"/>
      <c r="N185" s="106"/>
      <c r="O185" s="29"/>
      <c r="P185" s="106"/>
      <c r="Q185" s="106"/>
      <c r="R185" s="106"/>
      <c r="S185" s="106"/>
      <c r="T185" s="106"/>
      <c r="U185" s="106"/>
      <c r="V185" s="9"/>
      <c r="W185" s="106"/>
      <c r="X185" s="106"/>
      <c r="Y185" s="106"/>
      <c r="Z185" s="106"/>
      <c r="AA185" s="106"/>
      <c r="AB185" s="106"/>
      <c r="AC185" s="9"/>
      <c r="AD185" s="106"/>
      <c r="AE185" s="106"/>
      <c r="AF185" s="106"/>
      <c r="AG185" s="106"/>
      <c r="AH185" s="106"/>
      <c r="AI185" s="106"/>
      <c r="AJ185" s="9"/>
      <c r="AK185" s="106"/>
      <c r="AL185" s="106"/>
      <c r="AM185" s="106"/>
      <c r="AN185" s="106"/>
      <c r="AO185" s="106"/>
      <c r="AP185" s="106"/>
      <c r="AQ185" s="9"/>
      <c r="AR185" s="106"/>
      <c r="AS185" s="106"/>
      <c r="AT185" s="106"/>
      <c r="AU185" s="106"/>
      <c r="AV185" s="106"/>
      <c r="AW185" s="106"/>
      <c r="AX185" s="9"/>
    </row>
    <row r="186" spans="1:50" ht="13.05" hidden="1" customHeight="1" thickBot="1" x14ac:dyDescent="0.3">
      <c r="A186" t="str">
        <f>Nutrients!B185</f>
        <v>QFP Cereal Blend NFP</v>
      </c>
      <c r="B186" s="106"/>
      <c r="C186" s="106"/>
      <c r="D186" s="106"/>
      <c r="E186" s="106"/>
      <c r="F186" s="106"/>
      <c r="G186" s="106"/>
      <c r="H186" s="106"/>
      <c r="I186" s="106"/>
      <c r="J186" s="106"/>
      <c r="K186" s="106"/>
      <c r="L186" s="106"/>
      <c r="M186" s="106"/>
      <c r="N186" s="106"/>
      <c r="O186" s="29"/>
      <c r="P186" s="106"/>
      <c r="Q186" s="106"/>
      <c r="R186" s="106"/>
      <c r="S186" s="106"/>
      <c r="T186" s="106"/>
      <c r="U186" s="106"/>
      <c r="V186" s="9"/>
      <c r="W186" s="106"/>
      <c r="X186" s="106"/>
      <c r="Y186" s="106"/>
      <c r="Z186" s="106"/>
      <c r="AA186" s="106"/>
      <c r="AB186" s="106"/>
      <c r="AC186" s="9"/>
      <c r="AD186" s="106"/>
      <c r="AE186" s="106"/>
      <c r="AF186" s="106"/>
      <c r="AG186" s="106"/>
      <c r="AH186" s="106"/>
      <c r="AI186" s="106"/>
      <c r="AJ186" s="9"/>
      <c r="AK186" s="106"/>
      <c r="AL186" s="106"/>
      <c r="AM186" s="106"/>
      <c r="AN186" s="106"/>
      <c r="AO186" s="106"/>
      <c r="AP186" s="106"/>
      <c r="AQ186" s="9"/>
      <c r="AR186" s="106"/>
      <c r="AS186" s="106"/>
      <c r="AT186" s="106"/>
      <c r="AU186" s="106"/>
      <c r="AV186" s="106"/>
      <c r="AW186" s="106"/>
      <c r="AX186" s="9"/>
    </row>
    <row r="187" spans="1:50" ht="13.05" hidden="1" customHeight="1" thickBot="1" x14ac:dyDescent="0.3">
      <c r="A187" t="str">
        <f>Nutrients!B186</f>
        <v>FXP Ani-Tek NFP</v>
      </c>
      <c r="B187" s="106"/>
      <c r="C187" s="106"/>
      <c r="D187" s="106"/>
      <c r="E187" s="106"/>
      <c r="F187" s="106"/>
      <c r="G187" s="106"/>
      <c r="H187" s="106"/>
      <c r="I187" s="106"/>
      <c r="J187" s="106"/>
      <c r="K187" s="106"/>
      <c r="L187" s="106"/>
      <c r="M187" s="106"/>
      <c r="N187" s="106"/>
      <c r="O187" s="29"/>
      <c r="P187" s="106"/>
      <c r="Q187" s="106"/>
      <c r="R187" s="106"/>
      <c r="S187" s="106"/>
      <c r="T187" s="106"/>
      <c r="U187" s="106"/>
      <c r="V187" s="9"/>
      <c r="W187" s="106"/>
      <c r="X187" s="106"/>
      <c r="Y187" s="106"/>
      <c r="Z187" s="106"/>
      <c r="AA187" s="106"/>
      <c r="AB187" s="106"/>
      <c r="AC187" s="9"/>
      <c r="AD187" s="106"/>
      <c r="AE187" s="106"/>
      <c r="AF187" s="106"/>
      <c r="AG187" s="106"/>
      <c r="AH187" s="106"/>
      <c r="AI187" s="106"/>
      <c r="AJ187" s="9"/>
      <c r="AK187" s="106"/>
      <c r="AL187" s="106"/>
      <c r="AM187" s="106"/>
      <c r="AN187" s="106"/>
      <c r="AO187" s="106"/>
      <c r="AP187" s="106"/>
      <c r="AQ187" s="9"/>
      <c r="AR187" s="106"/>
      <c r="AS187" s="106"/>
      <c r="AT187" s="106"/>
      <c r="AU187" s="106"/>
      <c r="AV187" s="106"/>
      <c r="AW187" s="106"/>
      <c r="AX187" s="9"/>
    </row>
    <row r="188" spans="1:50" ht="13.05" hidden="1" customHeight="1" thickBot="1" x14ac:dyDescent="0.3">
      <c r="A188" t="str">
        <f>Nutrients!B187</f>
        <v>NFP VTM Grower (2021)</v>
      </c>
      <c r="B188" s="106"/>
      <c r="C188" s="106"/>
      <c r="D188" s="106"/>
      <c r="E188" s="106"/>
      <c r="F188" s="106"/>
      <c r="G188" s="106"/>
      <c r="H188" s="106"/>
      <c r="I188" s="106"/>
      <c r="J188" s="106"/>
      <c r="K188" s="106"/>
      <c r="L188" s="106"/>
      <c r="M188" s="106"/>
      <c r="N188" s="106"/>
      <c r="O188" s="29"/>
      <c r="P188" s="106"/>
      <c r="Q188" s="106"/>
      <c r="R188" s="106"/>
      <c r="S188" s="106"/>
      <c r="T188" s="106"/>
      <c r="U188" s="106"/>
      <c r="V188" s="9"/>
      <c r="W188" s="106"/>
      <c r="X188" s="106"/>
      <c r="Y188" s="106"/>
      <c r="Z188" s="106"/>
      <c r="AA188" s="106"/>
      <c r="AB188" s="106"/>
      <c r="AC188" s="9"/>
      <c r="AD188" s="106"/>
      <c r="AE188" s="106"/>
      <c r="AF188" s="106"/>
      <c r="AG188" s="106"/>
      <c r="AH188" s="106"/>
      <c r="AI188" s="106"/>
      <c r="AJ188" s="9"/>
      <c r="AK188" s="106"/>
      <c r="AL188" s="106"/>
      <c r="AM188" s="106"/>
      <c r="AN188" s="106"/>
      <c r="AO188" s="106"/>
      <c r="AP188" s="106"/>
      <c r="AQ188" s="9"/>
      <c r="AR188" s="106"/>
      <c r="AS188" s="106"/>
      <c r="AT188" s="106"/>
      <c r="AU188" s="106"/>
      <c r="AV188" s="106"/>
      <c r="AW188" s="106"/>
      <c r="AX188" s="9"/>
    </row>
    <row r="189" spans="1:50" ht="13.05" hidden="1" customHeight="1" thickBot="1" x14ac:dyDescent="0.3">
      <c r="A189" t="str">
        <f>Nutrients!B188</f>
        <v>NFP VTM Sow (2021)</v>
      </c>
      <c r="B189" s="106"/>
      <c r="C189" s="106"/>
      <c r="D189" s="106"/>
      <c r="E189" s="106"/>
      <c r="F189" s="106"/>
      <c r="G189" s="106"/>
      <c r="H189" s="106"/>
      <c r="I189" s="106"/>
      <c r="J189" s="106"/>
      <c r="K189" s="106"/>
      <c r="L189" s="106"/>
      <c r="M189" s="106"/>
      <c r="N189" s="106"/>
      <c r="O189" s="29"/>
      <c r="P189" s="106"/>
      <c r="Q189" s="106"/>
      <c r="R189" s="106"/>
      <c r="S189" s="106"/>
      <c r="T189" s="106"/>
      <c r="U189" s="106"/>
      <c r="V189" s="9"/>
      <c r="W189" s="106"/>
      <c r="X189" s="106"/>
      <c r="Y189" s="106"/>
      <c r="Z189" s="106"/>
      <c r="AA189" s="106"/>
      <c r="AB189" s="106"/>
      <c r="AC189" s="9"/>
      <c r="AD189" s="106"/>
      <c r="AE189" s="106"/>
      <c r="AF189" s="106"/>
      <c r="AG189" s="106"/>
      <c r="AH189" s="106"/>
      <c r="AI189" s="106"/>
      <c r="AJ189" s="9"/>
      <c r="AK189" s="106"/>
      <c r="AL189" s="106"/>
      <c r="AM189" s="106"/>
      <c r="AN189" s="106"/>
      <c r="AO189" s="106"/>
      <c r="AP189" s="106"/>
      <c r="AQ189" s="9"/>
      <c r="AR189" s="106"/>
      <c r="AS189" s="106"/>
      <c r="AT189" s="106"/>
      <c r="AU189" s="106"/>
      <c r="AV189" s="106"/>
      <c r="AW189" s="106"/>
      <c r="AX189" s="9"/>
    </row>
    <row r="190" spans="1:50" ht="13.05" hidden="1" customHeight="1" thickBot="1" x14ac:dyDescent="0.3">
      <c r="A190" t="str">
        <f>Nutrients!B189</f>
        <v>VevoVitall NFP</v>
      </c>
      <c r="B190" s="106"/>
      <c r="C190" s="106"/>
      <c r="D190" s="106"/>
      <c r="E190" s="106"/>
      <c r="F190" s="106"/>
      <c r="G190" s="106"/>
      <c r="H190" s="106"/>
      <c r="I190" s="106"/>
      <c r="J190" s="106"/>
      <c r="K190" s="106"/>
      <c r="L190" s="106"/>
      <c r="M190" s="106"/>
      <c r="N190" s="106"/>
      <c r="O190" s="29"/>
      <c r="P190" s="106"/>
      <c r="Q190" s="106"/>
      <c r="R190" s="106"/>
      <c r="S190" s="106"/>
      <c r="T190" s="106"/>
      <c r="U190" s="106"/>
      <c r="V190" s="9"/>
      <c r="W190" s="106"/>
      <c r="X190" s="106"/>
      <c r="Y190" s="106"/>
      <c r="Z190" s="106"/>
      <c r="AA190" s="106"/>
      <c r="AB190" s="106"/>
      <c r="AC190" s="9"/>
      <c r="AD190" s="106"/>
      <c r="AE190" s="106"/>
      <c r="AF190" s="106"/>
      <c r="AG190" s="106"/>
      <c r="AH190" s="106"/>
      <c r="AI190" s="106"/>
      <c r="AJ190" s="9"/>
      <c r="AK190" s="106"/>
      <c r="AL190" s="106"/>
      <c r="AM190" s="106"/>
      <c r="AN190" s="106"/>
      <c r="AO190" s="106"/>
      <c r="AP190" s="106"/>
      <c r="AQ190" s="9"/>
      <c r="AR190" s="106"/>
      <c r="AS190" s="106"/>
      <c r="AT190" s="106"/>
      <c r="AU190" s="106"/>
      <c r="AV190" s="106"/>
      <c r="AW190" s="106"/>
      <c r="AX190" s="9"/>
    </row>
    <row r="191" spans="1:50" ht="13.05" hidden="1" customHeight="1" thickBot="1" x14ac:dyDescent="0.3">
      <c r="A191" t="str">
        <f>Nutrients!B190</f>
        <v>MEPRO NFP</v>
      </c>
      <c r="B191" s="106"/>
      <c r="C191" s="106"/>
      <c r="D191" s="106"/>
      <c r="E191" s="106"/>
      <c r="F191" s="106"/>
      <c r="G191" s="106"/>
      <c r="H191" s="106"/>
      <c r="I191" s="106"/>
      <c r="J191" s="106"/>
      <c r="K191" s="106"/>
      <c r="L191" s="106"/>
      <c r="M191" s="106"/>
      <c r="N191" s="106"/>
      <c r="O191" s="29"/>
      <c r="P191" s="106"/>
      <c r="Q191" s="106"/>
      <c r="R191" s="106"/>
      <c r="S191" s="106"/>
      <c r="T191" s="106"/>
      <c r="U191" s="106"/>
      <c r="V191" s="9"/>
      <c r="W191" s="106"/>
      <c r="X191" s="106"/>
      <c r="Y191" s="106"/>
      <c r="Z191" s="106"/>
      <c r="AA191" s="106"/>
      <c r="AB191" s="106"/>
      <c r="AC191" s="9"/>
      <c r="AD191" s="106"/>
      <c r="AE191" s="106"/>
      <c r="AF191" s="106"/>
      <c r="AG191" s="106"/>
      <c r="AH191" s="106"/>
      <c r="AI191" s="106"/>
      <c r="AJ191" s="9"/>
      <c r="AK191" s="106"/>
      <c r="AL191" s="106"/>
      <c r="AM191" s="106"/>
      <c r="AN191" s="106"/>
      <c r="AO191" s="106"/>
      <c r="AP191" s="106"/>
      <c r="AQ191" s="9"/>
      <c r="AR191" s="106"/>
      <c r="AS191" s="106"/>
      <c r="AT191" s="106"/>
      <c r="AU191" s="106"/>
      <c r="AV191" s="106"/>
      <c r="AW191" s="106"/>
      <c r="AX191" s="9"/>
    </row>
    <row r="192" spans="1:50" ht="13.05" hidden="1" customHeight="1" thickBot="1" x14ac:dyDescent="0.3">
      <c r="A192" t="str">
        <f>Nutrients!B191</f>
        <v>AlphaGal 280 P NFP</v>
      </c>
      <c r="B192" s="106"/>
      <c r="C192" s="106"/>
      <c r="D192" s="106"/>
      <c r="E192" s="106"/>
      <c r="F192" s="106"/>
      <c r="G192" s="106"/>
      <c r="H192" s="106"/>
      <c r="I192" s="106"/>
      <c r="J192" s="106"/>
      <c r="K192" s="106"/>
      <c r="L192" s="106"/>
      <c r="M192" s="106"/>
      <c r="N192" s="106"/>
      <c r="O192" s="29"/>
      <c r="P192" s="106"/>
      <c r="Q192" s="106"/>
      <c r="R192" s="106"/>
      <c r="S192" s="106"/>
      <c r="T192" s="106"/>
      <c r="U192" s="106"/>
      <c r="V192" s="9"/>
      <c r="W192" s="106"/>
      <c r="X192" s="106"/>
      <c r="Y192" s="106"/>
      <c r="Z192" s="106"/>
      <c r="AA192" s="106"/>
      <c r="AB192" s="106"/>
      <c r="AC192" s="9"/>
      <c r="AD192" s="106"/>
      <c r="AE192" s="106"/>
      <c r="AF192" s="106"/>
      <c r="AG192" s="106"/>
      <c r="AH192" s="106"/>
      <c r="AI192" s="106"/>
      <c r="AJ192" s="9"/>
      <c r="AK192" s="106"/>
      <c r="AL192" s="106"/>
      <c r="AM192" s="106"/>
      <c r="AN192" s="106"/>
      <c r="AO192" s="106"/>
      <c r="AP192" s="106"/>
      <c r="AQ192" s="9"/>
      <c r="AR192" s="106"/>
      <c r="AS192" s="106"/>
      <c r="AT192" s="106"/>
      <c r="AU192" s="106"/>
      <c r="AV192" s="106"/>
      <c r="AW192" s="106"/>
      <c r="AX192" s="9"/>
    </row>
    <row r="193" spans="1:50" ht="13.05" hidden="1" customHeight="1" thickBot="1" x14ac:dyDescent="0.3">
      <c r="A193" t="str">
        <f>Nutrients!B192</f>
        <v xml:space="preserve">NFP Custom Manganese </v>
      </c>
      <c r="B193" s="106"/>
      <c r="C193" s="106"/>
      <c r="D193" s="106"/>
      <c r="E193" s="106"/>
      <c r="F193" s="106"/>
      <c r="G193" s="106"/>
      <c r="H193" s="106"/>
      <c r="I193" s="106"/>
      <c r="J193" s="106"/>
      <c r="K193" s="106"/>
      <c r="L193" s="106"/>
      <c r="M193" s="106"/>
      <c r="N193" s="106"/>
      <c r="O193" s="29"/>
      <c r="P193" s="106"/>
      <c r="Q193" s="106"/>
      <c r="R193" s="106"/>
      <c r="S193" s="106"/>
      <c r="T193" s="106"/>
      <c r="U193" s="106"/>
      <c r="V193" s="9"/>
      <c r="W193" s="106"/>
      <c r="X193" s="106"/>
      <c r="Y193" s="106"/>
      <c r="Z193" s="106"/>
      <c r="AA193" s="106"/>
      <c r="AB193" s="106"/>
      <c r="AC193" s="9"/>
      <c r="AD193" s="106"/>
      <c r="AE193" s="106"/>
      <c r="AF193" s="106"/>
      <c r="AG193" s="106"/>
      <c r="AH193" s="106"/>
      <c r="AI193" s="106"/>
      <c r="AJ193" s="9"/>
      <c r="AK193" s="106"/>
      <c r="AL193" s="106"/>
      <c r="AM193" s="106"/>
      <c r="AN193" s="106"/>
      <c r="AO193" s="106"/>
      <c r="AP193" s="106"/>
      <c r="AQ193" s="9"/>
      <c r="AR193" s="106"/>
      <c r="AS193" s="106"/>
      <c r="AT193" s="106"/>
      <c r="AU193" s="106"/>
      <c r="AV193" s="106"/>
      <c r="AW193" s="106"/>
      <c r="AX193" s="9"/>
    </row>
    <row r="194" spans="1:50" ht="13.05" hidden="1" customHeight="1" thickBot="1" x14ac:dyDescent="0.3">
      <c r="A194" t="str">
        <f>Nutrients!B193</f>
        <v>Fat Build R2 All Veg 4000 NFP</v>
      </c>
      <c r="B194" s="106"/>
      <c r="C194" s="106"/>
      <c r="D194" s="106"/>
      <c r="E194" s="106"/>
      <c r="F194" s="106"/>
      <c r="G194" s="106"/>
      <c r="H194" s="106"/>
      <c r="I194" s="106"/>
      <c r="J194" s="106"/>
      <c r="K194" s="106"/>
      <c r="L194" s="106"/>
      <c r="M194" s="106"/>
      <c r="N194" s="106"/>
      <c r="O194" s="29"/>
      <c r="P194" s="106"/>
      <c r="Q194" s="106"/>
      <c r="R194" s="106"/>
      <c r="S194" s="106"/>
      <c r="T194" s="106"/>
      <c r="U194" s="106"/>
      <c r="V194" s="9"/>
      <c r="W194" s="106"/>
      <c r="X194" s="106"/>
      <c r="Y194" s="106"/>
      <c r="Z194" s="106"/>
      <c r="AA194" s="106"/>
      <c r="AB194" s="106"/>
      <c r="AC194" s="9"/>
      <c r="AD194" s="106"/>
      <c r="AE194" s="106"/>
      <c r="AF194" s="106"/>
      <c r="AG194" s="106"/>
      <c r="AH194" s="106"/>
      <c r="AI194" s="106"/>
      <c r="AJ194" s="9"/>
      <c r="AK194" s="106"/>
      <c r="AL194" s="106"/>
      <c r="AM194" s="106"/>
      <c r="AN194" s="106"/>
      <c r="AO194" s="106"/>
      <c r="AP194" s="106"/>
      <c r="AQ194" s="9"/>
      <c r="AR194" s="106"/>
      <c r="AS194" s="106"/>
      <c r="AT194" s="106"/>
      <c r="AU194" s="106"/>
      <c r="AV194" s="106"/>
      <c r="AW194" s="106"/>
      <c r="AX194" s="9"/>
    </row>
    <row r="195" spans="1:50" ht="13.05" hidden="1" customHeight="1" thickBot="1" x14ac:dyDescent="0.3">
      <c r="A195" t="str">
        <f>Nutrients!B194</f>
        <v>LipoVital GL 90 NFP</v>
      </c>
      <c r="B195" s="106"/>
      <c r="C195" s="106"/>
      <c r="D195" s="106"/>
      <c r="E195" s="106"/>
      <c r="F195" s="106"/>
      <c r="G195" s="106"/>
      <c r="H195" s="106"/>
      <c r="I195" s="106"/>
      <c r="J195" s="106"/>
      <c r="K195" s="106"/>
      <c r="L195" s="106"/>
      <c r="M195" s="106"/>
      <c r="N195" s="106"/>
      <c r="O195" s="29"/>
      <c r="P195" s="106"/>
      <c r="Q195" s="106"/>
      <c r="R195" s="106"/>
      <c r="S195" s="106"/>
      <c r="T195" s="106"/>
      <c r="U195" s="106"/>
      <c r="V195" s="9"/>
      <c r="W195" s="106"/>
      <c r="X195" s="106"/>
      <c r="Y195" s="106"/>
      <c r="Z195" s="106"/>
      <c r="AA195" s="106"/>
      <c r="AB195" s="106"/>
      <c r="AC195" s="9"/>
      <c r="AD195" s="106"/>
      <c r="AE195" s="106"/>
      <c r="AF195" s="106"/>
      <c r="AG195" s="106"/>
      <c r="AH195" s="106"/>
      <c r="AI195" s="106"/>
      <c r="AJ195" s="9"/>
      <c r="AK195" s="106"/>
      <c r="AL195" s="106"/>
      <c r="AM195" s="106"/>
      <c r="AN195" s="106"/>
      <c r="AO195" s="106"/>
      <c r="AP195" s="106"/>
      <c r="AQ195" s="9"/>
      <c r="AR195" s="106"/>
      <c r="AS195" s="106"/>
      <c r="AT195" s="106"/>
      <c r="AU195" s="106"/>
      <c r="AV195" s="106"/>
      <c r="AW195" s="106"/>
      <c r="AX195" s="9"/>
    </row>
    <row r="196" spans="1:50" ht="13.05" hidden="1" customHeight="1" thickBot="1" x14ac:dyDescent="0.3">
      <c r="A196" t="str">
        <f>Nutrients!B195</f>
        <v>NFP Custom Zinc</v>
      </c>
      <c r="B196" s="106"/>
      <c r="C196" s="106"/>
      <c r="D196" s="106"/>
      <c r="E196" s="106"/>
      <c r="F196" s="106"/>
      <c r="G196" s="106"/>
      <c r="H196" s="106"/>
      <c r="I196" s="106"/>
      <c r="J196" s="106"/>
      <c r="K196" s="106"/>
      <c r="L196" s="106"/>
      <c r="M196" s="106"/>
      <c r="N196" s="106"/>
      <c r="O196" s="29"/>
      <c r="P196" s="106"/>
      <c r="Q196" s="106"/>
      <c r="R196" s="106"/>
      <c r="S196" s="106"/>
      <c r="T196" s="106"/>
      <c r="U196" s="106"/>
      <c r="V196" s="9"/>
      <c r="W196" s="106"/>
      <c r="X196" s="106"/>
      <c r="Y196" s="106"/>
      <c r="Z196" s="106"/>
      <c r="AA196" s="106"/>
      <c r="AB196" s="106"/>
      <c r="AC196" s="9"/>
      <c r="AD196" s="106"/>
      <c r="AE196" s="106"/>
      <c r="AF196" s="106"/>
      <c r="AG196" s="106"/>
      <c r="AH196" s="106"/>
      <c r="AI196" s="106"/>
      <c r="AJ196" s="9"/>
      <c r="AK196" s="106"/>
      <c r="AL196" s="106"/>
      <c r="AM196" s="106"/>
      <c r="AN196" s="106"/>
      <c r="AO196" s="106"/>
      <c r="AP196" s="106"/>
      <c r="AQ196" s="9"/>
      <c r="AR196" s="106"/>
      <c r="AS196" s="106"/>
      <c r="AT196" s="106"/>
      <c r="AU196" s="106"/>
      <c r="AV196" s="106"/>
      <c r="AW196" s="106"/>
      <c r="AX196" s="9"/>
    </row>
    <row r="197" spans="1:50" ht="13.05" hidden="1" customHeight="1" thickBot="1" x14ac:dyDescent="0.3">
      <c r="A197" t="str">
        <f>Nutrients!B196</f>
        <v>THRPRO-L Threonine 80% NFP</v>
      </c>
      <c r="B197" s="106"/>
      <c r="C197" s="106"/>
      <c r="D197" s="106"/>
      <c r="E197" s="106"/>
      <c r="F197" s="106"/>
      <c r="G197" s="106"/>
      <c r="H197" s="106"/>
      <c r="I197" s="106"/>
      <c r="J197" s="106"/>
      <c r="K197" s="106"/>
      <c r="L197" s="106"/>
      <c r="M197" s="106"/>
      <c r="N197" s="106"/>
      <c r="O197" s="29"/>
      <c r="P197" s="106"/>
      <c r="Q197" s="106"/>
      <c r="R197" s="106"/>
      <c r="S197" s="106"/>
      <c r="T197" s="106"/>
      <c r="U197" s="106"/>
      <c r="V197" s="9"/>
      <c r="W197" s="106"/>
      <c r="X197" s="106"/>
      <c r="Y197" s="106"/>
      <c r="Z197" s="106"/>
      <c r="AA197" s="106"/>
      <c r="AB197" s="106"/>
      <c r="AC197" s="9"/>
      <c r="AD197" s="106"/>
      <c r="AE197" s="106"/>
      <c r="AF197" s="106"/>
      <c r="AG197" s="106"/>
      <c r="AH197" s="106"/>
      <c r="AI197" s="106"/>
      <c r="AJ197" s="9"/>
      <c r="AK197" s="106"/>
      <c r="AL197" s="106"/>
      <c r="AM197" s="106"/>
      <c r="AN197" s="106"/>
      <c r="AO197" s="106"/>
      <c r="AP197" s="106"/>
      <c r="AQ197" s="9"/>
      <c r="AR197" s="106"/>
      <c r="AS197" s="106"/>
      <c r="AT197" s="106"/>
      <c r="AU197" s="106"/>
      <c r="AV197" s="106"/>
      <c r="AW197" s="106"/>
      <c r="AX197" s="9"/>
    </row>
    <row r="198" spans="1:50" ht="13.05" hidden="1" customHeight="1" thickBot="1" x14ac:dyDescent="0.3">
      <c r="A198" t="str">
        <f>Nutrients!B197</f>
        <v>Copper Chloride Intellibond TBCC NFP</v>
      </c>
      <c r="B198" s="106"/>
      <c r="C198" s="106"/>
      <c r="D198" s="106"/>
      <c r="E198" s="106"/>
      <c r="F198" s="106"/>
      <c r="G198" s="106"/>
      <c r="H198" s="106"/>
      <c r="I198" s="106"/>
      <c r="J198" s="106"/>
      <c r="K198" s="106"/>
      <c r="L198" s="106"/>
      <c r="M198" s="106"/>
      <c r="N198" s="106"/>
      <c r="O198" s="29"/>
      <c r="P198" s="106"/>
      <c r="Q198" s="106"/>
      <c r="R198" s="106"/>
      <c r="S198" s="106"/>
      <c r="T198" s="106"/>
      <c r="U198" s="106"/>
      <c r="V198" s="9"/>
      <c r="W198" s="106"/>
      <c r="X198" s="106"/>
      <c r="Y198" s="106"/>
      <c r="Z198" s="106"/>
      <c r="AA198" s="106"/>
      <c r="AB198" s="106"/>
      <c r="AC198" s="9"/>
      <c r="AD198" s="106"/>
      <c r="AE198" s="106"/>
      <c r="AF198" s="106"/>
      <c r="AG198" s="106"/>
      <c r="AH198" s="106"/>
      <c r="AI198" s="106"/>
      <c r="AJ198" s="9"/>
      <c r="AK198" s="106"/>
      <c r="AL198" s="106"/>
      <c r="AM198" s="106"/>
      <c r="AN198" s="106"/>
      <c r="AO198" s="106"/>
      <c r="AP198" s="106"/>
      <c r="AQ198" s="9"/>
      <c r="AR198" s="106"/>
      <c r="AS198" s="106"/>
      <c r="AT198" s="106"/>
      <c r="AU198" s="106"/>
      <c r="AV198" s="106"/>
      <c r="AW198" s="106"/>
      <c r="AX198" s="9"/>
    </row>
    <row r="199" spans="1:50" ht="13.05" hidden="1" customHeight="1" thickBot="1" x14ac:dyDescent="0.3">
      <c r="A199" t="str">
        <f>Nutrients!B198</f>
        <v>DDGS 7.5% Oil Green Plains NFP</v>
      </c>
      <c r="B199" s="106"/>
      <c r="C199" s="106"/>
      <c r="D199" s="106"/>
      <c r="E199" s="106"/>
      <c r="F199" s="106"/>
      <c r="G199" s="106"/>
      <c r="H199" s="106"/>
      <c r="I199" s="106"/>
      <c r="J199" s="106"/>
      <c r="K199" s="106"/>
      <c r="L199" s="106"/>
      <c r="M199" s="106"/>
      <c r="N199" s="106"/>
      <c r="O199" s="29"/>
      <c r="P199" s="106"/>
      <c r="Q199" s="106"/>
      <c r="R199" s="106"/>
      <c r="S199" s="106"/>
      <c r="T199" s="106"/>
      <c r="U199" s="106"/>
      <c r="V199" s="9"/>
      <c r="W199" s="106"/>
      <c r="X199" s="106"/>
      <c r="Y199" s="106"/>
      <c r="Z199" s="106"/>
      <c r="AA199" s="106"/>
      <c r="AB199" s="106"/>
      <c r="AC199" s="9"/>
      <c r="AD199" s="106"/>
      <c r="AE199" s="106"/>
      <c r="AF199" s="106"/>
      <c r="AG199" s="106"/>
      <c r="AH199" s="106"/>
      <c r="AI199" s="106"/>
      <c r="AJ199" s="9"/>
      <c r="AK199" s="106"/>
      <c r="AL199" s="106"/>
      <c r="AM199" s="106"/>
      <c r="AN199" s="106"/>
      <c r="AO199" s="106"/>
      <c r="AP199" s="106"/>
      <c r="AQ199" s="9"/>
      <c r="AR199" s="106"/>
      <c r="AS199" s="106"/>
      <c r="AT199" s="106"/>
      <c r="AU199" s="106"/>
      <c r="AV199" s="106"/>
      <c r="AW199" s="106"/>
      <c r="AX199" s="9"/>
    </row>
    <row r="200" spans="1:50" ht="13.05" hidden="1" customHeight="1" thickBot="1" x14ac:dyDescent="0.3">
      <c r="A200" t="str">
        <f>Nutrients!B199</f>
        <v>NHF GF VTM 2#</v>
      </c>
      <c r="B200" s="106"/>
      <c r="C200" s="106"/>
      <c r="D200" s="106"/>
      <c r="E200" s="106"/>
      <c r="F200" s="106"/>
      <c r="G200" s="106"/>
      <c r="H200" s="106"/>
      <c r="I200" s="106"/>
      <c r="J200" s="106"/>
      <c r="K200" s="106"/>
      <c r="L200" s="106"/>
      <c r="M200" s="106"/>
      <c r="N200" s="106"/>
      <c r="O200" s="29"/>
      <c r="P200" s="106"/>
      <c r="Q200" s="106"/>
      <c r="R200" s="106"/>
      <c r="S200" s="106"/>
      <c r="T200" s="106"/>
      <c r="U200" s="106"/>
      <c r="V200" s="9"/>
      <c r="W200" s="106"/>
      <c r="X200" s="106"/>
      <c r="Y200" s="106"/>
      <c r="Z200" s="106"/>
      <c r="AA200" s="106"/>
      <c r="AB200" s="106"/>
      <c r="AC200" s="9"/>
      <c r="AD200" s="106"/>
      <c r="AE200" s="106"/>
      <c r="AF200" s="106"/>
      <c r="AG200" s="106"/>
      <c r="AH200" s="106"/>
      <c r="AI200" s="106"/>
      <c r="AJ200" s="9"/>
      <c r="AK200" s="106"/>
      <c r="AL200" s="106"/>
      <c r="AM200" s="106"/>
      <c r="AN200" s="106"/>
      <c r="AO200" s="106"/>
      <c r="AP200" s="106"/>
      <c r="AQ200" s="9"/>
      <c r="AR200" s="106"/>
      <c r="AS200" s="106"/>
      <c r="AT200" s="106"/>
      <c r="AU200" s="106"/>
      <c r="AV200" s="106"/>
      <c r="AW200" s="106"/>
      <c r="AX200" s="9"/>
    </row>
    <row r="201" spans="1:50" ht="13.05" hidden="1" customHeight="1" thickBot="1" x14ac:dyDescent="0.3">
      <c r="A201" t="str">
        <f>Nutrients!B200</f>
        <v xml:space="preserve">Hubbard Vit Premix </v>
      </c>
      <c r="B201" s="106"/>
      <c r="C201" s="106"/>
      <c r="D201" s="106"/>
      <c r="E201" s="106"/>
      <c r="F201" s="106"/>
      <c r="G201" s="106"/>
      <c r="H201" s="106"/>
      <c r="I201" s="106"/>
      <c r="J201" s="106"/>
      <c r="K201" s="106"/>
      <c r="L201" s="106"/>
      <c r="M201" s="106"/>
      <c r="N201" s="106"/>
      <c r="O201" s="29"/>
      <c r="P201" s="106"/>
      <c r="Q201" s="106"/>
      <c r="R201" s="106"/>
      <c r="S201" s="106"/>
      <c r="T201" s="106"/>
      <c r="U201" s="106"/>
      <c r="V201" s="9"/>
      <c r="W201" s="106"/>
      <c r="X201" s="106"/>
      <c r="Y201" s="106"/>
      <c r="Z201" s="106"/>
      <c r="AA201" s="106"/>
      <c r="AB201" s="106"/>
      <c r="AC201" s="9"/>
      <c r="AD201" s="106"/>
      <c r="AE201" s="106"/>
      <c r="AF201" s="106"/>
      <c r="AG201" s="106"/>
      <c r="AH201" s="106"/>
      <c r="AI201" s="106"/>
      <c r="AJ201" s="9"/>
      <c r="AK201" s="106"/>
      <c r="AL201" s="106"/>
      <c r="AM201" s="106"/>
      <c r="AN201" s="106"/>
      <c r="AO201" s="106"/>
      <c r="AP201" s="106"/>
      <c r="AQ201" s="9"/>
      <c r="AR201" s="106"/>
      <c r="AS201" s="106"/>
      <c r="AT201" s="106"/>
      <c r="AU201" s="106"/>
      <c r="AV201" s="106"/>
      <c r="AW201" s="106"/>
      <c r="AX201" s="9"/>
    </row>
    <row r="202" spans="1:50" ht="13.05" hidden="1" customHeight="1" thickBot="1" x14ac:dyDescent="0.3">
      <c r="A202" t="str">
        <f>Nutrients!B201</f>
        <v>Hubbard TMP</v>
      </c>
      <c r="B202" s="106"/>
      <c r="C202" s="106"/>
      <c r="D202" s="106"/>
      <c r="E202" s="106"/>
      <c r="F202" s="106"/>
      <c r="G202" s="106"/>
      <c r="H202" s="106"/>
      <c r="I202" s="106"/>
      <c r="J202" s="106"/>
      <c r="K202" s="106"/>
      <c r="L202" s="106"/>
      <c r="M202" s="106"/>
      <c r="N202" s="106"/>
      <c r="O202" s="29"/>
      <c r="P202" s="106"/>
      <c r="Q202" s="106"/>
      <c r="R202" s="106"/>
      <c r="S202" s="106"/>
      <c r="T202" s="106"/>
      <c r="U202" s="106"/>
      <c r="V202" s="9"/>
      <c r="W202" s="106"/>
      <c r="X202" s="106"/>
      <c r="Y202" s="106"/>
      <c r="Z202" s="106"/>
      <c r="AA202" s="106"/>
      <c r="AB202" s="106"/>
      <c r="AC202" s="9"/>
      <c r="AD202" s="106"/>
      <c r="AE202" s="106"/>
      <c r="AF202" s="106"/>
      <c r="AG202" s="106"/>
      <c r="AH202" s="106"/>
      <c r="AI202" s="106"/>
      <c r="AJ202" s="9"/>
      <c r="AK202" s="106"/>
      <c r="AL202" s="106"/>
      <c r="AM202" s="106"/>
      <c r="AN202" s="106"/>
      <c r="AO202" s="106"/>
      <c r="AP202" s="106"/>
      <c r="AQ202" s="9"/>
      <c r="AR202" s="106"/>
      <c r="AS202" s="106"/>
      <c r="AT202" s="106"/>
      <c r="AU202" s="106"/>
      <c r="AV202" s="106"/>
      <c r="AW202" s="106"/>
      <c r="AX202" s="9"/>
    </row>
    <row r="203" spans="1:50" ht="13.05" hidden="1" customHeight="1" thickBot="1" x14ac:dyDescent="0.3">
      <c r="A203" t="str">
        <f>Nutrients!B202</f>
        <v>Inorganic Se 600 ppm Hubbard</v>
      </c>
      <c r="B203" s="106"/>
      <c r="C203" s="106"/>
      <c r="D203" s="106"/>
      <c r="E203" s="106"/>
      <c r="F203" s="106"/>
      <c r="G203" s="106"/>
      <c r="H203" s="106"/>
      <c r="I203" s="106"/>
      <c r="J203" s="106"/>
      <c r="K203" s="106"/>
      <c r="L203" s="106"/>
      <c r="M203" s="106"/>
      <c r="N203" s="106"/>
      <c r="O203" s="29"/>
      <c r="P203" s="106"/>
      <c r="Q203" s="106"/>
      <c r="R203" s="106"/>
      <c r="S203" s="106"/>
      <c r="T203" s="106"/>
      <c r="U203" s="106"/>
      <c r="V203" s="9"/>
      <c r="W203" s="106"/>
      <c r="X203" s="106"/>
      <c r="Y203" s="106"/>
      <c r="Z203" s="106"/>
      <c r="AA203" s="106"/>
      <c r="AB203" s="106"/>
      <c r="AC203" s="9"/>
      <c r="AD203" s="106"/>
      <c r="AE203" s="106"/>
      <c r="AF203" s="106"/>
      <c r="AG203" s="106"/>
      <c r="AH203" s="106"/>
      <c r="AI203" s="106"/>
      <c r="AJ203" s="9"/>
      <c r="AK203" s="106"/>
      <c r="AL203" s="106"/>
      <c r="AM203" s="106"/>
      <c r="AN203" s="106"/>
      <c r="AO203" s="106"/>
      <c r="AP203" s="106"/>
      <c r="AQ203" s="9"/>
      <c r="AR203" s="106"/>
      <c r="AS203" s="106"/>
      <c r="AT203" s="106"/>
      <c r="AU203" s="106"/>
      <c r="AV203" s="106"/>
      <c r="AW203" s="106"/>
      <c r="AX203" s="9"/>
    </row>
    <row r="204" spans="1:50" ht="13.05" hidden="1" customHeight="1" thickBot="1" x14ac:dyDescent="0.3">
      <c r="A204" t="str">
        <f>Nutrients!B203</f>
        <v>Quantum Blue  5G Hubbard</v>
      </c>
      <c r="B204" s="106"/>
      <c r="C204" s="106"/>
      <c r="D204" s="106"/>
      <c r="E204" s="106"/>
      <c r="F204" s="106"/>
      <c r="G204" s="106"/>
      <c r="H204" s="106"/>
      <c r="I204" s="106"/>
      <c r="J204" s="106"/>
      <c r="K204" s="106"/>
      <c r="L204" s="106"/>
      <c r="M204" s="106"/>
      <c r="N204" s="106"/>
      <c r="O204" s="29"/>
      <c r="P204" s="106"/>
      <c r="Q204" s="106"/>
      <c r="R204" s="106"/>
      <c r="S204" s="106"/>
      <c r="T204" s="106"/>
      <c r="U204" s="106"/>
      <c r="V204" s="9"/>
      <c r="W204" s="106"/>
      <c r="X204" s="106"/>
      <c r="Y204" s="106"/>
      <c r="Z204" s="106"/>
      <c r="AA204" s="106"/>
      <c r="AB204" s="106"/>
      <c r="AC204" s="9"/>
      <c r="AD204" s="106"/>
      <c r="AE204" s="106"/>
      <c r="AF204" s="106"/>
      <c r="AG204" s="106"/>
      <c r="AH204" s="106"/>
      <c r="AI204" s="106"/>
      <c r="AJ204" s="9"/>
      <c r="AK204" s="106"/>
      <c r="AL204" s="106"/>
      <c r="AM204" s="106"/>
      <c r="AN204" s="106"/>
      <c r="AO204" s="106"/>
      <c r="AP204" s="106"/>
      <c r="AQ204" s="9"/>
      <c r="AR204" s="106"/>
      <c r="AS204" s="106"/>
      <c r="AT204" s="106"/>
      <c r="AU204" s="106"/>
      <c r="AV204" s="106"/>
      <c r="AW204" s="106"/>
      <c r="AX204" s="9"/>
    </row>
    <row r="205" spans="1:50" ht="13.05" hidden="1" customHeight="1" thickBot="1" x14ac:dyDescent="0.3">
      <c r="A205" t="str">
        <f>Nutrients!B204</f>
        <v>TASA Prime meal Hubbard</v>
      </c>
      <c r="B205" s="106"/>
      <c r="C205" s="106"/>
      <c r="D205" s="106"/>
      <c r="E205" s="106"/>
      <c r="F205" s="106"/>
      <c r="G205" s="106"/>
      <c r="H205" s="106"/>
      <c r="I205" s="106"/>
      <c r="J205" s="106"/>
      <c r="K205" s="106"/>
      <c r="L205" s="106"/>
      <c r="M205" s="106"/>
      <c r="N205" s="106"/>
      <c r="O205" s="29"/>
      <c r="P205" s="106"/>
      <c r="Q205" s="106"/>
      <c r="R205" s="106"/>
      <c r="S205" s="106"/>
      <c r="T205" s="106"/>
      <c r="U205" s="106"/>
      <c r="V205" s="9"/>
      <c r="W205" s="106"/>
      <c r="X205" s="106"/>
      <c r="Y205" s="106"/>
      <c r="Z205" s="106"/>
      <c r="AA205" s="106"/>
      <c r="AB205" s="106"/>
      <c r="AC205" s="9"/>
      <c r="AD205" s="106"/>
      <c r="AE205" s="106"/>
      <c r="AF205" s="106"/>
      <c r="AG205" s="106"/>
      <c r="AH205" s="106"/>
      <c r="AI205" s="106"/>
      <c r="AJ205" s="9"/>
      <c r="AK205" s="106"/>
      <c r="AL205" s="106"/>
      <c r="AM205" s="106"/>
      <c r="AN205" s="106"/>
      <c r="AO205" s="106"/>
      <c r="AP205" s="106"/>
      <c r="AQ205" s="9"/>
      <c r="AR205" s="106"/>
      <c r="AS205" s="106"/>
      <c r="AT205" s="106"/>
      <c r="AU205" s="106"/>
      <c r="AV205" s="106"/>
      <c r="AW205" s="106"/>
      <c r="AX205" s="9"/>
    </row>
    <row r="206" spans="1:50" ht="13.05" hidden="1" customHeight="1" thickBot="1" x14ac:dyDescent="0.3">
      <c r="A206" t="str">
        <f>Nutrients!B205</f>
        <v>TASA Swine Hubbard</v>
      </c>
      <c r="B206" s="106"/>
      <c r="C206" s="106"/>
      <c r="D206" s="106"/>
      <c r="E206" s="106"/>
      <c r="F206" s="106"/>
      <c r="G206" s="106"/>
      <c r="H206" s="106"/>
      <c r="I206" s="106"/>
      <c r="J206" s="106"/>
      <c r="K206" s="106"/>
      <c r="L206" s="106"/>
      <c r="M206" s="106"/>
      <c r="N206" s="106"/>
      <c r="O206" s="29"/>
      <c r="P206" s="106"/>
      <c r="Q206" s="106"/>
      <c r="R206" s="106"/>
      <c r="S206" s="106"/>
      <c r="T206" s="106"/>
      <c r="U206" s="106"/>
      <c r="V206" s="9"/>
      <c r="W206" s="106"/>
      <c r="X206" s="106"/>
      <c r="Y206" s="106"/>
      <c r="Z206" s="106"/>
      <c r="AA206" s="106"/>
      <c r="AB206" s="106"/>
      <c r="AC206" s="9"/>
      <c r="AD206" s="106"/>
      <c r="AE206" s="106"/>
      <c r="AF206" s="106"/>
      <c r="AG206" s="106"/>
      <c r="AH206" s="106"/>
      <c r="AI206" s="106"/>
      <c r="AJ206" s="9"/>
      <c r="AK206" s="106"/>
      <c r="AL206" s="106"/>
      <c r="AM206" s="106"/>
      <c r="AN206" s="106"/>
      <c r="AO206" s="106"/>
      <c r="AP206" s="106"/>
      <c r="AQ206" s="9"/>
      <c r="AR206" s="106"/>
      <c r="AS206" s="106"/>
      <c r="AT206" s="106"/>
      <c r="AU206" s="106"/>
      <c r="AV206" s="106"/>
      <c r="AW206" s="106"/>
      <c r="AX206" s="9"/>
    </row>
    <row r="207" spans="1:50" ht="13.05" hidden="1" customHeight="1" thickBot="1" x14ac:dyDescent="0.3">
      <c r="A207" t="str">
        <f>Nutrients!B206</f>
        <v>TASA fish solubles Hubbard</v>
      </c>
      <c r="B207" s="106"/>
      <c r="C207" s="106"/>
      <c r="D207" s="106"/>
      <c r="E207" s="106"/>
      <c r="F207" s="106"/>
      <c r="G207" s="106"/>
      <c r="H207" s="106"/>
      <c r="I207" s="106"/>
      <c r="J207" s="106"/>
      <c r="K207" s="106"/>
      <c r="L207" s="106"/>
      <c r="M207" s="106"/>
      <c r="N207" s="106"/>
      <c r="O207" s="29"/>
      <c r="P207" s="106"/>
      <c r="Q207" s="106"/>
      <c r="R207" s="106"/>
      <c r="S207" s="106"/>
      <c r="T207" s="106"/>
      <c r="U207" s="106"/>
      <c r="V207" s="9"/>
      <c r="W207" s="106"/>
      <c r="X207" s="106"/>
      <c r="Y207" s="106"/>
      <c r="Z207" s="106"/>
      <c r="AA207" s="106"/>
      <c r="AB207" s="106"/>
      <c r="AC207" s="9"/>
      <c r="AD207" s="106"/>
      <c r="AE207" s="106"/>
      <c r="AF207" s="106"/>
      <c r="AG207" s="106"/>
      <c r="AH207" s="106"/>
      <c r="AI207" s="106"/>
      <c r="AJ207" s="9"/>
      <c r="AK207" s="106"/>
      <c r="AL207" s="106"/>
      <c r="AM207" s="106"/>
      <c r="AN207" s="106"/>
      <c r="AO207" s="106"/>
      <c r="AP207" s="106"/>
      <c r="AQ207" s="9"/>
      <c r="AR207" s="106"/>
      <c r="AS207" s="106"/>
      <c r="AT207" s="106"/>
      <c r="AU207" s="106"/>
      <c r="AV207" s="106"/>
      <c r="AW207" s="106"/>
      <c r="AX207" s="9"/>
    </row>
    <row r="208" spans="1:50" ht="13.05" hidden="1" customHeight="1" thickBot="1" x14ac:dyDescent="0.3">
      <c r="A208" t="str">
        <f>Nutrients!B207</f>
        <v>Mepro + TASA additive Hubbard</v>
      </c>
      <c r="B208" s="106"/>
      <c r="C208" s="106"/>
      <c r="D208" s="106"/>
      <c r="E208" s="106"/>
      <c r="F208" s="106"/>
      <c r="G208" s="106"/>
      <c r="H208" s="106"/>
      <c r="I208" s="106"/>
      <c r="J208" s="106"/>
      <c r="K208" s="106"/>
      <c r="L208" s="106"/>
      <c r="M208" s="106"/>
      <c r="N208" s="106"/>
      <c r="O208" s="29"/>
      <c r="P208" s="106"/>
      <c r="Q208" s="106"/>
      <c r="R208" s="106"/>
      <c r="S208" s="106"/>
      <c r="T208" s="106"/>
      <c r="U208" s="106"/>
      <c r="V208" s="9"/>
      <c r="W208" s="106"/>
      <c r="X208" s="106"/>
      <c r="Y208" s="106"/>
      <c r="Z208" s="106"/>
      <c r="AA208" s="106"/>
      <c r="AB208" s="106"/>
      <c r="AC208" s="9"/>
      <c r="AD208" s="106"/>
      <c r="AE208" s="106"/>
      <c r="AF208" s="106"/>
      <c r="AG208" s="106"/>
      <c r="AH208" s="106"/>
      <c r="AI208" s="106"/>
      <c r="AJ208" s="9"/>
      <c r="AK208" s="106"/>
      <c r="AL208" s="106"/>
      <c r="AM208" s="106"/>
      <c r="AN208" s="106"/>
      <c r="AO208" s="106"/>
      <c r="AP208" s="106"/>
      <c r="AQ208" s="9"/>
      <c r="AR208" s="106"/>
      <c r="AS208" s="106"/>
      <c r="AT208" s="106"/>
      <c r="AU208" s="106"/>
      <c r="AV208" s="106"/>
      <c r="AW208" s="106"/>
      <c r="AX208" s="9"/>
    </row>
    <row r="209" spans="1:50" ht="13.05" hidden="1" customHeight="1" thickBot="1" x14ac:dyDescent="0.3">
      <c r="A209" t="str">
        <f>Nutrients!B208</f>
        <v>TASA Prime + TASA additive Hubbard</v>
      </c>
      <c r="B209" s="106"/>
      <c r="C209" s="106"/>
      <c r="D209" s="106"/>
      <c r="E209" s="106"/>
      <c r="F209" s="106"/>
      <c r="G209" s="106"/>
      <c r="H209" s="106"/>
      <c r="I209" s="106"/>
      <c r="J209" s="106"/>
      <c r="K209" s="106"/>
      <c r="L209" s="106"/>
      <c r="M209" s="106"/>
      <c r="N209" s="106"/>
      <c r="O209" s="29"/>
      <c r="P209" s="106"/>
      <c r="Q209" s="106"/>
      <c r="R209" s="106"/>
      <c r="S209" s="106"/>
      <c r="T209" s="106"/>
      <c r="U209" s="106"/>
      <c r="V209" s="9"/>
      <c r="W209" s="106"/>
      <c r="X209" s="106"/>
      <c r="Y209" s="106"/>
      <c r="Z209" s="106"/>
      <c r="AA209" s="106"/>
      <c r="AB209" s="106"/>
      <c r="AC209" s="9"/>
      <c r="AD209" s="106"/>
      <c r="AE209" s="106"/>
      <c r="AF209" s="106"/>
      <c r="AG209" s="106"/>
      <c r="AH209" s="106"/>
      <c r="AI209" s="106"/>
      <c r="AJ209" s="9"/>
      <c r="AK209" s="106"/>
      <c r="AL209" s="106"/>
      <c r="AM209" s="106"/>
      <c r="AN209" s="106"/>
      <c r="AO209" s="106"/>
      <c r="AP209" s="106"/>
      <c r="AQ209" s="9"/>
      <c r="AR209" s="106"/>
      <c r="AS209" s="106"/>
      <c r="AT209" s="106"/>
      <c r="AU209" s="106"/>
      <c r="AV209" s="106"/>
      <c r="AW209" s="106"/>
      <c r="AX209" s="9"/>
    </row>
    <row r="210" spans="1:50" ht="13.05" hidden="1" customHeight="1" thickBot="1" x14ac:dyDescent="0.3">
      <c r="A210" t="str">
        <f>Nutrients!B209</f>
        <v>NHF SOW VTM 4# 2022</v>
      </c>
      <c r="B210" s="106"/>
      <c r="C210" s="106"/>
      <c r="D210" s="106"/>
      <c r="E210" s="106"/>
      <c r="F210" s="106"/>
      <c r="G210" s="106"/>
      <c r="H210" s="106"/>
      <c r="I210" s="106"/>
      <c r="J210" s="106"/>
      <c r="K210" s="106"/>
      <c r="L210" s="106"/>
      <c r="M210" s="106"/>
      <c r="N210" s="106"/>
      <c r="O210" s="29"/>
      <c r="P210" s="106"/>
      <c r="Q210" s="106"/>
      <c r="R210" s="106"/>
      <c r="S210" s="106"/>
      <c r="T210" s="106"/>
      <c r="U210" s="106"/>
      <c r="V210" s="9"/>
      <c r="W210" s="106"/>
      <c r="X210" s="106"/>
      <c r="Y210" s="106"/>
      <c r="Z210" s="106"/>
      <c r="AA210" s="106"/>
      <c r="AB210" s="106"/>
      <c r="AC210" s="9"/>
      <c r="AD210" s="106"/>
      <c r="AE210" s="106"/>
      <c r="AF210" s="106"/>
      <c r="AG210" s="106"/>
      <c r="AH210" s="106"/>
      <c r="AI210" s="106"/>
      <c r="AJ210" s="9"/>
      <c r="AK210" s="106"/>
      <c r="AL210" s="106"/>
      <c r="AM210" s="106"/>
      <c r="AN210" s="106"/>
      <c r="AO210" s="106"/>
      <c r="AP210" s="106"/>
      <c r="AQ210" s="9"/>
      <c r="AR210" s="106"/>
      <c r="AS210" s="106"/>
      <c r="AT210" s="106"/>
      <c r="AU210" s="106"/>
      <c r="AV210" s="106"/>
      <c r="AW210" s="106"/>
      <c r="AX210" s="9"/>
    </row>
    <row r="211" spans="1:50" ht="13.05" hidden="1" customHeight="1" thickBot="1" x14ac:dyDescent="0.3">
      <c r="A211" t="str">
        <f>Nutrients!B210</f>
        <v xml:space="preserve">ThrPro </v>
      </c>
      <c r="B211" s="106"/>
      <c r="C211" s="106"/>
      <c r="D211" s="106"/>
      <c r="E211" s="106"/>
      <c r="F211" s="106"/>
      <c r="G211" s="106"/>
      <c r="H211" s="106"/>
      <c r="I211" s="106"/>
      <c r="J211" s="106"/>
      <c r="K211" s="106"/>
      <c r="L211" s="106"/>
      <c r="M211" s="106"/>
      <c r="N211" s="106"/>
      <c r="O211" s="29"/>
      <c r="P211" s="106"/>
      <c r="Q211" s="106"/>
      <c r="R211" s="106"/>
      <c r="S211" s="106"/>
      <c r="T211" s="106"/>
      <c r="U211" s="106"/>
      <c r="V211" s="9"/>
      <c r="W211" s="106"/>
      <c r="X211" s="106"/>
      <c r="Y211" s="106"/>
      <c r="Z211" s="106"/>
      <c r="AA211" s="106"/>
      <c r="AB211" s="106"/>
      <c r="AC211" s="9"/>
      <c r="AD211" s="106"/>
      <c r="AE211" s="106"/>
      <c r="AF211" s="106"/>
      <c r="AG211" s="106"/>
      <c r="AH211" s="106"/>
      <c r="AI211" s="106"/>
      <c r="AJ211" s="9"/>
      <c r="AK211" s="106"/>
      <c r="AL211" s="106"/>
      <c r="AM211" s="106"/>
      <c r="AN211" s="106"/>
      <c r="AO211" s="106"/>
      <c r="AP211" s="106"/>
      <c r="AQ211" s="9"/>
      <c r="AR211" s="106"/>
      <c r="AS211" s="106"/>
      <c r="AT211" s="106"/>
      <c r="AU211" s="106"/>
      <c r="AV211" s="106"/>
      <c r="AW211" s="106"/>
      <c r="AX211" s="9"/>
    </row>
    <row r="212" spans="1:50" ht="13.05" hidden="1" customHeight="1" thickBot="1" x14ac:dyDescent="0.3">
      <c r="A212" t="str">
        <f>Nutrients!B211</f>
        <v>NHF Optiphos Plus 2500 G</v>
      </c>
      <c r="B212" s="106"/>
      <c r="C212" s="106"/>
      <c r="D212" s="106"/>
      <c r="E212" s="106"/>
      <c r="F212" s="106"/>
      <c r="G212" s="106"/>
      <c r="H212" s="106"/>
      <c r="I212" s="106"/>
      <c r="J212" s="106"/>
      <c r="K212" s="106"/>
      <c r="L212" s="106"/>
      <c r="M212" s="106"/>
      <c r="N212" s="106"/>
      <c r="O212" s="29"/>
      <c r="P212" s="106"/>
      <c r="Q212" s="106"/>
      <c r="R212" s="106"/>
      <c r="S212" s="106"/>
      <c r="T212" s="106"/>
      <c r="U212" s="106"/>
      <c r="V212" s="9"/>
      <c r="W212" s="106"/>
      <c r="X212" s="106"/>
      <c r="Y212" s="106"/>
      <c r="Z212" s="106"/>
      <c r="AA212" s="106"/>
      <c r="AB212" s="106"/>
      <c r="AC212" s="9"/>
      <c r="AD212" s="106"/>
      <c r="AE212" s="106"/>
      <c r="AF212" s="106"/>
      <c r="AG212" s="106"/>
      <c r="AH212" s="106"/>
      <c r="AI212" s="106"/>
      <c r="AJ212" s="9"/>
      <c r="AK212" s="106"/>
      <c r="AL212" s="106"/>
      <c r="AM212" s="106"/>
      <c r="AN212" s="106"/>
      <c r="AO212" s="106"/>
      <c r="AP212" s="106"/>
      <c r="AQ212" s="9"/>
      <c r="AR212" s="106"/>
      <c r="AS212" s="106"/>
      <c r="AT212" s="106"/>
      <c r="AU212" s="106"/>
      <c r="AV212" s="106"/>
      <c r="AW212" s="106"/>
      <c r="AX212" s="9"/>
    </row>
    <row r="213" spans="1:50" ht="13.05" hidden="1" customHeight="1" thickBot="1" x14ac:dyDescent="0.3">
      <c r="A213" t="str">
        <f>Nutrients!B212</f>
        <v>NHF Corn DDGS, Valero, Aurora</v>
      </c>
      <c r="B213" s="106"/>
      <c r="C213" s="106"/>
      <c r="D213" s="106"/>
      <c r="E213" s="106"/>
      <c r="F213" s="106"/>
      <c r="G213" s="106"/>
      <c r="H213" s="106"/>
      <c r="I213" s="106"/>
      <c r="J213" s="106"/>
      <c r="K213" s="106"/>
      <c r="L213" s="106"/>
      <c r="M213" s="106"/>
      <c r="N213" s="106"/>
      <c r="O213" s="29"/>
      <c r="P213" s="106"/>
      <c r="Q213" s="106"/>
      <c r="R213" s="106"/>
      <c r="S213" s="106"/>
      <c r="T213" s="106"/>
      <c r="U213" s="106"/>
      <c r="V213" s="9"/>
      <c r="W213" s="106"/>
      <c r="X213" s="106"/>
      <c r="Y213" s="106"/>
      <c r="Z213" s="106"/>
      <c r="AA213" s="106"/>
      <c r="AB213" s="106"/>
      <c r="AC213" s="9"/>
      <c r="AD213" s="106"/>
      <c r="AE213" s="106"/>
      <c r="AF213" s="106"/>
      <c r="AG213" s="106"/>
      <c r="AH213" s="106"/>
      <c r="AI213" s="106"/>
      <c r="AJ213" s="9"/>
      <c r="AK213" s="106"/>
      <c r="AL213" s="106"/>
      <c r="AM213" s="106"/>
      <c r="AN213" s="106"/>
      <c r="AO213" s="106"/>
      <c r="AP213" s="106"/>
      <c r="AQ213" s="9"/>
      <c r="AR213" s="106"/>
      <c r="AS213" s="106"/>
      <c r="AT213" s="106"/>
      <c r="AU213" s="106"/>
      <c r="AV213" s="106"/>
      <c r="AW213" s="106"/>
      <c r="AX213" s="9"/>
    </row>
    <row r="214" spans="1:50" ht="13.05" hidden="1" customHeight="1" thickBot="1" x14ac:dyDescent="0.3">
      <c r="A214" t="str">
        <f>Nutrients!B213</f>
        <v>HP 300 Hubbard</v>
      </c>
      <c r="B214" s="106"/>
      <c r="C214" s="106"/>
      <c r="D214" s="106"/>
      <c r="E214" s="106"/>
      <c r="F214" s="106"/>
      <c r="G214" s="106"/>
      <c r="H214" s="106"/>
      <c r="I214" s="106"/>
      <c r="J214" s="106"/>
      <c r="K214" s="106"/>
      <c r="L214" s="106"/>
      <c r="M214" s="106"/>
      <c r="N214" s="106"/>
      <c r="O214" s="29"/>
      <c r="P214" s="106"/>
      <c r="Q214" s="106"/>
      <c r="R214" s="106"/>
      <c r="S214" s="106"/>
      <c r="T214" s="106"/>
      <c r="U214" s="106"/>
      <c r="V214" s="9"/>
      <c r="W214" s="106"/>
      <c r="X214" s="106"/>
      <c r="Y214" s="106"/>
      <c r="Z214" s="106"/>
      <c r="AA214" s="106"/>
      <c r="AB214" s="106"/>
      <c r="AC214" s="9"/>
      <c r="AD214" s="106"/>
      <c r="AE214" s="106"/>
      <c r="AF214" s="106"/>
      <c r="AG214" s="106"/>
      <c r="AH214" s="106"/>
      <c r="AI214" s="106"/>
      <c r="AJ214" s="9"/>
      <c r="AK214" s="106"/>
      <c r="AL214" s="106"/>
      <c r="AM214" s="106"/>
      <c r="AN214" s="106"/>
      <c r="AO214" s="106"/>
      <c r="AP214" s="106"/>
      <c r="AQ214" s="9"/>
      <c r="AR214" s="106"/>
      <c r="AS214" s="106"/>
      <c r="AT214" s="106"/>
      <c r="AU214" s="106"/>
      <c r="AV214" s="106"/>
      <c r="AW214" s="106"/>
      <c r="AX214" s="9"/>
    </row>
    <row r="215" spans="1:50" ht="13.05" hidden="1" customHeight="1" thickBot="1" x14ac:dyDescent="0.3">
      <c r="A215" t="str">
        <f>Nutrients!B214</f>
        <v>NHF Corn DDGS, Illuminate for Aurora</v>
      </c>
      <c r="B215" s="106"/>
      <c r="C215" s="106"/>
      <c r="D215" s="106"/>
      <c r="E215" s="106"/>
      <c r="F215" s="106"/>
      <c r="G215" s="106"/>
      <c r="H215" s="106"/>
      <c r="I215" s="106"/>
      <c r="J215" s="106"/>
      <c r="K215" s="106"/>
      <c r="L215" s="106"/>
      <c r="M215" s="106"/>
      <c r="N215" s="106"/>
      <c r="O215" s="29"/>
      <c r="P215" s="106"/>
      <c r="Q215" s="106"/>
      <c r="R215" s="106"/>
      <c r="S215" s="106"/>
      <c r="T215" s="106"/>
      <c r="U215" s="106"/>
      <c r="V215" s="9"/>
      <c r="W215" s="106"/>
      <c r="X215" s="106"/>
      <c r="Y215" s="106"/>
      <c r="Z215" s="106"/>
      <c r="AA215" s="106"/>
      <c r="AB215" s="106"/>
      <c r="AC215" s="9"/>
      <c r="AD215" s="106"/>
      <c r="AE215" s="106"/>
      <c r="AF215" s="106"/>
      <c r="AG215" s="106"/>
      <c r="AH215" s="106"/>
      <c r="AI215" s="106"/>
      <c r="AJ215" s="9"/>
      <c r="AK215" s="106"/>
      <c r="AL215" s="106"/>
      <c r="AM215" s="106"/>
      <c r="AN215" s="106"/>
      <c r="AO215" s="106"/>
      <c r="AP215" s="106"/>
      <c r="AQ215" s="9"/>
      <c r="AR215" s="106"/>
      <c r="AS215" s="106"/>
      <c r="AT215" s="106"/>
      <c r="AU215" s="106"/>
      <c r="AV215" s="106"/>
      <c r="AW215" s="106"/>
      <c r="AX215" s="9"/>
    </row>
    <row r="216" spans="1:50" ht="13.05" hidden="1" customHeight="1" thickBot="1" x14ac:dyDescent="0.3">
      <c r="A216" t="str">
        <f>Nutrients!B215</f>
        <v>NFP Corn DDGS, MO analysis</v>
      </c>
      <c r="B216" s="106"/>
      <c r="C216" s="106"/>
      <c r="D216" s="106"/>
      <c r="E216" s="106"/>
      <c r="F216" s="106"/>
      <c r="G216" s="106"/>
      <c r="H216" s="106"/>
      <c r="I216" s="106"/>
      <c r="J216" s="106"/>
      <c r="K216" s="106"/>
      <c r="L216" s="106"/>
      <c r="M216" s="106"/>
      <c r="N216" s="106"/>
      <c r="O216" s="29"/>
      <c r="P216" s="106"/>
      <c r="Q216" s="106"/>
      <c r="R216" s="106"/>
      <c r="S216" s="106"/>
      <c r="T216" s="106"/>
      <c r="U216" s="106"/>
      <c r="V216" s="9"/>
      <c r="W216" s="106"/>
      <c r="X216" s="106"/>
      <c r="Y216" s="106"/>
      <c r="Z216" s="106"/>
      <c r="AA216" s="106"/>
      <c r="AB216" s="106"/>
      <c r="AC216" s="9"/>
      <c r="AD216" s="106"/>
      <c r="AE216" s="106"/>
      <c r="AF216" s="106"/>
      <c r="AG216" s="106"/>
      <c r="AH216" s="106"/>
      <c r="AI216" s="106"/>
      <c r="AJ216" s="9"/>
      <c r="AK216" s="106"/>
      <c r="AL216" s="106"/>
      <c r="AM216" s="106"/>
      <c r="AN216" s="106"/>
      <c r="AO216" s="106"/>
      <c r="AP216" s="106"/>
      <c r="AQ216" s="9"/>
      <c r="AR216" s="106"/>
      <c r="AS216" s="106"/>
      <c r="AT216" s="106"/>
      <c r="AU216" s="106"/>
      <c r="AV216" s="106"/>
      <c r="AW216" s="106"/>
      <c r="AX216" s="9"/>
    </row>
    <row r="217" spans="1:50" ht="13.05" hidden="1" customHeight="1" thickBot="1" x14ac:dyDescent="0.3">
      <c r="A217" t="str">
        <f>Nutrients!B216</f>
        <v>NFP Smizyme 2500</v>
      </c>
      <c r="B217" s="106"/>
      <c r="C217" s="106"/>
      <c r="D217" s="106"/>
      <c r="E217" s="106"/>
      <c r="F217" s="106"/>
      <c r="G217" s="106"/>
      <c r="H217" s="106"/>
      <c r="I217" s="106"/>
      <c r="J217" s="106"/>
      <c r="K217" s="106"/>
      <c r="L217" s="106"/>
      <c r="M217" s="106"/>
      <c r="N217" s="106"/>
      <c r="O217" s="29"/>
      <c r="P217" s="106"/>
      <c r="Q217" s="106"/>
      <c r="R217" s="106"/>
      <c r="S217" s="106"/>
      <c r="T217" s="106"/>
      <c r="U217" s="106"/>
      <c r="V217" s="9"/>
      <c r="W217" s="106"/>
      <c r="X217" s="106"/>
      <c r="Y217" s="106"/>
      <c r="Z217" s="106"/>
      <c r="AA217" s="106"/>
      <c r="AB217" s="106"/>
      <c r="AC217" s="9"/>
      <c r="AD217" s="106"/>
      <c r="AE217" s="106"/>
      <c r="AF217" s="106"/>
      <c r="AG217" s="106"/>
      <c r="AH217" s="106"/>
      <c r="AI217" s="106"/>
      <c r="AJ217" s="9"/>
      <c r="AK217" s="106"/>
      <c r="AL217" s="106"/>
      <c r="AM217" s="106"/>
      <c r="AN217" s="106"/>
      <c r="AO217" s="106"/>
      <c r="AP217" s="106"/>
      <c r="AQ217" s="9"/>
      <c r="AR217" s="106"/>
      <c r="AS217" s="106"/>
      <c r="AT217" s="106"/>
      <c r="AU217" s="106"/>
      <c r="AV217" s="106"/>
      <c r="AW217" s="106"/>
      <c r="AX217" s="9"/>
    </row>
    <row r="218" spans="1:50" ht="13.05" hidden="1" customHeight="1" thickBot="1" x14ac:dyDescent="0.3">
      <c r="A218" t="str">
        <f>Nutrients!B217</f>
        <v>NHF HP300 2022 loadings</v>
      </c>
      <c r="B218" s="106"/>
      <c r="C218" s="106"/>
      <c r="D218" s="106"/>
      <c r="E218" s="106"/>
      <c r="F218" s="106"/>
      <c r="G218" s="106"/>
      <c r="H218" s="106"/>
      <c r="I218" s="106"/>
      <c r="J218" s="106"/>
      <c r="K218" s="106"/>
      <c r="L218" s="106"/>
      <c r="M218" s="106"/>
      <c r="N218" s="106"/>
      <c r="O218" s="29"/>
      <c r="P218" s="106"/>
      <c r="Q218" s="106"/>
      <c r="R218" s="106"/>
      <c r="S218" s="106"/>
      <c r="T218" s="106"/>
      <c r="U218" s="106"/>
      <c r="V218" s="9"/>
      <c r="W218" s="106"/>
      <c r="X218" s="106"/>
      <c r="Y218" s="106"/>
      <c r="Z218" s="106"/>
      <c r="AA218" s="106"/>
      <c r="AB218" s="106"/>
      <c r="AC218" s="9"/>
      <c r="AD218" s="106"/>
      <c r="AE218" s="106"/>
      <c r="AF218" s="106"/>
      <c r="AG218" s="106"/>
      <c r="AH218" s="106"/>
      <c r="AI218" s="106"/>
      <c r="AJ218" s="9"/>
      <c r="AK218" s="106"/>
      <c r="AL218" s="106"/>
      <c r="AM218" s="106"/>
      <c r="AN218" s="106"/>
      <c r="AO218" s="106"/>
      <c r="AP218" s="106"/>
      <c r="AQ218" s="9"/>
      <c r="AR218" s="106"/>
      <c r="AS218" s="106"/>
      <c r="AT218" s="106"/>
      <c r="AU218" s="106"/>
      <c r="AV218" s="106"/>
      <c r="AW218" s="106"/>
      <c r="AX218" s="9"/>
    </row>
    <row r="219" spans="1:50" ht="13.05" hidden="1" customHeight="1" thickBot="1" x14ac:dyDescent="0.3">
      <c r="A219" t="str">
        <f>Nutrients!B218</f>
        <v>NHF Liquid Lys 55%</v>
      </c>
      <c r="B219" s="106"/>
      <c r="C219" s="106"/>
      <c r="D219" s="106"/>
      <c r="E219" s="106"/>
      <c r="F219" s="106"/>
      <c r="G219" s="106"/>
      <c r="H219" s="106"/>
      <c r="I219" s="106"/>
      <c r="J219" s="106"/>
      <c r="K219" s="106"/>
      <c r="L219" s="106"/>
      <c r="M219" s="106"/>
      <c r="N219" s="106"/>
      <c r="O219" s="29"/>
      <c r="P219" s="106"/>
      <c r="Q219" s="106"/>
      <c r="R219" s="106"/>
      <c r="S219" s="106"/>
      <c r="T219" s="106"/>
      <c r="U219" s="106"/>
      <c r="V219" s="9"/>
      <c r="W219" s="106"/>
      <c r="X219" s="106"/>
      <c r="Y219" s="106"/>
      <c r="Z219" s="106"/>
      <c r="AA219" s="106"/>
      <c r="AB219" s="106"/>
      <c r="AC219" s="9"/>
      <c r="AD219" s="106"/>
      <c r="AE219" s="106"/>
      <c r="AF219" s="106"/>
      <c r="AG219" s="106"/>
      <c r="AH219" s="106"/>
      <c r="AI219" s="106"/>
      <c r="AJ219" s="9"/>
      <c r="AK219" s="106"/>
      <c r="AL219" s="106"/>
      <c r="AM219" s="106"/>
      <c r="AN219" s="106"/>
      <c r="AO219" s="106"/>
      <c r="AP219" s="106"/>
      <c r="AQ219" s="9"/>
      <c r="AR219" s="106"/>
      <c r="AS219" s="106"/>
      <c r="AT219" s="106"/>
      <c r="AU219" s="106"/>
      <c r="AV219" s="106"/>
      <c r="AW219" s="106"/>
      <c r="AX219" s="9"/>
    </row>
    <row r="220" spans="1:50" ht="13.8" thickBot="1" x14ac:dyDescent="0.3">
      <c r="A220" t="str">
        <f>Nutrients!B219</f>
        <v>Corn DDGS with varying energy</v>
      </c>
      <c r="B220" s="106"/>
      <c r="C220" s="106"/>
      <c r="D220" s="106"/>
      <c r="E220" s="106"/>
      <c r="F220" s="106"/>
      <c r="G220" s="106"/>
      <c r="H220" s="106"/>
      <c r="I220" s="106">
        <v>100</v>
      </c>
      <c r="J220" s="106">
        <v>100</v>
      </c>
      <c r="K220" s="106">
        <v>100</v>
      </c>
      <c r="L220" s="106">
        <v>100</v>
      </c>
      <c r="M220" s="106">
        <v>100</v>
      </c>
      <c r="N220" s="106">
        <v>100</v>
      </c>
      <c r="O220" s="29"/>
      <c r="P220" s="106">
        <v>200</v>
      </c>
      <c r="Q220" s="106">
        <v>200</v>
      </c>
      <c r="R220" s="106">
        <v>200</v>
      </c>
      <c r="S220" s="106">
        <v>200</v>
      </c>
      <c r="T220" s="106">
        <v>200</v>
      </c>
      <c r="U220" s="106">
        <v>200</v>
      </c>
      <c r="V220" s="9"/>
      <c r="W220" s="106">
        <v>300</v>
      </c>
      <c r="X220" s="106">
        <v>300</v>
      </c>
      <c r="Y220" s="106">
        <v>300</v>
      </c>
      <c r="Z220" s="106">
        <v>300</v>
      </c>
      <c r="AA220" s="106">
        <v>300</v>
      </c>
      <c r="AB220" s="106">
        <v>300</v>
      </c>
      <c r="AC220" s="9"/>
      <c r="AD220" s="106">
        <v>400</v>
      </c>
      <c r="AE220" s="106">
        <v>400</v>
      </c>
      <c r="AF220" s="106">
        <v>400</v>
      </c>
      <c r="AG220" s="106">
        <v>400</v>
      </c>
      <c r="AH220" s="106">
        <v>400</v>
      </c>
      <c r="AI220" s="106">
        <v>400</v>
      </c>
      <c r="AJ220" s="9"/>
      <c r="AK220" s="106">
        <v>500</v>
      </c>
      <c r="AL220" s="106">
        <v>500</v>
      </c>
      <c r="AM220" s="106">
        <v>500</v>
      </c>
      <c r="AN220" s="106">
        <v>500</v>
      </c>
      <c r="AO220" s="106">
        <v>500</v>
      </c>
      <c r="AP220" s="106">
        <v>500</v>
      </c>
      <c r="AQ220" s="9"/>
      <c r="AR220" s="106">
        <v>600</v>
      </c>
      <c r="AS220" s="106">
        <v>600</v>
      </c>
      <c r="AT220" s="106">
        <v>600</v>
      </c>
      <c r="AU220" s="106">
        <v>600</v>
      </c>
      <c r="AV220" s="106">
        <v>600</v>
      </c>
      <c r="AW220" s="106">
        <v>600</v>
      </c>
      <c r="AX220" s="9"/>
    </row>
    <row r="221" spans="1:50" ht="13.05" hidden="1" customHeight="1" x14ac:dyDescent="0.25">
      <c r="A221" t="str">
        <f>Nutrients!B220</f>
        <v>Other ingredient</v>
      </c>
      <c r="B221" s="99"/>
      <c r="C221" s="99"/>
      <c r="D221" s="99"/>
      <c r="E221" s="99"/>
      <c r="F221" s="99"/>
      <c r="G221" s="99"/>
      <c r="H221" s="99"/>
      <c r="I221" s="99"/>
      <c r="J221" s="99"/>
      <c r="K221" s="99"/>
      <c r="L221" s="99"/>
      <c r="M221" s="99"/>
      <c r="N221" s="99"/>
      <c r="O221" s="10"/>
      <c r="P221" s="99"/>
      <c r="Q221" s="99"/>
      <c r="R221" s="99"/>
      <c r="S221" s="99"/>
      <c r="T221" s="99"/>
      <c r="U221" s="99"/>
      <c r="W221" s="99"/>
      <c r="X221" s="99"/>
      <c r="Y221" s="99"/>
      <c r="Z221" s="99"/>
      <c r="AA221" s="99"/>
      <c r="AB221" s="99"/>
      <c r="AD221" s="99"/>
      <c r="AE221" s="99"/>
      <c r="AF221" s="99"/>
      <c r="AG221" s="99"/>
      <c r="AH221" s="99"/>
      <c r="AI221" s="99"/>
      <c r="AK221" s="99"/>
      <c r="AL221" s="99"/>
      <c r="AM221" s="99"/>
      <c r="AN221" s="99"/>
      <c r="AO221" s="99"/>
      <c r="AP221" s="99"/>
      <c r="AR221" s="99"/>
      <c r="AS221" s="99"/>
      <c r="AT221" s="99"/>
      <c r="AU221" s="99"/>
      <c r="AV221" s="99"/>
      <c r="AW221" s="99"/>
    </row>
    <row r="222" spans="1:50" ht="13.05" hidden="1" customHeight="1" x14ac:dyDescent="0.25">
      <c r="A222" t="str">
        <f>Nutrients!B221</f>
        <v>Other ingredient</v>
      </c>
      <c r="B222" s="99"/>
      <c r="C222" s="99"/>
      <c r="D222" s="99"/>
      <c r="E222" s="99"/>
      <c r="F222" s="99"/>
      <c r="G222" s="99"/>
      <c r="H222" s="99"/>
      <c r="I222" s="99"/>
      <c r="J222" s="99"/>
      <c r="K222" s="99"/>
      <c r="L222" s="99"/>
      <c r="M222" s="99"/>
      <c r="N222" s="99"/>
      <c r="O222" s="10"/>
      <c r="P222" s="99"/>
      <c r="Q222" s="99"/>
      <c r="R222" s="99"/>
      <c r="S222" s="99"/>
      <c r="T222" s="99"/>
      <c r="U222" s="99"/>
      <c r="W222" s="99"/>
      <c r="X222" s="99"/>
      <c r="Y222" s="99"/>
      <c r="Z222" s="99"/>
      <c r="AA222" s="99"/>
      <c r="AB222" s="99"/>
      <c r="AD222" s="99"/>
      <c r="AE222" s="99"/>
      <c r="AF222" s="99"/>
      <c r="AG222" s="99"/>
      <c r="AH222" s="99"/>
      <c r="AI222" s="99"/>
      <c r="AK222" s="99"/>
      <c r="AL222" s="99"/>
      <c r="AM222" s="99"/>
      <c r="AN222" s="99"/>
      <c r="AO222" s="99"/>
      <c r="AP222" s="99"/>
      <c r="AR222" s="99"/>
      <c r="AS222" s="99"/>
      <c r="AT222" s="99"/>
      <c r="AU222" s="99"/>
      <c r="AV222" s="99"/>
      <c r="AW222" s="99"/>
    </row>
    <row r="223" spans="1:50" ht="13.05" hidden="1" customHeight="1" x14ac:dyDescent="0.25">
      <c r="A223" t="str">
        <f>Nutrients!B222</f>
        <v>Other ingredient</v>
      </c>
      <c r="B223" s="99"/>
      <c r="C223" s="99"/>
      <c r="D223" s="99"/>
      <c r="E223" s="99"/>
      <c r="F223" s="99"/>
      <c r="G223" s="99"/>
      <c r="H223" s="99"/>
      <c r="I223" s="99"/>
      <c r="J223" s="99"/>
      <c r="K223" s="99"/>
      <c r="L223" s="99"/>
      <c r="M223" s="99"/>
      <c r="N223" s="99"/>
      <c r="O223" s="10"/>
      <c r="P223" s="99"/>
      <c r="Q223" s="99"/>
      <c r="R223" s="99"/>
      <c r="S223" s="99"/>
      <c r="T223" s="99"/>
      <c r="U223" s="99"/>
      <c r="W223" s="99"/>
      <c r="X223" s="99"/>
      <c r="Y223" s="99"/>
      <c r="Z223" s="99"/>
      <c r="AA223" s="99"/>
      <c r="AB223" s="99"/>
      <c r="AD223" s="99"/>
      <c r="AE223" s="99"/>
      <c r="AF223" s="99"/>
      <c r="AG223" s="99"/>
      <c r="AH223" s="99"/>
      <c r="AI223" s="99"/>
      <c r="AK223" s="99"/>
      <c r="AL223" s="99"/>
      <c r="AM223" s="99"/>
      <c r="AN223" s="99"/>
      <c r="AO223" s="99"/>
      <c r="AP223" s="99"/>
      <c r="AR223" s="99"/>
      <c r="AS223" s="99"/>
      <c r="AT223" s="99"/>
      <c r="AU223" s="99"/>
      <c r="AV223" s="99"/>
      <c r="AW223" s="99"/>
    </row>
    <row r="224" spans="1:50" ht="13.05" hidden="1" customHeight="1" x14ac:dyDescent="0.25">
      <c r="A224" t="str">
        <f>Nutrients!B223</f>
        <v>Other ingredient</v>
      </c>
      <c r="B224" s="99"/>
      <c r="C224" s="99"/>
      <c r="D224" s="99"/>
      <c r="E224" s="99"/>
      <c r="F224" s="99"/>
      <c r="G224" s="99"/>
      <c r="H224" s="99"/>
      <c r="I224" s="99"/>
      <c r="J224" s="99"/>
      <c r="K224" s="99"/>
      <c r="L224" s="99"/>
      <c r="M224" s="99"/>
      <c r="N224" s="99"/>
      <c r="O224" s="10"/>
      <c r="P224" s="99"/>
      <c r="Q224" s="99"/>
      <c r="R224" s="99"/>
      <c r="S224" s="99"/>
      <c r="T224" s="99"/>
      <c r="U224" s="99"/>
      <c r="W224" s="99"/>
      <c r="X224" s="99"/>
      <c r="Y224" s="99"/>
      <c r="Z224" s="99"/>
      <c r="AA224" s="99"/>
      <c r="AB224" s="99"/>
      <c r="AD224" s="99"/>
      <c r="AE224" s="99"/>
      <c r="AF224" s="99"/>
      <c r="AG224" s="99"/>
      <c r="AH224" s="99"/>
      <c r="AI224" s="99"/>
      <c r="AK224" s="99"/>
      <c r="AL224" s="99"/>
      <c r="AM224" s="99"/>
      <c r="AN224" s="99"/>
      <c r="AO224" s="99"/>
      <c r="AP224" s="99"/>
      <c r="AR224" s="99"/>
      <c r="AS224" s="99"/>
      <c r="AT224" s="99"/>
      <c r="AU224" s="99"/>
      <c r="AV224" s="99"/>
      <c r="AW224" s="99"/>
    </row>
    <row r="225" spans="1:50" ht="13.05" hidden="1" customHeight="1" x14ac:dyDescent="0.25">
      <c r="A225" t="str">
        <f>Nutrients!B224</f>
        <v>Other ingredient</v>
      </c>
      <c r="B225" s="99"/>
      <c r="C225" s="99"/>
      <c r="D225" s="99"/>
      <c r="E225" s="99"/>
      <c r="F225" s="99"/>
      <c r="G225" s="99"/>
      <c r="H225" s="99"/>
      <c r="I225" s="99"/>
      <c r="J225" s="99"/>
      <c r="K225" s="99"/>
      <c r="L225" s="99"/>
      <c r="M225" s="99"/>
      <c r="N225" s="99"/>
      <c r="O225" s="10"/>
      <c r="P225" s="99"/>
      <c r="Q225" s="99"/>
      <c r="R225" s="99"/>
      <c r="S225" s="99"/>
      <c r="T225" s="99"/>
      <c r="U225" s="99"/>
      <c r="W225" s="99"/>
      <c r="X225" s="99"/>
      <c r="Y225" s="99"/>
      <c r="Z225" s="99"/>
      <c r="AA225" s="99"/>
      <c r="AB225" s="99"/>
      <c r="AD225" s="99"/>
      <c r="AE225" s="99"/>
      <c r="AF225" s="99"/>
      <c r="AG225" s="99"/>
      <c r="AH225" s="99"/>
      <c r="AI225" s="99"/>
      <c r="AK225" s="99"/>
      <c r="AL225" s="99"/>
      <c r="AM225" s="99"/>
      <c r="AN225" s="99"/>
      <c r="AO225" s="99"/>
      <c r="AP225" s="99"/>
      <c r="AR225" s="99"/>
      <c r="AS225" s="99"/>
      <c r="AT225" s="99"/>
      <c r="AU225" s="99"/>
      <c r="AV225" s="99"/>
      <c r="AW225" s="99"/>
    </row>
    <row r="226" spans="1:50" ht="13.05" hidden="1" customHeight="1" x14ac:dyDescent="0.25">
      <c r="A226" t="str">
        <f>Nutrients!B225</f>
        <v>Other ingredient</v>
      </c>
      <c r="B226" s="99"/>
      <c r="C226" s="99"/>
      <c r="D226" s="99"/>
      <c r="E226" s="99"/>
      <c r="F226" s="99"/>
      <c r="G226" s="99"/>
      <c r="H226" s="99"/>
      <c r="I226" s="99"/>
      <c r="J226" s="99"/>
      <c r="K226" s="99"/>
      <c r="L226" s="99"/>
      <c r="M226" s="99"/>
      <c r="N226" s="99"/>
      <c r="O226" s="10"/>
      <c r="P226" s="99"/>
      <c r="Q226" s="99"/>
      <c r="R226" s="99"/>
      <c r="S226" s="99"/>
      <c r="T226" s="99"/>
      <c r="U226" s="99"/>
      <c r="W226" s="99"/>
      <c r="X226" s="99"/>
      <c r="Y226" s="99"/>
      <c r="Z226" s="99"/>
      <c r="AA226" s="99"/>
      <c r="AB226" s="99"/>
      <c r="AD226" s="99"/>
      <c r="AE226" s="99"/>
      <c r="AF226" s="99"/>
      <c r="AG226" s="99"/>
      <c r="AH226" s="99"/>
      <c r="AI226" s="99"/>
      <c r="AK226" s="99"/>
      <c r="AL226" s="99"/>
      <c r="AM226" s="99"/>
      <c r="AN226" s="99"/>
      <c r="AO226" s="99"/>
      <c r="AP226" s="99"/>
      <c r="AR226" s="99"/>
      <c r="AS226" s="99"/>
      <c r="AT226" s="99"/>
      <c r="AU226" s="99"/>
      <c r="AV226" s="99"/>
      <c r="AW226" s="99"/>
    </row>
    <row r="227" spans="1:50" ht="13.05" hidden="1" customHeight="1" x14ac:dyDescent="0.25">
      <c r="A227" t="str">
        <f>Nutrients!B226</f>
        <v>Other ingredient</v>
      </c>
      <c r="B227" s="99"/>
      <c r="C227" s="99"/>
      <c r="D227" s="99"/>
      <c r="E227" s="99"/>
      <c r="F227" s="99"/>
      <c r="G227" s="99"/>
      <c r="H227" s="99"/>
      <c r="I227" s="99"/>
      <c r="J227" s="99"/>
      <c r="K227" s="99"/>
      <c r="L227" s="99"/>
      <c r="M227" s="99"/>
      <c r="N227" s="99"/>
      <c r="O227" s="10"/>
      <c r="P227" s="99"/>
      <c r="Q227" s="99"/>
      <c r="R227" s="99"/>
      <c r="S227" s="99"/>
      <c r="T227" s="99"/>
      <c r="U227" s="99"/>
      <c r="W227" s="99"/>
      <c r="X227" s="99"/>
      <c r="Y227" s="99"/>
      <c r="Z227" s="99"/>
      <c r="AA227" s="99"/>
      <c r="AB227" s="99"/>
      <c r="AD227" s="99"/>
      <c r="AE227" s="99"/>
      <c r="AF227" s="99"/>
      <c r="AG227" s="99"/>
      <c r="AH227" s="99"/>
      <c r="AI227" s="99"/>
      <c r="AK227" s="99"/>
      <c r="AL227" s="99"/>
      <c r="AM227" s="99"/>
      <c r="AN227" s="99"/>
      <c r="AO227" s="99"/>
      <c r="AP227" s="99"/>
      <c r="AR227" s="99"/>
      <c r="AS227" s="99"/>
      <c r="AT227" s="99"/>
      <c r="AU227" s="99"/>
      <c r="AV227" s="99"/>
      <c r="AW227" s="99"/>
    </row>
    <row r="228" spans="1:50" ht="13.05" hidden="1" customHeight="1" x14ac:dyDescent="0.25">
      <c r="A228" t="str">
        <f>Nutrients!B227</f>
        <v>Other ingredient</v>
      </c>
      <c r="B228" s="99"/>
      <c r="C228" s="99"/>
      <c r="D228" s="99"/>
      <c r="E228" s="99"/>
      <c r="F228" s="99"/>
      <c r="G228" s="99"/>
      <c r="H228" s="99"/>
      <c r="I228" s="99"/>
      <c r="J228" s="99"/>
      <c r="K228" s="99"/>
      <c r="L228" s="99"/>
      <c r="M228" s="99"/>
      <c r="N228" s="99"/>
      <c r="O228" s="10"/>
      <c r="P228" s="99"/>
      <c r="Q228" s="99"/>
      <c r="R228" s="99"/>
      <c r="S228" s="99"/>
      <c r="T228" s="99"/>
      <c r="U228" s="99"/>
      <c r="W228" s="99"/>
      <c r="X228" s="99"/>
      <c r="Y228" s="99"/>
      <c r="Z228" s="99"/>
      <c r="AA228" s="99"/>
      <c r="AB228" s="99"/>
      <c r="AD228" s="99"/>
      <c r="AE228" s="99"/>
      <c r="AF228" s="99"/>
      <c r="AG228" s="99"/>
      <c r="AH228" s="99"/>
      <c r="AI228" s="99"/>
      <c r="AK228" s="99"/>
      <c r="AL228" s="99"/>
      <c r="AM228" s="99"/>
      <c r="AN228" s="99"/>
      <c r="AO228" s="99"/>
      <c r="AP228" s="99"/>
      <c r="AR228" s="99"/>
      <c r="AS228" s="99"/>
      <c r="AT228" s="99"/>
      <c r="AU228" s="99"/>
      <c r="AV228" s="99"/>
      <c r="AW228" s="99"/>
    </row>
    <row r="229" spans="1:50" ht="13.95" hidden="1" customHeight="1" x14ac:dyDescent="0.25">
      <c r="A229" t="str">
        <f>Nutrients!B228</f>
        <v>Other ingredient</v>
      </c>
      <c r="B229" s="99"/>
      <c r="C229" s="99"/>
      <c r="D229" s="99"/>
      <c r="E229" s="99"/>
      <c r="F229" s="99"/>
      <c r="G229" s="99"/>
      <c r="H229" s="99"/>
      <c r="I229" s="99"/>
      <c r="J229" s="99"/>
      <c r="K229" s="99"/>
      <c r="L229" s="99"/>
      <c r="M229" s="99"/>
      <c r="N229" s="99"/>
      <c r="O229" s="10"/>
      <c r="P229" s="99"/>
      <c r="Q229" s="99"/>
      <c r="R229" s="99"/>
      <c r="S229" s="99"/>
      <c r="T229" s="99"/>
      <c r="U229" s="99"/>
      <c r="W229" s="99"/>
      <c r="X229" s="99"/>
      <c r="Y229" s="99"/>
      <c r="Z229" s="99"/>
      <c r="AA229" s="99"/>
      <c r="AB229" s="99"/>
      <c r="AD229" s="99"/>
      <c r="AE229" s="99"/>
      <c r="AF229" s="99"/>
      <c r="AG229" s="99"/>
      <c r="AH229" s="99"/>
      <c r="AI229" s="99"/>
      <c r="AK229" s="99"/>
      <c r="AL229" s="99"/>
      <c r="AM229" s="99"/>
      <c r="AN229" s="99"/>
      <c r="AO229" s="99"/>
      <c r="AP229" s="99"/>
      <c r="AR229" s="99"/>
      <c r="AS229" s="99"/>
      <c r="AT229" s="99"/>
      <c r="AU229" s="99"/>
      <c r="AV229" s="99"/>
      <c r="AW229" s="99"/>
    </row>
    <row r="230" spans="1:50" x14ac:dyDescent="0.25">
      <c r="A230" s="1" t="s">
        <v>17</v>
      </c>
      <c r="B230" s="292">
        <f t="shared" ref="B230:G230" si="13">SUM(B7:B229)</f>
        <v>2000</v>
      </c>
      <c r="C230" s="292">
        <f t="shared" si="13"/>
        <v>2000</v>
      </c>
      <c r="D230" s="292">
        <f t="shared" si="13"/>
        <v>2000</v>
      </c>
      <c r="E230" s="292">
        <f t="shared" si="13"/>
        <v>2000</v>
      </c>
      <c r="F230" s="292">
        <f t="shared" si="13"/>
        <v>2000</v>
      </c>
      <c r="G230" s="292">
        <f t="shared" si="13"/>
        <v>1999.9999999999998</v>
      </c>
      <c r="H230" s="292"/>
      <c r="I230" s="292">
        <f t="shared" ref="I230:N230" si="14">SUM(I7:I229)</f>
        <v>2000.0000000000002</v>
      </c>
      <c r="J230" s="292">
        <f t="shared" si="14"/>
        <v>2000</v>
      </c>
      <c r="K230" s="292">
        <f t="shared" si="14"/>
        <v>2000</v>
      </c>
      <c r="L230" s="292">
        <f t="shared" si="14"/>
        <v>1999.9999999999998</v>
      </c>
      <c r="M230" s="292">
        <f t="shared" si="14"/>
        <v>2000.0000000000002</v>
      </c>
      <c r="N230" s="292">
        <f t="shared" si="14"/>
        <v>2000</v>
      </c>
      <c r="O230" s="9"/>
      <c r="P230" s="292">
        <f t="shared" ref="P230:U230" si="15">SUM(P7:P229)</f>
        <v>2000.0000000000002</v>
      </c>
      <c r="Q230" s="292">
        <f t="shared" si="15"/>
        <v>1999.9999999999998</v>
      </c>
      <c r="R230" s="292">
        <f t="shared" si="15"/>
        <v>2000</v>
      </c>
      <c r="S230" s="292">
        <f t="shared" si="15"/>
        <v>2000.0000000000002</v>
      </c>
      <c r="T230" s="292">
        <f t="shared" si="15"/>
        <v>2000.0000000000002</v>
      </c>
      <c r="U230" s="292">
        <f t="shared" si="15"/>
        <v>2000</v>
      </c>
      <c r="W230" s="292">
        <f t="shared" ref="W230:AB230" si="16">SUM(W7:W229)</f>
        <v>2000.0000000000002</v>
      </c>
      <c r="X230" s="292">
        <f t="shared" si="16"/>
        <v>2000</v>
      </c>
      <c r="Y230" s="292">
        <f t="shared" si="16"/>
        <v>2000</v>
      </c>
      <c r="Z230" s="292">
        <f t="shared" si="16"/>
        <v>2000</v>
      </c>
      <c r="AA230" s="292">
        <f t="shared" si="16"/>
        <v>2000</v>
      </c>
      <c r="AB230" s="292">
        <f t="shared" si="16"/>
        <v>1999.9999999999998</v>
      </c>
      <c r="AD230" s="292">
        <f t="shared" ref="AD230:AI230" si="17">SUM(AD7:AD229)</f>
        <v>2000</v>
      </c>
      <c r="AE230" s="292">
        <f t="shared" si="17"/>
        <v>2000.0000000000002</v>
      </c>
      <c r="AF230" s="292">
        <f t="shared" si="17"/>
        <v>1999.9999999999998</v>
      </c>
      <c r="AG230" s="292">
        <f t="shared" si="17"/>
        <v>2000</v>
      </c>
      <c r="AH230" s="292">
        <f t="shared" si="17"/>
        <v>2000</v>
      </c>
      <c r="AI230" s="292">
        <f t="shared" si="17"/>
        <v>2000</v>
      </c>
      <c r="AK230" s="292">
        <f t="shared" ref="AK230:AP230" si="18">SUM(AK7:AK229)</f>
        <v>2000</v>
      </c>
      <c r="AL230" s="292">
        <f t="shared" si="18"/>
        <v>2000</v>
      </c>
      <c r="AM230" s="292">
        <f t="shared" si="18"/>
        <v>2000.0000000000002</v>
      </c>
      <c r="AN230" s="292">
        <f t="shared" si="18"/>
        <v>2000.0000000000002</v>
      </c>
      <c r="AO230" s="292">
        <f t="shared" si="18"/>
        <v>2000</v>
      </c>
      <c r="AP230" s="292">
        <f t="shared" si="18"/>
        <v>2000.0000000000002</v>
      </c>
      <c r="AR230" s="292">
        <f t="shared" ref="AR230:AW230" si="19">SUM(AR7:AR229)</f>
        <v>2000</v>
      </c>
      <c r="AS230" s="292">
        <f t="shared" si="19"/>
        <v>2000</v>
      </c>
      <c r="AT230" s="292">
        <f t="shared" si="19"/>
        <v>2000.0000000000005</v>
      </c>
      <c r="AU230" s="292">
        <f t="shared" si="19"/>
        <v>2000</v>
      </c>
      <c r="AV230" s="292">
        <f t="shared" si="19"/>
        <v>2000</v>
      </c>
      <c r="AW230" s="292">
        <f t="shared" si="19"/>
        <v>2000.0000000000002</v>
      </c>
    </row>
    <row r="231" spans="1:50" x14ac:dyDescent="0.25">
      <c r="A231" s="9"/>
      <c r="B231" s="7"/>
      <c r="C231" s="7"/>
      <c r="D231" s="7"/>
      <c r="E231" s="7"/>
      <c r="F231" s="7"/>
      <c r="G231" s="7"/>
      <c r="H231" s="7"/>
      <c r="I231" s="7"/>
      <c r="J231" s="7"/>
      <c r="K231" s="7"/>
      <c r="L231" s="7"/>
      <c r="M231" s="7"/>
      <c r="N231" s="7"/>
      <c r="O231" s="7"/>
      <c r="P231" s="7"/>
      <c r="Q231" s="7"/>
      <c r="R231" s="7"/>
      <c r="S231" s="7"/>
      <c r="T231" s="7"/>
      <c r="U231" s="7"/>
      <c r="W231" s="7"/>
      <c r="X231" s="7"/>
      <c r="Y231" s="7"/>
      <c r="Z231" s="7"/>
      <c r="AA231" s="7"/>
      <c r="AB231" s="7"/>
      <c r="AD231" s="7"/>
      <c r="AE231" s="7"/>
      <c r="AF231" s="7"/>
      <c r="AG231" s="7"/>
      <c r="AH231" s="7"/>
      <c r="AI231" s="7"/>
      <c r="AK231" s="7"/>
      <c r="AL231" s="7"/>
      <c r="AM231" s="7"/>
      <c r="AN231" s="7"/>
      <c r="AO231" s="7"/>
      <c r="AP231" s="7"/>
      <c r="AR231" s="7"/>
      <c r="AS231" s="7"/>
      <c r="AT231" s="7"/>
      <c r="AU231" s="7"/>
      <c r="AV231" s="7"/>
      <c r="AW231" s="7"/>
    </row>
    <row r="232" spans="1:50" x14ac:dyDescent="0.25">
      <c r="A232" s="41" t="s">
        <v>348</v>
      </c>
      <c r="B232" s="33">
        <f t="shared" ref="B232:G232" si="20" xml:space="preserve">  0.0000415*((B5+B6)/2)^2 - 0.0236*((B5+B6)/2) + 6.096</f>
        <v>4.6920843750000003</v>
      </c>
      <c r="C232" s="33">
        <f t="shared" si="20"/>
        <v>4.1130093749999999</v>
      </c>
      <c r="D232" s="33">
        <f t="shared" si="20"/>
        <v>3.6054000000000004</v>
      </c>
      <c r="E232" s="33">
        <f t="shared" si="20"/>
        <v>3.1925999999999997</v>
      </c>
      <c r="F232" s="33">
        <f t="shared" si="20"/>
        <v>2.9125999999999999</v>
      </c>
      <c r="G232" s="33">
        <f t="shared" si="20"/>
        <v>2.7606093749999996</v>
      </c>
      <c r="H232" s="33"/>
      <c r="I232" s="33">
        <f t="shared" ref="I232:N232" si="21" xml:space="preserve">  0.0000415*((I5+I6)/2)^2 - 0.0236*((I5+I6)/2) + 6.096</f>
        <v>4.6920843750000003</v>
      </c>
      <c r="J232" s="33">
        <f t="shared" si="21"/>
        <v>4.1130093749999999</v>
      </c>
      <c r="K232" s="33">
        <f t="shared" si="21"/>
        <v>3.6054000000000004</v>
      </c>
      <c r="L232" s="33">
        <f t="shared" si="21"/>
        <v>3.1925999999999997</v>
      </c>
      <c r="M232" s="33">
        <f t="shared" si="21"/>
        <v>2.9125999999999999</v>
      </c>
      <c r="N232" s="33">
        <f t="shared" si="21"/>
        <v>2.7606093749999996</v>
      </c>
      <c r="O232" s="33"/>
      <c r="P232" s="33">
        <f t="shared" ref="P232:U232" si="22" xml:space="preserve">  0.0000415*((P5+P6)/2)^2 - 0.0236*((P5+P6)/2) + 6.096</f>
        <v>4.6920843750000003</v>
      </c>
      <c r="Q232" s="33">
        <f t="shared" si="22"/>
        <v>4.1130093749999999</v>
      </c>
      <c r="R232" s="33">
        <f t="shared" si="22"/>
        <v>3.6054000000000004</v>
      </c>
      <c r="S232" s="33">
        <f t="shared" si="22"/>
        <v>3.1925999999999997</v>
      </c>
      <c r="T232" s="33">
        <f t="shared" si="22"/>
        <v>2.9125999999999999</v>
      </c>
      <c r="U232" s="33">
        <f t="shared" si="22"/>
        <v>2.7606093749999996</v>
      </c>
      <c r="W232" s="33">
        <f t="shared" ref="W232:AB232" si="23" xml:space="preserve">  0.0000415*((W5+W6)/2)^2 - 0.0236*((W5+W6)/2) + 6.096</f>
        <v>4.6920843750000003</v>
      </c>
      <c r="X232" s="33">
        <f t="shared" si="23"/>
        <v>4.1130093749999999</v>
      </c>
      <c r="Y232" s="33">
        <f t="shared" si="23"/>
        <v>3.6054000000000004</v>
      </c>
      <c r="Z232" s="33">
        <f t="shared" si="23"/>
        <v>3.1925999999999997</v>
      </c>
      <c r="AA232" s="33">
        <f t="shared" si="23"/>
        <v>2.9125999999999999</v>
      </c>
      <c r="AB232" s="33">
        <f t="shared" si="23"/>
        <v>2.7606093749999996</v>
      </c>
      <c r="AD232" s="33">
        <f t="shared" ref="AD232:AI232" si="24" xml:space="preserve">  0.0000415*((AD5+AD6)/2)^2 - 0.0236*((AD5+AD6)/2) + 6.096</f>
        <v>4.6920843750000003</v>
      </c>
      <c r="AE232" s="33">
        <f t="shared" si="24"/>
        <v>4.1130093749999999</v>
      </c>
      <c r="AF232" s="33">
        <f t="shared" si="24"/>
        <v>3.6054000000000004</v>
      </c>
      <c r="AG232" s="33">
        <f t="shared" si="24"/>
        <v>3.1925999999999997</v>
      </c>
      <c r="AH232" s="33">
        <f t="shared" si="24"/>
        <v>2.9125999999999999</v>
      </c>
      <c r="AI232" s="33">
        <f t="shared" si="24"/>
        <v>2.7606093749999996</v>
      </c>
      <c r="AK232" s="33">
        <f t="shared" ref="AK232:AP232" si="25" xml:space="preserve">  0.0000415*((AK5+AK6)/2)^2 - 0.0236*((AK5+AK6)/2) + 6.096</f>
        <v>4.6920843750000003</v>
      </c>
      <c r="AL232" s="33">
        <f t="shared" si="25"/>
        <v>4.1130093749999999</v>
      </c>
      <c r="AM232" s="33">
        <f t="shared" si="25"/>
        <v>3.6054000000000004</v>
      </c>
      <c r="AN232" s="33">
        <f t="shared" si="25"/>
        <v>3.1925999999999997</v>
      </c>
      <c r="AO232" s="33">
        <f t="shared" si="25"/>
        <v>2.9125999999999999</v>
      </c>
      <c r="AP232" s="33">
        <f t="shared" si="25"/>
        <v>2.7606093749999996</v>
      </c>
      <c r="AR232" s="33">
        <f t="shared" ref="AR232:AW232" si="26" xml:space="preserve">  0.0000415*((AR5+AR6)/2)^2 - 0.0236*((AR5+AR6)/2) + 6.096</f>
        <v>4.6920843750000003</v>
      </c>
      <c r="AS232" s="33">
        <f t="shared" si="26"/>
        <v>4.1130093749999999</v>
      </c>
      <c r="AT232" s="33">
        <f t="shared" si="26"/>
        <v>3.6054000000000004</v>
      </c>
      <c r="AU232" s="33">
        <f t="shared" si="26"/>
        <v>3.1925999999999997</v>
      </c>
      <c r="AV232" s="33">
        <f t="shared" si="26"/>
        <v>2.9125999999999999</v>
      </c>
      <c r="AW232" s="33">
        <f t="shared" si="26"/>
        <v>2.7606093749999996</v>
      </c>
    </row>
    <row r="233" spans="1:50" x14ac:dyDescent="0.25">
      <c r="A233" s="40" t="s">
        <v>108</v>
      </c>
      <c r="B233" s="26">
        <f t="shared" ref="B233:G233" si="27">IF(B232="","",B250*2.2046*B232/10000)</f>
        <v>1.1871600863382354</v>
      </c>
      <c r="C233" s="26">
        <f t="shared" si="27"/>
        <v>1.0488451848987548</v>
      </c>
      <c r="D233" s="26">
        <f t="shared" si="27"/>
        <v>0.92572438073141317</v>
      </c>
      <c r="E233" s="26">
        <f t="shared" si="27"/>
        <v>0.8245835224120116</v>
      </c>
      <c r="F233" s="26">
        <f t="shared" si="27"/>
        <v>0.755458195622838</v>
      </c>
      <c r="G233" s="26">
        <f t="shared" si="27"/>
        <v>0.71736927197173905</v>
      </c>
      <c r="H233" s="26"/>
      <c r="I233" s="26">
        <f t="shared" ref="I233:N233" si="28">IF(I232="","",I250*2.2046*I232/10000)</f>
        <v>1.1774776818496377</v>
      </c>
      <c r="J233" s="26">
        <f t="shared" si="28"/>
        <v>1.0402711661584119</v>
      </c>
      <c r="K233" s="26">
        <f t="shared" si="28"/>
        <v>0.91815722126548338</v>
      </c>
      <c r="L233" s="26">
        <f t="shared" si="28"/>
        <v>0.8180341815201696</v>
      </c>
      <c r="M233" s="26">
        <f t="shared" si="28"/>
        <v>0.74943263455094744</v>
      </c>
      <c r="N233" s="26">
        <f t="shared" si="28"/>
        <v>0.71169196178677163</v>
      </c>
      <c r="O233" s="26"/>
      <c r="P233" s="26">
        <f t="shared" ref="P233:U233" si="29">IF(P232="","",P250*2.2046*P232/10000)</f>
        <v>1.1676752516750242</v>
      </c>
      <c r="Q233" s="26">
        <f t="shared" si="29"/>
        <v>1.0316441123795455</v>
      </c>
      <c r="R233" s="26">
        <f t="shared" si="29"/>
        <v>0.91054937380477063</v>
      </c>
      <c r="S233" s="26">
        <f t="shared" si="29"/>
        <v>0.81131324375710157</v>
      </c>
      <c r="T233" s="26">
        <f t="shared" si="29"/>
        <v>0.74331238297594904</v>
      </c>
      <c r="U233" s="26">
        <f t="shared" si="29"/>
        <v>0.70589115971539318</v>
      </c>
      <c r="W233" s="26">
        <f t="shared" ref="W233:AB233" si="30">IF(W232="","",W250*2.2046*W232/10000)</f>
        <v>1.1578935868843403</v>
      </c>
      <c r="X233" s="26">
        <f t="shared" si="30"/>
        <v>1.0230298278603056</v>
      </c>
      <c r="Y233" s="26">
        <f t="shared" si="30"/>
        <v>0.90301761756554366</v>
      </c>
      <c r="Z233" s="26">
        <f t="shared" si="30"/>
        <v>0.80461043756340822</v>
      </c>
      <c r="AA233" s="26">
        <f t="shared" si="30"/>
        <v>0.73721516099794193</v>
      </c>
      <c r="AB233" s="26">
        <f t="shared" si="30"/>
        <v>0.69995235338789175</v>
      </c>
      <c r="AD233" s="26">
        <f t="shared" ref="AD233:AI233" si="31">IF(AD232="","",AD250*2.2046*AD232/10000)</f>
        <v>1.1481049618373196</v>
      </c>
      <c r="AE233" s="26">
        <f t="shared" si="31"/>
        <v>1.0144639494549055</v>
      </c>
      <c r="AF233" s="26">
        <f t="shared" si="31"/>
        <v>0.89545301472649386</v>
      </c>
      <c r="AG233" s="26">
        <f t="shared" si="31"/>
        <v>0.79793278240975041</v>
      </c>
      <c r="AH233" s="26">
        <f t="shared" si="31"/>
        <v>0.73067540078616933</v>
      </c>
      <c r="AI233" s="26">
        <f t="shared" si="31"/>
        <v>0.69354118885753702</v>
      </c>
      <c r="AK233" s="26">
        <f t="shared" ref="AK233:AP233" si="32">IF(AK232="","",AK250*2.2046*AK232/10000)</f>
        <v>1.1380394285773874</v>
      </c>
      <c r="AL233" s="26">
        <f t="shared" si="32"/>
        <v>1.005892451671029</v>
      </c>
      <c r="AM233" s="26">
        <f t="shared" si="32"/>
        <v>0.88795697032716892</v>
      </c>
      <c r="AN233" s="26">
        <f t="shared" si="32"/>
        <v>0.79089777824396623</v>
      </c>
      <c r="AO233" s="26">
        <f t="shared" si="32"/>
        <v>0.72392482481344878</v>
      </c>
      <c r="AP233" s="26">
        <f t="shared" si="32"/>
        <v>0.68713278098012387</v>
      </c>
      <c r="AR233" s="26">
        <f t="shared" ref="AR233:AW233" si="33">IF(AR232="","",AR250*2.2046*AR232/10000)</f>
        <v>1.1283638927666908</v>
      </c>
      <c r="AS233" s="26">
        <f t="shared" si="33"/>
        <v>0.99730970613348158</v>
      </c>
      <c r="AT233" s="26">
        <f t="shared" si="33"/>
        <v>0.88043815305997364</v>
      </c>
      <c r="AU233" s="26">
        <f t="shared" si="33"/>
        <v>0.78350905658140713</v>
      </c>
      <c r="AV233" s="26">
        <f t="shared" si="33"/>
        <v>0.71717141124620065</v>
      </c>
      <c r="AW233" s="26">
        <f t="shared" si="33"/>
        <v>0.6807217022137706</v>
      </c>
    </row>
    <row r="234" spans="1:50" x14ac:dyDescent="0.25">
      <c r="A234" s="40"/>
      <c r="B234" s="26"/>
      <c r="C234" s="26"/>
      <c r="D234" s="26"/>
      <c r="E234" s="26"/>
      <c r="F234" s="26"/>
      <c r="G234" s="26"/>
      <c r="H234" s="26"/>
      <c r="I234" s="26"/>
      <c r="J234" s="26"/>
      <c r="K234" s="26"/>
      <c r="L234" s="26"/>
      <c r="M234" s="26"/>
      <c r="N234" s="26"/>
      <c r="O234" s="26"/>
      <c r="P234" s="473"/>
      <c r="Q234" s="473"/>
      <c r="R234" s="473"/>
      <c r="S234" s="473"/>
      <c r="T234" s="473"/>
      <c r="U234" s="473"/>
      <c r="W234" s="473"/>
      <c r="X234" s="473"/>
      <c r="Y234" s="473"/>
      <c r="Z234" s="473"/>
      <c r="AA234" s="473"/>
      <c r="AB234" s="473"/>
      <c r="AD234" s="473"/>
      <c r="AE234" s="473"/>
      <c r="AF234" s="473"/>
      <c r="AG234" s="473"/>
      <c r="AH234" s="473"/>
      <c r="AI234" s="473"/>
      <c r="AK234" s="473"/>
      <c r="AL234" s="473"/>
      <c r="AM234" s="473"/>
      <c r="AN234" s="473"/>
      <c r="AO234" s="473"/>
      <c r="AP234" s="473"/>
      <c r="AR234" s="473"/>
      <c r="AS234" s="473"/>
      <c r="AT234" s="473"/>
      <c r="AU234" s="473"/>
      <c r="AV234" s="473"/>
      <c r="AW234" s="473"/>
    </row>
    <row r="235" spans="1:50" x14ac:dyDescent="0.25">
      <c r="A235" s="44" t="s">
        <v>143</v>
      </c>
      <c r="B235" s="26"/>
      <c r="C235" s="26"/>
      <c r="D235" s="26"/>
      <c r="E235" s="26"/>
      <c r="F235" s="26"/>
      <c r="G235" s="26"/>
      <c r="H235" s="26"/>
      <c r="I235" s="26"/>
      <c r="J235" s="26"/>
      <c r="K235" s="26"/>
      <c r="L235" s="26"/>
      <c r="M235" s="26"/>
      <c r="N235" s="26"/>
      <c r="O235" s="26"/>
      <c r="P235" s="26"/>
      <c r="Q235" s="26"/>
      <c r="R235" s="26"/>
      <c r="S235" s="26"/>
      <c r="T235" s="26"/>
      <c r="U235" s="26"/>
      <c r="W235" s="26"/>
      <c r="X235" s="26"/>
      <c r="Y235" s="26"/>
      <c r="Z235" s="26"/>
      <c r="AA235" s="26"/>
      <c r="AB235" s="26"/>
      <c r="AD235" s="26"/>
      <c r="AE235" s="26"/>
      <c r="AF235" s="26"/>
      <c r="AG235" s="26"/>
      <c r="AH235" s="26"/>
      <c r="AI235" s="26"/>
      <c r="AK235" s="26"/>
      <c r="AL235" s="26"/>
      <c r="AM235" s="26"/>
      <c r="AN235" s="26"/>
      <c r="AO235" s="26"/>
      <c r="AP235" s="26"/>
      <c r="AR235" s="26"/>
      <c r="AS235" s="26"/>
      <c r="AT235" s="26"/>
      <c r="AU235" s="26"/>
      <c r="AV235" s="26"/>
      <c r="AW235" s="26"/>
    </row>
    <row r="236" spans="1:50" x14ac:dyDescent="0.25">
      <c r="A236" s="34" t="s">
        <v>381</v>
      </c>
      <c r="B236" s="27">
        <v>1.1861119527718891</v>
      </c>
      <c r="C236" s="27">
        <v>1.0487231011263827</v>
      </c>
      <c r="D236" s="27">
        <v>0.92692570857780632</v>
      </c>
      <c r="E236" s="27">
        <v>0.82606841929078001</v>
      </c>
      <c r="F236" s="27">
        <v>0.75673053182615369</v>
      </c>
      <c r="G236" s="27">
        <v>0.71839352504319809</v>
      </c>
      <c r="H236" s="223"/>
      <c r="I236" s="27">
        <v>1.176359663632115</v>
      </c>
      <c r="J236" s="27">
        <v>1.0404298354051722</v>
      </c>
      <c r="K236" s="27">
        <v>0.9198321876360902</v>
      </c>
      <c r="L236" s="27">
        <v>0.81977155477303221</v>
      </c>
      <c r="M236" s="27">
        <v>0.75037675735226672</v>
      </c>
      <c r="N236" s="27">
        <v>0.71244271689720895</v>
      </c>
      <c r="O236" s="7"/>
      <c r="P236" s="27">
        <v>1.1684857665329609</v>
      </c>
      <c r="Q236" s="27">
        <v>1.0334387360651245</v>
      </c>
      <c r="R236" s="27">
        <v>0.91378340553869708</v>
      </c>
      <c r="S236" s="27">
        <v>0.81328394410468086</v>
      </c>
      <c r="T236" s="27">
        <v>0.74466093217492246</v>
      </c>
      <c r="U236" s="27">
        <v>0.70703878284967125</v>
      </c>
      <c r="V236" s="2"/>
      <c r="W236" s="27">
        <v>1.1606108994103048</v>
      </c>
      <c r="X236" s="27">
        <v>1.0264515137337917</v>
      </c>
      <c r="Y236" s="27">
        <v>0.90637130018555012</v>
      </c>
      <c r="Z236" s="27">
        <v>0.80714498863815465</v>
      </c>
      <c r="AA236" s="27">
        <v>0.73903650635744667</v>
      </c>
      <c r="AB236" s="27">
        <v>0.70148216508308492</v>
      </c>
      <c r="AC236" s="2"/>
      <c r="AD236" s="27">
        <v>1.1526290098320124</v>
      </c>
      <c r="AE236" s="27">
        <v>1.0181241605607756</v>
      </c>
      <c r="AF236" s="27">
        <v>0.89928210531326824</v>
      </c>
      <c r="AG236" s="27">
        <v>0.80098309911292542</v>
      </c>
      <c r="AH236" s="27">
        <v>0.73289361495012595</v>
      </c>
      <c r="AI236" s="27">
        <v>0.69549056609603865</v>
      </c>
      <c r="AJ236" s="2"/>
      <c r="AK236" s="309">
        <v>1.1499999999999999</v>
      </c>
      <c r="AL236" s="309">
        <v>1.0101833240253375</v>
      </c>
      <c r="AM236" s="309">
        <v>0.89234873408789994</v>
      </c>
      <c r="AN236" s="309">
        <v>0.79441650998473456</v>
      </c>
      <c r="AO236" s="309">
        <v>0.72657321918177553</v>
      </c>
      <c r="AP236" s="309">
        <v>0.6894942592368507</v>
      </c>
      <c r="AQ236" s="2"/>
      <c r="AR236" s="309">
        <v>1.1399999999999999</v>
      </c>
      <c r="AS236" s="309">
        <v>1.0022507297378567</v>
      </c>
      <c r="AT236" s="309">
        <v>0.8856759586639249</v>
      </c>
      <c r="AU236" s="309">
        <v>0.78765042013618369</v>
      </c>
      <c r="AV236" s="309">
        <v>0.720259582186488</v>
      </c>
      <c r="AW236" s="309">
        <v>0.68350052818418994</v>
      </c>
      <c r="AX236" s="2"/>
    </row>
    <row r="237" spans="1:50" x14ac:dyDescent="0.25">
      <c r="A237" s="39" t="s">
        <v>382</v>
      </c>
      <c r="B237" s="451">
        <f>(SUMPRODUCT(B$9:B$229,Nutrients!$CY$8:$CY$228)+(IF($A$7=Nutrients!$B$8,Nutrients!$CY$8,Nutrients!$CY$9)*B$7)+(((IF($A$8=Nutrients!$B$79,Nutrients!$CY$79,(IF($A$8=Nutrients!$B$77,Nutrients!$CY$77,Nutrients!$CY$78)))))*B$8))/2000/B$236*100</f>
        <v>62.49349603537744</v>
      </c>
      <c r="C237" s="451">
        <f>(SUMPRODUCT(C$9:C$229,Nutrients!$CY$8:$CY$228)+(IF($A$7=Nutrients!$B$8,Nutrients!$CY$8,Nutrients!$CY$9)*C$7)+(((IF($A$8=Nutrients!$B$79,Nutrients!$CY$79,(IF($A$8=Nutrients!$B$77,Nutrients!$CY$77,Nutrients!$CY$78)))))*C$8))/2000/C$236*100</f>
        <v>61.913365044093091</v>
      </c>
      <c r="D237" s="451">
        <f>(SUMPRODUCT(D$9:D$229,Nutrients!$CY$8:$CY$228)+(IF($A$7=Nutrients!$B$8,Nutrients!$CY$8,Nutrients!$CY$9)*D$7)+(((IF($A$8=Nutrients!$B$79,Nutrients!$CY$79,(IF($A$8=Nutrients!$B$77,Nutrients!$CY$77,Nutrients!$CY$78)))))*D$8))/2000/D$236*100</f>
        <v>61.503659114241785</v>
      </c>
      <c r="E237" s="451">
        <f>(SUMPRODUCT(E$9:E$229,Nutrients!$CY$8:$CY$228)+(IF($A$7=Nutrients!$B$8,Nutrients!$CY$8,Nutrients!$CY$9)*E$7)+(((IF($A$8=Nutrients!$B$79,Nutrients!$CY$79,(IF($A$8=Nutrients!$B$77,Nutrients!$CY$77,Nutrients!$CY$78)))))*E$8))/2000/E$236*100</f>
        <v>60.930382267932259</v>
      </c>
      <c r="F237" s="451">
        <f>(SUMPRODUCT(F$9:F$229,Nutrients!$CY$8:$CY$228)+(IF($A$7=Nutrients!$B$8,Nutrients!$CY$8,Nutrients!$CY$9)*F$7)+(((IF($A$8=Nutrients!$B$79,Nutrients!$CY$79,(IF($A$8=Nutrients!$B$77,Nutrients!$CY$77,Nutrients!$CY$78)))))*F$8))/2000/F$236*100</f>
        <v>60.645226830458597</v>
      </c>
      <c r="G237" s="451">
        <f>(SUMPRODUCT(G$9:G$229,Nutrients!$CY$8:$CY$228)+(IF($A$7=Nutrients!$B$8,Nutrients!$CY$8,Nutrients!$CY$9)*G$7)+(((IF($A$8=Nutrients!$B$79,Nutrients!$CY$79,(IF($A$8=Nutrients!$B$77,Nutrients!$CY$77,Nutrients!$CY$78)))))*G$8))/2000/G$236*100</f>
        <v>60.73149438608624</v>
      </c>
      <c r="H237" s="224"/>
      <c r="I237" s="451">
        <f>(SUMPRODUCT(I$9:I$229,Nutrients!$CY$8:$CY$228)+(IF($A$7=Nutrients!$B$8,Nutrients!$CY$8,Nutrients!$CY$9)*I$7)+(((IF($A$8=Nutrients!$B$79,Nutrients!$CY$79,(IF($A$8=Nutrients!$B$77,Nutrients!$CY$77,Nutrients!$CY$78)))))*I$8))/2000/I$236*100</f>
        <v>62.404219723667218</v>
      </c>
      <c r="J237" s="451">
        <f>(SUMPRODUCT(J$9:J$229,Nutrients!$CY$8:$CY$228)+(IF($A$7=Nutrients!$B$8,Nutrients!$CY$8,Nutrients!$CY$9)*J$7)+(((IF($A$8=Nutrients!$B$79,Nutrients!$CY$79,(IF($A$8=Nutrients!$B$77,Nutrients!$CY$77,Nutrients!$CY$78)))))*J$8))/2000/J$236*100</f>
        <v>61.815872429711774</v>
      </c>
      <c r="K237" s="451">
        <f>(SUMPRODUCT(K$9:K$229,Nutrients!$CY$8:$CY$228)+(IF($A$7=Nutrients!$B$8,Nutrients!$CY$8,Nutrients!$CY$9)*K$7)+(((IF($A$8=Nutrients!$B$79,Nutrients!$CY$79,(IF($A$8=Nutrients!$B$77,Nutrients!$CY$77,Nutrients!$CY$78)))))*K$8))/2000/K$236*100</f>
        <v>61.398498752642261</v>
      </c>
      <c r="L237" s="451">
        <f>(SUMPRODUCT(L$9:L$229,Nutrients!$CY$8:$CY$228)+(IF($A$7=Nutrients!$B$8,Nutrients!$CY$8,Nutrients!$CY$9)*L$7)+(((IF($A$8=Nutrients!$B$79,Nutrients!$CY$79,(IF($A$8=Nutrients!$B$77,Nutrients!$CY$77,Nutrients!$CY$78)))))*L$8))/2000/L$236*100</f>
        <v>60.817279268609624</v>
      </c>
      <c r="M237" s="451">
        <f>(SUMPRODUCT(M$9:M$229,Nutrients!$CY$8:$CY$228)+(IF($A$7=Nutrients!$B$8,Nutrients!$CY$8,Nutrients!$CY$9)*M$7)+(((IF($A$8=Nutrients!$B$79,Nutrients!$CY$79,(IF($A$8=Nutrients!$B$77,Nutrients!$CY$77,Nutrients!$CY$78)))))*M$8))/2000/M$236*100</f>
        <v>60.517768247195747</v>
      </c>
      <c r="N237" s="451">
        <f>(SUMPRODUCT(N$9:N$229,Nutrients!$CY$8:$CY$228)+(IF($A$7=Nutrients!$B$8,Nutrients!$CY$8,Nutrients!$CY$9)*N$7)+(((IF($A$8=Nutrients!$B$79,Nutrients!$CY$79,(IF($A$8=Nutrients!$B$77,Nutrients!$CY$77,Nutrients!$CY$78)))))*N$8))/2000/N$236*100</f>
        <v>60.603140682146616</v>
      </c>
      <c r="O237" s="472"/>
      <c r="P237" s="451">
        <f>(SUMPRODUCT(P$9:P$229,Nutrients!$CY$8:$CY$228)+(IF($A$7=Nutrients!$B$8,Nutrients!$CY$8,Nutrients!$CY$9)*P$7)+(((IF($A$8=Nutrients!$B$79,Nutrients!$CY$79,(IF($A$8=Nutrients!$B$77,Nutrients!$CY$77,Nutrients!$CY$78)))))*P$8))/2000/P$236*100</f>
        <v>62.322896759493617</v>
      </c>
      <c r="Q237" s="451">
        <f>(SUMPRODUCT(Q$9:Q$229,Nutrients!$CY$8:$CY$228)+(IF($A$7=Nutrients!$B$8,Nutrients!$CY$8,Nutrients!$CY$9)*Q$7)+(((IF($A$8=Nutrients!$B$79,Nutrients!$CY$79,(IF($A$8=Nutrients!$B$77,Nutrients!$CY$77,Nutrients!$CY$78)))))*Q$8))/2000/Q$236*100</f>
        <v>61.724995362112935</v>
      </c>
      <c r="R237" s="451">
        <f>(SUMPRODUCT(R$9:R$229,Nutrients!$CY$8:$CY$228)+(IF($A$7=Nutrients!$B$8,Nutrients!$CY$8,Nutrients!$CY$9)*R$7)+(((IF($A$8=Nutrients!$B$79,Nutrients!$CY$79,(IF($A$8=Nutrients!$B$77,Nutrients!$CY$77,Nutrients!$CY$78)))))*R$8))/2000/R$236*100</f>
        <v>61.2997496598529</v>
      </c>
      <c r="S237" s="451">
        <f>(SUMPRODUCT(S$9:S$229,Nutrients!$CY$8:$CY$228)+(IF($A$7=Nutrients!$B$8,Nutrients!$CY$8,Nutrients!$CY$9)*S$7)+(((IF($A$8=Nutrients!$B$79,Nutrients!$CY$79,(IF($A$8=Nutrients!$B$77,Nutrients!$CY$77,Nutrients!$CY$78)))))*S$8))/2000/S$236*100</f>
        <v>60.697930186711361</v>
      </c>
      <c r="T237" s="451">
        <f>(SUMPRODUCT(T$9:T$229,Nutrients!$CY$8:$CY$228)+(IF($A$7=Nutrients!$B$8,Nutrients!$CY$8,Nutrients!$CY$9)*T$7)+(((IF($A$8=Nutrients!$B$79,Nutrients!$CY$79,(IF($A$8=Nutrients!$B$77,Nutrients!$CY$77,Nutrients!$CY$78)))))*T$8))/2000/T$236*100</f>
        <v>60.391776020212042</v>
      </c>
      <c r="U237" s="451">
        <f>(SUMPRODUCT(U$9:U$229,Nutrients!$CY$8:$CY$228)+(IF($A$7=Nutrients!$B$8,Nutrients!$CY$8,Nutrients!$CY$9)*U$7)+(((IF($A$8=Nutrients!$B$79,Nutrients!$CY$79,(IF($A$8=Nutrients!$B$77,Nutrients!$CY$77,Nutrients!$CY$78)))))*U$8))/2000/U$236*100</f>
        <v>60.474205505536183</v>
      </c>
      <c r="V237" s="9"/>
      <c r="W237" s="451">
        <f>(SUMPRODUCT(W$9:W$229,Nutrients!$CY$8:$CY$228)+(IF($A$7=Nutrients!$B$8,Nutrients!$CY$8,Nutrients!$CY$9)*W$7)+(((IF($A$8=Nutrients!$B$79,Nutrients!$CY$79,(IF($A$8=Nutrients!$B$77,Nutrients!$CY$77,Nutrients!$CY$78)))))*W$8))/2000/W$236*100</f>
        <v>62.240610893500381</v>
      </c>
      <c r="X237" s="451">
        <f>(SUMPRODUCT(X$9:X$229,Nutrients!$CY$8:$CY$228)+(IF($A$7=Nutrients!$B$8,Nutrients!$CY$8,Nutrients!$CY$9)*X$7)+(((IF($A$8=Nutrients!$B$79,Nutrients!$CY$79,(IF($A$8=Nutrients!$B$77,Nutrients!$CY$77,Nutrients!$CY$78)))))*X$8))/2000/X$236*100</f>
        <v>61.633126090689181</v>
      </c>
      <c r="Y237" s="451">
        <f>(SUMPRODUCT(Y$9:Y$229,Nutrients!$CY$8:$CY$228)+(IF($A$7=Nutrients!$B$8,Nutrients!$CY$8,Nutrients!$CY$9)*Y$7)+(((IF($A$8=Nutrients!$B$79,Nutrients!$CY$79,(IF($A$8=Nutrients!$B$77,Nutrients!$CY$77,Nutrients!$CY$78)))))*Y$8))/2000/Y$236*100</f>
        <v>61.18905134069864</v>
      </c>
      <c r="Z237" s="451">
        <f>(SUMPRODUCT(Z$9:Z$229,Nutrients!$CY$8:$CY$228)+(IF($A$7=Nutrients!$B$8,Nutrients!$CY$8,Nutrients!$CY$9)*Z$7)+(((IF($A$8=Nutrients!$B$79,Nutrients!$CY$79,(IF($A$8=Nutrients!$B$77,Nutrients!$CY$77,Nutrients!$CY$78)))))*Z$8))/2000/Z$236*100</f>
        <v>60.579916957418931</v>
      </c>
      <c r="AA237" s="451">
        <f>(SUMPRODUCT(AA$9:AA$229,Nutrients!$CY$8:$CY$228)+(IF($A$7=Nutrients!$B$8,Nutrients!$CY$8,Nutrients!$CY$9)*AA$7)+(((IF($A$8=Nutrients!$B$79,Nutrients!$CY$79,(IF($A$8=Nutrients!$B$77,Nutrients!$CY$77,Nutrients!$CY$78)))))*AA$8))/2000/AA$236*100</f>
        <v>60.264776971602508</v>
      </c>
      <c r="AB237" s="451">
        <f>(SUMPRODUCT(AB$9:AB$229,Nutrients!$CY$8:$CY$228)+(IF($A$7=Nutrients!$B$8,Nutrients!$CY$8,Nutrients!$CY$9)*AB$7)+(((IF($A$8=Nutrients!$B$79,Nutrients!$CY$79,(IF($A$8=Nutrients!$B$77,Nutrients!$CY$77,Nutrients!$CY$78)))))*AB$8))/2000/AB$236*100</f>
        <v>60.338714302883659</v>
      </c>
      <c r="AC237" s="9"/>
      <c r="AD237" s="451">
        <f>(SUMPRODUCT(AD$9:AD$229,Nutrients!$CY$8:$CY$228)+(IF($A$7=Nutrients!$B$8,Nutrients!$CY$8,Nutrients!$CY$9)*AD$7)+(((IF($A$8=Nutrients!$B$79,Nutrients!$CY$79,(IF($A$8=Nutrients!$B$77,Nutrients!$CY$77,Nutrients!$CY$78)))))*AD$8))/2000/AD$236*100</f>
        <v>62.156534524333551</v>
      </c>
      <c r="AE237" s="451">
        <f>(SUMPRODUCT(AE$9:AE$229,Nutrients!$CY$8:$CY$228)+(IF($A$7=Nutrients!$B$8,Nutrients!$CY$8,Nutrients!$CY$9)*AE$7)+(((IF($A$8=Nutrients!$B$79,Nutrients!$CY$79,(IF($A$8=Nutrients!$B$77,Nutrients!$CY$77,Nutrients!$CY$78)))))*AE$8))/2000/AE$236*100</f>
        <v>61.53088160233321</v>
      </c>
      <c r="AF237" s="451">
        <f>(SUMPRODUCT(AF$9:AF$229,Nutrients!$CY$8:$CY$228)+(IF($A$7=Nutrients!$B$8,Nutrients!$CY$8,Nutrients!$CY$9)*AF$7)+(((IF($A$8=Nutrients!$B$79,Nutrients!$CY$79,(IF($A$8=Nutrients!$B$77,Nutrients!$CY$77,Nutrients!$CY$78)))))*AF$8))/2000/AF$236*100</f>
        <v>61.07915989982947</v>
      </c>
      <c r="AG237" s="451">
        <f>(SUMPRODUCT(AG$9:AG$229,Nutrients!$CY$8:$CY$228)+(IF($A$7=Nutrients!$B$8,Nutrients!$CY$8,Nutrients!$CY$9)*AG$7)+(((IF($A$8=Nutrients!$B$79,Nutrients!$CY$79,(IF($A$8=Nutrients!$B$77,Nutrients!$CY$77,Nutrients!$CY$78)))))*AG$8))/2000/AG$236*100</f>
        <v>60.458629572095376</v>
      </c>
      <c r="AH237" s="451">
        <f>(SUMPRODUCT(AH$9:AH$229,Nutrients!$CY$8:$CY$228)+(IF($A$7=Nutrients!$B$8,Nutrients!$CY$8,Nutrients!$CY$9)*AH$7)+(((IF($A$8=Nutrients!$B$79,Nutrients!$CY$79,(IF($A$8=Nutrients!$B$77,Nutrients!$CY$77,Nutrients!$CY$78)))))*AH$8))/2000/AH$236*100</f>
        <v>60.121865972026555</v>
      </c>
      <c r="AI237" s="451">
        <f>(SUMPRODUCT(AI$9:AI$229,Nutrients!$CY$8:$CY$228)+(IF($A$7=Nutrients!$B$8,Nutrients!$CY$8,Nutrients!$CY$9)*AI$7)+(((IF($A$8=Nutrients!$B$79,Nutrients!$CY$79,(IF($A$8=Nutrients!$B$77,Nutrients!$CY$77,Nutrients!$CY$78)))))*AI$8))/2000/AI$236*100</f>
        <v>60.186378192804625</v>
      </c>
      <c r="AJ237" s="9"/>
      <c r="AK237" s="451">
        <f>(SUMPRODUCT(AK$9:AK$229,Nutrients!$CY$8:$CY$228)+(IF($A$7=Nutrients!$B$8,Nutrients!$CY$8,Nutrients!$CY$9)*AK$7)+(((IF($A$8=Nutrients!$B$79,Nutrients!$CY$79,(IF($A$8=Nutrients!$B$77,Nutrients!$CY$77,Nutrients!$CY$78)))))*AK$8))/2000/AK$236*100</f>
        <v>62.100648948042839</v>
      </c>
      <c r="AL237" s="451">
        <f>(SUMPRODUCT(AL$9:AL$229,Nutrients!$CY$8:$CY$228)+(IF($A$7=Nutrients!$B$8,Nutrients!$CY$8,Nutrients!$CY$9)*AL$7)+(((IF($A$8=Nutrients!$B$79,Nutrients!$CY$79,(IF($A$8=Nutrients!$B$77,Nutrients!$CY$77,Nutrients!$CY$78)))))*AL$8))/2000/AL$236*100</f>
        <v>61.429720766441044</v>
      </c>
      <c r="AM237" s="451">
        <f>(SUMPRODUCT(AM$9:AM$229,Nutrients!$CY$8:$CY$228)+(IF($A$7=Nutrients!$B$8,Nutrients!$CY$8,Nutrients!$CY$9)*AM$7)+(((IF($A$8=Nutrients!$B$79,Nutrients!$CY$79,(IF($A$8=Nutrients!$B$77,Nutrients!$CY$77,Nutrients!$CY$78)))))*AM$8))/2000/AM$236*100</f>
        <v>60.967597514203639</v>
      </c>
      <c r="AN237" s="451">
        <f>(SUMPRODUCT(AN$9:AN$229,Nutrients!$CY$8:$CY$228)+(IF($A$7=Nutrients!$B$8,Nutrients!$CY$8,Nutrients!$CY$9)*AN$7)+(((IF($A$8=Nutrients!$B$79,Nutrients!$CY$79,(IF($A$8=Nutrients!$B$77,Nutrients!$CY$77,Nutrients!$CY$78)))))*AN$8))/2000/AN$236*100</f>
        <v>60.325888316437691</v>
      </c>
      <c r="AO237" s="451">
        <f>(SUMPRODUCT(AO$9:AO$229,Nutrients!$CY$8:$CY$228)+(IF($A$7=Nutrients!$B$8,Nutrients!$CY$8,Nutrients!$CY$9)*AO$7)+(((IF($A$8=Nutrients!$B$79,Nutrients!$CY$79,(IF($A$8=Nutrients!$B$77,Nutrients!$CY$77,Nutrients!$CY$78)))))*AO$8))/2000/AO$236*100</f>
        <v>59.970462515356751</v>
      </c>
      <c r="AP237" s="451">
        <f>(SUMPRODUCT(AP$9:AP$229,Nutrients!$CY$8:$CY$228)+(IF($A$7=Nutrients!$B$8,Nutrients!$CY$8,Nutrients!$CY$9)*AP$7)+(((IF($A$8=Nutrients!$B$79,Nutrients!$CY$79,(IF($A$8=Nutrients!$B$77,Nutrients!$CY$77,Nutrients!$CY$78)))))*AP$8))/2000/AP$236*100</f>
        <v>60.031270415854657</v>
      </c>
      <c r="AQ237" s="9"/>
      <c r="AR237" s="451">
        <f>(SUMPRODUCT(AR$9:AR$229,Nutrients!$CY$8:$CY$228)+(IF($A$7=Nutrients!$B$8,Nutrients!$CY$8,Nutrients!$CY$9)*AR$7)+(((IF($A$8=Nutrients!$B$79,Nutrients!$CY$79,(IF($A$8=Nutrients!$B$77,Nutrients!$CY$77,Nutrients!$CY$78)))))*AR$8))/2000/AR$236*100</f>
        <v>62.003607900669444</v>
      </c>
      <c r="AS237" s="451">
        <f>(SUMPRODUCT(AS$9:AS$229,Nutrients!$CY$8:$CY$228)+(IF($A$7=Nutrients!$B$8,Nutrients!$CY$8,Nutrients!$CY$9)*AS$7)+(((IF($A$8=Nutrients!$B$79,Nutrients!$CY$79,(IF($A$8=Nutrients!$B$77,Nutrients!$CY$77,Nutrients!$CY$78)))))*AS$8))/2000/AS$236*100</f>
        <v>61.326913911699712</v>
      </c>
      <c r="AT237" s="451">
        <f>(SUMPRODUCT(AT$9:AT$229,Nutrients!$CY$8:$CY$228)+(IF($A$7=Nutrients!$B$8,Nutrients!$CY$8,Nutrients!$CY$9)*AT$7)+(((IF($A$8=Nutrients!$B$79,Nutrients!$CY$79,(IF($A$8=Nutrients!$B$77,Nutrients!$CY$77,Nutrients!$CY$78)))))*AT$8))/2000/AT$236*100</f>
        <v>60.856353263542736</v>
      </c>
      <c r="AU237" s="451">
        <f>(SUMPRODUCT(AU$9:AU$229,Nutrients!$CY$8:$CY$228)+(IF($A$7=Nutrients!$B$8,Nutrients!$CY$8,Nutrients!$CY$9)*AU$7)+(((IF($A$8=Nutrients!$B$79,Nutrients!$CY$79,(IF($A$8=Nutrients!$B$77,Nutrients!$CY$77,Nutrients!$CY$78)))))*AU$8))/2000/AU$236*100</f>
        <v>60.183230921999019</v>
      </c>
      <c r="AV237" s="451">
        <f>(SUMPRODUCT(AV$9:AV$229,Nutrients!$CY$8:$CY$228)+(IF($A$7=Nutrients!$B$8,Nutrients!$CY$8,Nutrients!$CY$9)*AV$7)+(((IF($A$8=Nutrients!$B$79,Nutrients!$CY$79,(IF($A$8=Nutrients!$B$77,Nutrients!$CY$77,Nutrients!$CY$78)))))*AV$8))/2000/AV$236*100</f>
        <v>59.816542175055218</v>
      </c>
      <c r="AW237" s="451">
        <f>(SUMPRODUCT(AW$9:AW$229,Nutrients!$CY$8:$CY$228)+(IF($A$7=Nutrients!$B$8,Nutrients!$CY$8,Nutrients!$CY$9)*AW$7)+(((IF($A$8=Nutrients!$B$79,Nutrients!$CY$79,(IF($A$8=Nutrients!$B$77,Nutrients!$CY$77,Nutrients!$CY$78)))))*AW$8))/2000/AW$236*100</f>
        <v>59.873540429035543</v>
      </c>
      <c r="AX237" s="13"/>
    </row>
    <row r="238" spans="1:50" x14ac:dyDescent="0.25">
      <c r="A238" s="39" t="s">
        <v>383</v>
      </c>
      <c r="B238" s="451">
        <f>(SUMPRODUCT(B$9:B$229,Nutrients!$CZ$8:$CZ$228)+(IF($A$7=Nutrients!$B$8,Nutrients!$CZ$8,Nutrients!$CZ$9)*B$7)+(((IF($A$8=Nutrients!$B$79,Nutrients!$CZ$79,(IF($A$8=Nutrients!$B$77,Nutrients!$CZ$77,Nutrients!$CZ$78)))))*B$8))/2000/B$236*100</f>
        <v>129.6913711527971</v>
      </c>
      <c r="C238" s="451">
        <f>(SUMPRODUCT(C$9:C$229,Nutrients!$CZ$8:$CZ$228)+(IF($A$7=Nutrients!$B$8,Nutrients!$CZ$8,Nutrients!$CZ$9)*C$7)+(((IF($A$8=Nutrients!$B$79,Nutrients!$CZ$79,(IF($A$8=Nutrients!$B$77,Nutrients!$CZ$77,Nutrients!$CZ$78)))))*C$8))/2000/C$236*100</f>
        <v>134.50017414165401</v>
      </c>
      <c r="D238" s="451">
        <f>(SUMPRODUCT(D$9:D$229,Nutrients!$CZ$8:$CZ$228)+(IF($A$7=Nutrients!$B$8,Nutrients!$CZ$8,Nutrients!$CZ$9)*D$7)+(((IF($A$8=Nutrients!$B$79,Nutrients!$CZ$79,(IF($A$8=Nutrients!$B$77,Nutrients!$CZ$77,Nutrients!$CZ$78)))))*D$8))/2000/D$236*100</f>
        <v>140.31419316632173</v>
      </c>
      <c r="E238" s="451">
        <f>(SUMPRODUCT(E$9:E$229,Nutrients!$CZ$8:$CZ$228)+(IF($A$7=Nutrients!$B$8,Nutrients!$CZ$8,Nutrients!$CZ$9)*E$7)+(((IF($A$8=Nutrients!$B$79,Nutrients!$CZ$79,(IF($A$8=Nutrients!$B$77,Nutrients!$CZ$77,Nutrients!$CZ$78)))))*E$8))/2000/E$236*100</f>
        <v>146.22101496424654</v>
      </c>
      <c r="F238" s="451">
        <f>(SUMPRODUCT(F$9:F$229,Nutrients!$CZ$8:$CZ$228)+(IF($A$7=Nutrients!$B$8,Nutrients!$CZ$8,Nutrients!$CZ$9)*F$7)+(((IF($A$8=Nutrients!$B$79,Nutrients!$CZ$79,(IF($A$8=Nutrients!$B$77,Nutrients!$CZ$77,Nutrients!$CZ$78)))))*F$8))/2000/F$236*100</f>
        <v>151.50724048169781</v>
      </c>
      <c r="G238" s="451">
        <f>(SUMPRODUCT(G$9:G$229,Nutrients!$CZ$8:$CZ$228)+(IF($A$7=Nutrients!$B$8,Nutrients!$CZ$8,Nutrients!$CZ$9)*G$7)+(((IF($A$8=Nutrients!$B$79,Nutrients!$CZ$79,(IF($A$8=Nutrients!$B$77,Nutrients!$CZ$77,Nutrients!$CZ$78)))))*G$8))/2000/G$236*100</f>
        <v>155.21195132466949</v>
      </c>
      <c r="H238" s="224"/>
      <c r="I238" s="451">
        <f>(SUMPRODUCT(I$9:I$229,Nutrients!$CZ$8:$CZ$228)+(IF($A$7=Nutrients!$B$8,Nutrients!$CZ$8,Nutrients!$CZ$9)*I$7)+(((IF($A$8=Nutrients!$B$79,Nutrients!$CZ$79,(IF($A$8=Nutrients!$B$77,Nutrients!$CZ$77,Nutrients!$CZ$78)))))*I$8))/2000/I$236*100</f>
        <v>135.14916616405517</v>
      </c>
      <c r="J238" s="451">
        <f>(SUMPRODUCT(J$9:J$229,Nutrients!$CZ$8:$CZ$228)+(IF($A$7=Nutrients!$B$8,Nutrients!$CZ$8,Nutrients!$CZ$9)*J$7)+(((IF($A$8=Nutrients!$B$79,Nutrients!$CZ$79,(IF($A$8=Nutrients!$B$77,Nutrients!$CZ$77,Nutrients!$CZ$78)))))*J$8))/2000/J$236*100</f>
        <v>140.66083888124047</v>
      </c>
      <c r="K238" s="451">
        <f>(SUMPRODUCT(K$9:K$229,Nutrients!$CZ$8:$CZ$228)+(IF($A$7=Nutrients!$B$8,Nutrients!$CZ$8,Nutrients!$CZ$9)*K$7)+(((IF($A$8=Nutrients!$B$79,Nutrients!$CZ$79,(IF($A$8=Nutrients!$B$77,Nutrients!$CZ$77,Nutrients!$CZ$78)))))*K$8))/2000/K$236*100</f>
        <v>147.2760793725501</v>
      </c>
      <c r="L238" s="451">
        <f>(SUMPRODUCT(L$9:L$229,Nutrients!$CZ$8:$CZ$228)+(IF($A$7=Nutrients!$B$8,Nutrients!$CZ$8,Nutrients!$CZ$9)*L$7)+(((IF($A$8=Nutrients!$B$79,Nutrients!$CZ$79,(IF($A$8=Nutrients!$B$77,Nutrients!$CZ$77,Nutrients!$CZ$78)))))*L$8))/2000/L$236*100</f>
        <v>154.05158187769416</v>
      </c>
      <c r="M238" s="451">
        <f>(SUMPRODUCT(M$9:M$229,Nutrients!$CZ$8:$CZ$228)+(IF($A$7=Nutrients!$B$8,Nutrients!$CZ$8,Nutrients!$CZ$9)*M$7)+(((IF($A$8=Nutrients!$B$79,Nutrients!$CZ$79,(IF($A$8=Nutrients!$B$77,Nutrients!$CZ$77,Nutrients!$CZ$78)))))*M$8))/2000/M$236*100</f>
        <v>160.10470692285998</v>
      </c>
      <c r="N238" s="451">
        <f>(SUMPRODUCT(N$9:N$229,Nutrients!$CZ$8:$CZ$228)+(IF($A$7=Nutrients!$B$8,Nutrients!$CZ$8,Nutrients!$CZ$9)*N$7)+(((IF($A$8=Nutrients!$B$79,Nutrients!$CZ$79,(IF($A$8=Nutrients!$B$77,Nutrients!$CZ$77,Nutrients!$CZ$78)))))*N$8))/2000/N$236*100</f>
        <v>164.27177850846928</v>
      </c>
      <c r="O238" s="472"/>
      <c r="P238" s="451">
        <f>(SUMPRODUCT(P$9:P$229,Nutrients!$CZ$8:$CZ$228)+(IF($A$7=Nutrients!$B$8,Nutrients!$CZ$8,Nutrients!$CZ$9)*P$7)+(((IF($A$8=Nutrients!$B$79,Nutrients!$CZ$79,(IF($A$8=Nutrients!$B$77,Nutrients!$CZ$77,Nutrients!$CZ$78)))))*P$8))/2000/P$236*100</f>
        <v>140.62429288491089</v>
      </c>
      <c r="Q238" s="451">
        <f>(SUMPRODUCT(Q$9:Q$229,Nutrients!$CZ$8:$CZ$228)+(IF($A$7=Nutrients!$B$8,Nutrients!$CZ$8,Nutrients!$CZ$9)*Q$7)+(((IF($A$8=Nutrients!$B$79,Nutrients!$CZ$79,(IF($A$8=Nutrients!$B$77,Nutrients!$CZ$77,Nutrients!$CZ$78)))))*Q$8))/2000/Q$236*100</f>
        <v>146.85489649509384</v>
      </c>
      <c r="R238" s="451">
        <f>(SUMPRODUCT(R$9:R$229,Nutrients!$CZ$8:$CZ$228)+(IF($A$7=Nutrients!$B$8,Nutrients!$CZ$8,Nutrients!$CZ$9)*R$7)+(((IF($A$8=Nutrients!$B$79,Nutrients!$CZ$79,(IF($A$8=Nutrients!$B$77,Nutrients!$CZ$77,Nutrients!$CZ$78)))))*R$8))/2000/R$236*100</f>
        <v>154.27901929032052</v>
      </c>
      <c r="S238" s="451">
        <f>(SUMPRODUCT(S$9:S$229,Nutrients!$CZ$8:$CZ$228)+(IF($A$7=Nutrients!$B$8,Nutrients!$CZ$8,Nutrients!$CZ$9)*S$7)+(((IF($A$8=Nutrients!$B$79,Nutrients!$CZ$79,(IF($A$8=Nutrients!$B$77,Nutrients!$CZ$77,Nutrients!$CZ$78)))))*S$8))/2000/S$236*100</f>
        <v>162.00168375657071</v>
      </c>
      <c r="T238" s="451">
        <f>(SUMPRODUCT(T$9:T$229,Nutrients!$CZ$8:$CZ$228)+(IF($A$7=Nutrients!$B$8,Nutrients!$CZ$8,Nutrients!$CZ$9)*T$7)+(((IF($A$8=Nutrients!$B$79,Nutrients!$CZ$79,(IF($A$8=Nutrients!$B$77,Nutrients!$CZ$77,Nutrients!$CZ$78)))))*T$8))/2000/T$236*100</f>
        <v>168.7661099180946</v>
      </c>
      <c r="U238" s="451">
        <f>(SUMPRODUCT(U$9:U$229,Nutrients!$CZ$8:$CZ$228)+(IF($A$7=Nutrients!$B$8,Nutrients!$CZ$8,Nutrients!$CZ$9)*U$7)+(((IF($A$8=Nutrients!$B$79,Nutrients!$CZ$79,(IF($A$8=Nutrients!$B$77,Nutrients!$CZ$77,Nutrients!$CZ$78)))))*U$8))/2000/U$236*100</f>
        <v>173.39530984712607</v>
      </c>
      <c r="V238" s="9"/>
      <c r="W238" s="451">
        <f>(SUMPRODUCT(W$9:W$229,Nutrients!$CZ$8:$CZ$228)+(IF($A$7=Nutrients!$B$8,Nutrients!$CZ$8,Nutrients!$CZ$9)*W$7)+(((IF($A$8=Nutrients!$B$79,Nutrients!$CZ$79,(IF($A$8=Nutrients!$B$77,Nutrients!$CZ$77,Nutrients!$CZ$78)))))*W$8))/2000/W$236*100</f>
        <v>146.17468028440169</v>
      </c>
      <c r="X238" s="451">
        <f>(SUMPRODUCT(X$9:X$229,Nutrients!$CZ$8:$CZ$228)+(IF($A$7=Nutrients!$B$8,Nutrients!$CZ$8,Nutrients!$CZ$9)*X$7)+(((IF($A$8=Nutrients!$B$79,Nutrients!$CZ$79,(IF($A$8=Nutrients!$B$77,Nutrients!$CZ$77,Nutrients!$CZ$78)))))*X$8))/2000/X$236*100</f>
        <v>153.13451809248585</v>
      </c>
      <c r="Y238" s="451">
        <f>(SUMPRODUCT(Y$9:Y$229,Nutrients!$CZ$8:$CZ$228)+(IF($A$7=Nutrients!$B$8,Nutrients!$CZ$8,Nutrients!$CZ$9)*Y$7)+(((IF($A$8=Nutrients!$B$79,Nutrients!$CZ$79,(IF($A$8=Nutrients!$B$77,Nutrients!$CZ$77,Nutrients!$CZ$78)))))*Y$8))/2000/Y$236*100</f>
        <v>161.47479183039917</v>
      </c>
      <c r="Z238" s="451">
        <f>(SUMPRODUCT(Z$9:Z$229,Nutrients!$CZ$8:$CZ$228)+(IF($A$7=Nutrients!$B$8,Nutrients!$CZ$8,Nutrients!$CZ$9)*Z$7)+(((IF($A$8=Nutrients!$B$79,Nutrients!$CZ$79,(IF($A$8=Nutrients!$B$77,Nutrients!$CZ$77,Nutrients!$CZ$78)))))*Z$8))/2000/Z$236*100</f>
        <v>170.04687685646215</v>
      </c>
      <c r="AA238" s="451">
        <f>(SUMPRODUCT(AA$9:AA$229,Nutrients!$CZ$8:$CZ$228)+(IF($A$7=Nutrients!$B$8,Nutrients!$CZ$8,Nutrients!$CZ$9)*AA$7)+(((IF($A$8=Nutrients!$B$79,Nutrients!$CZ$79,(IF($A$8=Nutrients!$B$77,Nutrients!$CZ$77,Nutrients!$CZ$78)))))*AA$8))/2000/AA$236*100</f>
        <v>177.55101936876659</v>
      </c>
      <c r="AB238" s="451">
        <f>(SUMPRODUCT(AB$9:AB$229,Nutrients!$CZ$8:$CZ$228)+(IF($A$7=Nutrients!$B$8,Nutrients!$CZ$8,Nutrients!$CZ$9)*AB$7)+(((IF($A$8=Nutrients!$B$79,Nutrients!$CZ$79,(IF($A$8=Nutrients!$B$77,Nutrients!$CZ$77,Nutrients!$CZ$78)))))*AB$8))/2000/AB$236*100</f>
        <v>182.66026056473618</v>
      </c>
      <c r="AC238" s="9"/>
      <c r="AD238" s="451">
        <f>(SUMPRODUCT(AD$9:AD$229,Nutrients!$CZ$8:$CZ$228)+(IF($A$7=Nutrients!$B$8,Nutrients!$CZ$8,Nutrients!$CZ$9)*AD$7)+(((IF($A$8=Nutrients!$B$79,Nutrients!$CZ$79,(IF($A$8=Nutrients!$B$77,Nutrients!$CZ$77,Nutrients!$CZ$78)))))*AD$8))/2000/AD$236*100</f>
        <v>151.80552535353348</v>
      </c>
      <c r="AE238" s="451">
        <f>(SUMPRODUCT(AE$9:AE$229,Nutrients!$CZ$8:$CZ$228)+(IF($A$7=Nutrients!$B$8,Nutrients!$CZ$8,Nutrients!$CZ$9)*AE$7)+(((IF($A$8=Nutrients!$B$79,Nutrients!$CZ$79,(IF($A$8=Nutrients!$B$77,Nutrients!$CZ$77,Nutrients!$CZ$78)))))*AE$8))/2000/AE$236*100</f>
        <v>159.58317331551683</v>
      </c>
      <c r="AF238" s="451">
        <f>(SUMPRODUCT(AF$9:AF$229,Nutrients!$CZ$8:$CZ$228)+(IF($A$7=Nutrients!$B$8,Nutrients!$CZ$8,Nutrients!$CZ$9)*AF$7)+(((IF($A$8=Nutrients!$B$79,Nutrients!$CZ$79,(IF($A$8=Nutrients!$B$77,Nutrients!$CZ$77,Nutrients!$CZ$78)))))*AF$8))/2000/AF$236*100</f>
        <v>168.76312717711107</v>
      </c>
      <c r="AG238" s="451">
        <f>(SUMPRODUCT(AG$9:AG$229,Nutrients!$CZ$8:$CZ$228)+(IF($A$7=Nutrients!$B$8,Nutrients!$CZ$8,Nutrients!$CZ$9)*AG$7)+(((IF($A$8=Nutrients!$B$79,Nutrients!$CZ$79,(IF($A$8=Nutrients!$B$77,Nutrients!$CZ$77,Nutrients!$CZ$78)))))*AG$8))/2000/AG$236*100</f>
        <v>178.20984251182003</v>
      </c>
      <c r="AH238" s="451">
        <f>(SUMPRODUCT(AH$9:AH$229,Nutrients!$CZ$8:$CZ$228)+(IF($A$7=Nutrients!$B$8,Nutrients!$CZ$8,Nutrients!$CZ$9)*AH$7)+(((IF($A$8=Nutrients!$B$79,Nutrients!$CZ$79,(IF($A$8=Nutrients!$B$77,Nutrients!$CZ$77,Nutrients!$CZ$78)))))*AH$8))/2000/AH$236*100</f>
        <v>186.48283883053674</v>
      </c>
      <c r="AI238" s="451">
        <f>(SUMPRODUCT(AI$9:AI$229,Nutrients!$CZ$8:$CZ$228)+(IF($A$7=Nutrients!$B$8,Nutrients!$CZ$8,Nutrients!$CZ$9)*AI$7)+(((IF($A$8=Nutrients!$B$79,Nutrients!$CZ$79,(IF($A$8=Nutrients!$B$77,Nutrients!$CZ$77,Nutrients!$CZ$78)))))*AI$8))/2000/AI$236*100</f>
        <v>192.0722656055882</v>
      </c>
      <c r="AJ238" s="9"/>
      <c r="AK238" s="451">
        <f>(SUMPRODUCT(AK$9:AK$229,Nutrients!$CZ$8:$CZ$228)+(IF($A$7=Nutrients!$B$8,Nutrients!$CZ$8,Nutrients!$CZ$9)*AK$7)+(((IF($A$8=Nutrients!$B$79,Nutrients!$CZ$79,(IF($A$8=Nutrients!$B$77,Nutrients!$CZ$77,Nutrients!$CZ$78)))))*AK$8))/2000/AK$236*100</f>
        <v>157.22824189377215</v>
      </c>
      <c r="AL238" s="451">
        <f>(SUMPRODUCT(AL$9:AL$229,Nutrients!$CZ$8:$CZ$228)+(IF($A$7=Nutrients!$B$8,Nutrients!$CZ$8,Nutrients!$CZ$9)*AL$7)+(((IF($A$8=Nutrients!$B$79,Nutrients!$CZ$79,(IF($A$8=Nutrients!$B$77,Nutrients!$CZ$77,Nutrients!$CZ$78)))))*AL$8))/2000/AL$236*100</f>
        <v>166.11202399208233</v>
      </c>
      <c r="AM238" s="451">
        <f>(SUMPRODUCT(AM$9:AM$229,Nutrients!$CZ$8:$CZ$228)+(IF($A$7=Nutrients!$B$8,Nutrients!$CZ$8,Nutrients!$CZ$9)*AM$7)+(((IF($A$8=Nutrients!$B$79,Nutrients!$CZ$79,(IF($A$8=Nutrients!$B$77,Nutrients!$CZ$77,Nutrients!$CZ$78)))))*AM$8))/2000/AM$236*100</f>
        <v>176.14549849047239</v>
      </c>
      <c r="AN238" s="451">
        <f>(SUMPRODUCT(AN$9:AN$229,Nutrients!$CZ$8:$CZ$228)+(IF($A$7=Nutrients!$B$8,Nutrients!$CZ$8,Nutrients!$CZ$9)*AN$7)+(((IF($A$8=Nutrients!$B$79,Nutrients!$CZ$79,(IF($A$8=Nutrients!$B$77,Nutrients!$CZ$77,Nutrients!$CZ$78)))))*AN$8))/2000/AN$236*100</f>
        <v>186.5105836196264</v>
      </c>
      <c r="AO238" s="451">
        <f>(SUMPRODUCT(AO$9:AO$229,Nutrients!$CZ$8:$CZ$228)+(IF($A$7=Nutrients!$B$8,Nutrients!$CZ$8,Nutrients!$CZ$9)*AO$7)+(((IF($A$8=Nutrients!$B$79,Nutrients!$CZ$79,(IF($A$8=Nutrients!$B$77,Nutrients!$CZ$77,Nutrients!$CZ$78)))))*AO$8))/2000/AO$236*100</f>
        <v>195.56432340080264</v>
      </c>
      <c r="AP238" s="451">
        <f>(SUMPRODUCT(AP$9:AP$229,Nutrients!$CZ$8:$CZ$228)+(IF($A$7=Nutrients!$B$8,Nutrients!$CZ$8,Nutrients!$CZ$9)*AP$7)+(((IF($A$8=Nutrients!$B$79,Nutrients!$CZ$79,(IF($A$8=Nutrients!$B$77,Nutrients!$CZ$77,Nutrients!$CZ$78)))))*AP$8))/2000/AP$236*100</f>
        <v>201.64814086622965</v>
      </c>
      <c r="AQ238" s="9"/>
      <c r="AR238" s="451">
        <f>(SUMPRODUCT(AR$9:AR$229,Nutrients!$CZ$8:$CZ$228)+(IF($A$7=Nutrients!$B$8,Nutrients!$CZ$8,Nutrients!$CZ$9)*AR$7)+(((IF($A$8=Nutrients!$B$79,Nutrients!$CZ$79,(IF($A$8=Nutrients!$B$77,Nutrients!$CZ$77,Nutrients!$CZ$78)))))*AR$8))/2000/AR$236*100</f>
        <v>163.10777105101943</v>
      </c>
      <c r="AS238" s="451">
        <f>(SUMPRODUCT(AS$9:AS$229,Nutrients!$CZ$8:$CZ$228)+(IF($A$7=Nutrients!$B$8,Nutrients!$CZ$8,Nutrients!$CZ$9)*AS$7)+(((IF($A$8=Nutrients!$B$79,Nutrients!$CZ$79,(IF($A$8=Nutrients!$B$77,Nutrients!$CZ$77,Nutrients!$CZ$78)))))*AS$8))/2000/AS$236*100</f>
        <v>172.7430556274353</v>
      </c>
      <c r="AT238" s="451">
        <f>(SUMPRODUCT(AT$9:AT$229,Nutrients!$CZ$8:$CZ$228)+(IF($A$7=Nutrients!$B$8,Nutrients!$CZ$8,Nutrients!$CZ$9)*AT$7)+(((IF($A$8=Nutrients!$B$79,Nutrients!$CZ$79,(IF($A$8=Nutrients!$B$77,Nutrients!$CZ$77,Nutrients!$CZ$78)))))*AT$8))/2000/AT$236*100</f>
        <v>183.61672916058433</v>
      </c>
      <c r="AU238" s="451">
        <f>(SUMPRODUCT(AU$9:AU$229,Nutrients!$CZ$8:$CZ$228)+(IF($A$7=Nutrients!$B$8,Nutrients!$CZ$8,Nutrients!$CZ$9)*AU$7)+(((IF($A$8=Nutrients!$B$79,Nutrients!$CZ$79,(IF($A$8=Nutrients!$B$77,Nutrients!$CZ$77,Nutrients!$CZ$78)))))*AU$8))/2000/AU$236*100</f>
        <v>194.93886231982762</v>
      </c>
      <c r="AV238" s="451">
        <f>(SUMPRODUCT(AV$9:AV$229,Nutrients!$CZ$8:$CZ$228)+(IF($A$7=Nutrients!$B$8,Nutrients!$CZ$8,Nutrients!$CZ$9)*AV$7)+(((IF($A$8=Nutrients!$B$79,Nutrients!$CZ$79,(IF($A$8=Nutrients!$B$77,Nutrients!$CZ$77,Nutrients!$CZ$78)))))*AV$8))/2000/AV$236*100</f>
        <v>204.80455339223101</v>
      </c>
      <c r="AW238" s="451">
        <f>(SUMPRODUCT(AW$9:AW$229,Nutrients!$CZ$8:$CZ$228)+(IF($A$7=Nutrients!$B$8,Nutrients!$CZ$8,Nutrients!$CZ$9)*AW$7)+(((IF($A$8=Nutrients!$B$79,Nutrients!$CZ$79,(IF($A$8=Nutrients!$B$77,Nutrients!$CZ$77,Nutrients!$CZ$78)))))*AW$8))/2000/AW$236*100</f>
        <v>211.39202773571114</v>
      </c>
      <c r="AX238" s="13"/>
    </row>
    <row r="239" spans="1:50" x14ac:dyDescent="0.25">
      <c r="A239" s="38" t="s">
        <v>384</v>
      </c>
      <c r="B239" s="451">
        <f>(SUMPRODUCT(B$9:B$229,Nutrients!$DB$8:$DB$228)+(IF($A$7=Nutrients!$B$8,Nutrients!$DB$8,Nutrients!$DB$9)*B$7)+(((IF($A$8=Nutrients!$B$79,Nutrients!$DB$79,(IF($A$8=Nutrients!$B$77,Nutrients!$DB$77,Nutrients!$DB$78)))))*B$8))/2000/B$236*100</f>
        <v>32.176483378772197</v>
      </c>
      <c r="C239" s="451">
        <f>(SUMPRODUCT(C$9:C$229,Nutrients!$DB$8:$DB$228)+(IF($A$7=Nutrients!$B$8,Nutrients!$DB$8,Nutrients!$DB$9)*C$7)+(((IF($A$8=Nutrients!$B$79,Nutrients!$DB$79,(IF($A$8=Nutrients!$B$77,Nutrients!$DB$77,Nutrients!$DB$78)))))*C$8))/2000/C$236*100</f>
        <v>31.3204641187241</v>
      </c>
      <c r="D239" s="451">
        <f>(SUMPRODUCT(D$9:D$229,Nutrients!$DB$8:$DB$228)+(IF($A$7=Nutrients!$B$8,Nutrients!$DB$8,Nutrients!$DB$9)*D$7)+(((IF($A$8=Nutrients!$B$79,Nutrients!$DB$79,(IF($A$8=Nutrients!$B$77,Nutrients!$DB$77,Nutrients!$DB$78)))))*D$8))/2000/D$236*100</f>
        <v>30.28033378224459</v>
      </c>
      <c r="E239" s="451">
        <f>(SUMPRODUCT(E$9:E$229,Nutrients!$DB$8:$DB$228)+(IF($A$7=Nutrients!$B$8,Nutrients!$DB$8,Nutrients!$DB$9)*E$7)+(((IF($A$8=Nutrients!$B$79,Nutrients!$DB$79,(IF($A$8=Nutrients!$B$77,Nutrients!$DB$77,Nutrients!$DB$78)))))*E$8))/2000/E$236*100</f>
        <v>30.221879794096772</v>
      </c>
      <c r="F239" s="451">
        <f>(SUMPRODUCT(F$9:F$229,Nutrients!$DB$8:$DB$228)+(IF($A$7=Nutrients!$B$8,Nutrients!$DB$8,Nutrients!$DB$9)*F$7)+(((IF($A$8=Nutrients!$B$79,Nutrients!$DB$79,(IF($A$8=Nutrients!$B$77,Nutrients!$DB$77,Nutrients!$DB$78)))))*F$8))/2000/F$236*100</f>
        <v>29.27572686201405</v>
      </c>
      <c r="G239" s="451">
        <f>(SUMPRODUCT(G$9:G$229,Nutrients!$DB$8:$DB$228)+(IF($A$7=Nutrients!$B$8,Nutrients!$DB$8,Nutrients!$DB$9)*G$7)+(((IF($A$8=Nutrients!$B$79,Nutrients!$DB$79,(IF($A$8=Nutrients!$B$77,Nutrients!$DB$77,Nutrients!$DB$78)))))*G$8))/2000/G$236*100</f>
        <v>29.609559948404552</v>
      </c>
      <c r="H239" s="224"/>
      <c r="I239" s="451">
        <f>(SUMPRODUCT(I$9:I$229,Nutrients!$DB$8:$DB$228)+(IF($A$7=Nutrients!$B$8,Nutrients!$DB$8,Nutrients!$DB$9)*I$7)+(((IF($A$8=Nutrients!$B$79,Nutrients!$DB$79,(IF($A$8=Nutrients!$B$77,Nutrients!$DB$77,Nutrients!$DB$78)))))*I$8))/2000/I$236*100</f>
        <v>31.972666813313062</v>
      </c>
      <c r="J239" s="451">
        <f>(SUMPRODUCT(J$9:J$229,Nutrients!$DB$8:$DB$228)+(IF($A$7=Nutrients!$B$8,Nutrients!$DB$8,Nutrients!$DB$9)*J$7)+(((IF($A$8=Nutrients!$B$79,Nutrients!$DB$79,(IF($A$8=Nutrients!$B$77,Nutrients!$DB$77,Nutrients!$DB$78)))))*J$8))/2000/J$236*100</f>
        <v>31.063316062240133</v>
      </c>
      <c r="K239" s="451">
        <f>(SUMPRODUCT(K$9:K$229,Nutrients!$DB$8:$DB$228)+(IF($A$7=Nutrients!$B$8,Nutrients!$DB$8,Nutrients!$DB$9)*K$7)+(((IF($A$8=Nutrients!$B$79,Nutrients!$DB$79,(IF($A$8=Nutrients!$B$77,Nutrients!$DB$77,Nutrients!$DB$78)))))*K$8))/2000/K$236*100</f>
        <v>30.038079088916092</v>
      </c>
      <c r="L239" s="451">
        <f>(SUMPRODUCT(L$9:L$229,Nutrients!$DB$8:$DB$228)+(IF($A$7=Nutrients!$B$8,Nutrients!$DB$8,Nutrients!$DB$9)*L$7)+(((IF($A$8=Nutrients!$B$79,Nutrients!$DB$79,(IF($A$8=Nutrients!$B$77,Nutrients!$DB$77,Nutrients!$DB$78)))))*L$8))/2000/L$236*100</f>
        <v>29.947705118624985</v>
      </c>
      <c r="M239" s="451">
        <f>(SUMPRODUCT(M$9:M$229,Nutrients!$DB$8:$DB$228)+(IF($A$7=Nutrients!$B$8,Nutrients!$DB$8,Nutrients!$DB$9)*M$7)+(((IF($A$8=Nutrients!$B$79,Nutrients!$DB$79,(IF($A$8=Nutrients!$B$77,Nutrients!$DB$77,Nutrients!$DB$78)))))*M$8))/2000/M$236*100</f>
        <v>28.966497479904813</v>
      </c>
      <c r="N239" s="451">
        <f>(SUMPRODUCT(N$9:N$229,Nutrients!$DB$8:$DB$228)+(IF($A$7=Nutrients!$B$8,Nutrients!$DB$8,Nutrients!$DB$9)*N$7)+(((IF($A$8=Nutrients!$B$79,Nutrients!$DB$79,(IF($A$8=Nutrients!$B$77,Nutrients!$DB$77,Nutrients!$DB$78)))))*N$8))/2000/N$236*100</f>
        <v>29.344376883914464</v>
      </c>
      <c r="O239" s="472"/>
      <c r="P239" s="451">
        <f>(SUMPRODUCT(P$9:P$229,Nutrients!$DB$8:$DB$228)+(IF($A$7=Nutrients!$B$8,Nutrients!$DB$8,Nutrients!$DB$9)*P$7)+(((IF($A$8=Nutrients!$B$79,Nutrients!$DB$79,(IF($A$8=Nutrients!$B$77,Nutrients!$DB$77,Nutrients!$DB$78)))))*P$8))/2000/P$236*100</f>
        <v>31.78556845306889</v>
      </c>
      <c r="Q239" s="451">
        <f>(SUMPRODUCT(Q$9:Q$229,Nutrients!$DB$8:$DB$228)+(IF($A$7=Nutrients!$B$8,Nutrients!$DB$8,Nutrients!$DB$9)*Q$7)+(((IF($A$8=Nutrients!$B$79,Nutrients!$DB$79,(IF($A$8=Nutrients!$B$77,Nutrients!$DB$77,Nutrients!$DB$78)))))*Q$8))/2000/Q$236*100</f>
        <v>30.897601685784998</v>
      </c>
      <c r="R239" s="451">
        <f>(SUMPRODUCT(R$9:R$229,Nutrients!$DB$8:$DB$228)+(IF($A$7=Nutrients!$B$8,Nutrients!$DB$8,Nutrients!$DB$9)*R$7)+(((IF($A$8=Nutrients!$B$79,Nutrients!$DB$79,(IF($A$8=Nutrients!$B$77,Nutrients!$DB$77,Nutrients!$DB$78)))))*R$8))/2000/R$236*100</f>
        <v>29.758368048104668</v>
      </c>
      <c r="S239" s="451">
        <f>(SUMPRODUCT(S$9:S$229,Nutrients!$DB$8:$DB$228)+(IF($A$7=Nutrients!$B$8,Nutrients!$DB$8,Nutrients!$DB$9)*S$7)+(((IF($A$8=Nutrients!$B$79,Nutrients!$DB$79,(IF($A$8=Nutrients!$B$77,Nutrients!$DB$77,Nutrients!$DB$78)))))*S$8))/2000/S$236*100</f>
        <v>29.639131753681308</v>
      </c>
      <c r="T239" s="451">
        <f>(SUMPRODUCT(T$9:T$229,Nutrients!$DB$8:$DB$228)+(IF($A$7=Nutrients!$B$8,Nutrients!$DB$8,Nutrients!$DB$9)*T$7)+(((IF($A$8=Nutrients!$B$79,Nutrients!$DB$79,(IF($A$8=Nutrients!$B$77,Nutrients!$DB$77,Nutrients!$DB$78)))))*T$8))/2000/T$236*100</f>
        <v>29.746086503493846</v>
      </c>
      <c r="U239" s="451">
        <f>(SUMPRODUCT(U$9:U$229,Nutrients!$DB$8:$DB$228)+(IF($A$7=Nutrients!$B$8,Nutrients!$DB$8,Nutrients!$DB$9)*U$7)+(((IF($A$8=Nutrients!$B$79,Nutrients!$DB$79,(IF($A$8=Nutrients!$B$77,Nutrients!$DB$77,Nutrients!$DB$78)))))*U$8))/2000/U$236*100</f>
        <v>30.505158207075446</v>
      </c>
      <c r="V239" s="9"/>
      <c r="W239" s="451">
        <f>(SUMPRODUCT(W$9:W$229,Nutrients!$DB$8:$DB$228)+(IF($A$7=Nutrients!$B$8,Nutrients!$DB$8,Nutrients!$DB$9)*W$7)+(((IF($A$8=Nutrients!$B$79,Nutrients!$DB$79,(IF($A$8=Nutrients!$B$77,Nutrients!$DB$77,Nutrients!$DB$78)))))*W$8))/2000/W$236*100</f>
        <v>31.596106334434914</v>
      </c>
      <c r="X239" s="451">
        <f>(SUMPRODUCT(X$9:X$229,Nutrients!$DB$8:$DB$228)+(IF($A$7=Nutrients!$B$8,Nutrients!$DB$8,Nutrients!$DB$9)*X$7)+(((IF($A$8=Nutrients!$B$79,Nutrients!$DB$79,(IF($A$8=Nutrients!$B$77,Nutrients!$DB$77,Nutrients!$DB$78)))))*X$8))/2000/X$236*100</f>
        <v>30.665541495163772</v>
      </c>
      <c r="Y239" s="451">
        <f>(SUMPRODUCT(Y$9:Y$229,Nutrients!$DB$8:$DB$228)+(IF($A$7=Nutrients!$B$8,Nutrients!$DB$8,Nutrients!$DB$9)*Y$7)+(((IF($A$8=Nutrients!$B$79,Nutrients!$DB$79,(IF($A$8=Nutrients!$B$77,Nutrients!$DB$77,Nutrients!$DB$78)))))*Y$8))/2000/Y$236*100</f>
        <v>29.548441737744668</v>
      </c>
      <c r="Z239" s="451">
        <f>(SUMPRODUCT(Z$9:Z$229,Nutrients!$DB$8:$DB$228)+(IF($A$7=Nutrients!$B$8,Nutrients!$DB$8,Nutrients!$DB$9)*Z$7)+(((IF($A$8=Nutrients!$B$79,Nutrients!$DB$79,(IF($A$8=Nutrients!$B$77,Nutrients!$DB$77,Nutrients!$DB$78)))))*Z$8))/2000/Z$236*100</f>
        <v>29.675216989122237</v>
      </c>
      <c r="AA239" s="451">
        <f>(SUMPRODUCT(AA$9:AA$229,Nutrients!$DB$8:$DB$228)+(IF($A$7=Nutrients!$B$8,Nutrients!$DB$8,Nutrients!$DB$9)*AA$7)+(((IF($A$8=Nutrients!$B$79,Nutrients!$DB$79,(IF($A$8=Nutrients!$B$77,Nutrients!$DB$77,Nutrients!$DB$78)))))*AA$8))/2000/AA$236*100</f>
        <v>30.863325404266313</v>
      </c>
      <c r="AB239" s="451">
        <f>(SUMPRODUCT(AB$9:AB$229,Nutrients!$DB$8:$DB$228)+(IF($A$7=Nutrients!$B$8,Nutrients!$DB$8,Nutrients!$DB$9)*AB$7)+(((IF($A$8=Nutrients!$B$79,Nutrients!$DB$79,(IF($A$8=Nutrients!$B$77,Nutrients!$DB$77,Nutrients!$DB$78)))))*AB$8))/2000/AB$236*100</f>
        <v>31.683597476599513</v>
      </c>
      <c r="AC239" s="9"/>
      <c r="AD239" s="451">
        <f>(SUMPRODUCT(AD$9:AD$229,Nutrients!$DB$8:$DB$228)+(IF($A$7=Nutrients!$B$8,Nutrients!$DB$8,Nutrients!$DB$9)*AD$7)+(((IF($A$8=Nutrients!$B$79,Nutrients!$DB$79,(IF($A$8=Nutrients!$B$77,Nutrients!$DB$77,Nutrients!$DB$78)))))*AD$8))/2000/AD$236*100</f>
        <v>31.405187189252466</v>
      </c>
      <c r="AE239" s="451">
        <f>(SUMPRODUCT(AE$9:AE$229,Nutrients!$DB$8:$DB$228)+(IF($A$7=Nutrients!$B$8,Nutrients!$DB$8,Nutrients!$DB$9)*AE$7)+(((IF($A$8=Nutrients!$B$79,Nutrients!$DB$79,(IF($A$8=Nutrients!$B$77,Nutrients!$DB$77,Nutrients!$DB$78)))))*AE$8))/2000/AE$236*100</f>
        <v>30.446342297518985</v>
      </c>
      <c r="AF239" s="451">
        <f>(SUMPRODUCT(AF$9:AF$229,Nutrients!$DB$8:$DB$228)+(IF($A$7=Nutrients!$B$8,Nutrients!$DB$8,Nutrients!$DB$9)*AF$7)+(((IF($A$8=Nutrients!$B$79,Nutrients!$DB$79,(IF($A$8=Nutrients!$B$77,Nutrients!$DB$77,Nutrients!$DB$78)))))*AF$8))/2000/AF$236*100</f>
        <v>29.255585937464211</v>
      </c>
      <c r="AG239" s="451">
        <f>(SUMPRODUCT(AG$9:AG$229,Nutrients!$DB$8:$DB$228)+(IF($A$7=Nutrients!$B$8,Nutrients!$DB$8,Nutrients!$DB$9)*AG$7)+(((IF($A$8=Nutrients!$B$79,Nutrients!$DB$79,(IF($A$8=Nutrients!$B$77,Nutrients!$DB$77,Nutrients!$DB$78)))))*AG$8))/2000/AG$236*100</f>
        <v>30.713066832349295</v>
      </c>
      <c r="AH239" s="451">
        <f>(SUMPRODUCT(AH$9:AH$229,Nutrients!$DB$8:$DB$228)+(IF($A$7=Nutrients!$B$8,Nutrients!$DB$8,Nutrients!$DB$9)*AH$7)+(((IF($A$8=Nutrients!$B$79,Nutrients!$DB$79,(IF($A$8=Nutrients!$B$77,Nutrients!$DB$77,Nutrients!$DB$78)))))*AH$8))/2000/AH$236*100</f>
        <v>31.998362446785933</v>
      </c>
      <c r="AI239" s="451">
        <f>(SUMPRODUCT(AI$9:AI$229,Nutrients!$DB$8:$DB$228)+(IF($A$7=Nutrients!$B$8,Nutrients!$DB$8,Nutrients!$DB$9)*AI$7)+(((IF($A$8=Nutrients!$B$79,Nutrients!$DB$79,(IF($A$8=Nutrients!$B$77,Nutrients!$DB$77,Nutrients!$DB$78)))))*AI$8))/2000/AI$236*100</f>
        <v>32.879323206917533</v>
      </c>
      <c r="AJ239" s="9"/>
      <c r="AK239" s="451">
        <f>(SUMPRODUCT(AK$9:AK$229,Nutrients!$DB$8:$DB$228)+(IF($A$7=Nutrients!$B$8,Nutrients!$DB$8,Nutrients!$DB$9)*AK$7)+(((IF($A$8=Nutrients!$B$79,Nutrients!$DB$79,(IF($A$8=Nutrients!$B$77,Nutrients!$DB$77,Nutrients!$DB$78)))))*AK$8))/2000/AK$236*100</f>
        <v>31.150790981451664</v>
      </c>
      <c r="AL239" s="451">
        <f>(SUMPRODUCT(AL$9:AL$229,Nutrients!$DB$8:$DB$228)+(IF($A$7=Nutrients!$B$8,Nutrients!$DB$8,Nutrients!$DB$9)*AL$7)+(((IF($A$8=Nutrients!$B$79,Nutrients!$DB$79,(IF($A$8=Nutrients!$B$77,Nutrients!$DB$77,Nutrients!$DB$78)))))*AL$8))/2000/AL$236*100</f>
        <v>30.219030153975719</v>
      </c>
      <c r="AM239" s="451">
        <f>(SUMPRODUCT(AM$9:AM$229,Nutrients!$DB$8:$DB$228)+(IF($A$7=Nutrients!$B$8,Nutrients!$DB$8,Nutrients!$DB$9)*AM$7)+(((IF($A$8=Nutrients!$B$79,Nutrients!$DB$79,(IF($A$8=Nutrients!$B$77,Nutrients!$DB$77,Nutrients!$DB$78)))))*AM$8))/2000/AM$236*100</f>
        <v>30.194071433183044</v>
      </c>
      <c r="AN239" s="451">
        <f>(SUMPRODUCT(AN$9:AN$229,Nutrients!$DB$8:$DB$228)+(IF($A$7=Nutrients!$B$8,Nutrients!$DB$8,Nutrients!$DB$9)*AN$7)+(((IF($A$8=Nutrients!$B$79,Nutrients!$DB$79,(IF($A$8=Nutrients!$B$77,Nutrients!$DB$77,Nutrients!$DB$78)))))*AN$8))/2000/AN$236*100</f>
        <v>31.767795890545276</v>
      </c>
      <c r="AO239" s="451">
        <f>(SUMPRODUCT(AO$9:AO$229,Nutrients!$DB$8:$DB$228)+(IF($A$7=Nutrients!$B$8,Nutrients!$DB$8,Nutrients!$DB$9)*AO$7)+(((IF($A$8=Nutrients!$B$79,Nutrients!$DB$79,(IF($A$8=Nutrients!$B$77,Nutrients!$DB$77,Nutrients!$DB$78)))))*AO$8))/2000/AO$236*100</f>
        <v>33.151732950143028</v>
      </c>
      <c r="AP239" s="451">
        <f>(SUMPRODUCT(AP$9:AP$229,Nutrients!$DB$8:$DB$228)+(IF($A$7=Nutrients!$B$8,Nutrients!$DB$8,Nutrients!$DB$9)*AP$7)+(((IF($A$8=Nutrients!$B$79,Nutrients!$DB$79,(IF($A$8=Nutrients!$B$77,Nutrients!$DB$77,Nutrients!$DB$78)))))*AP$8))/2000/AP$236*100</f>
        <v>34.095863625368779</v>
      </c>
      <c r="AQ239" s="9"/>
      <c r="AR239" s="451">
        <f>(SUMPRODUCT(AR$9:AR$229,Nutrients!$DB$8:$DB$228)+(IF($A$7=Nutrients!$B$8,Nutrients!$DB$8,Nutrients!$DB$9)*AR$7)+(((IF($A$8=Nutrients!$B$79,Nutrients!$DB$79,(IF($A$8=Nutrients!$B$77,Nutrients!$DB$77,Nutrients!$DB$78)))))*AR$8))/2000/AR$236*100</f>
        <v>30.977730121051035</v>
      </c>
      <c r="AS239" s="451">
        <f>(SUMPRODUCT(AS$9:AS$229,Nutrients!$DB$8:$DB$228)+(IF($A$7=Nutrients!$B$8,Nutrients!$DB$8,Nutrients!$DB$9)*AS$7)+(((IF($A$8=Nutrients!$B$79,Nutrients!$DB$79,(IF($A$8=Nutrients!$B$77,Nutrients!$DB$77,Nutrients!$DB$78)))))*AS$8))/2000/AS$236*100</f>
        <v>29.987905124066877</v>
      </c>
      <c r="AT239" s="451">
        <f>(SUMPRODUCT(AT$9:AT$229,Nutrients!$DB$8:$DB$228)+(IF($A$7=Nutrients!$B$8,Nutrients!$DB$8,Nutrients!$DB$9)*AT$7)+(((IF($A$8=Nutrients!$B$79,Nutrients!$DB$79,(IF($A$8=Nutrients!$B$77,Nutrients!$DB$77,Nutrients!$DB$78)))))*AT$8))/2000/AT$236*100</f>
        <v>31.143262269735377</v>
      </c>
      <c r="AU239" s="451">
        <f>(SUMPRODUCT(AU$9:AU$229,Nutrients!$DB$8:$DB$228)+(IF($A$7=Nutrients!$B$8,Nutrients!$DB$8,Nutrients!$DB$9)*AU$7)+(((IF($A$8=Nutrients!$B$79,Nutrients!$DB$79,(IF($A$8=Nutrients!$B$77,Nutrients!$DB$77,Nutrients!$DB$78)))))*AU$8))/2000/AU$236*100</f>
        <v>32.837504152013821</v>
      </c>
      <c r="AV239" s="451">
        <f>(SUMPRODUCT(AV$9:AV$229,Nutrients!$DB$8:$DB$228)+(IF($A$7=Nutrients!$B$8,Nutrients!$DB$8,Nutrients!$DB$9)*AV$7)+(((IF($A$8=Nutrients!$B$79,Nutrients!$DB$79,(IF($A$8=Nutrients!$B$77,Nutrients!$DB$77,Nutrients!$DB$78)))))*AV$8))/2000/AV$236*100</f>
        <v>34.325261224280951</v>
      </c>
      <c r="AW239" s="451">
        <f>(SUMPRODUCT(AW$9:AW$229,Nutrients!$DB$8:$DB$228)+(IF($A$7=Nutrients!$B$8,Nutrients!$DB$8,Nutrients!$DB$9)*AW$7)+(((IF($A$8=Nutrients!$B$79,Nutrients!$DB$79,(IF($A$8=Nutrients!$B$77,Nutrients!$DB$77,Nutrients!$DB$78)))))*AW$8))/2000/AW$236*100</f>
        <v>35.333760166856642</v>
      </c>
      <c r="AX239" s="13"/>
    </row>
    <row r="240" spans="1:50" x14ac:dyDescent="0.25">
      <c r="A240" s="38" t="s">
        <v>385</v>
      </c>
      <c r="B240" s="225">
        <f>(SUMPRODUCT(B$9:B$229,Nutrients!$DC$8:$DC$228)+(IF($A$7=Nutrients!$B$8,Nutrients!$DC$8,Nutrients!$DC$9)*B$7)+(((IF($A$8=Nutrients!$B$79,Nutrients!$DC$79,(IF($A$8=Nutrients!$B$77,Nutrients!$DC$77,Nutrients!$DC$78)))))*B$8))/2000/B$236*100</f>
        <v>55.994418242240393</v>
      </c>
      <c r="C240" s="225">
        <f>(SUMPRODUCT(C$9:C$229,Nutrients!$DC$8:$DC$228)+(IF($A$7=Nutrients!$B$8,Nutrients!$DC$8,Nutrients!$DC$9)*C$7)+(((IF($A$8=Nutrients!$B$79,Nutrients!$DC$79,(IF($A$8=Nutrients!$B$77,Nutrients!$DC$77,Nutrients!$DC$78)))))*C$8))/2000/C$236*100</f>
        <v>55.998321129822401</v>
      </c>
      <c r="D240" s="225">
        <f>(SUMPRODUCT(D$9:D$229,Nutrients!$DC$8:$DC$228)+(IF($A$7=Nutrients!$B$8,Nutrients!$DC$8,Nutrients!$DC$9)*D$7)+(((IF($A$8=Nutrients!$B$79,Nutrients!$DC$79,(IF($A$8=Nutrients!$B$77,Nutrients!$DC$77,Nutrients!$DC$78)))))*D$8))/2000/D$236*100</f>
        <v>56.000205781178344</v>
      </c>
      <c r="E240" s="225">
        <f>(SUMPRODUCT(E$9:E$229,Nutrients!$DC$8:$DC$228)+(IF($A$7=Nutrients!$B$8,Nutrients!$DC$8,Nutrients!$DC$9)*E$7)+(((IF($A$8=Nutrients!$B$79,Nutrients!$DC$79,(IF($A$8=Nutrients!$B$77,Nutrients!$DC$77,Nutrients!$DC$78)))))*E$8))/2000/E$236*100</f>
        <v>56.999140886022367</v>
      </c>
      <c r="F240" s="225">
        <f>(SUMPRODUCT(F$9:F$229,Nutrients!$DC$8:$DC$228)+(IF($A$7=Nutrients!$B$8,Nutrients!$DC$8,Nutrients!$DC$9)*F$7)+(((IF($A$8=Nutrients!$B$79,Nutrients!$DC$79,(IF($A$8=Nutrients!$B$77,Nutrients!$DC$77,Nutrients!$DC$78)))))*F$8))/2000/F$236*100</f>
        <v>57.001109458079327</v>
      </c>
      <c r="G240" s="225">
        <f>(SUMPRODUCT(G$9:G$229,Nutrients!$DC$8:$DC$228)+(IF($A$7=Nutrients!$B$8,Nutrients!$DC$8,Nutrients!$DC$9)*G$7)+(((IF($A$8=Nutrients!$B$79,Nutrients!$DC$79,(IF($A$8=Nutrients!$B$77,Nutrients!$DC$77,Nutrients!$DC$78)))))*G$8))/2000/G$236*100</f>
        <v>58.001701198028378</v>
      </c>
      <c r="H240" s="224"/>
      <c r="I240" s="225">
        <f>(SUMPRODUCT(I$9:I$229,Nutrients!$DC$8:$DC$228)+(IF($A$7=Nutrients!$B$8,Nutrients!$DC$8,Nutrients!$DC$9)*I$7)+(((IF($A$8=Nutrients!$B$79,Nutrients!$DC$79,(IF($A$8=Nutrients!$B$77,Nutrients!$DC$77,Nutrients!$DC$78)))))*I$8))/2000/I$236*100</f>
        <v>55.983640041954054</v>
      </c>
      <c r="J240" s="225">
        <f>(SUMPRODUCT(J$9:J$229,Nutrients!$DC$8:$DC$228)+(IF($A$7=Nutrients!$B$8,Nutrients!$DC$8,Nutrients!$DC$9)*J$7)+(((IF($A$8=Nutrients!$B$79,Nutrients!$DC$79,(IF($A$8=Nutrients!$B$77,Nutrients!$DC$77,Nutrients!$DC$78)))))*J$8))/2000/J$236*100</f>
        <v>55.95762902663364</v>
      </c>
      <c r="K240" s="225">
        <f>(SUMPRODUCT(K$9:K$229,Nutrients!$DC$8:$DC$228)+(IF($A$7=Nutrients!$B$8,Nutrients!$DC$8,Nutrients!$DC$9)*K$7)+(((IF($A$8=Nutrients!$B$79,Nutrients!$DC$79,(IF($A$8=Nutrients!$B$77,Nutrients!$DC$77,Nutrients!$DC$78)))))*K$8))/2000/K$236*100</f>
        <v>56.001659847621625</v>
      </c>
      <c r="L240" s="225">
        <f>(SUMPRODUCT(L$9:L$229,Nutrients!$DC$8:$DC$228)+(IF($A$7=Nutrients!$B$8,Nutrients!$DC$8,Nutrients!$DC$9)*L$7)+(((IF($A$8=Nutrients!$B$79,Nutrients!$DC$79,(IF($A$8=Nutrients!$B$77,Nutrients!$DC$77,Nutrients!$DC$78)))))*L$8))/2000/L$236*100</f>
        <v>57.001862447239141</v>
      </c>
      <c r="M240" s="225">
        <f>(SUMPRODUCT(M$9:M$229,Nutrients!$DC$8:$DC$228)+(IF($A$7=Nutrients!$B$8,Nutrients!$DC$8,Nutrients!$DC$9)*M$7)+(((IF($A$8=Nutrients!$B$79,Nutrients!$DC$79,(IF($A$8=Nutrients!$B$77,Nutrients!$DC$77,Nutrients!$DC$78)))))*M$8))/2000/M$236*100</f>
        <v>57.002034686247839</v>
      </c>
      <c r="N240" s="225">
        <f>(SUMPRODUCT(N$9:N$229,Nutrients!$DC$8:$DC$228)+(IF($A$7=Nutrients!$B$8,Nutrients!$DC$8,Nutrients!$DC$9)*N$7)+(((IF($A$8=Nutrients!$B$79,Nutrients!$DC$79,(IF($A$8=Nutrients!$B$77,Nutrients!$DC$77,Nutrients!$DC$78)))))*N$8))/2000/N$236*100</f>
        <v>58.064059079310248</v>
      </c>
      <c r="O240" s="472"/>
      <c r="P240" s="225">
        <f>(SUMPRODUCT(P$9:P$229,Nutrients!$DC$8:$DC$228)+(IF($A$7=Nutrients!$B$8,Nutrients!$DC$8,Nutrients!$DC$9)*P$7)+(((IF($A$8=Nutrients!$B$79,Nutrients!$DC$79,(IF($A$8=Nutrients!$B$77,Nutrients!$DC$77,Nutrients!$DC$78)))))*P$8))/2000/P$236*100</f>
        <v>55.982146637266169</v>
      </c>
      <c r="Q240" s="225">
        <f>(SUMPRODUCT(Q$9:Q$229,Nutrients!$DC$8:$DC$228)+(IF($A$7=Nutrients!$B$8,Nutrients!$DC$8,Nutrients!$DC$9)*Q$7)+(((IF($A$8=Nutrients!$B$79,Nutrients!$DC$79,(IF($A$8=Nutrients!$B$77,Nutrients!$DC$77,Nutrients!$DC$78)))))*Q$8))/2000/Q$236*100</f>
        <v>56.002380597594772</v>
      </c>
      <c r="R240" s="225">
        <f>(SUMPRODUCT(R$9:R$229,Nutrients!$DC$8:$DC$228)+(IF($A$7=Nutrients!$B$8,Nutrients!$DC$8,Nutrients!$DC$9)*R$7)+(((IF($A$8=Nutrients!$B$79,Nutrients!$DC$79,(IF($A$8=Nutrients!$B$77,Nutrients!$DC$77,Nutrients!$DC$78)))))*R$8))/2000/R$236*100</f>
        <v>55.959756703526352</v>
      </c>
      <c r="S240" s="225">
        <f>(SUMPRODUCT(S$9:S$229,Nutrients!$DC$8:$DC$228)+(IF($A$7=Nutrients!$B$8,Nutrients!$DC$8,Nutrients!$DC$9)*S$7)+(((IF($A$8=Nutrients!$B$79,Nutrients!$DC$79,(IF($A$8=Nutrients!$B$77,Nutrients!$DC$77,Nutrients!$DC$78)))))*S$8))/2000/S$236*100</f>
        <v>56.973597437419784</v>
      </c>
      <c r="T240" s="225">
        <f>(SUMPRODUCT(T$9:T$229,Nutrients!$DC$8:$DC$228)+(IF($A$7=Nutrients!$B$8,Nutrients!$DC$8,Nutrients!$DC$9)*T$7)+(((IF($A$8=Nutrients!$B$79,Nutrients!$DC$79,(IF($A$8=Nutrients!$B$77,Nutrients!$DC$77,Nutrients!$DC$78)))))*T$8))/2000/T$236*100</f>
        <v>58.084332907487877</v>
      </c>
      <c r="U240" s="225">
        <f>(SUMPRODUCT(U$9:U$229,Nutrients!$DC$8:$DC$228)+(IF($A$7=Nutrients!$B$8,Nutrients!$DC$8,Nutrients!$DC$9)*U$7)+(((IF($A$8=Nutrients!$B$79,Nutrients!$DC$79,(IF($A$8=Nutrients!$B$77,Nutrients!$DC$77,Nutrients!$DC$78)))))*U$8))/2000/U$236*100</f>
        <v>59.543953640653889</v>
      </c>
      <c r="V240" s="9"/>
      <c r="W240" s="225">
        <f>(SUMPRODUCT(W$9:W$229,Nutrients!$DC$8:$DC$228)+(IF($A$7=Nutrients!$B$8,Nutrients!$DC$8,Nutrients!$DC$9)*W$7)+(((IF($A$8=Nutrients!$B$79,Nutrients!$DC$79,(IF($A$8=Nutrients!$B$77,Nutrients!$DC$77,Nutrients!$DC$78)))))*W$8))/2000/W$236*100</f>
        <v>55.980981609052868</v>
      </c>
      <c r="X240" s="225">
        <f>(SUMPRODUCT(X$9:X$229,Nutrients!$DC$8:$DC$228)+(IF($A$7=Nutrients!$B$8,Nutrients!$DC$8,Nutrients!$DC$9)*X$7)+(((IF($A$8=Nutrients!$B$79,Nutrients!$DC$79,(IF($A$8=Nutrients!$B$77,Nutrients!$DC$77,Nutrients!$DC$78)))))*X$8))/2000/X$236*100</f>
        <v>55.983879264904381</v>
      </c>
      <c r="Y240" s="225">
        <f>(SUMPRODUCT(Y$9:Y$229,Nutrients!$DC$8:$DC$228)+(IF($A$7=Nutrients!$B$8,Nutrients!$DC$8,Nutrients!$DC$9)*Y$7)+(((IF($A$8=Nutrients!$B$79,Nutrients!$DC$79,(IF($A$8=Nutrients!$B$77,Nutrients!$DC$77,Nutrients!$DC$78)))))*Y$8))/2000/Y$236*100</f>
        <v>56.004006800792006</v>
      </c>
      <c r="Z240" s="225">
        <f>(SUMPRODUCT(Z$9:Z$229,Nutrients!$DC$8:$DC$228)+(IF($A$7=Nutrients!$B$8,Nutrients!$DC$8,Nutrients!$DC$9)*Z$7)+(((IF($A$8=Nutrients!$B$79,Nutrients!$DC$79,(IF($A$8=Nutrients!$B$77,Nutrients!$DC$77,Nutrients!$DC$78)))))*Z$8))/2000/Z$236*100</f>
        <v>57.290122224372439</v>
      </c>
      <c r="AA240" s="225">
        <f>(SUMPRODUCT(AA$9:AA$229,Nutrients!$DC$8:$DC$228)+(IF($A$7=Nutrients!$B$8,Nutrients!$DC$8,Nutrients!$DC$9)*AA$7)+(((IF($A$8=Nutrients!$B$79,Nutrients!$DC$79,(IF($A$8=Nutrients!$B$77,Nutrients!$DC$77,Nutrients!$DC$78)))))*AA$8))/2000/AA$236*100</f>
        <v>59.507551141952788</v>
      </c>
      <c r="AB240" s="225">
        <f>(SUMPRODUCT(AB$9:AB$229,Nutrients!$DC$8:$DC$228)+(IF($A$7=Nutrients!$B$8,Nutrients!$DC$8,Nutrients!$DC$9)*AB$7)+(((IF($A$8=Nutrients!$B$79,Nutrients!$DC$79,(IF($A$8=Nutrients!$B$77,Nutrients!$DC$77,Nutrients!$DC$78)))))*AB$8))/2000/AB$236*100</f>
        <v>61.045681530029384</v>
      </c>
      <c r="AC240" s="9"/>
      <c r="AD240" s="225">
        <f>(SUMPRODUCT(AD$9:AD$229,Nutrients!$DC$8:$DC$228)+(IF($A$7=Nutrients!$B$8,Nutrients!$DC$8,Nutrients!$DC$9)*AD$7)+(((IF($A$8=Nutrients!$B$79,Nutrients!$DC$79,(IF($A$8=Nutrients!$B$77,Nutrients!$DC$77,Nutrients!$DC$78)))))*AD$8))/2000/AD$236*100</f>
        <v>55.98145963044454</v>
      </c>
      <c r="AE240" s="225">
        <f>(SUMPRODUCT(AE$9:AE$229,Nutrients!$DC$8:$DC$228)+(IF($A$7=Nutrients!$B$8,Nutrients!$DC$8,Nutrients!$DC$9)*AE$7)+(((IF($A$8=Nutrients!$B$79,Nutrients!$DC$79,(IF($A$8=Nutrients!$B$77,Nutrients!$DC$77,Nutrients!$DC$78)))))*AE$8))/2000/AE$236*100</f>
        <v>55.991223284436622</v>
      </c>
      <c r="AF240" s="225">
        <f>(SUMPRODUCT(AF$9:AF$229,Nutrients!$DC$8:$DC$228)+(IF($A$7=Nutrients!$B$8,Nutrients!$DC$8,Nutrients!$DC$9)*AF$7)+(((IF($A$8=Nutrients!$B$79,Nutrients!$DC$79,(IF($A$8=Nutrients!$B$77,Nutrients!$DC$77,Nutrients!$DC$78)))))*AF$8))/2000/AF$236*100</f>
        <v>55.966327870668088</v>
      </c>
      <c r="AG240" s="225">
        <f>(SUMPRODUCT(AG$9:AG$229,Nutrients!$DC$8:$DC$228)+(IF($A$7=Nutrients!$B$8,Nutrients!$DC$8,Nutrients!$DC$9)*AG$7)+(((IF($A$8=Nutrients!$B$79,Nutrients!$DC$79,(IF($A$8=Nutrients!$B$77,Nutrients!$DC$77,Nutrients!$DC$78)))))*AG$8))/2000/AG$236*100</f>
        <v>58.611569085169727</v>
      </c>
      <c r="AH240" s="225">
        <f>(SUMPRODUCT(AH$9:AH$229,Nutrients!$DC$8:$DC$228)+(IF($A$7=Nutrients!$B$8,Nutrients!$DC$8,Nutrients!$DC$9)*AH$7)+(((IF($A$8=Nutrients!$B$79,Nutrients!$DC$79,(IF($A$8=Nutrients!$B$77,Nutrients!$DC$77,Nutrients!$DC$78)))))*AH$8))/2000/AH$236*100</f>
        <v>60.951762399005304</v>
      </c>
      <c r="AI240" s="225">
        <f>(SUMPRODUCT(AI$9:AI$229,Nutrients!$DC$8:$DC$228)+(IF($A$7=Nutrients!$B$8,Nutrients!$DC$8,Nutrients!$DC$9)*AI$7)+(((IF($A$8=Nutrients!$B$79,Nutrients!$DC$79,(IF($A$8=Nutrients!$B$77,Nutrients!$DC$77,Nutrients!$DC$78)))))*AI$8))/2000/AI$236*100</f>
        <v>62.566249256429188</v>
      </c>
      <c r="AJ240" s="9"/>
      <c r="AK240" s="225">
        <f>(SUMPRODUCT(AK$9:AK$229,Nutrients!$DC$8:$DC$228)+(IF($A$7=Nutrients!$B$8,Nutrients!$DC$8,Nutrients!$DC$9)*AK$7)+(((IF($A$8=Nutrients!$B$79,Nutrients!$DC$79,(IF($A$8=Nutrients!$B$77,Nutrients!$DC$77,Nutrients!$DC$78)))))*AK$8))/2000/AK$236*100</f>
        <v>55.888662567995183</v>
      </c>
      <c r="AL240" s="225">
        <f>(SUMPRODUCT(AL$9:AL$229,Nutrients!$DC$8:$DC$228)+(IF($A$7=Nutrients!$B$8,Nutrients!$DC$8,Nutrients!$DC$9)*AL$7)+(((IF($A$8=Nutrients!$B$79,Nutrients!$DC$79,(IF($A$8=Nutrients!$B$77,Nutrients!$DC$77,Nutrients!$DC$78)))))*AL$8))/2000/AL$236*100</f>
        <v>55.99126419885441</v>
      </c>
      <c r="AM240" s="225">
        <f>(SUMPRODUCT(AM$9:AM$229,Nutrients!$DC$8:$DC$228)+(IF($A$7=Nutrients!$B$8,Nutrients!$DC$8,Nutrients!$DC$9)*AM$7)+(((IF($A$8=Nutrients!$B$79,Nutrients!$DC$79,(IF($A$8=Nutrients!$B$77,Nutrients!$DC$77,Nutrients!$DC$78)))))*AM$8))/2000/AM$236*100</f>
        <v>57.161035426483217</v>
      </c>
      <c r="AN240" s="225">
        <f>(SUMPRODUCT(AN$9:AN$229,Nutrients!$DC$8:$DC$228)+(IF($A$7=Nutrients!$B$8,Nutrients!$DC$8,Nutrients!$DC$9)*AN$7)+(((IF($A$8=Nutrients!$B$79,Nutrients!$DC$79,(IF($A$8=Nutrients!$B$77,Nutrients!$DC$77,Nutrients!$DC$78)))))*AN$8))/2000/AN$236*100</f>
        <v>59.953261936850978</v>
      </c>
      <c r="AO240" s="225">
        <f>(SUMPRODUCT(AO$9:AO$229,Nutrients!$DC$8:$DC$228)+(IF($A$7=Nutrients!$B$8,Nutrients!$DC$8,Nutrients!$DC$9)*AO$7)+(((IF($A$8=Nutrients!$B$79,Nutrients!$DC$79,(IF($A$8=Nutrients!$B$77,Nutrients!$DC$77,Nutrients!$DC$78)))))*AO$8))/2000/AO$236*100</f>
        <v>62.417689209002944</v>
      </c>
      <c r="AP240" s="225">
        <f>(SUMPRODUCT(AP$9:AP$229,Nutrients!$DC$8:$DC$228)+(IF($A$7=Nutrients!$B$8,Nutrients!$DC$8,Nutrients!$DC$9)*AP$7)+(((IF($A$8=Nutrients!$B$79,Nutrients!$DC$79,(IF($A$8=Nutrients!$B$77,Nutrients!$DC$77,Nutrients!$DC$78)))))*AP$8))/2000/AP$236*100</f>
        <v>64.113283206090998</v>
      </c>
      <c r="AQ240" s="9"/>
      <c r="AR240" s="225">
        <f>(SUMPRODUCT(AR$9:AR$229,Nutrients!$DC$8:$DC$228)+(IF($A$7=Nutrients!$B$8,Nutrients!$DC$8,Nutrients!$DC$9)*AR$7)+(((IF($A$8=Nutrients!$B$79,Nutrients!$DC$79,(IF($A$8=Nutrients!$B$77,Nutrients!$DC$77,Nutrients!$DC$78)))))*AR$8))/2000/AR$236*100</f>
        <v>55.923953144105688</v>
      </c>
      <c r="AS240" s="225">
        <f>(SUMPRODUCT(AS$9:AS$229,Nutrients!$DC$8:$DC$228)+(IF($A$7=Nutrients!$B$8,Nutrients!$DC$8,Nutrients!$DC$9)*AS$7)+(((IF($A$8=Nutrients!$B$79,Nutrients!$DC$79,(IF($A$8=Nutrients!$B$77,Nutrients!$DC$77,Nutrients!$DC$78)))))*AS$8))/2000/AS$236*100</f>
        <v>55.990910726645993</v>
      </c>
      <c r="AT240" s="225">
        <f>(SUMPRODUCT(AT$9:AT$229,Nutrients!$DC$8:$DC$228)+(IF($A$7=Nutrients!$B$8,Nutrients!$DC$8,Nutrients!$DC$9)*AT$7)+(((IF($A$8=Nutrients!$B$79,Nutrients!$DC$79,(IF($A$8=Nutrients!$B$77,Nutrients!$DC$77,Nutrients!$DC$78)))))*AT$8))/2000/AT$236*100</f>
        <v>58.367513913507871</v>
      </c>
      <c r="AU240" s="225">
        <f>(SUMPRODUCT(AU$9:AU$229,Nutrients!$DC$8:$DC$228)+(IF($A$7=Nutrients!$B$8,Nutrients!$DC$8,Nutrients!$DC$9)*AU$7)+(((IF($A$8=Nutrients!$B$79,Nutrients!$DC$79,(IF($A$8=Nutrients!$B$77,Nutrients!$DC$77,Nutrients!$DC$78)))))*AU$8))/2000/AU$236*100</f>
        <v>61.310921282589945</v>
      </c>
      <c r="AV240" s="225">
        <f>(SUMPRODUCT(AV$9:AV$229,Nutrients!$DC$8:$DC$228)+(IF($A$7=Nutrients!$B$8,Nutrients!$DC$8,Nutrients!$DC$9)*AV$7)+(((IF($A$8=Nutrients!$B$79,Nutrients!$DC$79,(IF($A$8=Nutrients!$B$77,Nutrients!$DC$77,Nutrients!$DC$78)))))*AV$8))/2000/AV$236*100</f>
        <v>63.909217943643171</v>
      </c>
      <c r="AW240" s="225">
        <f>(SUMPRODUCT(AW$9:AW$229,Nutrients!$DC$8:$DC$228)+(IF($A$7=Nutrients!$B$8,Nutrients!$DC$8,Nutrients!$DC$9)*AW$7)+(((IF($A$8=Nutrients!$B$79,Nutrients!$DC$79,(IF($A$8=Nutrients!$B$77,Nutrients!$DC$77,Nutrients!$DC$78)))))*AW$8))/2000/AW$236*100</f>
        <v>65.687502440280667</v>
      </c>
      <c r="AX240" s="13"/>
    </row>
    <row r="241" spans="1:56" x14ac:dyDescent="0.25">
      <c r="A241" s="38" t="s">
        <v>386</v>
      </c>
      <c r="B241" s="225">
        <f>(SUMPRODUCT(B$9:B$229,Nutrients!$DF$8:$DF$228)+(IF($A$7=Nutrients!$B$8,Nutrients!$DF$8,Nutrients!$DF$9)*B$7)+(((IF($A$8=Nutrients!$B$79,Nutrients!$DF$79,(IF($A$8=Nutrients!$B$77,Nutrients!$DF$77,Nutrients!$DF$78)))))*B$8))/2000/B$236*100</f>
        <v>61.999249045260719</v>
      </c>
      <c r="C241" s="225">
        <f>(SUMPRODUCT(C$9:C$229,Nutrients!$DF$8:$DF$228)+(IF($A$7=Nutrients!$B$8,Nutrients!$DF$8,Nutrients!$DF$9)*C$7)+(((IF($A$8=Nutrients!$B$79,Nutrients!$DF$79,(IF($A$8=Nutrients!$B$77,Nutrients!$DF$77,Nutrients!$DF$78)))))*C$8))/2000/C$236*100</f>
        <v>61.999768297038216</v>
      </c>
      <c r="D241" s="225">
        <f>(SUMPRODUCT(D$9:D$229,Nutrients!$DF$8:$DF$228)+(IF($A$7=Nutrients!$B$8,Nutrients!$DF$8,Nutrients!$DF$9)*D$7)+(((IF($A$8=Nutrients!$B$79,Nutrients!$DF$79,(IF($A$8=Nutrients!$B$77,Nutrients!$DF$77,Nutrients!$DF$78)))))*D$8))/2000/D$236*100</f>
        <v>62.000000000000014</v>
      </c>
      <c r="E241" s="225">
        <f>(SUMPRODUCT(E$9:E$229,Nutrients!$DF$8:$DF$228)+(IF($A$7=Nutrients!$B$8,Nutrients!$DF$8,Nutrients!$DF$9)*E$7)+(((IF($A$8=Nutrients!$B$79,Nutrients!$DF$79,(IF($A$8=Nutrients!$B$77,Nutrients!$DF$77,Nutrients!$DF$78)))))*E$8))/2000/E$236*100</f>
        <v>62.999881259958023</v>
      </c>
      <c r="F241" s="225">
        <f>(SUMPRODUCT(F$9:F$229,Nutrients!$DF$8:$DF$228)+(IF($A$7=Nutrients!$B$8,Nutrients!$DF$8,Nutrients!$DF$9)*F$7)+(((IF($A$8=Nutrients!$B$79,Nutrients!$DF$79,(IF($A$8=Nutrients!$B$77,Nutrients!$DF$77,Nutrients!$DF$78)))))*F$8))/2000/F$236*100</f>
        <v>63.000153115971145</v>
      </c>
      <c r="G241" s="225">
        <f>(SUMPRODUCT(G$9:G$229,Nutrients!$DF$8:$DF$228)+(IF($A$7=Nutrients!$B$8,Nutrients!$DF$8,Nutrients!$DF$9)*G$7)+(((IF($A$8=Nutrients!$B$79,Nutrients!$DF$79,(IF($A$8=Nutrients!$B$77,Nutrients!$DF$77,Nutrients!$DF$78)))))*G$8))/2000/G$236*100</f>
        <v>63.99976486226322</v>
      </c>
      <c r="H241" s="224"/>
      <c r="I241" s="225">
        <f>(SUMPRODUCT(I$9:I$229,Nutrients!$DF$8:$DF$228)+(IF($A$7=Nutrients!$B$8,Nutrients!$DF$8,Nutrients!$DF$9)*I$7)+(((IF($A$8=Nutrients!$B$79,Nutrients!$DF$79,(IF($A$8=Nutrients!$B$77,Nutrients!$DF$77,Nutrients!$DF$78)))))*I$8))/2000/I$236*100</f>
        <v>62.01093945270577</v>
      </c>
      <c r="J241" s="225">
        <f>(SUMPRODUCT(J$9:J$229,Nutrients!$DF$8:$DF$228)+(IF($A$7=Nutrients!$B$8,Nutrients!$DF$8,Nutrients!$DF$9)*J$7)+(((IF($A$8=Nutrients!$B$79,Nutrients!$DF$79,(IF($A$8=Nutrients!$B$77,Nutrients!$DF$77,Nutrients!$DF$78)))))*J$8))/2000/J$236*100</f>
        <v>62.004012562110148</v>
      </c>
      <c r="K241" s="225">
        <f>(SUMPRODUCT(K$9:K$229,Nutrients!$DF$8:$DF$228)+(IF($A$7=Nutrients!$B$8,Nutrients!$DF$8,Nutrients!$DF$9)*K$7)+(((IF($A$8=Nutrients!$B$79,Nutrients!$DF$79,(IF($A$8=Nutrients!$B$77,Nutrients!$DF$77,Nutrients!$DF$78)))))*K$8))/2000/K$236*100</f>
        <v>61.996462371652683</v>
      </c>
      <c r="L241" s="225">
        <f>(SUMPRODUCT(L$9:L$229,Nutrients!$DF$8:$DF$228)+(IF($A$7=Nutrients!$B$8,Nutrients!$DF$8,Nutrients!$DF$9)*L$7)+(((IF($A$8=Nutrients!$B$79,Nutrients!$DF$79,(IF($A$8=Nutrients!$B$77,Nutrients!$DF$77,Nutrients!$DF$78)))))*L$8))/2000/L$236*100</f>
        <v>63.00036061252834</v>
      </c>
      <c r="M241" s="225">
        <f>(SUMPRODUCT(M$9:M$229,Nutrients!$DF$8:$DF$228)+(IF($A$7=Nutrients!$B$8,Nutrients!$DF$8,Nutrients!$DF$9)*M$7)+(((IF($A$8=Nutrients!$B$79,Nutrients!$DF$79,(IF($A$8=Nutrients!$B$77,Nutrients!$DF$77,Nutrients!$DF$78)))))*M$8))/2000/M$236*100</f>
        <v>63.000230019249827</v>
      </c>
      <c r="N241" s="225">
        <f>(SUMPRODUCT(N$9:N$229,Nutrients!$DF$8:$DF$228)+(IF($A$7=Nutrients!$B$8,Nutrients!$DF$8,Nutrients!$DF$9)*N$7)+(((IF($A$8=Nutrients!$B$79,Nutrients!$DF$79,(IF($A$8=Nutrients!$B$77,Nutrients!$DF$77,Nutrients!$DF$78)))))*N$8))/2000/N$236*100</f>
        <v>64.004957175427506</v>
      </c>
      <c r="O241" s="472"/>
      <c r="P241" s="225">
        <f>(SUMPRODUCT(P$9:P$229,Nutrients!$DF$8:$DF$228)+(IF($A$7=Nutrients!$B$8,Nutrients!$DF$8,Nutrients!$DF$9)*P$7)+(((IF($A$8=Nutrients!$B$79,Nutrients!$DF$79,(IF($A$8=Nutrients!$B$77,Nutrients!$DF$77,Nutrients!$DF$78)))))*P$8))/2000/P$236*100</f>
        <v>62.012390910843948</v>
      </c>
      <c r="Q241" s="225">
        <f>(SUMPRODUCT(Q$9:Q$229,Nutrients!$DF$8:$DF$228)+(IF($A$7=Nutrients!$B$8,Nutrients!$DF$8,Nutrients!$DF$9)*Q$7)+(((IF($A$8=Nutrients!$B$79,Nutrients!$DF$79,(IF($A$8=Nutrients!$B$77,Nutrients!$DF$77,Nutrients!$DF$78)))))*Q$8))/2000/Q$236*100</f>
        <v>62.000193474320909</v>
      </c>
      <c r="R241" s="225">
        <f>(SUMPRODUCT(R$9:R$229,Nutrients!$DF$8:$DF$228)+(IF($A$7=Nutrients!$B$8,Nutrients!$DF$8,Nutrients!$DF$9)*R$7)+(((IF($A$8=Nutrients!$B$79,Nutrients!$DF$79,(IF($A$8=Nutrients!$B$77,Nutrients!$DF$77,Nutrients!$DF$78)))))*R$8))/2000/R$236*100</f>
        <v>61.985656927832956</v>
      </c>
      <c r="S241" s="225">
        <f>(SUMPRODUCT(S$9:S$229,Nutrients!$DF$8:$DF$228)+(IF($A$7=Nutrients!$B$8,Nutrients!$DF$8,Nutrients!$DF$9)*S$7)+(((IF($A$8=Nutrients!$B$79,Nutrients!$DF$79,(IF($A$8=Nutrients!$B$77,Nutrients!$DF$77,Nutrients!$DF$78)))))*S$8))/2000/S$236*100</f>
        <v>62.999610717339614</v>
      </c>
      <c r="T241" s="225">
        <f>(SUMPRODUCT(T$9:T$229,Nutrients!$DF$8:$DF$228)+(IF($A$7=Nutrients!$B$8,Nutrients!$DF$8,Nutrients!$DF$9)*T$7)+(((IF($A$8=Nutrients!$B$79,Nutrients!$DF$79,(IF($A$8=Nutrients!$B$77,Nutrients!$DF$77,Nutrients!$DF$78)))))*T$8))/2000/T$236*100</f>
        <v>62.990593263406048</v>
      </c>
      <c r="U241" s="225">
        <f>(SUMPRODUCT(U$9:U$229,Nutrients!$DF$8:$DF$228)+(IF($A$7=Nutrients!$B$8,Nutrients!$DF$8,Nutrients!$DF$9)*U$7)+(((IF($A$8=Nutrients!$B$79,Nutrients!$DF$79,(IF($A$8=Nutrients!$B$77,Nutrients!$DF$77,Nutrients!$DF$78)))))*U$8))/2000/U$236*100</f>
        <v>63.998891840765552</v>
      </c>
      <c r="V241" s="9"/>
      <c r="W241" s="225">
        <f>(SUMPRODUCT(W$9:W$229,Nutrients!$DF$8:$DF$228)+(IF($A$7=Nutrients!$B$8,Nutrients!$DF$8,Nutrients!$DF$9)*W$7)+(((IF($A$8=Nutrients!$B$79,Nutrients!$DF$79,(IF($A$8=Nutrients!$B$77,Nutrients!$DF$77,Nutrients!$DF$78)))))*W$8))/2000/W$236*100</f>
        <v>62.014026228197295</v>
      </c>
      <c r="X241" s="225">
        <f>(SUMPRODUCT(X$9:X$229,Nutrients!$DF$8:$DF$228)+(IF($A$7=Nutrients!$B$8,Nutrients!$DF$8,Nutrients!$DF$9)*X$7)+(((IF($A$8=Nutrients!$B$79,Nutrients!$DF$79,(IF($A$8=Nutrients!$B$77,Nutrients!$DF$77,Nutrients!$DF$78)))))*X$8))/2000/X$236*100</f>
        <v>61.996539011058182</v>
      </c>
      <c r="Y241" s="225">
        <f>(SUMPRODUCT(Y$9:Y$229,Nutrients!$DF$8:$DF$228)+(IF($A$7=Nutrients!$B$8,Nutrients!$DF$8,Nutrients!$DF$9)*Y$7)+(((IF($A$8=Nutrients!$B$79,Nutrients!$DF$79,(IF($A$8=Nutrients!$B$77,Nutrients!$DF$77,Nutrients!$DF$78)))))*Y$8))/2000/Y$236*100</f>
        <v>61.984268097663211</v>
      </c>
      <c r="Z241" s="225">
        <f>(SUMPRODUCT(Z$9:Z$229,Nutrients!$DF$8:$DF$228)+(IF($A$7=Nutrients!$B$8,Nutrients!$DF$8,Nutrients!$DF$9)*Z$7)+(((IF($A$8=Nutrients!$B$79,Nutrients!$DF$79,(IF($A$8=Nutrients!$B$77,Nutrients!$DF$77,Nutrients!$DF$78)))))*Z$8))/2000/Z$236*100</f>
        <v>62.995587158205623</v>
      </c>
      <c r="AA241" s="225">
        <f>(SUMPRODUCT(AA$9:AA$229,Nutrients!$DF$8:$DF$228)+(IF($A$7=Nutrients!$B$8,Nutrients!$DF$8,Nutrients!$DF$9)*AA$7)+(((IF($A$8=Nutrients!$B$79,Nutrients!$DF$79,(IF($A$8=Nutrients!$B$77,Nutrients!$DF$77,Nutrients!$DF$78)))))*AA$8))/2000/AA$236*100</f>
        <v>62.979844860074422</v>
      </c>
      <c r="AB241" s="225">
        <f>(SUMPRODUCT(AB$9:AB$229,Nutrients!$DF$8:$DF$228)+(IF($A$7=Nutrients!$B$8,Nutrients!$DF$8,Nutrients!$DF$9)*AB$7)+(((IF($A$8=Nutrients!$B$79,Nutrients!$DF$79,(IF($A$8=Nutrients!$B$77,Nutrients!$DF$77,Nutrients!$DF$78)))))*AB$8))/2000/AB$236*100</f>
        <v>63.991451981346437</v>
      </c>
      <c r="AC241" s="9"/>
      <c r="AD241" s="225">
        <f>(SUMPRODUCT(AD$9:AD$229,Nutrients!$DF$8:$DF$228)+(IF($A$7=Nutrients!$B$8,Nutrients!$DF$8,Nutrients!$DF$9)*AD$7)+(((IF($A$8=Nutrients!$B$79,Nutrients!$DF$79,(IF($A$8=Nutrients!$B$77,Nutrients!$DF$77,Nutrients!$DF$78)))))*AD$8))/2000/AD$236*100</f>
        <v>62.016170111736017</v>
      </c>
      <c r="AE241" s="225">
        <f>(SUMPRODUCT(AE$9:AE$229,Nutrients!$DF$8:$DF$228)+(IF($A$7=Nutrients!$B$8,Nutrients!$DF$8,Nutrients!$DF$9)*AE$7)+(((IF($A$8=Nutrients!$B$79,Nutrients!$DF$79,(IF($A$8=Nutrients!$B$77,Nutrients!$DF$77,Nutrients!$DF$78)))))*AE$8))/2000/AE$236*100</f>
        <v>62.000942333192519</v>
      </c>
      <c r="AF241" s="225">
        <f>(SUMPRODUCT(AF$9:AF$229,Nutrients!$DF$8:$DF$228)+(IF($A$7=Nutrients!$B$8,Nutrients!$DF$8,Nutrients!$DF$9)*AF$7)+(((IF($A$8=Nutrients!$B$79,Nutrients!$DF$79,(IF($A$8=Nutrients!$B$77,Nutrients!$DF$77,Nutrients!$DF$78)))))*AF$8))/2000/AF$236*100</f>
        <v>61.98062536799771</v>
      </c>
      <c r="AG241" s="225">
        <f>(SUMPRODUCT(AG$9:AG$229,Nutrients!$DF$8:$DF$228)+(IF($A$7=Nutrients!$B$8,Nutrients!$DF$8,Nutrients!$DF$9)*AG$7)+(((IF($A$8=Nutrients!$B$79,Nutrients!$DF$79,(IF($A$8=Nutrients!$B$77,Nutrients!$DF$77,Nutrients!$DF$78)))))*AG$8))/2000/AG$236*100</f>
        <v>62.990358357603824</v>
      </c>
      <c r="AH241" s="225">
        <f>(SUMPRODUCT(AH$9:AH$229,Nutrients!$DF$8:$DF$228)+(IF($A$7=Nutrients!$B$8,Nutrients!$DF$8,Nutrients!$DF$9)*AH$7)+(((IF($A$8=Nutrients!$B$79,Nutrients!$DF$79,(IF($A$8=Nutrients!$B$77,Nutrients!$DF$77,Nutrients!$DF$78)))))*AH$8))/2000/AH$236*100</f>
        <v>62.965173480000416</v>
      </c>
      <c r="AI241" s="225">
        <f>(SUMPRODUCT(AI$9:AI$229,Nutrients!$DF$8:$DF$228)+(IF($A$7=Nutrients!$B$8,Nutrients!$DF$8,Nutrients!$DF$9)*AI$7)+(((IF($A$8=Nutrients!$B$79,Nutrients!$DF$79,(IF($A$8=Nutrients!$B$77,Nutrients!$DF$77,Nutrients!$DF$78)))))*AI$8))/2000/AI$236*100</f>
        <v>63.978612807296884</v>
      </c>
      <c r="AJ241" s="9"/>
      <c r="AK241" s="225">
        <f>(SUMPRODUCT(AK$9:AK$229,Nutrients!$DF$8:$DF$228)+(IF($A$7=Nutrients!$B$8,Nutrients!$DF$8,Nutrients!$DF$9)*AK$7)+(((IF($A$8=Nutrients!$B$79,Nutrients!$DF$79,(IF($A$8=Nutrients!$B$77,Nutrients!$DF$77,Nutrients!$DF$78)))))*AK$8))/2000/AK$236*100</f>
        <v>61.989117455439228</v>
      </c>
      <c r="AL241" s="225">
        <f>(SUMPRODUCT(AL$9:AL$229,Nutrients!$DF$8:$DF$228)+(IF($A$7=Nutrients!$B$8,Nutrients!$DF$8,Nutrients!$DF$9)*AL$7)+(((IF($A$8=Nutrients!$B$79,Nutrients!$DF$79,(IF($A$8=Nutrients!$B$77,Nutrients!$DF$77,Nutrients!$DF$78)))))*AL$8))/2000/AL$236*100</f>
        <v>62.003140508974894</v>
      </c>
      <c r="AM241" s="225">
        <f>(SUMPRODUCT(AM$9:AM$229,Nutrients!$DF$8:$DF$228)+(IF($A$7=Nutrients!$B$8,Nutrients!$DF$8,Nutrients!$DF$9)*AM$7)+(((IF($A$8=Nutrients!$B$79,Nutrients!$DF$79,(IF($A$8=Nutrients!$B$77,Nutrients!$DF$77,Nutrients!$DF$78)))))*AM$8))/2000/AM$236*100</f>
        <v>61.974505680659611</v>
      </c>
      <c r="AN241" s="225">
        <f>(SUMPRODUCT(AN$9:AN$229,Nutrients!$DF$8:$DF$228)+(IF($A$7=Nutrients!$B$8,Nutrients!$DF$8,Nutrients!$DF$9)*AN$7)+(((IF($A$8=Nutrients!$B$79,Nutrients!$DF$79,(IF($A$8=Nutrients!$B$77,Nutrients!$DF$77,Nutrients!$DF$78)))))*AN$8))/2000/AN$236*100</f>
        <v>62.98276588804741</v>
      </c>
      <c r="AO241" s="225">
        <f>(SUMPRODUCT(AO$9:AO$229,Nutrients!$DF$8:$DF$228)+(IF($A$7=Nutrients!$B$8,Nutrients!$DF$8,Nutrients!$DF$9)*AO$7)+(((IF($A$8=Nutrients!$B$79,Nutrients!$DF$79,(IF($A$8=Nutrients!$B$77,Nutrients!$DF$77,Nutrients!$DF$78)))))*AO$8))/2000/AO$236*100</f>
        <v>62.947625837304123</v>
      </c>
      <c r="AP241" s="225">
        <f>(SUMPRODUCT(AP$9:AP$229,Nutrients!$DF$8:$DF$228)+(IF($A$7=Nutrients!$B$8,Nutrients!$DF$8,Nutrients!$DF$9)*AP$7)+(((IF($A$8=Nutrients!$B$79,Nutrients!$DF$79,(IF($A$8=Nutrients!$B$77,Nutrients!$DF$77,Nutrients!$DF$78)))))*AP$8))/2000/AP$236*100</f>
        <v>63.965533423361912</v>
      </c>
      <c r="AQ241" s="9"/>
      <c r="AR241" s="225">
        <f>(SUMPRODUCT(AR$9:AR$229,Nutrients!$DF$8:$DF$228)+(IF($A$7=Nutrients!$B$8,Nutrients!$DF$8,Nutrients!$DF$9)*AR$7)+(((IF($A$8=Nutrients!$B$79,Nutrients!$DF$79,(IF($A$8=Nutrients!$B$77,Nutrients!$DF$77,Nutrients!$DF$78)))))*AR$8))/2000/AR$236*100</f>
        <v>62.00224225944838</v>
      </c>
      <c r="AS241" s="225">
        <f>(SUMPRODUCT(AS$9:AS$229,Nutrients!$DF$8:$DF$228)+(IF($A$7=Nutrients!$B$8,Nutrients!$DF$8,Nutrients!$DF$9)*AS$7)+(((IF($A$8=Nutrients!$B$79,Nutrients!$DF$79,(IF($A$8=Nutrients!$B$77,Nutrients!$DF$77,Nutrients!$DF$78)))))*AS$8))/2000/AS$236*100</f>
        <v>62.005211783611692</v>
      </c>
      <c r="AT241" s="225">
        <f>(SUMPRODUCT(AT$9:AT$229,Nutrients!$DF$8:$DF$228)+(IF($A$7=Nutrients!$B$8,Nutrients!$DF$8,Nutrients!$DF$9)*AT$7)+(((IF($A$8=Nutrients!$B$79,Nutrients!$DF$79,(IF($A$8=Nutrients!$B$77,Nutrients!$DF$77,Nutrients!$DF$78)))))*AT$8))/2000/AT$236*100</f>
        <v>61.966294984176272</v>
      </c>
      <c r="AU241" s="225">
        <f>(SUMPRODUCT(AU$9:AU$229,Nutrients!$DF$8:$DF$228)+(IF($A$7=Nutrients!$B$8,Nutrients!$DF$8,Nutrients!$DF$9)*AU$7)+(((IF($A$8=Nutrients!$B$79,Nutrients!$DF$79,(IF($A$8=Nutrients!$B$77,Nutrients!$DF$77,Nutrients!$DF$78)))))*AU$8))/2000/AU$236*100</f>
        <v>62.970737828950426</v>
      </c>
      <c r="AV241" s="225">
        <f>(SUMPRODUCT(AV$9:AV$229,Nutrients!$DF$8:$DF$228)+(IF($A$7=Nutrients!$B$8,Nutrients!$DF$8,Nutrients!$DF$9)*AV$7)+(((IF($A$8=Nutrients!$B$79,Nutrients!$DF$79,(IF($A$8=Nutrients!$B$77,Nutrients!$DF$77,Nutrients!$DF$78)))))*AV$8))/2000/AV$236*100</f>
        <v>62.929768176067761</v>
      </c>
      <c r="AW241" s="225">
        <f>(SUMPRODUCT(AW$9:AW$229,Nutrients!$DF$8:$DF$228)+(IF($A$7=Nutrients!$B$8,Nutrients!$DF$8,Nutrients!$DF$9)*AW$7)+(((IF($A$8=Nutrients!$B$79,Nutrients!$DF$79,(IF($A$8=Nutrients!$B$77,Nutrients!$DF$77,Nutrients!$DF$78)))))*AW$8))/2000/AW$236*100</f>
        <v>63.952266965700346</v>
      </c>
      <c r="AX241" s="13"/>
    </row>
    <row r="242" spans="1:56" x14ac:dyDescent="0.25">
      <c r="A242" s="38" t="s">
        <v>387</v>
      </c>
      <c r="B242" s="225">
        <f>(SUMPRODUCT(B$9:B$229,Nutrients!$DG$8:$DG$228)+(IF($A$7=Nutrients!$B$8,Nutrients!$DG$8,Nutrients!$DG$9)*B$7)+(((IF($A$8=Nutrients!$B$79,Nutrients!$DG$79,(IF($A$8=Nutrients!$B$77,Nutrients!$DG$77,Nutrients!$DG$78)))))*B$8))/2000/B$236*100</f>
        <v>18.999999999999996</v>
      </c>
      <c r="C242" s="225">
        <f>(SUMPRODUCT(C$9:C$229,Nutrients!$DG$8:$DG$228)+(IF($A$7=Nutrients!$B$8,Nutrients!$DG$8,Nutrients!$DG$9)*C$7)+(((IF($A$8=Nutrients!$B$79,Nutrients!$DG$79,(IF($A$8=Nutrients!$B$77,Nutrients!$DG$77,Nutrients!$DG$78)))))*C$8))/2000/C$236*100</f>
        <v>18.999999999999993</v>
      </c>
      <c r="D242" s="225">
        <f>(SUMPRODUCT(D$9:D$229,Nutrients!$DG$8:$DG$228)+(IF($A$7=Nutrients!$B$8,Nutrients!$DG$8,Nutrients!$DG$9)*D$7)+(((IF($A$8=Nutrients!$B$79,Nutrients!$DG$79,(IF($A$8=Nutrients!$B$77,Nutrients!$DG$77,Nutrients!$DG$78)))))*D$8))/2000/D$236*100</f>
        <v>19.034949922351728</v>
      </c>
      <c r="E242" s="225">
        <f>(SUMPRODUCT(E$9:E$229,Nutrients!$DG$8:$DG$228)+(IF($A$7=Nutrients!$B$8,Nutrients!$DG$8,Nutrients!$DG$9)*E$7)+(((IF($A$8=Nutrients!$B$79,Nutrients!$DG$79,(IF($A$8=Nutrients!$B$77,Nutrients!$DG$77,Nutrients!$DG$78)))))*E$8))/2000/E$236*100</f>
        <v>19</v>
      </c>
      <c r="F242" s="225">
        <f>(SUMPRODUCT(F$9:F$229,Nutrients!$DG$8:$DG$228)+(IF($A$7=Nutrients!$B$8,Nutrients!$DG$8,Nutrients!$DG$9)*F$7)+(((IF($A$8=Nutrients!$B$79,Nutrients!$DG$79,(IF($A$8=Nutrients!$B$77,Nutrients!$DG$77,Nutrients!$DG$78)))))*F$8))/2000/F$236*100</f>
        <v>19.000000000000043</v>
      </c>
      <c r="G242" s="225">
        <f>(SUMPRODUCT(G$9:G$229,Nutrients!$DG$8:$DG$228)+(IF($A$7=Nutrients!$B$8,Nutrients!$DG$8,Nutrients!$DG$9)*G$7)+(((IF($A$8=Nutrients!$B$79,Nutrients!$DG$79,(IF($A$8=Nutrients!$B$77,Nutrients!$DG$77,Nutrients!$DG$78)))))*G$8))/2000/G$236*100</f>
        <v>18.999963234918017</v>
      </c>
      <c r="H242" s="224"/>
      <c r="I242" s="225">
        <f>(SUMPRODUCT(I$9:I$229,Nutrients!$DG$8:$DG$228)+(IF($A$7=Nutrients!$B$8,Nutrients!$DG$8,Nutrients!$DG$9)*I$7)+(((IF($A$8=Nutrients!$B$79,Nutrients!$DG$79,(IF($A$8=Nutrients!$B$77,Nutrients!$DG$77,Nutrients!$DG$78)))))*I$8))/2000/I$236*100</f>
        <v>18.96613749054703</v>
      </c>
      <c r="J242" s="225">
        <f>(SUMPRODUCT(J$9:J$229,Nutrients!$DG$8:$DG$228)+(IF($A$7=Nutrients!$B$8,Nutrients!$DG$8,Nutrients!$DG$9)*J$7)+(((IF($A$8=Nutrients!$B$79,Nutrients!$DG$79,(IF($A$8=Nutrients!$B$77,Nutrients!$DG$77,Nutrients!$DG$78)))))*J$8))/2000/J$236*100</f>
        <v>18.966695120433659</v>
      </c>
      <c r="K242" s="225">
        <f>(SUMPRODUCT(K$9:K$229,Nutrients!$DG$8:$DG$228)+(IF($A$7=Nutrients!$B$8,Nutrients!$DG$8,Nutrients!$DG$9)*K$7)+(((IF($A$8=Nutrients!$B$79,Nutrients!$DG$79,(IF($A$8=Nutrients!$B$77,Nutrients!$DG$77,Nutrients!$DG$78)))))*K$8))/2000/K$236*100</f>
        <v>19.002182096555781</v>
      </c>
      <c r="L242" s="225">
        <f>(SUMPRODUCT(L$9:L$229,Nutrients!$DG$8:$DG$228)+(IF($A$7=Nutrients!$B$8,Nutrients!$DG$8,Nutrients!$DG$9)*L$7)+(((IF($A$8=Nutrients!$B$79,Nutrients!$DG$79,(IF($A$8=Nutrients!$B$77,Nutrients!$DG$77,Nutrients!$DG$78)))))*L$8))/2000/L$236*100</f>
        <v>18.966548938995487</v>
      </c>
      <c r="M242" s="225">
        <f>(SUMPRODUCT(M$9:M$229,Nutrients!$DG$8:$DG$228)+(IF($A$7=Nutrients!$B$8,Nutrients!$DG$8,Nutrients!$DG$9)*M$7)+(((IF($A$8=Nutrients!$B$79,Nutrients!$DG$79,(IF($A$8=Nutrients!$B$77,Nutrients!$DG$77,Nutrients!$DG$78)))))*M$8))/2000/M$236*100</f>
        <v>18.963129694942889</v>
      </c>
      <c r="N242" s="225">
        <f>(SUMPRODUCT(N$9:N$229,Nutrients!$DG$8:$DG$228)+(IF($A$7=Nutrients!$B$8,Nutrients!$DG$8,Nutrients!$DG$9)*N$7)+(((IF($A$8=Nutrients!$B$79,Nutrients!$DG$79,(IF($A$8=Nutrients!$B$77,Nutrients!$DG$77,Nutrients!$DG$78)))))*N$8))/2000/N$236*100</f>
        <v>18.963191611859635</v>
      </c>
      <c r="O242" s="472"/>
      <c r="P242" s="225">
        <f>(SUMPRODUCT(P$9:P$229,Nutrients!$DG$8:$DG$228)+(IF($A$7=Nutrients!$B$8,Nutrients!$DG$8,Nutrients!$DG$9)*P$7)+(((IF($A$8=Nutrients!$B$79,Nutrients!$DG$79,(IF($A$8=Nutrients!$B$77,Nutrients!$DG$77,Nutrients!$DG$78)))))*P$8))/2000/P$236*100</f>
        <v>18.979458084351613</v>
      </c>
      <c r="Q242" s="225">
        <f>(SUMPRODUCT(Q$9:Q$229,Nutrients!$DG$8:$DG$228)+(IF($A$7=Nutrients!$B$8,Nutrients!$DG$8,Nutrients!$DG$9)*Q$7)+(((IF($A$8=Nutrients!$B$79,Nutrients!$DG$79,(IF($A$8=Nutrients!$B$77,Nutrients!$DG$77,Nutrients!$DG$78)))))*Q$8))/2000/Q$236*100</f>
        <v>18.984827369337388</v>
      </c>
      <c r="R242" s="225">
        <f>(SUMPRODUCT(R$9:R$229,Nutrients!$DG$8:$DG$228)+(IF($A$7=Nutrients!$B$8,Nutrients!$DG$8,Nutrients!$DG$9)*R$7)+(((IF($A$8=Nutrients!$B$79,Nutrients!$DG$79,(IF($A$8=Nutrients!$B$77,Nutrients!$DG$77,Nutrients!$DG$78)))))*R$8))/2000/R$236*100</f>
        <v>19.026630788039895</v>
      </c>
      <c r="S242" s="225">
        <f>(SUMPRODUCT(S$9:S$229,Nutrients!$DG$8:$DG$228)+(IF($A$7=Nutrients!$B$8,Nutrients!$DG$8,Nutrients!$DG$9)*S$7)+(((IF($A$8=Nutrients!$B$79,Nutrients!$DG$79,(IF($A$8=Nutrients!$B$77,Nutrients!$DG$77,Nutrients!$DG$78)))))*S$8))/2000/S$236*100</f>
        <v>18.991815022412361</v>
      </c>
      <c r="T242" s="225">
        <f>(SUMPRODUCT(T$9:T$229,Nutrients!$DG$8:$DG$228)+(IF($A$7=Nutrients!$B$8,Nutrients!$DG$8,Nutrients!$DG$9)*T$7)+(((IF($A$8=Nutrients!$B$79,Nutrients!$DG$79,(IF($A$8=Nutrients!$B$77,Nutrients!$DG$77,Nutrients!$DG$78)))))*T$8))/2000/T$236*100</f>
        <v>18.994350696939758</v>
      </c>
      <c r="U242" s="225">
        <f>(SUMPRODUCT(U$9:U$229,Nutrients!$DG$8:$DG$228)+(IF($A$7=Nutrients!$B$8,Nutrients!$DG$8,Nutrients!$DG$9)*U$7)+(((IF($A$8=Nutrients!$B$79,Nutrients!$DG$79,(IF($A$8=Nutrients!$B$77,Nutrients!$DG$77,Nutrients!$DG$78)))))*U$8))/2000/U$236*100</f>
        <v>18.997639372366169</v>
      </c>
      <c r="V242" s="9"/>
      <c r="W242" s="225">
        <f>(SUMPRODUCT(W$9:W$229,Nutrients!$DG$8:$DG$228)+(IF($A$7=Nutrients!$B$8,Nutrients!$DG$8,Nutrients!$DG$9)*W$7)+(((IF($A$8=Nutrients!$B$79,Nutrients!$DG$79,(IF($A$8=Nutrients!$B$77,Nutrients!$DG$77,Nutrients!$DG$78)))))*W$8))/2000/W$236*100</f>
        <v>18.992965286611927</v>
      </c>
      <c r="X242" s="225">
        <f>(SUMPRODUCT(X$9:X$229,Nutrients!$DG$8:$DG$228)+(IF($A$7=Nutrients!$B$8,Nutrients!$DG$8,Nutrients!$DG$9)*X$7)+(((IF($A$8=Nutrients!$B$79,Nutrients!$DG$79,(IF($A$8=Nutrients!$B$77,Nutrients!$DG$77,Nutrients!$DG$78)))))*X$8))/2000/X$236*100</f>
        <v>19.003233429746302</v>
      </c>
      <c r="Y242" s="225">
        <f>(SUMPRODUCT(Y$9:Y$229,Nutrients!$DG$8:$DG$228)+(IF($A$7=Nutrients!$B$8,Nutrients!$DG$8,Nutrients!$DG$9)*Y$7)+(((IF($A$8=Nutrients!$B$79,Nutrients!$DG$79,(IF($A$8=Nutrients!$B$77,Nutrients!$DG$77,Nutrients!$DG$78)))))*Y$8))/2000/Y$236*100</f>
        <v>19.046137425137381</v>
      </c>
      <c r="Z242" s="225">
        <f>(SUMPRODUCT(Z$9:Z$229,Nutrients!$DG$8:$DG$228)+(IF($A$7=Nutrients!$B$8,Nutrients!$DG$8,Nutrients!$DG$9)*Z$7)+(((IF($A$8=Nutrients!$B$79,Nutrients!$DG$79,(IF($A$8=Nutrients!$B$77,Nutrients!$DG$77,Nutrients!$DG$78)))))*Z$8))/2000/Z$236*100</f>
        <v>19.01901082126091</v>
      </c>
      <c r="AA242" s="225">
        <f>(SUMPRODUCT(AA$9:AA$229,Nutrients!$DG$8:$DG$228)+(IF($A$7=Nutrients!$B$8,Nutrients!$DG$8,Nutrients!$DG$9)*AA$7)+(((IF($A$8=Nutrients!$B$79,Nutrients!$DG$79,(IF($A$8=Nutrients!$B$77,Nutrients!$DG$77,Nutrients!$DG$78)))))*AA$8))/2000/AA$236*100</f>
        <v>19.026488064677384</v>
      </c>
      <c r="AB242" s="225">
        <f>(SUMPRODUCT(AB$9:AB$229,Nutrients!$DG$8:$DG$228)+(IF($A$7=Nutrients!$B$8,Nutrients!$DG$8,Nutrients!$DG$9)*AB$7)+(((IF($A$8=Nutrients!$B$79,Nutrients!$DG$79,(IF($A$8=Nutrients!$B$77,Nutrients!$DG$77,Nutrients!$DG$78)))))*AB$8))/2000/AB$236*100</f>
        <v>19.031678552714048</v>
      </c>
      <c r="AC242" s="9"/>
      <c r="AD242" s="225">
        <f>(SUMPRODUCT(AD$9:AD$229,Nutrients!$DG$8:$DG$228)+(IF($A$7=Nutrients!$B$8,Nutrients!$DG$8,Nutrients!$DG$9)*AD$7)+(((IF($A$8=Nutrients!$B$79,Nutrients!$DG$79,(IF($A$8=Nutrients!$B$77,Nutrients!$DG$77,Nutrients!$DG$78)))))*AD$8))/2000/AD$236*100</f>
        <v>19.006321697690311</v>
      </c>
      <c r="AE242" s="225">
        <f>(SUMPRODUCT(AE$9:AE$229,Nutrients!$DG$8:$DG$228)+(IF($A$7=Nutrients!$B$8,Nutrients!$DG$8,Nutrients!$DG$9)*AE$7)+(((IF($A$8=Nutrients!$B$79,Nutrients!$DG$79,(IF($A$8=Nutrients!$B$77,Nutrients!$DG$77,Nutrients!$DG$78)))))*AE$8))/2000/AE$236*100</f>
        <v>19.017227334407099</v>
      </c>
      <c r="AF242" s="225">
        <f>(SUMPRODUCT(AF$9:AF$229,Nutrients!$DG$8:$DG$228)+(IF($A$7=Nutrients!$B$8,Nutrients!$DG$8,Nutrients!$DG$9)*AF$7)+(((IF($A$8=Nutrients!$B$79,Nutrients!$DG$79,(IF($A$8=Nutrients!$B$77,Nutrients!$DG$77,Nutrients!$DG$78)))))*AF$8))/2000/AF$236*100</f>
        <v>18.999966790846877</v>
      </c>
      <c r="AG242" s="225">
        <f>(SUMPRODUCT(AG$9:AG$229,Nutrients!$DG$8:$DG$228)+(IF($A$7=Nutrients!$B$8,Nutrients!$DG$8,Nutrients!$DG$9)*AG$7)+(((IF($A$8=Nutrients!$B$79,Nutrients!$DG$79,(IF($A$8=Nutrients!$B$77,Nutrients!$DG$77,Nutrients!$DG$78)))))*AG$8))/2000/AG$236*100</f>
        <v>19.046447634243311</v>
      </c>
      <c r="AH242" s="225">
        <f>(SUMPRODUCT(AH$9:AH$229,Nutrients!$DG$8:$DG$228)+(IF($A$7=Nutrients!$B$8,Nutrients!$DG$8,Nutrients!$DG$9)*AH$7)+(((IF($A$8=Nutrients!$B$79,Nutrients!$DG$79,(IF($A$8=Nutrients!$B$77,Nutrients!$DG$77,Nutrients!$DG$78)))))*AH$8))/2000/AH$236*100</f>
        <v>18.999959259985769</v>
      </c>
      <c r="AI242" s="225">
        <f>(SUMPRODUCT(AI$9:AI$229,Nutrients!$DG$8:$DG$228)+(IF($A$7=Nutrients!$B$8,Nutrients!$DG$8,Nutrients!$DG$9)*AI$7)+(((IF($A$8=Nutrients!$B$79,Nutrients!$DG$79,(IF($A$8=Nutrients!$B$77,Nutrients!$DG$77,Nutrients!$DG$78)))))*AI$8))/2000/AI$236*100</f>
        <v>18.999957080151407</v>
      </c>
      <c r="AJ242" s="9"/>
      <c r="AK242" s="225">
        <f>(SUMPRODUCT(AK$9:AK$229,Nutrients!$DG$8:$DG$228)+(IF($A$7=Nutrients!$B$8,Nutrients!$DG$8,Nutrients!$DG$9)*AK$7)+(((IF($A$8=Nutrients!$B$79,Nutrients!$DG$79,(IF($A$8=Nutrients!$B$77,Nutrients!$DG$77,Nutrients!$DG$78)))))*AK$8))/2000/AK$236*100</f>
        <v>19.036344234507876</v>
      </c>
      <c r="AL242" s="225">
        <f>(SUMPRODUCT(AL$9:AL$229,Nutrients!$DG$8:$DG$228)+(IF($A$7=Nutrients!$B$8,Nutrients!$DG$8,Nutrients!$DG$9)*AL$7)+(((IF($A$8=Nutrients!$B$79,Nutrients!$DG$79,(IF($A$8=Nutrients!$B$77,Nutrients!$DG$77,Nutrients!$DG$78)))))*AL$8))/2000/AL$236*100</f>
        <v>19.032808939858032</v>
      </c>
      <c r="AM242" s="225">
        <f>(SUMPRODUCT(AM$9:AM$229,Nutrients!$DG$8:$DG$228)+(IF($A$7=Nutrients!$B$8,Nutrients!$DG$8,Nutrients!$DG$9)*AM$7)+(((IF($A$8=Nutrients!$B$79,Nutrients!$DG$79,(IF($A$8=Nutrients!$B$77,Nutrients!$DG$77,Nutrients!$DG$78)))))*AM$8))/2000/AM$236*100</f>
        <v>19.021395145702705</v>
      </c>
      <c r="AN242" s="225">
        <f>(SUMPRODUCT(AN$9:AN$229,Nutrients!$DG$8:$DG$228)+(IF($A$7=Nutrients!$B$8,Nutrients!$DG$8,Nutrients!$DG$9)*AN$7)+(((IF($A$8=Nutrients!$B$79,Nutrients!$DG$79,(IF($A$8=Nutrients!$B$77,Nutrients!$DG$77,Nutrients!$DG$78)))))*AN$8))/2000/AN$236*100</f>
        <v>18.999951326059914</v>
      </c>
      <c r="AO242" s="225">
        <f>(SUMPRODUCT(AO$9:AO$229,Nutrients!$DG$8:$DG$228)+(IF($A$7=Nutrients!$B$8,Nutrients!$DG$8,Nutrients!$DG$9)*AO$7)+(((IF($A$8=Nutrients!$B$79,Nutrients!$DG$79,(IF($A$8=Nutrients!$B$77,Nutrients!$DG$77,Nutrients!$DG$78)))))*AO$8))/2000/AO$236*100</f>
        <v>19.02853809550022</v>
      </c>
      <c r="AP242" s="225">
        <f>(SUMPRODUCT(AP$9:AP$229,Nutrients!$DG$8:$DG$228)+(IF($A$7=Nutrients!$B$8,Nutrients!$DG$8,Nutrients!$DG$9)*AP$7)+(((IF($A$8=Nutrients!$B$79,Nutrients!$DG$79,(IF($A$8=Nutrients!$B$77,Nutrients!$DG$77,Nutrients!$DG$78)))))*AP$8))/2000/AP$236*100</f>
        <v>19.031746014068254</v>
      </c>
      <c r="AQ242" s="9"/>
      <c r="AR242" s="225">
        <f>(SUMPRODUCT(AR$9:AR$229,Nutrients!$DG$8:$DG$228)+(IF($A$7=Nutrients!$B$8,Nutrients!$DG$8,Nutrients!$DG$9)*AR$7)+(((IF($A$8=Nutrients!$B$79,Nutrients!$DG$79,(IF($A$8=Nutrients!$B$77,Nutrients!$DG$77,Nutrients!$DG$78)))))*AR$8))/2000/AR$236*100</f>
        <v>19.043917651913343</v>
      </c>
      <c r="AS242" s="225">
        <f>(SUMPRODUCT(AS$9:AS$229,Nutrients!$DG$8:$DG$228)+(IF($A$7=Nutrients!$B$8,Nutrients!$DG$8,Nutrients!$DG$9)*AS$7)+(((IF($A$8=Nutrients!$B$79,Nutrients!$DG$79,(IF($A$8=Nutrients!$B$77,Nutrients!$DG$77,Nutrients!$DG$78)))))*AS$8))/2000/AS$236*100</f>
        <v>19.048660196551442</v>
      </c>
      <c r="AT242" s="225">
        <f>(SUMPRODUCT(AT$9:AT$229,Nutrients!$DG$8:$DG$228)+(IF($A$7=Nutrients!$B$8,Nutrients!$DG$8,Nutrients!$DG$9)*AT$7)+(((IF($A$8=Nutrients!$B$79,Nutrients!$DG$79,(IF($A$8=Nutrients!$B$77,Nutrients!$DG$77,Nutrients!$DG$78)))))*AT$8))/2000/AT$236*100</f>
        <v>19.044184930549896</v>
      </c>
      <c r="AU242" s="225">
        <f>(SUMPRODUCT(AU$9:AU$229,Nutrients!$DG$8:$DG$228)+(IF($A$7=Nutrients!$B$8,Nutrients!$DG$8,Nutrients!$DG$9)*AU$7)+(((IF($A$8=Nutrients!$B$79,Nutrients!$DG$79,(IF($A$8=Nutrients!$B$77,Nutrients!$DG$77,Nutrients!$DG$78)))))*AU$8))/2000/AU$236*100</f>
        <v>19.024294820724784</v>
      </c>
      <c r="AV242" s="225">
        <f>(SUMPRODUCT(AV$9:AV$229,Nutrients!$DG$8:$DG$228)+(IF($A$7=Nutrients!$B$8,Nutrients!$DG$8,Nutrients!$DG$9)*AV$7)+(((IF($A$8=Nutrients!$B$79,Nutrients!$DG$79,(IF($A$8=Nutrients!$B$77,Nutrients!$DG$77,Nutrients!$DG$78)))))*AV$8))/2000/AV$236*100</f>
        <v>18.999937835069783</v>
      </c>
      <c r="AW242" s="225">
        <f>(SUMPRODUCT(AW$9:AW$229,Nutrients!$DG$8:$DG$228)+(IF($A$7=Nutrients!$B$8,Nutrients!$DG$8,Nutrients!$DG$9)*AW$7)+(((IF($A$8=Nutrients!$B$79,Nutrients!$DG$79,(IF($A$8=Nutrients!$B$77,Nutrients!$DG$77,Nutrients!$DG$78)))))*AW$8))/2000/AW$236*100</f>
        <v>18.99993674994403</v>
      </c>
      <c r="AX242" s="13"/>
    </row>
    <row r="243" spans="1:56" x14ac:dyDescent="0.25">
      <c r="A243" s="38" t="s">
        <v>388</v>
      </c>
      <c r="B243" s="225">
        <f>(SUMPRODUCT(B$9:B$229,Nutrients!$DH$8:$DH$228)+(IF($A$7=Nutrients!$B$8,Nutrients!$DH$8,Nutrients!$DH$9)*B$7)+(((IF($A$8=Nutrients!$B$79,Nutrients!$DH$79,(IF($A$8=Nutrients!$B$77,Nutrients!$DH$77,Nutrients!$DH$78)))))*B$8))/2000/B$236*100</f>
        <v>67.993447185961713</v>
      </c>
      <c r="C243" s="225">
        <f>(SUMPRODUCT(C$9:C$229,Nutrients!$DH$8:$DH$228)+(IF($A$7=Nutrients!$B$8,Nutrients!$DH$8,Nutrients!$DH$9)*C$7)+(((IF($A$8=Nutrients!$B$79,Nutrients!$DH$79,(IF($A$8=Nutrients!$B$77,Nutrients!$DH$77,Nutrients!$DH$78)))))*C$8))/2000/C$236*100</f>
        <v>68.398027542407448</v>
      </c>
      <c r="D243" s="225">
        <f>(SUMPRODUCT(D$9:D$229,Nutrients!$DH$8:$DH$228)+(IF($A$7=Nutrients!$B$8,Nutrients!$DH$8,Nutrients!$DH$9)*D$7)+(((IF($A$8=Nutrients!$B$79,Nutrients!$DH$79,(IF($A$8=Nutrients!$B$77,Nutrients!$DH$77,Nutrients!$DH$78)))))*D$8))/2000/D$236*100</f>
        <v>69.100266999000937</v>
      </c>
      <c r="E243" s="225">
        <f>(SUMPRODUCT(E$9:E$229,Nutrients!$DH$8:$DH$228)+(IF($A$7=Nutrients!$B$8,Nutrients!$DH$8,Nutrients!$DH$9)*E$7)+(((IF($A$8=Nutrients!$B$79,Nutrients!$DH$79,(IF($A$8=Nutrients!$B$77,Nutrients!$DH$77,Nutrients!$DH$78)))))*E$8))/2000/E$236*100</f>
        <v>69.699001665042786</v>
      </c>
      <c r="F243" s="225">
        <f>(SUMPRODUCT(F$9:F$229,Nutrients!$DH$8:$DH$228)+(IF($A$7=Nutrients!$B$8,Nutrients!$DH$8,Nutrients!$DH$9)*F$7)+(((IF($A$8=Nutrients!$B$79,Nutrients!$DH$79,(IF($A$8=Nutrients!$B$77,Nutrients!$DH$77,Nutrients!$DH$78)))))*F$8))/2000/F$236*100</f>
        <v>70.40130835469482</v>
      </c>
      <c r="G243" s="225">
        <f>(SUMPRODUCT(G$9:G$229,Nutrients!$DH$8:$DH$228)+(IF($A$7=Nutrients!$B$8,Nutrients!$DH$8,Nutrients!$DH$9)*G$7)+(((IF($A$8=Nutrients!$B$79,Nutrients!$DH$79,(IF($A$8=Nutrients!$B$77,Nutrients!$DH$77,Nutrients!$DH$78)))))*G$8))/2000/G$236*100</f>
        <v>71.102510214887189</v>
      </c>
      <c r="H243" s="224"/>
      <c r="I243" s="225">
        <f>(SUMPRODUCT(I$9:I$229,Nutrients!$DH$8:$DH$228)+(IF($A$7=Nutrients!$B$8,Nutrients!$DH$8,Nutrients!$DH$9)*I$7)+(((IF($A$8=Nutrients!$B$79,Nutrients!$DH$79,(IF($A$8=Nutrients!$B$77,Nutrients!$DH$77,Nutrients!$DH$78)))))*I$8))/2000/I$236*100</f>
        <v>69.093974384643147</v>
      </c>
      <c r="J243" s="225">
        <f>(SUMPRODUCT(J$9:J$229,Nutrients!$DH$8:$DH$228)+(IF($A$7=Nutrients!$B$8,Nutrients!$DH$8,Nutrients!$DH$9)*J$7)+(((IF($A$8=Nutrients!$B$79,Nutrients!$DH$79,(IF($A$8=Nutrients!$B$77,Nutrients!$DH$77,Nutrients!$DH$78)))))*J$8))/2000/J$236*100</f>
        <v>69.643101119106518</v>
      </c>
      <c r="K243" s="225">
        <f>(SUMPRODUCT(K$9:K$229,Nutrients!$DH$8:$DH$228)+(IF($A$7=Nutrients!$B$8,Nutrients!$DH$8,Nutrients!$DH$9)*K$7)+(((IF($A$8=Nutrients!$B$79,Nutrients!$DH$79,(IF($A$8=Nutrients!$B$77,Nutrients!$DH$77,Nutrients!$DH$78)))))*K$8))/2000/K$236*100</f>
        <v>70.511197703413259</v>
      </c>
      <c r="L243" s="225">
        <f>(SUMPRODUCT(L$9:L$229,Nutrients!$DH$8:$DH$228)+(IF($A$7=Nutrients!$B$8,Nutrients!$DH$8,Nutrients!$DH$9)*L$7)+(((IF($A$8=Nutrients!$B$79,Nutrients!$DH$79,(IF($A$8=Nutrients!$B$77,Nutrients!$DH$77,Nutrients!$DH$78)))))*L$8))/2000/L$236*100</f>
        <v>71.288982894855948</v>
      </c>
      <c r="M243" s="225">
        <f>(SUMPRODUCT(M$9:M$229,Nutrients!$DH$8:$DH$228)+(IF($A$7=Nutrients!$B$8,Nutrients!$DH$8,Nutrients!$DH$9)*M$7)+(((IF($A$8=Nutrients!$B$79,Nutrients!$DH$79,(IF($A$8=Nutrients!$B$77,Nutrients!$DH$77,Nutrients!$DH$78)))))*M$8))/2000/M$236*100</f>
        <v>72.142845614545109</v>
      </c>
      <c r="N243" s="225">
        <f>(SUMPRODUCT(N$9:N$229,Nutrients!$DH$8:$DH$228)+(IF($A$7=Nutrients!$B$8,Nutrients!$DH$8,Nutrients!$DH$9)*N$7)+(((IF($A$8=Nutrients!$B$79,Nutrients!$DH$79,(IF($A$8=Nutrients!$B$77,Nutrients!$DH$77,Nutrients!$DH$78)))))*N$8))/2000/N$236*100</f>
        <v>72.941869861854897</v>
      </c>
      <c r="O243" s="472"/>
      <c r="P243" s="225">
        <f>(SUMPRODUCT(P$9:P$229,Nutrients!$DH$8:$DH$228)+(IF($A$7=Nutrients!$B$8,Nutrients!$DH$8,Nutrients!$DH$9)*P$7)+(((IF($A$8=Nutrients!$B$79,Nutrients!$DH$79,(IF($A$8=Nutrients!$B$77,Nutrients!$DH$77,Nutrients!$DH$78)))))*P$8))/2000/P$236*100</f>
        <v>70.206337297398179</v>
      </c>
      <c r="Q243" s="225">
        <f>(SUMPRODUCT(Q$9:Q$229,Nutrients!$DH$8:$DH$228)+(IF($A$7=Nutrients!$B$8,Nutrients!$DH$8,Nutrients!$DH$9)*Q$7)+(((IF($A$8=Nutrients!$B$79,Nutrients!$DH$79,(IF($A$8=Nutrients!$B$77,Nutrients!$DH$77,Nutrients!$DH$78)))))*Q$8))/2000/Q$236*100</f>
        <v>70.902210472313243</v>
      </c>
      <c r="R243" s="225">
        <f>(SUMPRODUCT(R$9:R$229,Nutrients!$DH$8:$DH$228)+(IF($A$7=Nutrients!$B$8,Nutrients!$DH$8,Nutrients!$DH$9)*R$7)+(((IF($A$8=Nutrients!$B$79,Nutrients!$DH$79,(IF($A$8=Nutrients!$B$77,Nutrients!$DH$77,Nutrients!$DH$78)))))*R$8))/2000/R$236*100</f>
        <v>71.937703152938838</v>
      </c>
      <c r="S243" s="225">
        <f>(SUMPRODUCT(S$9:S$229,Nutrients!$DH$8:$DH$228)+(IF($A$7=Nutrients!$B$8,Nutrients!$DH$8,Nutrients!$DH$9)*S$7)+(((IF($A$8=Nutrients!$B$79,Nutrients!$DH$79,(IF($A$8=Nutrients!$B$77,Nutrients!$DH$77,Nutrients!$DH$78)))))*S$8))/2000/S$236*100</f>
        <v>72.900156867116124</v>
      </c>
      <c r="T243" s="225">
        <f>(SUMPRODUCT(T$9:T$229,Nutrients!$DH$8:$DH$228)+(IF($A$7=Nutrients!$B$8,Nutrients!$DH$8,Nutrients!$DH$9)*T$7)+(((IF($A$8=Nutrients!$B$79,Nutrients!$DH$79,(IF($A$8=Nutrients!$B$77,Nutrients!$DH$77,Nutrients!$DH$78)))))*T$8))/2000/T$236*100</f>
        <v>73.901896651270803</v>
      </c>
      <c r="U243" s="225">
        <f>(SUMPRODUCT(U$9:U$229,Nutrients!$DH$8:$DH$228)+(IF($A$7=Nutrients!$B$8,Nutrients!$DH$8,Nutrients!$DH$9)*U$7)+(((IF($A$8=Nutrients!$B$79,Nutrients!$DH$79,(IF($A$8=Nutrients!$B$77,Nutrients!$DH$77,Nutrients!$DH$78)))))*U$8))/2000/U$236*100</f>
        <v>74.797471980902927</v>
      </c>
      <c r="V243" s="9"/>
      <c r="W243" s="225">
        <f>(SUMPRODUCT(W$9:W$229,Nutrients!$DH$8:$DH$228)+(IF($A$7=Nutrients!$B$8,Nutrients!$DH$8,Nutrients!$DH$9)*W$7)+(((IF($A$8=Nutrients!$B$79,Nutrients!$DH$79,(IF($A$8=Nutrients!$B$77,Nutrients!$DH$77,Nutrients!$DH$78)))))*W$8))/2000/W$236*100</f>
        <v>71.334063883838212</v>
      </c>
      <c r="X243" s="225">
        <f>(SUMPRODUCT(X$9:X$229,Nutrients!$DH$8:$DH$228)+(IF($A$7=Nutrients!$B$8,Nutrients!$DH$8,Nutrients!$DH$9)*X$7)+(((IF($A$8=Nutrients!$B$79,Nutrients!$DH$79,(IF($A$8=Nutrients!$B$77,Nutrients!$DH$77,Nutrients!$DH$78)))))*X$8))/2000/X$236*100</f>
        <v>72.178852710011938</v>
      </c>
      <c r="Y243" s="225">
        <f>(SUMPRODUCT(Y$9:Y$229,Nutrients!$DH$8:$DH$228)+(IF($A$7=Nutrients!$B$8,Nutrients!$DH$8,Nutrients!$DH$9)*Y$7)+(((IF($A$8=Nutrients!$B$79,Nutrients!$DH$79,(IF($A$8=Nutrients!$B$77,Nutrients!$DH$77,Nutrients!$DH$78)))))*Y$8))/2000/Y$236*100</f>
        <v>73.393911952958618</v>
      </c>
      <c r="Z243" s="225">
        <f>(SUMPRODUCT(Z$9:Z$229,Nutrients!$DH$8:$DH$228)+(IF($A$7=Nutrients!$B$8,Nutrients!$DH$8,Nutrients!$DH$9)*Z$7)+(((IF($A$8=Nutrients!$B$79,Nutrients!$DH$79,(IF($A$8=Nutrients!$B$77,Nutrients!$DH$77,Nutrients!$DH$78)))))*Z$8))/2000/Z$236*100</f>
        <v>74.533549938140879</v>
      </c>
      <c r="AA243" s="225">
        <f>(SUMPRODUCT(AA$9:AA$229,Nutrients!$DH$8:$DH$228)+(IF($A$7=Nutrients!$B$8,Nutrients!$DH$8,Nutrients!$DH$9)*AA$7)+(((IF($A$8=Nutrients!$B$79,Nutrients!$DH$79,(IF($A$8=Nutrients!$B$77,Nutrients!$DH$77,Nutrients!$DH$78)))))*AA$8))/2000/AA$236*100</f>
        <v>75.686909158492881</v>
      </c>
      <c r="AB243" s="225">
        <f>(SUMPRODUCT(AB$9:AB$229,Nutrients!$DH$8:$DH$228)+(IF($A$7=Nutrients!$B$8,Nutrients!$DH$8,Nutrients!$DH$9)*AB$7)+(((IF($A$8=Nutrients!$B$79,Nutrients!$DH$79,(IF($A$8=Nutrients!$B$77,Nutrients!$DH$77,Nutrients!$DH$78)))))*AB$8))/2000/AB$236*100</f>
        <v>76.678717970032878</v>
      </c>
      <c r="AC243" s="9"/>
      <c r="AD243" s="225">
        <f>(SUMPRODUCT(AD$9:AD$229,Nutrients!$DH$8:$DH$228)+(IF($A$7=Nutrients!$B$8,Nutrients!$DH$8,Nutrients!$DH$9)*AD$7)+(((IF($A$8=Nutrients!$B$79,Nutrients!$DH$79,(IF($A$8=Nutrients!$B$77,Nutrients!$DH$77,Nutrients!$DH$78)))))*AD$8))/2000/AD$236*100</f>
        <v>72.4775937028421</v>
      </c>
      <c r="AE243" s="225">
        <f>(SUMPRODUCT(AE$9:AE$229,Nutrients!$DH$8:$DH$228)+(IF($A$7=Nutrients!$B$8,Nutrients!$DH$8,Nutrients!$DH$9)*AE$7)+(((IF($A$8=Nutrients!$B$79,Nutrients!$DH$79,(IF($A$8=Nutrients!$B$77,Nutrients!$DH$77,Nutrients!$DH$78)))))*AE$8))/2000/AE$236*100</f>
        <v>73.481995814937449</v>
      </c>
      <c r="AF243" s="225">
        <f>(SUMPRODUCT(AF$9:AF$229,Nutrients!$DH$8:$DH$228)+(IF($A$7=Nutrients!$B$8,Nutrients!$DH$8,Nutrients!$DH$9)*AF$7)+(((IF($A$8=Nutrients!$B$79,Nutrients!$DH$79,(IF($A$8=Nutrients!$B$77,Nutrients!$DH$77,Nutrients!$DH$78)))))*AF$8))/2000/AF$236*100</f>
        <v>74.871137457329567</v>
      </c>
      <c r="AG243" s="225">
        <f>(SUMPRODUCT(AG$9:AG$229,Nutrients!$DH$8:$DH$228)+(IF($A$7=Nutrients!$B$8,Nutrients!$DH$8,Nutrients!$DH$9)*AG$7)+(((IF($A$8=Nutrients!$B$79,Nutrients!$DH$79,(IF($A$8=Nutrients!$B$77,Nutrients!$DH$77,Nutrients!$DH$78)))))*AG$8))/2000/AG$236*100</f>
        <v>76.189992197940839</v>
      </c>
      <c r="AH243" s="225">
        <f>(SUMPRODUCT(AH$9:AH$229,Nutrients!$DH$8:$DH$228)+(IF($A$7=Nutrients!$B$8,Nutrients!$DH$8,Nutrients!$DH$9)*AH$7)+(((IF($A$8=Nutrients!$B$79,Nutrients!$DH$79,(IF($A$8=Nutrients!$B$77,Nutrients!$DH$77,Nutrients!$DH$78)))))*AH$8))/2000/AH$236*100</f>
        <v>77.492218852370982</v>
      </c>
      <c r="AI243" s="225">
        <f>(SUMPRODUCT(AI$9:AI$229,Nutrients!$DH$8:$DH$228)+(IF($A$7=Nutrients!$B$8,Nutrients!$DH$8,Nutrients!$DH$9)*AI$7)+(((IF($A$8=Nutrients!$B$79,Nutrients!$DH$79,(IF($A$8=Nutrients!$B$77,Nutrients!$DH$77,Nutrients!$DH$78)))))*AI$8))/2000/AI$236*100</f>
        <v>78.580079951335378</v>
      </c>
      <c r="AJ243" s="9"/>
      <c r="AK243" s="225">
        <f>(SUMPRODUCT(AK$9:AK$229,Nutrients!$DH$8:$DH$228)+(IF($A$7=Nutrients!$B$8,Nutrients!$DH$8,Nutrients!$DH$9)*AK$7)+(((IF($A$8=Nutrients!$B$79,Nutrients!$DH$79,(IF($A$8=Nutrients!$B$77,Nutrients!$DH$77,Nutrients!$DH$78)))))*AK$8))/2000/AK$236*100</f>
        <v>73.6037463202656</v>
      </c>
      <c r="AL243" s="225">
        <f>(SUMPRODUCT(AL$9:AL$229,Nutrients!$DH$8:$DH$228)+(IF($A$7=Nutrients!$B$8,Nutrients!$DH$8,Nutrients!$DH$9)*AL$7)+(((IF($A$8=Nutrients!$B$79,Nutrients!$DH$79,(IF($A$8=Nutrients!$B$77,Nutrients!$DH$77,Nutrients!$DH$78)))))*AL$8))/2000/AL$236*100</f>
        <v>74.803645712631351</v>
      </c>
      <c r="AM243" s="225">
        <f>(SUMPRODUCT(AM$9:AM$229,Nutrients!$DH$8:$DH$228)+(IF($A$7=Nutrients!$B$8,Nutrients!$DH$8,Nutrients!$DH$9)*AM$7)+(((IF($A$8=Nutrients!$B$79,Nutrients!$DH$79,(IF($A$8=Nutrients!$B$77,Nutrients!$DH$77,Nutrients!$DH$78)))))*AM$8))/2000/AM$236*100</f>
        <v>76.36788071286135</v>
      </c>
      <c r="AN243" s="225">
        <f>(SUMPRODUCT(AN$9:AN$229,Nutrients!$DH$8:$DH$228)+(IF($A$7=Nutrients!$B$8,Nutrients!$DH$8,Nutrients!$DH$9)*AN$7)+(((IF($A$8=Nutrients!$B$79,Nutrients!$DH$79,(IF($A$8=Nutrients!$B$77,Nutrients!$DH$77,Nutrients!$DH$78)))))*AN$8))/2000/AN$236*100</f>
        <v>77.867905378141757</v>
      </c>
      <c r="AO243" s="225">
        <f>(SUMPRODUCT(AO$9:AO$229,Nutrients!$DH$8:$DH$228)+(IF($A$7=Nutrients!$B$8,Nutrients!$DH$8,Nutrients!$DH$9)*AO$7)+(((IF($A$8=Nutrients!$B$79,Nutrients!$DH$79,(IF($A$8=Nutrients!$B$77,Nutrients!$DH$77,Nutrients!$DH$78)))))*AO$8))/2000/AO$236*100</f>
        <v>79.323825684649535</v>
      </c>
      <c r="AP243" s="225">
        <f>(SUMPRODUCT(AP$9:AP$229,Nutrients!$DH$8:$DH$228)+(IF($A$7=Nutrients!$B$8,Nutrients!$DH$8,Nutrients!$DH$9)*AP$7)+(((IF($A$8=Nutrients!$B$79,Nutrients!$DH$79,(IF($A$8=Nutrients!$B$77,Nutrients!$DH$77,Nutrients!$DH$78)))))*AP$8))/2000/AP$236*100</f>
        <v>80.514459826486103</v>
      </c>
      <c r="AQ243" s="9"/>
      <c r="AR243" s="225">
        <f>(SUMPRODUCT(AR$9:AR$229,Nutrients!$DH$8:$DH$228)+(IF($A$7=Nutrients!$B$8,Nutrients!$DH$8,Nutrients!$DH$9)*AR$7)+(((IF($A$8=Nutrients!$B$79,Nutrients!$DH$79,(IF($A$8=Nutrients!$B$77,Nutrients!$DH$77,Nutrients!$DH$78)))))*AR$8))/2000/AR$236*100</f>
        <v>74.788564974389104</v>
      </c>
      <c r="AS243" s="225">
        <f>(SUMPRODUCT(AS$9:AS$229,Nutrients!$DH$8:$DH$228)+(IF($A$7=Nutrients!$B$8,Nutrients!$DH$8,Nutrients!$DH$9)*AS$7)+(((IF($A$8=Nutrients!$B$79,Nutrients!$DH$79,(IF($A$8=Nutrients!$B$77,Nutrients!$DH$77,Nutrients!$DH$78)))))*AS$8))/2000/AS$236*100</f>
        <v>76.145974347772778</v>
      </c>
      <c r="AT243" s="225">
        <f>(SUMPRODUCT(AT$9:AT$229,Nutrients!$DH$8:$DH$228)+(IF($A$7=Nutrients!$B$8,Nutrients!$DH$8,Nutrients!$DH$9)*AT$7)+(((IF($A$8=Nutrients!$B$79,Nutrients!$DH$79,(IF($A$8=Nutrients!$B$77,Nutrients!$DH$77,Nutrients!$DH$78)))))*AT$8))/2000/AT$236*100</f>
        <v>77.884435171212786</v>
      </c>
      <c r="AU243" s="225">
        <f>(SUMPRODUCT(AU$9:AU$229,Nutrients!$DH$8:$DH$228)+(IF($A$7=Nutrients!$B$8,Nutrients!$DH$8,Nutrients!$DH$9)*AU$7)+(((IF($A$8=Nutrients!$B$79,Nutrients!$DH$79,(IF($A$8=Nutrients!$B$77,Nutrients!$DH$77,Nutrients!$DH$78)))))*AU$8))/2000/AU$236*100</f>
        <v>79.566807091891107</v>
      </c>
      <c r="AV243" s="225">
        <f>(SUMPRODUCT(AV$9:AV$229,Nutrients!$DH$8:$DH$228)+(IF($A$7=Nutrients!$B$8,Nutrients!$DH$8,Nutrients!$DH$9)*AV$7)+(((IF($A$8=Nutrients!$B$79,Nutrients!$DH$79,(IF($A$8=Nutrients!$B$77,Nutrients!$DH$77,Nutrients!$DH$78)))))*AV$8))/2000/AV$236*100</f>
        <v>81.187549789161011</v>
      </c>
      <c r="AW243" s="225">
        <f>(SUMPRODUCT(AW$9:AW$229,Nutrients!$DH$8:$DH$228)+(IF($A$7=Nutrients!$B$8,Nutrients!$DH$8,Nutrients!$DH$9)*AW$7)+(((IF($A$8=Nutrients!$B$79,Nutrients!$DH$79,(IF($A$8=Nutrients!$B$77,Nutrients!$DH$77,Nutrients!$DH$78)))))*AW$8))/2000/AW$236*100</f>
        <v>82.482842922981789</v>
      </c>
      <c r="AX243" s="13"/>
    </row>
    <row r="244" spans="1:56" x14ac:dyDescent="0.25">
      <c r="A244" s="38" t="s">
        <v>394</v>
      </c>
      <c r="B244" s="451">
        <f>(SUMPRODUCT(B$9:B$229,Nutrients!$CX$8:$CX$228)+(IF($A$7=Nutrients!$B$8,Nutrients!$CX$8,Nutrients!$CX$9)*B$7)+(((IF($A$8=Nutrients!$B$79,Nutrients!$CX$79,(IF($A$8=Nutrients!$B$77,Nutrients!$CX$77,Nutrients!$CX$78)))))*B$8))/2000/B$236*100</f>
        <v>41.164178486168282</v>
      </c>
      <c r="C244" s="451">
        <f>(SUMPRODUCT(C$9:C$229,Nutrients!$CX$8:$CX$228)+(IF($A$7=Nutrients!$B$8,Nutrients!$CX$8,Nutrients!$CX$9)*C$7)+(((IF($A$8=Nutrients!$B$79,Nutrients!$CX$79,(IF($A$8=Nutrients!$B$77,Nutrients!$CX$77,Nutrients!$CX$78)))))*C$8))/2000/C$236*100</f>
        <v>41.586004986324909</v>
      </c>
      <c r="D244" s="451">
        <f>(SUMPRODUCT(D$9:D$229,Nutrients!$CX$8:$CX$228)+(IF($A$7=Nutrients!$B$8,Nutrients!$CX$8,Nutrients!$CX$9)*D$7)+(((IF($A$8=Nutrients!$B$79,Nutrients!$CX$79,(IF($A$8=Nutrients!$B$77,Nutrients!$CX$77,Nutrients!$CX$78)))))*D$8))/2000/D$236*100</f>
        <v>42.207205920724832</v>
      </c>
      <c r="E244" s="451">
        <f>(SUMPRODUCT(E$9:E$229,Nutrients!$CX$8:$CX$228)+(IF($A$7=Nutrients!$B$8,Nutrients!$CX$8,Nutrients!$CX$9)*E$7)+(((IF($A$8=Nutrients!$B$79,Nutrients!$CX$79,(IF($A$8=Nutrients!$B$77,Nutrients!$CX$77,Nutrients!$CX$78)))))*E$8))/2000/E$236*100</f>
        <v>42.778460155865318</v>
      </c>
      <c r="F244" s="451">
        <f>(SUMPRODUCT(F$9:F$229,Nutrients!$CX$8:$CX$228)+(IF($A$7=Nutrients!$B$8,Nutrients!$CX$8,Nutrients!$CX$9)*F$7)+(((IF($A$8=Nutrients!$B$79,Nutrients!$CX$79,(IF($A$8=Nutrients!$B$77,Nutrients!$CX$77,Nutrients!$CX$78)))))*F$8))/2000/F$236*100</f>
        <v>43.376570604149812</v>
      </c>
      <c r="G244" s="451">
        <f>(SUMPRODUCT(G$9:G$229,Nutrients!$CX$8:$CX$228)+(IF($A$7=Nutrients!$B$8,Nutrients!$CX$8,Nutrients!$CX$9)*G$7)+(((IF($A$8=Nutrients!$B$79,Nutrients!$CX$79,(IF($A$8=Nutrients!$B$77,Nutrients!$CX$77,Nutrients!$CX$78)))))*G$8))/2000/G$236*100</f>
        <v>43.904809548771325</v>
      </c>
      <c r="H244" s="224"/>
      <c r="I244" s="451">
        <f>(SUMPRODUCT(I$9:I$229,Nutrients!$CX$8:$CX$228)+(IF($A$7=Nutrients!$B$8,Nutrients!$CX$8,Nutrients!$CX$9)*I$7)+(((IF($A$8=Nutrients!$B$79,Nutrients!$CX$79,(IF($A$8=Nutrients!$B$77,Nutrients!$CX$77,Nutrients!$CX$78)))))*I$8))/2000/I$236*100</f>
        <v>41.558324022373206</v>
      </c>
      <c r="J244" s="451">
        <f>(SUMPRODUCT(J$9:J$229,Nutrients!$CX$8:$CX$228)+(IF($A$7=Nutrients!$B$8,Nutrients!$CX$8,Nutrients!$CX$9)*J$7)+(((IF($A$8=Nutrients!$B$79,Nutrients!$CX$79,(IF($A$8=Nutrients!$B$77,Nutrients!$CX$77,Nutrients!$CX$78)))))*J$8))/2000/J$236*100</f>
        <v>42.031597945464277</v>
      </c>
      <c r="K244" s="451">
        <f>(SUMPRODUCT(K$9:K$229,Nutrients!$CX$8:$CX$228)+(IF($A$7=Nutrients!$B$8,Nutrients!$CX$8,Nutrients!$CX$9)*K$7)+(((IF($A$8=Nutrients!$B$79,Nutrients!$CX$79,(IF($A$8=Nutrients!$B$77,Nutrients!$CX$77,Nutrients!$CX$78)))))*K$8))/2000/K$236*100</f>
        <v>42.712301314412471</v>
      </c>
      <c r="L244" s="451">
        <f>(SUMPRODUCT(L$9:L$229,Nutrients!$CX$8:$CX$228)+(IF($A$7=Nutrients!$B$8,Nutrients!$CX$8,Nutrients!$CX$9)*L$7)+(((IF($A$8=Nutrients!$B$79,Nutrients!$CX$79,(IF($A$8=Nutrients!$B$77,Nutrients!$CX$77,Nutrients!$CX$78)))))*L$8))/2000/L$236*100</f>
        <v>43.349601996006207</v>
      </c>
      <c r="M244" s="451">
        <f>(SUMPRODUCT(M$9:M$229,Nutrients!$CX$8:$CX$228)+(IF($A$7=Nutrients!$B$8,Nutrients!$CX$8,Nutrients!$CX$9)*M$7)+(((IF($A$8=Nutrients!$B$79,Nutrients!$CX$79,(IF($A$8=Nutrients!$B$77,Nutrients!$CX$77,Nutrients!$CX$78)))))*M$8))/2000/M$236*100</f>
        <v>44.004759739523536</v>
      </c>
      <c r="N244" s="451">
        <f>(SUMPRODUCT(N$9:N$229,Nutrients!$CX$8:$CX$228)+(IF($A$7=Nutrients!$B$8,Nutrients!$CX$8,Nutrients!$CX$9)*N$7)+(((IF($A$8=Nutrients!$B$79,Nutrients!$CX$79,(IF($A$8=Nutrients!$B$77,Nutrients!$CX$77,Nutrients!$CX$78)))))*N$8))/2000/N$236*100</f>
        <v>44.569306017034386</v>
      </c>
      <c r="O244" s="472"/>
      <c r="P244" s="451">
        <f>(SUMPRODUCT(P$9:P$229,Nutrients!$CX$8:$CX$228)+(IF($A$7=Nutrients!$B$8,Nutrients!$CX$8,Nutrients!$CX$9)*P$7)+(((IF($A$8=Nutrients!$B$79,Nutrients!$CX$79,(IF($A$8=Nutrients!$B$77,Nutrients!$CX$77,Nutrients!$CX$78)))))*P$8))/2000/P$236*100</f>
        <v>41.953754496569353</v>
      </c>
      <c r="Q244" s="451">
        <f>(SUMPRODUCT(Q$9:Q$229,Nutrients!$CX$8:$CX$228)+(IF($A$7=Nutrients!$B$8,Nutrients!$CX$8,Nutrients!$CX$9)*Q$7)+(((IF($A$8=Nutrients!$B$79,Nutrients!$CX$79,(IF($A$8=Nutrients!$B$77,Nutrients!$CX$77,Nutrients!$CX$78)))))*Q$8))/2000/Q$236*100</f>
        <v>42.479564410257716</v>
      </c>
      <c r="R244" s="451">
        <f>(SUMPRODUCT(R$9:R$229,Nutrients!$CX$8:$CX$228)+(IF($A$7=Nutrients!$B$8,Nutrients!$CX$8,Nutrients!$CX$9)*R$7)+(((IF($A$8=Nutrients!$B$79,Nutrients!$CX$79,(IF($A$8=Nutrients!$B$77,Nutrients!$CX$77,Nutrients!$CX$78)))))*R$8))/2000/R$236*100</f>
        <v>43.220223968997352</v>
      </c>
      <c r="S244" s="451">
        <f>(SUMPRODUCT(S$9:S$229,Nutrients!$CX$8:$CX$228)+(IF($A$7=Nutrients!$B$8,Nutrients!$CX$8,Nutrients!$CX$9)*S$7)+(((IF($A$8=Nutrients!$B$79,Nutrients!$CX$79,(IF($A$8=Nutrients!$B$77,Nutrients!$CX$77,Nutrients!$CX$78)))))*S$8))/2000/S$236*100</f>
        <v>43.927441366429107</v>
      </c>
      <c r="T244" s="451">
        <f>(SUMPRODUCT(T$9:T$229,Nutrients!$CX$8:$CX$228)+(IF($A$7=Nutrients!$B$8,Nutrients!$CX$8,Nutrients!$CX$9)*T$7)+(((IF($A$8=Nutrients!$B$79,Nutrients!$CX$79,(IF($A$8=Nutrients!$B$77,Nutrients!$CX$77,Nutrients!$CX$78)))))*T$8))/2000/T$236*100</f>
        <v>44.634798884181976</v>
      </c>
      <c r="U244" s="451">
        <f>(SUMPRODUCT(U$9:U$229,Nutrients!$CX$8:$CX$228)+(IF($A$7=Nutrients!$B$8,Nutrients!$CX$8,Nutrients!$CX$9)*U$7)+(((IF($A$8=Nutrients!$B$79,Nutrients!$CX$79,(IF($A$8=Nutrients!$B$77,Nutrients!$CX$77,Nutrients!$CX$78)))))*U$8))/2000/U$236*100</f>
        <v>45.234486873920886</v>
      </c>
      <c r="V244" s="9"/>
      <c r="W244" s="451">
        <f>(SUMPRODUCT(W$9:W$229,Nutrients!$CX$8:$CX$228)+(IF($A$7=Nutrients!$B$8,Nutrients!$CX$8,Nutrients!$CX$9)*W$7)+(((IF($A$8=Nutrients!$B$79,Nutrients!$CX$79,(IF($A$8=Nutrients!$B$77,Nutrients!$CX$77,Nutrients!$CX$78)))))*W$8))/2000/W$236*100</f>
        <v>42.354733053311584</v>
      </c>
      <c r="X244" s="451">
        <f>(SUMPRODUCT(X$9:X$229,Nutrients!$CX$8:$CX$228)+(IF($A$7=Nutrients!$B$8,Nutrients!$CX$8,Nutrients!$CX$9)*X$7)+(((IF($A$8=Nutrients!$B$79,Nutrients!$CX$79,(IF($A$8=Nutrients!$B$77,Nutrients!$CX$77,Nutrients!$CX$78)))))*X$8))/2000/X$236*100</f>
        <v>42.93388960445477</v>
      </c>
      <c r="Y244" s="451">
        <f>(SUMPRODUCT(Y$9:Y$229,Nutrients!$CX$8:$CX$228)+(IF($A$7=Nutrients!$B$8,Nutrients!$CX$8,Nutrients!$CX$9)*Y$7)+(((IF($A$8=Nutrients!$B$79,Nutrients!$CX$79,(IF($A$8=Nutrients!$B$77,Nutrients!$CX$77,Nutrients!$CX$78)))))*Y$8))/2000/Y$236*100</f>
        <v>43.742403177579369</v>
      </c>
      <c r="Z244" s="451">
        <f>(SUMPRODUCT(Z$9:Z$229,Nutrients!$CX$8:$CX$228)+(IF($A$7=Nutrients!$B$8,Nutrients!$CX$8,Nutrients!$CX$9)*Z$7)+(((IF($A$8=Nutrients!$B$79,Nutrients!$CX$79,(IF($A$8=Nutrients!$B$77,Nutrients!$CX$77,Nutrients!$CX$78)))))*Z$8))/2000/Z$236*100</f>
        <v>44.512003516259654</v>
      </c>
      <c r="AA244" s="451">
        <f>(SUMPRODUCT(AA$9:AA$229,Nutrients!$CX$8:$CX$228)+(IF($A$7=Nutrients!$B$8,Nutrients!$CX$8,Nutrients!$CX$9)*AA$7)+(((IF($A$8=Nutrients!$B$79,Nutrients!$CX$79,(IF($A$8=Nutrients!$B$77,Nutrients!$CX$77,Nutrients!$CX$78)))))*AA$8))/2000/AA$236*100</f>
        <v>45.273719959643884</v>
      </c>
      <c r="AB244" s="451">
        <f>(SUMPRODUCT(AB$9:AB$229,Nutrients!$CX$8:$CX$228)+(IF($A$7=Nutrients!$B$8,Nutrients!$CX$8,Nutrients!$CX$9)*AB$7)+(((IF($A$8=Nutrients!$B$79,Nutrients!$CX$79,(IF($A$8=Nutrients!$B$77,Nutrients!$CX$77,Nutrients!$CX$78)))))*AB$8))/2000/AB$236*100</f>
        <v>45.90795972519043</v>
      </c>
      <c r="AC244" s="9"/>
      <c r="AD244" s="451">
        <f>(SUMPRODUCT(AD$9:AD$229,Nutrients!$CX$8:$CX$228)+(IF($A$7=Nutrients!$B$8,Nutrients!$CX$8,Nutrients!$CX$9)*AD$7)+(((IF($A$8=Nutrients!$B$79,Nutrients!$CX$79,(IF($A$8=Nutrients!$B$77,Nutrients!$CX$77,Nutrients!$CX$78)))))*AD$8))/2000/AD$236*100</f>
        <v>42.761440028428829</v>
      </c>
      <c r="AE244" s="451">
        <f>(SUMPRODUCT(AE$9:AE$229,Nutrients!$CX$8:$CX$228)+(IF($A$7=Nutrients!$B$8,Nutrients!$CX$8,Nutrients!$CX$9)*AE$7)+(((IF($A$8=Nutrients!$B$79,Nutrients!$CX$79,(IF($A$8=Nutrients!$B$77,Nutrients!$CX$77,Nutrients!$CX$78)))))*AE$8))/2000/AE$236*100</f>
        <v>43.400227028903451</v>
      </c>
      <c r="AF244" s="451">
        <f>(SUMPRODUCT(AF$9:AF$229,Nutrients!$CX$8:$CX$228)+(IF($A$7=Nutrients!$B$8,Nutrients!$CX$8,Nutrients!$CX$9)*AF$7)+(((IF($A$8=Nutrients!$B$79,Nutrients!$CX$79,(IF($A$8=Nutrients!$B$77,Nutrients!$CX$77,Nutrients!$CX$78)))))*AF$8))/2000/AF$236*100</f>
        <v>44.271274040270221</v>
      </c>
      <c r="AG244" s="451">
        <f>(SUMPRODUCT(AG$9:AG$229,Nutrients!$CX$8:$CX$228)+(IF($A$7=Nutrients!$B$8,Nutrients!$CX$8,Nutrients!$CX$9)*AG$7)+(((IF($A$8=Nutrients!$B$79,Nutrients!$CX$79,(IF($A$8=Nutrients!$B$77,Nutrients!$CX$77,Nutrients!$CX$78)))))*AG$8))/2000/AG$236*100</f>
        <v>45.104175184557263</v>
      </c>
      <c r="AH244" s="451">
        <f>(SUMPRODUCT(AH$9:AH$229,Nutrients!$CX$8:$CX$228)+(IF($A$7=Nutrients!$B$8,Nutrients!$CX$8,Nutrients!$CX$9)*AH$7)+(((IF($A$8=Nutrients!$B$79,Nutrients!$CX$79,(IF($A$8=Nutrients!$B$77,Nutrients!$CX$77,Nutrients!$CX$78)))))*AH$8))/2000/AH$236*100</f>
        <v>45.917375770106759</v>
      </c>
      <c r="AI244" s="451">
        <f>(SUMPRODUCT(AI$9:AI$229,Nutrients!$CX$8:$CX$228)+(IF($A$7=Nutrients!$B$8,Nutrients!$CX$8,Nutrients!$CX$9)*AI$7)+(((IF($A$8=Nutrients!$B$79,Nutrients!$CX$79,(IF($A$8=Nutrients!$B$77,Nutrients!$CX$77,Nutrients!$CX$78)))))*AI$8))/2000/AI$236*100</f>
        <v>46.585195257408628</v>
      </c>
      <c r="AJ244" s="9"/>
      <c r="AK244" s="451">
        <f>(SUMPRODUCT(AK$9:AK$229,Nutrients!$CX$8:$CX$228)+(IF($A$7=Nutrients!$B$8,Nutrients!$CX$8,Nutrients!$CX$9)*AK$7)+(((IF($A$8=Nutrients!$B$79,Nutrients!$CX$79,(IF($A$8=Nutrients!$B$77,Nutrients!$CX$77,Nutrients!$CX$78)))))*AK$8))/2000/AK$236*100</f>
        <v>43.153897135129938</v>
      </c>
      <c r="AL244" s="451">
        <f>(SUMPRODUCT(AL$9:AL$229,Nutrients!$CX$8:$CX$228)+(IF($A$7=Nutrients!$B$8,Nutrients!$CX$8,Nutrients!$CX$9)*AL$7)+(((IF($A$8=Nutrients!$B$79,Nutrients!$CX$79,(IF($A$8=Nutrients!$B$77,Nutrients!$CX$77,Nutrients!$CX$78)))))*AL$8))/2000/AL$236*100</f>
        <v>43.872485650750043</v>
      </c>
      <c r="AM244" s="451">
        <f>(SUMPRODUCT(AM$9:AM$229,Nutrients!$CX$8:$CX$228)+(IF($A$7=Nutrients!$B$8,Nutrients!$CX$8,Nutrients!$CX$9)*AM$7)+(((IF($A$8=Nutrients!$B$79,Nutrients!$CX$79,(IF($A$8=Nutrients!$B$77,Nutrients!$CX$77,Nutrients!$CX$78)))))*AM$8))/2000/AM$236*100</f>
        <v>44.806012258957722</v>
      </c>
      <c r="AN244" s="451">
        <f>(SUMPRODUCT(AN$9:AN$229,Nutrients!$CX$8:$CX$228)+(IF($A$7=Nutrients!$B$8,Nutrients!$CX$8,Nutrients!$CX$9)*AN$7)+(((IF($A$8=Nutrients!$B$79,Nutrients!$CX$79,(IF($A$8=Nutrients!$B$77,Nutrients!$CX$77,Nutrients!$CX$78)))))*AN$8))/2000/AN$236*100</f>
        <v>45.702240763633903</v>
      </c>
      <c r="AO244" s="451">
        <f>(SUMPRODUCT(AO$9:AO$229,Nutrients!$CX$8:$CX$228)+(IF($A$7=Nutrients!$B$8,Nutrients!$CX$8,Nutrients!$CX$9)*AO$7)+(((IF($A$8=Nutrients!$B$79,Nutrients!$CX$79,(IF($A$8=Nutrients!$B$77,Nutrients!$CX$77,Nutrients!$CX$78)))))*AO$8))/2000/AO$236*100</f>
        <v>46.568822330762352</v>
      </c>
      <c r="AP244" s="451">
        <f>(SUMPRODUCT(AP$9:AP$229,Nutrients!$CX$8:$CX$228)+(IF($A$7=Nutrients!$B$8,Nutrients!$CX$8,Nutrients!$CX$9)*AP$7)+(((IF($A$8=Nutrients!$B$79,Nutrients!$CX$79,(IF($A$8=Nutrients!$B$77,Nutrients!$CX$77,Nutrients!$CX$78)))))*AP$8))/2000/AP$236*100</f>
        <v>47.274175223637755</v>
      </c>
      <c r="AQ244" s="9"/>
      <c r="AR244" s="451">
        <f>(SUMPRODUCT(AR$9:AR$229,Nutrients!$CX$8:$CX$228)+(IF($A$7=Nutrients!$B$8,Nutrients!$CX$8,Nutrients!$CX$9)*AR$7)+(((IF($A$8=Nutrients!$B$79,Nutrients!$CX$79,(IF($A$8=Nutrients!$B$77,Nutrients!$CX$77,Nutrients!$CX$78)))))*AR$8))/2000/AR$236*100</f>
        <v>43.57832339212078</v>
      </c>
      <c r="AS244" s="451">
        <f>(SUMPRODUCT(AS$9:AS$229,Nutrients!$CX$8:$CX$228)+(IF($A$7=Nutrients!$B$8,Nutrients!$CX$8,Nutrients!$CX$9)*AS$7)+(((IF($A$8=Nutrients!$B$79,Nutrients!$CX$79,(IF($A$8=Nutrients!$B$77,Nutrients!$CX$77,Nutrients!$CX$78)))))*AS$8))/2000/AS$236*100</f>
        <v>44.35205819019798</v>
      </c>
      <c r="AT244" s="451">
        <f>(SUMPRODUCT(AT$9:AT$229,Nutrients!$CX$8:$CX$228)+(IF($A$7=Nutrients!$B$8,Nutrients!$CX$8,Nutrients!$CX$9)*AT$7)+(((IF($A$8=Nutrients!$B$79,Nutrients!$CX$79,(IF($A$8=Nutrients!$B$77,Nutrients!$CX$77,Nutrients!$CX$78)))))*AT$8))/2000/AT$236*100</f>
        <v>45.347042060675463</v>
      </c>
      <c r="AU244" s="451">
        <f>(SUMPRODUCT(AU$9:AU$229,Nutrients!$CX$8:$CX$228)+(IF($A$7=Nutrients!$B$8,Nutrients!$CX$8,Nutrients!$CX$9)*AU$7)+(((IF($A$8=Nutrients!$B$79,Nutrients!$CX$79,(IF($A$8=Nutrients!$B$77,Nutrients!$CX$77,Nutrients!$CX$78)))))*AU$8))/2000/AU$236*100</f>
        <v>46.305206497098631</v>
      </c>
      <c r="AV244" s="451">
        <f>(SUMPRODUCT(AV$9:AV$229,Nutrients!$CX$8:$CX$228)+(IF($A$7=Nutrients!$B$8,Nutrients!$CX$8,Nutrients!$CX$9)*AV$7)+(((IF($A$8=Nutrients!$B$79,Nutrients!$CX$79,(IF($A$8=Nutrients!$B$77,Nutrients!$CX$77,Nutrients!$CX$78)))))*AV$8))/2000/AV$236*100</f>
        <v>47.231697869919486</v>
      </c>
      <c r="AW244" s="451">
        <f>(SUMPRODUCT(AW$9:AW$229,Nutrients!$CX$8:$CX$228)+(IF($A$7=Nutrients!$B$8,Nutrients!$CX$8,Nutrients!$CX$9)*AW$7)+(((IF($A$8=Nutrients!$B$79,Nutrients!$CX$79,(IF($A$8=Nutrients!$B$77,Nutrients!$CX$77,Nutrients!$CX$78)))))*AW$8))/2000/AW$236*100</f>
        <v>47.975292763734636</v>
      </c>
    </row>
    <row r="245" spans="1:56" x14ac:dyDescent="0.25">
      <c r="A245" s="5" t="s">
        <v>389</v>
      </c>
      <c r="B245" s="26">
        <f>(SUMPRODUCT(B$9:B$229,Nutrients!$AJ$8:$AJ$228)+(IF($A7=Nutrients!$B$8,Nutrients!$AJ$8,Nutrients!$AJ$9)*B$7)+(((IF($A8=Nutrients!$B$79,Nutrients!$AJ$79,(IF($A8=Nutrients!$B$77,Nutrients!$AJ$77,Nutrients!$AJ$78)))))*B$8))/2000</f>
        <v>1.3298660823074164</v>
      </c>
      <c r="C245" s="26">
        <f>(SUMPRODUCT(C$9:C$229,Nutrients!$AJ$8:$AJ$228)+(IF($A7=Nutrients!$B$8,Nutrients!$AJ$8,Nutrients!$AJ$9)*C$7)+(((IF($A8=Nutrients!$B$79,Nutrients!$AJ$79,(IF($A8=Nutrients!$B$77,Nutrients!$AJ$77,Nutrients!$AJ$78)))))*C$8))/2000</f>
        <v>1.17824480201899</v>
      </c>
      <c r="D245" s="26">
        <f>(SUMPRODUCT(D$9:D$229,Nutrients!$AJ$8:$AJ$228)+(IF($A7=Nutrients!$B$8,Nutrients!$AJ$8,Nutrients!$AJ$9)*D$7)+(((IF($A8=Nutrients!$B$79,Nutrients!$AJ$79,(IF($A8=Nutrients!$B$77,Nutrients!$AJ$77,Nutrients!$AJ$78)))))*D$8))/2000</f>
        <v>1.0441938280699909</v>
      </c>
      <c r="E245" s="26">
        <f>(SUMPRODUCT(E$9:E$229,Nutrients!$AJ$8:$AJ$228)+(IF($A7=Nutrients!$B$8,Nutrients!$AJ$8,Nutrients!$AJ$9)*E$7)+(((IF($A8=Nutrients!$B$79,Nutrients!$AJ$79,(IF($A8=Nutrients!$B$77,Nutrients!$AJ$77,Nutrients!$AJ$78)))))*E$8))/2000</f>
        <v>0.93300397092782039</v>
      </c>
      <c r="F245" s="26">
        <f>(SUMPRODUCT(F$9:F$229,Nutrients!$AJ$8:$AJ$228)+(IF($A7=Nutrients!$B$8,Nutrients!$AJ$8,Nutrients!$AJ$9)*F$7)+(((IF($A8=Nutrients!$B$79,Nutrients!$AJ$79,(IF($A8=Nutrients!$B$77,Nutrients!$AJ$77,Nutrients!$AJ$78)))))*F$8))/2000</f>
        <v>0.85681025979312531</v>
      </c>
      <c r="G245" s="26">
        <f>(SUMPRODUCT(G$9:G$229,Nutrients!$AJ$8:$AJ$228)+(IF($A7=Nutrients!$B$8,Nutrients!$AJ$8,Nutrients!$AJ$9)*G$7)+(((IF($A8=Nutrients!$B$79,Nutrients!$AJ$79,(IF($A8=Nutrients!$B$77,Nutrients!$AJ$77,Nutrients!$AJ$78)))))*G$8))/2000</f>
        <v>0.81496876682859276</v>
      </c>
      <c r="H245" s="26"/>
      <c r="I245" s="26">
        <f>(SUMPRODUCT(I$9:I$229,Nutrients!$AJ$8:$AJ$228)+(IF($A7=Nutrients!$B$8,Nutrients!$AJ$8,Nutrients!$AJ$9)*I$7)+(((IF($A8=Nutrients!$B$79,Nutrients!$AJ$79,(IF($A8=Nutrients!$B$77,Nutrients!$AJ$77,Nutrients!$AJ$78)))))*I$8))/2000</f>
        <v>1.3275429278012842</v>
      </c>
      <c r="J245" s="26">
        <f>(SUMPRODUCT(J$9:J$229,Nutrients!$AJ$8:$AJ$228)+(IF($A7=Nutrients!$B$8,Nutrients!$AJ$8,Nutrients!$AJ$9)*J$7)+(((IF($A8=Nutrients!$B$79,Nutrients!$AJ$79,(IF($A8=Nutrients!$B$77,Nutrients!$AJ$77,Nutrients!$AJ$78)))))*J$8))/2000</f>
        <v>1.1775350375442286</v>
      </c>
      <c r="K245" s="26">
        <f>(SUMPRODUCT(K$9:K$229,Nutrients!$AJ$8:$AJ$228)+(IF($A7=Nutrients!$B$8,Nutrients!$AJ$8,Nutrients!$AJ$9)*K$7)+(((IF($A8=Nutrients!$B$79,Nutrients!$AJ$79,(IF($A8=Nutrients!$B$77,Nutrients!$AJ$77,Nutrients!$AJ$78)))))*K$8))/2000</f>
        <v>1.0448107823710202</v>
      </c>
      <c r="L245" s="26">
        <f>(SUMPRODUCT(L$9:L$229,Nutrients!$AJ$8:$AJ$228)+(IF($A7=Nutrients!$B$8,Nutrients!$AJ$8,Nutrients!$AJ$9)*L$7)+(((IF($A8=Nutrients!$B$79,Nutrients!$AJ$79,(IF($A8=Nutrients!$B$77,Nutrients!$AJ$77,Nutrients!$AJ$78)))))*L$8))/2000</f>
        <v>0.93451174687459504</v>
      </c>
      <c r="M245" s="26">
        <f>(SUMPRODUCT(M$9:M$229,Nutrients!$AJ$8:$AJ$228)+(IF($A7=Nutrients!$B$8,Nutrients!$AJ$8,Nutrients!$AJ$9)*M$7)+(((IF($A8=Nutrients!$B$79,Nutrients!$AJ$79,(IF($A8=Nutrients!$B$77,Nutrients!$AJ$77,Nutrients!$AJ$78)))))*M$8))/2000</f>
        <v>0.85825204948321809</v>
      </c>
      <c r="N245" s="26">
        <f>(SUMPRODUCT(N$9:N$229,Nutrients!$AJ$8:$AJ$228)+(IF($A7=Nutrients!$B$8,Nutrients!$AJ$8,Nutrients!$AJ$9)*N$7)+(((IF($A8=Nutrients!$B$79,Nutrients!$AJ$79,(IF($A8=Nutrients!$B$77,Nutrients!$AJ$77,Nutrients!$AJ$78)))))*N$8))/2000</f>
        <v>0.81685888139663898</v>
      </c>
      <c r="O245" s="26"/>
      <c r="P245" s="26">
        <f>(SUMPRODUCT(P$9:P$229,Nutrients!$AJ$8:$AJ$228)+(IF($A7=Nutrients!$B$8,Nutrients!$AJ$8,Nutrients!$AJ$9)*P$7)+(((IF($A8=Nutrients!$B$79,Nutrients!$AJ$79,(IF($A8=Nutrients!$B$77,Nutrients!$AJ$77,Nutrients!$AJ$78)))))*P$8))/2000</f>
        <v>1.3272964068241064</v>
      </c>
      <c r="Q245" s="26">
        <f>(SUMPRODUCT(Q$9:Q$229,Nutrients!$AJ$8:$AJ$228)+(IF($A7=Nutrients!$B$8,Nutrients!$AJ$8,Nutrients!$AJ$9)*Q$7)+(((IF($A8=Nutrients!$B$79,Nutrients!$AJ$79,(IF($A8=Nutrients!$B$77,Nutrients!$AJ$77,Nutrients!$AJ$78)))))*Q$8))/2000</f>
        <v>1.178264987699728</v>
      </c>
      <c r="R245" s="26">
        <f>(SUMPRODUCT(R$9:R$229,Nutrients!$AJ$8:$AJ$228)+(IF($A7=Nutrients!$B$8,Nutrients!$AJ$8,Nutrients!$AJ$9)*R$7)+(((IF($A8=Nutrients!$B$79,Nutrients!$AJ$79,(IF($A8=Nutrients!$B$77,Nutrients!$AJ$77,Nutrients!$AJ$78)))))*R$8))/2000</f>
        <v>1.0465833757974383</v>
      </c>
      <c r="S245" s="26">
        <f>(SUMPRODUCT(S$9:S$229,Nutrients!$AJ$8:$AJ$228)+(IF($A7=Nutrients!$B$8,Nutrients!$AJ$8,Nutrients!$AJ$9)*S$7)+(((IF($A8=Nutrients!$B$79,Nutrients!$AJ$79,(IF($A8=Nutrients!$B$77,Nutrients!$AJ$77,Nutrients!$AJ$78)))))*S$8))/2000</f>
        <v>0.93579885313457589</v>
      </c>
      <c r="T245" s="26">
        <f>(SUMPRODUCT(T$9:T$229,Nutrients!$AJ$8:$AJ$228)+(IF($A7=Nutrients!$B$8,Nutrients!$AJ$8,Nutrients!$AJ$9)*T$7)+(((IF($A8=Nutrients!$B$79,Nutrients!$AJ$79,(IF($A8=Nutrients!$B$77,Nutrients!$AJ$77,Nutrients!$AJ$78)))))*T$8))/2000</f>
        <v>0.8603891646038071</v>
      </c>
      <c r="U245" s="26">
        <f>(SUMPRODUCT(U$9:U$229,Nutrients!$AJ$8:$AJ$228)+(IF($A7=Nutrients!$B$8,Nutrients!$AJ$8,Nutrients!$AJ$9)*U$7)+(((IF($A8=Nutrients!$B$79,Nutrients!$AJ$79,(IF($A8=Nutrients!$B$77,Nutrients!$AJ$77,Nutrients!$AJ$78)))))*U$8))/2000</f>
        <v>0.81933994780172226</v>
      </c>
      <c r="W245" s="26">
        <f>(SUMPRODUCT(W$9:W$229,Nutrients!$AJ$8:$AJ$228)+(IF($A7=Nutrients!$B$8,Nutrients!$AJ$8,Nutrients!$AJ$9)*W$7)+(((IF($A8=Nutrients!$B$79,Nutrients!$AJ$79,(IF($A8=Nutrients!$B$77,Nutrients!$AJ$77,Nutrients!$AJ$78)))))*W$8))/2000</f>
        <v>1.3270495557983868</v>
      </c>
      <c r="X245" s="26">
        <f>(SUMPRODUCT(X$9:X$229,Nutrients!$AJ$8:$AJ$228)+(IF($A7=Nutrients!$B$8,Nutrients!$AJ$8,Nutrients!$AJ$9)*X$7)+(((IF($A8=Nutrients!$B$79,Nutrients!$AJ$79,(IF($A8=Nutrients!$B$77,Nutrients!$AJ$77,Nutrients!$AJ$78)))))*X$8))/2000</f>
        <v>1.1790002210148609</v>
      </c>
      <c r="Y245" s="26">
        <f>(SUMPRODUCT(Y$9:Y$229,Nutrients!$AJ$8:$AJ$228)+(IF($A7=Nutrients!$B$8,Nutrients!$AJ$8,Nutrients!$AJ$9)*Y$7)+(((IF($A8=Nutrients!$B$79,Nutrients!$AJ$79,(IF($A8=Nutrients!$B$77,Nutrients!$AJ$77,Nutrients!$AJ$78)))))*Y$8))/2000</f>
        <v>1.0468482878171068</v>
      </c>
      <c r="Z245" s="26">
        <f>(SUMPRODUCT(Z$9:Z$229,Nutrients!$AJ$8:$AJ$228)+(IF($A7=Nutrients!$B$8,Nutrients!$AJ$8,Nutrients!$AJ$9)*Z$7)+(((IF($A8=Nutrients!$B$79,Nutrients!$AJ$79,(IF($A8=Nutrients!$B$77,Nutrients!$AJ$77,Nutrients!$AJ$78)))))*Z$8))/2000</f>
        <v>0.93747129324536693</v>
      </c>
      <c r="AA245" s="26">
        <f>(SUMPRODUCT(AA$9:AA$229,Nutrients!$AJ$8:$AJ$228)+(IF($A7=Nutrients!$B$8,Nutrients!$AJ$8,Nutrients!$AJ$9)*AA$7)+(((IF($A8=Nutrients!$B$79,Nutrients!$AJ$79,(IF($A8=Nutrients!$B$77,Nutrients!$AJ$77,Nutrients!$AJ$78)))))*AA$8))/2000</f>
        <v>0.86262720209651544</v>
      </c>
      <c r="AB245" s="26">
        <f>(SUMPRODUCT(AB$9:AB$229,Nutrients!$AJ$8:$AJ$228)+(IF($A7=Nutrients!$B$8,Nutrients!$AJ$8,Nutrients!$AJ$9)*AB$7)+(((IF($A8=Nutrients!$B$79,Nutrients!$AJ$79,(IF($A8=Nutrients!$B$77,Nutrients!$AJ$77,Nutrients!$AJ$78)))))*AB$8))/2000</f>
        <v>0.8216433907272559</v>
      </c>
      <c r="AD245" s="26">
        <f>(SUMPRODUCT(AD$9:AD$229,Nutrients!$AJ$8:$AJ$228)+(IF($A7=Nutrients!$B$8,Nutrients!$AJ$8,Nutrients!$AJ$9)*AD$7)+(((IF($A8=Nutrients!$B$79,Nutrients!$AJ$79,(IF($A8=Nutrients!$B$77,Nutrients!$AJ$77,Nutrients!$AJ$78)))))*AD$8))/2000</f>
        <v>1.3266838496121753</v>
      </c>
      <c r="AE245" s="26">
        <f>(SUMPRODUCT(AE$9:AE$229,Nutrients!$AJ$8:$AJ$228)+(IF($A7=Nutrients!$B$8,Nutrients!$AJ$8,Nutrients!$AJ$9)*AE$7)+(((IF($A8=Nutrients!$B$79,Nutrients!$AJ$79,(IF($A8=Nutrients!$B$77,Nutrients!$AJ$77,Nutrients!$AJ$78)))))*AE$8))/2000</f>
        <v>1.1782522626394349</v>
      </c>
      <c r="AF245" s="26">
        <f>(SUMPRODUCT(AF$9:AF$229,Nutrients!$AJ$8:$AJ$228)+(IF($A7=Nutrients!$B$8,Nutrients!$AJ$8,Nutrients!$AJ$9)*AF$7)+(((IF($A8=Nutrients!$B$79,Nutrients!$AJ$79,(IF($A8=Nutrients!$B$77,Nutrients!$AJ$77,Nutrients!$AJ$78)))))*AF$8))/2000</f>
        <v>1.047470498946292</v>
      </c>
      <c r="AG245" s="26">
        <f>(SUMPRODUCT(AG$9:AG$229,Nutrients!$AJ$8:$AJ$228)+(IF($A7=Nutrients!$B$8,Nutrients!$AJ$8,Nutrients!$AJ$9)*AG$7)+(((IF($A8=Nutrients!$B$79,Nutrients!$AJ$79,(IF($A8=Nutrients!$B$77,Nutrients!$AJ$77,Nutrients!$AJ$78)))))*AG$8))/2000</f>
        <v>0.93911399895936476</v>
      </c>
      <c r="AH245" s="26">
        <f>(SUMPRODUCT(AH$9:AH$229,Nutrients!$AJ$8:$AJ$228)+(IF($A7=Nutrients!$B$8,Nutrients!$AJ$8,Nutrients!$AJ$9)*AH$7)+(((IF($A8=Nutrients!$B$79,Nutrients!$AJ$79,(IF($A8=Nutrients!$B$77,Nutrients!$AJ$77,Nutrients!$AJ$78)))))*AH$8))/2000</f>
        <v>0.86426542295953235</v>
      </c>
      <c r="AI245" s="26">
        <f>(SUMPRODUCT(AI$9:AI$229,Nutrients!$AJ$8:$AJ$228)+(IF($A7=Nutrients!$B$8,Nutrients!$AJ$8,Nutrients!$AJ$9)*AI$7)+(((IF($A8=Nutrients!$B$79,Nutrients!$AJ$79,(IF($A8=Nutrients!$B$77,Nutrients!$AJ$77,Nutrients!$AJ$78)))))*AI$8))/2000</f>
        <v>0.8234363351854288</v>
      </c>
      <c r="AK245" s="26">
        <f>(SUMPRODUCT(AK$9:AK$229,Nutrients!$AJ$8:$AJ$228)+(IF($A7=Nutrients!$B$8,Nutrients!$AJ$8,Nutrients!$AJ$9)*AK$7)+(((IF($A8=Nutrients!$B$79,Nutrients!$AJ$79,(IF($A8=Nutrients!$B$77,Nutrients!$AJ$77,Nutrients!$AJ$78)))))*AK$8))/2000</f>
        <v>1.3322404294645143</v>
      </c>
      <c r="AL245" s="26">
        <f>(SUMPRODUCT(AL$9:AL$229,Nutrients!$AJ$8:$AJ$228)+(IF($A7=Nutrients!$B$8,Nutrients!$AJ$8,Nutrients!$AJ$9)*AL$7)+(((IF($A8=Nutrients!$B$79,Nutrients!$AJ$79,(IF($A8=Nutrients!$B$77,Nutrients!$AJ$77,Nutrients!$AJ$78)))))*AL$8))/2000</f>
        <v>1.1779324234906483</v>
      </c>
      <c r="AM245" s="26">
        <f>(SUMPRODUCT(AM$9:AM$229,Nutrients!$AJ$8:$AJ$228)+(IF($A7=Nutrients!$B$8,Nutrients!$AJ$8,Nutrients!$AJ$9)*AM$7)+(((IF($A8=Nutrients!$B$79,Nutrients!$AJ$79,(IF($A8=Nutrients!$B$77,Nutrients!$AJ$77,Nutrients!$AJ$78)))))*AM$8))/2000</f>
        <v>1.04826032787552</v>
      </c>
      <c r="AN245" s="26">
        <f>(SUMPRODUCT(AN$9:AN$229,Nutrients!$AJ$8:$AJ$228)+(IF($A7=Nutrients!$B$8,Nutrients!$AJ$8,Nutrients!$AJ$9)*AN$7)+(((IF($A8=Nutrients!$B$79,Nutrients!$AJ$79,(IF($A8=Nutrients!$B$77,Nutrients!$AJ$77,Nutrients!$AJ$78)))))*AN$8))/2000</f>
        <v>0.94028983467727123</v>
      </c>
      <c r="AO245" s="26">
        <f>(SUMPRODUCT(AO$9:AO$229,Nutrients!$AJ$8:$AJ$228)+(IF($A7=Nutrients!$B$8,Nutrients!$AJ$8,Nutrients!$AJ$9)*AO$7)+(((IF($A8=Nutrients!$B$79,Nutrients!$AJ$79,(IF($A8=Nutrients!$B$77,Nutrients!$AJ$77,Nutrients!$AJ$78)))))*AO$8))/2000</f>
        <v>0.86569440636592476</v>
      </c>
      <c r="AP245" s="26">
        <f>(SUMPRODUCT(AP$9:AP$229,Nutrients!$AJ$8:$AJ$228)+(IF($A7=Nutrients!$B$8,Nutrients!$AJ$8,Nutrients!$AJ$9)*AP$7)+(((IF($A8=Nutrients!$B$79,Nutrients!$AJ$79,(IF($A8=Nutrients!$B$77,Nutrients!$AJ$77,Nutrients!$AJ$78)))))*AP$8))/2000</f>
        <v>0.82522386751390364</v>
      </c>
      <c r="AR245" s="26">
        <f>(SUMPRODUCT(AR$9:AR$229,Nutrients!$AJ$8:$AJ$228)+(IF($A7=Nutrients!$B$8,Nutrients!$AJ$8,Nutrients!$AJ$9)*AR$7)+(((IF($A8=Nutrients!$B$79,Nutrients!$AJ$79,(IF($A8=Nutrients!$B$77,Nutrients!$AJ$77,Nutrients!$AJ$78)))))*AR$8))/2000</f>
        <v>1.329642250521726</v>
      </c>
      <c r="AS245" s="26">
        <f>(SUMPRODUCT(AS$9:AS$229,Nutrients!$AJ$8:$AJ$228)+(IF($A7=Nutrients!$B$8,Nutrients!$AJ$8,Nutrients!$AJ$9)*AS$7)+(((IF($A8=Nutrients!$B$79,Nutrients!$AJ$79,(IF($A8=Nutrients!$B$77,Nutrients!$AJ$77,Nutrients!$AJ$78)))))*AS$8))/2000</f>
        <v>1.1776212583200547</v>
      </c>
      <c r="AT245" s="26">
        <f>(SUMPRODUCT(AT$9:AT$229,Nutrients!$AJ$8:$AJ$228)+(IF($A7=Nutrients!$B$8,Nutrients!$AJ$8,Nutrients!$AJ$9)*AT$7)+(((IF($A8=Nutrients!$B$79,Nutrients!$AJ$79,(IF($A8=Nutrients!$B$77,Nutrients!$AJ$77,Nutrients!$AJ$78)))))*AT$8))/2000</f>
        <v>1.0493378935832074</v>
      </c>
      <c r="AU245" s="26">
        <f>(SUMPRODUCT(AU$9:AU$229,Nutrients!$AJ$8:$AJ$228)+(IF($A7=Nutrients!$B$8,Nutrients!$AJ$8,Nutrients!$AJ$9)*AU$7)+(((IF($A8=Nutrients!$B$79,Nutrients!$AJ$79,(IF($A8=Nutrients!$B$77,Nutrients!$AJ$77,Nutrients!$AJ$78)))))*AU$8))/2000</f>
        <v>0.9412254568692292</v>
      </c>
      <c r="AV245" s="26">
        <f>(SUMPRODUCT(AV$9:AV$229,Nutrients!$AJ$8:$AJ$228)+(IF($A7=Nutrients!$B$8,Nutrients!$AJ$8,Nutrients!$AJ$9)*AV$7)+(((IF($A8=Nutrients!$B$79,Nutrients!$AJ$79,(IF($A8=Nutrients!$B$77,Nutrients!$AJ$77,Nutrients!$AJ$78)))))*AV$8))/2000</f>
        <v>0.86713105736562113</v>
      </c>
      <c r="AW245" s="26">
        <f>(SUMPRODUCT(AW$9:AW$229,Nutrients!$AJ$8:$AJ$228)+(IF($A7=Nutrients!$B$8,Nutrients!$AJ$8,Nutrients!$AJ$9)*AW$7)+(((IF($A8=Nutrients!$B$79,Nutrients!$AJ$79,(IF($A8=Nutrients!$B$77,Nutrients!$AJ$77,Nutrients!$AJ$78)))))*AW$8))/2000</f>
        <v>0.82701445169451637</v>
      </c>
    </row>
    <row r="246" spans="1:56" x14ac:dyDescent="0.25">
      <c r="A246" s="3" t="s">
        <v>18</v>
      </c>
      <c r="B246" s="21">
        <f>(SUMPRODUCT(B$9:B$229,Nutrients!$E$8:$E$228)+(IF($A$7=Nutrients!$B$8,Nutrients!$E$8,Nutrients!$E$9)*B$7)+(((IF($A$8=Nutrients!$B$79,Nutrients!$E$79,(IF($A$8=Nutrients!$B$77,Nutrients!$E$77,Nutrients!$E$78)))))*B$8))/2000/2.2046</f>
        <v>1491.8402434475765</v>
      </c>
      <c r="C246" s="21">
        <f>(SUMPRODUCT(C$9:C$229,Nutrients!$E$8:$E$228)+(IF($A$7=Nutrients!$B$8,Nutrients!$E$8,Nutrients!$E$9)*C$7)+(((IF($A$8=Nutrients!$B$79,Nutrients!$E$79,(IF($A$8=Nutrients!$B$77,Nutrients!$E$77,Nutrients!$E$78)))))*C$8))/2000/2.2046</f>
        <v>1497.3394897230346</v>
      </c>
      <c r="D246" s="21">
        <f>(SUMPRODUCT(D$9:D$229,Nutrients!$E$8:$E$228)+(IF($A$7=Nutrients!$B$8,Nutrients!$E$8,Nutrients!$E$9)*D$7)+(((IF($A$8=Nutrients!$B$79,Nutrients!$E$79,(IF($A$8=Nutrients!$B$77,Nutrients!$E$77,Nutrients!$E$78)))))*D$8))/2000/2.2046</f>
        <v>1502.2809065274494</v>
      </c>
      <c r="E246" s="21">
        <f>(SUMPRODUCT(E$9:E$229,Nutrients!$E$8:$E$228)+(IF($A$7=Nutrients!$B$8,Nutrients!$E$8,Nutrients!$E$9)*E$7)+(((IF($A$8=Nutrients!$B$79,Nutrients!$E$79,(IF($A$8=Nutrients!$B$77,Nutrients!$E$77,Nutrients!$E$78)))))*E$8))/2000/2.2046</f>
        <v>1506.6896352343656</v>
      </c>
      <c r="F246" s="21">
        <f>(SUMPRODUCT(F$9:F$229,Nutrients!$E$8:$E$228)+(IF($A$7=Nutrients!$B$8,Nutrients!$E$8,Nutrients!$E$9)*F$7)+(((IF($A$8=Nutrients!$B$79,Nutrients!$E$79,(IF($A$8=Nutrients!$B$77,Nutrients!$E$77,Nutrients!$E$78)))))*F$8))/2000/2.2046</f>
        <v>1510.1029910587361</v>
      </c>
      <c r="G246" s="21">
        <f>(SUMPRODUCT(G$9:G$229,Nutrients!$E$8:$E$228)+(IF($A$7=Nutrients!$B$8,Nutrients!$E$8,Nutrients!$E$9)*G$7)+(((IF($A$8=Nutrients!$B$79,Nutrients!$E$79,(IF($A$8=Nutrients!$B$77,Nutrients!$E$77,Nutrients!$E$78)))))*G$8))/2000/2.2046</f>
        <v>1511.4146927250044</v>
      </c>
      <c r="H246" s="226"/>
      <c r="I246" s="21">
        <f>(SUMPRODUCT(I$9:I$229,Nutrients!$E$8:$E$228)+(IF($A$7=Nutrients!$B$8,Nutrients!$E$8,Nutrients!$E$9)*I$7)+(((IF($A$8=Nutrients!$B$79,Nutrients!$E$79,(IF($A$8=Nutrients!$B$77,Nutrients!$E$77,Nutrients!$E$78)))))*I$8))/2000/2.2046</f>
        <v>1495.2781048529041</v>
      </c>
      <c r="J246" s="21">
        <f>(SUMPRODUCT(J$9:J$229,Nutrients!$E$8:$E$228)+(IF($A$7=Nutrients!$B$8,Nutrients!$E$8,Nutrients!$E$9)*J$7)+(((IF($A$8=Nutrients!$B$79,Nutrients!$E$79,(IF($A$8=Nutrients!$B$77,Nutrients!$E$77,Nutrients!$E$78)))))*J$8))/2000/2.2046</f>
        <v>1500.7206404588412</v>
      </c>
      <c r="K246" s="21">
        <f>(SUMPRODUCT(K$9:K$229,Nutrients!$E$8:$E$228)+(IF($A$7=Nutrients!$B$8,Nutrients!$E$8,Nutrients!$E$9)*K$7)+(((IF($A$8=Nutrients!$B$79,Nutrients!$E$79,(IF($A$8=Nutrients!$B$77,Nutrients!$E$77,Nutrients!$E$78)))))*K$8))/2000/2.2046</f>
        <v>1505.6334623555911</v>
      </c>
      <c r="L246" s="21">
        <f>(SUMPRODUCT(L$9:L$229,Nutrients!$E$8:$E$228)+(IF($A$7=Nutrients!$B$8,Nutrients!$E$8,Nutrients!$E$9)*L$7)+(((IF($A$8=Nutrients!$B$79,Nutrients!$E$79,(IF($A$8=Nutrients!$B$77,Nutrients!$E$77,Nutrients!$E$78)))))*L$8))/2000/2.2046</f>
        <v>1510.3490479198617</v>
      </c>
      <c r="M246" s="21">
        <f>(SUMPRODUCT(M$9:M$229,Nutrients!$E$8:$E$228)+(IF($A$7=Nutrients!$B$8,Nutrients!$E$8,Nutrients!$E$9)*M$7)+(((IF($A$8=Nutrients!$B$79,Nutrients!$E$79,(IF($A$8=Nutrients!$B$77,Nutrients!$E$77,Nutrients!$E$78)))))*M$8))/2000/2.2046</f>
        <v>1513.6602731478024</v>
      </c>
      <c r="N246" s="21">
        <f>(SUMPRODUCT(N$9:N$229,Nutrients!$E$8:$E$228)+(IF($A$7=Nutrients!$B$8,Nutrients!$E$8,Nutrients!$E$9)*N$7)+(((IF($A$8=Nutrients!$B$79,Nutrients!$E$79,(IF($A$8=Nutrients!$B$77,Nutrients!$E$77,Nutrients!$E$78)))))*N$8))/2000/2.2046</f>
        <v>1515.0601244584948</v>
      </c>
      <c r="O246" s="234"/>
      <c r="P246" s="21">
        <f>(SUMPRODUCT(P$9:P$229,Nutrients!$E$8:$E$228)+(IF($A$7=Nutrients!$B$8,Nutrients!$E$8,Nutrients!$E$9)*P$7)+(((IF($A$8=Nutrients!$B$79,Nutrients!$E$79,(IF($A$8=Nutrients!$B$77,Nutrients!$E$77,Nutrients!$E$78)))))*P$8))/2000/2.2046</f>
        <v>1498.6522276269789</v>
      </c>
      <c r="Q246" s="21">
        <f>(SUMPRODUCT(Q$9:Q$229,Nutrients!$E$8:$E$228)+(IF($A$7=Nutrients!$B$8,Nutrients!$E$8,Nutrients!$E$9)*Q$7)+(((IF($A$8=Nutrients!$B$79,Nutrients!$E$79,(IF($A$8=Nutrients!$B$77,Nutrients!$E$77,Nutrients!$E$78)))))*Q$8))/2000/2.2046</f>
        <v>1504.085908129065</v>
      </c>
      <c r="R246" s="21">
        <f>(SUMPRODUCT(R$9:R$229,Nutrients!$E$8:$E$228)+(IF($A$7=Nutrients!$B$8,Nutrients!$E$8,Nutrients!$E$9)*R$7)+(((IF($A$8=Nutrients!$B$79,Nutrients!$E$79,(IF($A$8=Nutrients!$B$77,Nutrients!$E$77,Nutrients!$E$78)))))*R$8))/2000/2.2046</f>
        <v>1508.9672909019328</v>
      </c>
      <c r="S246" s="21">
        <f>(SUMPRODUCT(S$9:S$229,Nutrients!$E$8:$E$228)+(IF($A$7=Nutrients!$B$8,Nutrients!$E$8,Nutrients!$E$9)*S$7)+(((IF($A$8=Nutrients!$B$79,Nutrients!$E$79,(IF($A$8=Nutrients!$B$77,Nutrients!$E$77,Nutrients!$E$78)))))*S$8))/2000/2.2046</f>
        <v>1513.6921015594869</v>
      </c>
      <c r="T246" s="21">
        <f>(SUMPRODUCT(T$9:T$229,Nutrients!$E$8:$E$228)+(IF($A$7=Nutrients!$B$8,Nutrients!$E$8,Nutrients!$E$9)*T$7)+(((IF($A$8=Nutrients!$B$79,Nutrients!$E$79,(IF($A$8=Nutrients!$B$77,Nutrients!$E$77,Nutrients!$E$78)))))*T$8))/2000/2.2046</f>
        <v>1517.0642458490586</v>
      </c>
      <c r="U246" s="21">
        <f>(SUMPRODUCT(U$9:U$229,Nutrients!$E$8:$E$228)+(IF($A$7=Nutrients!$B$8,Nutrients!$E$8,Nutrients!$E$9)*U$7)+(((IF($A$8=Nutrients!$B$79,Nutrients!$E$79,(IF($A$8=Nutrients!$B$77,Nutrients!$E$77,Nutrients!$E$78)))))*U$8))/2000/2.2046</f>
        <v>1518.4793332984934</v>
      </c>
      <c r="W246" s="21">
        <f>(SUMPRODUCT(W$9:W$229,Nutrients!$E$8:$E$228)+(IF($A$7=Nutrients!$B$8,Nutrients!$E$8,Nutrients!$E$9)*W$7)+(((IF($A$8=Nutrients!$B$79,Nutrients!$E$79,(IF($A$8=Nutrients!$B$77,Nutrients!$E$77,Nutrients!$E$78)))))*W$8))/2000/2.2046</f>
        <v>1502.0516798715139</v>
      </c>
      <c r="X246" s="21">
        <f>(SUMPRODUCT(X$9:X$229,Nutrients!$E$8:$E$228)+(IF($A$7=Nutrients!$B$8,Nutrients!$E$8,Nutrients!$E$9)*X$7)+(((IF($A$8=Nutrients!$B$79,Nutrients!$E$79,(IF($A$8=Nutrients!$B$77,Nutrients!$E$77,Nutrients!$E$78)))))*X$8))/2000/2.2046</f>
        <v>1507.4687579662173</v>
      </c>
      <c r="Y246" s="21">
        <f>(SUMPRODUCT(Y$9:Y$229,Nutrients!$E$8:$E$228)+(IF($A$7=Nutrients!$B$8,Nutrients!$E$8,Nutrients!$E$9)*Y$7)+(((IF($A$8=Nutrients!$B$79,Nutrients!$E$79,(IF($A$8=Nutrients!$B$77,Nutrients!$E$77,Nutrients!$E$78)))))*Y$8))/2000/2.2046</f>
        <v>1512.3626488822301</v>
      </c>
      <c r="Z246" s="21">
        <f>(SUMPRODUCT(Z$9:Z$229,Nutrients!$E$8:$E$228)+(IF($A$7=Nutrients!$B$8,Nutrients!$E$8,Nutrients!$E$9)*Z$7)+(((IF($A$8=Nutrients!$B$79,Nutrients!$E$79,(IF($A$8=Nutrients!$B$77,Nutrients!$E$77,Nutrients!$E$78)))))*Z$8))/2000/2.2046</f>
        <v>1517.0846737515897</v>
      </c>
      <c r="AA246" s="21">
        <f>(SUMPRODUCT(AA$9:AA$229,Nutrients!$E$8:$E$228)+(IF($A$7=Nutrients!$B$8,Nutrients!$E$8,Nutrients!$E$9)*AA$7)+(((IF($A$8=Nutrients!$B$79,Nutrients!$E$79,(IF($A$8=Nutrients!$B$77,Nutrients!$E$77,Nutrients!$E$78)))))*AA$8))/2000/2.2046</f>
        <v>1520.518971093664</v>
      </c>
      <c r="AB246" s="21">
        <f>(SUMPRODUCT(AB$9:AB$229,Nutrients!$E$8:$E$228)+(IF($A$7=Nutrients!$B$8,Nutrients!$E$8,Nutrients!$E$9)*AB$7)+(((IF($A$8=Nutrients!$B$79,Nutrients!$E$79,(IF($A$8=Nutrients!$B$77,Nutrients!$E$77,Nutrients!$E$78)))))*AB$8))/2000/2.2046</f>
        <v>1521.6052545331161</v>
      </c>
      <c r="AD246" s="21">
        <f>(SUMPRODUCT(AD$9:AD$229,Nutrients!$E$8:$E$228)+(IF($A$7=Nutrients!$B$8,Nutrients!$E$8,Nutrients!$E$9)*AD$7)+(((IF($A$8=Nutrients!$B$79,Nutrients!$E$79,(IF($A$8=Nutrients!$B$77,Nutrients!$E$77,Nutrients!$E$78)))))*AD$8))/2000/2.2046</f>
        <v>1505.4379363536875</v>
      </c>
      <c r="AE246" s="21">
        <f>(SUMPRODUCT(AE$9:AE$229,Nutrients!$E$8:$E$228)+(IF($A$7=Nutrients!$B$8,Nutrients!$E$8,Nutrients!$E$9)*AE$7)+(((IF($A$8=Nutrients!$B$79,Nutrients!$E$79,(IF($A$8=Nutrients!$B$77,Nutrients!$E$77,Nutrients!$E$78)))))*AE$8))/2000/2.2046</f>
        <v>1510.8603334029074</v>
      </c>
      <c r="AF246" s="21">
        <f>(SUMPRODUCT(AF$9:AF$229,Nutrients!$E$8:$E$228)+(IF($A$7=Nutrients!$B$8,Nutrients!$E$8,Nutrients!$E$9)*AF$7)+(((IF($A$8=Nutrients!$B$79,Nutrients!$E$79,(IF($A$8=Nutrients!$B$77,Nutrients!$E$77,Nutrients!$E$78)))))*AF$8))/2000/2.2046</f>
        <v>1515.7191861337612</v>
      </c>
      <c r="AG246" s="21">
        <f>(SUMPRODUCT(AG$9:AG$229,Nutrients!$E$8:$E$228)+(IF($A$7=Nutrients!$B$8,Nutrients!$E$8,Nutrients!$E$9)*AG$7)+(((IF($A$8=Nutrients!$B$79,Nutrients!$E$79,(IF($A$8=Nutrients!$B$77,Nutrients!$E$77,Nutrients!$E$78)))))*AG$8))/2000/2.2046</f>
        <v>1520.5261055090778</v>
      </c>
      <c r="AH246" s="21">
        <f>(SUMPRODUCT(AH$9:AH$229,Nutrients!$E$8:$E$228)+(IF($A$7=Nutrients!$B$8,Nutrients!$E$8,Nutrients!$E$9)*AH$7)+(((IF($A$8=Nutrients!$B$79,Nutrients!$E$79,(IF($A$8=Nutrients!$B$77,Nutrients!$E$77,Nutrients!$E$78)))))*AH$8))/2000/2.2046</f>
        <v>1523.0796667784584</v>
      </c>
      <c r="AI246" s="21">
        <f>(SUMPRODUCT(AI$9:AI$229,Nutrients!$E$8:$E$228)+(IF($A$7=Nutrients!$B$8,Nutrients!$E$8,Nutrients!$E$9)*AI$7)+(((IF($A$8=Nutrients!$B$79,Nutrients!$E$79,(IF($A$8=Nutrients!$B$77,Nutrients!$E$77,Nutrients!$E$78)))))*AI$8))/2000/2.2046</f>
        <v>1523.7309029723206</v>
      </c>
      <c r="AK246" s="21">
        <f>(SUMPRODUCT(AK$9:AK$229,Nutrients!$E$8:$E$228)+(IF($A$7=Nutrients!$B$8,Nutrients!$E$8,Nutrients!$E$9)*AK$7)+(((IF($A$8=Nutrients!$B$79,Nutrients!$E$79,(IF($A$8=Nutrients!$B$77,Nutrients!$E$77,Nutrients!$E$78)))))*AK$8))/2000/2.2046</f>
        <v>1508.7205039881487</v>
      </c>
      <c r="AL246" s="21">
        <f>(SUMPRODUCT(AL$9:AL$229,Nutrients!$E$8:$E$228)+(IF($A$7=Nutrients!$B$8,Nutrients!$E$8,Nutrients!$E$9)*AL$7)+(((IF($A$8=Nutrients!$B$79,Nutrients!$E$79,(IF($A$8=Nutrients!$B$77,Nutrients!$E$77,Nutrients!$E$78)))))*AL$8))/2000/2.2046</f>
        <v>1514.2610195318475</v>
      </c>
      <c r="AM246" s="21">
        <f>(SUMPRODUCT(AM$9:AM$229,Nutrients!$E$8:$E$228)+(IF($A$7=Nutrients!$B$8,Nutrients!$E$8,Nutrients!$E$9)*AM$7)+(((IF($A$8=Nutrients!$B$79,Nutrients!$E$79,(IF($A$8=Nutrients!$B$77,Nutrients!$E$77,Nutrients!$E$78)))))*AM$8))/2000/2.2046</f>
        <v>1519.1983937446416</v>
      </c>
      <c r="AN246" s="21">
        <f>(SUMPRODUCT(AN$9:AN$229,Nutrients!$E$8:$E$228)+(IF($A$7=Nutrients!$B$8,Nutrients!$E$8,Nutrients!$E$9)*AN$7)+(((IF($A$8=Nutrients!$B$79,Nutrients!$E$79,(IF($A$8=Nutrients!$B$77,Nutrients!$E$77,Nutrients!$E$78)))))*AN$8))/2000/2.2046</f>
        <v>1523.3077710877762</v>
      </c>
      <c r="AO246" s="21">
        <f>(SUMPRODUCT(AO$9:AO$229,Nutrients!$E$8:$E$228)+(IF($A$7=Nutrients!$B$8,Nutrients!$E$8,Nutrients!$E$9)*AO$7)+(((IF($A$8=Nutrients!$B$79,Nutrients!$E$79,(IF($A$8=Nutrients!$B$77,Nutrients!$E$77,Nutrients!$E$78)))))*AO$8))/2000/2.2046</f>
        <v>1525.217862280984</v>
      </c>
      <c r="AP246" s="21">
        <f>(SUMPRODUCT(AP$9:AP$229,Nutrients!$E$8:$E$228)+(IF($A$7=Nutrients!$B$8,Nutrients!$E$8,Nutrients!$E$9)*AP$7)+(((IF($A$8=Nutrients!$B$79,Nutrients!$E$79,(IF($A$8=Nutrients!$B$77,Nutrients!$E$77,Nutrients!$E$78)))))*AP$8))/2000/2.2046</f>
        <v>1525.8623246360632</v>
      </c>
      <c r="AR246" s="21">
        <f>(SUMPRODUCT(AR$9:AR$229,Nutrients!$E$8:$E$228)+(IF($A$7=Nutrients!$B$8,Nutrients!$E$8,Nutrients!$E$9)*AR$7)+(((IF($A$8=Nutrients!$B$79,Nutrients!$E$79,(IF($A$8=Nutrients!$B$77,Nutrients!$E$77,Nutrients!$E$78)))))*AR$8))/2000/2.2046</f>
        <v>1512.1564715988029</v>
      </c>
      <c r="AS246" s="21">
        <f>(SUMPRODUCT(AS$9:AS$229,Nutrients!$E$8:$E$228)+(IF($A$7=Nutrients!$B$8,Nutrients!$E$8,Nutrients!$E$9)*AS$7)+(((IF($A$8=Nutrients!$B$79,Nutrients!$E$79,(IF($A$8=Nutrients!$B$77,Nutrients!$E$77,Nutrients!$E$78)))))*AS$8))/2000/2.2046</f>
        <v>1517.6463891175788</v>
      </c>
      <c r="AT246" s="21">
        <f>(SUMPRODUCT(AT$9:AT$229,Nutrients!$E$8:$E$228)+(IF($A$7=Nutrients!$B$8,Nutrients!$E$8,Nutrients!$E$9)*AT$7)+(((IF($A$8=Nutrients!$B$79,Nutrients!$E$79,(IF($A$8=Nutrients!$B$77,Nutrients!$E$77,Nutrients!$E$78)))))*AT$8))/2000/2.2046</f>
        <v>1522.6528134877396</v>
      </c>
      <c r="AU246" s="21">
        <f>(SUMPRODUCT(AU$9:AU$229,Nutrients!$E$8:$E$228)+(IF($A$7=Nutrients!$B$8,Nutrients!$E$8,Nutrients!$E$9)*AU$7)+(((IF($A$8=Nutrients!$B$79,Nutrients!$E$79,(IF($A$8=Nutrients!$B$77,Nutrients!$E$77,Nutrients!$E$78)))))*AU$8))/2000/2.2046</f>
        <v>1525.4458487239158</v>
      </c>
      <c r="AV246" s="21">
        <f>(SUMPRODUCT(AV$9:AV$229,Nutrients!$E$8:$E$228)+(IF($A$7=Nutrients!$B$8,Nutrients!$E$8,Nutrients!$E$9)*AV$7)+(((IF($A$8=Nutrients!$B$79,Nutrients!$E$79,(IF($A$8=Nutrients!$B$77,Nutrients!$E$77,Nutrients!$E$78)))))*AV$8))/2000/2.2046</f>
        <v>1527.3505289827599</v>
      </c>
      <c r="AW246" s="21">
        <f>(SUMPRODUCT(AW$9:AW$229,Nutrients!$E$8:$E$228)+(IF($A$7=Nutrients!$B$8,Nutrients!$E$8,Nutrients!$E$9)*AW$7)+(((IF($A$8=Nutrients!$B$79,Nutrients!$E$79,(IF($A$8=Nutrients!$B$77,Nutrients!$E$77,Nutrients!$E$78)))))*AW$8))/2000/2.2046</f>
        <v>1527.9880596093035</v>
      </c>
    </row>
    <row r="247" spans="1:56" x14ac:dyDescent="0.25">
      <c r="A247" s="5" t="s">
        <v>32</v>
      </c>
      <c r="B247" s="21">
        <f>(SUMPRODUCT(B$9:B$229,Nutrients!$DY$8:$DY$228)+(IF($A$7=Nutrients!$B$8,Nutrients!$DY$8,Nutrients!$DY$9)*B$7)+(((IF($A$8=Nutrients!$B$79,Nutrients!$DY$79,(IF($A$8=Nutrients!$B$77,Nutrients!$DY$77,Nutrients!$DY$78)))))*B$8))/2000/2.2046</f>
        <v>1084.249548676868</v>
      </c>
      <c r="C247" s="21">
        <f>(SUMPRODUCT(C$9:C$229,Nutrients!$DY$8:$DY$228)+(IF($A$7=Nutrients!$B$8,Nutrients!$DY$8,Nutrients!$DY$9)*C$7)+(((IF($A$8=Nutrients!$B$79,Nutrients!$DY$79,(IF($A$8=Nutrients!$B$77,Nutrients!$DY$77,Nutrients!$DY$78)))))*C$8))/2000/2.2046</f>
        <v>1102.8575690313603</v>
      </c>
      <c r="D247" s="21">
        <f>(SUMPRODUCT(D$9:D$229,Nutrients!$DY$8:$DY$228)+(IF($A$7=Nutrients!$B$8,Nutrients!$DY$8,Nutrients!$DY$9)*D$7)+(((IF($A$8=Nutrients!$B$79,Nutrients!$DY$79,(IF($A$8=Nutrients!$B$77,Nutrients!$DY$77,Nutrients!$DY$78)))))*D$8))/2000/2.2046</f>
        <v>1119.0569124625506</v>
      </c>
      <c r="E247" s="21">
        <f>(SUMPRODUCT(E$9:E$229,Nutrients!$DY$8:$DY$228)+(IF($A$7=Nutrients!$B$8,Nutrients!$DY$8,Nutrients!$DY$9)*E$7)+(((IF($A$8=Nutrients!$B$79,Nutrients!$DY$79,(IF($A$8=Nutrients!$B$77,Nutrients!$DY$77,Nutrients!$DY$78)))))*E$8))/2000/2.2046</f>
        <v>1132.8948287435808</v>
      </c>
      <c r="F247" s="21">
        <f>(SUMPRODUCT(F$9:F$229,Nutrients!$DY$8:$DY$228)+(IF($A$7=Nutrients!$B$8,Nutrients!$DY$8,Nutrients!$DY$9)*F$7)+(((IF($A$8=Nutrients!$B$79,Nutrients!$DY$79,(IF($A$8=Nutrients!$B$77,Nutrients!$DY$77,Nutrients!$DY$78)))))*F$8))/2000/2.2046</f>
        <v>1142.4960914643329</v>
      </c>
      <c r="G247" s="21">
        <f>(SUMPRODUCT(G$9:G$229,Nutrients!$DY$8:$DY$228)+(IF($A$7=Nutrients!$B$8,Nutrients!$DY$8,Nutrients!$DY$9)*G$7)+(((IF($A$8=Nutrients!$B$79,Nutrients!$DY$79,(IF($A$8=Nutrients!$B$77,Nutrients!$DY$77,Nutrients!$DY$78)))))*G$8))/2000/2.2046</f>
        <v>1147.04091606665</v>
      </c>
      <c r="H247" s="226"/>
      <c r="I247" s="21">
        <f>(SUMPRODUCT(I$9:I$229,Nutrients!$DY$8:$DY$228)+(IF($A$7=Nutrients!$B$8,Nutrients!$DY$8,Nutrients!$DY$9)*I$7)+(((IF($A$8=Nutrients!$B$79,Nutrients!$DY$79,(IF($A$8=Nutrients!$B$77,Nutrients!$DY$77,Nutrients!$DY$78)))))*I$8))/2000/2.2046</f>
        <v>1030.3054724813126</v>
      </c>
      <c r="J247" s="21">
        <f>(SUMPRODUCT(J$9:J$229,Nutrients!$DY$8:$DY$228)+(IF($A$7=Nutrients!$B$8,Nutrients!$DY$8,Nutrients!$DY$9)*J$7)+(((IF($A$8=Nutrients!$B$79,Nutrients!$DY$79,(IF($A$8=Nutrients!$B$77,Nutrients!$DY$77,Nutrients!$DY$78)))))*J$8))/2000/2.2046</f>
        <v>1048.7145298724788</v>
      </c>
      <c r="K247" s="21">
        <f>(SUMPRODUCT(K$9:K$229,Nutrients!$DY$8:$DY$228)+(IF($A$7=Nutrients!$B$8,Nutrients!$DY$8,Nutrients!$DY$9)*K$7)+(((IF($A$8=Nutrients!$B$79,Nutrients!$DY$79,(IF($A$8=Nutrients!$B$77,Nutrients!$DY$77,Nutrients!$DY$78)))))*K$8))/2000/2.2046</f>
        <v>1064.7642109414696</v>
      </c>
      <c r="L247" s="21">
        <f>(SUMPRODUCT(L$9:L$229,Nutrients!$DY$8:$DY$228)+(IF($A$7=Nutrients!$B$8,Nutrients!$DY$8,Nutrients!$DY$9)*L$7)+(((IF($A$8=Nutrients!$B$79,Nutrients!$DY$79,(IF($A$8=Nutrients!$B$77,Nutrients!$DY$77,Nutrients!$DY$78)))))*L$8))/2000/2.2046</f>
        <v>1078.7614320762229</v>
      </c>
      <c r="M247" s="21">
        <f>(SUMPRODUCT(M$9:M$229,Nutrients!$DY$8:$DY$228)+(IF($A$7=Nutrients!$B$8,Nutrients!$DY$8,Nutrients!$DY$9)*M$7)+(((IF($A$8=Nutrients!$B$79,Nutrients!$DY$79,(IF($A$8=Nutrients!$B$77,Nutrients!$DY$77,Nutrients!$DY$78)))))*M$8))/2000/2.2046</f>
        <v>1088.2876932598908</v>
      </c>
      <c r="N247" s="21">
        <f>(SUMPRODUCT(N$9:N$229,Nutrients!$DY$8:$DY$228)+(IF($A$7=Nutrients!$B$8,Nutrients!$DY$8,Nutrients!$DY$9)*N$7)+(((IF($A$8=Nutrients!$B$79,Nutrients!$DY$79,(IF($A$8=Nutrients!$B$77,Nutrients!$DY$77,Nutrients!$DY$78)))))*N$8))/2000/2.2046</f>
        <v>1092.8596734095995</v>
      </c>
      <c r="O247" s="234"/>
      <c r="P247" s="21">
        <f>(SUMPRODUCT(P$9:P$229,Nutrients!$DY$8:$DY$228)+(IF($A$7=Nutrients!$B$8,Nutrients!$DY$8,Nutrients!$DY$9)*P$7)+(((IF($A$8=Nutrients!$B$79,Nutrients!$DY$79,(IF($A$8=Nutrients!$B$77,Nutrients!$DY$77,Nutrients!$DY$78)))))*P$8))/2000/2.2046</f>
        <v>976.11206043749053</v>
      </c>
      <c r="Q247" s="21">
        <f>(SUMPRODUCT(Q$9:Q$229,Nutrients!$DY$8:$DY$228)+(IF($A$7=Nutrients!$B$8,Nutrients!$DY$8,Nutrients!$DY$9)*Q$7)+(((IF($A$8=Nutrients!$B$79,Nutrients!$DY$79,(IF($A$8=Nutrients!$B$77,Nutrients!$DY$77,Nutrients!$DY$78)))))*Q$8))/2000/2.2046</f>
        <v>994.42057390554351</v>
      </c>
      <c r="R247" s="21">
        <f>(SUMPRODUCT(R$9:R$229,Nutrients!$DY$8:$DY$228)+(IF($A$7=Nutrients!$B$8,Nutrients!$DY$8,Nutrients!$DY$9)*R$7)+(((IF($A$8=Nutrients!$B$79,Nutrients!$DY$79,(IF($A$8=Nutrients!$B$77,Nutrients!$DY$77,Nutrients!$DY$78)))))*R$8))/2000/2.2046</f>
        <v>1010.3462226330507</v>
      </c>
      <c r="S247" s="21">
        <f>(SUMPRODUCT(S$9:S$229,Nutrients!$DY$8:$DY$228)+(IF($A$7=Nutrients!$B$8,Nutrients!$DY$8,Nutrients!$DY$9)*S$7)+(((IF($A$8=Nutrients!$B$79,Nutrients!$DY$79,(IF($A$8=Nutrients!$B$77,Nutrients!$DY$77,Nutrients!$DY$78)))))*S$8))/2000/2.2046</f>
        <v>1024.397073197247</v>
      </c>
      <c r="T247" s="21">
        <f>(SUMPRODUCT(T$9:T$229,Nutrients!$DY$8:$DY$228)+(IF($A$7=Nutrients!$B$8,Nutrients!$DY$8,Nutrients!$DY$9)*T$7)+(((IF($A$8=Nutrients!$B$79,Nutrients!$DY$79,(IF($A$8=Nutrients!$B$77,Nutrients!$DY$77,Nutrients!$DY$78)))))*T$8))/2000/2.2046</f>
        <v>1033.8856659994985</v>
      </c>
      <c r="U247" s="21">
        <f>(SUMPRODUCT(U$9:U$229,Nutrients!$DY$8:$DY$228)+(IF($A$7=Nutrients!$B$8,Nutrients!$DY$8,Nutrients!$DY$9)*U$7)+(((IF($A$8=Nutrients!$B$79,Nutrients!$DY$79,(IF($A$8=Nutrients!$B$77,Nutrients!$DY$77,Nutrients!$DY$78)))))*U$8))/2000/2.2046</f>
        <v>1038.4355204294952</v>
      </c>
      <c r="W247" s="21">
        <f>(SUMPRODUCT(W$9:W$229,Nutrients!$DY$8:$DY$228)+(IF($A$7=Nutrients!$B$8,Nutrients!$DY$8,Nutrients!$DY$9)*W$7)+(((IF($A$8=Nutrients!$B$79,Nutrients!$DY$79,(IF($A$8=Nutrients!$B$77,Nutrients!$DY$77,Nutrients!$DY$78)))))*W$8))/2000/2.2046</f>
        <v>921.93884305985682</v>
      </c>
      <c r="X247" s="21">
        <f>(SUMPRODUCT(X$9:X$229,Nutrients!$DY$8:$DY$228)+(IF($A$7=Nutrients!$B$8,Nutrients!$DY$8,Nutrients!$DY$9)*X$7)+(((IF($A$8=Nutrients!$B$79,Nutrients!$DY$79,(IF($A$8=Nutrients!$B$77,Nutrients!$DY$77,Nutrients!$DY$78)))))*X$8))/2000/2.2046</f>
        <v>940.1405093516845</v>
      </c>
      <c r="Y247" s="21">
        <f>(SUMPRODUCT(Y$9:Y$229,Nutrients!$DY$8:$DY$228)+(IF($A$7=Nutrients!$B$8,Nutrients!$DY$8,Nutrients!$DY$9)*Y$7)+(((IF($A$8=Nutrients!$B$79,Nutrients!$DY$79,(IF($A$8=Nutrients!$B$77,Nutrients!$DY$77,Nutrients!$DY$78)))))*Y$8))/2000/2.2046</f>
        <v>956.12064653787843</v>
      </c>
      <c r="Z247" s="21">
        <f>(SUMPRODUCT(Z$9:Z$229,Nutrients!$DY$8:$DY$228)+(IF($A$7=Nutrients!$B$8,Nutrients!$DY$8,Nutrients!$DY$9)*Z$7)+(((IF($A$8=Nutrients!$B$79,Nutrients!$DY$79,(IF($A$8=Nutrients!$B$77,Nutrients!$DY$77,Nutrients!$DY$78)))))*Z$8))/2000/2.2046</f>
        <v>970.03366485522986</v>
      </c>
      <c r="AA247" s="21">
        <f>(SUMPRODUCT(AA$9:AA$229,Nutrients!$DY$8:$DY$228)+(IF($A$7=Nutrients!$B$8,Nutrients!$DY$8,Nutrients!$DY$9)*AA$7)+(((IF($A$8=Nutrients!$B$79,Nutrients!$DY$79,(IF($A$8=Nutrients!$B$77,Nutrients!$DY$77,Nutrients!$DY$78)))))*AA$8))/2000/2.2046</f>
        <v>979.51295555637921</v>
      </c>
      <c r="AB247" s="21">
        <f>(SUMPRODUCT(AB$9:AB$229,Nutrients!$DY$8:$DY$228)+(IF($A$7=Nutrients!$B$8,Nutrients!$DY$8,Nutrients!$DY$9)*AB$7)+(((IF($A$8=Nutrients!$B$79,Nutrients!$DY$79,(IF($A$8=Nutrients!$B$77,Nutrients!$DY$77,Nutrients!$DY$78)))))*AB$8))/2000/2.2046</f>
        <v>983.79483408154363</v>
      </c>
      <c r="AD247" s="21">
        <f>(SUMPRODUCT(AD$9:AD$229,Nutrients!$DY$8:$DY$228)+(IF($A$7=Nutrients!$B$8,Nutrients!$DY$8,Nutrients!$DY$9)*AD$7)+(((IF($A$8=Nutrients!$B$79,Nutrients!$DY$79,(IF($A$8=Nutrients!$B$77,Nutrients!$DY$77,Nutrients!$DY$78)))))*AD$8))/2000/2.2046</f>
        <v>867.76645290980991</v>
      </c>
      <c r="AE247" s="21">
        <f>(SUMPRODUCT(AE$9:AE$229,Nutrients!$DY$8:$DY$228)+(IF($A$7=Nutrients!$B$8,Nutrients!$DY$8,Nutrients!$DY$9)*AE$7)+(((IF($A$8=Nutrients!$B$79,Nutrients!$DY$79,(IF($A$8=Nutrients!$B$77,Nutrients!$DY$77,Nutrients!$DY$78)))))*AE$8))/2000/2.2046</f>
        <v>886.00879686904716</v>
      </c>
      <c r="AF247" s="21">
        <f>(SUMPRODUCT(AF$9:AF$229,Nutrients!$DY$8:$DY$228)+(IF($A$7=Nutrients!$B$8,Nutrients!$DY$8,Nutrients!$DY$9)*AF$7)+(((IF($A$8=Nutrients!$B$79,Nutrients!$DY$79,(IF($A$8=Nutrients!$B$77,Nutrients!$DY$77,Nutrients!$DY$78)))))*AF$8))/2000/2.2046</f>
        <v>901.83090082522074</v>
      </c>
      <c r="AG247" s="21">
        <f>(SUMPRODUCT(AG$9:AG$229,Nutrients!$DY$8:$DY$228)+(IF($A$7=Nutrients!$B$8,Nutrients!$DY$8,Nutrients!$DY$9)*AG$7)+(((IF($A$8=Nutrients!$B$79,Nutrients!$DY$79,(IF($A$8=Nutrients!$B$77,Nutrients!$DY$77,Nutrients!$DY$78)))))*AG$8))/2000/2.2046</f>
        <v>915.70713070196064</v>
      </c>
      <c r="AH247" s="21">
        <f>(SUMPRODUCT(AH$9:AH$229,Nutrients!$DY$8:$DY$228)+(IF($A$7=Nutrients!$B$8,Nutrients!$DY$8,Nutrients!$DY$9)*AH$7)+(((IF($A$8=Nutrients!$B$79,Nutrients!$DY$79,(IF($A$8=Nutrients!$B$77,Nutrients!$DY$77,Nutrients!$DY$78)))))*AH$8))/2000/2.2046</f>
        <v>924.48601407361025</v>
      </c>
      <c r="AI247" s="21">
        <f>(SUMPRODUCT(AI$9:AI$229,Nutrients!$DY$8:$DY$228)+(IF($A$7=Nutrients!$B$8,Nutrients!$DY$8,Nutrients!$DY$9)*AI$7)+(((IF($A$8=Nutrients!$B$79,Nutrients!$DY$79,(IF($A$8=Nutrients!$B$77,Nutrients!$DY$77,Nutrients!$DY$78)))))*AI$8))/2000/2.2046</f>
        <v>928.4068468935227</v>
      </c>
      <c r="AK247" s="21">
        <f>(SUMPRODUCT(AK$9:AK$229,Nutrients!$DY$8:$DY$228)+(IF($A$7=Nutrients!$B$8,Nutrients!$DY$8,Nutrients!$DY$9)*AK$7)+(((IF($A$8=Nutrients!$B$79,Nutrients!$DY$79,(IF($A$8=Nutrients!$B$77,Nutrients!$DY$77,Nutrients!$DY$78)))))*AK$8))/2000/2.2046</f>
        <v>812.94689712794843</v>
      </c>
      <c r="AL247" s="21">
        <f>(SUMPRODUCT(AL$9:AL$229,Nutrients!$DY$8:$DY$228)+(IF($A$7=Nutrients!$B$8,Nutrients!$DY$8,Nutrients!$DY$9)*AL$7)+(((IF($A$8=Nutrients!$B$79,Nutrients!$DY$79,(IF($A$8=Nutrients!$B$77,Nutrients!$DY$77,Nutrients!$DY$78)))))*AL$8))/2000/2.2046</f>
        <v>831.84352033164794</v>
      </c>
      <c r="AM247" s="21">
        <f>(SUMPRODUCT(AM$9:AM$229,Nutrients!$DY$8:$DY$228)+(IF($A$7=Nutrients!$B$8,Nutrients!$DY$8,Nutrients!$DY$9)*AM$7)+(((IF($A$8=Nutrients!$B$79,Nutrients!$DY$79,(IF($A$8=Nutrients!$B$77,Nutrients!$DY$77,Nutrients!$DY$78)))))*AM$8))/2000/2.2046</f>
        <v>847.61575016506151</v>
      </c>
      <c r="AN247" s="21">
        <f>(SUMPRODUCT(AN$9:AN$229,Nutrients!$DY$8:$DY$228)+(IF($A$7=Nutrients!$B$8,Nutrients!$DY$8,Nutrients!$DY$9)*AN$7)+(((IF($A$8=Nutrients!$B$79,Nutrients!$DY$79,(IF($A$8=Nutrients!$B$77,Nutrients!$DY$77,Nutrients!$DY$78)))))*AN$8))/2000/2.2046</f>
        <v>860.90027670761856</v>
      </c>
      <c r="AO247" s="21">
        <f>(SUMPRODUCT(AO$9:AO$229,Nutrients!$DY$8:$DY$228)+(IF($A$7=Nutrients!$B$8,Nutrients!$DY$8,Nutrients!$DY$9)*AO$7)+(((IF($A$8=Nutrients!$B$79,Nutrients!$DY$79,(IF($A$8=Nutrients!$B$77,Nutrients!$DY$77,Nutrients!$DY$78)))))*AO$8))/2000/2.2046</f>
        <v>869.14243153068207</v>
      </c>
      <c r="AP247" s="21">
        <f>(SUMPRODUCT(AP$9:AP$229,Nutrients!$DY$8:$DY$228)+(IF($A$7=Nutrients!$B$8,Nutrients!$DY$8,Nutrients!$DY$9)*AP$7)+(((IF($A$8=Nutrients!$B$79,Nutrients!$DY$79,(IF($A$8=Nutrients!$B$77,Nutrients!$DY$77,Nutrients!$DY$78)))))*AP$8))/2000/2.2046</f>
        <v>873.02368838954681</v>
      </c>
      <c r="AR247" s="21">
        <f>(SUMPRODUCT(AR$9:AR$229,Nutrients!$DY$8:$DY$228)+(IF($A$7=Nutrients!$B$8,Nutrients!$DY$8,Nutrients!$DY$9)*AR$7)+(((IF($A$8=Nutrients!$B$79,Nutrients!$DY$79,(IF($A$8=Nutrients!$B$77,Nutrients!$DY$77,Nutrients!$DY$78)))))*AR$8))/2000/2.2046</f>
        <v>759.02692084002376</v>
      </c>
      <c r="AS247" s="21">
        <f>(SUMPRODUCT(AS$9:AS$229,Nutrients!$DY$8:$DY$228)+(IF($A$7=Nutrients!$B$8,Nutrients!$DY$8,Nutrients!$DY$9)*AS$7)+(((IF($A$8=Nutrients!$B$79,Nutrients!$DY$79,(IF($A$8=Nutrients!$B$77,Nutrients!$DY$77,Nutrients!$DY$78)))))*AS$8))/2000/2.2046</f>
        <v>777.66522428740984</v>
      </c>
      <c r="AT247" s="21">
        <f>(SUMPRODUCT(AT$9:AT$229,Nutrients!$DY$8:$DY$228)+(IF($A$7=Nutrients!$B$8,Nutrients!$DY$8,Nutrients!$DY$9)*AT$7)+(((IF($A$8=Nutrients!$B$79,Nutrients!$DY$79,(IF($A$8=Nutrients!$B$77,Nutrients!$DY$77,Nutrients!$DY$78)))))*AT$8))/2000/2.2046</f>
        <v>793.35343487388752</v>
      </c>
      <c r="AU247" s="21">
        <f>(SUMPRODUCT(AU$9:AU$229,Nutrients!$DY$8:$DY$228)+(IF($A$7=Nutrients!$B$8,Nutrients!$DY$8,Nutrients!$DY$9)*AU$7)+(((IF($A$8=Nutrients!$B$79,Nutrients!$DY$79,(IF($A$8=Nutrients!$B$77,Nutrients!$DY$77,Nutrients!$DY$78)))))*AU$8))/2000/2.2046</f>
        <v>805.60363695577632</v>
      </c>
      <c r="AV247" s="21">
        <f>(SUMPRODUCT(AV$9:AV$229,Nutrients!$DY$8:$DY$228)+(IF($A$7=Nutrients!$B$8,Nutrients!$DY$8,Nutrients!$DY$9)*AV$7)+(((IF($A$8=Nutrients!$B$79,Nutrients!$DY$79,(IF($A$8=Nutrients!$B$77,Nutrients!$DY$77,Nutrients!$DY$78)))))*AV$8))/2000/2.2046</f>
        <v>813.79398307026099</v>
      </c>
      <c r="AW247" s="21">
        <f>(SUMPRODUCT(AW$9:AW$229,Nutrients!$DY$8:$DY$228)+(IF($A$7=Nutrients!$B$8,Nutrients!$DY$8,Nutrients!$DY$9)*AW$7)+(((IF($A$8=Nutrients!$B$79,Nutrients!$DY$79,(IF($A$8=Nutrients!$B$77,Nutrients!$DY$77,Nutrients!$DY$78)))))*AW$8))/2000/2.2046</f>
        <v>817.63599301534464</v>
      </c>
    </row>
    <row r="248" spans="1:56" x14ac:dyDescent="0.25">
      <c r="A248" s="5" t="s">
        <v>31</v>
      </c>
      <c r="B248" s="21">
        <f>(SUMPRODUCT(B$9:B$229,Nutrients!$DZ$8:$DZ$228)+(IF($A$7=Nutrients!$B$8,Nutrients!$DZ$8,Nutrients!$DZ$9)*B$7)+(((IF($A$8=Nutrients!$B$79,Nutrients!$DZ$79,(IF($A$8=Nutrients!$B$77,Nutrients!$DZ$77,Nutrients!$DZ$78)))))*B$8))/2000/2.2046</f>
        <v>1125.1001476776023</v>
      </c>
      <c r="C248" s="21">
        <f>(SUMPRODUCT(C$9:C$229,Nutrients!$DZ$8:$DZ$228)+(IF($A$7=Nutrients!$B$8,Nutrients!$DZ$8,Nutrients!$DZ$9)*C$7)+(((IF($A$8=Nutrients!$B$79,Nutrients!$DZ$79,(IF($A$8=Nutrients!$B$77,Nutrients!$DZ$77,Nutrients!$DZ$78)))))*C$8))/2000/2.2046</f>
        <v>1142.795652894368</v>
      </c>
      <c r="D248" s="21">
        <f>(SUMPRODUCT(D$9:D$229,Nutrients!$DZ$8:$DZ$228)+(IF($A$7=Nutrients!$B$8,Nutrients!$DZ$8,Nutrients!$DZ$9)*D$7)+(((IF($A$8=Nutrients!$B$79,Nutrients!$DZ$79,(IF($A$8=Nutrients!$B$77,Nutrients!$DZ$77,Nutrients!$DZ$78)))))*D$8))/2000/2.2046</f>
        <v>1158.2172951602411</v>
      </c>
      <c r="E248" s="21">
        <f>(SUMPRODUCT(E$9:E$229,Nutrients!$DZ$8:$DZ$228)+(IF($A$7=Nutrients!$B$8,Nutrients!$DZ$8,Nutrients!$DZ$9)*E$7)+(((IF($A$8=Nutrients!$B$79,Nutrients!$DZ$79,(IF($A$8=Nutrients!$B$77,Nutrients!$DZ$77,Nutrients!$DZ$78)))))*E$8))/2000/2.2046</f>
        <v>1171.3956144840422</v>
      </c>
      <c r="F248" s="21">
        <f>(SUMPRODUCT(F$9:F$229,Nutrients!$DZ$8:$DZ$228)+(IF($A$7=Nutrients!$B$8,Nutrients!$DZ$8,Nutrients!$DZ$9)*F$7)+(((IF($A$8=Nutrients!$B$79,Nutrients!$DZ$79,(IF($A$8=Nutrients!$B$77,Nutrients!$DZ$77,Nutrients!$DZ$78)))))*F$8))/2000/2.2046</f>
        <v>1180.5769470002078</v>
      </c>
      <c r="G248" s="21">
        <f>(SUMPRODUCT(G$9:G$229,Nutrients!$DZ$8:$DZ$228)+(IF($A$7=Nutrients!$B$8,Nutrients!$DZ$8,Nutrients!$DZ$9)*G$7)+(((IF($A$8=Nutrients!$B$79,Nutrients!$DZ$79,(IF($A$8=Nutrients!$B$77,Nutrients!$DZ$77,Nutrients!$DZ$78)))))*G$8))/2000/2.2046</f>
        <v>1184.8954698199086</v>
      </c>
      <c r="H248" s="226"/>
      <c r="I248" s="21">
        <f>(SUMPRODUCT(I$9:I$229,Nutrients!$DZ$8:$DZ$228)+(IF($A$7=Nutrients!$B$8,Nutrients!$DZ$8,Nutrients!$DZ$9)*I$7)+(((IF($A$8=Nutrients!$B$79,Nutrients!$DZ$79,(IF($A$8=Nutrients!$B$77,Nutrients!$DZ$77,Nutrients!$DZ$78)))))*I$8))/2000/2.2046</f>
        <v>1068.9911800783441</v>
      </c>
      <c r="J248" s="21">
        <f>(SUMPRODUCT(J$9:J$229,Nutrients!$DZ$8:$DZ$228)+(IF($A$7=Nutrients!$B$8,Nutrients!$DZ$8,Nutrients!$DZ$9)*J$7)+(((IF($A$8=Nutrients!$B$79,Nutrients!$DZ$79,(IF($A$8=Nutrients!$B$77,Nutrients!$DZ$77,Nutrients!$DZ$78)))))*J$8))/2000/2.2046</f>
        <v>1086.4978644107787</v>
      </c>
      <c r="K248" s="21">
        <f>(SUMPRODUCT(K$9:K$229,Nutrients!$DZ$8:$DZ$228)+(IF($A$7=Nutrients!$B$8,Nutrients!$DZ$8,Nutrients!$DZ$9)*K$7)+(((IF($A$8=Nutrients!$B$79,Nutrients!$DZ$79,(IF($A$8=Nutrients!$B$77,Nutrients!$DZ$77,Nutrients!$DZ$78)))))*K$8))/2000/2.2046</f>
        <v>1101.7782144390544</v>
      </c>
      <c r="L248" s="21">
        <f>(SUMPRODUCT(L$9:L$229,Nutrients!$DZ$8:$DZ$228)+(IF($A$7=Nutrients!$B$8,Nutrients!$DZ$8,Nutrients!$DZ$9)*L$7)+(((IF($A$8=Nutrients!$B$79,Nutrients!$DZ$79,(IF($A$8=Nutrients!$B$77,Nutrients!$DZ$77,Nutrients!$DZ$78)))))*L$8))/2000/2.2046</f>
        <v>1115.1289874318397</v>
      </c>
      <c r="M248" s="21">
        <f>(SUMPRODUCT(M$9:M$229,Nutrients!$DZ$8:$DZ$228)+(IF($A$7=Nutrients!$B$8,Nutrients!$DZ$8,Nutrients!$DZ$9)*M$7)+(((IF($A$8=Nutrients!$B$79,Nutrients!$DZ$79,(IF($A$8=Nutrients!$B$77,Nutrients!$DZ$77,Nutrients!$DZ$78)))))*M$8))/2000/2.2046</f>
        <v>1124.2325687885493</v>
      </c>
      <c r="N248" s="21">
        <f>(SUMPRODUCT(N$9:N$229,Nutrients!$DZ$8:$DZ$228)+(IF($A$7=Nutrients!$B$8,Nutrients!$DZ$8,Nutrients!$DZ$9)*N$7)+(((IF($A$8=Nutrients!$B$79,Nutrients!$DZ$79,(IF($A$8=Nutrients!$B$77,Nutrients!$DZ$77,Nutrients!$DZ$78)))))*N$8))/2000/2.2046</f>
        <v>1128.5831472939228</v>
      </c>
      <c r="O248" s="234"/>
      <c r="P248" s="21">
        <f>(SUMPRODUCT(P$9:P$229,Nutrients!$DZ$8:$DZ$228)+(IF($A$7=Nutrients!$B$8,Nutrients!$DZ$8,Nutrients!$DZ$9)*P$7)+(((IF($A$8=Nutrients!$B$79,Nutrients!$DZ$79,(IF($A$8=Nutrients!$B$77,Nutrients!$DZ$77,Nutrients!$DZ$78)))))*P$8))/2000/2.2046</f>
        <v>1012.6455525473967</v>
      </c>
      <c r="Q248" s="21">
        <f>(SUMPRODUCT(Q$9:Q$229,Nutrients!$DZ$8:$DZ$228)+(IF($A$7=Nutrients!$B$8,Nutrients!$DZ$8,Nutrients!$DZ$9)*Q$7)+(((IF($A$8=Nutrients!$B$79,Nutrients!$DZ$79,(IF($A$8=Nutrients!$B$77,Nutrients!$DZ$77,Nutrients!$DZ$78)))))*Q$8))/2000/2.2046</f>
        <v>1030.0580392630297</v>
      </c>
      <c r="R248" s="21">
        <f>(SUMPRODUCT(R$9:R$229,Nutrients!$DZ$8:$DZ$228)+(IF($A$7=Nutrients!$B$8,Nutrients!$DZ$8,Nutrients!$DZ$9)*R$7)+(((IF($A$8=Nutrients!$B$79,Nutrients!$DZ$79,(IF($A$8=Nutrients!$B$77,Nutrients!$DZ$77,Nutrients!$DZ$78)))))*R$8))/2000/2.2046</f>
        <v>1045.2213908430708</v>
      </c>
      <c r="S248" s="21">
        <f>(SUMPRODUCT(S$9:S$229,Nutrients!$DZ$8:$DZ$228)+(IF($A$7=Nutrients!$B$8,Nutrients!$DZ$8,Nutrients!$DZ$9)*S$7)+(((IF($A$8=Nutrients!$B$79,Nutrients!$DZ$79,(IF($A$8=Nutrients!$B$77,Nutrients!$DZ$77,Nutrients!$DZ$78)))))*S$8))/2000/2.2046</f>
        <v>1058.6225656661193</v>
      </c>
      <c r="T248" s="21">
        <f>(SUMPRODUCT(T$9:T$229,Nutrients!$DZ$8:$DZ$228)+(IF($A$7=Nutrients!$B$8,Nutrients!$DZ$8,Nutrients!$DZ$9)*T$7)+(((IF($A$8=Nutrients!$B$79,Nutrients!$DZ$79,(IF($A$8=Nutrients!$B$77,Nutrients!$DZ$77,Nutrients!$DZ$78)))))*T$8))/2000/2.2046</f>
        <v>1067.691198716248</v>
      </c>
      <c r="U248" s="21">
        <f>(SUMPRODUCT(U$9:U$229,Nutrients!$DZ$8:$DZ$228)+(IF($A$7=Nutrients!$B$8,Nutrients!$DZ$8,Nutrients!$DZ$9)*U$7)+(((IF($A$8=Nutrients!$B$79,Nutrients!$DZ$79,(IF($A$8=Nutrients!$B$77,Nutrients!$DZ$77,Nutrients!$DZ$78)))))*U$8))/2000/2.2046</f>
        <v>1072.0210965433173</v>
      </c>
      <c r="W248" s="21">
        <f>(SUMPRODUCT(W$9:W$229,Nutrients!$DZ$8:$DZ$228)+(IF($A$7=Nutrients!$B$8,Nutrients!$DZ$8,Nutrients!$DZ$9)*W$7)+(((IF($A$8=Nutrients!$B$79,Nutrients!$DZ$79,(IF($A$8=Nutrients!$B$77,Nutrients!$DZ$77,Nutrients!$DZ$78)))))*W$8))/2000/2.2046</f>
        <v>956.32068512421426</v>
      </c>
      <c r="X248" s="21">
        <f>(SUMPRODUCT(X$9:X$229,Nutrients!$DZ$8:$DZ$228)+(IF($A$7=Nutrients!$B$8,Nutrients!$DZ$8,Nutrients!$DZ$9)*X$7)+(((IF($A$8=Nutrients!$B$79,Nutrients!$DZ$79,(IF($A$8=Nutrients!$B$77,Nutrients!$DZ$77,Nutrients!$DZ$78)))))*X$8))/2000/2.2046</f>
        <v>973.63289987446649</v>
      </c>
      <c r="Y248" s="21">
        <f>(SUMPRODUCT(Y$9:Y$229,Nutrients!$DZ$8:$DZ$228)+(IF($A$7=Nutrients!$B$8,Nutrients!$DZ$8,Nutrients!$DZ$9)*Y$7)+(((IF($A$8=Nutrients!$B$79,Nutrients!$DZ$79,(IF($A$8=Nutrients!$B$77,Nutrients!$DZ$77,Nutrients!$DZ$78)))))*Y$8))/2000/2.2046</f>
        <v>988.84741266872163</v>
      </c>
      <c r="Z248" s="21">
        <f>(SUMPRODUCT(Z$9:Z$229,Nutrients!$DZ$8:$DZ$228)+(IF($A$7=Nutrients!$B$8,Nutrients!$DZ$8,Nutrients!$DZ$9)*Z$7)+(((IF($A$8=Nutrients!$B$79,Nutrients!$DZ$79,(IF($A$8=Nutrients!$B$77,Nutrients!$DZ$77,Nutrients!$DZ$78)))))*Z$8))/2000/2.2046</f>
        <v>1002.1193565890605</v>
      </c>
      <c r="AA248" s="21">
        <f>(SUMPRODUCT(AA$9:AA$229,Nutrients!$DZ$8:$DZ$228)+(IF($A$7=Nutrients!$B$8,Nutrients!$DZ$8,Nutrients!$DZ$9)*AA$7)+(((IF($A$8=Nutrients!$B$79,Nutrients!$DZ$79,(IF($A$8=Nutrients!$B$77,Nutrients!$DZ$77,Nutrients!$DZ$78)))))*AA$8))/2000/2.2046</f>
        <v>1011.1796674144463</v>
      </c>
      <c r="AB248" s="21">
        <f>(SUMPRODUCT(AB$9:AB$229,Nutrients!$DZ$8:$DZ$228)+(IF($A$7=Nutrients!$B$8,Nutrients!$DZ$8,Nutrients!$DZ$9)*AB$7)+(((IF($A$8=Nutrients!$B$79,Nutrients!$DZ$79,(IF($A$8=Nutrients!$B$77,Nutrients!$DZ$77,Nutrients!$DZ$78)))))*AB$8))/2000/2.2046</f>
        <v>1015.2346816679758</v>
      </c>
      <c r="AD248" s="21">
        <f>(SUMPRODUCT(AD$9:AD$229,Nutrients!$DZ$8:$DZ$228)+(IF($A$7=Nutrients!$B$8,Nutrients!$DZ$8,Nutrients!$DZ$9)*AD$7)+(((IF($A$8=Nutrients!$B$79,Nutrients!$DZ$79,(IF($A$8=Nutrients!$B$77,Nutrients!$DZ$77,Nutrients!$DZ$78)))))*AD$8))/2000/2.2046</f>
        <v>899.99550834362651</v>
      </c>
      <c r="AE248" s="21">
        <f>(SUMPRODUCT(AE$9:AE$229,Nutrients!$DZ$8:$DZ$228)+(IF($A$7=Nutrients!$B$8,Nutrients!$DZ$8,Nutrients!$DZ$9)*AE$7)+(((IF($A$8=Nutrients!$B$79,Nutrients!$DZ$79,(IF($A$8=Nutrients!$B$77,Nutrients!$DZ$77,Nutrients!$DZ$78)))))*AE$8))/2000/2.2046</f>
        <v>917.3458158982213</v>
      </c>
      <c r="AF248" s="21">
        <f>(SUMPRODUCT(AF$9:AF$229,Nutrients!$DZ$8:$DZ$228)+(IF($A$7=Nutrients!$B$8,Nutrients!$DZ$8,Nutrients!$DZ$9)*AF$7)+(((IF($A$8=Nutrients!$B$79,Nutrients!$DZ$79,(IF($A$8=Nutrients!$B$77,Nutrients!$DZ$77,Nutrients!$DZ$78)))))*AF$8))/2000/2.2046</f>
        <v>932.41168232122584</v>
      </c>
      <c r="AG248" s="21">
        <f>(SUMPRODUCT(AG$9:AG$229,Nutrients!$DZ$8:$DZ$228)+(IF($A$7=Nutrients!$B$8,Nutrients!$DZ$8,Nutrients!$DZ$9)*AG$7)+(((IF($A$8=Nutrients!$B$79,Nutrients!$DZ$79,(IF($A$8=Nutrients!$B$77,Nutrients!$DZ$77,Nutrients!$DZ$78)))))*AG$8))/2000/2.2046</f>
        <v>945.64949215750767</v>
      </c>
      <c r="AH248" s="21">
        <f>(SUMPRODUCT(AH$9:AH$229,Nutrients!$DZ$8:$DZ$228)+(IF($A$7=Nutrients!$B$8,Nutrients!$DZ$8,Nutrients!$DZ$9)*AH$7)+(((IF($A$8=Nutrients!$B$79,Nutrients!$DZ$79,(IF($A$8=Nutrients!$B$77,Nutrients!$DZ$77,Nutrients!$DZ$78)))))*AH$8))/2000/2.2046</f>
        <v>953.98988510335744</v>
      </c>
      <c r="AI248" s="21">
        <f>(SUMPRODUCT(AI$9:AI$229,Nutrients!$DZ$8:$DZ$228)+(IF($A$7=Nutrients!$B$8,Nutrients!$DZ$8,Nutrients!$DZ$9)*AI$7)+(((IF($A$8=Nutrients!$B$79,Nutrients!$DZ$79,(IF($A$8=Nutrients!$B$77,Nutrients!$DZ$77,Nutrients!$DZ$78)))))*AI$8))/2000/2.2046</f>
        <v>957.67521557384509</v>
      </c>
      <c r="AK248" s="21">
        <f>(SUMPRODUCT(AK$9:AK$229,Nutrients!$DZ$8:$DZ$228)+(IF($A$7=Nutrients!$B$8,Nutrients!$DZ$8,Nutrients!$DZ$9)*AK$7)+(((IF($A$8=Nutrients!$B$79,Nutrients!$DZ$79,(IF($A$8=Nutrients!$B$77,Nutrients!$DZ$77,Nutrients!$DZ$78)))))*AK$8))/2000/2.2046</f>
        <v>843.06273653262019</v>
      </c>
      <c r="AL248" s="21">
        <f>(SUMPRODUCT(AL$9:AL$229,Nutrients!$DZ$8:$DZ$228)+(IF($A$7=Nutrients!$B$8,Nutrients!$DZ$8,Nutrients!$DZ$9)*AL$7)+(((IF($A$8=Nutrients!$B$79,Nutrients!$DZ$79,(IF($A$8=Nutrients!$B$77,Nutrients!$DZ$77,Nutrients!$DZ$78)))))*AL$8))/2000/2.2046</f>
        <v>861.02840064818213</v>
      </c>
      <c r="AM248" s="21">
        <f>(SUMPRODUCT(AM$9:AM$229,Nutrients!$DZ$8:$DZ$228)+(IF($A$7=Nutrients!$B$8,Nutrients!$DZ$8,Nutrients!$DZ$9)*AM$7)+(((IF($A$8=Nutrients!$B$79,Nutrients!$DZ$79,(IF($A$8=Nutrients!$B$77,Nutrients!$DZ$77,Nutrients!$DZ$78)))))*AM$8))/2000/2.2046</f>
        <v>876.04801481573986</v>
      </c>
      <c r="AN248" s="21">
        <f>(SUMPRODUCT(AN$9:AN$229,Nutrients!$DZ$8:$DZ$228)+(IF($A$7=Nutrients!$B$8,Nutrients!$DZ$8,Nutrients!$DZ$9)*AN$7)+(((IF($A$8=Nutrients!$B$79,Nutrients!$DZ$79,(IF($A$8=Nutrients!$B$77,Nutrients!$DZ$77,Nutrients!$DZ$78)))))*AN$8))/2000/2.2046</f>
        <v>888.68158330077972</v>
      </c>
      <c r="AO248" s="21">
        <f>(SUMPRODUCT(AO$9:AO$229,Nutrients!$DZ$8:$DZ$228)+(IF($A$7=Nutrients!$B$8,Nutrients!$DZ$8,Nutrients!$DZ$9)*AO$7)+(((IF($A$8=Nutrients!$B$79,Nutrients!$DZ$79,(IF($A$8=Nutrients!$B$77,Nutrients!$DZ$77,Nutrients!$DZ$78)))))*AO$8))/2000/2.2046</f>
        <v>896.47224750983901</v>
      </c>
      <c r="AP248" s="21">
        <f>(SUMPRODUCT(AP$9:AP$229,Nutrients!$DZ$8:$DZ$228)+(IF($A$7=Nutrients!$B$8,Nutrients!$DZ$8,Nutrients!$DZ$9)*AP$7)+(((IF($A$8=Nutrients!$B$79,Nutrients!$DZ$79,(IF($A$8=Nutrients!$B$77,Nutrients!$DZ$77,Nutrients!$DZ$78)))))*AP$8))/2000/2.2046</f>
        <v>900.12038659085727</v>
      </c>
      <c r="AR248" s="21">
        <f>(SUMPRODUCT(AR$9:AR$229,Nutrients!$DZ$8:$DZ$228)+(IF($A$7=Nutrients!$B$8,Nutrients!$DZ$8,Nutrients!$DZ$9)*AR$7)+(((IF($A$8=Nutrients!$B$79,Nutrients!$DZ$79,(IF($A$8=Nutrients!$B$77,Nutrients!$DZ$77,Nutrients!$DZ$78)))))*AR$8))/2000/2.2046</f>
        <v>786.97529518179874</v>
      </c>
      <c r="AS248" s="21">
        <f>(SUMPRODUCT(AS$9:AS$229,Nutrients!$DZ$8:$DZ$228)+(IF($A$7=Nutrients!$B$8,Nutrients!$DZ$8,Nutrients!$DZ$9)*AS$7)+(((IF($A$8=Nutrients!$B$79,Nutrients!$DZ$79,(IF($A$8=Nutrients!$B$77,Nutrients!$DZ$77,Nutrients!$DZ$78)))))*AS$8))/2000/2.2046</f>
        <v>804.69768392173921</v>
      </c>
      <c r="AT248" s="21">
        <f>(SUMPRODUCT(AT$9:AT$229,Nutrients!$DZ$8:$DZ$228)+(IF($A$7=Nutrients!$B$8,Nutrients!$DZ$8,Nutrients!$DZ$9)*AT$7)+(((IF($A$8=Nutrients!$B$79,Nutrients!$DZ$79,(IF($A$8=Nutrients!$B$77,Nutrients!$DZ$77,Nutrients!$DZ$78)))))*AT$8))/2000/2.2046</f>
        <v>819.63866252246589</v>
      </c>
      <c r="AU248" s="21">
        <f>(SUMPRODUCT(AU$9:AU$229,Nutrients!$DZ$8:$DZ$228)+(IF($A$7=Nutrients!$B$8,Nutrients!$DZ$8,Nutrients!$DZ$9)*AU$7)+(((IF($A$8=Nutrients!$B$79,Nutrients!$DZ$79,(IF($A$8=Nutrients!$B$77,Nutrients!$DZ$77,Nutrients!$DZ$78)))))*AU$8))/2000/2.2046</f>
        <v>831.20739576890014</v>
      </c>
      <c r="AV248" s="21">
        <f>(SUMPRODUCT(AV$9:AV$229,Nutrients!$DZ$8:$DZ$228)+(IF($A$7=Nutrients!$B$8,Nutrients!$DZ$8,Nutrients!$DZ$9)*AV$7)+(((IF($A$8=Nutrients!$B$79,Nutrients!$DZ$79,(IF($A$8=Nutrients!$B$77,Nutrients!$DZ$77,Nutrients!$DZ$78)))))*AV$8))/2000/2.2046</f>
        <v>838.94994025425387</v>
      </c>
      <c r="AW248" s="21">
        <f>(SUMPRODUCT(AW$9:AW$229,Nutrients!$DZ$8:$DZ$228)+(IF($A$7=Nutrients!$B$8,Nutrients!$DZ$8,Nutrients!$DZ$9)*AW$7)+(((IF($A$8=Nutrients!$B$79,Nutrients!$DZ$79,(IF($A$8=Nutrients!$B$77,Nutrients!$DZ$77,Nutrients!$DZ$78)))))*AW$8))/2000/2.2046</f>
        <v>842.56119545845399</v>
      </c>
    </row>
    <row r="249" spans="1:56" x14ac:dyDescent="0.25">
      <c r="A249" s="5" t="s">
        <v>61</v>
      </c>
      <c r="B249" s="21">
        <f>(SUMPRODUCT(B$9:B$229,Nutrients!$D$8:$D$228)+(IF($A$7=Nutrients!$B$8,Nutrients!$D$8,Nutrients!$D$9)*B$7)+(((IF($A$8=Nutrients!$B$79,Nutrients!$D$79,(IF($A$8=Nutrients!$B$77,Nutrients!$D$77,Nutrients!$D$78)))))*B$8))/2000/2.2046</f>
        <v>1555.1808706013358</v>
      </c>
      <c r="C249" s="21">
        <f>(SUMPRODUCT(C$9:C$229,Nutrients!$D$8:$D$228)+(IF($A$7=Nutrients!$B$8,Nutrients!$D$8,Nutrients!$D$9)*C$7)+(((IF($A$8=Nutrients!$B$79,Nutrients!$D$79,(IF($A$8=Nutrients!$B$77,Nutrients!$D$77,Nutrients!$D$78)))))*C$8))/2000/2.2046</f>
        <v>1553.9515936192374</v>
      </c>
      <c r="D249" s="21">
        <f>(SUMPRODUCT(D$9:D$229,Nutrients!$D$8:$D$228)+(IF($A$7=Nutrients!$B$8,Nutrients!$D$8,Nutrients!$D$9)*D$7)+(((IF($A$8=Nutrients!$B$79,Nutrients!$D$79,(IF($A$8=Nutrients!$B$77,Nutrients!$D$77,Nutrients!$D$78)))))*D$8))/2000/2.2046</f>
        <v>1553.0837722463236</v>
      </c>
      <c r="E249" s="21">
        <f>(SUMPRODUCT(E$9:E$229,Nutrients!$D$8:$D$228)+(IF($A$7=Nutrients!$B$8,Nutrients!$D$8,Nutrients!$D$9)*E$7)+(((IF($A$8=Nutrients!$B$79,Nutrients!$D$79,(IF($A$8=Nutrients!$B$77,Nutrients!$D$77,Nutrients!$D$78)))))*E$8))/2000/2.2046</f>
        <v>1552.6251876342408</v>
      </c>
      <c r="F249" s="21">
        <f>(SUMPRODUCT(F$9:F$229,Nutrients!$D$8:$D$228)+(IF($A$7=Nutrients!$B$8,Nutrients!$D$8,Nutrients!$D$9)*F$7)+(((IF($A$8=Nutrients!$B$79,Nutrients!$D$79,(IF($A$8=Nutrients!$B$77,Nutrients!$D$77,Nutrients!$D$78)))))*F$8))/2000/2.2046</f>
        <v>1552.7788119489294</v>
      </c>
      <c r="G249" s="21">
        <f>(SUMPRODUCT(G$9:G$229,Nutrients!$D$8:$D$228)+(IF($A$7=Nutrients!$B$8,Nutrients!$D$8,Nutrients!$D$9)*G$7)+(((IF($A$8=Nutrients!$B$79,Nutrients!$D$79,(IF($A$8=Nutrients!$B$77,Nutrients!$D$77,Nutrients!$D$78)))))*G$8))/2000/2.2046</f>
        <v>1552.432918309064</v>
      </c>
      <c r="H249" s="226"/>
      <c r="I249" s="21">
        <f>(SUMPRODUCT(I$9:I$229,Nutrients!$D$8:$D$228)+(IF($A$7=Nutrients!$B$8,Nutrients!$D$8,Nutrients!$D$9)*I$7)+(((IF($A$8=Nutrients!$B$79,Nutrients!$D$79,(IF($A$8=Nutrients!$B$77,Nutrients!$D$77,Nutrients!$D$78)))))*I$8))/2000/2.2046</f>
        <v>1561.2345478967395</v>
      </c>
      <c r="J249" s="21">
        <f>(SUMPRODUCT(J$9:J$229,Nutrients!$D$8:$D$228)+(IF($A$7=Nutrients!$B$8,Nutrients!$D$8,Nutrients!$D$9)*J$7)+(((IF($A$8=Nutrients!$B$79,Nutrients!$D$79,(IF($A$8=Nutrients!$B$77,Nutrients!$D$77,Nutrients!$D$78)))))*J$8))/2000/2.2046</f>
        <v>1560.0209334009417</v>
      </c>
      <c r="K249" s="21">
        <f>(SUMPRODUCT(K$9:K$229,Nutrients!$D$8:$D$228)+(IF($A$7=Nutrients!$B$8,Nutrients!$D$8,Nutrients!$D$9)*K$7)+(((IF($A$8=Nutrients!$B$79,Nutrients!$D$79,(IF($A$8=Nutrients!$B$77,Nutrients!$D$77,Nutrients!$D$78)))))*K$8))/2000/2.2046</f>
        <v>1559.184938107679</v>
      </c>
      <c r="L249" s="21">
        <f>(SUMPRODUCT(L$9:L$229,Nutrients!$D$8:$D$228)+(IF($A$7=Nutrients!$B$8,Nutrients!$D$8,Nutrients!$D$9)*L$7)+(((IF($A$8=Nutrients!$B$79,Nutrients!$D$79,(IF($A$8=Nutrients!$B$77,Nutrients!$D$77,Nutrients!$D$78)))))*L$8))/2000/2.2046</f>
        <v>1559.0763305351957</v>
      </c>
      <c r="M249" s="21">
        <f>(SUMPRODUCT(M$9:M$229,Nutrients!$D$8:$D$228)+(IF($A$7=Nutrients!$B$8,Nutrients!$D$8,Nutrients!$D$9)*M$7)+(((IF($A$8=Nutrients!$B$79,Nutrients!$D$79,(IF($A$8=Nutrients!$B$77,Nutrients!$D$77,Nutrients!$D$78)))))*M$8))/2000/2.2046</f>
        <v>1559.1238945863504</v>
      </c>
      <c r="N249" s="21">
        <f>(SUMPRODUCT(N$9:N$229,Nutrients!$D$8:$D$228)+(IF($A$7=Nutrients!$B$8,Nutrients!$D$8,Nutrients!$D$9)*N$7)+(((IF($A$8=Nutrients!$B$79,Nutrients!$D$79,(IF($A$8=Nutrients!$B$77,Nutrients!$D$77,Nutrients!$D$78)))))*N$8))/2000/2.2046</f>
        <v>1558.8877036053482</v>
      </c>
      <c r="O249" s="234"/>
      <c r="P249" s="21">
        <f>(SUMPRODUCT(P$9:P$229,Nutrients!$D$8:$D$228)+(IF($A$7=Nutrients!$B$8,Nutrients!$D$8,Nutrients!$D$9)*P$7)+(((IF($A$8=Nutrients!$B$79,Nutrients!$D$79,(IF($A$8=Nutrients!$B$77,Nutrients!$D$77,Nutrients!$D$78)))))*P$8))/2000/2.2046</f>
        <v>1567.3190592372055</v>
      </c>
      <c r="Q249" s="21">
        <f>(SUMPRODUCT(Q$9:Q$229,Nutrients!$D$8:$D$228)+(IF($A$7=Nutrients!$B$8,Nutrients!$D$8,Nutrients!$D$9)*Q$7)+(((IF($A$8=Nutrients!$B$79,Nutrients!$D$79,(IF($A$8=Nutrients!$B$77,Nutrients!$D$77,Nutrients!$D$78)))))*Q$8))/2000/2.2046</f>
        <v>1566.1413447470138</v>
      </c>
      <c r="R249" s="21">
        <f>(SUMPRODUCT(R$9:R$229,Nutrients!$D$8:$D$228)+(IF($A$7=Nutrients!$B$8,Nutrients!$D$8,Nutrients!$D$9)*R$7)+(((IF($A$8=Nutrients!$B$79,Nutrients!$D$79,(IF($A$8=Nutrients!$B$77,Nutrients!$D$77,Nutrients!$D$78)))))*R$8))/2000/2.2046</f>
        <v>1565.3200093020728</v>
      </c>
      <c r="S249" s="21">
        <f>(SUMPRODUCT(S$9:S$229,Nutrients!$D$8:$D$228)+(IF($A$7=Nutrients!$B$8,Nutrients!$D$8,Nutrients!$D$9)*S$7)+(((IF($A$8=Nutrients!$B$79,Nutrients!$D$79,(IF($A$8=Nutrients!$B$77,Nutrients!$D$77,Nutrients!$D$78)))))*S$8))/2000/2.2046</f>
        <v>1565.1987771134739</v>
      </c>
      <c r="T249" s="21">
        <f>(SUMPRODUCT(T$9:T$229,Nutrients!$D$8:$D$228)+(IF($A$7=Nutrients!$B$8,Nutrients!$D$8,Nutrients!$D$9)*T$7)+(((IF($A$8=Nutrients!$B$79,Nutrients!$D$79,(IF($A$8=Nutrients!$B$77,Nutrients!$D$77,Nutrients!$D$78)))))*T$8))/2000/2.2046</f>
        <v>1565.355458138637</v>
      </c>
      <c r="U249" s="21">
        <f>(SUMPRODUCT(U$9:U$229,Nutrients!$D$8:$D$228)+(IF($A$7=Nutrients!$B$8,Nutrients!$D$8,Nutrients!$D$9)*U$7)+(((IF($A$8=Nutrients!$B$79,Nutrients!$D$79,(IF($A$8=Nutrients!$B$77,Nutrients!$D$77,Nutrients!$D$78)))))*U$8))/2000/2.2046</f>
        <v>1565.1528188370382</v>
      </c>
      <c r="W249" s="21">
        <f>(SUMPRODUCT(W$9:W$229,Nutrients!$D$8:$D$228)+(IF($A$7=Nutrients!$B$8,Nutrients!$D$8,Nutrients!$D$9)*W$7)+(((IF($A$8=Nutrients!$B$79,Nutrients!$D$79,(IF($A$8=Nutrients!$B$77,Nutrients!$D$77,Nutrients!$D$78)))))*W$8))/2000/2.2046</f>
        <v>1573.4291171616594</v>
      </c>
      <c r="X249" s="21">
        <f>(SUMPRODUCT(X$9:X$229,Nutrients!$D$8:$D$228)+(IF($A$7=Nutrients!$B$8,Nutrients!$D$8,Nutrients!$D$9)*X$7)+(((IF($A$8=Nutrients!$B$79,Nutrients!$D$79,(IF($A$8=Nutrients!$B$77,Nutrients!$D$77,Nutrients!$D$78)))))*X$8))/2000/2.2046</f>
        <v>1572.279018557015</v>
      </c>
      <c r="Y249" s="21">
        <f>(SUMPRODUCT(Y$9:Y$229,Nutrients!$D$8:$D$228)+(IF($A$7=Nutrients!$B$8,Nutrients!$D$8,Nutrients!$D$9)*Y$7)+(((IF($A$8=Nutrients!$B$79,Nutrients!$D$79,(IF($A$8=Nutrients!$B$77,Nutrients!$D$77,Nutrients!$D$78)))))*Y$8))/2000/2.2046</f>
        <v>1571.4496130138305</v>
      </c>
      <c r="Z249" s="21">
        <f>(SUMPRODUCT(Z$9:Z$229,Nutrients!$D$8:$D$228)+(IF($A$7=Nutrients!$B$8,Nutrients!$D$8,Nutrients!$D$9)*Z$7)+(((IF($A$8=Nutrients!$B$79,Nutrients!$D$79,(IF($A$8=Nutrients!$B$77,Nutrients!$D$77,Nutrients!$D$78)))))*Z$8))/2000/2.2046</f>
        <v>1571.3917254587134</v>
      </c>
      <c r="AA249" s="21">
        <f>(SUMPRODUCT(AA$9:AA$229,Nutrients!$D$8:$D$228)+(IF($A$7=Nutrients!$B$8,Nutrients!$D$8,Nutrients!$D$9)*AA$7)+(((IF($A$8=Nutrients!$B$79,Nutrients!$D$79,(IF($A$8=Nutrients!$B$77,Nutrients!$D$77,Nutrients!$D$78)))))*AA$8))/2000/2.2046</f>
        <v>1571.6454351171278</v>
      </c>
      <c r="AB249" s="21">
        <f>(SUMPRODUCT(AB$9:AB$229,Nutrients!$D$8:$D$228)+(IF($A$7=Nutrients!$B$8,Nutrients!$D$8,Nutrients!$D$9)*AB$7)+(((IF($A$8=Nutrients!$B$79,Nutrients!$D$79,(IF($A$8=Nutrients!$B$77,Nutrients!$D$77,Nutrients!$D$78)))))*AB$8))/2000/2.2046</f>
        <v>1571.1139348730544</v>
      </c>
      <c r="AD249" s="21">
        <f>(SUMPRODUCT(AD$9:AD$229,Nutrients!$D$8:$D$228)+(IF($A$7=Nutrients!$B$8,Nutrients!$D$8,Nutrients!$D$9)*AD$7)+(((IF($A$8=Nutrients!$B$79,Nutrients!$D$79,(IF($A$8=Nutrients!$B$77,Nutrients!$D$77,Nutrients!$D$78)))))*AD$8))/2000/2.2046</f>
        <v>1579.520488594301</v>
      </c>
      <c r="AE249" s="21">
        <f>(SUMPRODUCT(AE$9:AE$229,Nutrients!$D$8:$D$228)+(IF($A$7=Nutrients!$B$8,Nutrients!$D$8,Nutrients!$D$9)*AE$7)+(((IF($A$8=Nutrients!$B$79,Nutrients!$D$79,(IF($A$8=Nutrients!$B$77,Nutrients!$D$77,Nutrients!$D$78)))))*AE$8))/2000/2.2046</f>
        <v>1578.358487589232</v>
      </c>
      <c r="AF249" s="21">
        <f>(SUMPRODUCT(AF$9:AF$229,Nutrients!$D$8:$D$228)+(IF($A$7=Nutrients!$B$8,Nutrients!$D$8,Nutrients!$D$9)*AF$7)+(((IF($A$8=Nutrients!$B$79,Nutrients!$D$79,(IF($A$8=Nutrients!$B$77,Nutrients!$D$77,Nutrients!$D$78)))))*AF$8))/2000/2.2046</f>
        <v>1577.5544619986429</v>
      </c>
      <c r="AG249" s="21">
        <f>(SUMPRODUCT(AG$9:AG$229,Nutrients!$D$8:$D$228)+(IF($A$7=Nutrients!$B$8,Nutrients!$D$8,Nutrients!$D$9)*AG$7)+(((IF($A$8=Nutrients!$B$79,Nutrients!$D$79,(IF($A$8=Nutrients!$B$77,Nutrients!$D$77,Nutrients!$D$78)))))*AG$8))/2000/2.2046</f>
        <v>1577.6413902063882</v>
      </c>
      <c r="AH249" s="21">
        <f>(SUMPRODUCT(AH$9:AH$229,Nutrients!$D$8:$D$228)+(IF($A$7=Nutrients!$B$8,Nutrients!$D$8,Nutrients!$D$9)*AH$7)+(((IF($A$8=Nutrients!$B$79,Nutrients!$D$79,(IF($A$8=Nutrients!$B$77,Nutrients!$D$77,Nutrients!$D$78)))))*AH$8))/2000/2.2046</f>
        <v>1577.0054252801551</v>
      </c>
      <c r="AI249" s="21">
        <f>(SUMPRODUCT(AI$9:AI$229,Nutrients!$D$8:$D$228)+(IF($A$7=Nutrients!$B$8,Nutrients!$D$8,Nutrients!$D$9)*AI$7)+(((IF($A$8=Nutrients!$B$79,Nutrients!$D$79,(IF($A$8=Nutrients!$B$77,Nutrients!$D$77,Nutrients!$D$78)))))*AI$8))/2000/2.2046</f>
        <v>1576.0418341840764</v>
      </c>
      <c r="AK249" s="21">
        <f>(SUMPRODUCT(AK$9:AK$229,Nutrients!$D$8:$D$228)+(IF($A$7=Nutrients!$B$8,Nutrients!$D$8,Nutrients!$D$9)*AK$7)+(((IF($A$8=Nutrients!$B$79,Nutrients!$D$79,(IF($A$8=Nutrients!$B$77,Nutrients!$D$77,Nutrients!$D$78)))))*AK$8))/2000/2.2046</f>
        <v>1585.774789068327</v>
      </c>
      <c r="AL249" s="21">
        <f>(SUMPRODUCT(AL$9:AL$229,Nutrients!$D$8:$D$228)+(IF($A$7=Nutrients!$B$8,Nutrients!$D$8,Nutrients!$D$9)*AL$7)+(((IF($A$8=Nutrients!$B$79,Nutrients!$D$79,(IF($A$8=Nutrients!$B$77,Nutrients!$D$77,Nutrients!$D$78)))))*AL$8))/2000/2.2046</f>
        <v>1584.4664931119019</v>
      </c>
      <c r="AM249" s="21">
        <f>(SUMPRODUCT(AM$9:AM$229,Nutrients!$D$8:$D$228)+(IF($A$7=Nutrients!$B$8,Nutrients!$D$8,Nutrients!$D$9)*AM$7)+(((IF($A$8=Nutrients!$B$79,Nutrients!$D$79,(IF($A$8=Nutrients!$B$77,Nutrients!$D$77,Nutrients!$D$78)))))*AM$8))/2000/2.2046</f>
        <v>1583.8037158332297</v>
      </c>
      <c r="AN249" s="21">
        <f>(SUMPRODUCT(AN$9:AN$229,Nutrients!$D$8:$D$228)+(IF($A$7=Nutrients!$B$8,Nutrients!$D$8,Nutrients!$D$9)*AN$7)+(((IF($A$8=Nutrients!$B$79,Nutrients!$D$79,(IF($A$8=Nutrients!$B$77,Nutrients!$D$77,Nutrients!$D$78)))))*AN$8))/2000/2.2046</f>
        <v>1583.2032208441665</v>
      </c>
      <c r="AO249" s="21">
        <f>(SUMPRODUCT(AO$9:AO$229,Nutrients!$D$8:$D$228)+(IF($A$7=Nutrients!$B$8,Nutrients!$D$8,Nutrients!$D$9)*AO$7)+(((IF($A$8=Nutrients!$B$79,Nutrients!$D$79,(IF($A$8=Nutrients!$B$77,Nutrients!$D$77,Nutrients!$D$78)))))*AO$8))/2000/2.2046</f>
        <v>1581.9302598317404</v>
      </c>
      <c r="AP249" s="21">
        <f>(SUMPRODUCT(AP$9:AP$229,Nutrients!$D$8:$D$228)+(IF($A$7=Nutrients!$B$8,Nutrients!$D$8,Nutrients!$D$9)*AP$7)+(((IF($A$8=Nutrients!$B$79,Nutrients!$D$79,(IF($A$8=Nutrients!$B$77,Nutrients!$D$77,Nutrients!$D$78)))))*AP$8))/2000/2.2046</f>
        <v>1580.9760320157659</v>
      </c>
      <c r="AR249" s="21">
        <f>(SUMPRODUCT(AR$9:AR$229,Nutrients!$D$8:$D$228)+(IF($A$7=Nutrients!$B$8,Nutrients!$D$8,Nutrients!$D$9)*AR$7)+(((IF($A$8=Nutrients!$B$79,Nutrients!$D$79,(IF($A$8=Nutrients!$B$77,Nutrients!$D$77,Nutrients!$D$78)))))*AR$8))/2000/2.2046</f>
        <v>1591.815464321191</v>
      </c>
      <c r="AS249" s="21">
        <f>(SUMPRODUCT(AS$9:AS$229,Nutrients!$D$8:$D$228)+(IF($A$7=Nutrients!$B$8,Nutrients!$D$8,Nutrients!$D$9)*AS$7)+(((IF($A$8=Nutrients!$B$79,Nutrients!$D$79,(IF($A$8=Nutrients!$B$77,Nutrients!$D$77,Nutrients!$D$78)))))*AS$8))/2000/2.2046</f>
        <v>1590.5594336761435</v>
      </c>
      <c r="AT249" s="21">
        <f>(SUMPRODUCT(AT$9:AT$229,Nutrients!$D$8:$D$228)+(IF($A$7=Nutrients!$B$8,Nutrients!$D$8,Nutrients!$D$9)*AT$7)+(((IF($A$8=Nutrients!$B$79,Nutrients!$D$79,(IF($A$8=Nutrients!$B$77,Nutrients!$D$77,Nutrients!$D$78)))))*AT$8))/2000/2.2046</f>
        <v>1590.0409546267654</v>
      </c>
      <c r="AU249" s="21">
        <f>(SUMPRODUCT(AU$9:AU$229,Nutrients!$D$8:$D$228)+(IF($A$7=Nutrients!$B$8,Nutrients!$D$8,Nutrients!$D$9)*AU$7)+(((IF($A$8=Nutrients!$B$79,Nutrients!$D$79,(IF($A$8=Nutrients!$B$77,Nutrients!$D$77,Nutrients!$D$78)))))*AU$8))/2000/2.2046</f>
        <v>1588.1056464879086</v>
      </c>
      <c r="AV249" s="21">
        <f>(SUMPRODUCT(AV$9:AV$229,Nutrients!$D$8:$D$228)+(IF($A$7=Nutrients!$B$8,Nutrients!$D$8,Nutrients!$D$9)*AV$7)+(((IF($A$8=Nutrients!$B$79,Nutrients!$D$79,(IF($A$8=Nutrients!$B$77,Nutrients!$D$77,Nutrients!$D$78)))))*AV$8))/2000/2.2046</f>
        <v>1586.8491869099125</v>
      </c>
      <c r="AW249" s="21">
        <f>(SUMPRODUCT(AW$9:AW$229,Nutrients!$D$8:$D$228)+(IF($A$7=Nutrients!$B$8,Nutrients!$D$8,Nutrients!$D$9)*AW$7)+(((IF($A$8=Nutrients!$B$79,Nutrients!$D$79,(IF($A$8=Nutrients!$B$77,Nutrients!$D$77,Nutrients!$D$78)))))*AW$8))/2000/2.2046</f>
        <v>1585.90391732953</v>
      </c>
    </row>
    <row r="250" spans="1:56" x14ac:dyDescent="0.25">
      <c r="A250" s="5" t="s">
        <v>30</v>
      </c>
      <c r="B250" s="21">
        <f>(SUMPRODUCT(B$9:B$229,Nutrients!$F$8:$F$228)+(IF($A$7=Nutrients!$B$8,Nutrients!$F$8,Nutrients!$F$9)*B$7)+(((IF($A$8=Nutrients!$B$79,Nutrients!$F$79,(IF($A$8=Nutrients!$B$77,Nutrients!$F$77,Nutrients!$F$78)))))*B$8))/2000/2.2046</f>
        <v>1147.6611237487589</v>
      </c>
      <c r="C250" s="21">
        <f>(SUMPRODUCT(C$9:C$229,Nutrients!$F$8:$F$228)+(IF($A$7=Nutrients!$B$8,Nutrients!$F$8,Nutrients!$F$9)*C$7)+(((IF($A$8=Nutrients!$B$79,Nutrients!$F$79,(IF($A$8=Nutrients!$B$77,Nutrients!$F$77,Nutrients!$F$78)))))*C$8))/2000/2.2046</f>
        <v>1156.7030647238309</v>
      </c>
      <c r="D250" s="21">
        <f>(SUMPRODUCT(D$9:D$229,Nutrients!$F$8:$F$228)+(IF($A$7=Nutrients!$B$8,Nutrients!$F$8,Nutrients!$F$9)*D$7)+(((IF($A$8=Nutrients!$B$79,Nutrients!$F$79,(IF($A$8=Nutrients!$B$77,Nutrients!$F$77,Nutrients!$F$78)))))*D$8))/2000/2.2046</f>
        <v>1164.6580809828592</v>
      </c>
      <c r="E250" s="21">
        <f>(SUMPRODUCT(E$9:E$229,Nutrients!$F$8:$F$228)+(IF($A$7=Nutrients!$B$8,Nutrients!$F$8,Nutrients!$F$9)*E$7)+(((IF($A$8=Nutrients!$B$79,Nutrients!$F$79,(IF($A$8=Nutrients!$B$77,Nutrients!$F$77,Nutrients!$F$78)))))*E$8))/2000/2.2046</f>
        <v>1171.5486817586343</v>
      </c>
      <c r="F250" s="21">
        <f>(SUMPRODUCT(F$9:F$229,Nutrients!$F$8:$F$228)+(IF($A$7=Nutrients!$B$8,Nutrients!$F$8,Nutrients!$F$9)*F$7)+(((IF($A$8=Nutrients!$B$79,Nutrients!$F$79,(IF($A$8=Nutrients!$B$77,Nutrients!$F$77,Nutrients!$F$78)))))*F$8))/2000/2.2046</f>
        <v>1176.5212854349088</v>
      </c>
      <c r="G250" s="21">
        <f>(SUMPRODUCT(G$9:G$229,Nutrients!$F$8:$F$228)+(IF($A$7=Nutrients!$B$8,Nutrients!$F$8,Nutrients!$F$9)*G$7)+(((IF($A$8=Nutrients!$B$79,Nutrients!$F$79,(IF($A$8=Nutrients!$B$77,Nutrients!$F$77,Nutrients!$F$78)))))*G$8))/2000/2.2046</f>
        <v>1178.7128237398681</v>
      </c>
      <c r="H250" s="226"/>
      <c r="I250" s="21">
        <f>(SUMPRODUCT(I$9:I$229,Nutrients!$F$8:$F$228)+(IF($A$7=Nutrients!$B$8,Nutrients!$F$8,Nutrients!$F$9)*I$7)+(((IF($A$8=Nutrients!$B$79,Nutrients!$F$79,(IF($A$8=Nutrients!$B$77,Nutrients!$F$77,Nutrients!$F$78)))))*I$8))/2000/2.2046</f>
        <v>1138.3008703643573</v>
      </c>
      <c r="J250" s="21">
        <f>(SUMPRODUCT(J$9:J$229,Nutrients!$F$8:$F$228)+(IF($A$7=Nutrients!$B$8,Nutrients!$F$8,Nutrients!$F$9)*J$7)+(((IF($A$8=Nutrients!$B$79,Nutrients!$F$79,(IF($A$8=Nutrients!$B$77,Nutrients!$F$77,Nutrients!$F$78)))))*J$8))/2000/2.2046</f>
        <v>1147.2473377044885</v>
      </c>
      <c r="K250" s="21">
        <f>(SUMPRODUCT(K$9:K$229,Nutrients!$F$8:$F$228)+(IF($A$7=Nutrients!$B$8,Nutrients!$F$8,Nutrients!$F$9)*K$7)+(((IF($A$8=Nutrients!$B$79,Nutrients!$F$79,(IF($A$8=Nutrients!$B$77,Nutrients!$F$77,Nutrients!$F$78)))))*K$8))/2000/2.2046</f>
        <v>1155.137803019436</v>
      </c>
      <c r="L250" s="21">
        <f>(SUMPRODUCT(L$9:L$229,Nutrients!$F$8:$F$228)+(IF($A$7=Nutrients!$B$8,Nutrients!$F$8,Nutrients!$F$9)*L$7)+(((IF($A$8=Nutrients!$B$79,Nutrients!$F$79,(IF($A$8=Nutrients!$B$77,Nutrients!$F$77,Nutrients!$F$78)))))*L$8))/2000/2.2046</f>
        <v>1162.2435337903835</v>
      </c>
      <c r="M250" s="21">
        <f>(SUMPRODUCT(M$9:M$229,Nutrients!$F$8:$F$228)+(IF($A$7=Nutrients!$B$8,Nutrients!$F$8,Nutrients!$F$9)*M$7)+(((IF($A$8=Nutrients!$B$79,Nutrients!$F$79,(IF($A$8=Nutrients!$B$77,Nutrients!$F$77,Nutrients!$F$78)))))*M$8))/2000/2.2046</f>
        <v>1167.1373103865972</v>
      </c>
      <c r="N250" s="21">
        <f>(SUMPRODUCT(N$9:N$229,Nutrients!$F$8:$F$228)+(IF($A$7=Nutrients!$B$8,Nutrients!$F$8,Nutrients!$F$9)*N$7)+(((IF($A$8=Nutrients!$B$79,Nutrients!$F$79,(IF($A$8=Nutrients!$B$77,Nutrients!$F$77,Nutrients!$F$78)))))*N$8))/2000/2.2046</f>
        <v>1169.3844086810843</v>
      </c>
      <c r="O250" s="234"/>
      <c r="P250" s="21">
        <f>(SUMPRODUCT(P$9:P$229,Nutrients!$F$8:$F$228)+(IF($A$7=Nutrients!$B$8,Nutrients!$F$8,Nutrients!$F$9)*P$7)+(((IF($A$8=Nutrients!$B$79,Nutrients!$F$79,(IF($A$8=Nutrients!$B$77,Nutrients!$F$77,Nutrients!$F$78)))))*P$8))/2000/2.2046</f>
        <v>1128.8245847655332</v>
      </c>
      <c r="Q250" s="21">
        <f>(SUMPRODUCT(Q$9:Q$229,Nutrients!$F$8:$F$228)+(IF($A$7=Nutrients!$B$8,Nutrients!$F$8,Nutrients!$F$9)*Q$7)+(((IF($A$8=Nutrients!$B$79,Nutrients!$F$79,(IF($A$8=Nutrients!$B$77,Nutrients!$F$77,Nutrients!$F$78)))))*Q$8))/2000/2.2046</f>
        <v>1137.7331217942392</v>
      </c>
      <c r="R250" s="21">
        <f>(SUMPRODUCT(R$9:R$229,Nutrients!$F$8:$F$228)+(IF($A$7=Nutrients!$B$8,Nutrients!$F$8,Nutrients!$F$9)*R$7)+(((IF($A$8=Nutrients!$B$79,Nutrients!$F$79,(IF($A$8=Nutrients!$B$77,Nutrients!$F$77,Nutrients!$F$78)))))*R$8))/2000/2.2046</f>
        <v>1145.5663353035231</v>
      </c>
      <c r="S250" s="21">
        <f>(SUMPRODUCT(S$9:S$229,Nutrients!$F$8:$F$228)+(IF($A$7=Nutrients!$B$8,Nutrients!$F$8,Nutrients!$F$9)*S$7)+(((IF($A$8=Nutrients!$B$79,Nutrients!$F$79,(IF($A$8=Nutrients!$B$77,Nutrients!$F$77,Nutrients!$F$78)))))*S$8))/2000/2.2046</f>
        <v>1152.6945850635498</v>
      </c>
      <c r="T250" s="21">
        <f>(SUMPRODUCT(T$9:T$229,Nutrients!$F$8:$F$228)+(IF($A$7=Nutrients!$B$8,Nutrients!$F$8,Nutrients!$F$9)*T$7)+(((IF($A$8=Nutrients!$B$79,Nutrients!$F$79,(IF($A$8=Nutrients!$B$77,Nutrients!$F$77,Nutrients!$F$78)))))*T$8))/2000/2.2046</f>
        <v>1157.6058680223171</v>
      </c>
      <c r="U250" s="21">
        <f>(SUMPRODUCT(U$9:U$229,Nutrients!$F$8:$F$228)+(IF($A$7=Nutrients!$B$8,Nutrients!$F$8,Nutrients!$F$9)*U$7)+(((IF($A$8=Nutrients!$B$79,Nutrients!$F$79,(IF($A$8=Nutrients!$B$77,Nutrients!$F$77,Nutrients!$F$78)))))*U$8))/2000/2.2046</f>
        <v>1159.8530835230979</v>
      </c>
      <c r="W250" s="21">
        <f>(SUMPRODUCT(W$9:W$229,Nutrients!$F$8:$F$228)+(IF($A$7=Nutrients!$B$8,Nutrients!$F$8,Nutrients!$F$9)*W$7)+(((IF($A$8=Nutrients!$B$79,Nutrients!$F$79,(IF($A$8=Nutrients!$B$77,Nutrients!$F$77,Nutrients!$F$78)))))*W$8))/2000/2.2046</f>
        <v>1119.3683736487694</v>
      </c>
      <c r="X250" s="21">
        <f>(SUMPRODUCT(X$9:X$229,Nutrients!$F$8:$F$228)+(IF($A$7=Nutrients!$B$8,Nutrients!$F$8,Nutrients!$F$9)*X$7)+(((IF($A$8=Nutrients!$B$79,Nutrients!$F$79,(IF($A$8=Nutrients!$B$77,Nutrients!$F$77,Nutrients!$F$78)))))*X$8))/2000/2.2046</f>
        <v>1128.2329882690331</v>
      </c>
      <c r="Y250" s="21">
        <f>(SUMPRODUCT(Y$9:Y$229,Nutrients!$F$8:$F$228)+(IF($A$7=Nutrients!$B$8,Nutrients!$F$8,Nutrients!$F$9)*Y$7)+(((IF($A$8=Nutrients!$B$79,Nutrients!$F$79,(IF($A$8=Nutrients!$B$77,Nutrients!$F$77,Nutrients!$F$78)))))*Y$8))/2000/2.2046</f>
        <v>1136.090598301676</v>
      </c>
      <c r="Z250" s="21">
        <f>(SUMPRODUCT(Z$9:Z$229,Nutrients!$F$8:$F$228)+(IF($A$7=Nutrients!$B$8,Nutrients!$F$8,Nutrients!$F$9)*Z$7)+(((IF($A$8=Nutrients!$B$79,Nutrients!$F$79,(IF($A$8=Nutrients!$B$77,Nutrients!$F$77,Nutrients!$F$78)))))*Z$8))/2000/2.2046</f>
        <v>1143.1713972397924</v>
      </c>
      <c r="AA250" s="21">
        <f>(SUMPRODUCT(AA$9:AA$229,Nutrients!$F$8:$F$228)+(IF($A$7=Nutrients!$B$8,Nutrients!$F$8,Nutrients!$F$9)*AA$7)+(((IF($A$8=Nutrients!$B$79,Nutrients!$F$79,(IF($A$8=Nutrients!$B$77,Nutrients!$F$77,Nutrients!$F$78)))))*AA$8))/2000/2.2046</f>
        <v>1148.110291058945</v>
      </c>
      <c r="AB250" s="21">
        <f>(SUMPRODUCT(AB$9:AB$229,Nutrients!$F$8:$F$228)+(IF($A$7=Nutrients!$B$8,Nutrients!$F$8,Nutrients!$F$9)*AB$7)+(((IF($A$8=Nutrients!$B$79,Nutrients!$F$79,(IF($A$8=Nutrients!$B$77,Nutrients!$F$77,Nutrients!$F$78)))))*AB$8))/2000/2.2046</f>
        <v>1150.0950029230005</v>
      </c>
      <c r="AD250" s="21">
        <f>(SUMPRODUCT(AD$9:AD$229,Nutrients!$F$8:$F$228)+(IF($A$7=Nutrients!$B$8,Nutrients!$F$8,Nutrients!$F$9)*AD$7)+(((IF($A$8=Nutrients!$B$79,Nutrients!$F$79,(IF($A$8=Nutrients!$B$77,Nutrients!$F$77,Nutrients!$F$78)))))*AD$8))/2000/2.2046</f>
        <v>1109.9054338559818</v>
      </c>
      <c r="AE250" s="21">
        <f>(SUMPRODUCT(AE$9:AE$229,Nutrients!$F$8:$F$228)+(IF($A$7=Nutrients!$B$8,Nutrients!$F$8,Nutrients!$F$9)*AE$7)+(((IF($A$8=Nutrients!$B$79,Nutrients!$F$79,(IF($A$8=Nutrients!$B$77,Nutrients!$F$77,Nutrients!$F$78)))))*AE$8))/2000/2.2046</f>
        <v>1118.7862386950869</v>
      </c>
      <c r="AF250" s="21">
        <f>(SUMPRODUCT(AF$9:AF$229,Nutrients!$F$8:$F$228)+(IF($A$7=Nutrients!$B$8,Nutrients!$F$8,Nutrients!$F$9)*AF$7)+(((IF($A$8=Nutrients!$B$79,Nutrients!$F$79,(IF($A$8=Nutrients!$B$77,Nutrients!$F$77,Nutrients!$F$78)))))*AF$8))/2000/2.2046</f>
        <v>1126.5735368422334</v>
      </c>
      <c r="AG250" s="21">
        <f>(SUMPRODUCT(AG$9:AG$229,Nutrients!$F$8:$F$228)+(IF($A$7=Nutrients!$B$8,Nutrients!$F$8,Nutrients!$F$9)*AG$7)+(((IF($A$8=Nutrients!$B$79,Nutrients!$F$79,(IF($A$8=Nutrients!$B$77,Nutrients!$F$77,Nutrients!$F$78)))))*AG$8))/2000/2.2046</f>
        <v>1133.683943416288</v>
      </c>
      <c r="AH250" s="21">
        <f>(SUMPRODUCT(AH$9:AH$229,Nutrients!$F$8:$F$228)+(IF($A$7=Nutrients!$B$8,Nutrients!$F$8,Nutrients!$F$9)*AH$7)+(((IF($A$8=Nutrients!$B$79,Nutrients!$F$79,(IF($A$8=Nutrients!$B$77,Nutrients!$F$77,Nutrients!$F$78)))))*AH$8))/2000/2.2046</f>
        <v>1137.9255222188276</v>
      </c>
      <c r="AI250" s="21">
        <f>(SUMPRODUCT(AI$9:AI$229,Nutrients!$F$8:$F$228)+(IF($A$7=Nutrients!$B$8,Nutrients!$F$8,Nutrients!$F$9)*AI$7)+(((IF($A$8=Nutrients!$B$79,Nutrients!$F$79,(IF($A$8=Nutrients!$B$77,Nutrients!$F$77,Nutrients!$F$78)))))*AI$8))/2000/2.2046</f>
        <v>1139.5607883388373</v>
      </c>
      <c r="AK250" s="21">
        <f>(SUMPRODUCT(AK$9:AK$229,Nutrients!$F$8:$F$228)+(IF($A$7=Nutrients!$B$8,Nutrients!$F$8,Nutrients!$F$9)*AK$7)+(((IF($A$8=Nutrients!$B$79,Nutrients!$F$79,(IF($A$8=Nutrients!$B$77,Nutrients!$F$77,Nutrients!$F$78)))))*AK$8))/2000/2.2046</f>
        <v>1100.1747990872072</v>
      </c>
      <c r="AL250" s="21">
        <f>(SUMPRODUCT(AL$9:AL$229,Nutrients!$F$8:$F$228)+(IF($A$7=Nutrients!$B$8,Nutrients!$F$8,Nutrients!$F$9)*AL$7)+(((IF($A$8=Nutrients!$B$79,Nutrients!$F$79,(IF($A$8=Nutrients!$B$77,Nutrients!$F$77,Nutrients!$F$78)))))*AL$8))/2000/2.2046</f>
        <v>1109.3332918744932</v>
      </c>
      <c r="AM250" s="21">
        <f>(SUMPRODUCT(AM$9:AM$229,Nutrients!$F$8:$F$228)+(IF($A$7=Nutrients!$B$8,Nutrients!$F$8,Nutrients!$F$9)*AM$7)+(((IF($A$8=Nutrients!$B$79,Nutrients!$F$79,(IF($A$8=Nutrients!$B$77,Nutrients!$F$77,Nutrients!$F$78)))))*AM$8))/2000/2.2046</f>
        <v>1117.1427290696408</v>
      </c>
      <c r="AN250" s="21">
        <f>(SUMPRODUCT(AN$9:AN$229,Nutrients!$F$8:$F$228)+(IF($A$7=Nutrients!$B$8,Nutrients!$F$8,Nutrients!$F$9)*AN$7)+(((IF($A$8=Nutrients!$B$79,Nutrients!$F$79,(IF($A$8=Nutrients!$B$77,Nutrients!$F$77,Nutrients!$F$78)))))*AN$8))/2000/2.2046</f>
        <v>1123.6887766047048</v>
      </c>
      <c r="AO250" s="21">
        <f>(SUMPRODUCT(AO$9:AO$229,Nutrients!$F$8:$F$228)+(IF($A$7=Nutrients!$B$8,Nutrients!$F$8,Nutrients!$F$9)*AO$7)+(((IF($A$8=Nutrients!$B$79,Nutrients!$F$79,(IF($A$8=Nutrients!$B$77,Nutrients!$F$77,Nutrients!$F$78)))))*AO$8))/2000/2.2046</f>
        <v>1127.4124370913266</v>
      </c>
      <c r="AP250" s="21">
        <f>(SUMPRODUCT(AP$9:AP$229,Nutrients!$F$8:$F$228)+(IF($A$7=Nutrients!$B$8,Nutrients!$F$8,Nutrients!$F$9)*AP$7)+(((IF($A$8=Nutrients!$B$79,Nutrients!$F$79,(IF($A$8=Nutrients!$B$77,Nutrients!$F$77,Nutrients!$F$78)))))*AP$8))/2000/2.2046</f>
        <v>1129.0311032240836</v>
      </c>
      <c r="AR250" s="21">
        <f>(SUMPRODUCT(AR$9:AR$229,Nutrients!$F$8:$F$228)+(IF($A$7=Nutrients!$B$8,Nutrients!$F$8,Nutrients!$F$9)*AR$7)+(((IF($A$8=Nutrients!$B$79,Nutrients!$F$79,(IF($A$8=Nutrients!$B$77,Nutrients!$F$77,Nutrients!$F$78)))))*AR$8))/2000/2.2046</f>
        <v>1090.8211858473737</v>
      </c>
      <c r="AS250" s="21">
        <f>(SUMPRODUCT(AS$9:AS$229,Nutrients!$F$8:$F$228)+(IF($A$7=Nutrients!$B$8,Nutrients!$F$8,Nutrients!$F$9)*AS$7)+(((IF($A$8=Nutrients!$B$79,Nutrients!$F$79,(IF($A$8=Nutrients!$B$77,Nutrients!$F$77,Nutrients!$F$78)))))*AS$8))/2000/2.2046</f>
        <v>1099.8679406387109</v>
      </c>
      <c r="AT250" s="21">
        <f>(SUMPRODUCT(AT$9:AT$229,Nutrients!$F$8:$F$228)+(IF($A$7=Nutrients!$B$8,Nutrients!$F$8,Nutrients!$F$9)*AT$7)+(((IF($A$8=Nutrients!$B$79,Nutrients!$F$79,(IF($A$8=Nutrients!$B$77,Nutrients!$F$77,Nutrients!$F$78)))))*AT$8))/2000/2.2046</f>
        <v>1107.683270647736</v>
      </c>
      <c r="AU250" s="21">
        <f>(SUMPRODUCT(AU$9:AU$229,Nutrients!$F$8:$F$228)+(IF($A$7=Nutrients!$B$8,Nutrients!$F$8,Nutrients!$F$9)*AU$7)+(((IF($A$8=Nutrients!$B$79,Nutrients!$F$79,(IF($A$8=Nutrients!$B$77,Nutrients!$F$77,Nutrients!$F$78)))))*AU$8))/2000/2.2046</f>
        <v>1113.1910563757922</v>
      </c>
      <c r="AV250" s="21">
        <f>(SUMPRODUCT(AV$9:AV$229,Nutrients!$F$8:$F$228)+(IF($A$7=Nutrients!$B$8,Nutrients!$F$8,Nutrients!$F$9)*AV$7)+(((IF($A$8=Nutrients!$B$79,Nutrients!$F$79,(IF($A$8=Nutrients!$B$77,Nutrients!$F$77,Nutrients!$F$78)))))*AV$8))/2000/2.2046</f>
        <v>1116.8949328041945</v>
      </c>
      <c r="AW250" s="21">
        <f>(SUMPRODUCT(AW$9:AW$229,Nutrients!$F$8:$F$228)+(IF($A$7=Nutrients!$B$8,Nutrients!$F$8,Nutrients!$F$9)*AW$7)+(((IF($A$8=Nutrients!$B$79,Nutrients!$F$79,(IF($A$8=Nutrients!$B$77,Nutrients!$F$77,Nutrients!$F$78)))))*AW$8))/2000/2.2046</f>
        <v>1118.4970295591545</v>
      </c>
      <c r="AY250" s="21"/>
      <c r="AZ250" s="21"/>
      <c r="BA250" s="21"/>
      <c r="BB250" s="21"/>
      <c r="BC250" s="21"/>
      <c r="BD250" s="21"/>
    </row>
    <row r="251" spans="1:56" x14ac:dyDescent="0.25">
      <c r="A251" s="38" t="s">
        <v>29</v>
      </c>
      <c r="B251" s="21">
        <f t="shared" ref="B251:G251" si="34">B250*2.20462</f>
        <v>2530.1566666389886</v>
      </c>
      <c r="C251" s="21">
        <f t="shared" si="34"/>
        <v>2550.090710551452</v>
      </c>
      <c r="D251" s="21">
        <f t="shared" si="34"/>
        <v>2567.6284984964309</v>
      </c>
      <c r="E251" s="21">
        <f t="shared" si="34"/>
        <v>2582.8196547787202</v>
      </c>
      <c r="F251" s="21">
        <f t="shared" si="34"/>
        <v>2593.7823562955086</v>
      </c>
      <c r="G251" s="21">
        <f t="shared" si="34"/>
        <v>2598.6138654733877</v>
      </c>
      <c r="H251" s="226"/>
      <c r="I251" s="21">
        <f t="shared" ref="I251:N251" si="35">I250*2.20462</f>
        <v>2509.520864822669</v>
      </c>
      <c r="J251" s="21">
        <f t="shared" si="35"/>
        <v>2529.2444256500689</v>
      </c>
      <c r="K251" s="21">
        <f t="shared" si="35"/>
        <v>2546.6399032927088</v>
      </c>
      <c r="L251" s="21">
        <f t="shared" si="35"/>
        <v>2562.3053394649551</v>
      </c>
      <c r="M251" s="21">
        <f t="shared" si="35"/>
        <v>2573.0942572244994</v>
      </c>
      <c r="N251" s="21">
        <f t="shared" si="35"/>
        <v>2578.0482550664919</v>
      </c>
      <c r="O251" s="234"/>
      <c r="P251" s="21">
        <f t="shared" ref="P251:U251" si="36">P250*2.20462</f>
        <v>2488.6292560657898</v>
      </c>
      <c r="Q251" s="21">
        <f t="shared" si="36"/>
        <v>2508.2691949700152</v>
      </c>
      <c r="R251" s="21">
        <f t="shared" si="36"/>
        <v>2525.538454136853</v>
      </c>
      <c r="S251" s="21">
        <f t="shared" si="36"/>
        <v>2541.2535361228029</v>
      </c>
      <c r="T251" s="21">
        <f t="shared" si="36"/>
        <v>2552.0810487593603</v>
      </c>
      <c r="U251" s="21">
        <f t="shared" si="36"/>
        <v>2557.035304996692</v>
      </c>
      <c r="W251" s="21">
        <f t="shared" ref="W251:AB251" si="37">W250*2.20462</f>
        <v>2467.7819039135497</v>
      </c>
      <c r="X251" s="21">
        <f t="shared" si="37"/>
        <v>2487.3250105976754</v>
      </c>
      <c r="Y251" s="21">
        <f t="shared" si="37"/>
        <v>2504.6480548278405</v>
      </c>
      <c r="Z251" s="21">
        <f t="shared" si="37"/>
        <v>2520.2585257827909</v>
      </c>
      <c r="AA251" s="21">
        <f t="shared" si="37"/>
        <v>2531.146909874371</v>
      </c>
      <c r="AB251" s="21">
        <f t="shared" si="37"/>
        <v>2535.5224453441051</v>
      </c>
      <c r="AD251" s="21">
        <f t="shared" ref="AD251:AI251" si="38">AD250*2.20462</f>
        <v>2446.9197175875743</v>
      </c>
      <c r="AE251" s="21">
        <f t="shared" si="38"/>
        <v>2466.4985175519623</v>
      </c>
      <c r="AF251" s="21">
        <f t="shared" si="38"/>
        <v>2483.6665507931243</v>
      </c>
      <c r="AG251" s="21">
        <f t="shared" si="38"/>
        <v>2499.3422953344166</v>
      </c>
      <c r="AH251" s="21">
        <f t="shared" si="38"/>
        <v>2508.6933647940714</v>
      </c>
      <c r="AI251" s="21">
        <f t="shared" si="38"/>
        <v>2512.2985051875671</v>
      </c>
      <c r="AK251" s="21">
        <f t="shared" ref="AK251:AP251" si="39">AK250*2.20462</f>
        <v>2425.4673655636389</v>
      </c>
      <c r="AL251" s="21">
        <f t="shared" si="39"/>
        <v>2445.6583619323451</v>
      </c>
      <c r="AM251" s="21">
        <f t="shared" si="39"/>
        <v>2462.8752033615115</v>
      </c>
      <c r="AN251" s="21">
        <f t="shared" si="39"/>
        <v>2477.3067506782641</v>
      </c>
      <c r="AO251" s="21">
        <f t="shared" si="39"/>
        <v>2485.5160070602801</v>
      </c>
      <c r="AP251" s="21">
        <f t="shared" si="39"/>
        <v>2489.0845507898789</v>
      </c>
      <c r="AR251" s="21">
        <f t="shared" ref="AR251:AW251" si="40">AR250*2.20462</f>
        <v>2404.8462027428368</v>
      </c>
      <c r="AS251" s="21">
        <f t="shared" si="40"/>
        <v>2424.7908592909148</v>
      </c>
      <c r="AT251" s="21">
        <f t="shared" si="40"/>
        <v>2442.0206921354115</v>
      </c>
      <c r="AU251" s="21">
        <f t="shared" si="40"/>
        <v>2454.1632667071985</v>
      </c>
      <c r="AV251" s="21">
        <f t="shared" si="40"/>
        <v>2462.328906758783</v>
      </c>
      <c r="AW251" s="21">
        <f t="shared" si="40"/>
        <v>2465.8609213067029</v>
      </c>
    </row>
    <row r="252" spans="1:56" x14ac:dyDescent="0.25">
      <c r="A252" s="38" t="s">
        <v>390</v>
      </c>
      <c r="B252" s="23">
        <f t="shared" ref="B252:G252" si="41">IF(B$5="","",B236/(B250*2.2046)*10000)</f>
        <v>4.6879417735209223</v>
      </c>
      <c r="C252" s="23">
        <f t="shared" si="41"/>
        <v>4.112530627795425</v>
      </c>
      <c r="D252" s="23">
        <f t="shared" si="41"/>
        <v>3.6100787872368278</v>
      </c>
      <c r="E252" s="23">
        <f t="shared" si="41"/>
        <v>3.198349183249853</v>
      </c>
      <c r="F252" s="23">
        <f t="shared" si="41"/>
        <v>2.9175053758993537</v>
      </c>
      <c r="G252" s="23">
        <f t="shared" si="41"/>
        <v>2.7645509469935567</v>
      </c>
      <c r="H252" s="227"/>
      <c r="I252" s="23">
        <f t="shared" ref="I252:N252" si="42">IF(I$5="","",I236/(I250*2.2046)*10000)</f>
        <v>4.6876292282993317</v>
      </c>
      <c r="J252" s="23">
        <f t="shared" si="42"/>
        <v>4.1136367192162773</v>
      </c>
      <c r="K252" s="23">
        <f t="shared" si="42"/>
        <v>3.6119772218664936</v>
      </c>
      <c r="L252" s="23">
        <f t="shared" si="42"/>
        <v>3.1993805697761695</v>
      </c>
      <c r="M252" s="23">
        <f t="shared" si="42"/>
        <v>2.9162692451654051</v>
      </c>
      <c r="N252" s="23">
        <f t="shared" si="42"/>
        <v>2.7635215079275643</v>
      </c>
      <c r="O252" s="198"/>
      <c r="P252" s="23">
        <f t="shared" ref="P252:U252" si="43">IF(P$5="","",P236/(P250*2.2046)*10000)</f>
        <v>4.6953412772039087</v>
      </c>
      <c r="Q252" s="23">
        <f t="shared" si="43"/>
        <v>4.1201642687805293</v>
      </c>
      <c r="R252" s="23">
        <f t="shared" si="43"/>
        <v>3.6182054319171923</v>
      </c>
      <c r="S252" s="23">
        <f t="shared" si="43"/>
        <v>3.2003549059849501</v>
      </c>
      <c r="T252" s="23">
        <f t="shared" si="43"/>
        <v>2.9178841638144175</v>
      </c>
      <c r="U252" s="23">
        <f t="shared" si="43"/>
        <v>2.7650975161813283</v>
      </c>
      <c r="W252" s="23">
        <f t="shared" ref="W252:AB252" si="44">IF(W$5="","",W236/(W250*2.2046)*10000)</f>
        <v>4.7030956283565173</v>
      </c>
      <c r="X252" s="23">
        <f t="shared" si="44"/>
        <v>4.1267659886320667</v>
      </c>
      <c r="Y252" s="23">
        <f t="shared" si="44"/>
        <v>3.6187899572754394</v>
      </c>
      <c r="Z252" s="23">
        <f t="shared" si="44"/>
        <v>3.2026568018800989</v>
      </c>
      <c r="AA252" s="23">
        <f t="shared" si="44"/>
        <v>2.9197957967968442</v>
      </c>
      <c r="AB252" s="23">
        <f t="shared" si="44"/>
        <v>2.7666429464099593</v>
      </c>
      <c r="AD252" s="23">
        <f t="shared" ref="AD252:AI252" si="45">IF(AD$5="","",AD236/(AD250*2.2046)*10000)</f>
        <v>4.7105732898755868</v>
      </c>
      <c r="AE252" s="23">
        <f t="shared" si="45"/>
        <v>4.127849214898708</v>
      </c>
      <c r="AF252" s="23">
        <f t="shared" si="45"/>
        <v>3.6208172278997499</v>
      </c>
      <c r="AG252" s="23">
        <f t="shared" si="45"/>
        <v>3.2048045883077343</v>
      </c>
      <c r="AH252" s="23">
        <f t="shared" si="45"/>
        <v>2.9214421897972596</v>
      </c>
      <c r="AI252" s="23">
        <f t="shared" si="45"/>
        <v>2.7683687830445085</v>
      </c>
      <c r="AK252" s="23">
        <f t="shared" ref="AK252:AP252" si="46">IF(AK$5="","",AK236/(AK250*2.2046)*10000)</f>
        <v>4.7413972624790093</v>
      </c>
      <c r="AL252" s="23">
        <f t="shared" si="46"/>
        <v>4.13055439006685</v>
      </c>
      <c r="AM252" s="23">
        <f t="shared" si="46"/>
        <v>3.6232320184333999</v>
      </c>
      <c r="AN252" s="23">
        <f t="shared" si="46"/>
        <v>3.2068039885110302</v>
      </c>
      <c r="AO252" s="23">
        <f t="shared" si="46"/>
        <v>2.9232554067118448</v>
      </c>
      <c r="AP252" s="23">
        <f t="shared" si="46"/>
        <v>2.7700967975110897</v>
      </c>
      <c r="AR252" s="23">
        <f t="shared" ref="AR252:AW252" si="47">IF(AR$5="","",AR236/(AR250*2.2046)*10000)</f>
        <v>4.7404708904541275</v>
      </c>
      <c r="AS252" s="23">
        <f t="shared" si="47"/>
        <v>4.1333866723249004</v>
      </c>
      <c r="AT252" s="23">
        <f t="shared" si="47"/>
        <v>3.6268488482340908</v>
      </c>
      <c r="AU252" s="23">
        <f t="shared" si="47"/>
        <v>3.2094750024953997</v>
      </c>
      <c r="AV252" s="23">
        <f t="shared" si="47"/>
        <v>2.9251417808624738</v>
      </c>
      <c r="AW252" s="23">
        <f t="shared" si="47"/>
        <v>2.7718786690455475</v>
      </c>
    </row>
    <row r="253" spans="1:56" x14ac:dyDescent="0.25">
      <c r="A253" s="51" t="s">
        <v>155</v>
      </c>
      <c r="B253" s="22">
        <f>(SUMPRODUCT(B$9:B$229,Nutrients!$I$8:$I$228)+(IF($A$7=Nutrients!$B$8,Nutrients!$I$8,Nutrients!$I$9)*B$7)+(((IF($A$8=Nutrients!$B$79,Nutrients!$I$79,(IF($A$8=Nutrients!$B$77,Nutrients!$I$77,Nutrients!$I$78)))))*B$8))/2000</f>
        <v>20.659564989031431</v>
      </c>
      <c r="C253" s="22">
        <f>(SUMPRODUCT(C$9:C$229,Nutrients!$I$8:$I$228)+(IF($A$7=Nutrients!$B$8,Nutrients!$I$8,Nutrients!$I$9)*C$7)+(((IF($A$8=Nutrients!$B$79,Nutrients!$I$79,(IF($A$8=Nutrients!$B$77,Nutrients!$I$77,Nutrients!$I$78)))))*C$8))/2000</f>
        <v>18.474711094282195</v>
      </c>
      <c r="D253" s="22">
        <f>(SUMPRODUCT(D$9:D$229,Nutrients!$I$8:$I$228)+(IF($A$7=Nutrients!$B$8,Nutrients!$I$8,Nutrients!$I$9)*D$7)+(((IF($A$8=Nutrients!$B$79,Nutrients!$I$79,(IF($A$8=Nutrients!$B$77,Nutrients!$I$77,Nutrients!$I$78)))))*D$8))/2000</f>
        <v>16.586100942528425</v>
      </c>
      <c r="E253" s="22">
        <f>(SUMPRODUCT(E$9:E$229,Nutrients!$I$8:$I$228)+(IF($A$7=Nutrients!$B$8,Nutrients!$I$8,Nutrients!$I$9)*E$7)+(((IF($A$8=Nutrients!$B$79,Nutrients!$I$79,(IF($A$8=Nutrients!$B$77,Nutrients!$I$77,Nutrients!$I$78)))))*E$8))/2000</f>
        <v>15.008183180211585</v>
      </c>
      <c r="F253" s="22">
        <f>(SUMPRODUCT(F$9:F$229,Nutrients!$I$8:$I$228)+(IF($A$7=Nutrients!$B$8,Nutrients!$I$8,Nutrients!$I$9)*F$7)+(((IF($A$8=Nutrients!$B$79,Nutrients!$I$79,(IF($A$8=Nutrients!$B$77,Nutrients!$I$77,Nutrients!$I$78)))))*F$8))/2000</f>
        <v>13.947394938936968</v>
      </c>
      <c r="G253" s="22">
        <f>(SUMPRODUCT(G$9:G$229,Nutrients!$I$8:$I$228)+(IF($A$7=Nutrients!$B$8,Nutrients!$I$8,Nutrients!$I$9)*G$7)+(((IF($A$8=Nutrients!$B$79,Nutrients!$I$79,(IF($A$8=Nutrients!$B$77,Nutrients!$I$77,Nutrients!$I$78)))))*G$8))/2000</f>
        <v>13.408858132850794</v>
      </c>
      <c r="H253" s="228"/>
      <c r="I253" s="22">
        <f>(SUMPRODUCT(I$9:I$229,Nutrients!$I$8:$I$228)+(IF($A$7=Nutrients!$B$8,Nutrients!$I$8,Nutrients!$I$9)*I$7)+(((IF($A$8=Nutrients!$B$79,Nutrients!$I$79,(IF($A$8=Nutrients!$B$77,Nutrients!$I$77,Nutrients!$I$78)))))*I$8))/2000</f>
        <v>20.868984554150327</v>
      </c>
      <c r="J253" s="22">
        <f>(SUMPRODUCT(J$9:J$229,Nutrients!$I$8:$I$228)+(IF($A$7=Nutrients!$B$8,Nutrients!$I$8,Nutrients!$I$9)*J$7)+(((IF($A$8=Nutrients!$B$79,Nutrients!$I$79,(IF($A$8=Nutrients!$B$77,Nutrients!$I$77,Nutrients!$I$78)))))*J$8))/2000</f>
        <v>18.707553277637057</v>
      </c>
      <c r="K253" s="22">
        <f>(SUMPRODUCT(K$9:K$229,Nutrients!$I$8:$I$228)+(IF($A$7=Nutrients!$B$8,Nutrients!$I$8,Nutrients!$I$9)*K$7)+(((IF($A$8=Nutrients!$B$79,Nutrients!$I$79,(IF($A$8=Nutrients!$B$77,Nutrients!$I$77,Nutrients!$I$78)))))*K$8))/2000</f>
        <v>16.838611432401887</v>
      </c>
      <c r="L253" s="22">
        <f>(SUMPRODUCT(L$9:L$229,Nutrients!$I$8:$I$228)+(IF($A$7=Nutrients!$B$8,Nutrients!$I$8,Nutrients!$I$9)*L$7)+(((IF($A$8=Nutrients!$B$79,Nutrients!$I$79,(IF($A$8=Nutrients!$B$77,Nutrients!$I$77,Nutrients!$I$78)))))*L$8))/2000</f>
        <v>15.274662648416196</v>
      </c>
      <c r="M253" s="22">
        <f>(SUMPRODUCT(M$9:M$229,Nutrients!$I$8:$I$228)+(IF($A$7=Nutrients!$B$8,Nutrients!$I$8,Nutrients!$I$9)*M$7)+(((IF($A$8=Nutrients!$B$79,Nutrients!$I$79,(IF($A$8=Nutrients!$B$77,Nutrients!$I$77,Nutrients!$I$78)))))*M$8))/2000</f>
        <v>14.212599358207665</v>
      </c>
      <c r="N253" s="22">
        <f>(SUMPRODUCT(N$9:N$229,Nutrients!$I$8:$I$228)+(IF($A$7=Nutrients!$B$8,Nutrients!$I$8,Nutrients!$I$9)*N$7)+(((IF($A$8=Nutrients!$B$79,Nutrients!$I$79,(IF($A$8=Nutrients!$B$77,Nutrients!$I$77,Nutrients!$I$78)))))*N$8))/2000</f>
        <v>13.68111426749892</v>
      </c>
      <c r="O253" s="235"/>
      <c r="P253" s="22">
        <f>(SUMPRODUCT(P$9:P$229,Nutrients!$I$8:$I$228)+(IF($A$7=Nutrients!$B$8,Nutrients!$I$8,Nutrients!$I$9)*P$7)+(((IF($A$8=Nutrients!$B$79,Nutrients!$I$79,(IF($A$8=Nutrients!$B$77,Nutrients!$I$77,Nutrients!$I$78)))))*P$8))/2000</f>
        <v>21.109223912627058</v>
      </c>
      <c r="Q253" s="22">
        <f>(SUMPRODUCT(Q$9:Q$229,Nutrients!$I$8:$I$228)+(IF($A$7=Nutrients!$B$8,Nutrients!$I$8,Nutrients!$I$9)*Q$7)+(((IF($A$8=Nutrients!$B$79,Nutrients!$I$79,(IF($A$8=Nutrients!$B$77,Nutrients!$I$77,Nutrients!$I$78)))))*Q$8))/2000</f>
        <v>18.962387521788358</v>
      </c>
      <c r="R253" s="22">
        <f>(SUMPRODUCT(R$9:R$229,Nutrients!$I$8:$I$228)+(IF($A$7=Nutrients!$B$8,Nutrients!$I$8,Nutrients!$I$9)*R$7)+(((IF($A$8=Nutrients!$B$79,Nutrients!$I$79,(IF($A$8=Nutrients!$B$77,Nutrients!$I$77,Nutrients!$I$78)))))*R$8))/2000</f>
        <v>17.108254896780547</v>
      </c>
      <c r="S253" s="22">
        <f>(SUMPRODUCT(S$9:S$229,Nutrients!$I$8:$I$228)+(IF($A$7=Nutrients!$B$8,Nutrients!$I$8,Nutrients!$I$9)*S$7)+(((IF($A$8=Nutrients!$B$79,Nutrients!$I$79,(IF($A$8=Nutrients!$B$77,Nutrients!$I$77,Nutrients!$I$78)))))*S$8))/2000</f>
        <v>15.53723464526462</v>
      </c>
      <c r="T253" s="22">
        <f>(SUMPRODUCT(T$9:T$229,Nutrients!$I$8:$I$228)+(IF($A$7=Nutrients!$B$8,Nutrients!$I$8,Nutrients!$I$9)*T$7)+(((IF($A$8=Nutrients!$B$79,Nutrients!$I$79,(IF($A$8=Nutrients!$B$77,Nutrients!$I$77,Nutrients!$I$78)))))*T$8))/2000</f>
        <v>14.492185496795154</v>
      </c>
      <c r="U253" s="22">
        <f>(SUMPRODUCT(U$9:U$229,Nutrients!$I$8:$I$228)+(IF($A$7=Nutrients!$B$8,Nutrients!$I$8,Nutrients!$I$9)*U$7)+(((IF($A$8=Nutrients!$B$79,Nutrients!$I$79,(IF($A$8=Nutrients!$B$77,Nutrients!$I$77,Nutrients!$I$78)))))*U$8))/2000</f>
        <v>13.967032025265024</v>
      </c>
      <c r="W253" s="22">
        <f>(SUMPRODUCT(W$9:W$229,Nutrients!$I$8:$I$228)+(IF($A$7=Nutrients!$B$8,Nutrients!$I$8,Nutrients!$I$9)*W$7)+(((IF($A$8=Nutrients!$B$79,Nutrients!$I$79,(IF($A$8=Nutrients!$B$77,Nutrients!$I$77,Nutrients!$I$78)))))*W$8))/2000</f>
        <v>21.349533850263338</v>
      </c>
      <c r="X253" s="22">
        <f>(SUMPRODUCT(X$9:X$229,Nutrients!$I$8:$I$228)+(IF($A$7=Nutrients!$B$8,Nutrients!$I$8,Nutrients!$I$9)*X$7)+(((IF($A$8=Nutrients!$B$79,Nutrients!$I$79,(IF($A$8=Nutrients!$B$77,Nutrients!$I$77,Nutrients!$I$78)))))*X$8))/2000</f>
        <v>19.217008348952426</v>
      </c>
      <c r="Y253" s="22">
        <f>(SUMPRODUCT(Y$9:Y$229,Nutrients!$I$8:$I$228)+(IF($A$7=Nutrients!$B$8,Nutrients!$I$8,Nutrients!$I$9)*Y$7)+(((IF($A$8=Nutrients!$B$79,Nutrients!$I$79,(IF($A$8=Nutrients!$B$77,Nutrients!$I$77,Nutrients!$I$78)))))*Y$8))/2000</f>
        <v>17.356300968408767</v>
      </c>
      <c r="Z253" s="22">
        <f>(SUMPRODUCT(Z$9:Z$229,Nutrients!$I$8:$I$228)+(IF($A$7=Nutrients!$B$8,Nutrients!$I$8,Nutrients!$I$9)*Z$7)+(((IF($A$8=Nutrients!$B$79,Nutrients!$I$79,(IF($A$8=Nutrients!$B$77,Nutrients!$I$77,Nutrients!$I$78)))))*Z$8))/2000</f>
        <v>15.807076172505134</v>
      </c>
      <c r="AA253" s="22">
        <f>(SUMPRODUCT(AA$9:AA$229,Nutrients!$I$8:$I$228)+(IF($A$7=Nutrients!$B$8,Nutrients!$I$8,Nutrients!$I$9)*AA$7)+(((IF($A$8=Nutrients!$B$79,Nutrients!$I$79,(IF($A$8=Nutrients!$B$77,Nutrients!$I$77,Nutrients!$I$78)))))*AA$8))/2000</f>
        <v>14.774655348672297</v>
      </c>
      <c r="AB253" s="22">
        <f>(SUMPRODUCT(AB$9:AB$229,Nutrients!$I$8:$I$228)+(IF($A$7=Nutrients!$B$8,Nutrients!$I$8,Nutrients!$I$9)*AB$7)+(((IF($A$8=Nutrients!$B$79,Nutrients!$I$79,(IF($A$8=Nutrients!$B$77,Nutrients!$I$77,Nutrients!$I$78)))))*AB$8))/2000</f>
        <v>14.249479412240522</v>
      </c>
      <c r="AD253" s="22">
        <f>(SUMPRODUCT(AD$9:AD$229,Nutrients!$I$8:$I$228)+(IF($A$7=Nutrients!$B$8,Nutrients!$I$8,Nutrients!$I$9)*AD$7)+(((IF($A$8=Nutrients!$B$79,Nutrients!$I$79,(IF($A$8=Nutrients!$B$77,Nutrients!$I$77,Nutrients!$I$78)))))*AD$8))/2000</f>
        <v>21.588066570721509</v>
      </c>
      <c r="AE253" s="22">
        <f>(SUMPRODUCT(AE$9:AE$229,Nutrients!$I$8:$I$228)+(IF($A$7=Nutrients!$B$8,Nutrients!$I$8,Nutrients!$I$9)*AE$7)+(((IF($A$8=Nutrients!$B$79,Nutrients!$I$79,(IF($A$8=Nutrients!$B$77,Nutrients!$I$77,Nutrients!$I$78)))))*AE$8))/2000</f>
        <v>19.449967504381718</v>
      </c>
      <c r="AF253" s="22">
        <f>(SUMPRODUCT(AF$9:AF$229,Nutrients!$I$8:$I$228)+(IF($A$7=Nutrients!$B$8,Nutrients!$I$8,Nutrients!$I$9)*AF$7)+(((IF($A$8=Nutrients!$B$79,Nutrients!$I$79,(IF($A$8=Nutrients!$B$77,Nutrients!$I$77,Nutrients!$I$78)))))*AF$8))/2000</f>
        <v>17.608625438371465</v>
      </c>
      <c r="AG253" s="22">
        <f>(SUMPRODUCT(AG$9:AG$229,Nutrients!$I$8:$I$228)+(IF($A$7=Nutrients!$B$8,Nutrients!$I$8,Nutrients!$I$9)*AG$7)+(((IF($A$8=Nutrients!$B$79,Nutrients!$I$79,(IF($A$8=Nutrients!$B$77,Nutrients!$I$77,Nutrients!$I$78)))))*AG$8))/2000</f>
        <v>16.080801340649419</v>
      </c>
      <c r="AH253" s="22">
        <f>(SUMPRODUCT(AH$9:AH$229,Nutrients!$I$8:$I$228)+(IF($A$7=Nutrients!$B$8,Nutrients!$I$8,Nutrients!$I$9)*AH$7)+(((IF($A$8=Nutrients!$B$79,Nutrients!$I$79,(IF($A$8=Nutrients!$B$77,Nutrients!$I$77,Nutrients!$I$78)))))*AH$8))/2000</f>
        <v>15.045367670524143</v>
      </c>
      <c r="AI253" s="22">
        <f>(SUMPRODUCT(AI$9:AI$229,Nutrients!$I$8:$I$228)+(IF($A$7=Nutrients!$B$8,Nutrients!$I$8,Nutrients!$I$9)*AI$7)+(((IF($A$8=Nutrients!$B$79,Nutrients!$I$79,(IF($A$8=Nutrients!$B$77,Nutrients!$I$77,Nutrients!$I$78)))))*AI$8))/2000</f>
        <v>14.521135241298811</v>
      </c>
      <c r="AK253" s="22">
        <f>(SUMPRODUCT(AK$9:AK$229,Nutrients!$I$8:$I$228)+(IF($A$7=Nutrients!$B$8,Nutrients!$I$8,Nutrients!$I$9)*AK$7)+(((IF($A$8=Nutrients!$B$79,Nutrients!$I$79,(IF($A$8=Nutrients!$B$77,Nutrients!$I$77,Nutrients!$I$78)))))*AK$8))/2000</f>
        <v>21.912887950417126</v>
      </c>
      <c r="AL253" s="22">
        <f>(SUMPRODUCT(AL$9:AL$229,Nutrients!$I$8:$I$228)+(IF($A$7=Nutrients!$B$8,Nutrients!$I$8,Nutrients!$I$9)*AL$7)+(((IF($A$8=Nutrients!$B$79,Nutrients!$I$79,(IF($A$8=Nutrients!$B$77,Nutrients!$I$77,Nutrients!$I$78)))))*AL$8))/2000</f>
        <v>19.689213862320614</v>
      </c>
      <c r="AM253" s="22">
        <f>(SUMPRODUCT(AM$9:AM$229,Nutrients!$I$8:$I$228)+(IF($A$7=Nutrients!$B$8,Nutrients!$I$8,Nutrients!$I$9)*AM$7)+(((IF($A$8=Nutrients!$B$79,Nutrients!$I$79,(IF($A$8=Nutrients!$B$77,Nutrients!$I$77,Nutrients!$I$78)))))*AM$8))/2000</f>
        <v>17.869992059188888</v>
      </c>
      <c r="AN253" s="22">
        <f>(SUMPRODUCT(AN$9:AN$229,Nutrients!$I$8:$I$228)+(IF($A$7=Nutrients!$B$8,Nutrients!$I$8,Nutrients!$I$9)*AN$7)+(((IF($A$8=Nutrients!$B$79,Nutrients!$I$79,(IF($A$8=Nutrients!$B$77,Nutrients!$I$77,Nutrients!$I$78)))))*AN$8))/2000</f>
        <v>16.345282240820236</v>
      </c>
      <c r="AO253" s="22">
        <f>(SUMPRODUCT(AO$9:AO$229,Nutrients!$I$8:$I$228)+(IF($A$7=Nutrients!$B$8,Nutrients!$I$8,Nutrients!$I$9)*AO$7)+(((IF($A$8=Nutrients!$B$79,Nutrients!$I$79,(IF($A$8=Nutrients!$B$77,Nutrients!$I$77,Nutrients!$I$78)))))*AO$8))/2000</f>
        <v>15.312088027856673</v>
      </c>
      <c r="AP253" s="22">
        <f>(SUMPRODUCT(AP$9:AP$229,Nutrients!$I$8:$I$228)+(IF($A$7=Nutrients!$B$8,Nutrients!$I$8,Nutrients!$I$9)*AP$7)+(((IF($A$8=Nutrients!$B$79,Nutrients!$I$79,(IF($A$8=Nutrients!$B$77,Nutrients!$I$77,Nutrients!$I$78)))))*AP$8))/2000</f>
        <v>14.793078236640929</v>
      </c>
      <c r="AR253" s="22">
        <f>(SUMPRODUCT(AR$9:AR$229,Nutrients!$I$8:$I$228)+(IF($A$7=Nutrients!$B$8,Nutrients!$I$8,Nutrients!$I$9)*AR$7)+(((IF($A$8=Nutrients!$B$79,Nutrients!$I$79,(IF($A$8=Nutrients!$B$77,Nutrients!$I$77,Nutrients!$I$78)))))*AR$8))/2000</f>
        <v>22.118924812787085</v>
      </c>
      <c r="AS253" s="22">
        <f>(SUMPRODUCT(AS$9:AS$229,Nutrients!$I$8:$I$228)+(IF($A$7=Nutrients!$B$8,Nutrients!$I$8,Nutrients!$I$9)*AS$7)+(((IF($A$8=Nutrients!$B$79,Nutrients!$I$79,(IF($A$8=Nutrients!$B$77,Nutrients!$I$77,Nutrients!$I$78)))))*AS$8))/2000</f>
        <v>19.928541456637848</v>
      </c>
      <c r="AT253" s="22">
        <f>(SUMPRODUCT(AT$9:AT$229,Nutrients!$I$8:$I$228)+(IF($A$7=Nutrients!$B$8,Nutrients!$I$8,Nutrients!$I$9)*AT$7)+(((IF($A$8=Nutrients!$B$79,Nutrients!$I$79,(IF($A$8=Nutrients!$B$77,Nutrients!$I$77,Nutrients!$I$78)))))*AT$8))/2000</f>
        <v>18.135492255530394</v>
      </c>
      <c r="AU253" s="22">
        <f>(SUMPRODUCT(AU$9:AU$229,Nutrients!$I$8:$I$228)+(IF($A$7=Nutrients!$B$8,Nutrients!$I$8,Nutrients!$I$9)*AU$7)+(((IF($A$8=Nutrients!$B$79,Nutrients!$I$79,(IF($A$8=Nutrients!$B$77,Nutrients!$I$77,Nutrients!$I$78)))))*AU$8))/2000</f>
        <v>16.604788180304155</v>
      </c>
      <c r="AV253" s="22">
        <f>(SUMPRODUCT(AV$9:AV$229,Nutrients!$I$8:$I$228)+(IF($A$7=Nutrients!$B$8,Nutrients!$I$8,Nutrients!$I$9)*AV$7)+(((IF($A$8=Nutrients!$B$79,Nutrients!$I$79,(IF($A$8=Nutrients!$B$77,Nutrients!$I$77,Nutrients!$I$78)))))*AV$8))/2000</f>
        <v>15.578575614171911</v>
      </c>
      <c r="AW253" s="22">
        <f>(SUMPRODUCT(AW$9:AW$229,Nutrients!$I$8:$I$228)+(IF($A$7=Nutrients!$B$8,Nutrients!$I$8,Nutrients!$I$9)*AW$7)+(((IF($A$8=Nutrients!$B$79,Nutrients!$I$79,(IF($A$8=Nutrients!$B$77,Nutrients!$I$77,Nutrients!$I$78)))))*AW$8))/2000</f>
        <v>15.064702397839635</v>
      </c>
    </row>
    <row r="254" spans="1:56" x14ac:dyDescent="0.25">
      <c r="A254" s="41" t="s">
        <v>144</v>
      </c>
      <c r="B254" s="23">
        <f>(SUMPRODUCT(B$9:B$229,Nutrients!$BS$8:$BS$228)+(IF($A$7=Nutrients!$B$8,Nutrients!$BS$8,Nutrients!$BS$9)*B$7)+(((IF($A$8=Nutrients!$B$79,Nutrients!$BS$79,(IF($A$8=Nutrients!$B$77,Nutrients!$BS$77,Nutrients!$BS$78)))))*B$8))/2000</f>
        <v>0.6959867621315019</v>
      </c>
      <c r="C254" s="23">
        <f>(SUMPRODUCT(C$9:C$229,Nutrients!$BS$8:$BS$228)+(IF($A$7=Nutrients!$B$8,Nutrients!$BS$8,Nutrients!$BS$9)*C$7)+(((IF($A$8=Nutrients!$B$79,Nutrients!$BS$79,(IF($A$8=Nutrients!$B$77,Nutrients!$BS$77,Nutrients!$BS$78)))))*C$8))/2000</f>
        <v>0.62662783783950593</v>
      </c>
      <c r="D254" s="23">
        <f>(SUMPRODUCT(D$9:D$229,Nutrients!$BS$8:$BS$228)+(IF($A$7=Nutrients!$B$8,Nutrients!$BS$8,Nutrients!$BS$9)*D$7)+(((IF($A$8=Nutrients!$B$79,Nutrients!$BS$79,(IF($A$8=Nutrients!$B$77,Nutrients!$BS$77,Nutrients!$BS$78)))))*D$8))/2000</f>
        <v>0.57472596332038417</v>
      </c>
      <c r="E254" s="23">
        <f>(SUMPRODUCT(E$9:E$229,Nutrients!$BS$8:$BS$228)+(IF($A$7=Nutrients!$B$8,Nutrients!$BS$8,Nutrients!$BS$9)*E$7)+(((IF($A$8=Nutrients!$B$79,Nutrients!$BS$79,(IF($A$8=Nutrients!$B$77,Nutrients!$BS$77,Nutrients!$BS$78)))))*E$8))/2000</f>
        <v>0.52452097205568682</v>
      </c>
      <c r="F254" s="23">
        <f>(SUMPRODUCT(F$9:F$229,Nutrients!$BS$8:$BS$228)+(IF($A$7=Nutrients!$B$8,Nutrients!$BS$8,Nutrients!$BS$9)*F$7)+(((IF($A$8=Nutrients!$B$79,Nutrients!$BS$79,(IF($A$8=Nutrients!$B$77,Nutrients!$BS$77,Nutrients!$BS$78)))))*F$8))/2000</f>
        <v>0.48152514697950427</v>
      </c>
      <c r="G254" s="23">
        <f>(SUMPRODUCT(G$9:G$229,Nutrients!$BS$8:$BS$228)+(IF($A$7=Nutrients!$B$8,Nutrients!$BS$8,Nutrients!$BS$9)*G$7)+(((IF($A$8=Nutrients!$B$79,Nutrients!$BS$79,(IF($A$8=Nutrients!$B$77,Nutrients!$BS$77,Nutrients!$BS$78)))))*G$8))/2000</f>
        <v>0.46528542953652235</v>
      </c>
      <c r="H254" s="227"/>
      <c r="I254" s="23">
        <f>(SUMPRODUCT(I$9:I$229,Nutrients!$BS$8:$BS$228)+(IF($A$7=Nutrients!$B$8,Nutrients!$BS$8,Nutrients!$BS$9)*I$7)+(((IF($A$8=Nutrients!$B$79,Nutrients!$BS$79,(IF($A$8=Nutrients!$B$77,Nutrients!$BS$77,Nutrients!$BS$78)))))*I$8))/2000</f>
        <v>0.69549234721729292</v>
      </c>
      <c r="J254" s="23">
        <f>(SUMPRODUCT(J$9:J$229,Nutrients!$BS$8:$BS$228)+(IF($A$7=Nutrients!$B$8,Nutrients!$BS$8,Nutrients!$BS$9)*J$7)+(((IF($A$8=Nutrients!$B$79,Nutrients!$BS$79,(IF($A$8=Nutrients!$B$77,Nutrients!$BS$77,Nutrients!$BS$78)))))*J$8))/2000</f>
        <v>0.62705204503980994</v>
      </c>
      <c r="K254" s="23">
        <f>(SUMPRODUCT(K$9:K$229,Nutrients!$BS$8:$BS$228)+(IF($A$7=Nutrients!$B$8,Nutrients!$BS$8,Nutrients!$BS$9)*K$7)+(((IF($A$8=Nutrients!$B$79,Nutrients!$BS$79,(IF($A$8=Nutrients!$B$77,Nutrients!$BS$77,Nutrients!$BS$78)))))*K$8))/2000</f>
        <v>0.57560738696742619</v>
      </c>
      <c r="L254" s="23">
        <f>(SUMPRODUCT(L$9:L$229,Nutrients!$BS$8:$BS$228)+(IF($A$7=Nutrients!$B$8,Nutrients!$BS$8,Nutrients!$BS$9)*L$7)+(((IF($A$8=Nutrients!$B$79,Nutrients!$BS$79,(IF($A$8=Nutrients!$B$77,Nutrients!$BS$77,Nutrients!$BS$78)))))*L$8))/2000</f>
        <v>0.52009619805015317</v>
      </c>
      <c r="M254" s="23">
        <f>(SUMPRODUCT(M$9:M$229,Nutrients!$BS$8:$BS$228)+(IF($A$7=Nutrients!$B$8,Nutrients!$BS$8,Nutrients!$BS$9)*M$7)+(((IF($A$8=Nutrients!$B$79,Nutrients!$BS$79,(IF($A$8=Nutrients!$B$77,Nutrients!$BS$77,Nutrients!$BS$78)))))*M$8))/2000</f>
        <v>0.47889538217647037</v>
      </c>
      <c r="N254" s="23">
        <f>(SUMPRODUCT(N$9:N$229,Nutrients!$BS$8:$BS$228)+(IF($A$7=Nutrients!$B$8,Nutrients!$BS$8,Nutrients!$BS$9)*N$7)+(((IF($A$8=Nutrients!$B$79,Nutrients!$BS$79,(IF($A$8=Nutrients!$B$77,Nutrients!$BS$77,Nutrients!$BS$78)))))*N$8))/2000</f>
        <v>0.46119783326559027</v>
      </c>
      <c r="O254" s="198"/>
      <c r="P254" s="23">
        <f>(SUMPRODUCT(P$9:P$229,Nutrients!$BS$8:$BS$228)+(IF($A$7=Nutrients!$B$8,Nutrients!$BS$8,Nutrients!$BS$9)*P$7)+(((IF($A$8=Nutrients!$B$79,Nutrients!$BS$79,(IF($A$8=Nutrients!$B$77,Nutrients!$BS$77,Nutrients!$BS$78)))))*P$8))/2000</f>
        <v>0.69621606652791368</v>
      </c>
      <c r="Q254" s="23">
        <f>(SUMPRODUCT(Q$9:Q$229,Nutrients!$BS$8:$BS$228)+(IF($A$7=Nutrients!$B$8,Nutrients!$BS$8,Nutrients!$BS$9)*Q$7)+(((IF($A$8=Nutrients!$B$79,Nutrients!$BS$79,(IF($A$8=Nutrients!$B$77,Nutrients!$BS$77,Nutrients!$BS$78)))))*Q$8))/2000</f>
        <v>0.62784369066614532</v>
      </c>
      <c r="R254" s="23">
        <f>(SUMPRODUCT(R$9:R$229,Nutrients!$BS$8:$BS$228)+(IF($A$7=Nutrients!$B$8,Nutrients!$BS$8,Nutrients!$BS$9)*R$7)+(((IF($A$8=Nutrients!$B$79,Nutrients!$BS$79,(IF($A$8=Nutrients!$B$77,Nutrients!$BS$77,Nutrients!$BS$78)))))*R$8))/2000</f>
        <v>0.57671570517143511</v>
      </c>
      <c r="S254" s="23">
        <f>(SUMPRODUCT(S$9:S$229,Nutrients!$BS$8:$BS$228)+(IF($A$7=Nutrients!$B$8,Nutrients!$BS$8,Nutrients!$BS$9)*S$7)+(((IF($A$8=Nutrients!$B$79,Nutrients!$BS$79,(IF($A$8=Nutrients!$B$77,Nutrients!$BS$77,Nutrients!$BS$78)))))*S$8))/2000</f>
        <v>0.52112359920610851</v>
      </c>
      <c r="T254" s="23">
        <f>(SUMPRODUCT(T$9:T$229,Nutrients!$BS$8:$BS$228)+(IF($A$7=Nutrients!$B$8,Nutrients!$BS$8,Nutrients!$BS$9)*T$7)+(((IF($A$8=Nutrients!$B$79,Nutrients!$BS$79,(IF($A$8=Nutrients!$B$77,Nutrients!$BS$77,Nutrients!$BS$78)))))*T$8))/2000</f>
        <v>0.48003051366870453</v>
      </c>
      <c r="U254" s="23">
        <f>(SUMPRODUCT(U$9:U$229,Nutrients!$BS$8:$BS$228)+(IF($A$7=Nutrients!$B$8,Nutrients!$BS$8,Nutrients!$BS$9)*U$7)+(((IF($A$8=Nutrients!$B$79,Nutrients!$BS$79,(IF($A$8=Nutrients!$B$77,Nutrients!$BS$77,Nutrients!$BS$78)))))*U$8))/2000</f>
        <v>0.46238623258134809</v>
      </c>
      <c r="W254" s="23">
        <f>(SUMPRODUCT(W$9:W$229,Nutrients!$BS$8:$BS$228)+(IF($A$7=Nutrients!$B$8,Nutrients!$BS$8,Nutrients!$BS$9)*W$7)+(((IF($A$8=Nutrients!$B$79,Nutrients!$BS$79,(IF($A$8=Nutrients!$B$77,Nutrients!$BS$77,Nutrients!$BS$78)))))*W$8))/2000</f>
        <v>0.69630822692718564</v>
      </c>
      <c r="X254" s="23">
        <f>(SUMPRODUCT(X$9:X$229,Nutrients!$BS$8:$BS$228)+(IF($A$7=Nutrients!$B$8,Nutrients!$BS$8,Nutrients!$BS$9)*X$7)+(((IF($A$8=Nutrients!$B$79,Nutrients!$BS$79,(IF($A$8=Nutrients!$B$77,Nutrients!$BS$77,Nutrients!$BS$78)))))*X$8))/2000</f>
        <v>0.62804819281658497</v>
      </c>
      <c r="Y254" s="23">
        <f>(SUMPRODUCT(Y$9:Y$229,Nutrients!$BS$8:$BS$228)+(IF($A$7=Nutrients!$B$8,Nutrients!$BS$8,Nutrients!$BS$9)*Y$7)+(((IF($A$8=Nutrients!$B$79,Nutrients!$BS$79,(IF($A$8=Nutrients!$B$77,Nutrients!$BS$77,Nutrients!$BS$78)))))*Y$8))/2000</f>
        <v>0.57686645103596856</v>
      </c>
      <c r="Z254" s="23">
        <f>(SUMPRODUCT(Z$9:Z$229,Nutrients!$BS$8:$BS$228)+(IF($A$7=Nutrients!$B$8,Nutrients!$BS$8,Nutrients!$BS$9)*Z$7)+(((IF($A$8=Nutrients!$B$79,Nutrients!$BS$79,(IF($A$8=Nutrients!$B$77,Nutrients!$BS$77,Nutrients!$BS$78)))))*Z$8))/2000</f>
        <v>0.52143555806577979</v>
      </c>
      <c r="AA254" s="23">
        <f>(SUMPRODUCT(AA$9:AA$229,Nutrients!$BS$8:$BS$228)+(IF($A$7=Nutrients!$B$8,Nutrients!$BS$8,Nutrients!$BS$9)*AA$7)+(((IF($A$8=Nutrients!$B$79,Nutrients!$BS$79,(IF($A$8=Nutrients!$B$77,Nutrients!$BS$77,Nutrients!$BS$78)))))*AA$8))/2000</f>
        <v>0.48040786906454946</v>
      </c>
      <c r="AB254" s="23">
        <f>(SUMPRODUCT(AB$9:AB$229,Nutrients!$BS$8:$BS$228)+(IF($A$7=Nutrients!$B$8,Nutrients!$BS$8,Nutrients!$BS$9)*AB$7)+(((IF($A$8=Nutrients!$B$79,Nutrients!$BS$79,(IF($A$8=Nutrients!$B$77,Nutrients!$BS$77,Nutrients!$BS$78)))))*AB$8))/2000</f>
        <v>0.46795597140439338</v>
      </c>
      <c r="AD254" s="23">
        <f>(SUMPRODUCT(AD$9:AD$229,Nutrients!$BS$8:$BS$228)+(IF($A$7=Nutrients!$B$8,Nutrients!$BS$8,Nutrients!$BS$9)*AD$7)+(((IF($A$8=Nutrients!$B$79,Nutrients!$BS$79,(IF($A$8=Nutrients!$B$77,Nutrients!$BS$77,Nutrients!$BS$78)))))*AD$8))/2000</f>
        <v>0.69676597105582572</v>
      </c>
      <c r="AE254" s="23">
        <f>(SUMPRODUCT(AE$9:AE$229,Nutrients!$BS$8:$BS$228)+(IF($A$7=Nutrients!$B$8,Nutrients!$BS$8,Nutrients!$BS$9)*AE$7)+(((IF($A$8=Nutrients!$B$79,Nutrients!$BS$79,(IF($A$8=Nutrients!$B$77,Nutrients!$BS$77,Nutrients!$BS$78)))))*AE$8))/2000</f>
        <v>0.62849071764533637</v>
      </c>
      <c r="AF254" s="23">
        <f>(SUMPRODUCT(AF$9:AF$229,Nutrients!$BS$8:$BS$228)+(IF($A$7=Nutrients!$B$8,Nutrients!$BS$8,Nutrients!$BS$9)*AF$7)+(((IF($A$8=Nutrients!$B$79,Nutrients!$BS$79,(IF($A$8=Nutrients!$B$77,Nutrients!$BS$77,Nutrients!$BS$78)))))*AF$8))/2000</f>
        <v>0.57753146181125159</v>
      </c>
      <c r="AG254" s="23">
        <f>(SUMPRODUCT(AG$9:AG$229,Nutrients!$BS$8:$BS$228)+(IF($A$7=Nutrients!$B$8,Nutrients!$BS$8,Nutrients!$BS$9)*AG$7)+(((IF($A$8=Nutrients!$B$79,Nutrients!$BS$79,(IF($A$8=Nutrients!$B$77,Nutrients!$BS$77,Nutrients!$BS$78)))))*AG$8))/2000</f>
        <v>0.5223273024198315</v>
      </c>
      <c r="AH254" s="23">
        <f>(SUMPRODUCT(AH$9:AH$229,Nutrients!$BS$8:$BS$228)+(IF($A$7=Nutrients!$B$8,Nutrients!$BS$8,Nutrients!$BS$9)*AH$7)+(((IF($A$8=Nutrients!$B$79,Nutrients!$BS$79,(IF($A$8=Nutrients!$B$77,Nutrients!$BS$77,Nutrients!$BS$78)))))*AH$8))/2000</f>
        <v>0.49483733291432469</v>
      </c>
      <c r="AI254" s="23">
        <f>(SUMPRODUCT(AI$9:AI$229,Nutrients!$BS$8:$BS$228)+(IF($A$7=Nutrients!$B$8,Nutrients!$BS$8,Nutrients!$BS$9)*AI$7)+(((IF($A$8=Nutrients!$B$79,Nutrients!$BS$79,(IF($A$8=Nutrients!$B$77,Nutrients!$BS$77,Nutrients!$BS$78)))))*AI$8))/2000</f>
        <v>0.48896835270999284</v>
      </c>
      <c r="AK254" s="23">
        <f>(SUMPRODUCT(AK$9:AK$229,Nutrients!$BS$8:$BS$228)+(IF($A$7=Nutrients!$B$8,Nutrients!$BS$8,Nutrients!$BS$9)*AK$7)+(((IF($A$8=Nutrients!$B$79,Nutrients!$BS$79,(IF($A$8=Nutrients!$B$77,Nutrients!$BS$77,Nutrients!$BS$78)))))*AK$8))/2000</f>
        <v>0.697990224118053</v>
      </c>
      <c r="AL254" s="23">
        <f>(SUMPRODUCT(AL$9:AL$229,Nutrients!$BS$8:$BS$228)+(IF($A$7=Nutrients!$B$8,Nutrients!$BS$8,Nutrients!$BS$9)*AL$7)+(((IF($A$8=Nutrients!$B$79,Nutrients!$BS$79,(IF($A$8=Nutrients!$B$77,Nutrients!$BS$77,Nutrients!$BS$78)))))*AL$8))/2000</f>
        <v>0.62857452884971898</v>
      </c>
      <c r="AM254" s="23">
        <f>(SUMPRODUCT(AM$9:AM$229,Nutrients!$BS$8:$BS$228)+(IF($A$7=Nutrients!$B$8,Nutrients!$BS$8,Nutrients!$BS$9)*AM$7)+(((IF($A$8=Nutrients!$B$79,Nutrients!$BS$79,(IF($A$8=Nutrients!$B$77,Nutrients!$BS$77,Nutrients!$BS$78)))))*AM$8))/2000</f>
        <v>0.57774315497289763</v>
      </c>
      <c r="AN254" s="23">
        <f>(SUMPRODUCT(AN$9:AN$229,Nutrients!$BS$8:$BS$228)+(IF($A$7=Nutrients!$B$8,Nutrients!$BS$8,Nutrients!$BS$9)*AN$7)+(((IF($A$8=Nutrients!$B$79,Nutrients!$BS$79,(IF($A$8=Nutrients!$B$77,Nutrients!$BS$77,Nutrients!$BS$78)))))*AN$8))/2000</f>
        <v>0.53329676098394463</v>
      </c>
      <c r="AO254" s="23">
        <f>(SUMPRODUCT(AO$9:AO$229,Nutrients!$BS$8:$BS$228)+(IF($A$7=Nutrients!$B$8,Nutrients!$BS$8,Nutrients!$BS$9)*AO$7)+(((IF($A$8=Nutrients!$B$79,Nutrients!$BS$79,(IF($A$8=Nutrients!$B$77,Nutrients!$BS$77,Nutrients!$BS$78)))))*AO$8))/2000</f>
        <v>0.51578952550205603</v>
      </c>
      <c r="AP254" s="23">
        <f>(SUMPRODUCT(AP$9:AP$229,Nutrients!$BS$8:$BS$228)+(IF($A$7=Nutrients!$B$8,Nutrients!$BS$8,Nutrients!$BS$9)*AP$7)+(((IF($A$8=Nutrients!$B$79,Nutrients!$BS$79,(IF($A$8=Nutrients!$B$77,Nutrients!$BS$77,Nutrients!$BS$78)))))*AP$8))/2000</f>
        <v>0.50997932752856046</v>
      </c>
      <c r="AR254" s="23">
        <f>(SUMPRODUCT(AR$9:AR$229,Nutrients!$BS$8:$BS$228)+(IF($A$7=Nutrients!$B$8,Nutrients!$BS$8,Nutrients!$BS$9)*AR$7)+(((IF($A$8=Nutrients!$B$79,Nutrients!$BS$79,(IF($A$8=Nutrients!$B$77,Nutrients!$BS$77,Nutrients!$BS$78)))))*AR$8))/2000</f>
        <v>0.69789407418327631</v>
      </c>
      <c r="AS254" s="23">
        <f>(SUMPRODUCT(AS$9:AS$229,Nutrients!$BS$8:$BS$228)+(IF($A$7=Nutrients!$B$8,Nutrients!$BS$8,Nutrients!$BS$9)*AS$7)+(((IF($A$8=Nutrients!$B$79,Nutrients!$BS$79,(IF($A$8=Nutrients!$B$77,Nutrients!$BS$77,Nutrients!$BS$78)))))*AS$8))/2000</f>
        <v>0.62903763581149053</v>
      </c>
      <c r="AT254" s="23">
        <f>(SUMPRODUCT(AT$9:AT$229,Nutrients!$BS$8:$BS$228)+(IF($A$7=Nutrients!$B$8,Nutrients!$BS$8,Nutrients!$BS$9)*AT$7)+(((IF($A$8=Nutrients!$B$79,Nutrients!$BS$79,(IF($A$8=Nutrients!$B$77,Nutrients!$BS$77,Nutrients!$BS$78)))))*AT$8))/2000</f>
        <v>0.57848461261224604</v>
      </c>
      <c r="AU254" s="23">
        <f>(SUMPRODUCT(AU$9:AU$229,Nutrients!$BS$8:$BS$228)+(IF($A$7=Nutrients!$B$8,Nutrients!$BS$8,Nutrients!$BS$9)*AU$7)+(((IF($A$8=Nutrients!$B$79,Nutrients!$BS$79,(IF($A$8=Nutrients!$B$77,Nutrients!$BS$77,Nutrients!$BS$78)))))*AU$8))/2000</f>
        <v>0.55440344784338846</v>
      </c>
      <c r="AV254" s="23">
        <f>(SUMPRODUCT(AV$9:AV$229,Nutrients!$BS$8:$BS$228)+(IF($A$7=Nutrients!$B$8,Nutrients!$BS$8,Nutrients!$BS$9)*AV$7)+(((IF($A$8=Nutrients!$B$79,Nutrients!$BS$79,(IF($A$8=Nutrients!$B$77,Nutrients!$BS$77,Nutrients!$BS$78)))))*AV$8))/2000</f>
        <v>0.53674468577051604</v>
      </c>
      <c r="AW254" s="23">
        <f>(SUMPRODUCT(AW$9:AW$229,Nutrients!$BS$8:$BS$228)+(IF($A$7=Nutrients!$B$8,Nutrients!$BS$8,Nutrients!$BS$9)*AW$7)+(((IF($A$8=Nutrients!$B$79,Nutrients!$BS$79,(IF($A$8=Nutrients!$B$77,Nutrients!$BS$77,Nutrients!$BS$78)))))*AW$8))/2000</f>
        <v>0.53099132009272099</v>
      </c>
    </row>
    <row r="255" spans="1:56" x14ac:dyDescent="0.25">
      <c r="A255" s="41" t="s">
        <v>145</v>
      </c>
      <c r="B255" s="23">
        <f>(SUMPRODUCT(B$9:B$229,Nutrients!$BX$8:$BX$228)+(IF($A$7=Nutrients!$B$8,Nutrients!$BX$8,Nutrients!$BX$9)*B$7)+(((IF($A$8=Nutrients!$B$79,Nutrients!$BX$79,(IF($A$8=Nutrients!$B$77,Nutrients!$BX$77,Nutrients!$BX$78)))))*B$8))/2000</f>
        <v>0.5346695452711987</v>
      </c>
      <c r="C255" s="23">
        <f>(SUMPRODUCT(C$9:C$229,Nutrients!$BX$8:$BX$228)+(IF($A$7=Nutrients!$B$8,Nutrients!$BX$8,Nutrients!$BX$9)*C$7)+(((IF($A$8=Nutrients!$B$79,Nutrients!$BX$79,(IF($A$8=Nutrients!$B$77,Nutrients!$BX$77,Nutrients!$BX$78)))))*C$8))/2000</f>
        <v>0.48121097221673825</v>
      </c>
      <c r="D255" s="23">
        <f>(SUMPRODUCT(D$9:D$229,Nutrients!$BX$8:$BX$228)+(IF($A$7=Nutrients!$B$8,Nutrients!$BX$8,Nutrients!$BX$9)*D$7)+(((IF($A$8=Nutrients!$B$79,Nutrients!$BX$79,(IF($A$8=Nutrients!$B$77,Nutrients!$BX$77,Nutrients!$BX$78)))))*D$8))/2000</f>
        <v>0.42976285680817727</v>
      </c>
      <c r="E255" s="23">
        <f>(SUMPRODUCT(E$9:E$229,Nutrients!$BX$8:$BX$228)+(IF($A$7=Nutrients!$B$8,Nutrients!$BX$8,Nutrients!$BX$9)*E$7)+(((IF($A$8=Nutrients!$B$79,Nutrients!$BX$79,(IF($A$8=Nutrients!$B$77,Nutrients!$BX$77,Nutrients!$BX$78)))))*E$8))/2000</f>
        <v>0.3909770634935561</v>
      </c>
      <c r="F255" s="23">
        <f>(SUMPRODUCT(F$9:F$229,Nutrients!$BX$8:$BX$228)+(IF($A$7=Nutrients!$B$8,Nutrients!$BX$8,Nutrients!$BX$9)*F$7)+(((IF($A$8=Nutrients!$B$79,Nutrients!$BX$79,(IF($A$8=Nutrients!$B$77,Nutrients!$BX$77,Nutrients!$BX$78)))))*F$8))/2000</f>
        <v>0.36342201195104268</v>
      </c>
      <c r="G255" s="23">
        <f>(SUMPRODUCT(G$9:G$229,Nutrients!$BX$8:$BX$228)+(IF($A$7=Nutrients!$B$8,Nutrients!$BX$8,Nutrients!$BX$9)*G$7)+(((IF($A$8=Nutrients!$B$79,Nutrients!$BX$79,(IF($A$8=Nutrients!$B$77,Nutrients!$BX$77,Nutrients!$BX$78)))))*G$8))/2000</f>
        <v>0.35071811324744068</v>
      </c>
      <c r="H255" s="227"/>
      <c r="I255" s="23">
        <f>(SUMPRODUCT(I$9:I$229,Nutrients!$BX$8:$BX$228)+(IF($A$7=Nutrients!$B$8,Nutrients!$BX$8,Nutrients!$BX$9)*I$7)+(((IF($A$8=Nutrients!$B$79,Nutrients!$BX$79,(IF($A$8=Nutrients!$B$77,Nutrients!$BX$77,Nutrients!$BX$78)))))*I$8))/2000</f>
        <v>0.53378856874474034</v>
      </c>
      <c r="J255" s="23">
        <f>(SUMPRODUCT(J$9:J$229,Nutrients!$BX$8:$BX$228)+(IF($A$7=Nutrients!$B$8,Nutrients!$BX$8,Nutrients!$BX$9)*J$7)+(((IF($A$8=Nutrients!$B$79,Nutrients!$BX$79,(IF($A$8=Nutrients!$B$77,Nutrients!$BX$77,Nutrients!$BX$78)))))*J$8))/2000</f>
        <v>0.48059411815266345</v>
      </c>
      <c r="K255" s="23">
        <f>(SUMPRODUCT(K$9:K$229,Nutrients!$BX$8:$BX$228)+(IF($A$7=Nutrients!$B$8,Nutrients!$BX$8,Nutrients!$BX$9)*K$7)+(((IF($A$8=Nutrients!$B$79,Nutrients!$BX$79,(IF($A$8=Nutrients!$B$77,Nutrients!$BX$77,Nutrients!$BX$78)))))*K$8))/2000</f>
        <v>0.42936323045345376</v>
      </c>
      <c r="L255" s="23">
        <f>(SUMPRODUCT(L$9:L$229,Nutrients!$BX$8:$BX$228)+(IF($A$7=Nutrients!$B$8,Nutrients!$BX$8,Nutrients!$BX$9)*L$7)+(((IF($A$8=Nutrients!$B$79,Nutrients!$BX$79,(IF($A$8=Nutrients!$B$77,Nutrients!$BX$77,Nutrients!$BX$78)))))*L$8))/2000</f>
        <v>0.38803484247387704</v>
      </c>
      <c r="M255" s="23">
        <f>(SUMPRODUCT(M$9:M$229,Nutrients!$BX$8:$BX$228)+(IF($A$7=Nutrients!$B$8,Nutrients!$BX$8,Nutrients!$BX$9)*M$7)+(((IF($A$8=Nutrients!$B$79,Nutrients!$BX$79,(IF($A$8=Nutrients!$B$77,Nutrients!$BX$77,Nutrients!$BX$78)))))*M$8))/2000</f>
        <v>0.36126192753585401</v>
      </c>
      <c r="N255" s="23">
        <f>(SUMPRODUCT(N$9:N$229,Nutrients!$BX$8:$BX$228)+(IF($A$7=Nutrients!$B$8,Nutrients!$BX$8,Nutrients!$BX$9)*N$7)+(((IF($A$8=Nutrients!$B$79,Nutrients!$BX$79,(IF($A$8=Nutrients!$B$77,Nutrients!$BX$77,Nutrients!$BX$78)))))*N$8))/2000</f>
        <v>0.34782816018759144</v>
      </c>
      <c r="O255" s="198"/>
      <c r="P255" s="23">
        <f>(SUMPRODUCT(P$9:P$229,Nutrients!$BX$8:$BX$228)+(IF($A$7=Nutrients!$B$8,Nutrients!$BX$8,Nutrients!$BX$9)*P$7)+(((IF($A$8=Nutrients!$B$79,Nutrients!$BX$79,(IF($A$8=Nutrients!$B$77,Nutrients!$BX$77,Nutrients!$BX$78)))))*P$8))/2000</f>
        <v>0.5332451819467694</v>
      </c>
      <c r="Q255" s="23">
        <f>(SUMPRODUCT(Q$9:Q$229,Nutrients!$BX$8:$BX$228)+(IF($A$7=Nutrients!$B$8,Nutrients!$BX$8,Nutrients!$BX$9)*Q$7)+(((IF($A$8=Nutrients!$B$79,Nutrients!$BX$79,(IF($A$8=Nutrients!$B$77,Nutrients!$BX$77,Nutrients!$BX$78)))))*Q$8))/2000</f>
        <v>0.48021164559111784</v>
      </c>
      <c r="R255" s="23">
        <f>(SUMPRODUCT(R$9:R$229,Nutrients!$BX$8:$BX$228)+(IF($A$7=Nutrients!$B$8,Nutrients!$BX$8,Nutrients!$BX$9)*R$7)+(((IF($A$8=Nutrients!$B$79,Nutrients!$BX$79,(IF($A$8=Nutrients!$B$77,Nutrients!$BX$77,Nutrients!$BX$78)))))*R$8))/2000</f>
        <v>0.42915432909056112</v>
      </c>
      <c r="S255" s="23">
        <f>(SUMPRODUCT(S$9:S$229,Nutrients!$BX$8:$BX$228)+(IF($A$7=Nutrients!$B$8,Nutrients!$BX$8,Nutrients!$BX$9)*S$7)+(((IF($A$8=Nutrients!$B$79,Nutrients!$BX$79,(IF($A$8=Nutrients!$B$77,Nutrients!$BX$77,Nutrients!$BX$78)))))*S$8))/2000</f>
        <v>0.3877454559867628</v>
      </c>
      <c r="T255" s="23">
        <f>(SUMPRODUCT(T$9:T$229,Nutrients!$BX$8:$BX$228)+(IF($A$7=Nutrients!$B$8,Nutrients!$BX$8,Nutrients!$BX$9)*T$7)+(((IF($A$8=Nutrients!$B$79,Nutrients!$BX$79,(IF($A$8=Nutrients!$B$77,Nutrients!$BX$77,Nutrients!$BX$78)))))*T$8))/2000</f>
        <v>0.36109493905482715</v>
      </c>
      <c r="U255" s="23">
        <f>(SUMPRODUCT(U$9:U$229,Nutrients!$BX$8:$BX$228)+(IF($A$7=Nutrients!$B$8,Nutrients!$BX$8,Nutrients!$BX$9)*U$7)+(((IF($A$8=Nutrients!$B$79,Nutrients!$BX$79,(IF($A$8=Nutrients!$B$77,Nutrients!$BX$77,Nutrients!$BX$78)))))*U$8))/2000</f>
        <v>0.34771287819276225</v>
      </c>
      <c r="W255" s="23">
        <f>(SUMPRODUCT(W$9:W$229,Nutrients!$BX$8:$BX$228)+(IF($A$7=Nutrients!$B$8,Nutrients!$BX$8,Nutrients!$BX$9)*W$7)+(((IF($A$8=Nutrients!$B$79,Nutrients!$BX$79,(IF($A$8=Nutrients!$B$77,Nutrients!$BX$77,Nutrients!$BX$78)))))*W$8))/2000</f>
        <v>0.53270499542958349</v>
      </c>
      <c r="X255" s="23">
        <f>(SUMPRODUCT(X$9:X$229,Nutrients!$BX$8:$BX$228)+(IF($A$7=Nutrients!$B$8,Nutrients!$BX$8,Nutrients!$BX$9)*X$7)+(((IF($A$8=Nutrients!$B$79,Nutrients!$BX$79,(IF($A$8=Nutrients!$B$77,Nutrients!$BX$77,Nutrients!$BX$78)))))*X$8))/2000</f>
        <v>0.47983453580949786</v>
      </c>
      <c r="Y255" s="23">
        <f>(SUMPRODUCT(Y$9:Y$229,Nutrients!$BX$8:$BX$228)+(IF($A$7=Nutrients!$B$8,Nutrients!$BX$8,Nutrients!$BX$9)*Y$7)+(((IF($A$8=Nutrients!$B$79,Nutrients!$BX$79,(IF($A$8=Nutrients!$B$77,Nutrients!$BX$77,Nutrients!$BX$78)))))*Y$8))/2000</f>
        <v>0.42869799579519852</v>
      </c>
      <c r="Z255" s="23">
        <f>(SUMPRODUCT(Z$9:Z$229,Nutrients!$BX$8:$BX$228)+(IF($A$7=Nutrients!$B$8,Nutrients!$BX$8,Nutrients!$BX$9)*Z$7)+(((IF($A$8=Nutrients!$B$79,Nutrients!$BX$79,(IF($A$8=Nutrients!$B$77,Nutrients!$BX$77,Nutrients!$BX$78)))))*Z$8))/2000</f>
        <v>0.38751765474733407</v>
      </c>
      <c r="AA255" s="23">
        <f>(SUMPRODUCT(AA$9:AA$229,Nutrients!$BX$8:$BX$228)+(IF($A$7=Nutrients!$B$8,Nutrients!$BX$8,Nutrients!$BX$9)*AA$7)+(((IF($A$8=Nutrients!$B$79,Nutrients!$BX$79,(IF($A$8=Nutrients!$B$77,Nutrients!$BX$77,Nutrients!$BX$78)))))*AA$8))/2000</f>
        <v>0.36094333882298901</v>
      </c>
      <c r="AB255" s="23">
        <f>(SUMPRODUCT(AB$9:AB$229,Nutrients!$BX$8:$BX$228)+(IF($A$7=Nutrients!$B$8,Nutrients!$BX$8,Nutrients!$BX$9)*AB$7)+(((IF($A$8=Nutrients!$B$79,Nutrients!$BX$79,(IF($A$8=Nutrients!$B$77,Nutrients!$BX$77,Nutrients!$BX$78)))))*AB$8))/2000</f>
        <v>0.35065997858560771</v>
      </c>
      <c r="AD255" s="23">
        <f>(SUMPRODUCT(AD$9:AD$229,Nutrients!$BX$8:$BX$228)+(IF($A$7=Nutrients!$B$8,Nutrients!$BX$8,Nutrients!$BX$9)*AD$7)+(((IF($A$8=Nutrients!$B$79,Nutrients!$BX$79,(IF($A$8=Nutrients!$B$77,Nutrients!$BX$77,Nutrients!$BX$78)))))*AD$8))/2000</f>
        <v>0.53214311838781991</v>
      </c>
      <c r="AE255" s="23">
        <f>(SUMPRODUCT(AE$9:AE$229,Nutrients!$BX$8:$BX$228)+(IF($A$7=Nutrients!$B$8,Nutrients!$BX$8,Nutrients!$BX$9)*AE$7)+(((IF($A$8=Nutrients!$B$79,Nutrients!$BX$79,(IF($A$8=Nutrients!$B$77,Nutrients!$BX$77,Nutrients!$BX$78)))))*AE$8))/2000</f>
        <v>0.47920903822188488</v>
      </c>
      <c r="AF255" s="23">
        <f>(SUMPRODUCT(AF$9:AF$229,Nutrients!$BX$8:$BX$228)+(IF($A$7=Nutrients!$B$8,Nutrients!$BX$8,Nutrients!$BX$9)*AF$7)+(((IF($A$8=Nutrients!$B$79,Nutrients!$BX$79,(IF($A$8=Nutrients!$B$77,Nutrients!$BX$77,Nutrients!$BX$78)))))*AF$8))/2000</f>
        <v>0.42830139803880435</v>
      </c>
      <c r="AG255" s="23">
        <f>(SUMPRODUCT(AG$9:AG$229,Nutrients!$BX$8:$BX$228)+(IF($A$7=Nutrients!$B$8,Nutrients!$BX$8,Nutrients!$BX$9)*AG$7)+(((IF($A$8=Nutrients!$B$79,Nutrients!$BX$79,(IF($A$8=Nutrients!$B$77,Nutrients!$BX$77,Nutrients!$BX$78)))))*AG$8))/2000</f>
        <v>0.38726419632515452</v>
      </c>
      <c r="AH255" s="23">
        <f>(SUMPRODUCT(AH$9:AH$229,Nutrients!$BX$8:$BX$228)+(IF($A$7=Nutrients!$B$8,Nutrients!$BX$8,Nutrients!$BX$9)*AH$7)+(((IF($A$8=Nutrients!$B$79,Nutrients!$BX$79,(IF($A$8=Nutrients!$B$77,Nutrients!$BX$77,Nutrients!$BX$78)))))*AH$8))/2000</f>
        <v>0.36927003848018819</v>
      </c>
      <c r="AI255" s="23">
        <f>(SUMPRODUCT(AI$9:AI$229,Nutrients!$BX$8:$BX$228)+(IF($A$7=Nutrients!$B$8,Nutrients!$BX$8,Nutrients!$BX$9)*AI$7)+(((IF($A$8=Nutrients!$B$79,Nutrients!$BX$79,(IF($A$8=Nutrients!$B$77,Nutrients!$BX$77,Nutrients!$BX$78)))))*AI$8))/2000</f>
        <v>0.36336717693479614</v>
      </c>
      <c r="AK255" s="23">
        <f>(SUMPRODUCT(AK$9:AK$229,Nutrients!$BX$8:$BX$228)+(IF($A$7=Nutrients!$B$8,Nutrients!$BX$8,Nutrients!$BX$9)*AK$7)+(((IF($A$8=Nutrients!$B$79,Nutrients!$BX$79,(IF($A$8=Nutrients!$B$77,Nutrients!$BX$77,Nutrients!$BX$78)))))*AK$8))/2000</f>
        <v>0.53256418777168235</v>
      </c>
      <c r="AL255" s="23">
        <f>(SUMPRODUCT(AL$9:AL$229,Nutrients!$BX$8:$BX$228)+(IF($A$7=Nutrients!$B$8,Nutrients!$BX$8,Nutrients!$BX$9)*AL$7)+(((IF($A$8=Nutrients!$B$79,Nutrients!$BX$79,(IF($A$8=Nutrients!$B$77,Nutrients!$BX$77,Nutrients!$BX$78)))))*AL$8))/2000</f>
        <v>0.47865673190566566</v>
      </c>
      <c r="AM255" s="23">
        <f>(SUMPRODUCT(AM$9:AM$229,Nutrients!$BX$8:$BX$228)+(IF($A$7=Nutrients!$B$8,Nutrients!$BX$8,Nutrients!$BX$9)*AM$7)+(((IF($A$8=Nutrients!$B$79,Nutrients!$BX$79,(IF($A$8=Nutrients!$B$77,Nutrients!$BX$77,Nutrients!$BX$78)))))*AM$8))/2000</f>
        <v>0.42790932037022594</v>
      </c>
      <c r="AN255" s="23">
        <f>(SUMPRODUCT(AN$9:AN$229,Nutrients!$BX$8:$BX$228)+(IF($A$7=Nutrients!$B$8,Nutrients!$BX$8,Nutrients!$BX$9)*AN$7)+(((IF($A$8=Nutrients!$B$79,Nutrients!$BX$79,(IF($A$8=Nutrients!$B$77,Nutrients!$BX$77,Nutrients!$BX$78)))))*AN$8))/2000</f>
        <v>0.39348827981702539</v>
      </c>
      <c r="AO255" s="23">
        <f>(SUMPRODUCT(AO$9:AO$229,Nutrients!$BX$8:$BX$228)+(IF($A$7=Nutrients!$B$8,Nutrients!$BX$8,Nutrients!$BX$9)*AO$7)+(((IF($A$8=Nutrients!$B$79,Nutrients!$BX$79,(IF($A$8=Nutrients!$B$77,Nutrients!$BX$77,Nutrients!$BX$78)))))*AO$8))/2000</f>
        <v>0.38191591113389745</v>
      </c>
      <c r="AP255" s="23">
        <f>(SUMPRODUCT(AP$9:AP$229,Nutrients!$BX$8:$BX$228)+(IF($A$7=Nutrients!$B$8,Nutrients!$BX$8,Nutrients!$BX$9)*AP$7)+(((IF($A$8=Nutrients!$B$79,Nutrients!$BX$79,(IF($A$8=Nutrients!$B$77,Nutrients!$BX$77,Nutrients!$BX$78)))))*AP$8))/2000</f>
        <v>0.37607249565281098</v>
      </c>
      <c r="AR255" s="23">
        <f>(SUMPRODUCT(AR$9:AR$229,Nutrients!$BX$8:$BX$228)+(IF($A$7=Nutrients!$B$8,Nutrients!$BX$8,Nutrients!$BX$9)*AR$7)+(((IF($A$8=Nutrients!$B$79,Nutrients!$BX$79,(IF($A$8=Nutrients!$B$77,Nutrients!$BX$77,Nutrients!$BX$78)))))*AR$8))/2000</f>
        <v>0.53163314359506442</v>
      </c>
      <c r="AS255" s="23">
        <f>(SUMPRODUCT(AS$9:AS$229,Nutrients!$BX$8:$BX$228)+(IF($A$7=Nutrients!$B$8,Nutrients!$BX$8,Nutrients!$BX$9)*AS$7)+(((IF($A$8=Nutrients!$B$79,Nutrients!$BX$79,(IF($A$8=Nutrients!$B$77,Nutrients!$BX$77,Nutrients!$BX$78)))))*AS$8))/2000</f>
        <v>0.47810391600623625</v>
      </c>
      <c r="AT255" s="23">
        <f>(SUMPRODUCT(AT$9:AT$229,Nutrients!$BX$8:$BX$228)+(IF($A$7=Nutrients!$B$8,Nutrients!$BX$8,Nutrients!$BX$9)*AT$7)+(((IF($A$8=Nutrients!$B$79,Nutrients!$BX$79,(IF($A$8=Nutrients!$B$77,Nutrients!$BX$77,Nutrients!$BX$78)))))*AT$8))/2000</f>
        <v>0.42756246092923061</v>
      </c>
      <c r="AU255" s="23">
        <f>(SUMPRODUCT(AU$9:AU$229,Nutrients!$BX$8:$BX$228)+(IF($A$7=Nutrients!$B$8,Nutrients!$BX$8,Nutrients!$BX$9)*AU$7)+(((IF($A$8=Nutrients!$B$79,Nutrients!$BX$79,(IF($A$8=Nutrients!$B$77,Nutrients!$BX$77,Nutrients!$BX$78)))))*AU$8))/2000</f>
        <v>0.40605114181099555</v>
      </c>
      <c r="AV255" s="23">
        <f>(SUMPRODUCT(AV$9:AV$229,Nutrients!$BX$8:$BX$228)+(IF($A$7=Nutrients!$B$8,Nutrients!$BX$8,Nutrients!$BX$9)*AV$7)+(((IF($A$8=Nutrients!$B$79,Nutrients!$BX$79,(IF($A$8=Nutrients!$B$77,Nutrients!$BX$77,Nutrients!$BX$78)))))*AV$8))/2000</f>
        <v>0.39456397285733658</v>
      </c>
      <c r="AW255" s="23">
        <f>(SUMPRODUCT(AW$9:AW$229,Nutrients!$BX$8:$BX$228)+(IF($A$7=Nutrients!$B$8,Nutrients!$BX$8,Nutrients!$BX$9)*AW$7)+(((IF($A$8=Nutrients!$B$79,Nutrients!$BX$79,(IF($A$8=Nutrients!$B$77,Nutrients!$BX$77,Nutrients!$BX$78)))))*AW$8))/2000</f>
        <v>0.38877929538661754</v>
      </c>
    </row>
    <row r="256" spans="1:56" x14ac:dyDescent="0.25">
      <c r="A256" s="48" t="s">
        <v>156</v>
      </c>
      <c r="B256" s="23">
        <f>(SUMPRODUCT(B$9:B$229,Nutrients!$EB$8:$EB$228)+(IF($A$7=Nutrients!$B$8,Nutrients!$EB$8,Nutrients!$EB$9)*B$7)+(((IF($A$8=Nutrients!$B$79,Nutrients!$EB$79,(IF($A$8=Nutrients!$B$77,Nutrients!$EB$77,Nutrients!$EB$78)))))*B$8))/2000</f>
        <v>0.21736490825429733</v>
      </c>
      <c r="C256" s="23">
        <f>(SUMPRODUCT(C$9:C$229,Nutrients!$EB$8:$EB$228)+(IF($A$7=Nutrients!$B$8,Nutrients!$EB$8,Nutrients!$EB$9)*C$7)+(((IF($A$8=Nutrients!$B$79,Nutrients!$EB$79,(IF($A$8=Nutrients!$B$77,Nutrients!$EB$77,Nutrients!$EB$78)))))*C$8))/2000</f>
        <v>0.18121360963694014</v>
      </c>
      <c r="D256" s="23">
        <f>(SUMPRODUCT(D$9:D$229,Nutrients!$EB$8:$EB$228)+(IF($A$7=Nutrients!$B$8,Nutrients!$EB$8,Nutrients!$EB$9)*D$7)+(((IF($A$8=Nutrients!$B$79,Nutrients!$EB$79,(IF($A$8=Nutrients!$B$77,Nutrients!$EB$77,Nutrients!$EB$78)))))*D$8))/2000</f>
        <v>0.1446187906188299</v>
      </c>
      <c r="E256" s="23">
        <f>(SUMPRODUCT(E$9:E$229,Nutrients!$EB$8:$EB$228)+(IF($A$7=Nutrients!$B$8,Nutrients!$EB$8,Nutrients!$EB$9)*E$7)+(((IF($A$8=Nutrients!$B$79,Nutrients!$EB$79,(IF($A$8=Nutrients!$B$77,Nutrients!$EB$77,Nutrients!$EB$78)))))*E$8))/2000</f>
        <v>0.11837941481999412</v>
      </c>
      <c r="F256" s="23">
        <f>(SUMPRODUCT(F$9:F$229,Nutrients!$EB$8:$EB$228)+(IF($A$7=Nutrients!$B$8,Nutrients!$EB$8,Nutrients!$EB$9)*F$7)+(((IF($A$8=Nutrients!$B$79,Nutrients!$EB$79,(IF($A$8=Nutrients!$B$77,Nutrients!$EB$77,Nutrients!$EB$78)))))*F$8))/2000</f>
        <v>9.9071678699147347E-2</v>
      </c>
      <c r="G256" s="23">
        <f>(SUMPRODUCT(G$9:G$229,Nutrients!$EB$8:$EB$228)+(IF($A$7=Nutrients!$B$8,Nutrients!$EB$8,Nutrients!$EB$9)*G$7)+(((IF($A$8=Nutrients!$B$79,Nutrients!$EB$79,(IF($A$8=Nutrients!$B$77,Nutrients!$EB$77,Nutrients!$EB$78)))))*G$8))/2000</f>
        <v>9.0636415067427589E-2</v>
      </c>
      <c r="H256" s="227"/>
      <c r="I256" s="23">
        <f>(SUMPRODUCT(I$9:I$229,Nutrients!$EB$8:$EB$228)+(IF($A$7=Nutrients!$B$8,Nutrients!$EB$8,Nutrients!$EB$9)*I$7)+(((IF($A$8=Nutrients!$B$79,Nutrients!$EB$79,(IF($A$8=Nutrients!$B$77,Nutrients!$EB$77,Nutrients!$EB$78)))))*I$8))/2000</f>
        <v>0.1999514842033541</v>
      </c>
      <c r="J256" s="23">
        <f>(SUMPRODUCT(J$9:J$229,Nutrients!$EB$8:$EB$228)+(IF($A$7=Nutrients!$B$8,Nutrients!$EB$8,Nutrients!$EB$9)*J$7)+(((IF($A$8=Nutrients!$B$79,Nutrients!$EB$79,(IF($A$8=Nutrients!$B$77,Nutrients!$EB$77,Nutrients!$EB$78)))))*J$8))/2000</f>
        <v>0.16387526439087105</v>
      </c>
      <c r="K256" s="23">
        <f>(SUMPRODUCT(K$9:K$229,Nutrients!$EB$8:$EB$228)+(IF($A$7=Nutrients!$B$8,Nutrients!$EB$8,Nutrients!$EB$9)*K$7)+(((IF($A$8=Nutrients!$B$79,Nutrients!$EB$79,(IF($A$8=Nutrients!$B$77,Nutrients!$EB$77,Nutrients!$EB$78)))))*K$8))/2000</f>
        <v>0.12734220546868985</v>
      </c>
      <c r="L256" s="23">
        <f>(SUMPRODUCT(L$9:L$229,Nutrients!$EB$8:$EB$228)+(IF($A$7=Nutrients!$B$8,Nutrients!$EB$8,Nutrients!$EB$9)*L$7)+(((IF($A$8=Nutrients!$B$79,Nutrients!$EB$79,(IF($A$8=Nutrients!$B$77,Nutrients!$EB$77,Nutrients!$EB$78)))))*L$8))/2000</f>
        <v>9.8415421378184612E-2</v>
      </c>
      <c r="M256" s="23">
        <f>(SUMPRODUCT(M$9:M$229,Nutrients!$EB$8:$EB$228)+(IF($A$7=Nutrients!$B$8,Nutrients!$EB$8,Nutrients!$EB$9)*M$7)+(((IF($A$8=Nutrients!$B$79,Nutrients!$EB$79,(IF($A$8=Nutrients!$B$77,Nutrients!$EB$77,Nutrients!$EB$78)))))*M$8))/2000</f>
        <v>7.9910024893893719E-2</v>
      </c>
      <c r="N256" s="23">
        <f>(SUMPRODUCT(N$9:N$229,Nutrients!$EB$8:$EB$228)+(IF($A$7=Nutrients!$B$8,Nutrients!$EB$8,Nutrients!$EB$9)*N$7)+(((IF($A$8=Nutrients!$B$79,Nutrients!$EB$79,(IF($A$8=Nutrients!$B$77,Nutrients!$EB$77,Nutrients!$EB$78)))))*N$8))/2000</f>
        <v>7.0681240584229782E-2</v>
      </c>
      <c r="O256" s="198"/>
      <c r="P256" s="23">
        <f>(SUMPRODUCT(P$9:P$229,Nutrients!$EB$8:$EB$228)+(IF($A$7=Nutrients!$B$8,Nutrients!$EB$8,Nutrients!$EB$9)*P$7)+(((IF($A$8=Nutrients!$B$79,Nutrients!$EB$79,(IF($A$8=Nutrients!$B$77,Nutrients!$EB$77,Nutrients!$EB$78)))))*P$8))/2000</f>
        <v>0.18263442610220482</v>
      </c>
      <c r="Q256" s="23">
        <f>(SUMPRODUCT(Q$9:Q$229,Nutrients!$EB$8:$EB$228)+(IF($A$7=Nutrients!$B$8,Nutrients!$EB$8,Nutrients!$EB$9)*Q$7)+(((IF($A$8=Nutrients!$B$79,Nutrients!$EB$79,(IF($A$8=Nutrients!$B$77,Nutrients!$EB$77,Nutrients!$EB$78)))))*Q$8))/2000</f>
        <v>0.14660379459327735</v>
      </c>
      <c r="R256" s="23">
        <f>(SUMPRODUCT(R$9:R$229,Nutrients!$EB$8:$EB$228)+(IF($A$7=Nutrients!$B$8,Nutrients!$EB$8,Nutrients!$EB$9)*R$7)+(((IF($A$8=Nutrients!$B$79,Nutrients!$EB$79,(IF($A$8=Nutrients!$B$77,Nutrients!$EB$77,Nutrients!$EB$78)))))*R$8))/2000</f>
        <v>0.11011959705182213</v>
      </c>
      <c r="S256" s="23">
        <f>(SUMPRODUCT(S$9:S$229,Nutrients!$EB$8:$EB$228)+(IF($A$7=Nutrients!$B$8,Nutrients!$EB$8,Nutrients!$EB$9)*S$7)+(((IF($A$8=Nutrients!$B$79,Nutrients!$EB$79,(IF($A$8=Nutrients!$B$77,Nutrients!$EB$77,Nutrients!$EB$78)))))*S$8))/2000</f>
        <v>8.1170095539151887E-2</v>
      </c>
      <c r="T256" s="23">
        <f>(SUMPRODUCT(T$9:T$229,Nutrients!$EB$8:$EB$228)+(IF($A$7=Nutrients!$B$8,Nutrients!$EB$8,Nutrients!$EB$9)*T$7)+(((IF($A$8=Nutrients!$B$79,Nutrients!$EB$79,(IF($A$8=Nutrients!$B$77,Nutrients!$EB$77,Nutrients!$EB$78)))))*T$8))/2000</f>
        <v>6.2702382655822342E-2</v>
      </c>
      <c r="U256" s="23">
        <f>(SUMPRODUCT(U$9:U$229,Nutrients!$EB$8:$EB$228)+(IF($A$7=Nutrients!$B$8,Nutrients!$EB$8,Nutrients!$EB$9)*U$7)+(((IF($A$8=Nutrients!$B$79,Nutrients!$EB$79,(IF($A$8=Nutrients!$B$77,Nutrients!$EB$77,Nutrients!$EB$78)))))*U$8))/2000</f>
        <v>5.3489092479574611E-2</v>
      </c>
      <c r="W256" s="23">
        <f>(SUMPRODUCT(W$9:W$229,Nutrients!$EB$8:$EB$228)+(IF($A$7=Nutrients!$B$8,Nutrients!$EB$8,Nutrients!$EB$9)*W$7)+(((IF($A$8=Nutrients!$B$79,Nutrients!$EB$79,(IF($A$8=Nutrients!$B$77,Nutrients!$EB$77,Nutrients!$EB$78)))))*W$8))/2000</f>
        <v>0.16531775750435837</v>
      </c>
      <c r="X256" s="23">
        <f>(SUMPRODUCT(X$9:X$229,Nutrients!$EB$8:$EB$228)+(IF($A$7=Nutrients!$B$8,Nutrients!$EB$8,Nutrients!$EB$9)*X$7)+(((IF($A$8=Nutrients!$B$79,Nutrients!$EB$79,(IF($A$8=Nutrients!$B$77,Nutrients!$EB$77,Nutrients!$EB$78)))))*X$8))/2000</f>
        <v>0.1293331136348605</v>
      </c>
      <c r="Y256" s="23">
        <f>(SUMPRODUCT(Y$9:Y$229,Nutrients!$EB$8:$EB$228)+(IF($A$7=Nutrients!$B$8,Nutrients!$EB$8,Nutrients!$EB$9)*Y$7)+(((IF($A$8=Nutrients!$B$79,Nutrients!$EB$79,(IF($A$8=Nutrients!$B$77,Nutrients!$EB$77,Nutrients!$EB$78)))))*Y$8))/2000</f>
        <v>9.2826765314281842E-2</v>
      </c>
      <c r="Z256" s="23">
        <f>(SUMPRODUCT(Z$9:Z$229,Nutrients!$EB$8:$EB$228)+(IF($A$7=Nutrients!$B$8,Nutrients!$EB$8,Nutrients!$EB$9)*Z$7)+(((IF($A$8=Nutrients!$B$79,Nutrients!$EB$79,(IF($A$8=Nutrients!$B$77,Nutrients!$EB$77,Nutrients!$EB$78)))))*Z$8))/2000</f>
        <v>6.3942586903042012E-2</v>
      </c>
      <c r="AA256" s="23">
        <f>(SUMPRODUCT(AA$9:AA$229,Nutrients!$EB$8:$EB$228)+(IF($A$7=Nutrients!$B$8,Nutrients!$EB$8,Nutrients!$EB$9)*AA$7)+(((IF($A$8=Nutrients!$B$79,Nutrients!$EB$79,(IF($A$8=Nutrients!$B$77,Nutrients!$EB$77,Nutrients!$EB$78)))))*AA$8))/2000</f>
        <v>4.5499356590444018E-2</v>
      </c>
      <c r="AB256" s="23">
        <f>(SUMPRODUCT(AB$9:AB$229,Nutrients!$EB$8:$EB$228)+(IF($A$7=Nutrients!$B$8,Nutrients!$EB$8,Nutrients!$EB$9)*AB$7)+(((IF($A$8=Nutrients!$B$79,Nutrients!$EB$79,(IF($A$8=Nutrients!$B$77,Nutrients!$EB$77,Nutrients!$EB$78)))))*AB$8))/2000</f>
        <v>3.9416764830232383E-2</v>
      </c>
      <c r="AD256" s="23">
        <f>(SUMPRODUCT(AD$9:AD$229,Nutrients!$EB$8:$EB$228)+(IF($A$7=Nutrients!$B$8,Nutrients!$EB$8,Nutrients!$EB$9)*AD$7)+(((IF($A$8=Nutrients!$B$79,Nutrients!$EB$79,(IF($A$8=Nutrients!$B$77,Nutrients!$EB$77,Nutrients!$EB$78)))))*AD$8))/2000</f>
        <v>0.14799528018099922</v>
      </c>
      <c r="AE256" s="23">
        <f>(SUMPRODUCT(AE$9:AE$229,Nutrients!$EB$8:$EB$228)+(IF($A$7=Nutrients!$B$8,Nutrients!$EB$8,Nutrients!$EB$9)*AE$7)+(((IF($A$8=Nutrients!$B$79,Nutrients!$EB$79,(IF($A$8=Nutrients!$B$77,Nutrients!$EB$77,Nutrients!$EB$78)))))*AE$8))/2000</f>
        <v>0.11199271847338445</v>
      </c>
      <c r="AF256" s="23">
        <f>(SUMPRODUCT(AF$9:AF$229,Nutrients!$EB$8:$EB$228)+(IF($A$7=Nutrients!$B$8,Nutrients!$EB$8,Nutrients!$EB$9)*AF$7)+(((IF($A$8=Nutrients!$B$79,Nutrients!$EB$79,(IF($A$8=Nutrients!$B$77,Nutrients!$EB$77,Nutrients!$EB$78)))))*AF$8))/2000</f>
        <v>7.5550682695304947E-2</v>
      </c>
      <c r="AG256" s="23">
        <f>(SUMPRODUCT(AG$9:AG$229,Nutrients!$EB$8:$EB$228)+(IF($A$7=Nutrients!$B$8,Nutrients!$EB$8,Nutrients!$EB$9)*AG$7)+(((IF($A$8=Nutrients!$B$79,Nutrients!$EB$79,(IF($A$8=Nutrients!$B$77,Nutrients!$EB$77,Nutrients!$EB$78)))))*AG$8))/2000</f>
        <v>4.6711309976245959E-2</v>
      </c>
      <c r="AH256" s="23">
        <f>(SUMPRODUCT(AH$9:AH$229,Nutrients!$EB$8:$EB$228)+(IF($A$7=Nutrients!$B$8,Nutrients!$EB$8,Nutrients!$EB$9)*AH$7)+(((IF($A$8=Nutrients!$B$79,Nutrients!$EB$79,(IF($A$8=Nutrients!$B$77,Nutrients!$EB$77,Nutrients!$EB$78)))))*AH$8))/2000</f>
        <v>3.6954592012092856E-2</v>
      </c>
      <c r="AI256" s="23">
        <f>(SUMPRODUCT(AI$9:AI$229,Nutrients!$EB$8:$EB$228)+(IF($A$7=Nutrients!$B$8,Nutrients!$EB$8,Nutrients!$EB$9)*AI$7)+(((IF($A$8=Nutrients!$B$79,Nutrients!$EB$79,(IF($A$8=Nutrients!$B$77,Nutrients!$EB$77,Nutrients!$EB$78)))))*AI$8))/2000</f>
        <v>3.5286724458293069E-2</v>
      </c>
      <c r="AK256" s="23">
        <f>(SUMPRODUCT(AK$9:AK$229,Nutrients!$EB$8:$EB$228)+(IF($A$7=Nutrients!$B$8,Nutrients!$EB$8,Nutrients!$EB$9)*AK$7)+(((IF($A$8=Nutrients!$B$79,Nutrients!$EB$79,(IF($A$8=Nutrients!$B$77,Nutrients!$EB$77,Nutrients!$EB$78)))))*AK$8))/2000</f>
        <v>0.13095006608525694</v>
      </c>
      <c r="AL256" s="23">
        <f>(SUMPRODUCT(AL$9:AL$229,Nutrients!$EB$8:$EB$228)+(IF($A$7=Nutrients!$B$8,Nutrients!$EB$8,Nutrients!$EB$9)*AL$7)+(((IF($A$8=Nutrients!$B$79,Nutrients!$EB$79,(IF($A$8=Nutrients!$B$77,Nutrients!$EB$77,Nutrients!$EB$78)))))*AL$8))/2000</f>
        <v>9.4672632092210621E-2</v>
      </c>
      <c r="AM256" s="23">
        <f>(SUMPRODUCT(AM$9:AM$229,Nutrients!$EB$8:$EB$228)+(IF($A$7=Nutrients!$B$8,Nutrients!$EB$8,Nutrients!$EB$9)*AM$7)+(((IF($A$8=Nutrients!$B$79,Nutrients!$EB$79,(IF($A$8=Nutrients!$B$77,Nutrients!$EB$77,Nutrients!$EB$78)))))*AM$8))/2000</f>
        <v>5.8279841992765827E-2</v>
      </c>
      <c r="AN256" s="23">
        <f>(SUMPRODUCT(AN$9:AN$229,Nutrients!$EB$8:$EB$228)+(IF($A$7=Nutrients!$B$8,Nutrients!$EB$8,Nutrients!$EB$9)*AN$7)+(((IF($A$8=Nutrients!$B$79,Nutrients!$EB$79,(IF($A$8=Nutrients!$B$77,Nutrients!$EB$77,Nutrients!$EB$78)))))*AN$8))/2000</f>
        <v>3.6092601071185858E-2</v>
      </c>
      <c r="AO256" s="23">
        <f>(SUMPRODUCT(AO$9:AO$229,Nutrients!$EB$8:$EB$228)+(IF($A$7=Nutrients!$B$8,Nutrients!$EB$8,Nutrients!$EB$9)*AO$7)+(((IF($A$8=Nutrients!$B$79,Nutrients!$EB$79,(IF($A$8=Nutrients!$B$77,Nutrients!$EB$77,Nutrients!$EB$78)))))*AO$8))/2000</f>
        <v>3.2807409169449152E-2</v>
      </c>
      <c r="AP256" s="23">
        <f>(SUMPRODUCT(AP$9:AP$229,Nutrients!$EB$8:$EB$228)+(IF($A$7=Nutrients!$B$8,Nutrients!$EB$8,Nutrients!$EB$9)*AP$7)+(((IF($A$8=Nutrients!$B$79,Nutrients!$EB$79,(IF($A$8=Nutrients!$B$77,Nutrients!$EB$77,Nutrients!$EB$78)))))*AP$8))/2000</f>
        <v>3.1156319838003873E-2</v>
      </c>
      <c r="AR256" s="23">
        <f>(SUMPRODUCT(AR$9:AR$229,Nutrients!$EB$8:$EB$228)+(IF($A$7=Nutrients!$B$8,Nutrients!$EB$8,Nutrients!$EB$9)*AR$7)+(((IF($A$8=Nutrients!$B$79,Nutrients!$EB$79,(IF($A$8=Nutrients!$B$77,Nutrients!$EB$77,Nutrients!$EB$78)))))*AR$8))/2000</f>
        <v>0.11352324114706437</v>
      </c>
      <c r="AS256" s="23">
        <f>(SUMPRODUCT(AS$9:AS$229,Nutrients!$EB$8:$EB$228)+(IF($A$7=Nutrients!$B$8,Nutrients!$EB$8,Nutrients!$EB$9)*AS$7)+(((IF($A$8=Nutrients!$B$79,Nutrients!$EB$79,(IF($A$8=Nutrients!$B$77,Nutrients!$EB$77,Nutrients!$EB$78)))))*AS$8))/2000</f>
        <v>7.7352709299284089E-2</v>
      </c>
      <c r="AT256" s="23">
        <f>(SUMPRODUCT(AT$9:AT$229,Nutrients!$EB$8:$EB$228)+(IF($A$7=Nutrients!$B$8,Nutrients!$EB$8,Nutrients!$EB$9)*AT$7)+(((IF($A$8=Nutrients!$B$79,Nutrients!$EB$79,(IF($A$8=Nutrients!$B$77,Nutrients!$EB$77,Nutrients!$EB$78)))))*AT$8))/2000</f>
        <v>4.102215641472054E-2</v>
      </c>
      <c r="AU256" s="23">
        <f>(SUMPRODUCT(AU$9:AU$229,Nutrients!$EB$8:$EB$228)+(IF($A$7=Nutrients!$B$8,Nutrients!$EB$8,Nutrients!$EB$9)*AU$7)+(((IF($A$8=Nutrients!$B$79,Nutrients!$EB$79,(IF($A$8=Nutrients!$B$77,Nutrients!$EB$77,Nutrients!$EB$78)))))*AU$8))/2000</f>
        <v>3.1922180558355391E-2</v>
      </c>
      <c r="AV256" s="23">
        <f>(SUMPRODUCT(AV$9:AV$229,Nutrients!$EB$8:$EB$228)+(IF($A$7=Nutrients!$B$8,Nutrients!$EB$8,Nutrients!$EB$9)*AV$7)+(((IF($A$8=Nutrients!$B$79,Nutrients!$EB$79,(IF($A$8=Nutrients!$B$77,Nutrients!$EB$77,Nutrients!$EB$78)))))*AV$8))/2000</f>
        <v>2.8660688758533368E-2</v>
      </c>
      <c r="AW256" s="23">
        <f>(SUMPRODUCT(AW$9:AW$229,Nutrients!$EB$8:$EB$228)+(IF($A$7=Nutrients!$B$8,Nutrients!$EB$8,Nutrients!$EB$9)*AW$7)+(((IF($A$8=Nutrients!$B$79,Nutrients!$EB$79,(IF($A$8=Nutrients!$B$77,Nutrients!$EB$77,Nutrients!$EB$78)))))*AW$8))/2000</f>
        <v>2.7026168193547983E-2</v>
      </c>
    </row>
    <row r="257" spans="1:59" x14ac:dyDescent="0.25">
      <c r="A257" s="48" t="s">
        <v>146</v>
      </c>
      <c r="B257" s="23">
        <f>IF((SUMPRODUCT(B$9:B$229,Nutrients!$EE$8:$EE$228))=0,B256,IF((SUMPRODUCT(B$9:B$229,Nutrients!$EE$8:$EE$228))&gt;(1500*907),B256+0.14,B256+0.00000000006666*((SUMPRODUCT(B$9:B$229,Nutrients!$EE$8:$EE$228)/907))^3-0.00000023623322*((SUMPRODUCT(B$9:B$229,Nutrients!$EE$8:$EE$228)/907))^2+0.00029262722672*((SUMPRODUCT(B$9:B$229,Nutrients!$EE$8:$EE$228)/907))+0.007028328))</f>
        <v>0.32997934872513002</v>
      </c>
      <c r="C257" s="23">
        <f>IF((SUMPRODUCT(C$9:C$229,Nutrients!$EE$8:$EE$228))=0,C256,IF((SUMPRODUCT(C$9:C$229,Nutrients!$EE$8:$EE$228))&gt;(1500*907),C256+0.14,C256+0.00000000006666*((SUMPRODUCT(C$9:C$229,Nutrients!$EE$8:$EE$228)/907))^3-0.00000023623322*((SUMPRODUCT(C$9:C$229,Nutrients!$EE$8:$EE$228)/907))^2+0.00029262722672*((SUMPRODUCT(C$9:C$229,Nutrients!$EE$8:$EE$228)/907))+0.007028328))</f>
        <v>0.2938280501077728</v>
      </c>
      <c r="D257" s="23">
        <f>IF((SUMPRODUCT(D$9:D$229,Nutrients!$EE$8:$EE$228))=0,D256,IF((SUMPRODUCT(D$9:D$229,Nutrients!$EE$8:$EE$228))&gt;(1500*907),D256+0.14,D256+0.00000000006666*((SUMPRODUCT(D$9:D$229,Nutrients!$EE$8:$EE$228)/907))^3-0.00000023623322*((SUMPRODUCT(D$9:D$229,Nutrients!$EE$8:$EE$228)/907))^2+0.00029262722672*((SUMPRODUCT(D$9:D$229,Nutrients!$EE$8:$EE$228)/907))+0.007028328))</f>
        <v>0.25723323108966256</v>
      </c>
      <c r="E257" s="23">
        <f>IF((SUMPRODUCT(E$9:E$229,Nutrients!$EE$8:$EE$228))=0,E256,IF((SUMPRODUCT(E$9:E$229,Nutrients!$EE$8:$EE$228))&gt;(1500*907),E256+0.14,E256+0.00000000006666*((SUMPRODUCT(E$9:E$229,Nutrients!$EE$8:$EE$228)/907))^3-0.00000023623322*((SUMPRODUCT(E$9:E$229,Nutrients!$EE$8:$EE$228)/907))^2+0.00029262722672*((SUMPRODUCT(E$9:E$229,Nutrients!$EE$8:$EE$228)/907))+0.007028328))</f>
        <v>0.23099385529082681</v>
      </c>
      <c r="F257" s="23">
        <f>IF((SUMPRODUCT(F$9:F$229,Nutrients!$EE$8:$EE$228))=0,F256,IF((SUMPRODUCT(F$9:F$229,Nutrients!$EE$8:$EE$228))&gt;(1500*907),F256+0.14,F256+0.00000000006666*((SUMPRODUCT(F$9:F$229,Nutrients!$EE$8:$EE$228)/907))^3-0.00000023623322*((SUMPRODUCT(F$9:F$229,Nutrients!$EE$8:$EE$228)/907))^2+0.00029262722672*((SUMPRODUCT(F$9:F$229,Nutrients!$EE$8:$EE$228)/907))+0.007028328))</f>
        <v>0.21168611916998004</v>
      </c>
      <c r="G257" s="23">
        <f>IF((SUMPRODUCT(G$9:G$229,Nutrients!$EE$8:$EE$228))=0,G256,IF((SUMPRODUCT(G$9:G$229,Nutrients!$EE$8:$EE$228))&gt;(1500*907),G256+0.14,G256+0.00000000006666*((SUMPRODUCT(G$9:G$229,Nutrients!$EE$8:$EE$228)/907))^3-0.00000023623322*((SUMPRODUCT(G$9:G$229,Nutrients!$EE$8:$EE$228)/907))^2+0.00029262722672*((SUMPRODUCT(G$9:G$229,Nutrients!$EE$8:$EE$228)/907))+0.007028328))</f>
        <v>0.20325085553826028</v>
      </c>
      <c r="H257" s="227"/>
      <c r="I257" s="23">
        <f>IF((SUMPRODUCT(I$9:I$229,Nutrients!$EE$8:$EE$228))=0,I256,IF((SUMPRODUCT(I$9:I$229,Nutrients!$EE$8:$EE$228))&gt;(1500*907),I256+0.14,I256+0.00000000006666*((SUMPRODUCT(I$9:I$229,Nutrients!$EE$8:$EE$228)/907))^3-0.00000023623322*((SUMPRODUCT(I$9:I$229,Nutrients!$EE$8:$EE$228)/907))^2+0.00029262722672*((SUMPRODUCT(I$9:I$229,Nutrients!$EE$8:$EE$228)/907))+0.007028328))</f>
        <v>0.31256592467418676</v>
      </c>
      <c r="J257" s="23">
        <f>IF((SUMPRODUCT(J$9:J$229,Nutrients!$EE$8:$EE$228))=0,J256,IF((SUMPRODUCT(J$9:J$229,Nutrients!$EE$8:$EE$228))&gt;(1500*907),J256+0.14,J256+0.00000000006666*((SUMPRODUCT(J$9:J$229,Nutrients!$EE$8:$EE$228)/907))^3-0.00000023623322*((SUMPRODUCT(J$9:J$229,Nutrients!$EE$8:$EE$228)/907))^2+0.00029262722672*((SUMPRODUCT(J$9:J$229,Nutrients!$EE$8:$EE$228)/907))+0.007028328))</f>
        <v>0.27648970486170377</v>
      </c>
      <c r="K257" s="23">
        <f>IF((SUMPRODUCT(K$9:K$229,Nutrients!$EE$8:$EE$228))=0,K256,IF((SUMPRODUCT(K$9:K$229,Nutrients!$EE$8:$EE$228))&gt;(1500*907),K256+0.14,K256+0.00000000006666*((SUMPRODUCT(K$9:K$229,Nutrients!$EE$8:$EE$228)/907))^3-0.00000023623322*((SUMPRODUCT(K$9:K$229,Nutrients!$EE$8:$EE$228)/907))^2+0.00029262722672*((SUMPRODUCT(K$9:K$229,Nutrients!$EE$8:$EE$228)/907))+0.007028328))</f>
        <v>0.23995664593952251</v>
      </c>
      <c r="L257" s="23">
        <f>IF((SUMPRODUCT(L$9:L$229,Nutrients!$EE$8:$EE$228))=0,L256,IF((SUMPRODUCT(L$9:L$229,Nutrients!$EE$8:$EE$228))&gt;(1500*907),L256+0.14,L256+0.00000000006666*((SUMPRODUCT(L$9:L$229,Nutrients!$EE$8:$EE$228)/907))^3-0.00000023623322*((SUMPRODUCT(L$9:L$229,Nutrients!$EE$8:$EE$228)/907))^2+0.00029262722672*((SUMPRODUCT(L$9:L$229,Nutrients!$EE$8:$EE$228)/907))+0.007028328))</f>
        <v>0.21102986184901731</v>
      </c>
      <c r="M257" s="23">
        <f>IF((SUMPRODUCT(M$9:M$229,Nutrients!$EE$8:$EE$228))=0,M256,IF((SUMPRODUCT(M$9:M$229,Nutrients!$EE$8:$EE$228))&gt;(1500*907),M256+0.14,M256+0.00000000006666*((SUMPRODUCT(M$9:M$229,Nutrients!$EE$8:$EE$228)/907))^3-0.00000023623322*((SUMPRODUCT(M$9:M$229,Nutrients!$EE$8:$EE$228)/907))^2+0.00029262722672*((SUMPRODUCT(M$9:M$229,Nutrients!$EE$8:$EE$228)/907))+0.007028328))</f>
        <v>0.19252446536472642</v>
      </c>
      <c r="N257" s="23">
        <f>IF((SUMPRODUCT(N$9:N$229,Nutrients!$EE$8:$EE$228))=0,N256,IF((SUMPRODUCT(N$9:N$229,Nutrients!$EE$8:$EE$228))&gt;(1500*907),N256+0.14,N256+0.00000000006666*((SUMPRODUCT(N$9:N$229,Nutrients!$EE$8:$EE$228)/907))^3-0.00000023623322*((SUMPRODUCT(N$9:N$229,Nutrients!$EE$8:$EE$228)/907))^2+0.00029262722672*((SUMPRODUCT(N$9:N$229,Nutrients!$EE$8:$EE$228)/907))+0.007028328))</f>
        <v>0.18329568105506247</v>
      </c>
      <c r="O257" s="198"/>
      <c r="P257" s="23">
        <f>IF((SUMPRODUCT(P$9:P$229,Nutrients!$EE$8:$EE$228))=0,P256,IF((SUMPRODUCT(P$9:P$229,Nutrients!$EE$8:$EE$228))&gt;(1500*907),P256+0.14,P256+0.00000000006666*((SUMPRODUCT(P$9:P$229,Nutrients!$EE$8:$EE$228)/907))^3-0.00000023623322*((SUMPRODUCT(P$9:P$229,Nutrients!$EE$8:$EE$228)/907))^2+0.00029262722672*((SUMPRODUCT(P$9:P$229,Nutrients!$EE$8:$EE$228)/907))+0.007028328))</f>
        <v>0.29524886657303751</v>
      </c>
      <c r="Q257" s="23">
        <f>IF((SUMPRODUCT(Q$9:Q$229,Nutrients!$EE$8:$EE$228))=0,Q256,IF((SUMPRODUCT(Q$9:Q$229,Nutrients!$EE$8:$EE$228))&gt;(1500*907),Q256+0.14,Q256+0.00000000006666*((SUMPRODUCT(Q$9:Q$229,Nutrients!$EE$8:$EE$228)/907))^3-0.00000023623322*((SUMPRODUCT(Q$9:Q$229,Nutrients!$EE$8:$EE$228)/907))^2+0.00029262722672*((SUMPRODUCT(Q$9:Q$229,Nutrients!$EE$8:$EE$228)/907))+0.007028328))</f>
        <v>0.25921823506411001</v>
      </c>
      <c r="R257" s="23">
        <f>IF((SUMPRODUCT(R$9:R$229,Nutrients!$EE$8:$EE$228))=0,R256,IF((SUMPRODUCT(R$9:R$229,Nutrients!$EE$8:$EE$228))&gt;(1500*907),R256+0.14,R256+0.00000000006666*((SUMPRODUCT(R$9:R$229,Nutrients!$EE$8:$EE$228)/907))^3-0.00000023623322*((SUMPRODUCT(R$9:R$229,Nutrients!$EE$8:$EE$228)/907))^2+0.00029262722672*((SUMPRODUCT(R$9:R$229,Nutrients!$EE$8:$EE$228)/907))+0.007028328))</f>
        <v>0.22273403752265483</v>
      </c>
      <c r="S257" s="23">
        <f>IF((SUMPRODUCT(S$9:S$229,Nutrients!$EE$8:$EE$228))=0,S256,IF((SUMPRODUCT(S$9:S$229,Nutrients!$EE$8:$EE$228))&gt;(1500*907),S256+0.14,S256+0.00000000006666*((SUMPRODUCT(S$9:S$229,Nutrients!$EE$8:$EE$228)/907))^3-0.00000023623322*((SUMPRODUCT(S$9:S$229,Nutrients!$EE$8:$EE$228)/907))^2+0.00029262722672*((SUMPRODUCT(S$9:S$229,Nutrients!$EE$8:$EE$228)/907))+0.007028328))</f>
        <v>0.19378453600998458</v>
      </c>
      <c r="T257" s="23">
        <f>IF((SUMPRODUCT(T$9:T$229,Nutrients!$EE$8:$EE$228))=0,T256,IF((SUMPRODUCT(T$9:T$229,Nutrients!$EE$8:$EE$228))&gt;(1500*907),T256+0.14,T256+0.00000000006666*((SUMPRODUCT(T$9:T$229,Nutrients!$EE$8:$EE$228)/907))^3-0.00000023623322*((SUMPRODUCT(T$9:T$229,Nutrients!$EE$8:$EE$228)/907))^2+0.00029262722672*((SUMPRODUCT(T$9:T$229,Nutrients!$EE$8:$EE$228)/907))+0.007028328))</f>
        <v>0.17531682312665503</v>
      </c>
      <c r="U257" s="23">
        <f>IF((SUMPRODUCT(U$9:U$229,Nutrients!$EE$8:$EE$228))=0,U256,IF((SUMPRODUCT(U$9:U$229,Nutrients!$EE$8:$EE$228))&gt;(1500*907),U256+0.14,U256+0.00000000006666*((SUMPRODUCT(U$9:U$229,Nutrients!$EE$8:$EE$228)/907))^3-0.00000023623322*((SUMPRODUCT(U$9:U$229,Nutrients!$EE$8:$EE$228)/907))^2+0.00029262722672*((SUMPRODUCT(U$9:U$229,Nutrients!$EE$8:$EE$228)/907))+0.007028328))</f>
        <v>0.16610353295040728</v>
      </c>
      <c r="W257" s="23">
        <f>IF((SUMPRODUCT(W$9:W$229,Nutrients!$EE$8:$EE$228))=0,W256,IF((SUMPRODUCT(W$9:W$229,Nutrients!$EE$8:$EE$228))&gt;(1500*907),W256+0.14,W256+0.00000000006666*((SUMPRODUCT(W$9:W$229,Nutrients!$EE$8:$EE$228)/907))^3-0.00000023623322*((SUMPRODUCT(W$9:W$229,Nutrients!$EE$8:$EE$228)/907))^2+0.00029262722672*((SUMPRODUCT(W$9:W$229,Nutrients!$EE$8:$EE$228)/907))+0.007028328))</f>
        <v>0.27793219797519109</v>
      </c>
      <c r="X257" s="23">
        <f>IF((SUMPRODUCT(X$9:X$229,Nutrients!$EE$8:$EE$228))=0,X256,IF((SUMPRODUCT(X$9:X$229,Nutrients!$EE$8:$EE$228))&gt;(1500*907),X256+0.14,X256+0.00000000006666*((SUMPRODUCT(X$9:X$229,Nutrients!$EE$8:$EE$228)/907))^3-0.00000023623322*((SUMPRODUCT(X$9:X$229,Nutrients!$EE$8:$EE$228)/907))^2+0.00029262722672*((SUMPRODUCT(X$9:X$229,Nutrients!$EE$8:$EE$228)/907))+0.007028328))</f>
        <v>0.24194755410569316</v>
      </c>
      <c r="Y257" s="23">
        <f>IF((SUMPRODUCT(Y$9:Y$229,Nutrients!$EE$8:$EE$228))=0,Y256,IF((SUMPRODUCT(Y$9:Y$229,Nutrients!$EE$8:$EE$228))&gt;(1500*907),Y256+0.14,Y256+0.00000000006666*((SUMPRODUCT(Y$9:Y$229,Nutrients!$EE$8:$EE$228)/907))^3-0.00000023623322*((SUMPRODUCT(Y$9:Y$229,Nutrients!$EE$8:$EE$228)/907))^2+0.00029262722672*((SUMPRODUCT(Y$9:Y$229,Nutrients!$EE$8:$EE$228)/907))+0.007028328))</f>
        <v>0.20544120578511452</v>
      </c>
      <c r="Z257" s="23">
        <f>IF((SUMPRODUCT(Z$9:Z$229,Nutrients!$EE$8:$EE$228))=0,Z256,IF((SUMPRODUCT(Z$9:Z$229,Nutrients!$EE$8:$EE$228))&gt;(1500*907),Z256+0.14,Z256+0.00000000006666*((SUMPRODUCT(Z$9:Z$229,Nutrients!$EE$8:$EE$228)/907))^3-0.00000023623322*((SUMPRODUCT(Z$9:Z$229,Nutrients!$EE$8:$EE$228)/907))^2+0.00029262722672*((SUMPRODUCT(Z$9:Z$229,Nutrients!$EE$8:$EE$228)/907))+0.007028328))</f>
        <v>0.17655702737387471</v>
      </c>
      <c r="AA257" s="23">
        <f>IF((SUMPRODUCT(AA$9:AA$229,Nutrients!$EE$8:$EE$228))=0,AA256,IF((SUMPRODUCT(AA$9:AA$229,Nutrients!$EE$8:$EE$228))&gt;(1500*907),AA256+0.14,AA256+0.00000000006666*((SUMPRODUCT(AA$9:AA$229,Nutrients!$EE$8:$EE$228)/907))^3-0.00000023623322*((SUMPRODUCT(AA$9:AA$229,Nutrients!$EE$8:$EE$228)/907))^2+0.00029262722672*((SUMPRODUCT(AA$9:AA$229,Nutrients!$EE$8:$EE$228)/907))+0.007028328))</f>
        <v>0.15811379706127671</v>
      </c>
      <c r="AB257" s="23">
        <f>IF((SUMPRODUCT(AB$9:AB$229,Nutrients!$EE$8:$EE$228))=0,AB256,IF((SUMPRODUCT(AB$9:AB$229,Nutrients!$EE$8:$EE$228))&gt;(1500*907),AB256+0.14,AB256+0.00000000006666*((SUMPRODUCT(AB$9:AB$229,Nutrients!$EE$8:$EE$228)/907))^3-0.00000023623322*((SUMPRODUCT(AB$9:AB$229,Nutrients!$EE$8:$EE$228)/907))^2+0.00029262722672*((SUMPRODUCT(AB$9:AB$229,Nutrients!$EE$8:$EE$228)/907))+0.007028328))</f>
        <v>0.15203120530106506</v>
      </c>
      <c r="AD257" s="23">
        <f>IF((SUMPRODUCT(AD$9:AD$229,Nutrients!$EE$8:$EE$228))=0,AD256,IF((SUMPRODUCT(AD$9:AD$229,Nutrients!$EE$8:$EE$228))&gt;(1500*907),AD256+0.14,AD256+0.00000000006666*((SUMPRODUCT(AD$9:AD$229,Nutrients!$EE$8:$EE$228)/907))^3-0.00000023623322*((SUMPRODUCT(AD$9:AD$229,Nutrients!$EE$8:$EE$228)/907))^2+0.00029262722672*((SUMPRODUCT(AD$9:AD$229,Nutrients!$EE$8:$EE$228)/907))+0.007028328))</f>
        <v>0.26060972065183186</v>
      </c>
      <c r="AE257" s="23">
        <f>IF((SUMPRODUCT(AE$9:AE$229,Nutrients!$EE$8:$EE$228))=0,AE256,IF((SUMPRODUCT(AE$9:AE$229,Nutrients!$EE$8:$EE$228))&gt;(1500*907),AE256+0.14,AE256+0.00000000006666*((SUMPRODUCT(AE$9:AE$229,Nutrients!$EE$8:$EE$228)/907))^3-0.00000023623322*((SUMPRODUCT(AE$9:AE$229,Nutrients!$EE$8:$EE$228)/907))^2+0.00029262722672*((SUMPRODUCT(AE$9:AE$229,Nutrients!$EE$8:$EE$228)/907))+0.007028328))</f>
        <v>0.22460715894421715</v>
      </c>
      <c r="AF257" s="23">
        <f>IF((SUMPRODUCT(AF$9:AF$229,Nutrients!$EE$8:$EE$228))=0,AF256,IF((SUMPRODUCT(AF$9:AF$229,Nutrients!$EE$8:$EE$228))&gt;(1500*907),AF256+0.14,AF256+0.00000000006666*((SUMPRODUCT(AF$9:AF$229,Nutrients!$EE$8:$EE$228)/907))^3-0.00000023623322*((SUMPRODUCT(AF$9:AF$229,Nutrients!$EE$8:$EE$228)/907))^2+0.00029262722672*((SUMPRODUCT(AF$9:AF$229,Nutrients!$EE$8:$EE$228)/907))+0.007028328))</f>
        <v>0.18816512316613762</v>
      </c>
      <c r="AG257" s="23">
        <f>IF((SUMPRODUCT(AG$9:AG$229,Nutrients!$EE$8:$EE$228))=0,AG256,IF((SUMPRODUCT(AG$9:AG$229,Nutrients!$EE$8:$EE$228))&gt;(1500*907),AG256+0.14,AG256+0.00000000006666*((SUMPRODUCT(AG$9:AG$229,Nutrients!$EE$8:$EE$228)/907))^3-0.00000023623322*((SUMPRODUCT(AG$9:AG$229,Nutrients!$EE$8:$EE$228)/907))^2+0.00029262722672*((SUMPRODUCT(AG$9:AG$229,Nutrients!$EE$8:$EE$228)/907))+0.007028328))</f>
        <v>0.15932575044707864</v>
      </c>
      <c r="AH257" s="23">
        <f>IF((SUMPRODUCT(AH$9:AH$229,Nutrients!$EE$8:$EE$228))=0,AH256,IF((SUMPRODUCT(AH$9:AH$229,Nutrients!$EE$8:$EE$228))&gt;(1500*907),AH256+0.14,AH256+0.00000000006666*((SUMPRODUCT(AH$9:AH$229,Nutrients!$EE$8:$EE$228)/907))^3-0.00000023623322*((SUMPRODUCT(AH$9:AH$229,Nutrients!$EE$8:$EE$228)/907))^2+0.00029262722672*((SUMPRODUCT(AH$9:AH$229,Nutrients!$EE$8:$EE$228)/907))+0.007028328))</f>
        <v>0.14956903248292555</v>
      </c>
      <c r="AI257" s="23">
        <f>IF((SUMPRODUCT(AI$9:AI$229,Nutrients!$EE$8:$EE$228))=0,AI256,IF((SUMPRODUCT(AI$9:AI$229,Nutrients!$EE$8:$EE$228))&gt;(1500*907),AI256+0.14,AI256+0.00000000006666*((SUMPRODUCT(AI$9:AI$229,Nutrients!$EE$8:$EE$228)/907))^3-0.00000023623322*((SUMPRODUCT(AI$9:AI$229,Nutrients!$EE$8:$EE$228)/907))^2+0.00029262722672*((SUMPRODUCT(AI$9:AI$229,Nutrients!$EE$8:$EE$228)/907))+0.007028328))</f>
        <v>0.14790116492912575</v>
      </c>
      <c r="AK257" s="23">
        <f>IF((SUMPRODUCT(AK$9:AK$229,Nutrients!$EE$8:$EE$228))=0,AK256,IF((SUMPRODUCT(AK$9:AK$229,Nutrients!$EE$8:$EE$228))&gt;(1500*907),AK256+0.14,AK256+0.00000000006666*((SUMPRODUCT(AK$9:AK$229,Nutrients!$EE$8:$EE$228)/907))^3-0.00000023623322*((SUMPRODUCT(AK$9:AK$229,Nutrients!$EE$8:$EE$228)/907))^2+0.00029262722672*((SUMPRODUCT(AK$9:AK$229,Nutrients!$EE$8:$EE$228)/907))+0.007028328))</f>
        <v>0.2435645065560896</v>
      </c>
      <c r="AL257" s="23">
        <f>IF((SUMPRODUCT(AL$9:AL$229,Nutrients!$EE$8:$EE$228))=0,AL256,IF((SUMPRODUCT(AL$9:AL$229,Nutrients!$EE$8:$EE$228))&gt;(1500*907),AL256+0.14,AL256+0.00000000006666*((SUMPRODUCT(AL$9:AL$229,Nutrients!$EE$8:$EE$228)/907))^3-0.00000023623322*((SUMPRODUCT(AL$9:AL$229,Nutrients!$EE$8:$EE$228)/907))^2+0.00029262722672*((SUMPRODUCT(AL$9:AL$229,Nutrients!$EE$8:$EE$228)/907))+0.007028328))</f>
        <v>0.20728707256304332</v>
      </c>
      <c r="AM257" s="23">
        <f>IF((SUMPRODUCT(AM$9:AM$229,Nutrients!$EE$8:$EE$228))=0,AM256,IF((SUMPRODUCT(AM$9:AM$229,Nutrients!$EE$8:$EE$228))&gt;(1500*907),AM256+0.14,AM256+0.00000000006666*((SUMPRODUCT(AM$9:AM$229,Nutrients!$EE$8:$EE$228)/907))^3-0.00000023623322*((SUMPRODUCT(AM$9:AM$229,Nutrients!$EE$8:$EE$228)/907))^2+0.00029262722672*((SUMPRODUCT(AM$9:AM$229,Nutrients!$EE$8:$EE$228)/907))+0.007028328))</f>
        <v>0.17089428246359853</v>
      </c>
      <c r="AN257" s="23">
        <f>IF((SUMPRODUCT(AN$9:AN$229,Nutrients!$EE$8:$EE$228))=0,AN256,IF((SUMPRODUCT(AN$9:AN$229,Nutrients!$EE$8:$EE$228))&gt;(1500*907),AN256+0.14,AN256+0.00000000006666*((SUMPRODUCT(AN$9:AN$229,Nutrients!$EE$8:$EE$228)/907))^3-0.00000023623322*((SUMPRODUCT(AN$9:AN$229,Nutrients!$EE$8:$EE$228)/907))^2+0.00029262722672*((SUMPRODUCT(AN$9:AN$229,Nutrients!$EE$8:$EE$228)/907))+0.007028328))</f>
        <v>0.14870704154201855</v>
      </c>
      <c r="AO257" s="23">
        <f>IF((SUMPRODUCT(AO$9:AO$229,Nutrients!$EE$8:$EE$228))=0,AO256,IF((SUMPRODUCT(AO$9:AO$229,Nutrients!$EE$8:$EE$228))&gt;(1500*907),AO256+0.14,AO256+0.00000000006666*((SUMPRODUCT(AO$9:AO$229,Nutrients!$EE$8:$EE$228)/907))^3-0.00000023623322*((SUMPRODUCT(AO$9:AO$229,Nutrients!$EE$8:$EE$228)/907))^2+0.00029262722672*((SUMPRODUCT(AO$9:AO$229,Nutrients!$EE$8:$EE$228)/907))+0.007028328))</f>
        <v>0.14542184964028185</v>
      </c>
      <c r="AP257" s="23">
        <f>IF((SUMPRODUCT(AP$9:AP$229,Nutrients!$EE$8:$EE$228))=0,AP256,IF((SUMPRODUCT(AP$9:AP$229,Nutrients!$EE$8:$EE$228))&gt;(1500*907),AP256+0.14,AP256+0.00000000006666*((SUMPRODUCT(AP$9:AP$229,Nutrients!$EE$8:$EE$228)/907))^3-0.00000023623322*((SUMPRODUCT(AP$9:AP$229,Nutrients!$EE$8:$EE$228)/907))^2+0.00029262722672*((SUMPRODUCT(AP$9:AP$229,Nutrients!$EE$8:$EE$228)/907))+0.007028328))</f>
        <v>0.14377076030883656</v>
      </c>
      <c r="AR257" s="23">
        <f>IF((SUMPRODUCT(AR$9:AR$229,Nutrients!$EE$8:$EE$228))=0,AR256,IF((SUMPRODUCT(AR$9:AR$229,Nutrients!$EE$8:$EE$228))&gt;(1500*907),AR256+0.14,AR256+0.00000000006666*((SUMPRODUCT(AR$9:AR$229,Nutrients!$EE$8:$EE$228)/907))^3-0.00000023623322*((SUMPRODUCT(AR$9:AR$229,Nutrients!$EE$8:$EE$228)/907))^2+0.00029262722672*((SUMPRODUCT(AR$9:AR$229,Nutrients!$EE$8:$EE$228)/907))+0.007028328))</f>
        <v>0.22613768161789707</v>
      </c>
      <c r="AS257" s="23">
        <f>IF((SUMPRODUCT(AS$9:AS$229,Nutrients!$EE$8:$EE$228))=0,AS256,IF((SUMPRODUCT(AS$9:AS$229,Nutrients!$EE$8:$EE$228))&gt;(1500*907),AS256+0.14,AS256+0.00000000006666*((SUMPRODUCT(AS$9:AS$229,Nutrients!$EE$8:$EE$228)/907))^3-0.00000023623322*((SUMPRODUCT(AS$9:AS$229,Nutrients!$EE$8:$EE$228)/907))^2+0.00029262722672*((SUMPRODUCT(AS$9:AS$229,Nutrients!$EE$8:$EE$228)/907))+0.007028328))</f>
        <v>0.18996714977011678</v>
      </c>
      <c r="AT257" s="23">
        <f>IF((SUMPRODUCT(AT$9:AT$229,Nutrients!$EE$8:$EE$228))=0,AT256,IF((SUMPRODUCT(AT$9:AT$229,Nutrients!$EE$8:$EE$228))&gt;(1500*907),AT256+0.14,AT256+0.00000000006666*((SUMPRODUCT(AT$9:AT$229,Nutrients!$EE$8:$EE$228)/907))^3-0.00000023623322*((SUMPRODUCT(AT$9:AT$229,Nutrients!$EE$8:$EE$228)/907))^2+0.00029262722672*((SUMPRODUCT(AT$9:AT$229,Nutrients!$EE$8:$EE$228)/907))+0.007028328))</f>
        <v>0.15363659688555323</v>
      </c>
      <c r="AU257" s="23">
        <f>IF((SUMPRODUCT(AU$9:AU$229,Nutrients!$EE$8:$EE$228))=0,AU256,IF((SUMPRODUCT(AU$9:AU$229,Nutrients!$EE$8:$EE$228))&gt;(1500*907),AU256+0.14,AU256+0.00000000006666*((SUMPRODUCT(AU$9:AU$229,Nutrients!$EE$8:$EE$228)/907))^3-0.00000023623322*((SUMPRODUCT(AU$9:AU$229,Nutrients!$EE$8:$EE$228)/907))^2+0.00029262722672*((SUMPRODUCT(AU$9:AU$229,Nutrients!$EE$8:$EE$228)/907))+0.007028328))</f>
        <v>0.14453662102918807</v>
      </c>
      <c r="AV257" s="23">
        <f>IF((SUMPRODUCT(AV$9:AV$229,Nutrients!$EE$8:$EE$228))=0,AV256,IF((SUMPRODUCT(AV$9:AV$229,Nutrients!$EE$8:$EE$228))&gt;(1500*907),AV256+0.14,AV256+0.00000000006666*((SUMPRODUCT(AV$9:AV$229,Nutrients!$EE$8:$EE$228)/907))^3-0.00000023623322*((SUMPRODUCT(AV$9:AV$229,Nutrients!$EE$8:$EE$228)/907))^2+0.00029262722672*((SUMPRODUCT(AV$9:AV$229,Nutrients!$EE$8:$EE$228)/907))+0.007028328))</f>
        <v>0.14127512922936605</v>
      </c>
      <c r="AW257" s="23">
        <f>IF((SUMPRODUCT(AW$9:AW$229,Nutrients!$EE$8:$EE$228))=0,AW256,IF((SUMPRODUCT(AW$9:AW$229,Nutrients!$EE$8:$EE$228))&gt;(1500*907),AW256+0.14,AW256+0.00000000006666*((SUMPRODUCT(AW$9:AW$229,Nutrients!$EE$8:$EE$228)/907))^3-0.00000023623322*((SUMPRODUCT(AW$9:AW$229,Nutrients!$EE$8:$EE$228)/907))^2+0.00029262722672*((SUMPRODUCT(AW$9:AW$229,Nutrients!$EE$8:$EE$228)/907))+0.007028328))</f>
        <v>0.13964060866438066</v>
      </c>
    </row>
    <row r="258" spans="1:59" x14ac:dyDescent="0.25">
      <c r="A258" t="s">
        <v>28</v>
      </c>
      <c r="B258" s="23">
        <f t="shared" ref="B258:G258" si="48">IF(B$5="","",(B257)/(B246*2.2046)*10000)</f>
        <v>1.0033088419067715</v>
      </c>
      <c r="C258" s="23">
        <f t="shared" si="48"/>
        <v>0.89010895745377694</v>
      </c>
      <c r="D258" s="23">
        <f t="shared" si="48"/>
        <v>0.77668715413339373</v>
      </c>
      <c r="E258" s="23">
        <f t="shared" si="48"/>
        <v>0.69541943453482424</v>
      </c>
      <c r="F258" s="23">
        <f t="shared" si="48"/>
        <v>0.63585195401614236</v>
      </c>
      <c r="G258" s="23">
        <f t="shared" si="48"/>
        <v>0.60998469661164556</v>
      </c>
      <c r="H258" s="227"/>
      <c r="I258" s="23">
        <f t="shared" ref="I258:N258" si="49">IF(I$5="","",(I257)/(I246*2.2046)*10000)</f>
        <v>0.94817795366630575</v>
      </c>
      <c r="J258" s="23">
        <f t="shared" si="49"/>
        <v>0.83569789088214974</v>
      </c>
      <c r="K258" s="23">
        <f t="shared" si="49"/>
        <v>0.72290914957302121</v>
      </c>
      <c r="L258" s="23">
        <f t="shared" si="49"/>
        <v>0.63377745380668538</v>
      </c>
      <c r="M258" s="23">
        <f t="shared" si="49"/>
        <v>0.57693609433714177</v>
      </c>
      <c r="N258" s="23">
        <f t="shared" si="49"/>
        <v>0.5487727791813497</v>
      </c>
      <c r="O258" s="198"/>
      <c r="P258" s="23">
        <f t="shared" ref="P258:U258" si="50">IF(P$5="","",(P257)/(P246*2.2046)*10000)</f>
        <v>0.8936296551475581</v>
      </c>
      <c r="Q258" s="23">
        <f t="shared" si="50"/>
        <v>0.78174138498824974</v>
      </c>
      <c r="R258" s="23">
        <f t="shared" si="50"/>
        <v>0.66954066706953008</v>
      </c>
      <c r="S258" s="23">
        <f t="shared" si="50"/>
        <v>0.58069992450238961</v>
      </c>
      <c r="T258" s="23">
        <f t="shared" si="50"/>
        <v>0.52419130907420475</v>
      </c>
      <c r="U258" s="23">
        <f t="shared" si="50"/>
        <v>0.4961810584906135</v>
      </c>
      <c r="W258" s="23">
        <f t="shared" ref="W258:AB258" si="51">IF(W$5="","",(W257)/(W246*2.2046)*10000)</f>
        <v>0.83931345157352166</v>
      </c>
      <c r="X258" s="23">
        <f t="shared" si="51"/>
        <v>0.72801966889261061</v>
      </c>
      <c r="Y258" s="23">
        <f t="shared" si="51"/>
        <v>0.61617178725534494</v>
      </c>
      <c r="Z258" s="23">
        <f t="shared" si="51"/>
        <v>0.52789236909418391</v>
      </c>
      <c r="AA258" s="23">
        <f t="shared" si="51"/>
        <v>0.47168071709457926</v>
      </c>
      <c r="AB258" s="23">
        <f t="shared" si="51"/>
        <v>0.45321151550704564</v>
      </c>
      <c r="AD258" s="23">
        <f t="shared" ref="AD258:AI258" si="52">IF(AD$5="","",(AD257)/(AD246*2.2046)*10000)</f>
        <v>0.78523193127857249</v>
      </c>
      <c r="AE258" s="23">
        <f t="shared" si="52"/>
        <v>0.67432532779094589</v>
      </c>
      <c r="AF258" s="23">
        <f t="shared" si="52"/>
        <v>0.56310654866349152</v>
      </c>
      <c r="AG258" s="23">
        <f t="shared" si="52"/>
        <v>0.47529395287466303</v>
      </c>
      <c r="AH258" s="23">
        <f t="shared" si="52"/>
        <v>0.44544004858701058</v>
      </c>
      <c r="AI258" s="23">
        <f t="shared" si="52"/>
        <v>0.44028462103642424</v>
      </c>
      <c r="AK258" s="23">
        <f t="shared" ref="AK258:AP258" si="53">IF(AK$5="","",(AK257)/(AK246*2.2046)*10000)</f>
        <v>0.73227701971379644</v>
      </c>
      <c r="AL258" s="23">
        <f t="shared" si="53"/>
        <v>0.62092861203666116</v>
      </c>
      <c r="AM258" s="23">
        <f t="shared" si="53"/>
        <v>0.51025026311403932</v>
      </c>
      <c r="AN258" s="23">
        <f t="shared" si="53"/>
        <v>0.44280658729353678</v>
      </c>
      <c r="AO258" s="23">
        <f t="shared" si="53"/>
        <v>0.43248194183511252</v>
      </c>
      <c r="AP258" s="23">
        <f t="shared" si="53"/>
        <v>0.42739104321141341</v>
      </c>
      <c r="AR258" s="23">
        <f t="shared" ref="AR258:AW258" si="54">IF(AR$5="","",(AR257)/(AR246*2.2046)*10000)</f>
        <v>0.67833839562208609</v>
      </c>
      <c r="AS258" s="23">
        <f t="shared" si="54"/>
        <v>0.5677774117081692</v>
      </c>
      <c r="AT258" s="23">
        <f t="shared" si="54"/>
        <v>0.45768216214136442</v>
      </c>
      <c r="AU258" s="23">
        <f t="shared" si="54"/>
        <v>0.42978504462169614</v>
      </c>
      <c r="AV258" s="23">
        <f t="shared" si="54"/>
        <v>0.41956300812847991</v>
      </c>
      <c r="AW258" s="23">
        <f t="shared" si="54"/>
        <v>0.41453573002563393</v>
      </c>
    </row>
    <row r="259" spans="1:59" x14ac:dyDescent="0.25">
      <c r="A259" s="34" t="s">
        <v>346</v>
      </c>
      <c r="B259" s="227">
        <f>((SUMPRODUCT(B$9:B$229,Nutrients!$DR$8:$DR$228)+(IF($A$7=Nutrients!$B$8,Nutrients!$DR$8,Nutrients!$DR$9)*B$7)+(((IF($A$8=Nutrients!$B$79,Nutrients!$DR$79,(IF($A$8=Nutrients!$B$77,Nutrients!$DR$77,Nutrients!$DR$78)))))*B$8))/2000)</f>
        <v>0.28998961246592625</v>
      </c>
      <c r="C259" s="227">
        <f>((SUMPRODUCT(C$9:C$229,Nutrients!$DR$8:$DR$228)+(IF($A$7=Nutrients!$B$8,Nutrients!$DR$8,Nutrients!$DR$9)*C$7)+(((IF($A$8=Nutrients!$B$79,Nutrients!$DR$79,(IF($A$8=Nutrients!$B$77,Nutrients!$DR$77,Nutrients!$DR$78)))))*C$8))/2000)</f>
        <v>0.25045553392749997</v>
      </c>
      <c r="D259" s="227">
        <f>((SUMPRODUCT(D$9:D$229,Nutrients!$DR$8:$DR$228)+(IF($A$7=Nutrients!$B$8,Nutrients!$DR$8,Nutrients!$DR$9)*D$7)+(((IF($A$8=Nutrients!$B$79,Nutrients!$DR$79,(IF($A$8=Nutrients!$B$77,Nutrients!$DR$77,Nutrients!$DR$78)))))*D$8))/2000)</f>
        <v>0.21159356316179678</v>
      </c>
      <c r="E259" s="227">
        <f>((SUMPRODUCT(E$9:E$229,Nutrients!$DR$8:$DR$228)+(IF($A$7=Nutrients!$B$8,Nutrients!$DR$8,Nutrients!$DR$9)*E$7)+(((IF($A$8=Nutrients!$B$79,Nutrients!$DR$79,(IF($A$8=Nutrients!$B$77,Nutrients!$DR$77,Nutrients!$DR$78)))))*E$8))/2000)</f>
        <v>0.18289955187368459</v>
      </c>
      <c r="F259" s="227">
        <f>((SUMPRODUCT(F$9:F$229,Nutrients!$DR$8:$DR$228)+(IF($A$7=Nutrients!$B$8,Nutrients!$DR$8,Nutrients!$DR$9)*F$7)+(((IF($A$8=Nutrients!$B$79,Nutrients!$DR$79,(IF($A$8=Nutrients!$B$77,Nutrients!$DR$77,Nutrients!$DR$78)))))*F$8))/2000)</f>
        <v>0.16219699119534683</v>
      </c>
      <c r="G259" s="227">
        <f>((SUMPRODUCT(G$9:G$229,Nutrients!$DR$8:$DR$228)+(IF($A$7=Nutrients!$B$8,Nutrients!$DR$8,Nutrients!$DR$9)*G$7)+(((IF($A$8=Nutrients!$B$79,Nutrients!$DR$79,(IF($A$8=Nutrients!$B$77,Nutrients!$DR$77,Nutrients!$DR$78)))))*G$8))/2000)</f>
        <v>0.15287313523350393</v>
      </c>
      <c r="H259" s="227"/>
      <c r="I259" s="227">
        <f>((SUMPRODUCT(I$9:I$229,Nutrients!$DR$8:$DR$228)+(IF($A$7=Nutrients!$B$8,Nutrients!$DR$8,Nutrients!$DR$9)*I$7)+(((IF($A$8=Nutrients!$B$79,Nutrients!$DR$79,(IF($A$8=Nutrients!$B$77,Nutrients!$DR$77,Nutrients!$DR$78)))))*I$8))/2000)</f>
        <v>0.28996134729698325</v>
      </c>
      <c r="J259" s="227">
        <f>((SUMPRODUCT(J$9:J$229,Nutrients!$DR$8:$DR$228)+(IF($A$7=Nutrients!$B$8,Nutrients!$DR$8,Nutrients!$DR$9)*J$7)+(((IF($A$8=Nutrients!$B$79,Nutrients!$DR$79,(IF($A$8=Nutrients!$B$77,Nutrients!$DR$77,Nutrients!$DR$78)))))*J$8))/2000)</f>
        <v>0.2505762930480056</v>
      </c>
      <c r="K259" s="227">
        <f>((SUMPRODUCT(K$9:K$229,Nutrients!$DR$8:$DR$228)+(IF($A$7=Nutrients!$B$8,Nutrients!$DR$8,Nutrients!$DR$9)*K$7)+(((IF($A$8=Nutrients!$B$79,Nutrients!$DR$79,(IF($A$8=Nutrients!$B$77,Nutrients!$DR$77,Nutrients!$DR$78)))))*K$8))/2000)</f>
        <v>0.21183692421033332</v>
      </c>
      <c r="L259" s="227">
        <f>((SUMPRODUCT(L$9:L$229,Nutrients!$DR$8:$DR$228)+(IF($A$7=Nutrients!$B$8,Nutrients!$DR$8,Nutrients!$DR$9)*L$7)+(((IF($A$8=Nutrients!$B$79,Nutrients!$DR$79,(IF($A$8=Nutrients!$B$77,Nutrients!$DR$77,Nutrients!$DR$78)))))*L$8))/2000)</f>
        <v>0.18082505581613378</v>
      </c>
      <c r="M259" s="227">
        <f>((SUMPRODUCT(M$9:M$229,Nutrients!$DR$8:$DR$228)+(IF($A$7=Nutrients!$B$8,Nutrients!$DR$8,Nutrients!$DR$9)*M$7)+(((IF($A$8=Nutrients!$B$79,Nutrients!$DR$79,(IF($A$8=Nutrients!$B$77,Nutrients!$DR$77,Nutrients!$DR$78)))))*M$8))/2000)</f>
        <v>0.16082465595917891</v>
      </c>
      <c r="N259" s="227">
        <f>((SUMPRODUCT(N$9:N$229,Nutrients!$DR$8:$DR$228)+(IF($A$7=Nutrients!$B$8,Nutrients!$DR$8,Nutrients!$DR$9)*N$7)+(((IF($A$8=Nutrients!$B$79,Nutrients!$DR$79,(IF($A$8=Nutrients!$B$77,Nutrients!$DR$77,Nutrients!$DR$78)))))*N$8))/2000)</f>
        <v>0.15082571497598113</v>
      </c>
      <c r="O259" s="198"/>
      <c r="P259" s="227">
        <f>((SUMPRODUCT(P$9:P$229,Nutrients!$DR$8:$DR$228)+(IF($A$7=Nutrients!$B$8,Nutrients!$DR$8,Nutrients!$DR$9)*P$7)+(((IF($A$8=Nutrients!$B$79,Nutrients!$DR$79,(IF($A$8=Nutrients!$B$77,Nutrients!$DR$77,Nutrients!$DR$78)))))*P$8))/2000)</f>
        <v>0.29012418344337004</v>
      </c>
      <c r="Q259" s="227">
        <f>((SUMPRODUCT(Q$9:Q$229,Nutrients!$DR$8:$DR$228)+(IF($A$7=Nutrients!$B$8,Nutrients!$DR$8,Nutrients!$DR$9)*Q$7)+(((IF($A$8=Nutrients!$B$79,Nutrients!$DR$79,(IF($A$8=Nutrients!$B$77,Nutrients!$DR$77,Nutrients!$DR$78)))))*Q$8))/2000)</f>
        <v>0.25082971441109625</v>
      </c>
      <c r="R259" s="227">
        <f>((SUMPRODUCT(R$9:R$229,Nutrients!$DR$8:$DR$228)+(IF($A$7=Nutrients!$B$8,Nutrients!$DR$8,Nutrients!$DR$9)*R$7)+(((IF($A$8=Nutrients!$B$79,Nutrients!$DR$79,(IF($A$8=Nutrients!$B$77,Nutrients!$DR$77,Nutrients!$DR$78)))))*R$8))/2000)</f>
        <v>0.21218755388888752</v>
      </c>
      <c r="S259" s="227">
        <f>((SUMPRODUCT(S$9:S$229,Nutrients!$DR$8:$DR$228)+(IF($A$7=Nutrients!$B$8,Nutrients!$DR$8,Nutrients!$DR$9)*S$7)+(((IF($A$8=Nutrients!$B$79,Nutrients!$DR$79,(IF($A$8=Nutrients!$B$77,Nutrients!$DR$77,Nutrients!$DR$78)))))*S$8))/2000)</f>
        <v>0.18113051182286444</v>
      </c>
      <c r="T259" s="227">
        <f>((SUMPRODUCT(T$9:T$229,Nutrients!$DR$8:$DR$228)+(IF($A$7=Nutrients!$B$8,Nutrients!$DR$8,Nutrients!$DR$9)*T$7)+(((IF($A$8=Nutrients!$B$79,Nutrients!$DR$79,(IF($A$8=Nutrients!$B$77,Nutrients!$DR$77,Nutrients!$DR$78)))))*T$8))/2000)</f>
        <v>0.16120369003742432</v>
      </c>
      <c r="U259" s="227">
        <f>((SUMPRODUCT(U$9:U$229,Nutrients!$DR$8:$DR$228)+(IF($A$7=Nutrients!$B$8,Nutrients!$DR$8,Nutrients!$DR$9)*U$7)+(((IF($A$8=Nutrients!$B$79,Nutrients!$DR$79,(IF($A$8=Nutrients!$B$77,Nutrients!$DR$77,Nutrients!$DR$78)))))*U$8))/2000)</f>
        <v>0.15123516985072474</v>
      </c>
      <c r="W259" s="227">
        <f>((SUMPRODUCT(W$9:W$229,Nutrients!$DR$8:$DR$228)+(IF($A$7=Nutrients!$B$8,Nutrients!$DR$8,Nutrients!$DR$9)*W$7)+(((IF($A$8=Nutrients!$B$79,Nutrients!$DR$79,(IF($A$8=Nutrients!$B$77,Nutrients!$DR$77,Nutrients!$DR$78)))))*W$8))/2000)</f>
        <v>0.29028805671684177</v>
      </c>
      <c r="X259" s="227">
        <f>((SUMPRODUCT(X$9:X$229,Nutrients!$DR$8:$DR$228)+(IF($A$7=Nutrients!$B$8,Nutrients!$DR$8,Nutrients!$DR$9)*X$7)+(((IF($A$8=Nutrients!$B$79,Nutrients!$DR$79,(IF($A$8=Nutrients!$B$77,Nutrients!$DR$77,Nutrients!$DR$78)))))*X$8))/2000)</f>
        <v>0.25108505561358324</v>
      </c>
      <c r="Y259" s="227">
        <f>((SUMPRODUCT(Y$9:Y$229,Nutrients!$DR$8:$DR$228)+(IF($A$7=Nutrients!$B$8,Nutrients!$DR$8,Nutrients!$DR$9)*Y$7)+(((IF($A$8=Nutrients!$B$79,Nutrients!$DR$79,(IF($A$8=Nutrients!$B$77,Nutrients!$DR$77,Nutrients!$DR$78)))))*Y$8))/2000)</f>
        <v>0.21239875544994724</v>
      </c>
      <c r="Z259" s="227">
        <f>((SUMPRODUCT(Z$9:Z$229,Nutrients!$DR$8:$DR$228)+(IF($A$7=Nutrients!$B$8,Nutrients!$DR$8,Nutrients!$DR$9)*Z$7)+(((IF($A$8=Nutrients!$B$79,Nutrients!$DR$79,(IF($A$8=Nutrients!$B$77,Nutrients!$DR$77,Nutrients!$DR$78)))))*Z$8))/2000)</f>
        <v>0.18147125879298556</v>
      </c>
      <c r="AA259" s="227">
        <f>((SUMPRODUCT(AA$9:AA$229,Nutrients!$DR$8:$DR$228)+(IF($A$7=Nutrients!$B$8,Nutrients!$DR$8,Nutrients!$DR$9)*AA$7)+(((IF($A$8=Nutrients!$B$79,Nutrients!$DR$79,(IF($A$8=Nutrients!$B$77,Nutrients!$DR$77,Nutrients!$DR$78)))))*AA$8))/2000)</f>
        <v>0.16159183446294448</v>
      </c>
      <c r="AB259" s="227">
        <f>((SUMPRODUCT(AB$9:AB$229,Nutrients!$DR$8:$DR$228)+(IF($A$7=Nutrients!$B$8,Nutrients!$DR$8,Nutrients!$DR$9)*AB$7)+(((IF($A$8=Nutrients!$B$79,Nutrients!$DR$79,(IF($A$8=Nutrients!$B$77,Nutrients!$DR$77,Nutrients!$DR$78)))))*AB$8))/2000)</f>
        <v>0.15438191690465869</v>
      </c>
      <c r="AD259" s="227">
        <f>((SUMPRODUCT(AD$9:AD$229,Nutrients!$DR$8:$DR$228)+(IF($A$7=Nutrients!$B$8,Nutrients!$DR$8,Nutrients!$DR$9)*AD$7)+(((IF($A$8=Nutrients!$B$79,Nutrients!$DR$79,(IF($A$8=Nutrients!$B$77,Nutrients!$DR$77,Nutrients!$DR$78)))))*AD$8))/2000)</f>
        <v>0.29044021906142953</v>
      </c>
      <c r="AE259" s="227">
        <f>((SUMPRODUCT(AE$9:AE$229,Nutrients!$DR$8:$DR$228)+(IF($A$7=Nutrients!$B$8,Nutrients!$DR$8,Nutrients!$DR$9)*AE$7)+(((IF($A$8=Nutrients!$B$79,Nutrients!$DR$79,(IF($A$8=Nutrients!$B$77,Nutrients!$DR$77,Nutrients!$DR$78)))))*AE$8))/2000)</f>
        <v>0.25120156811149008</v>
      </c>
      <c r="AF259" s="227">
        <f>((SUMPRODUCT(AF$9:AF$229,Nutrients!$DR$8:$DR$228)+(IF($A$7=Nutrients!$B$8,Nutrients!$DR$8,Nutrients!$DR$9)*AF$7)+(((IF($A$8=Nutrients!$B$79,Nutrients!$DR$79,(IF($A$8=Nutrients!$B$77,Nutrients!$DR$77,Nutrients!$DR$78)))))*AF$8))/2000)</f>
        <v>0.21264328214865663</v>
      </c>
      <c r="AG259" s="227">
        <f>((SUMPRODUCT(AG$9:AG$229,Nutrients!$DR$8:$DR$228)+(IF($A$7=Nutrients!$B$8,Nutrients!$DR$8,Nutrients!$DR$9)*AG$7)+(((IF($A$8=Nutrients!$B$79,Nutrients!$DR$79,(IF($A$8=Nutrients!$B$77,Nutrients!$DR$77,Nutrients!$DR$78)))))*AG$8))/2000)</f>
        <v>0.18180297112449109</v>
      </c>
      <c r="AH259" s="227">
        <f>((SUMPRODUCT(AH$9:AH$229,Nutrients!$DR$8:$DR$228)+(IF($A$7=Nutrients!$B$8,Nutrients!$DR$8,Nutrients!$DR$9)*AH$7)+(((IF($A$8=Nutrients!$B$79,Nutrients!$DR$79,(IF($A$8=Nutrients!$B$77,Nutrients!$DR$77,Nutrients!$DR$78)))))*AH$8))/2000)</f>
        <v>0.16956912942276786</v>
      </c>
      <c r="AI259" s="227">
        <f>((SUMPRODUCT(AI$9:AI$229,Nutrients!$DR$8:$DR$228)+(IF($A$7=Nutrients!$B$8,Nutrients!$DR$8,Nutrients!$DR$9)*AI$7)+(((IF($A$8=Nutrients!$B$79,Nutrients!$DR$79,(IF($A$8=Nutrients!$B$77,Nutrients!$DR$77,Nutrients!$DR$78)))))*AI$8))/2000)</f>
        <v>0.16625332145328217</v>
      </c>
      <c r="AK259" s="227">
        <f>((SUMPRODUCT(AK$9:AK$229,Nutrients!$DR$8:$DR$228)+(IF($A$7=Nutrients!$B$8,Nutrients!$DR$8,Nutrients!$DR$9)*AK$7)+(((IF($A$8=Nutrients!$B$79,Nutrients!$DR$79,(IF($A$8=Nutrients!$B$77,Nutrients!$DR$77,Nutrients!$DR$78)))))*AK$8))/2000)</f>
        <v>0.29114381200372952</v>
      </c>
      <c r="AL259" s="227">
        <f>((SUMPRODUCT(AL$9:AL$229,Nutrients!$DR$8:$DR$228)+(IF($A$7=Nutrients!$B$8,Nutrients!$DR$8,Nutrients!$DR$9)*AL$7)+(((IF($A$8=Nutrients!$B$79,Nutrients!$DR$79,(IF($A$8=Nutrients!$B$77,Nutrients!$DR$77,Nutrients!$DR$78)))))*AL$8))/2000)</f>
        <v>0.25135864352434845</v>
      </c>
      <c r="AM259" s="227">
        <f>((SUMPRODUCT(AM$9:AM$229,Nutrients!$DR$8:$DR$228)+(IF($A$7=Nutrients!$B$8,Nutrients!$DR$8,Nutrients!$DR$9)*AM$7)+(((IF($A$8=Nutrients!$B$79,Nutrients!$DR$79,(IF($A$8=Nutrients!$B$77,Nutrients!$DR$77,Nutrients!$DR$78)))))*AM$8))/2000)</f>
        <v>0.21289654545188069</v>
      </c>
      <c r="AN259" s="227">
        <f>((SUMPRODUCT(AN$9:AN$229,Nutrients!$DR$8:$DR$228)+(IF($A$7=Nutrients!$B$8,Nutrients!$DR$8,Nutrients!$DR$9)*AN$7)+(((IF($A$8=Nutrients!$B$79,Nutrients!$DR$79,(IF($A$8=Nutrients!$B$77,Nutrients!$DR$77,Nutrients!$DR$78)))))*AN$8))/2000)</f>
        <v>0.18793113529540084</v>
      </c>
      <c r="AO259" s="227">
        <f>((SUMPRODUCT(AO$9:AO$229,Nutrients!$DR$8:$DR$228)+(IF($A$7=Nutrients!$B$8,Nutrients!$DR$8,Nutrients!$DR$9)*AO$7)+(((IF($A$8=Nutrients!$B$79,Nutrients!$DR$79,(IF($A$8=Nutrients!$B$77,Nutrients!$DR$77,Nutrients!$DR$78)))))*AO$8))/2000)</f>
        <v>0.18140637372335067</v>
      </c>
      <c r="AP259" s="227">
        <f>((SUMPRODUCT(AP$9:AP$229,Nutrients!$DR$8:$DR$228)+(IF($A$7=Nutrients!$B$8,Nutrients!$DR$8,Nutrients!$DR$9)*AP$7)+(((IF($A$8=Nutrients!$B$79,Nutrients!$DR$79,(IF($A$8=Nutrients!$B$77,Nutrients!$DR$77,Nutrients!$DR$78)))))*AP$8))/2000)</f>
        <v>0.17812392971310506</v>
      </c>
      <c r="AR259" s="227">
        <f>((SUMPRODUCT(AR$9:AR$229,Nutrients!$DR$8:$DR$228)+(IF($A$7=Nutrients!$B$8,Nutrients!$DR$8,Nutrients!$DR$9)*AR$7)+(((IF($A$8=Nutrients!$B$79,Nutrients!$DR$79,(IF($A$8=Nutrients!$B$77,Nutrients!$DR$77,Nutrients!$DR$78)))))*AR$8))/2000)</f>
        <v>0.29108855435811337</v>
      </c>
      <c r="AS259" s="227">
        <f>((SUMPRODUCT(AS$9:AS$229,Nutrients!$DR$8:$DR$228)+(IF($A$7=Nutrients!$B$8,Nutrients!$DR$8,Nutrients!$DR$9)*AS$7)+(((IF($A$8=Nutrients!$B$79,Nutrients!$DR$79,(IF($A$8=Nutrients!$B$77,Nutrients!$DR$77,Nutrients!$DR$78)))))*AS$8))/2000)</f>
        <v>0.25151588711151224</v>
      </c>
      <c r="AT259" s="227">
        <f>((SUMPRODUCT(AT$9:AT$229,Nutrients!$DR$8:$DR$228)+(IF($A$7=Nutrients!$B$8,Nutrients!$DR$8,Nutrients!$DR$9)*AT$7)+(((IF($A$8=Nutrients!$B$79,Nutrients!$DR$79,(IF($A$8=Nutrients!$B$77,Nutrients!$DR$77,Nutrients!$DR$78)))))*AT$8))/2000)</f>
        <v>0.21317576741537064</v>
      </c>
      <c r="AU259" s="227">
        <f>((SUMPRODUCT(AU$9:AU$229,Nutrients!$DR$8:$DR$228)+(IF($A$7=Nutrients!$B$8,Nutrients!$DR$8,Nutrients!$DR$9)*AU$7)+(((IF($A$8=Nutrients!$B$79,Nutrients!$DR$79,(IF($A$8=Nutrients!$B$77,Nutrients!$DR$77,Nutrients!$DR$78)))))*AU$8))/2000)</f>
        <v>0.19972207297230715</v>
      </c>
      <c r="AV259" s="227">
        <f>((SUMPRODUCT(AV$9:AV$229,Nutrients!$DR$8:$DR$228)+(IF($A$7=Nutrients!$B$8,Nutrients!$DR$8,Nutrients!$DR$9)*AV$7)+(((IF($A$8=Nutrients!$B$79,Nutrients!$DR$79,(IF($A$8=Nutrients!$B$77,Nutrients!$DR$77,Nutrients!$DR$78)))))*AV$8))/2000)</f>
        <v>0.1932446047801234</v>
      </c>
      <c r="AW259" s="227">
        <f>((SUMPRODUCT(AW$9:AW$229,Nutrients!$DR$8:$DR$228)+(IF($A$7=Nutrients!$B$8,Nutrients!$DR$8,Nutrients!$DR$9)*AW$7)+(((IF($A$8=Nutrients!$B$79,Nutrients!$DR$79,(IF($A$8=Nutrients!$B$77,Nutrients!$DR$77,Nutrients!$DR$78)))))*AW$8))/2000)</f>
        <v>0.18999511245904543</v>
      </c>
    </row>
    <row r="260" spans="1:59" x14ac:dyDescent="0.25">
      <c r="A260" s="15" t="s">
        <v>347</v>
      </c>
      <c r="B260" s="227">
        <f t="shared" ref="B260:G260" si="55">B259+0.11</f>
        <v>0.39998961246592624</v>
      </c>
      <c r="C260" s="227">
        <f t="shared" si="55"/>
        <v>0.36045553392749996</v>
      </c>
      <c r="D260" s="227">
        <f t="shared" si="55"/>
        <v>0.32159356316179677</v>
      </c>
      <c r="E260" s="227">
        <f t="shared" si="55"/>
        <v>0.2928995518736846</v>
      </c>
      <c r="F260" s="227">
        <f t="shared" si="55"/>
        <v>0.27219699119534685</v>
      </c>
      <c r="G260" s="227">
        <f t="shared" si="55"/>
        <v>0.26287313523350392</v>
      </c>
      <c r="H260" s="227"/>
      <c r="I260" s="227">
        <f t="shared" ref="I260:N260" si="56">I259+0.11</f>
        <v>0.39996134729698324</v>
      </c>
      <c r="J260" s="227">
        <f t="shared" si="56"/>
        <v>0.36057629304800559</v>
      </c>
      <c r="K260" s="227">
        <f t="shared" si="56"/>
        <v>0.32183692421033333</v>
      </c>
      <c r="L260" s="227">
        <f t="shared" si="56"/>
        <v>0.29082505581613377</v>
      </c>
      <c r="M260" s="227">
        <f t="shared" si="56"/>
        <v>0.27082465595917893</v>
      </c>
      <c r="N260" s="227">
        <f t="shared" si="56"/>
        <v>0.26082571497598112</v>
      </c>
      <c r="O260" s="198"/>
      <c r="P260" s="227">
        <f t="shared" ref="P260:U260" si="57">P259+0.11</f>
        <v>0.40012418344337003</v>
      </c>
      <c r="Q260" s="227">
        <f t="shared" si="57"/>
        <v>0.36082971441109624</v>
      </c>
      <c r="R260" s="227">
        <f t="shared" si="57"/>
        <v>0.32218755388888753</v>
      </c>
      <c r="S260" s="227">
        <f t="shared" si="57"/>
        <v>0.29113051182286442</v>
      </c>
      <c r="T260" s="227">
        <f t="shared" si="57"/>
        <v>0.27120369003742434</v>
      </c>
      <c r="U260" s="227">
        <f t="shared" si="57"/>
        <v>0.26123516985072476</v>
      </c>
      <c r="V260" s="332"/>
      <c r="W260" s="227">
        <f t="shared" ref="W260:AB260" si="58">W259+0.11</f>
        <v>0.40028805671684176</v>
      </c>
      <c r="X260" s="227">
        <f t="shared" si="58"/>
        <v>0.36108505561358323</v>
      </c>
      <c r="Y260" s="227">
        <f t="shared" si="58"/>
        <v>0.32239875544994723</v>
      </c>
      <c r="Z260" s="227">
        <f t="shared" si="58"/>
        <v>0.29147125879298558</v>
      </c>
      <c r="AA260" s="227">
        <f t="shared" si="58"/>
        <v>0.27159183446294449</v>
      </c>
      <c r="AB260" s="227">
        <f t="shared" si="58"/>
        <v>0.26438191690465868</v>
      </c>
      <c r="AC260" s="332"/>
      <c r="AD260" s="227">
        <f t="shared" ref="AD260:AI260" si="59">AD259+0.11</f>
        <v>0.40044021906142951</v>
      </c>
      <c r="AE260" s="227">
        <f t="shared" si="59"/>
        <v>0.36120156811149007</v>
      </c>
      <c r="AF260" s="227">
        <f t="shared" si="59"/>
        <v>0.32264328214865662</v>
      </c>
      <c r="AG260" s="227">
        <f t="shared" si="59"/>
        <v>0.29180297112449111</v>
      </c>
      <c r="AH260" s="227">
        <f t="shared" si="59"/>
        <v>0.27956912942276785</v>
      </c>
      <c r="AI260" s="227">
        <f t="shared" si="59"/>
        <v>0.27625332145328219</v>
      </c>
      <c r="AJ260" s="332"/>
      <c r="AK260" s="227">
        <f t="shared" ref="AK260:AP260" si="60">AK259+0.11</f>
        <v>0.40114381200372951</v>
      </c>
      <c r="AL260" s="227">
        <f t="shared" si="60"/>
        <v>0.36135864352434843</v>
      </c>
      <c r="AM260" s="227">
        <f t="shared" si="60"/>
        <v>0.32289654545188068</v>
      </c>
      <c r="AN260" s="227">
        <f t="shared" si="60"/>
        <v>0.29793113529540083</v>
      </c>
      <c r="AO260" s="227">
        <f t="shared" si="60"/>
        <v>0.29140637372335065</v>
      </c>
      <c r="AP260" s="227">
        <f t="shared" si="60"/>
        <v>0.28812392971310508</v>
      </c>
      <c r="AQ260" s="332"/>
      <c r="AR260" s="227">
        <f t="shared" ref="AR260:AW260" si="61">AR259+0.11</f>
        <v>0.40108855435811336</v>
      </c>
      <c r="AS260" s="227">
        <f t="shared" si="61"/>
        <v>0.36151588711151222</v>
      </c>
      <c r="AT260" s="227">
        <f t="shared" si="61"/>
        <v>0.32317576741537063</v>
      </c>
      <c r="AU260" s="227">
        <f t="shared" si="61"/>
        <v>0.30972207297230714</v>
      </c>
      <c r="AV260" s="227">
        <f t="shared" si="61"/>
        <v>0.30324460478012338</v>
      </c>
      <c r="AW260" s="227">
        <f t="shared" si="61"/>
        <v>0.29999511245904542</v>
      </c>
      <c r="AX260" s="332"/>
    </row>
    <row r="261" spans="1:59" x14ac:dyDescent="0.25">
      <c r="A261" s="34" t="s">
        <v>142</v>
      </c>
      <c r="B261" s="227">
        <f t="shared" ref="B261:G261" si="62">B254/B255</f>
        <v>1.3017138684764227</v>
      </c>
      <c r="C261" s="227">
        <f t="shared" si="62"/>
        <v>1.3021894221424188</v>
      </c>
      <c r="D261" s="227">
        <f t="shared" si="62"/>
        <v>1.3373095283032115</v>
      </c>
      <c r="E261" s="227">
        <f t="shared" si="62"/>
        <v>1.3415645597438779</v>
      </c>
      <c r="F261" s="227">
        <f t="shared" si="62"/>
        <v>1.3249751835185248</v>
      </c>
      <c r="G261" s="227">
        <f t="shared" si="62"/>
        <v>1.3266649538806439</v>
      </c>
      <c r="H261" s="227"/>
      <c r="I261" s="232">
        <f t="shared" ref="I261:N261" si="63">I254/I255</f>
        <v>1.302936008638806</v>
      </c>
      <c r="J261" s="232">
        <f t="shared" si="63"/>
        <v>1.30474348593801</v>
      </c>
      <c r="K261" s="232">
        <f t="shared" si="63"/>
        <v>1.3406070807682411</v>
      </c>
      <c r="L261" s="232">
        <f t="shared" si="63"/>
        <v>1.3403337564594258</v>
      </c>
      <c r="M261" s="232">
        <f t="shared" si="63"/>
        <v>1.3256181891155459</v>
      </c>
      <c r="N261" s="232">
        <f t="shared" si="63"/>
        <v>1.3259358673456918</v>
      </c>
      <c r="O261" s="238"/>
      <c r="P261" s="232">
        <f t="shared" ref="P261:U261" si="64">P254/P255</f>
        <v>1.3056209227923463</v>
      </c>
      <c r="Q261" s="232">
        <f t="shared" si="64"/>
        <v>1.3074312054496291</v>
      </c>
      <c r="R261" s="232">
        <f t="shared" si="64"/>
        <v>1.3438422173057825</v>
      </c>
      <c r="S261" s="232">
        <f t="shared" si="64"/>
        <v>1.3439837686296421</v>
      </c>
      <c r="T261" s="232">
        <f t="shared" si="64"/>
        <v>1.3293748035494308</v>
      </c>
      <c r="U261" s="232">
        <f t="shared" si="64"/>
        <v>1.3297932333843965</v>
      </c>
      <c r="V261" s="382"/>
      <c r="W261" s="232">
        <f t="shared" ref="W261:AB261" si="65">W254/W255</f>
        <v>1.3071178849480647</v>
      </c>
      <c r="X261" s="232">
        <f t="shared" si="65"/>
        <v>1.3088849300041427</v>
      </c>
      <c r="Y261" s="232">
        <f t="shared" si="65"/>
        <v>1.3456243245689312</v>
      </c>
      <c r="Z261" s="232">
        <f t="shared" si="65"/>
        <v>1.345578844416164</v>
      </c>
      <c r="AA261" s="232">
        <f t="shared" si="65"/>
        <v>1.3309786257065332</v>
      </c>
      <c r="AB261" s="232">
        <f t="shared" si="65"/>
        <v>1.3345006558544286</v>
      </c>
      <c r="AC261" s="382"/>
      <c r="AD261" s="232">
        <f t="shared" ref="AD261:AI261" si="66">AD254/AD255</f>
        <v>1.3093582289793524</v>
      </c>
      <c r="AE261" s="232">
        <f t="shared" si="66"/>
        <v>1.3115168277655285</v>
      </c>
      <c r="AF261" s="232">
        <f t="shared" si="66"/>
        <v>1.3484230134568156</v>
      </c>
      <c r="AG261" s="232">
        <f t="shared" si="66"/>
        <v>1.3487621819324485</v>
      </c>
      <c r="AH261" s="232">
        <f t="shared" si="66"/>
        <v>1.3400419241997976</v>
      </c>
      <c r="AI261" s="232">
        <f t="shared" si="66"/>
        <v>1.3456591121815469</v>
      </c>
      <c r="AJ261" s="382"/>
      <c r="AK261" s="232">
        <f t="shared" ref="AK261:AP261" si="67">AK254/AK255</f>
        <v>1.3106217807069127</v>
      </c>
      <c r="AL261" s="232">
        <f t="shared" si="67"/>
        <v>1.3132052407310535</v>
      </c>
      <c r="AM261" s="232">
        <f t="shared" si="67"/>
        <v>1.3501532391793567</v>
      </c>
      <c r="AN261" s="232">
        <f t="shared" si="67"/>
        <v>1.3553053250580451</v>
      </c>
      <c r="AO261" s="232">
        <f t="shared" si="67"/>
        <v>1.3505316496783066</v>
      </c>
      <c r="AP261" s="232">
        <f t="shared" si="67"/>
        <v>1.3560665388286515</v>
      </c>
      <c r="AQ261" s="382"/>
      <c r="AR261" s="232">
        <f t="shared" ref="AR261:AW261" si="68">AR254/AR255</f>
        <v>1.3127362027579867</v>
      </c>
      <c r="AS261" s="232">
        <f t="shared" si="68"/>
        <v>1.3156922893793774</v>
      </c>
      <c r="AT261" s="232">
        <f t="shared" si="68"/>
        <v>1.3529826995452621</v>
      </c>
      <c r="AU261" s="232">
        <f t="shared" si="68"/>
        <v>1.365353746749089</v>
      </c>
      <c r="AV261" s="232">
        <f t="shared" si="68"/>
        <v>1.3603489489512721</v>
      </c>
      <c r="AW261" s="232">
        <f t="shared" si="68"/>
        <v>1.3657911478148088</v>
      </c>
      <c r="AX261" s="332"/>
    </row>
    <row r="262" spans="1:59" x14ac:dyDescent="0.25">
      <c r="A262" s="34" t="s">
        <v>477</v>
      </c>
      <c r="B262" s="227">
        <f t="shared" ref="B262:G262" si="69">B254/B260</f>
        <v>1.7400120914159756</v>
      </c>
      <c r="C262" s="227">
        <f t="shared" si="69"/>
        <v>1.7384331182595809</v>
      </c>
      <c r="D262" s="227">
        <f t="shared" si="69"/>
        <v>1.7871189885452841</v>
      </c>
      <c r="E262" s="227">
        <f t="shared" si="69"/>
        <v>1.7907878953733971</v>
      </c>
      <c r="F262" s="227">
        <f t="shared" si="69"/>
        <v>1.7690318502967193</v>
      </c>
      <c r="G262" s="227">
        <f t="shared" si="69"/>
        <v>1.7699999245766229</v>
      </c>
      <c r="H262" s="227"/>
      <c r="I262" s="232">
        <f t="shared" ref="I262:N262" si="70">I254/I260</f>
        <v>1.738898900900214</v>
      </c>
      <c r="J262" s="232">
        <f t="shared" si="70"/>
        <v>1.7390273768118385</v>
      </c>
      <c r="K262" s="232">
        <f t="shared" si="70"/>
        <v>1.7885063635247884</v>
      </c>
      <c r="L262" s="232">
        <f t="shared" si="70"/>
        <v>1.7883472818070043</v>
      </c>
      <c r="M262" s="232">
        <f t="shared" si="70"/>
        <v>1.7682857584748624</v>
      </c>
      <c r="N262" s="232">
        <f t="shared" si="70"/>
        <v>1.7682222525798923</v>
      </c>
      <c r="O262" s="238"/>
      <c r="P262" s="232">
        <f t="shared" ref="P262:U262" si="71">P254/P260</f>
        <v>1.7399999683509504</v>
      </c>
      <c r="Q262" s="232">
        <f t="shared" si="71"/>
        <v>1.7399999656093674</v>
      </c>
      <c r="R262" s="232">
        <f t="shared" si="71"/>
        <v>1.7899999494404009</v>
      </c>
      <c r="S262" s="232">
        <f t="shared" si="71"/>
        <v>1.7899999417552674</v>
      </c>
      <c r="T262" s="232">
        <f t="shared" si="71"/>
        <v>1.7699999347444846</v>
      </c>
      <c r="U262" s="232">
        <f t="shared" si="71"/>
        <v>1.7699999308881926</v>
      </c>
      <c r="V262" s="382"/>
      <c r="W262" s="232">
        <f t="shared" ref="W262:AB262" si="72">W254/W260</f>
        <v>1.7395178678032466</v>
      </c>
      <c r="X262" s="232">
        <f t="shared" si="72"/>
        <v>1.7393358796014353</v>
      </c>
      <c r="Y262" s="232">
        <f t="shared" si="72"/>
        <v>1.7892949066471435</v>
      </c>
      <c r="Z262" s="232">
        <f t="shared" si="72"/>
        <v>1.7889776172961327</v>
      </c>
      <c r="AA262" s="232">
        <f t="shared" si="72"/>
        <v>1.7688597671374227</v>
      </c>
      <c r="AB262" s="232">
        <f t="shared" si="72"/>
        <v>1.7699999186145077</v>
      </c>
      <c r="AC262" s="382"/>
      <c r="AD262" s="232">
        <f t="shared" ref="AD262:AI262" si="73">AD254/AD260</f>
        <v>1.7399999747501347</v>
      </c>
      <c r="AE262" s="232">
        <f t="shared" si="73"/>
        <v>1.7399999699097199</v>
      </c>
      <c r="AF262" s="232">
        <f t="shared" si="73"/>
        <v>1.7899999589799493</v>
      </c>
      <c r="AG262" s="232">
        <f t="shared" si="73"/>
        <v>1.7899999455351414</v>
      </c>
      <c r="AH262" s="232">
        <f t="shared" si="73"/>
        <v>1.7699999064132208</v>
      </c>
      <c r="AI262" s="232">
        <f t="shared" si="73"/>
        <v>1.7699999049339334</v>
      </c>
      <c r="AJ262" s="382"/>
      <c r="AK262" s="232">
        <f t="shared" ref="AK262:AP262" si="74">AK254/AK260</f>
        <v>1.7399999781414144</v>
      </c>
      <c r="AL262" s="232">
        <f t="shared" si="74"/>
        <v>1.7394755601227663</v>
      </c>
      <c r="AM262" s="232">
        <f t="shared" si="74"/>
        <v>1.7892515826218252</v>
      </c>
      <c r="AN262" s="232">
        <f t="shared" si="74"/>
        <v>1.7900000966840111</v>
      </c>
      <c r="AO262" s="232">
        <f t="shared" si="74"/>
        <v>1.7700008373589164</v>
      </c>
      <c r="AP262" s="232">
        <f t="shared" si="74"/>
        <v>1.7699999025987341</v>
      </c>
      <c r="AQ262" s="382"/>
      <c r="AR262" s="232">
        <f t="shared" ref="AR262:AW262" si="75">AR254/AR260</f>
        <v>1.7399999740709606</v>
      </c>
      <c r="AS262" s="232">
        <f t="shared" si="75"/>
        <v>1.739999978527802</v>
      </c>
      <c r="AT262" s="232">
        <f t="shared" si="75"/>
        <v>1.7899999657732153</v>
      </c>
      <c r="AU262" s="232">
        <f t="shared" si="75"/>
        <v>1.7900030260128046</v>
      </c>
      <c r="AV262" s="232">
        <f t="shared" si="75"/>
        <v>1.770005722475092</v>
      </c>
      <c r="AW262" s="232">
        <f t="shared" si="75"/>
        <v>1.7699999034657958</v>
      </c>
      <c r="AX262" s="332"/>
    </row>
    <row r="263" spans="1:59" x14ac:dyDescent="0.25">
      <c r="A263" t="s">
        <v>20</v>
      </c>
      <c r="B263" s="24">
        <f>(SUMPRODUCT(B$9:B$229,Nutrients!$DX$8:$DX$228)+(IF($A$7=Nutrients!$B$8,Nutrients!$DX$8,Nutrients!$DX$9)*B$7)+(((IF($A$8=Nutrients!$B$79,Nutrients!$DX$79,(IF($A$8=Nutrients!$B$77,Nutrients!$DX$77,Nutrients!$DX$78)))))*B$8))</f>
        <v>219.06090724554412</v>
      </c>
      <c r="C263" s="24">
        <f>(SUMPRODUCT(C$9:C$229,Nutrients!$DX$8:$DX$228)+(IF($A$7=Nutrients!$B$8,Nutrients!$DX$8,Nutrients!$DX$9)*C$7)+(((IF($A$8=Nutrients!$B$79,Nutrients!$DX$79,(IF($A$8=Nutrients!$B$77,Nutrients!$DX$77,Nutrients!$DX$78)))))*C$8))</f>
        <v>210.20700601537649</v>
      </c>
      <c r="D263" s="24">
        <f>(SUMPRODUCT(D$9:D$229,Nutrients!$DX$8:$DX$228)+(IF($A$7=Nutrients!$B$8,Nutrients!$DX$8,Nutrients!$DX$9)*D$7)+(((IF($A$8=Nutrients!$B$79,Nutrients!$DX$79,(IF($A$8=Nutrients!$B$77,Nutrients!$DX$77,Nutrients!$DX$78)))))*D$8))</f>
        <v>201.64110105420281</v>
      </c>
      <c r="E263" s="24">
        <f>(SUMPRODUCT(E$9:E$229,Nutrients!$DX$8:$DX$228)+(IF($A$7=Nutrients!$B$8,Nutrients!$DX$8,Nutrients!$DX$9)*E$7)+(((IF($A$8=Nutrients!$B$79,Nutrients!$DX$79,(IF($A$8=Nutrients!$B$77,Nutrients!$DX$77,Nutrients!$DX$78)))))*E$8))</f>
        <v>194.82283976807454</v>
      </c>
      <c r="F263" s="24">
        <f>(SUMPRODUCT(F$9:F$229,Nutrients!$DX$8:$DX$228)+(IF($A$7=Nutrients!$B$8,Nutrients!$DX$8,Nutrients!$DX$9)*F$7)+(((IF($A$8=Nutrients!$B$79,Nutrients!$DX$79,(IF($A$8=Nutrients!$B$77,Nutrients!$DX$77,Nutrients!$DX$78)))))*F$8))</f>
        <v>189.69608954240206</v>
      </c>
      <c r="G263" s="24">
        <f>(SUMPRODUCT(G$9:G$229,Nutrients!$DX$8:$DX$228)+(IF($A$7=Nutrients!$B$8,Nutrients!$DX$8,Nutrients!$DX$9)*G$7)+(((IF($A$8=Nutrients!$B$79,Nutrients!$DX$79,(IF($A$8=Nutrients!$B$77,Nutrients!$DX$77,Nutrients!$DX$78)))))*G$8))</f>
        <v>187.52702006837634</v>
      </c>
      <c r="H263" s="229"/>
      <c r="I263" s="24">
        <f>(SUMPRODUCT(I$9:I$229,Nutrients!$DX$8:$DX$228)+(IF($A$7=Nutrients!$B$8,Nutrients!$DX$8,Nutrients!$DX$9)*I$7)+(((IF($A$8=Nutrients!$B$79,Nutrients!$DX$79,(IF($A$8=Nutrients!$B$77,Nutrients!$DX$77,Nutrients!$DX$78)))))*I$8))</f>
        <v>217.40530790410384</v>
      </c>
      <c r="J263" s="24">
        <f>(SUMPRODUCT(J$9:J$229,Nutrients!$DX$8:$DX$228)+(IF($A$7=Nutrients!$B$8,Nutrients!$DX$8,Nutrients!$DX$9)*J$7)+(((IF($A$8=Nutrients!$B$79,Nutrients!$DX$79,(IF($A$8=Nutrients!$B$77,Nutrients!$DX$77,Nutrients!$DX$78)))))*J$8))</f>
        <v>208.63316975744857</v>
      </c>
      <c r="K263" s="24">
        <f>(SUMPRODUCT(K$9:K$229,Nutrients!$DX$8:$DX$228)+(IF($A$7=Nutrients!$B$8,Nutrients!$DX$8,Nutrients!$DX$9)*K$7)+(((IF($A$8=Nutrients!$B$79,Nutrients!$DX$79,(IF($A$8=Nutrients!$B$77,Nutrients!$DX$77,Nutrients!$DX$78)))))*K$8))</f>
        <v>200.15114173826777</v>
      </c>
      <c r="L263" s="24">
        <f>(SUMPRODUCT(L$9:L$229,Nutrients!$DX$8:$DX$228)+(IF($A$7=Nutrients!$B$8,Nutrients!$DX$8,Nutrients!$DX$9)*L$7)+(((IF($A$8=Nutrients!$B$79,Nutrients!$DX$79,(IF($A$8=Nutrients!$B$77,Nutrients!$DX$77,Nutrients!$DX$78)))))*L$8))</f>
        <v>193.32236120947073</v>
      </c>
      <c r="M263" s="24">
        <f>(SUMPRODUCT(M$9:M$229,Nutrients!$DX$8:$DX$228)+(IF($A$7=Nutrients!$B$8,Nutrients!$DX$8,Nutrients!$DX$9)*M$7)+(((IF($A$8=Nutrients!$B$79,Nutrients!$DX$79,(IF($A$8=Nutrients!$B$77,Nutrients!$DX$77,Nutrients!$DX$78)))))*M$8))</f>
        <v>188.20863229303959</v>
      </c>
      <c r="N263" s="24">
        <f>(SUMPRODUCT(N$9:N$229,Nutrients!$DX$8:$DX$228)+(IF($A$7=Nutrients!$B$8,Nutrients!$DX$8,Nutrients!$DX$9)*N$7)+(((IF($A$8=Nutrients!$B$79,Nutrients!$DX$79,(IF($A$8=Nutrients!$B$77,Nutrients!$DX$77,Nutrients!$DX$78)))))*N$8))</f>
        <v>186.05592010163232</v>
      </c>
      <c r="O263" s="236"/>
      <c r="P263" s="24">
        <f>(SUMPRODUCT(P$9:P$229,Nutrients!$DX$8:$DX$228)+(IF($A$7=Nutrients!$B$8,Nutrients!$DX$8,Nutrients!$DX$9)*P$7)+(((IF($A$8=Nutrients!$B$79,Nutrients!$DX$79,(IF($A$8=Nutrients!$B$77,Nutrients!$DX$77,Nutrients!$DX$78)))))*P$8))</f>
        <v>215.90391279015165</v>
      </c>
      <c r="Q263" s="24">
        <f>(SUMPRODUCT(Q$9:Q$229,Nutrients!$DX$8:$DX$228)+(IF($A$7=Nutrients!$B$8,Nutrients!$DX$8,Nutrients!$DX$9)*Q$7)+(((IF($A$8=Nutrients!$B$79,Nutrients!$DX$79,(IF($A$8=Nutrients!$B$77,Nutrients!$DX$77,Nutrients!$DX$78)))))*Q$8))</f>
        <v>207.19770981149094</v>
      </c>
      <c r="R263" s="24">
        <f>(SUMPRODUCT(R$9:R$229,Nutrients!$DX$8:$DX$228)+(IF($A$7=Nutrients!$B$8,Nutrients!$DX$8,Nutrients!$DX$9)*R$7)+(((IF($A$8=Nutrients!$B$79,Nutrients!$DX$79,(IF($A$8=Nutrients!$B$77,Nutrients!$DX$77,Nutrients!$DX$78)))))*R$8))</f>
        <v>198.75328011012607</v>
      </c>
      <c r="S263" s="24">
        <f>(SUMPRODUCT(S$9:S$229,Nutrients!$DX$8:$DX$228)+(IF($A$7=Nutrients!$B$8,Nutrients!$DX$8,Nutrients!$DX$9)*S$7)+(((IF($A$8=Nutrients!$B$79,Nutrients!$DX$79,(IF($A$8=Nutrients!$B$77,Nutrients!$DX$77,Nutrients!$DX$78)))))*S$8))</f>
        <v>191.89958714243249</v>
      </c>
      <c r="T263" s="24">
        <f>(SUMPRODUCT(T$9:T$229,Nutrients!$DX$8:$DX$228)+(IF($A$7=Nutrients!$B$8,Nutrients!$DX$8,Nutrients!$DX$9)*T$7)+(((IF($A$8=Nutrients!$B$79,Nutrients!$DX$79,(IF($A$8=Nutrients!$B$77,Nutrients!$DX$77,Nutrients!$DX$78)))))*T$8))</f>
        <v>187.03081494975703</v>
      </c>
      <c r="U263" s="24">
        <f>(SUMPRODUCT(U$9:U$229,Nutrients!$DX$8:$DX$228)+(IF($A$7=Nutrients!$B$8,Nutrients!$DX$8,Nutrients!$DX$9)*U$7)+(((IF($A$8=Nutrients!$B$79,Nutrients!$DX$79,(IF($A$8=Nutrients!$B$77,Nutrients!$DX$77,Nutrients!$DX$78)))))*U$8))</f>
        <v>184.95320967815462</v>
      </c>
      <c r="W263" s="24">
        <f>(SUMPRODUCT(W$9:W$229,Nutrients!$DX$8:$DX$228)+(IF($A$7=Nutrients!$B$8,Nutrients!$DX$8,Nutrients!$DX$9)*W$7)+(((IF($A$8=Nutrients!$B$79,Nutrients!$DX$79,(IF($A$8=Nutrients!$B$77,Nutrients!$DX$77,Nutrients!$DX$78)))))*W$8))</f>
        <v>214.40349886816551</v>
      </c>
      <c r="X263" s="24">
        <f>(SUMPRODUCT(X$9:X$229,Nutrients!$DX$8:$DX$228)+(IF($A$7=Nutrients!$B$8,Nutrients!$DX$8,Nutrients!$DX$9)*X$7)+(((IF($A$8=Nutrients!$B$79,Nutrients!$DX$79,(IF($A$8=Nutrients!$B$77,Nutrients!$DX$77,Nutrients!$DX$78)))))*X$8))</f>
        <v>205.7477720219419</v>
      </c>
      <c r="Y263" s="24">
        <f>(SUMPRODUCT(Y$9:Y$229,Nutrients!$DX$8:$DX$228)+(IF($A$7=Nutrients!$B$8,Nutrients!$DX$8,Nutrients!$DX$9)*Y$7)+(((IF($A$8=Nutrients!$B$79,Nutrients!$DX$79,(IF($A$8=Nutrients!$B$77,Nutrients!$DX$77,Nutrients!$DX$78)))))*Y$8))</f>
        <v>197.2912899859914</v>
      </c>
      <c r="Z263" s="24">
        <f>(SUMPRODUCT(Z$9:Z$229,Nutrients!$DX$8:$DX$228)+(IF($A$7=Nutrients!$B$8,Nutrients!$DX$8,Nutrients!$DX$9)*Z$7)+(((IF($A$8=Nutrients!$B$79,Nutrients!$DX$79,(IF($A$8=Nutrients!$B$77,Nutrients!$DX$77,Nutrients!$DX$78)))))*Z$8))</f>
        <v>190.56581634823459</v>
      </c>
      <c r="AA263" s="24">
        <f>(SUMPRODUCT(AA$9:AA$229,Nutrients!$DX$8:$DX$228)+(IF($A$7=Nutrients!$B$8,Nutrients!$DX$8,Nutrients!$DX$9)*AA$7)+(((IF($A$8=Nutrients!$B$79,Nutrients!$DX$79,(IF($A$8=Nutrients!$B$77,Nutrients!$DX$77,Nutrients!$DX$78)))))*AA$8))</f>
        <v>185.9168515446643</v>
      </c>
      <c r="AB263" s="24">
        <f>(SUMPRODUCT(AB$9:AB$229,Nutrients!$DX$8:$DX$228)+(IF($A$7=Nutrients!$B$8,Nutrients!$DX$8,Nutrients!$DX$9)*AB$7)+(((IF($A$8=Nutrients!$B$79,Nutrients!$DX$79,(IF($A$8=Nutrients!$B$77,Nutrients!$DX$77,Nutrients!$DX$78)))))*AB$8))</f>
        <v>183.91027198287861</v>
      </c>
      <c r="AD263" s="24">
        <f>(SUMPRODUCT(AD$9:AD$229,Nutrients!$DX$8:$DX$228)+(IF($A$7=Nutrients!$B$8,Nutrients!$DX$8,Nutrients!$DX$9)*AD$7)+(((IF($A$8=Nutrients!$B$79,Nutrients!$DX$79,(IF($A$8=Nutrients!$B$77,Nutrients!$DX$77,Nutrients!$DX$78)))))*AD$8))</f>
        <v>212.89637683902419</v>
      </c>
      <c r="AE263" s="24">
        <f>(SUMPRODUCT(AE$9:AE$229,Nutrients!$DX$8:$DX$228)+(IF($A$7=Nutrients!$B$8,Nutrients!$DX$8,Nutrients!$DX$9)*AE$7)+(((IF($A$8=Nutrients!$B$79,Nutrients!$DX$79,(IF($A$8=Nutrients!$B$77,Nutrients!$DX$77,Nutrients!$DX$78)))))*AE$8))</f>
        <v>204.22095834209978</v>
      </c>
      <c r="AF263" s="24">
        <f>(SUMPRODUCT(AF$9:AF$229,Nutrients!$DX$8:$DX$228)+(IF($A$7=Nutrients!$B$8,Nutrients!$DX$8,Nutrients!$DX$9)*AF$7)+(((IF($A$8=Nutrients!$B$79,Nutrients!$DX$79,(IF($A$8=Nutrients!$B$77,Nutrients!$DX$77,Nutrients!$DX$78)))))*AF$8))</f>
        <v>195.7848017149559</v>
      </c>
      <c r="AG263" s="24">
        <f>(SUMPRODUCT(AG$9:AG$229,Nutrients!$DX$8:$DX$228)+(IF($A$7=Nutrients!$B$8,Nutrients!$DX$8,Nutrients!$DX$9)*AG$7)+(((IF($A$8=Nutrients!$B$79,Nutrients!$DX$79,(IF($A$8=Nutrients!$B$77,Nutrients!$DX$77,Nutrients!$DX$78)))))*AG$8))</f>
        <v>189.42033405159225</v>
      </c>
      <c r="AH263" s="24">
        <f>(SUMPRODUCT(AH$9:AH$229,Nutrients!$DX$8:$DX$228)+(IF($A$7=Nutrients!$B$8,Nutrients!$DX$8,Nutrients!$DX$9)*AH$7)+(((IF($A$8=Nutrients!$B$79,Nutrients!$DX$79,(IF($A$8=Nutrients!$B$77,Nutrients!$DX$77,Nutrients!$DX$78)))))*AH$8))</f>
        <v>184.92910240410902</v>
      </c>
      <c r="AI263" s="24">
        <f>(SUMPRODUCT(AI$9:AI$229,Nutrients!$DX$8:$DX$228)+(IF($A$7=Nutrients!$B$8,Nutrients!$DX$8,Nutrients!$DX$9)*AI$7)+(((IF($A$8=Nutrients!$B$79,Nutrients!$DX$79,(IF($A$8=Nutrients!$B$77,Nutrients!$DX$77,Nutrients!$DX$78)))))*AI$8))</f>
        <v>183.02469893218796</v>
      </c>
      <c r="AK263" s="24">
        <f>(SUMPRODUCT(AK$9:AK$229,Nutrients!$DX$8:$DX$228)+(IF($A$7=Nutrients!$B$8,Nutrients!$DX$8,Nutrients!$DX$9)*AK$7)+(((IF($A$8=Nutrients!$B$79,Nutrients!$DX$79,(IF($A$8=Nutrients!$B$77,Nutrients!$DX$77,Nutrients!$DX$78)))))*AK$8))</f>
        <v>211.69350145353982</v>
      </c>
      <c r="AL263" s="24">
        <f>(SUMPRODUCT(AL$9:AL$229,Nutrients!$DX$8:$DX$228)+(IF($A$7=Nutrients!$B$8,Nutrients!$DX$8,Nutrients!$DX$9)*AL$7)+(((IF($A$8=Nutrients!$B$79,Nutrients!$DX$79,(IF($A$8=Nutrients!$B$77,Nutrients!$DX$77,Nutrients!$DX$78)))))*AL$8))</f>
        <v>202.71679305374616</v>
      </c>
      <c r="AM263" s="24">
        <f>(SUMPRODUCT(AM$9:AM$229,Nutrients!$DX$8:$DX$228)+(IF($A$7=Nutrients!$B$8,Nutrients!$DX$8,Nutrients!$DX$9)*AM$7)+(((IF($A$8=Nutrients!$B$79,Nutrients!$DX$79,(IF($A$8=Nutrients!$B$77,Nutrients!$DX$77,Nutrients!$DX$78)))))*AM$8))</f>
        <v>194.59640481753874</v>
      </c>
      <c r="AN263" s="24">
        <f>(SUMPRODUCT(AN$9:AN$229,Nutrients!$DX$8:$DX$228)+(IF($A$7=Nutrients!$B$8,Nutrients!$DX$8,Nutrients!$DX$9)*AN$7)+(((IF($A$8=Nutrients!$B$79,Nutrients!$DX$79,(IF($A$8=Nutrients!$B$77,Nutrients!$DX$77,Nutrients!$DX$78)))))*AN$8))</f>
        <v>188.35209505839322</v>
      </c>
      <c r="AO263" s="24">
        <f>(SUMPRODUCT(AO$9:AO$229,Nutrients!$DX$8:$DX$228)+(IF($A$7=Nutrients!$B$8,Nutrients!$DX$8,Nutrients!$DX$9)*AO$7)+(((IF($A$8=Nutrients!$B$79,Nutrients!$DX$79,(IF($A$8=Nutrients!$B$77,Nutrients!$DX$77,Nutrients!$DX$78)))))*AO$8))</f>
        <v>184.05845523199278</v>
      </c>
      <c r="AP263" s="24">
        <f>(SUMPRODUCT(AP$9:AP$229,Nutrients!$DX$8:$DX$228)+(IF($A$7=Nutrients!$B$8,Nutrients!$DX$8,Nutrients!$DX$9)*AP$7)+(((IF($A$8=Nutrients!$B$79,Nutrients!$DX$79,(IF($A$8=Nutrients!$B$77,Nutrients!$DX$77,Nutrients!$DX$78)))))*AP$8))</f>
        <v>182.17245199600714</v>
      </c>
      <c r="AR263" s="24">
        <f>(SUMPRODUCT(AR$9:AR$229,Nutrients!$DX$8:$DX$228)+(IF($A$7=Nutrients!$B$8,Nutrients!$DX$8,Nutrients!$DX$9)*AR$7)+(((IF($A$8=Nutrients!$B$79,Nutrients!$DX$79,(IF($A$8=Nutrients!$B$77,Nutrients!$DX$77,Nutrients!$DX$78)))))*AR$8))</f>
        <v>210.07210897674861</v>
      </c>
      <c r="AS263" s="24">
        <f>(SUMPRODUCT(AS$9:AS$229,Nutrients!$DX$8:$DX$228)+(IF($A$7=Nutrients!$B$8,Nutrients!$DX$8,Nutrients!$DX$9)*AS$7)+(((IF($A$8=Nutrients!$B$79,Nutrients!$DX$79,(IF($A$8=Nutrients!$B$77,Nutrients!$DX$77,Nutrients!$DX$78)))))*AS$8))</f>
        <v>201.21247565089718</v>
      </c>
      <c r="AT263" s="24">
        <f>(SUMPRODUCT(AT$9:AT$229,Nutrients!$DX$8:$DX$228)+(IF($A$7=Nutrients!$B$8,Nutrients!$DX$8,Nutrients!$DX$9)*AT$7)+(((IF($A$8=Nutrients!$B$79,Nutrients!$DX$79,(IF($A$8=Nutrients!$B$77,Nutrients!$DX$77,Nutrients!$DX$78)))))*AT$8))</f>
        <v>193.42201141093267</v>
      </c>
      <c r="AU263" s="24">
        <f>(SUMPRODUCT(AU$9:AU$229,Nutrients!$DX$8:$DX$228)+(IF($A$7=Nutrients!$B$8,Nutrients!$DX$8,Nutrients!$DX$9)*AU$7)+(((IF($A$8=Nutrients!$B$79,Nutrients!$DX$79,(IF($A$8=Nutrients!$B$77,Nutrients!$DX$77,Nutrients!$DX$78)))))*AU$8))</f>
        <v>187.45575724063724</v>
      </c>
      <c r="AV263" s="24">
        <f>(SUMPRODUCT(AV$9:AV$229,Nutrients!$DX$8:$DX$228)+(IF($A$7=Nutrients!$B$8,Nutrients!$DX$8,Nutrients!$DX$9)*AV$7)+(((IF($A$8=Nutrients!$B$79,Nutrients!$DX$79,(IF($A$8=Nutrients!$B$77,Nutrients!$DX$77,Nutrients!$DX$78)))))*AV$8))</f>
        <v>183.15658702065019</v>
      </c>
      <c r="AW263" s="24">
        <f>(SUMPRODUCT(AW$9:AW$229,Nutrients!$DX$8:$DX$228)+(IF($A$7=Nutrients!$B$8,Nutrients!$DX$8,Nutrients!$DX$9)*AW$7)+(((IF($A$8=Nutrients!$B$79,Nutrients!$DX$79,(IF($A$8=Nutrients!$B$77,Nutrients!$DX$77,Nutrients!$DX$78)))))*AW$8))</f>
        <v>181.28700684133298</v>
      </c>
    </row>
    <row r="264" spans="1:59" x14ac:dyDescent="0.25">
      <c r="A264" t="s">
        <v>21</v>
      </c>
      <c r="B264" s="25">
        <f>IF(B$5="","",B263+Nutrients!$DV$5)</f>
        <v>231.06090724554412</v>
      </c>
      <c r="C264" s="25">
        <f>IF(C$5="","",C263+Nutrients!$DV$5)</f>
        <v>222.20700601537649</v>
      </c>
      <c r="D264" s="25">
        <f>IF(D$5="","",D263+Nutrients!$DV$5)</f>
        <v>213.64110105420281</v>
      </c>
      <c r="E264" s="25">
        <f>IF(E$5="","",E263+Nutrients!$DV$5)</f>
        <v>206.82283976807454</v>
      </c>
      <c r="F264" s="25">
        <f>IF(F$5="","",F263+Nutrients!$DV$5)</f>
        <v>201.69608954240206</v>
      </c>
      <c r="G264" s="25">
        <f>IF(G$5="","",G263+Nutrients!$DV$5)</f>
        <v>199.52702006837634</v>
      </c>
      <c r="H264" s="230"/>
      <c r="I264" s="25">
        <f>IF(I$5="","",I263+Nutrients!$DV$5)</f>
        <v>229.40530790410384</v>
      </c>
      <c r="J264" s="25">
        <f>IF(J$5="","",J263+Nutrients!$DV$5)</f>
        <v>220.63316975744857</v>
      </c>
      <c r="K264" s="25">
        <f>IF(K$5="","",K263+Nutrients!$DV$5)</f>
        <v>212.15114173826777</v>
      </c>
      <c r="L264" s="25">
        <f>IF(L$5="","",L263+Nutrients!$DV$5)</f>
        <v>205.32236120947073</v>
      </c>
      <c r="M264" s="25">
        <f>IF(M$5="","",M263+Nutrients!$DV$5)</f>
        <v>200.20863229303959</v>
      </c>
      <c r="N264" s="25">
        <f>IF(N$5="","",N263+Nutrients!$DV$5)</f>
        <v>198.05592010163232</v>
      </c>
      <c r="O264" s="199"/>
      <c r="P264" s="25">
        <f>IF(P$5="","",P263+Nutrients!$DV$5)</f>
        <v>227.90391279015165</v>
      </c>
      <c r="Q264" s="25">
        <f>IF(Q$5="","",Q263+Nutrients!$DV$5)</f>
        <v>219.19770981149094</v>
      </c>
      <c r="R264" s="25">
        <f>IF(R$5="","",R263+Nutrients!$DV$5)</f>
        <v>210.75328011012607</v>
      </c>
      <c r="S264" s="25">
        <f>IF(S$5="","",S263+Nutrients!$DV$5)</f>
        <v>203.89958714243249</v>
      </c>
      <c r="T264" s="25">
        <f>IF(T$5="","",T263+Nutrients!$DV$5)</f>
        <v>199.03081494975703</v>
      </c>
      <c r="U264" s="25">
        <f>IF(U$5="","",U263+Nutrients!$DV$5)</f>
        <v>196.95320967815462</v>
      </c>
      <c r="W264" s="25">
        <f>IF(W$5="","",W263+Nutrients!$DV$5)</f>
        <v>226.40349886816551</v>
      </c>
      <c r="X264" s="25">
        <f>IF(X$5="","",X263+Nutrients!$DV$5)</f>
        <v>217.7477720219419</v>
      </c>
      <c r="Y264" s="25">
        <f>IF(Y$5="","",Y263+Nutrients!$DV$5)</f>
        <v>209.2912899859914</v>
      </c>
      <c r="Z264" s="25">
        <f>IF(Z$5="","",Z263+Nutrients!$DV$5)</f>
        <v>202.56581634823459</v>
      </c>
      <c r="AA264" s="25">
        <f>IF(AA$5="","",AA263+Nutrients!$DV$5)</f>
        <v>197.9168515446643</v>
      </c>
      <c r="AB264" s="25">
        <f>IF(AB$5="","",AB263+Nutrients!$DV$5)</f>
        <v>195.91027198287861</v>
      </c>
      <c r="AD264" s="25">
        <f>IF(AD$5="","",AD263+Nutrients!$DV$5)</f>
        <v>224.89637683902419</v>
      </c>
      <c r="AE264" s="25">
        <f>IF(AE$5="","",AE263+Nutrients!$DV$5)</f>
        <v>216.22095834209978</v>
      </c>
      <c r="AF264" s="25">
        <f>IF(AF$5="","",AF263+Nutrients!$DV$5)</f>
        <v>207.7848017149559</v>
      </c>
      <c r="AG264" s="25">
        <f>IF(AG$5="","",AG263+Nutrients!$DV$5)</f>
        <v>201.42033405159225</v>
      </c>
      <c r="AH264" s="25">
        <f>IF(AH$5="","",AH263+Nutrients!$DV$5)</f>
        <v>196.92910240410902</v>
      </c>
      <c r="AI264" s="25">
        <f>IF(AI$5="","",AI263+Nutrients!$DV$5)</f>
        <v>195.02469893218796</v>
      </c>
      <c r="AK264" s="25">
        <f>IF(AK$5="","",AK263+Nutrients!$DV$5)</f>
        <v>223.69350145353982</v>
      </c>
      <c r="AL264" s="25">
        <f>IF(AL$5="","",AL263+Nutrients!$DV$5)</f>
        <v>214.71679305374616</v>
      </c>
      <c r="AM264" s="25">
        <f>IF(AM$5="","",AM263+Nutrients!$DV$5)</f>
        <v>206.59640481753874</v>
      </c>
      <c r="AN264" s="25">
        <f>IF(AN$5="","",AN263+Nutrients!$DV$5)</f>
        <v>200.35209505839322</v>
      </c>
      <c r="AO264" s="25">
        <f>IF(AO$5="","",AO263+Nutrients!$DV$5)</f>
        <v>196.05845523199278</v>
      </c>
      <c r="AP264" s="25">
        <f>IF(AP$5="","",AP263+Nutrients!$DV$5)</f>
        <v>194.17245199600714</v>
      </c>
      <c r="AR264" s="25">
        <f>IF(AR$5="","",AR263+Nutrients!$DV$5)</f>
        <v>222.07210897674861</v>
      </c>
      <c r="AS264" s="25">
        <f>IF(AS$5="","",AS263+Nutrients!$DV$5)</f>
        <v>213.21247565089718</v>
      </c>
      <c r="AT264" s="25">
        <f>IF(AT$5="","",AT263+Nutrients!$DV$5)</f>
        <v>205.42201141093267</v>
      </c>
      <c r="AU264" s="25">
        <f>IF(AU$5="","",AU263+Nutrients!$DV$5)</f>
        <v>199.45575724063724</v>
      </c>
      <c r="AV264" s="25">
        <f>IF(AV$5="","",AV263+Nutrients!$DV$5)</f>
        <v>195.15658702065019</v>
      </c>
      <c r="AW264" s="25">
        <f>IF(AW$5="","",AW263+Nutrients!$DV$5)</f>
        <v>193.28700684133298</v>
      </c>
    </row>
    <row r="265" spans="1:59" x14ac:dyDescent="0.25">
      <c r="A265" s="34" t="s">
        <v>541</v>
      </c>
      <c r="B265" s="371">
        <v>64.919933148666814</v>
      </c>
      <c r="C265" s="371">
        <v>74.047956546633458</v>
      </c>
      <c r="D265" s="371">
        <v>95.803407561009578</v>
      </c>
      <c r="E265" s="371">
        <v>107.72572383590483</v>
      </c>
      <c r="F265" s="371">
        <v>119.6480401107998</v>
      </c>
      <c r="G265" s="371">
        <v>148.85493879698549</v>
      </c>
      <c r="H265" s="91">
        <f>SUM(B265:G265)</f>
        <v>611</v>
      </c>
      <c r="I265" s="371">
        <f>($B$265*$B$250/I250)-($B$265*$B$250/I250)/(I6-I5)*I268</f>
        <v>65.032519195989309</v>
      </c>
      <c r="J265" s="371">
        <f>($C$265*$C$250/J250)-($C$265*$C$250/J250)/(J6-J5)*J268</f>
        <v>74.200606618390609</v>
      </c>
      <c r="K265" s="371">
        <f>($D$265*$D$250/K250)-($D$265*$D$250/K250)/(K6-K5)*K268</f>
        <v>95.95910692241938</v>
      </c>
      <c r="L265" s="371">
        <f>($E$265*$E$250/L250)-($E$265*$E$250/L250)/(L6-L5)*L268</f>
        <v>107.7240432979805</v>
      </c>
      <c r="M265" s="371">
        <f>($F$265*$F$250/M250)-($F$265*$F$250/M250)/(M6-M5)*M268</f>
        <v>119.31268409455409</v>
      </c>
      <c r="N265" s="371">
        <f>($G$265*$G$250/N250)-($G$265*$G$250/N250)/(N6-N5)*N268</f>
        <v>147.74375242973593</v>
      </c>
      <c r="O265" s="91">
        <f>SUM(I265:N265)</f>
        <v>609.97271255906981</v>
      </c>
      <c r="P265" s="371">
        <f>($B$265*$B$250/P250)-($B$265*$B$250/P250)/(P6-P5)*P268</f>
        <v>65.232497884481873</v>
      </c>
      <c r="Q265" s="371">
        <f>($C$265*$C$250/Q250)-($C$265*$C$250/Q250)/(Q6-Q5)*Q268</f>
        <v>74.439250247791989</v>
      </c>
      <c r="R265" s="371">
        <f>($D$265*$D$250/R250)-($D$265*$D$250/R250)/(R6-R5)*R268</f>
        <v>96.208377628864696</v>
      </c>
      <c r="S265" s="371">
        <f>($E$265*$E$250/S250)-($E$265*$E$250/S250)/(S6-S5)*S268</f>
        <v>107.78376362874182</v>
      </c>
      <c r="T265" s="371">
        <f>($F$265*$F$250/T250)-($F$265*$F$250/T250)/(T6-T5)*T268</f>
        <v>119.05468922829392</v>
      </c>
      <c r="U265" s="371">
        <f>($G$265*$G$250/U250)-($G$265*$G$250/U250)/(U6-U5)*U268</f>
        <v>146.68895349465242</v>
      </c>
      <c r="V265" s="91">
        <f>SUM(P265:U265)</f>
        <v>609.40753211282674</v>
      </c>
      <c r="W265" s="371">
        <f>($B$265*$B$250/W250)-($B$265*$B$250/W250)/(W6-W5)*W268</f>
        <v>65.493532077255878</v>
      </c>
      <c r="X265" s="371">
        <f>($C$265*$C$250/X250)-($C$265*$C$250/X250)/(X6-X5)*X268</f>
        <v>74.730137171165069</v>
      </c>
      <c r="Y265" s="371">
        <f>($D$265*$D$250/Y250)-($D$265*$D$250/Y250)/(Y6-Y5)*Y268</f>
        <v>96.466015113214013</v>
      </c>
      <c r="Z265" s="371">
        <f>($E$265*$E$250/Z250)-($E$265*$E$250/Z250)/(Z6-Z5)*Z268</f>
        <v>107.90695982102051</v>
      </c>
      <c r="AA265" s="371">
        <f>($F$265*$F$250/AA250)-($F$265*$F$250/AA250)/(AA6-AA5)*AA268</f>
        <v>118.84217022947654</v>
      </c>
      <c r="AB265" s="371">
        <f>($G$265*$G$250/AB250)-($G$265*$G$250/AB250)/(AB6-AB5)*AB268</f>
        <v>145.6890774200551</v>
      </c>
      <c r="AC265" s="91">
        <f>SUM(W265:AB265)</f>
        <v>609.12789183218717</v>
      </c>
      <c r="AD265" s="371">
        <f>($B$265*$B$250/AD250)-($B$265*$B$250/AD250)/(AD6-AD5)*AD268</f>
        <v>65.818852667650717</v>
      </c>
      <c r="AE265" s="371">
        <f>($C$265*$C$250/AE250)-($C$265*$C$250/AE250)/(AE6-AE5)*AE268</f>
        <v>75.056010732983822</v>
      </c>
      <c r="AF265" s="371">
        <f>($D$265*$D$250/AF250)-($D$265*$D$250/AF250)/(AF6-AF5)*AF268</f>
        <v>96.796749211020355</v>
      </c>
      <c r="AG265" s="371">
        <f>($E$265*$E$250/AG250)-($E$265*$E$250/AG250)/(AG6-AG5)*AG268</f>
        <v>108.07840340827386</v>
      </c>
      <c r="AH265" s="371">
        <f>($F$265*$F$250/AH250)-($F$265*$F$250/AH250)/(AH6-AH5)*AH268</f>
        <v>118.71109466847821</v>
      </c>
      <c r="AI265" s="371">
        <f>($G$265*$G$250/AI250)-($G$265*$G$250/AI250)/(AI6-AI5)*AI268</f>
        <v>144.77697071649334</v>
      </c>
      <c r="AJ265" s="91">
        <f>SUM(AD265:AI265)</f>
        <v>609.2380814049003</v>
      </c>
      <c r="AK265" s="371">
        <f>($B$265*$B$250/AK250)-($B$265*$B$250/AK250)/(AK6-AK5)*AK268</f>
        <v>66.203814514362591</v>
      </c>
      <c r="AL265" s="371">
        <f>($C$265*$C$250/AL250)-($C$265*$C$250/AL250)/(AL6-AL5)*AL268</f>
        <v>75.449325167069418</v>
      </c>
      <c r="AM265" s="371">
        <f>($D$265*$D$250/AM250)-($D$265*$D$250/AM250)/(AM6-AM5)*AM268</f>
        <v>97.190319105721485</v>
      </c>
      <c r="AN265" s="371">
        <f>($E$265*$E$250/AN250)-($E$265*$E$250/AN250)/(AN6-AN5)*AN268</f>
        <v>108.33386077147181</v>
      </c>
      <c r="AO265" s="371">
        <f>($F$265*$F$250/AO250)-($F$265*$F$250/AO250)/(AO6-AO5)*AO268</f>
        <v>118.65324959714131</v>
      </c>
      <c r="AP265" s="371">
        <f>($G$265*$G$250/AP250)-($G$265*$G$250/AP250)/(AP6-AP5)*AP268</f>
        <v>143.91814855671433</v>
      </c>
      <c r="AQ265" s="91">
        <f>SUM(AK265:AP265)</f>
        <v>609.74871771248093</v>
      </c>
      <c r="AR265" s="371">
        <f>($B$265*$B$250/AR250)-($B$265*$B$250/AR250)/(AR6-AR5)*AR268</f>
        <v>66.656720804704733</v>
      </c>
      <c r="AS265" s="371">
        <f>($C$265*$C$250/AS250)-($C$265*$C$250/AS250)/(AS6-AS5)*AS268</f>
        <v>75.906488992718167</v>
      </c>
      <c r="AT265" s="371">
        <f>($D$265*$D$250/AT250)-($D$265*$D$250/AT250)/(AT6-AT5)*AT268</f>
        <v>97.654226308510644</v>
      </c>
      <c r="AU265" s="371">
        <f>($E$265*$E$250/AU250)-($E$265*$E$250/AU250)/(AU6-AU5)*AU268</f>
        <v>108.68624755505653</v>
      </c>
      <c r="AV265" s="371">
        <f>($F$265*$F$250/AV250)-($F$265*$F$250/AV250)/(AV6-AV5)*AV268</f>
        <v>118.65480656193117</v>
      </c>
      <c r="AW265" s="371">
        <f>($G$265*$G$250/AW250)-($G$265*$G$250/AW250)/(AW6-AW5)*AW268</f>
        <v>143.11808327144911</v>
      </c>
      <c r="AX265" s="91">
        <f>SUM(AR265:AW265)</f>
        <v>610.67657349437036</v>
      </c>
      <c r="AY265" s="91"/>
      <c r="AZ265" s="117"/>
      <c r="BA265" s="117"/>
      <c r="BB265" s="117"/>
      <c r="BC265" s="117"/>
      <c r="BD265" s="117"/>
      <c r="BE265" s="117"/>
    </row>
    <row r="266" spans="1:59" x14ac:dyDescent="0.25">
      <c r="A266" s="34" t="s">
        <v>542</v>
      </c>
      <c r="B266" s="25">
        <f>IF(B$265="","",B265*B264/2000)</f>
        <v>7.5002293258255142</v>
      </c>
      <c r="C266" s="25">
        <f t="shared" ref="C266:G266" si="76">IF(C$265="","",C265*C264/2000)</f>
        <v>8.2269873628920589</v>
      </c>
      <c r="D266" s="25">
        <f t="shared" si="76"/>
        <v>10.233772738039312</v>
      </c>
      <c r="E266" s="25">
        <f t="shared" si="76"/>
        <v>11.140070059906597</v>
      </c>
      <c r="F266" s="25">
        <f t="shared" si="76"/>
        <v>12.066270905880396</v>
      </c>
      <c r="G266" s="25">
        <f t="shared" si="76"/>
        <v>14.85029118031153</v>
      </c>
      <c r="H266" s="230"/>
      <c r="I266" s="25">
        <f t="shared" ref="I266:N266" si="77">IF(I$265="","",I265*I264/2000)</f>
        <v>7.4594025449677357</v>
      </c>
      <c r="J266" s="25">
        <f t="shared" si="77"/>
        <v>8.1855575180705173</v>
      </c>
      <c r="K266" s="25">
        <f t="shared" si="77"/>
        <v>10.178917046887893</v>
      </c>
      <c r="L266" s="25">
        <f t="shared" si="77"/>
        <v>11.059077464486309</v>
      </c>
      <c r="M266" s="25">
        <f t="shared" si="77"/>
        <v>11.943714648891087</v>
      </c>
      <c r="N266" s="25">
        <f t="shared" si="77"/>
        <v>14.630762413369563</v>
      </c>
      <c r="O266" s="199"/>
      <c r="P266" s="25">
        <f t="shared" ref="P266:U266" si="78">IF(P$265="","",P265*P264/2000)</f>
        <v>7.433370754474355</v>
      </c>
      <c r="Q266" s="25">
        <f t="shared" si="78"/>
        <v>8.1584565872002308</v>
      </c>
      <c r="R266" s="25">
        <f t="shared" si="78"/>
        <v>10.138115579678454</v>
      </c>
      <c r="S266" s="25">
        <f t="shared" si="78"/>
        <v>10.988532452278994</v>
      </c>
      <c r="T266" s="25">
        <f t="shared" si="78"/>
        <v>11.8477759103487</v>
      </c>
      <c r="U266" s="25">
        <f t="shared" si="78"/>
        <v>14.445430107550676</v>
      </c>
      <c r="W266" s="25">
        <f t="shared" ref="W266:AB266" si="79">IF(W$265="","",W265*W264/2000)</f>
        <v>7.4139824077625818</v>
      </c>
      <c r="X266" s="25">
        <f t="shared" si="79"/>
        <v>8.1361604359576489</v>
      </c>
      <c r="Y266" s="25">
        <f t="shared" si="79"/>
        <v>10.09474837142635</v>
      </c>
      <c r="Z266" s="25">
        <f t="shared" si="79"/>
        <v>10.929130702900585</v>
      </c>
      <c r="AA266" s="25">
        <f t="shared" si="79"/>
        <v>11.760434081276514</v>
      </c>
      <c r="AB266" s="25">
        <f t="shared" si="79"/>
        <v>14.270993391148826</v>
      </c>
      <c r="AD266" s="25">
        <f t="shared" ref="AD266:AI266" si="80">IF(AD$265="","",AD265*AD264/2000)</f>
        <v>7.4012107463280934</v>
      </c>
      <c r="AE266" s="25">
        <f t="shared" si="80"/>
        <v>8.1143412850103438</v>
      </c>
      <c r="AF266" s="25">
        <f t="shared" si="80"/>
        <v>10.05644667073209</v>
      </c>
      <c r="AG266" s="25">
        <f t="shared" si="80"/>
        <v>10.884594059128633</v>
      </c>
      <c r="AH266" s="25">
        <f t="shared" si="80"/>
        <v>11.688834659236312</v>
      </c>
      <c r="AI266" s="25">
        <f t="shared" si="80"/>
        <v>14.117542563149152</v>
      </c>
      <c r="AK266" s="25">
        <f t="shared" ref="AK266:AP266" si="81">IF(AK$265="","",AK265*AK264/2000)</f>
        <v>7.4046815391492249</v>
      </c>
      <c r="AL266" s="25">
        <f t="shared" si="81"/>
        <v>8.1001185689712223</v>
      </c>
      <c r="AM266" s="25">
        <f t="shared" si="81"/>
        <v>10.039585255155703</v>
      </c>
      <c r="AN266" s="25">
        <f t="shared" si="81"/>
        <v>10.852457985664326</v>
      </c>
      <c r="AO266" s="25">
        <f t="shared" si="81"/>
        <v>11.631486412135796</v>
      </c>
      <c r="AP266" s="25">
        <f t="shared" si="81"/>
        <v>13.972469895991418</v>
      </c>
      <c r="AR266" s="25">
        <f t="shared" ref="AR266:AW266" si="82">IF(AR$265="","",AR265*AR264/2000)</f>
        <v>7.4012992832875479</v>
      </c>
      <c r="AS266" s="25">
        <f t="shared" si="82"/>
        <v>8.0921052180525077</v>
      </c>
      <c r="AT266" s="25">
        <f t="shared" si="82"/>
        <v>10.030163795536337</v>
      </c>
      <c r="AU266" s="25">
        <f t="shared" si="82"/>
        <v>10.83904890386858</v>
      </c>
      <c r="AV266" s="25">
        <f t="shared" si="82"/>
        <v>11.578133541110969</v>
      </c>
      <c r="AW266" s="25">
        <f t="shared" si="82"/>
        <v>13.831432970203522</v>
      </c>
      <c r="AZ266" s="369"/>
    </row>
    <row r="267" spans="1:59" x14ac:dyDescent="0.25">
      <c r="A267" s="34" t="s">
        <v>517</v>
      </c>
      <c r="B267" s="370">
        <f t="shared" ref="B267:G267" si="83">B342*0.00220462</f>
        <v>1.669925476729073</v>
      </c>
      <c r="C267" s="370">
        <f t="shared" si="83"/>
        <v>1.9189525389204525</v>
      </c>
      <c r="D267" s="370">
        <f t="shared" si="83"/>
        <v>2.0860530832674886</v>
      </c>
      <c r="E267" s="370">
        <f t="shared" si="83"/>
        <v>2.166293944697927</v>
      </c>
      <c r="F267" s="370">
        <f t="shared" si="83"/>
        <v>2.1531120876854954</v>
      </c>
      <c r="G267" s="370">
        <f t="shared" si="83"/>
        <v>2.0276943879552971</v>
      </c>
      <c r="H267" s="230"/>
      <c r="I267" s="370">
        <f t="shared" ref="I267:N267" si="84">I342*0.00220462</f>
        <v>1.6591780812180643</v>
      </c>
      <c r="J267" s="370">
        <f t="shared" si="84"/>
        <v>1.9071892211614505</v>
      </c>
      <c r="K267" s="370">
        <f t="shared" si="84"/>
        <v>2.0723635687407453</v>
      </c>
      <c r="L267" s="370">
        <f t="shared" si="84"/>
        <v>2.1490544023084666</v>
      </c>
      <c r="M267" s="370">
        <f t="shared" si="84"/>
        <v>2.1299520650476746</v>
      </c>
      <c r="N267" s="370">
        <f t="shared" si="84"/>
        <v>1.9966303413531519</v>
      </c>
      <c r="O267" s="94"/>
      <c r="P267" s="370">
        <f t="shared" ref="P267:U267" si="85">P342*0.00220462</f>
        <v>1.6504251168768864</v>
      </c>
      <c r="Q267" s="370">
        <f t="shared" si="85"/>
        <v>1.8974557689243226</v>
      </c>
      <c r="R267" s="370">
        <f t="shared" si="85"/>
        <v>2.0605306952627145</v>
      </c>
      <c r="S267" s="370">
        <f t="shared" si="85"/>
        <v>2.1325794627644439</v>
      </c>
      <c r="T267" s="370">
        <f t="shared" si="85"/>
        <v>2.1079897100869229</v>
      </c>
      <c r="U267" s="370">
        <f t="shared" si="85"/>
        <v>1.966217847474619</v>
      </c>
      <c r="W267" s="370">
        <f t="shared" ref="W267:AB267" si="86">W342*0.00220462</f>
        <v>1.6431484481411012</v>
      </c>
      <c r="X267" s="370">
        <f t="shared" si="86"/>
        <v>1.8889647015971551</v>
      </c>
      <c r="Y267" s="370">
        <f t="shared" si="86"/>
        <v>2.0489589584630297</v>
      </c>
      <c r="Z267" s="370">
        <f t="shared" si="86"/>
        <v>2.1173781721555001</v>
      </c>
      <c r="AA267" s="370">
        <f t="shared" si="86"/>
        <v>2.0869663426163418</v>
      </c>
      <c r="AB267" s="370">
        <f t="shared" si="86"/>
        <v>1.9363860793082679</v>
      </c>
      <c r="AD267" s="370">
        <f t="shared" ref="AD267:AI267" si="87">AD342*0.00220462</f>
        <v>1.6373504413758493</v>
      </c>
      <c r="AE267" s="370">
        <f t="shared" si="87"/>
        <v>1.8813164924669157</v>
      </c>
      <c r="AF267" s="370">
        <f t="shared" si="87"/>
        <v>2.0387607903001861</v>
      </c>
      <c r="AG267" s="370">
        <f t="shared" si="87"/>
        <v>2.1031417331560309</v>
      </c>
      <c r="AH267" s="370">
        <f t="shared" si="87"/>
        <v>2.0661717021000539</v>
      </c>
      <c r="AI267" s="370">
        <f t="shared" si="87"/>
        <v>1.9066379126188082</v>
      </c>
      <c r="AK267" s="370">
        <f t="shared" ref="AK267:AP267" si="88">AK342*0.00220462</f>
        <v>1.6324882419497464</v>
      </c>
      <c r="AL267" s="370">
        <f t="shared" si="88"/>
        <v>1.8751960330358797</v>
      </c>
      <c r="AM267" s="370">
        <f t="shared" si="88"/>
        <v>2.0299139403546049</v>
      </c>
      <c r="AN267" s="370">
        <f t="shared" si="88"/>
        <v>2.089526527130809</v>
      </c>
      <c r="AO267" s="370">
        <f t="shared" si="88"/>
        <v>2.0460852264712268</v>
      </c>
      <c r="AP267" s="370">
        <f t="shared" si="88"/>
        <v>1.8778146022303643</v>
      </c>
      <c r="AR267" s="370">
        <f t="shared" ref="AR267:AW267" si="89">AR342*0.00220462</f>
        <v>1.629681985394005</v>
      </c>
      <c r="AS267" s="370">
        <f t="shared" si="89"/>
        <v>1.8704612538811027</v>
      </c>
      <c r="AT267" s="370">
        <f t="shared" si="89"/>
        <v>2.0223326567851498</v>
      </c>
      <c r="AU267" s="370">
        <f t="shared" si="89"/>
        <v>2.0767390460120363</v>
      </c>
      <c r="AV267" s="370">
        <f t="shared" si="89"/>
        <v>2.0270241248866854</v>
      </c>
      <c r="AW267" s="370">
        <f t="shared" si="89"/>
        <v>1.8499525472100229</v>
      </c>
      <c r="AZ267" s="378"/>
      <c r="BA267" s="378"/>
    </row>
    <row r="268" spans="1:59" x14ac:dyDescent="0.25">
      <c r="A268" s="302" t="s">
        <v>545</v>
      </c>
      <c r="B268" s="303"/>
      <c r="C268" s="303"/>
      <c r="D268" s="303"/>
      <c r="E268" s="303"/>
      <c r="F268" s="303"/>
      <c r="G268" s="303"/>
      <c r="H268" s="303"/>
      <c r="I268" s="304">
        <f>($B$6-$B$5)-(($B$6-$B$5)/$B$267)*I267</f>
        <v>0.22525486803284878</v>
      </c>
      <c r="J268" s="304">
        <f>($C$6-$C$5)-(($C$6-$C$5)/$C$267)*J267</f>
        <v>0.21455252968199545</v>
      </c>
      <c r="K268" s="304">
        <f>($D$6-$D$5)-(($D$6-$D$5)/$D$267)*K267</f>
        <v>0.26249599564936688</v>
      </c>
      <c r="L268" s="304">
        <f>($E$6-$E$5)-(($E$6-$E$5)/$E$267)*L267</f>
        <v>0.31832323460358936</v>
      </c>
      <c r="M268" s="304">
        <f>($F$6-$F$5)-(($F$6-$F$5)/$F$267)*M267</f>
        <v>0.43026134626770585</v>
      </c>
      <c r="N268" s="304">
        <f>($G$6-$G$5)-(($G$6-$G$5)/$G$267)*N267</f>
        <v>0.68939486413736262</v>
      </c>
      <c r="O268" s="305"/>
      <c r="P268" s="304">
        <f>($B$6-$B$5)-(($B$6-$B$5)/$B$267)*P267</f>
        <v>0.40870841503861044</v>
      </c>
      <c r="Q268" s="304">
        <f>($C$6-$C$5)-(($C$6-$C$5)/$C$267)*Q267</f>
        <v>0.39208210448384051</v>
      </c>
      <c r="R268" s="304">
        <f>($D$6-$D$5)-(($D$6-$D$5)/$D$267)*R267</f>
        <v>0.48939095959719481</v>
      </c>
      <c r="S268" s="304">
        <f>($E$6-$E$5)-(($E$6-$E$5)/$E$267)*S267</f>
        <v>0.62252829568213031</v>
      </c>
      <c r="T268" s="304">
        <f>($F$6-$F$5)-(($F$6-$F$5)/$F$267)*T267</f>
        <v>0.83827270965864642</v>
      </c>
      <c r="U268" s="304">
        <f>($G$6-$G$5)-(($G$6-$G$5)/$G$267)*U267</f>
        <v>1.3643300184009277</v>
      </c>
      <c r="V268" s="305"/>
      <c r="W268" s="304">
        <f>($B$6-$B$5)-(($B$6-$B$5)/$B$267)*W267</f>
        <v>0.56122025422040167</v>
      </c>
      <c r="X268" s="304">
        <f>($C$6-$C$5)-(($C$6-$C$5)/$C$267)*X267</f>
        <v>0.54695167547284029</v>
      </c>
      <c r="Y268" s="304">
        <f>($D$6-$D$5)-(($D$6-$D$5)/$D$267)*Y267</f>
        <v>0.71127863623406284</v>
      </c>
      <c r="Z268" s="304">
        <f>($E$6-$E$5)-(($E$6-$E$5)/$E$267)*Z267</f>
        <v>0.90321579233787475</v>
      </c>
      <c r="AA268" s="304">
        <f>($F$6-$F$5)-(($F$6-$F$5)/$F$267)*AA267</f>
        <v>1.2288397886476474</v>
      </c>
      <c r="AB268" s="304">
        <f>($G$6-$G$5)-(($G$6-$G$5)/$G$267)*AB267</f>
        <v>2.0263773049446812</v>
      </c>
      <c r="AC268" s="305"/>
      <c r="AD268" s="304">
        <f>($B$6-$B$5)-(($B$6-$B$5)/$B$267)*AD267</f>
        <v>0.68274078888599377</v>
      </c>
      <c r="AE268" s="304">
        <f>($C$6-$C$5)-(($C$6-$C$5)/$C$267)*AE267</f>
        <v>0.68644825713867874</v>
      </c>
      <c r="AF268" s="304">
        <f>($D$6-$D$5)-(($D$6-$D$5)/$D$267)*AF267</f>
        <v>0.90682817894981582</v>
      </c>
      <c r="AG268" s="304">
        <f>($E$6-$E$5)-(($E$6-$E$5)/$E$267)*AG267</f>
        <v>1.1660875791387966</v>
      </c>
      <c r="AH268" s="304">
        <f>($F$6-$F$5)-(($F$6-$F$5)/$F$267)*AH267</f>
        <v>1.6151576331336983</v>
      </c>
      <c r="AI268" s="304">
        <f>($G$6-$G$5)-(($G$6-$G$5)/$G$267)*AI267</f>
        <v>2.6865692495382518</v>
      </c>
      <c r="AJ268" s="305"/>
      <c r="AK268" s="304">
        <f>($B$6-$B$5)-(($B$6-$B$5)/$B$267)*AK267</f>
        <v>0.78464771963534474</v>
      </c>
      <c r="AL268" s="304">
        <f>($C$6-$C$5)-(($C$6-$C$5)/$C$267)*AL267</f>
        <v>0.79808003319436693</v>
      </c>
      <c r="AM268" s="304">
        <f>($D$6-$D$5)-(($D$6-$D$5)/$D$267)*AM267</f>
        <v>1.0764662388159394</v>
      </c>
      <c r="AN268" s="304">
        <f>($E$6-$E$5)-(($E$6-$E$5)/$E$267)*AN267</f>
        <v>1.4174884762062661</v>
      </c>
      <c r="AO268" s="304">
        <f>($F$6-$F$5)-(($F$6-$F$5)/$F$267)*AO267</f>
        <v>1.9883193601744722</v>
      </c>
      <c r="AP268" s="304">
        <f>($G$6-$G$5)-(($G$6-$G$5)/$G$267)*AP267</f>
        <v>3.3262361417408357</v>
      </c>
      <c r="AQ268" s="305"/>
      <c r="AR268" s="304">
        <f>($B$6-$B$5)-(($B$6-$B$5)/$B$267)*AR267</f>
        <v>0.84346410444991449</v>
      </c>
      <c r="AS268" s="304">
        <f>($C$6-$C$5)-(($C$6-$C$5)/$C$267)*AS267</f>
        <v>0.88443822447637643</v>
      </c>
      <c r="AT268" s="304">
        <f>($D$6-$D$5)-(($D$6-$D$5)/$D$267)*AT267</f>
        <v>1.2218371045962115</v>
      </c>
      <c r="AU268" s="304">
        <f>($E$6-$E$5)-(($E$6-$E$5)/$E$267)*AU267</f>
        <v>1.653605668890485</v>
      </c>
      <c r="AV268" s="304">
        <f>($F$6-$F$5)-(($F$6-$F$5)/$F$267)*AV267</f>
        <v>2.3424319341284132</v>
      </c>
      <c r="AW268" s="304">
        <f>($G$6-$G$5)-(($G$6-$G$5)/$G$267)*AW267</f>
        <v>3.9445701882140156</v>
      </c>
      <c r="AX268" s="305"/>
    </row>
    <row r="269" spans="1:59" x14ac:dyDescent="0.25">
      <c r="A269" s="34" t="s">
        <v>543</v>
      </c>
      <c r="B269" s="371">
        <v>64.919933148666814</v>
      </c>
      <c r="C269" s="371">
        <v>74.047956546633458</v>
      </c>
      <c r="D269" s="371">
        <v>95.803407561009578</v>
      </c>
      <c r="E269" s="371">
        <v>107.72572383590483</v>
      </c>
      <c r="F269" s="371">
        <v>119.6480401107998</v>
      </c>
      <c r="G269" s="371">
        <v>148.85493879698549</v>
      </c>
      <c r="H269" s="91">
        <f>SUM(B269:G269)</f>
        <v>611</v>
      </c>
      <c r="I269" s="371">
        <f>($B$269*$B$250/I250)</f>
        <v>65.453770062781999</v>
      </c>
      <c r="J269" s="371">
        <f>($C$269*$C$250/J250)</f>
        <v>74.658267192327415</v>
      </c>
      <c r="K269" s="371">
        <f>($D$269*$D$250/K250)</f>
        <v>96.592988741228808</v>
      </c>
      <c r="L269" s="371">
        <f>($E$269*$E$250/L250)</f>
        <v>108.58819695030532</v>
      </c>
      <c r="M269" s="371">
        <f>($F$269*$F$250/M250)</f>
        <v>120.61002994094861</v>
      </c>
      <c r="N269" s="371">
        <f>($G$269*$G$250/N250)</f>
        <v>150.04238463801076</v>
      </c>
      <c r="O269" s="91">
        <f>SUM(I269:N269)</f>
        <v>615.94563752560293</v>
      </c>
      <c r="P269" s="371">
        <f>($B$269*$B$250/P250)</f>
        <v>66.003243051770369</v>
      </c>
      <c r="Q269" s="371">
        <f>($C$269*$C$250/Q250)</f>
        <v>75.282591877920368</v>
      </c>
      <c r="R269" s="371">
        <f>($D$269*$D$250/R250)</f>
        <v>97.400045168105422</v>
      </c>
      <c r="S269" s="371">
        <f>($E$269*$E$250/S250)</f>
        <v>109.48774409701167</v>
      </c>
      <c r="T269" s="371">
        <f>($F$269*$F$250/T250)</f>
        <v>121.60310330096901</v>
      </c>
      <c r="U269" s="371">
        <f>($G$269*$G$250/U250)</f>
        <v>151.27538800350646</v>
      </c>
      <c r="V269" s="91">
        <f>SUM(P269:U269)</f>
        <v>621.05211549928322</v>
      </c>
      <c r="W269" s="371">
        <f>($B$269*$B$250/W250)</f>
        <v>66.56082589525748</v>
      </c>
      <c r="X269" s="371">
        <f>($C$269*$C$250/X250)</f>
        <v>75.916498776938738</v>
      </c>
      <c r="Y269" s="371">
        <f>($D$269*$D$250/Y250)</f>
        <v>98.212425108015751</v>
      </c>
      <c r="Z269" s="371">
        <f>($E$269*$E$250/Z250)</f>
        <v>110.39983160545779</v>
      </c>
      <c r="AA269" s="371">
        <f>($F$269*$F$250/AA250)</f>
        <v>122.60883562073963</v>
      </c>
      <c r="AB269" s="371">
        <f>($G$269*$G$250/AB250)</f>
        <v>152.55889712683762</v>
      </c>
      <c r="AC269" s="91">
        <f>SUM(W269:AB269)</f>
        <v>626.25731413324706</v>
      </c>
      <c r="AD269" s="371">
        <f>($B$269*$B$250/AD250)</f>
        <v>67.128316664103252</v>
      </c>
      <c r="AE269" s="371">
        <f>($C$269*$C$250/AE250)</f>
        <v>76.557518596160861</v>
      </c>
      <c r="AF269" s="371">
        <f>($D$269*$D$250/AF250)</f>
        <v>99.042103469229374</v>
      </c>
      <c r="AG269" s="371">
        <f>($E$269*$E$250/AG250)</f>
        <v>111.32373399515129</v>
      </c>
      <c r="AH269" s="371">
        <f>($F$269*$F$250/AH250)</f>
        <v>123.70622083986915</v>
      </c>
      <c r="AI269" s="371">
        <f>($G$269*$G$250/AI250)</f>
        <v>153.96916692157149</v>
      </c>
      <c r="AJ269" s="91">
        <f>SUM(AD269:AI269)</f>
        <v>631.72706048608541</v>
      </c>
      <c r="AK269" s="371">
        <f>($B$269*$B$250/AK250)</f>
        <v>67.722041527318609</v>
      </c>
      <c r="AL269" s="371">
        <f>($C$269*$C$250/AL250)</f>
        <v>77.209887146989502</v>
      </c>
      <c r="AM269" s="371">
        <f>($D$269*$D$250/AM250)</f>
        <v>99.878207052868504</v>
      </c>
      <c r="AN269" s="371">
        <f>($E$269*$E$250/AN250)</f>
        <v>112.31395416512748</v>
      </c>
      <c r="AO269" s="371">
        <f>($F$269*$F$250/AO250)</f>
        <v>124.85977741570957</v>
      </c>
      <c r="AP269" s="371">
        <f>($G$269*$G$250/AP250)</f>
        <v>155.40512988170201</v>
      </c>
      <c r="AQ269" s="91">
        <f>SUM(AK269:AP269)</f>
        <v>637.38899718971561</v>
      </c>
      <c r="AR269" s="371">
        <f>($B$269*$B$250/AR250)</f>
        <v>68.302746955923212</v>
      </c>
      <c r="AS269" s="371">
        <f>($C$269*$C$250/AS250)</f>
        <v>77.874347555115378</v>
      </c>
      <c r="AT269" s="371">
        <f>($D$269*$D$250/AT250)</f>
        <v>100.73115281083642</v>
      </c>
      <c r="AU269" s="371">
        <f>($E$269*$E$250/AU250)</f>
        <v>113.37310790327106</v>
      </c>
      <c r="AV269" s="371">
        <f>($F$269*$F$250/AV250)</f>
        <v>126.03554892804243</v>
      </c>
      <c r="AW269" s="371">
        <f>($G$269*$G$250/AW250)</f>
        <v>156.86874493191539</v>
      </c>
      <c r="AX269" s="91">
        <f>SUM(AR269:AW269)</f>
        <v>643.18564908510393</v>
      </c>
      <c r="AY269" s="91"/>
      <c r="AZ269" s="117"/>
      <c r="BA269" s="117"/>
      <c r="BB269" s="117"/>
      <c r="BC269" s="117"/>
      <c r="BD269" s="117"/>
      <c r="BE269" s="117"/>
    </row>
    <row r="270" spans="1:59" x14ac:dyDescent="0.25">
      <c r="A270" s="34" t="s">
        <v>544</v>
      </c>
      <c r="B270" s="25">
        <f t="shared" ref="B270:G270" si="90">B269*B264/2000</f>
        <v>7.5002293258255142</v>
      </c>
      <c r="C270" s="25">
        <f t="shared" si="90"/>
        <v>8.2269873628920589</v>
      </c>
      <c r="D270" s="25">
        <f t="shared" si="90"/>
        <v>10.233772738039312</v>
      </c>
      <c r="E270" s="25">
        <f t="shared" si="90"/>
        <v>11.140070059906597</v>
      </c>
      <c r="F270" s="25">
        <f t="shared" si="90"/>
        <v>12.066270905880396</v>
      </c>
      <c r="G270" s="25">
        <f t="shared" si="90"/>
        <v>14.85029118031153</v>
      </c>
      <c r="H270" s="230"/>
      <c r="I270" s="25">
        <f t="shared" ref="I270:N270" si="91">I269*I264/2000</f>
        <v>7.5077211373684598</v>
      </c>
      <c r="J270" s="25">
        <f t="shared" si="91"/>
        <v>8.2360450696208645</v>
      </c>
      <c r="K270" s="25">
        <f t="shared" si="91"/>
        <v>10.246156422681668</v>
      </c>
      <c r="L270" s="25">
        <f t="shared" si="91"/>
        <v>11.147792498657868</v>
      </c>
      <c r="M270" s="25">
        <f t="shared" si="91"/>
        <v>12.073584567649938</v>
      </c>
      <c r="N270" s="25">
        <f t="shared" si="91"/>
        <v>14.858391271862121</v>
      </c>
      <c r="O270" s="199"/>
      <c r="P270" s="25">
        <f t="shared" ref="P270:U270" si="92">P269*P264/2000</f>
        <v>7.5211986741689287</v>
      </c>
      <c r="Q270" s="25">
        <f t="shared" si="92"/>
        <v>8.2508858641566469</v>
      </c>
      <c r="R270" s="25">
        <f t="shared" si="92"/>
        <v>10.263689501026327</v>
      </c>
      <c r="S270" s="25">
        <f t="shared" si="92"/>
        <v>11.16225290926849</v>
      </c>
      <c r="T270" s="25">
        <f t="shared" si="92"/>
        <v>12.101382375205676</v>
      </c>
      <c r="U270" s="25">
        <f t="shared" si="92"/>
        <v>14.897086606299403</v>
      </c>
      <c r="W270" s="25">
        <f t="shared" ref="W270:AB270" si="93">W269*W264/2000</f>
        <v>7.5348019351205435</v>
      </c>
      <c r="X270" s="25">
        <f t="shared" si="93"/>
        <v>8.2653242341924429</v>
      </c>
      <c r="Y270" s="25">
        <f t="shared" si="93"/>
        <v>10.277502571754594</v>
      </c>
      <c r="Z270" s="25">
        <f t="shared" si="93"/>
        <v>11.181616006933595</v>
      </c>
      <c r="AA270" s="25">
        <f t="shared" si="93"/>
        <v>12.133177358807036</v>
      </c>
      <c r="AB270" s="25">
        <f t="shared" si="93"/>
        <v>14.943927514763377</v>
      </c>
      <c r="AD270" s="25">
        <f t="shared" ref="AD270:AI270" si="94">AD269*AD264/2000</f>
        <v>7.5484576005297557</v>
      </c>
      <c r="AE270" s="25">
        <f t="shared" si="94"/>
        <v>8.276670019577514</v>
      </c>
      <c r="AF270" s="25">
        <f t="shared" si="94"/>
        <v>10.289721915392985</v>
      </c>
      <c r="AG270" s="25">
        <f t="shared" si="94"/>
        <v>11.211431844586984</v>
      </c>
      <c r="AH270" s="25">
        <f t="shared" si="94"/>
        <v>12.180677515899959</v>
      </c>
      <c r="AI270" s="25">
        <f t="shared" si="94"/>
        <v>15.013895211859635</v>
      </c>
      <c r="AK270" s="25">
        <f t="shared" ref="AK270:AP270" si="95">AK269*AK264/2000</f>
        <v>7.5744902974139654</v>
      </c>
      <c r="AL270" s="25">
        <f t="shared" si="95"/>
        <v>8.2891296801216203</v>
      </c>
      <c r="AM270" s="25">
        <f t="shared" si="95"/>
        <v>10.317239248372188</v>
      </c>
      <c r="AN270" s="25">
        <f t="shared" si="95"/>
        <v>11.251168010637821</v>
      </c>
      <c r="AO270" s="25">
        <f t="shared" si="95"/>
        <v>12.239907540367239</v>
      </c>
      <c r="AP270" s="25">
        <f t="shared" si="95"/>
        <v>15.08769756094402</v>
      </c>
      <c r="AR270" s="25">
        <f t="shared" ref="AR270:AW270" si="96">AR269*AR264/2000</f>
        <v>7.5840675327035312</v>
      </c>
      <c r="AS270" s="25">
        <f t="shared" si="96"/>
        <v>8.3018912159622698</v>
      </c>
      <c r="AT270" s="25">
        <f t="shared" si="96"/>
        <v>10.346198011072021</v>
      </c>
      <c r="AU270" s="25">
        <f t="shared" si="96"/>
        <v>11.306459543785703</v>
      </c>
      <c r="AV270" s="25">
        <f t="shared" si="96"/>
        <v>12.298333786035464</v>
      </c>
      <c r="AW270" s="25">
        <f t="shared" si="96"/>
        <v>15.160345087423224</v>
      </c>
      <c r="AZ270" s="369"/>
    </row>
    <row r="271" spans="1:59" x14ac:dyDescent="0.25">
      <c r="A271" s="34"/>
      <c r="B271" s="2"/>
      <c r="C271" s="2"/>
      <c r="D271" s="2"/>
      <c r="E271" s="2"/>
      <c r="F271" s="2"/>
      <c r="G271" s="2"/>
      <c r="H271" s="379"/>
      <c r="I271" s="332"/>
      <c r="J271" s="332"/>
      <c r="K271" s="332"/>
      <c r="L271" s="332"/>
      <c r="M271" s="332"/>
      <c r="N271" s="332"/>
      <c r="P271" s="2">
        <f t="shared" ref="P271:U271" si="97">B266-P266</f>
        <v>6.6858571351159135E-2</v>
      </c>
      <c r="Q271" s="2">
        <f t="shared" si="97"/>
        <v>6.8530775691828083E-2</v>
      </c>
      <c r="R271" s="2">
        <f t="shared" si="97"/>
        <v>9.5657158360857863E-2</v>
      </c>
      <c r="S271" s="2">
        <f t="shared" si="97"/>
        <v>0.15153760762760271</v>
      </c>
      <c r="T271" s="2">
        <f t="shared" si="97"/>
        <v>0.21849499553169593</v>
      </c>
      <c r="U271" s="2">
        <f t="shared" si="97"/>
        <v>0.4048610727608537</v>
      </c>
      <c r="W271" s="2"/>
      <c r="X271" s="2"/>
      <c r="Y271" s="2"/>
      <c r="Z271" s="2"/>
      <c r="AA271" s="2"/>
      <c r="AB271" s="2"/>
      <c r="AD271" s="2"/>
      <c r="AE271" s="2"/>
      <c r="AF271" s="2"/>
      <c r="AG271" s="2"/>
      <c r="AH271" s="2"/>
      <c r="AI271" s="2"/>
      <c r="AK271" s="332"/>
      <c r="AL271" s="332"/>
      <c r="AM271" s="332"/>
      <c r="AN271" s="332"/>
      <c r="AO271" s="332"/>
      <c r="AP271" s="332"/>
      <c r="AR271" s="2"/>
      <c r="AS271" s="2"/>
      <c r="AT271" s="2"/>
      <c r="AU271" s="2"/>
      <c r="AV271" s="2"/>
      <c r="AW271" s="2"/>
      <c r="AY271" s="2"/>
      <c r="AZ271" s="8"/>
      <c r="BA271" s="6"/>
      <c r="BB271" s="415"/>
      <c r="BC271" s="415"/>
      <c r="BD271" s="379"/>
      <c r="BE271" s="379"/>
      <c r="BF271" s="379"/>
      <c r="BG271" s="379"/>
    </row>
    <row r="272" spans="1:59" x14ac:dyDescent="0.25">
      <c r="A272" s="17" t="s">
        <v>49</v>
      </c>
      <c r="B272" s="293"/>
      <c r="C272" s="293"/>
      <c r="D272" s="293"/>
      <c r="E272" s="293"/>
      <c r="F272" s="293"/>
      <c r="G272" s="293"/>
      <c r="H272" s="293"/>
      <c r="I272" s="467"/>
      <c r="J272" s="293"/>
      <c r="K272" s="377"/>
      <c r="L272" s="377"/>
      <c r="M272" s="293"/>
      <c r="N272" s="293"/>
      <c r="P272" s="467"/>
      <c r="Q272" s="293"/>
      <c r="R272" s="293"/>
      <c r="S272" s="293"/>
      <c r="T272" s="293"/>
      <c r="U272" s="293"/>
      <c r="W272" s="467"/>
      <c r="X272" s="421"/>
      <c r="Y272" s="293"/>
      <c r="Z272" s="293"/>
      <c r="AA272" s="293"/>
      <c r="AB272" s="293"/>
      <c r="AD272" s="467"/>
      <c r="AE272" s="293"/>
      <c r="AF272" s="293"/>
      <c r="AG272" s="293"/>
      <c r="AH272" s="293"/>
      <c r="AI272" s="293"/>
      <c r="AK272" s="467"/>
      <c r="AL272" s="293"/>
      <c r="AM272" s="293"/>
      <c r="AN272" s="293"/>
      <c r="AO272" s="293"/>
      <c r="AP272" s="293"/>
      <c r="AR272" s="467"/>
      <c r="AS272" s="293"/>
      <c r="AT272" s="293"/>
      <c r="AU272" s="293"/>
      <c r="AV272" s="293"/>
      <c r="AW272" s="293"/>
      <c r="AZ272" s="33"/>
      <c r="BA272" s="7"/>
      <c r="BB272" s="7"/>
      <c r="BC272" s="7"/>
    </row>
    <row r="273" spans="1:53" x14ac:dyDescent="0.25">
      <c r="A273" s="42" t="s">
        <v>402</v>
      </c>
      <c r="B273" s="14">
        <v>0.56000000000000005</v>
      </c>
      <c r="C273" s="14">
        <v>0.56000000000000005</v>
      </c>
      <c r="D273" s="14">
        <v>0.56000000000000005</v>
      </c>
      <c r="E273" s="14">
        <v>0.56000000000000005</v>
      </c>
      <c r="F273" s="14">
        <v>0.56000000000000005</v>
      </c>
      <c r="G273" s="14">
        <v>0.56000000000000005</v>
      </c>
      <c r="H273" s="403"/>
      <c r="I273" s="14">
        <v>0.56000000000000005</v>
      </c>
      <c r="J273" s="14">
        <v>0.56000000000000005</v>
      </c>
      <c r="K273" s="14">
        <v>0.56000000000000005</v>
      </c>
      <c r="L273" s="14">
        <v>0.56000000000000005</v>
      </c>
      <c r="M273" s="14">
        <v>0.56000000000000005</v>
      </c>
      <c r="N273" s="14">
        <v>0.56000000000000005</v>
      </c>
      <c r="P273" s="14">
        <v>0.56000000000000005</v>
      </c>
      <c r="Q273" s="14">
        <v>0.56000000000000005</v>
      </c>
      <c r="R273" s="14">
        <v>0.56000000000000005</v>
      </c>
      <c r="S273" s="14">
        <v>0.56000000000000005</v>
      </c>
      <c r="T273" s="14">
        <v>0.56000000000000005</v>
      </c>
      <c r="U273" s="14">
        <v>0.56000000000000005</v>
      </c>
      <c r="W273" s="14">
        <v>0.56000000000000005</v>
      </c>
      <c r="X273" s="14">
        <v>0.56000000000000005</v>
      </c>
      <c r="Y273" s="14">
        <v>0.56000000000000005</v>
      </c>
      <c r="Z273" s="14">
        <v>0.56000000000000005</v>
      </c>
      <c r="AA273" s="14">
        <v>0.56000000000000005</v>
      </c>
      <c r="AB273" s="14">
        <v>0.56000000000000005</v>
      </c>
      <c r="AD273" s="14">
        <v>0.56000000000000005</v>
      </c>
      <c r="AE273" s="14">
        <v>0.56000000000000005</v>
      </c>
      <c r="AF273" s="14">
        <v>0.56000000000000005</v>
      </c>
      <c r="AG273" s="14">
        <v>0.56000000000000005</v>
      </c>
      <c r="AH273" s="14">
        <v>0.56000000000000005</v>
      </c>
      <c r="AI273" s="14">
        <v>0.56000000000000005</v>
      </c>
      <c r="AK273" s="14">
        <v>0.56000000000000005</v>
      </c>
      <c r="AL273" s="14">
        <v>0.56000000000000005</v>
      </c>
      <c r="AM273" s="14">
        <v>0.56000000000000005</v>
      </c>
      <c r="AN273" s="14">
        <v>0.56000000000000005</v>
      </c>
      <c r="AO273" s="14">
        <v>0.56000000000000005</v>
      </c>
      <c r="AP273" s="14">
        <v>0.56000000000000005</v>
      </c>
      <c r="AR273" s="14">
        <v>0.56000000000000005</v>
      </c>
      <c r="AS273" s="14">
        <v>0.56000000000000005</v>
      </c>
      <c r="AT273" s="14">
        <v>0.56000000000000005</v>
      </c>
      <c r="AU273" s="14">
        <v>0.56000000000000005</v>
      </c>
      <c r="AV273" s="14">
        <v>0.56000000000000005</v>
      </c>
      <c r="AW273" s="14">
        <v>0.56000000000000005</v>
      </c>
      <c r="BA273" s="2"/>
    </row>
    <row r="274" spans="1:53" x14ac:dyDescent="0.25">
      <c r="A274" s="42" t="s">
        <v>401</v>
      </c>
      <c r="B274" s="14"/>
      <c r="C274" s="14"/>
      <c r="D274" s="14"/>
      <c r="E274" s="14"/>
      <c r="F274" s="14"/>
      <c r="G274" s="14"/>
      <c r="H274" s="231"/>
      <c r="I274" s="14"/>
      <c r="J274" s="14"/>
      <c r="K274" s="14"/>
      <c r="L274" s="14"/>
      <c r="M274" s="14"/>
      <c r="N274" s="14"/>
      <c r="O274" s="200"/>
      <c r="P274" s="14"/>
      <c r="Q274" s="14"/>
      <c r="R274" s="14"/>
      <c r="S274" s="14"/>
      <c r="T274" s="14"/>
      <c r="U274" s="14"/>
      <c r="W274" s="14"/>
      <c r="X274" s="14"/>
      <c r="Y274" s="14"/>
      <c r="Z274" s="14"/>
      <c r="AA274" s="14"/>
      <c r="AB274" s="14"/>
      <c r="AD274" s="14"/>
      <c r="AE274" s="14"/>
      <c r="AF274" s="14"/>
      <c r="AG274" s="14"/>
      <c r="AH274" s="14"/>
      <c r="AI274" s="14"/>
      <c r="AK274" s="14"/>
      <c r="AL274" s="14"/>
      <c r="AM274" s="14"/>
      <c r="AN274" s="14"/>
      <c r="AO274" s="14"/>
      <c r="AP274" s="14"/>
      <c r="AR274" s="14"/>
      <c r="AS274" s="14"/>
      <c r="AT274" s="14"/>
      <c r="AU274" s="14"/>
      <c r="AV274" s="14"/>
      <c r="AW274" s="14"/>
    </row>
    <row r="275" spans="1:53" x14ac:dyDescent="0.25">
      <c r="A275" s="43" t="s">
        <v>400</v>
      </c>
      <c r="B275" s="14">
        <f t="shared" ref="B275:G275" si="98" xml:space="preserve"> 0.000000416*((B5+B6)/2)^2 - 0.000036654*((B5+B6)/2) + 0.280606061</f>
        <v>0.28002731600000003</v>
      </c>
      <c r="C275" s="14">
        <f t="shared" si="98"/>
        <v>0.281219626</v>
      </c>
      <c r="D275" s="14">
        <f t="shared" si="98"/>
        <v>0.28362810100000002</v>
      </c>
      <c r="E275" s="14">
        <f t="shared" si="98"/>
        <v>0.28748674100000005</v>
      </c>
      <c r="F275" s="14">
        <f t="shared" si="98"/>
        <v>0.29267658100000005</v>
      </c>
      <c r="G275" s="14">
        <f t="shared" si="98"/>
        <v>0.29964938600000002</v>
      </c>
      <c r="H275" s="231"/>
      <c r="I275" s="14">
        <f t="shared" ref="I275:N275" si="99" xml:space="preserve"> 0.000000416*((I5+I6)/2)^2 - 0.000036654*((I5+I6)/2) + 0.280606061</f>
        <v>0.28002731600000003</v>
      </c>
      <c r="J275" s="14">
        <f t="shared" si="99"/>
        <v>0.281219626</v>
      </c>
      <c r="K275" s="14">
        <f t="shared" si="99"/>
        <v>0.28362810100000002</v>
      </c>
      <c r="L275" s="14">
        <f t="shared" si="99"/>
        <v>0.28748674100000005</v>
      </c>
      <c r="M275" s="14">
        <f t="shared" si="99"/>
        <v>0.29267658100000005</v>
      </c>
      <c r="N275" s="14">
        <f t="shared" si="99"/>
        <v>0.29964938600000002</v>
      </c>
      <c r="O275" s="200"/>
      <c r="P275" s="14">
        <f t="shared" ref="P275:U275" si="100" xml:space="preserve"> 0.000000416*((P5+P6)/2)^2 - 0.000036654*((P5+P6)/2) + 0.280606061</f>
        <v>0.28002731600000003</v>
      </c>
      <c r="Q275" s="14">
        <f t="shared" si="100"/>
        <v>0.281219626</v>
      </c>
      <c r="R275" s="14">
        <f t="shared" si="100"/>
        <v>0.28362810100000002</v>
      </c>
      <c r="S275" s="14">
        <f t="shared" si="100"/>
        <v>0.28748674100000005</v>
      </c>
      <c r="T275" s="14">
        <f t="shared" si="100"/>
        <v>0.29267658100000005</v>
      </c>
      <c r="U275" s="14">
        <f t="shared" si="100"/>
        <v>0.29964938600000002</v>
      </c>
      <c r="W275" s="14">
        <f t="shared" ref="W275:AB275" si="101" xml:space="preserve"> 0.000000416*((W5+W6)/2)^2 - 0.000036654*((W5+W6)/2) + 0.280606061</f>
        <v>0.28002731600000003</v>
      </c>
      <c r="X275" s="14">
        <f t="shared" si="101"/>
        <v>0.281219626</v>
      </c>
      <c r="Y275" s="14">
        <f t="shared" si="101"/>
        <v>0.28362810100000002</v>
      </c>
      <c r="Z275" s="14">
        <f t="shared" si="101"/>
        <v>0.28748674100000005</v>
      </c>
      <c r="AA275" s="14">
        <f t="shared" si="101"/>
        <v>0.29267658100000005</v>
      </c>
      <c r="AB275" s="14">
        <f t="shared" si="101"/>
        <v>0.29964938600000002</v>
      </c>
      <c r="AD275" s="14">
        <f t="shared" ref="AD275:AI275" si="102" xml:space="preserve"> 0.000000416*((AD5+AD6)/2)^2 - 0.000036654*((AD5+AD6)/2) + 0.280606061</f>
        <v>0.28002731600000003</v>
      </c>
      <c r="AE275" s="14">
        <f t="shared" si="102"/>
        <v>0.281219626</v>
      </c>
      <c r="AF275" s="14">
        <f t="shared" si="102"/>
        <v>0.28362810100000002</v>
      </c>
      <c r="AG275" s="14">
        <f t="shared" si="102"/>
        <v>0.28748674100000005</v>
      </c>
      <c r="AH275" s="14">
        <f t="shared" si="102"/>
        <v>0.29267658100000005</v>
      </c>
      <c r="AI275" s="14">
        <f t="shared" si="102"/>
        <v>0.29964938600000002</v>
      </c>
      <c r="AK275" s="14">
        <f t="shared" ref="AK275:AP275" si="103" xml:space="preserve"> 0.000000416*((AK5+AK6)/2)^2 - 0.000036654*((AK5+AK6)/2) + 0.280606061</f>
        <v>0.28002731600000003</v>
      </c>
      <c r="AL275" s="14">
        <f t="shared" si="103"/>
        <v>0.281219626</v>
      </c>
      <c r="AM275" s="14">
        <f t="shared" si="103"/>
        <v>0.28362810100000002</v>
      </c>
      <c r="AN275" s="14">
        <f t="shared" si="103"/>
        <v>0.28748674100000005</v>
      </c>
      <c r="AO275" s="14">
        <f t="shared" si="103"/>
        <v>0.29267658100000005</v>
      </c>
      <c r="AP275" s="14">
        <f t="shared" si="103"/>
        <v>0.29964938600000002</v>
      </c>
      <c r="AR275" s="14">
        <f t="shared" ref="AR275:AW275" si="104" xml:space="preserve"> 0.000000416*((AR5+AR6)/2)^2 - 0.000036654*((AR5+AR6)/2) + 0.280606061</f>
        <v>0.28002731600000003</v>
      </c>
      <c r="AS275" s="14">
        <f t="shared" si="104"/>
        <v>0.281219626</v>
      </c>
      <c r="AT275" s="14">
        <f t="shared" si="104"/>
        <v>0.28362810100000002</v>
      </c>
      <c r="AU275" s="14">
        <f t="shared" si="104"/>
        <v>0.28748674100000005</v>
      </c>
      <c r="AV275" s="14">
        <f t="shared" si="104"/>
        <v>0.29267658100000005</v>
      </c>
      <c r="AW275" s="14">
        <f t="shared" si="104"/>
        <v>0.29964938600000002</v>
      </c>
    </row>
    <row r="276" spans="1:53" x14ac:dyDescent="0.25">
      <c r="A276" s="43" t="s">
        <v>399</v>
      </c>
      <c r="B276" s="14">
        <v>0.55900000000000005</v>
      </c>
      <c r="C276" s="14">
        <v>0.55900000000000005</v>
      </c>
      <c r="D276" s="14">
        <v>0.55900000000000005</v>
      </c>
      <c r="E276" s="14">
        <v>0.56899999999999995</v>
      </c>
      <c r="F276" s="14">
        <v>0.56899999999999995</v>
      </c>
      <c r="G276" s="14">
        <v>0.57899999999999996</v>
      </c>
      <c r="H276" s="231"/>
      <c r="I276" s="14">
        <v>0.55900000000000005</v>
      </c>
      <c r="J276" s="14">
        <v>0.55900000000000005</v>
      </c>
      <c r="K276" s="14">
        <v>0.55900000000000005</v>
      </c>
      <c r="L276" s="14">
        <v>0.56899999999999995</v>
      </c>
      <c r="M276" s="14">
        <v>0.56899999999999995</v>
      </c>
      <c r="N276" s="14">
        <v>0.57899999999999996</v>
      </c>
      <c r="O276" s="200"/>
      <c r="P276" s="14">
        <v>0.55900000000000005</v>
      </c>
      <c r="Q276" s="14">
        <v>0.55900000000000005</v>
      </c>
      <c r="R276" s="14">
        <v>0.55900000000000005</v>
      </c>
      <c r="S276" s="14">
        <v>0.56899999999999995</v>
      </c>
      <c r="T276" s="14">
        <v>0.56899999999999995</v>
      </c>
      <c r="U276" s="14">
        <v>0.57899999999999996</v>
      </c>
      <c r="W276" s="14">
        <v>0.55900000000000005</v>
      </c>
      <c r="X276" s="14">
        <v>0.55900000000000005</v>
      </c>
      <c r="Y276" s="14">
        <v>0.55900000000000005</v>
      </c>
      <c r="Z276" s="14">
        <v>0.56899999999999995</v>
      </c>
      <c r="AA276" s="14">
        <v>0.56899999999999995</v>
      </c>
      <c r="AB276" s="14">
        <v>0.57899999999999996</v>
      </c>
      <c r="AD276" s="14">
        <v>0.55900000000000005</v>
      </c>
      <c r="AE276" s="14">
        <v>0.55900000000000005</v>
      </c>
      <c r="AF276" s="14">
        <v>0.55900000000000005</v>
      </c>
      <c r="AG276" s="14">
        <v>0.56899999999999995</v>
      </c>
      <c r="AH276" s="14">
        <v>0.56899999999999995</v>
      </c>
      <c r="AI276" s="14">
        <v>0.57899999999999996</v>
      </c>
      <c r="AK276" s="14">
        <v>0.55900000000000005</v>
      </c>
      <c r="AL276" s="14">
        <v>0.55900000000000005</v>
      </c>
      <c r="AM276" s="14">
        <v>0.55900000000000005</v>
      </c>
      <c r="AN276" s="14">
        <v>0.56899999999999995</v>
      </c>
      <c r="AO276" s="14">
        <v>0.56899999999999995</v>
      </c>
      <c r="AP276" s="14">
        <v>0.57899999999999996</v>
      </c>
      <c r="AR276" s="14">
        <v>0.55900000000000005</v>
      </c>
      <c r="AS276" s="14">
        <v>0.55900000000000005</v>
      </c>
      <c r="AT276" s="14">
        <v>0.55900000000000005</v>
      </c>
      <c r="AU276" s="14">
        <v>0.56899999999999995</v>
      </c>
      <c r="AV276" s="14">
        <v>0.56899999999999995</v>
      </c>
      <c r="AW276" s="14">
        <v>0.57899999999999996</v>
      </c>
    </row>
    <row r="277" spans="1:53" x14ac:dyDescent="0.25">
      <c r="A277" s="43" t="s">
        <v>398</v>
      </c>
      <c r="B277" s="14">
        <v>0.61899999999999999</v>
      </c>
      <c r="C277" s="14">
        <v>0.61899999999999999</v>
      </c>
      <c r="D277" s="14">
        <v>0.61899999999999999</v>
      </c>
      <c r="E277" s="14">
        <v>0.629</v>
      </c>
      <c r="F277" s="14">
        <v>0.629</v>
      </c>
      <c r="G277" s="14">
        <v>0.63900000000000001</v>
      </c>
      <c r="H277" s="231"/>
      <c r="I277" s="14">
        <v>0.61899999999999999</v>
      </c>
      <c r="J277" s="14">
        <v>0.61899999999999999</v>
      </c>
      <c r="K277" s="14">
        <v>0.61899999999999999</v>
      </c>
      <c r="L277" s="14">
        <v>0.629</v>
      </c>
      <c r="M277" s="14">
        <v>0.629</v>
      </c>
      <c r="N277" s="14">
        <v>0.63900000000000001</v>
      </c>
      <c r="O277" s="200"/>
      <c r="P277" s="14">
        <v>0.61899999999999999</v>
      </c>
      <c r="Q277" s="14">
        <v>0.61899999999999999</v>
      </c>
      <c r="R277" s="14">
        <v>0.61899999999999999</v>
      </c>
      <c r="S277" s="14">
        <v>0.629</v>
      </c>
      <c r="T277" s="14">
        <v>0.629</v>
      </c>
      <c r="U277" s="14">
        <v>0.63900000000000001</v>
      </c>
      <c r="W277" s="14">
        <v>0.61899999999999999</v>
      </c>
      <c r="X277" s="14">
        <v>0.61899999999999999</v>
      </c>
      <c r="Y277" s="14">
        <v>0.61899999999999999</v>
      </c>
      <c r="Z277" s="14">
        <v>0.629</v>
      </c>
      <c r="AA277" s="14">
        <v>0.629</v>
      </c>
      <c r="AB277" s="14">
        <v>0.63900000000000001</v>
      </c>
      <c r="AD277" s="14">
        <v>0.61899999999999999</v>
      </c>
      <c r="AE277" s="14">
        <v>0.61899999999999999</v>
      </c>
      <c r="AF277" s="14">
        <v>0.61899999999999999</v>
      </c>
      <c r="AG277" s="14">
        <v>0.629</v>
      </c>
      <c r="AH277" s="14">
        <v>0.629</v>
      </c>
      <c r="AI277" s="14">
        <v>0.63900000000000001</v>
      </c>
      <c r="AK277" s="14">
        <v>0.61899999999999999</v>
      </c>
      <c r="AL277" s="14">
        <v>0.61899999999999999</v>
      </c>
      <c r="AM277" s="14">
        <v>0.61899999999999999</v>
      </c>
      <c r="AN277" s="14">
        <v>0.629</v>
      </c>
      <c r="AO277" s="14">
        <v>0.629</v>
      </c>
      <c r="AP277" s="14">
        <v>0.63900000000000001</v>
      </c>
      <c r="AR277" s="14">
        <v>0.61899999999999999</v>
      </c>
      <c r="AS277" s="14">
        <v>0.61899999999999999</v>
      </c>
      <c r="AT277" s="14">
        <v>0.61899999999999999</v>
      </c>
      <c r="AU277" s="14">
        <v>0.629</v>
      </c>
      <c r="AV277" s="14">
        <v>0.629</v>
      </c>
      <c r="AW277" s="14">
        <v>0.63900000000000001</v>
      </c>
    </row>
    <row r="278" spans="1:53" x14ac:dyDescent="0.25">
      <c r="A278" s="43" t="s">
        <v>397</v>
      </c>
      <c r="B278" s="14">
        <v>0.189</v>
      </c>
      <c r="C278" s="14">
        <v>0.189</v>
      </c>
      <c r="D278" s="14">
        <v>0.189</v>
      </c>
      <c r="E278" s="14">
        <v>0.189</v>
      </c>
      <c r="F278" s="14">
        <v>0.189</v>
      </c>
      <c r="G278" s="14">
        <v>0.189</v>
      </c>
      <c r="H278" s="231"/>
      <c r="I278" s="14">
        <v>0.189</v>
      </c>
      <c r="J278" s="14">
        <v>0.189</v>
      </c>
      <c r="K278" s="14">
        <v>0.189</v>
      </c>
      <c r="L278" s="14">
        <v>0.189</v>
      </c>
      <c r="M278" s="14">
        <v>0.189</v>
      </c>
      <c r="N278" s="14">
        <v>0.189</v>
      </c>
      <c r="O278" s="200"/>
      <c r="P278" s="14">
        <v>0.189</v>
      </c>
      <c r="Q278" s="14">
        <v>0.189</v>
      </c>
      <c r="R278" s="14">
        <v>0.189</v>
      </c>
      <c r="S278" s="14">
        <v>0.189</v>
      </c>
      <c r="T278" s="14">
        <v>0.189</v>
      </c>
      <c r="U278" s="14">
        <v>0.189</v>
      </c>
      <c r="W278" s="14">
        <v>0.189</v>
      </c>
      <c r="X278" s="14">
        <v>0.189</v>
      </c>
      <c r="Y278" s="14">
        <v>0.189</v>
      </c>
      <c r="Z278" s="14">
        <v>0.189</v>
      </c>
      <c r="AA278" s="14">
        <v>0.189</v>
      </c>
      <c r="AB278" s="14">
        <v>0.189</v>
      </c>
      <c r="AD278" s="14">
        <v>0.189</v>
      </c>
      <c r="AE278" s="14">
        <v>0.189</v>
      </c>
      <c r="AF278" s="14">
        <v>0.189</v>
      </c>
      <c r="AG278" s="14">
        <v>0.189</v>
      </c>
      <c r="AH278" s="14">
        <v>0.189</v>
      </c>
      <c r="AI278" s="14">
        <v>0.189</v>
      </c>
      <c r="AK278" s="14">
        <v>0.189</v>
      </c>
      <c r="AL278" s="14">
        <v>0.189</v>
      </c>
      <c r="AM278" s="14">
        <v>0.189</v>
      </c>
      <c r="AN278" s="14">
        <v>0.189</v>
      </c>
      <c r="AO278" s="14">
        <v>0.189</v>
      </c>
      <c r="AP278" s="14">
        <v>0.189</v>
      </c>
      <c r="AR278" s="14">
        <v>0.189</v>
      </c>
      <c r="AS278" s="14">
        <v>0.189</v>
      </c>
      <c r="AT278" s="14">
        <v>0.189</v>
      </c>
      <c r="AU278" s="14">
        <v>0.189</v>
      </c>
      <c r="AV278" s="14">
        <v>0.189</v>
      </c>
      <c r="AW278" s="14">
        <v>0.189</v>
      </c>
    </row>
    <row r="279" spans="1:53" x14ac:dyDescent="0.25">
      <c r="A279" s="43" t="s">
        <v>396</v>
      </c>
      <c r="B279" s="14">
        <v>0.67900000000000005</v>
      </c>
      <c r="C279" s="14">
        <v>0.67900000000000005</v>
      </c>
      <c r="D279" s="14">
        <v>0.67900000000000005</v>
      </c>
      <c r="E279" s="14">
        <v>0.67900000000000005</v>
      </c>
      <c r="F279" s="14">
        <v>0.67900000000000005</v>
      </c>
      <c r="G279" s="14">
        <v>0.67900000000000005</v>
      </c>
      <c r="H279" s="231"/>
      <c r="I279" s="14">
        <v>0.67900000000000005</v>
      </c>
      <c r="J279" s="14">
        <v>0.67900000000000005</v>
      </c>
      <c r="K279" s="14">
        <v>0.67900000000000005</v>
      </c>
      <c r="L279" s="14">
        <v>0.67900000000000005</v>
      </c>
      <c r="M279" s="14">
        <v>0.67900000000000005</v>
      </c>
      <c r="N279" s="14">
        <v>0.67900000000000005</v>
      </c>
      <c r="O279" s="200"/>
      <c r="P279" s="14">
        <v>0.67900000000000005</v>
      </c>
      <c r="Q279" s="14">
        <v>0.67900000000000005</v>
      </c>
      <c r="R279" s="14">
        <v>0.67900000000000005</v>
      </c>
      <c r="S279" s="14">
        <v>0.67900000000000005</v>
      </c>
      <c r="T279" s="14">
        <v>0.67900000000000005</v>
      </c>
      <c r="U279" s="14">
        <v>0.67900000000000005</v>
      </c>
      <c r="W279" s="14">
        <v>0.67900000000000005</v>
      </c>
      <c r="X279" s="14">
        <v>0.67900000000000005</v>
      </c>
      <c r="Y279" s="14">
        <v>0.67900000000000005</v>
      </c>
      <c r="Z279" s="14">
        <v>0.67900000000000005</v>
      </c>
      <c r="AA279" s="14">
        <v>0.67900000000000005</v>
      </c>
      <c r="AB279" s="14">
        <v>0.67900000000000005</v>
      </c>
      <c r="AD279" s="14">
        <v>0.67900000000000005</v>
      </c>
      <c r="AE279" s="14">
        <v>0.67900000000000005</v>
      </c>
      <c r="AF279" s="14">
        <v>0.67900000000000005</v>
      </c>
      <c r="AG279" s="14">
        <v>0.67900000000000005</v>
      </c>
      <c r="AH279" s="14">
        <v>0.67900000000000005</v>
      </c>
      <c r="AI279" s="14">
        <v>0.67900000000000005</v>
      </c>
      <c r="AK279" s="14">
        <v>0.67900000000000005</v>
      </c>
      <c r="AL279" s="14">
        <v>0.67900000000000005</v>
      </c>
      <c r="AM279" s="14">
        <v>0.67900000000000005</v>
      </c>
      <c r="AN279" s="14">
        <v>0.67900000000000005</v>
      </c>
      <c r="AO279" s="14">
        <v>0.67900000000000005</v>
      </c>
      <c r="AP279" s="14">
        <v>0.67900000000000005</v>
      </c>
      <c r="AR279" s="14">
        <v>0.67900000000000005</v>
      </c>
      <c r="AS279" s="14">
        <v>0.67900000000000005</v>
      </c>
      <c r="AT279" s="14">
        <v>0.67900000000000005</v>
      </c>
      <c r="AU279" s="14">
        <v>0.67900000000000005</v>
      </c>
      <c r="AV279" s="14">
        <v>0.67900000000000005</v>
      </c>
      <c r="AW279" s="14">
        <v>0.67900000000000005</v>
      </c>
    </row>
    <row r="280" spans="1:53" x14ac:dyDescent="0.25">
      <c r="A280" s="43" t="s">
        <v>395</v>
      </c>
      <c r="B280" s="14">
        <v>0.31</v>
      </c>
      <c r="C280" s="14">
        <v>0.31</v>
      </c>
      <c r="D280" s="14">
        <v>0.31</v>
      </c>
      <c r="E280" s="14">
        <v>0.31</v>
      </c>
      <c r="F280" s="14">
        <v>0.31</v>
      </c>
      <c r="G280" s="14">
        <v>0.31</v>
      </c>
      <c r="H280" s="231"/>
      <c r="I280" s="14">
        <v>0.31</v>
      </c>
      <c r="J280" s="14">
        <v>0.31</v>
      </c>
      <c r="K280" s="14">
        <v>0.31</v>
      </c>
      <c r="L280" s="14">
        <v>0.31</v>
      </c>
      <c r="M280" s="14">
        <v>0.31</v>
      </c>
      <c r="N280" s="14">
        <v>0.31</v>
      </c>
      <c r="O280" s="200"/>
      <c r="P280" s="14">
        <v>0.31</v>
      </c>
      <c r="Q280" s="14">
        <v>0.31</v>
      </c>
      <c r="R280" s="14">
        <v>0.31</v>
      </c>
      <c r="S280" s="14">
        <v>0.31</v>
      </c>
      <c r="T280" s="14">
        <v>0.31</v>
      </c>
      <c r="U280" s="14">
        <v>0.31</v>
      </c>
      <c r="W280" s="14">
        <v>0.31</v>
      </c>
      <c r="X280" s="14">
        <v>0.31</v>
      </c>
      <c r="Y280" s="14">
        <v>0.31</v>
      </c>
      <c r="Z280" s="14">
        <v>0.31</v>
      </c>
      <c r="AA280" s="14">
        <v>0.31</v>
      </c>
      <c r="AB280" s="14">
        <v>0.31</v>
      </c>
      <c r="AD280" s="14">
        <v>0.31</v>
      </c>
      <c r="AE280" s="14">
        <v>0.31</v>
      </c>
      <c r="AF280" s="14">
        <v>0.31</v>
      </c>
      <c r="AG280" s="14">
        <v>0.31</v>
      </c>
      <c r="AH280" s="14">
        <v>0.31</v>
      </c>
      <c r="AI280" s="14">
        <v>0.31</v>
      </c>
      <c r="AK280" s="14">
        <v>0.31</v>
      </c>
      <c r="AL280" s="14">
        <v>0.31</v>
      </c>
      <c r="AM280" s="14">
        <v>0.31</v>
      </c>
      <c r="AN280" s="14">
        <v>0.31</v>
      </c>
      <c r="AO280" s="14">
        <v>0.31</v>
      </c>
      <c r="AP280" s="14">
        <v>0.31</v>
      </c>
      <c r="AR280" s="14">
        <v>0.31</v>
      </c>
      <c r="AS280" s="14">
        <v>0.31</v>
      </c>
      <c r="AT280" s="14">
        <v>0.31</v>
      </c>
      <c r="AU280" s="14">
        <v>0.31</v>
      </c>
      <c r="AV280" s="14">
        <v>0.31</v>
      </c>
      <c r="AW280" s="14">
        <v>0.31</v>
      </c>
    </row>
    <row r="281" spans="1:53" x14ac:dyDescent="0.25">
      <c r="A281" s="50" t="s">
        <v>149</v>
      </c>
      <c r="B281" s="28">
        <f t="shared" ref="B281:G281" si="105">IF(AVERAGE(B5:B6)&lt;51,0.000025*((B6+B5)/2)^2 - 0.01005*((B6+B5)/2) + 1.5955,(0.00000649518*((B5+B6)/2)^2 - 0.00338103746*((B5+B6)/2) + 1.049852))</f>
        <v>0.85122563532500006</v>
      </c>
      <c r="C281" s="28">
        <f t="shared" si="105"/>
        <v>0.77153564522499996</v>
      </c>
      <c r="D281" s="28">
        <f t="shared" si="105"/>
        <v>0.70381228360000003</v>
      </c>
      <c r="E281" s="28">
        <f t="shared" si="105"/>
        <v>0.65170908920000004</v>
      </c>
      <c r="F281" s="28">
        <f t="shared" si="105"/>
        <v>0.62039047080000009</v>
      </c>
      <c r="G281" s="28">
        <f t="shared" si="105"/>
        <v>0.60988816362500009</v>
      </c>
      <c r="H281" s="28"/>
      <c r="I281" s="28">
        <f t="shared" ref="I281:N281" si="106">IF(AVERAGE(I5:I6)&lt;51,0.000025*((I6+I5)/2)^2 - 0.01005*((I6+I5)/2) + 1.5955,(0.00000649518*((I5+I6)/2)^2 - 0.00338103746*((I5+I6)/2) + 1.049852))</f>
        <v>0.85122563532500006</v>
      </c>
      <c r="J281" s="28">
        <f t="shared" si="106"/>
        <v>0.77153564522499996</v>
      </c>
      <c r="K281" s="28">
        <f t="shared" si="106"/>
        <v>0.70381228360000003</v>
      </c>
      <c r="L281" s="28">
        <f t="shared" si="106"/>
        <v>0.65170908920000004</v>
      </c>
      <c r="M281" s="28">
        <f t="shared" si="106"/>
        <v>0.62039047080000009</v>
      </c>
      <c r="N281" s="28">
        <f t="shared" si="106"/>
        <v>0.60988816362500009</v>
      </c>
      <c r="O281" s="200"/>
      <c r="P281" s="28">
        <f t="shared" ref="P281:U281" si="107">IF(AVERAGE(P5:P6)&lt;51,0.000025*((P6+P5)/2)^2 - 0.01005*((P6+P5)/2) + 1.5955,(0.00000649518*((P5+P6)/2)^2 - 0.00338103746*((P5+P6)/2) + 1.049852))</f>
        <v>0.85122563532500006</v>
      </c>
      <c r="Q281" s="28">
        <f t="shared" si="107"/>
        <v>0.77153564522499996</v>
      </c>
      <c r="R281" s="28">
        <f t="shared" si="107"/>
        <v>0.70381228360000003</v>
      </c>
      <c r="S281" s="28">
        <f t="shared" si="107"/>
        <v>0.65170908920000004</v>
      </c>
      <c r="T281" s="28">
        <f t="shared" si="107"/>
        <v>0.62039047080000009</v>
      </c>
      <c r="U281" s="28">
        <f t="shared" si="107"/>
        <v>0.60988816362500009</v>
      </c>
      <c r="W281" s="28">
        <f t="shared" ref="W281:AB281" si="108">IF(AVERAGE(W5:W6)&lt;51,0.000025*((W6+W5)/2)^2 - 0.01005*((W6+W5)/2) + 1.5955,(0.00000649518*((W5+W6)/2)^2 - 0.00338103746*((W5+W6)/2) + 1.049852))</f>
        <v>0.85122563532500006</v>
      </c>
      <c r="X281" s="28">
        <f t="shared" si="108"/>
        <v>0.77153564522499996</v>
      </c>
      <c r="Y281" s="28">
        <f t="shared" si="108"/>
        <v>0.70381228360000003</v>
      </c>
      <c r="Z281" s="28">
        <f t="shared" si="108"/>
        <v>0.65170908920000004</v>
      </c>
      <c r="AA281" s="28">
        <f t="shared" si="108"/>
        <v>0.62039047080000009</v>
      </c>
      <c r="AB281" s="28">
        <f t="shared" si="108"/>
        <v>0.60988816362500009</v>
      </c>
      <c r="AD281" s="28">
        <f t="shared" ref="AD281:AI281" si="109">IF(AVERAGE(AD5:AD6)&lt;51,0.000025*((AD6+AD5)/2)^2 - 0.01005*((AD6+AD5)/2) + 1.5955,(0.00000649518*((AD5+AD6)/2)^2 - 0.00338103746*((AD5+AD6)/2) + 1.049852))</f>
        <v>0.85122563532500006</v>
      </c>
      <c r="AE281" s="28">
        <f t="shared" si="109"/>
        <v>0.77153564522499996</v>
      </c>
      <c r="AF281" s="28">
        <f t="shared" si="109"/>
        <v>0.70381228360000003</v>
      </c>
      <c r="AG281" s="28">
        <f t="shared" si="109"/>
        <v>0.65170908920000004</v>
      </c>
      <c r="AH281" s="28">
        <f t="shared" si="109"/>
        <v>0.62039047080000009</v>
      </c>
      <c r="AI281" s="28">
        <f t="shared" si="109"/>
        <v>0.60988816362500009</v>
      </c>
      <c r="AK281" s="28">
        <f t="shared" ref="AK281:AP281" si="110">IF(AVERAGE(AK5:AK6)&lt;51,0.000025*((AK6+AK5)/2)^2 - 0.01005*((AK6+AK5)/2) + 1.5955,(0.00000649518*((AK5+AK6)/2)^2 - 0.00338103746*((AK5+AK6)/2) + 1.049852))</f>
        <v>0.85122563532500006</v>
      </c>
      <c r="AL281" s="28">
        <f t="shared" si="110"/>
        <v>0.77153564522499996</v>
      </c>
      <c r="AM281" s="28">
        <f t="shared" si="110"/>
        <v>0.70381228360000003</v>
      </c>
      <c r="AN281" s="28">
        <f t="shared" si="110"/>
        <v>0.65170908920000004</v>
      </c>
      <c r="AO281" s="28">
        <f t="shared" si="110"/>
        <v>0.62039047080000009</v>
      </c>
      <c r="AP281" s="28">
        <f t="shared" si="110"/>
        <v>0.60988816362500009</v>
      </c>
      <c r="AR281" s="28">
        <f t="shared" ref="AR281:AW281" si="111">IF(AVERAGE(AR5:AR6)&lt;51,0.000025*((AR6+AR5)/2)^2 - 0.01005*((AR6+AR5)/2) + 1.5955,(0.00000649518*((AR5+AR6)/2)^2 - 0.00338103746*((AR5+AR6)/2) + 1.049852))</f>
        <v>0.85122563532500006</v>
      </c>
      <c r="AS281" s="28">
        <f t="shared" si="111"/>
        <v>0.77153564522499996</v>
      </c>
      <c r="AT281" s="28">
        <f t="shared" si="111"/>
        <v>0.70381228360000003</v>
      </c>
      <c r="AU281" s="28">
        <f t="shared" si="111"/>
        <v>0.65170908920000004</v>
      </c>
      <c r="AV281" s="28">
        <f t="shared" si="111"/>
        <v>0.62039047080000009</v>
      </c>
      <c r="AW281" s="28">
        <f t="shared" si="111"/>
        <v>0.60988816362500009</v>
      </c>
    </row>
    <row r="282" spans="1:53" x14ac:dyDescent="0.25">
      <c r="A282" s="50" t="s">
        <v>150</v>
      </c>
      <c r="B282" s="28">
        <f t="shared" ref="B282:G282" si="112">IF(AVERAGE(B5:B6)&lt;51,0.000025*((B6+B5)/2)^2 - 0.01005*((B6+B5)/2) + 1.5955,0.00000649518*((B6+B5)/2)^2 - 0.00338103746*((B6+B5)/2) + 1.3529)</f>
        <v>1.154273635325</v>
      </c>
      <c r="C282" s="28">
        <f t="shared" si="112"/>
        <v>1.0745836452249999</v>
      </c>
      <c r="D282" s="28">
        <f t="shared" si="112"/>
        <v>1.0068602836</v>
      </c>
      <c r="E282" s="28">
        <f t="shared" si="112"/>
        <v>0.95475708920000002</v>
      </c>
      <c r="F282" s="28">
        <f t="shared" si="112"/>
        <v>0.92343847080000008</v>
      </c>
      <c r="G282" s="28">
        <f t="shared" si="112"/>
        <v>0.91293616362500007</v>
      </c>
      <c r="H282" s="28"/>
      <c r="I282" s="28">
        <f t="shared" ref="I282:N282" si="113">IF(AVERAGE(I5:I6)&lt;51,0.000025*((I6+I5)/2)^2 - 0.01005*((I6+I5)/2) + 1.5955,0.00000649518*((I6+I5)/2)^2 - 0.00338103746*((I6+I5)/2) + 1.3529)</f>
        <v>1.154273635325</v>
      </c>
      <c r="J282" s="28">
        <f t="shared" si="113"/>
        <v>1.0745836452249999</v>
      </c>
      <c r="K282" s="28">
        <f t="shared" si="113"/>
        <v>1.0068602836</v>
      </c>
      <c r="L282" s="28">
        <f t="shared" si="113"/>
        <v>0.95475708920000002</v>
      </c>
      <c r="M282" s="28">
        <f t="shared" si="113"/>
        <v>0.92343847080000008</v>
      </c>
      <c r="N282" s="28">
        <f t="shared" si="113"/>
        <v>0.91293616362500007</v>
      </c>
      <c r="O282" s="28"/>
      <c r="P282" s="28">
        <f t="shared" ref="P282:U282" si="114">IF(AVERAGE(P5:P6)&lt;51,0.000025*((P6+P5)/2)^2 - 0.01005*((P6+P5)/2) + 1.5955,0.00000649518*((P6+P5)/2)^2 - 0.00338103746*((P6+P5)/2) + 1.3529)</f>
        <v>1.154273635325</v>
      </c>
      <c r="Q282" s="28">
        <f t="shared" si="114"/>
        <v>1.0745836452249999</v>
      </c>
      <c r="R282" s="28">
        <f t="shared" si="114"/>
        <v>1.0068602836</v>
      </c>
      <c r="S282" s="28">
        <f t="shared" si="114"/>
        <v>0.95475708920000002</v>
      </c>
      <c r="T282" s="28">
        <f t="shared" si="114"/>
        <v>0.92343847080000008</v>
      </c>
      <c r="U282" s="28">
        <f t="shared" si="114"/>
        <v>0.91293616362500007</v>
      </c>
      <c r="W282" s="28">
        <f t="shared" ref="W282:AB282" si="115">IF(AVERAGE(W5:W6)&lt;51,0.000025*((W6+W5)/2)^2 - 0.01005*((W6+W5)/2) + 1.5955,0.00000649518*((W6+W5)/2)^2 - 0.00338103746*((W6+W5)/2) + 1.3529)</f>
        <v>1.154273635325</v>
      </c>
      <c r="X282" s="28">
        <f t="shared" si="115"/>
        <v>1.0745836452249999</v>
      </c>
      <c r="Y282" s="28">
        <f t="shared" si="115"/>
        <v>1.0068602836</v>
      </c>
      <c r="Z282" s="28">
        <f t="shared" si="115"/>
        <v>0.95475708920000002</v>
      </c>
      <c r="AA282" s="28">
        <f t="shared" si="115"/>
        <v>0.92343847080000008</v>
      </c>
      <c r="AB282" s="28">
        <f t="shared" si="115"/>
        <v>0.91293616362500007</v>
      </c>
      <c r="AD282" s="28">
        <f t="shared" ref="AD282:AI282" si="116">IF(AVERAGE(AD5:AD6)&lt;51,0.000025*((AD6+AD5)/2)^2 - 0.01005*((AD6+AD5)/2) + 1.5955,0.00000649518*((AD6+AD5)/2)^2 - 0.00338103746*((AD6+AD5)/2) + 1.3529)</f>
        <v>1.154273635325</v>
      </c>
      <c r="AE282" s="28">
        <f t="shared" si="116"/>
        <v>1.0745836452249999</v>
      </c>
      <c r="AF282" s="28">
        <f t="shared" si="116"/>
        <v>1.0068602836</v>
      </c>
      <c r="AG282" s="28">
        <f t="shared" si="116"/>
        <v>0.95475708920000002</v>
      </c>
      <c r="AH282" s="28">
        <f t="shared" si="116"/>
        <v>0.92343847080000008</v>
      </c>
      <c r="AI282" s="28">
        <f t="shared" si="116"/>
        <v>0.91293616362500007</v>
      </c>
      <c r="AK282" s="28">
        <f t="shared" ref="AK282:AP282" si="117">IF(AVERAGE(AK5:AK6)&lt;51,0.000025*((AK6+AK5)/2)^2 - 0.01005*((AK6+AK5)/2) + 1.5955,0.00000649518*((AK6+AK5)/2)^2 - 0.00338103746*((AK6+AK5)/2) + 1.3529)</f>
        <v>1.154273635325</v>
      </c>
      <c r="AL282" s="28">
        <f t="shared" si="117"/>
        <v>1.0745836452249999</v>
      </c>
      <c r="AM282" s="28">
        <f t="shared" si="117"/>
        <v>1.0068602836</v>
      </c>
      <c r="AN282" s="28">
        <f t="shared" si="117"/>
        <v>0.95475708920000002</v>
      </c>
      <c r="AO282" s="28">
        <f t="shared" si="117"/>
        <v>0.92343847080000008</v>
      </c>
      <c r="AP282" s="28">
        <f t="shared" si="117"/>
        <v>0.91293616362500007</v>
      </c>
      <c r="AR282" s="28">
        <f t="shared" ref="AR282:AW282" si="118">IF(AVERAGE(AR5:AR6)&lt;51,0.000025*((AR6+AR5)/2)^2 - 0.01005*((AR6+AR5)/2) + 1.5955,0.00000649518*((AR6+AR5)/2)^2 - 0.00338103746*((AR6+AR5)/2) + 1.3529)</f>
        <v>1.154273635325</v>
      </c>
      <c r="AS282" s="28">
        <f t="shared" si="118"/>
        <v>1.0745836452249999</v>
      </c>
      <c r="AT282" s="28">
        <f t="shared" si="118"/>
        <v>1.0068602836</v>
      </c>
      <c r="AU282" s="28">
        <f t="shared" si="118"/>
        <v>0.95475708920000002</v>
      </c>
      <c r="AV282" s="28">
        <f t="shared" si="118"/>
        <v>0.92343847080000008</v>
      </c>
      <c r="AW282" s="28">
        <f t="shared" si="118"/>
        <v>0.91293616362500007</v>
      </c>
    </row>
    <row r="283" spans="1:53" x14ac:dyDescent="0.25">
      <c r="A283" s="15" t="s">
        <v>51</v>
      </c>
      <c r="B283" s="28">
        <f t="shared" ref="B283:G283" si="119">B281*(B246*2.2046)/10000</f>
        <v>0.27996053561020928</v>
      </c>
      <c r="C283" s="28">
        <f t="shared" si="119"/>
        <v>0.25468658901444263</v>
      </c>
      <c r="D283" s="28">
        <f t="shared" si="119"/>
        <v>0.23309759512248635</v>
      </c>
      <c r="E283" s="28">
        <f t="shared" si="119"/>
        <v>0.21647481730659451</v>
      </c>
      <c r="F283" s="28">
        <f t="shared" si="119"/>
        <v>0.20653872384003844</v>
      </c>
      <c r="G283" s="28">
        <f t="shared" si="119"/>
        <v>0.20321869012127139</v>
      </c>
      <c r="H283" s="28"/>
      <c r="I283" s="28">
        <f t="shared" ref="I283:N283" si="120">I281*(I246*2.2046)/10000</f>
        <v>0.28060568881921844</v>
      </c>
      <c r="J283" s="28">
        <f t="shared" si="120"/>
        <v>0.25526169823566913</v>
      </c>
      <c r="K283" s="28">
        <f t="shared" si="120"/>
        <v>0.23361778591880025</v>
      </c>
      <c r="L283" s="28">
        <f t="shared" si="120"/>
        <v>0.21700058629976807</v>
      </c>
      <c r="M283" s="28">
        <f t="shared" si="120"/>
        <v>0.20702525787603795</v>
      </c>
      <c r="N283" s="28">
        <f t="shared" si="120"/>
        <v>0.20370884008830045</v>
      </c>
      <c r="O283" s="28"/>
      <c r="P283" s="28">
        <f t="shared" ref="P283:U283" si="121">P281*(P246*2.2046)/10000</f>
        <v>0.28123888075997322</v>
      </c>
      <c r="Q283" s="28">
        <f t="shared" si="121"/>
        <v>0.25583410586261845</v>
      </c>
      <c r="R283" s="28">
        <f t="shared" si="121"/>
        <v>0.23413507094407504</v>
      </c>
      <c r="S283" s="28">
        <f t="shared" si="121"/>
        <v>0.21748090215842958</v>
      </c>
      <c r="T283" s="28">
        <f t="shared" si="121"/>
        <v>0.20749082359034124</v>
      </c>
      <c r="U283" s="28">
        <f t="shared" si="121"/>
        <v>0.20416857304250563</v>
      </c>
      <c r="W283" s="28">
        <f t="shared" ref="W283:AB283" si="122">W281*(W246*2.2046)/10000</f>
        <v>0.2818768260596401</v>
      </c>
      <c r="X283" s="28">
        <f t="shared" si="122"/>
        <v>0.25640950408866248</v>
      </c>
      <c r="Y283" s="28">
        <f t="shared" si="122"/>
        <v>0.23466190302744136</v>
      </c>
      <c r="Z283" s="28">
        <f t="shared" si="122"/>
        <v>0.21796833263403029</v>
      </c>
      <c r="AA283" s="28">
        <f t="shared" si="122"/>
        <v>0.20796333079512369</v>
      </c>
      <c r="AB283" s="28">
        <f t="shared" si="122"/>
        <v>0.20458887173470439</v>
      </c>
      <c r="AD283" s="28">
        <f t="shared" ref="AD283:AI283" si="123">AD281*(AD246*2.2046)/10000</f>
        <v>0.28251229502666036</v>
      </c>
      <c r="AE283" s="28">
        <f t="shared" si="123"/>
        <v>0.25698638647591293</v>
      </c>
      <c r="AF283" s="28">
        <f t="shared" si="123"/>
        <v>0.23518271159118695</v>
      </c>
      <c r="AG283" s="28">
        <f t="shared" si="123"/>
        <v>0.21846278304608177</v>
      </c>
      <c r="AH283" s="28">
        <f t="shared" si="123"/>
        <v>0.20831356042979868</v>
      </c>
      <c r="AI283" s="28">
        <f t="shared" si="123"/>
        <v>0.20487467780338475</v>
      </c>
      <c r="AK283" s="28">
        <f t="shared" ref="AK283:AP283" si="124">AK281*(AK246*2.2046)/10000</f>
        <v>0.28312830561972274</v>
      </c>
      <c r="AL283" s="28">
        <f t="shared" si="124"/>
        <v>0.25756481852584751</v>
      </c>
      <c r="AM283" s="28">
        <f t="shared" si="124"/>
        <v>0.23572255398917272</v>
      </c>
      <c r="AN283" s="28">
        <f t="shared" si="124"/>
        <v>0.21886244103394806</v>
      </c>
      <c r="AO283" s="28">
        <f t="shared" si="124"/>
        <v>0.20860600417239569</v>
      </c>
      <c r="AP283" s="28">
        <f t="shared" si="124"/>
        <v>0.20516126011642349</v>
      </c>
      <c r="AR283" s="28">
        <f t="shared" ref="AR283:AW283" si="125">AR281*(AR246*2.2046)/10000</f>
        <v>0.28377310343694417</v>
      </c>
      <c r="AS283" s="28">
        <f t="shared" si="125"/>
        <v>0.25814064534285253</v>
      </c>
      <c r="AT283" s="28">
        <f t="shared" si="125"/>
        <v>0.23625855024071338</v>
      </c>
      <c r="AU283" s="28">
        <f t="shared" si="125"/>
        <v>0.21916963101843256</v>
      </c>
      <c r="AV283" s="28">
        <f t="shared" si="125"/>
        <v>0.20889769173381964</v>
      </c>
      <c r="AW283" s="28">
        <f t="shared" si="125"/>
        <v>0.20544707782011937</v>
      </c>
    </row>
    <row r="284" spans="1:53" x14ac:dyDescent="0.25">
      <c r="A284" s="15" t="s">
        <v>375</v>
      </c>
      <c r="B284" s="28">
        <f t="shared" ref="B284:G284" si="126" xml:space="preserve"> -0.096629122*LN(AVERAGE(B5:B6)/2.2046) + 0.7201091526</f>
        <v>0.38948473530861316</v>
      </c>
      <c r="C284" s="28">
        <f t="shared" si="126"/>
        <v>0.34911934963648045</v>
      </c>
      <c r="D284" s="28">
        <f t="shared" si="126"/>
        <v>0.31899235830889017</v>
      </c>
      <c r="E284" s="28">
        <f t="shared" si="126"/>
        <v>0.29470806575817415</v>
      </c>
      <c r="F284" s="28">
        <f t="shared" si="126"/>
        <v>0.27531743264453717</v>
      </c>
      <c r="G284" s="28">
        <f t="shared" si="126"/>
        <v>0.25825045546730907</v>
      </c>
      <c r="H284" s="28"/>
      <c r="I284" s="28">
        <f t="shared" ref="I284:N284" si="127" xml:space="preserve"> -0.096629122*LN(AVERAGE(I5:I6)/2.2046) + 0.7201091526</f>
        <v>0.38948473530861316</v>
      </c>
      <c r="J284" s="28">
        <f t="shared" si="127"/>
        <v>0.34911934963648045</v>
      </c>
      <c r="K284" s="28">
        <f t="shared" si="127"/>
        <v>0.31899235830889017</v>
      </c>
      <c r="L284" s="28">
        <f t="shared" si="127"/>
        <v>0.29470806575817415</v>
      </c>
      <c r="M284" s="28">
        <f t="shared" si="127"/>
        <v>0.27531743264453717</v>
      </c>
      <c r="N284" s="28">
        <f t="shared" si="127"/>
        <v>0.25825045546730907</v>
      </c>
      <c r="O284" s="28"/>
      <c r="P284" s="28">
        <f t="shared" ref="P284:U284" si="128" xml:space="preserve"> -0.096629122*LN(AVERAGE(P5:P6)/2.2046) + 0.7201091526</f>
        <v>0.38948473530861316</v>
      </c>
      <c r="Q284" s="28">
        <f t="shared" si="128"/>
        <v>0.34911934963648045</v>
      </c>
      <c r="R284" s="28">
        <f t="shared" si="128"/>
        <v>0.31899235830889017</v>
      </c>
      <c r="S284" s="28">
        <f t="shared" si="128"/>
        <v>0.29470806575817415</v>
      </c>
      <c r="T284" s="28">
        <f t="shared" si="128"/>
        <v>0.27531743264453717</v>
      </c>
      <c r="U284" s="28">
        <f t="shared" si="128"/>
        <v>0.25825045546730907</v>
      </c>
      <c r="W284" s="28">
        <f t="shared" ref="W284:AB284" si="129" xml:space="preserve"> -0.096629122*LN(AVERAGE(W5:W6)/2.2046) + 0.7201091526</f>
        <v>0.38948473530861316</v>
      </c>
      <c r="X284" s="28">
        <f t="shared" si="129"/>
        <v>0.34911934963648045</v>
      </c>
      <c r="Y284" s="28">
        <f t="shared" si="129"/>
        <v>0.31899235830889017</v>
      </c>
      <c r="Z284" s="28">
        <f t="shared" si="129"/>
        <v>0.29470806575817415</v>
      </c>
      <c r="AA284" s="28">
        <f t="shared" si="129"/>
        <v>0.27531743264453717</v>
      </c>
      <c r="AB284" s="28">
        <f t="shared" si="129"/>
        <v>0.25825045546730907</v>
      </c>
      <c r="AD284" s="28">
        <f t="shared" ref="AD284:AI284" si="130" xml:space="preserve"> -0.096629122*LN(AVERAGE(AD5:AD6)/2.2046) + 0.7201091526</f>
        <v>0.38948473530861316</v>
      </c>
      <c r="AE284" s="28">
        <f t="shared" si="130"/>
        <v>0.34911934963648045</v>
      </c>
      <c r="AF284" s="28">
        <f t="shared" si="130"/>
        <v>0.31899235830889017</v>
      </c>
      <c r="AG284" s="28">
        <f t="shared" si="130"/>
        <v>0.29470806575817415</v>
      </c>
      <c r="AH284" s="28">
        <f t="shared" si="130"/>
        <v>0.27531743264453717</v>
      </c>
      <c r="AI284" s="28">
        <f t="shared" si="130"/>
        <v>0.25825045546730907</v>
      </c>
      <c r="AK284" s="28">
        <f t="shared" ref="AK284:AP284" si="131" xml:space="preserve"> -0.096629122*LN(AVERAGE(AK5:AK6)/2.2046) + 0.7201091526</f>
        <v>0.38948473530861316</v>
      </c>
      <c r="AL284" s="28">
        <f t="shared" si="131"/>
        <v>0.34911934963648045</v>
      </c>
      <c r="AM284" s="28">
        <f t="shared" si="131"/>
        <v>0.31899235830889017</v>
      </c>
      <c r="AN284" s="28">
        <f t="shared" si="131"/>
        <v>0.29470806575817415</v>
      </c>
      <c r="AO284" s="28">
        <f t="shared" si="131"/>
        <v>0.27531743264453717</v>
      </c>
      <c r="AP284" s="28">
        <f t="shared" si="131"/>
        <v>0.25825045546730907</v>
      </c>
      <c r="AR284" s="28">
        <f t="shared" ref="AR284:AW284" si="132" xml:space="preserve"> -0.096629122*LN(AVERAGE(AR5:AR6)/2.2046) + 0.7201091526</f>
        <v>0.38948473530861316</v>
      </c>
      <c r="AS284" s="28">
        <f t="shared" si="132"/>
        <v>0.34911934963648045</v>
      </c>
      <c r="AT284" s="28">
        <f t="shared" si="132"/>
        <v>0.31899235830889017</v>
      </c>
      <c r="AU284" s="28">
        <f t="shared" si="132"/>
        <v>0.29470806575817415</v>
      </c>
      <c r="AV284" s="28">
        <f t="shared" si="132"/>
        <v>0.27531743264453717</v>
      </c>
      <c r="AW284" s="28">
        <f t="shared" si="132"/>
        <v>0.25825045546730907</v>
      </c>
    </row>
    <row r="285" spans="1:53" x14ac:dyDescent="0.25">
      <c r="A285" s="50" t="s">
        <v>154</v>
      </c>
      <c r="B285" s="26">
        <v>1</v>
      </c>
      <c r="C285" s="26">
        <v>1</v>
      </c>
      <c r="D285" s="26">
        <v>1</v>
      </c>
      <c r="E285" s="26">
        <v>1</v>
      </c>
      <c r="F285" s="26">
        <v>1</v>
      </c>
      <c r="G285" s="26">
        <v>1</v>
      </c>
      <c r="H285" s="26"/>
      <c r="I285" s="26">
        <v>1</v>
      </c>
      <c r="J285" s="26">
        <v>1</v>
      </c>
      <c r="K285" s="26">
        <v>1</v>
      </c>
      <c r="L285" s="26">
        <v>1</v>
      </c>
      <c r="M285" s="26">
        <v>1</v>
      </c>
      <c r="N285" s="26">
        <v>1</v>
      </c>
      <c r="O285" s="28"/>
      <c r="P285" s="26">
        <v>1</v>
      </c>
      <c r="Q285" s="26">
        <v>1</v>
      </c>
      <c r="R285" s="26">
        <v>1</v>
      </c>
      <c r="S285" s="26">
        <v>1</v>
      </c>
      <c r="T285" s="26">
        <v>1</v>
      </c>
      <c r="U285" s="26">
        <v>1</v>
      </c>
      <c r="W285" s="26">
        <v>1</v>
      </c>
      <c r="X285" s="26">
        <v>1</v>
      </c>
      <c r="Y285" s="26">
        <v>1</v>
      </c>
      <c r="Z285" s="26">
        <v>1</v>
      </c>
      <c r="AA285" s="26">
        <v>1</v>
      </c>
      <c r="AB285" s="26">
        <v>1</v>
      </c>
      <c r="AD285" s="26">
        <v>1</v>
      </c>
      <c r="AE285" s="26">
        <v>1</v>
      </c>
      <c r="AF285" s="26">
        <v>1</v>
      </c>
      <c r="AG285" s="26">
        <v>1</v>
      </c>
      <c r="AH285" s="26">
        <v>1</v>
      </c>
      <c r="AI285" s="26">
        <v>1</v>
      </c>
      <c r="AK285" s="26">
        <v>1</v>
      </c>
      <c r="AL285" s="26">
        <v>1</v>
      </c>
      <c r="AM285" s="26">
        <v>1</v>
      </c>
      <c r="AN285" s="26">
        <v>1</v>
      </c>
      <c r="AO285" s="26">
        <v>1</v>
      </c>
      <c r="AP285" s="26">
        <v>1</v>
      </c>
      <c r="AR285" s="26">
        <v>1</v>
      </c>
      <c r="AS285" s="26">
        <v>1</v>
      </c>
      <c r="AT285" s="26">
        <v>1</v>
      </c>
      <c r="AU285" s="26">
        <v>1</v>
      </c>
      <c r="AV285" s="26">
        <v>1</v>
      </c>
      <c r="AW285" s="26">
        <v>1</v>
      </c>
    </row>
    <row r="286" spans="1:53" x14ac:dyDescent="0.25">
      <c r="A286" s="50" t="s">
        <v>153</v>
      </c>
      <c r="B286" s="26">
        <v>1.5</v>
      </c>
      <c r="C286" s="26">
        <v>1.5</v>
      </c>
      <c r="D286" s="26">
        <v>1.5</v>
      </c>
      <c r="E286" s="26">
        <v>1.5</v>
      </c>
      <c r="F286" s="26">
        <v>1.5</v>
      </c>
      <c r="G286" s="26">
        <v>1.5</v>
      </c>
      <c r="H286" s="26"/>
      <c r="I286" s="26">
        <v>1.5</v>
      </c>
      <c r="J286" s="26">
        <v>1.5</v>
      </c>
      <c r="K286" s="26">
        <v>1.5</v>
      </c>
      <c r="L286" s="26">
        <v>1.5</v>
      </c>
      <c r="M286" s="26">
        <v>1.5</v>
      </c>
      <c r="N286" s="26">
        <v>1.5</v>
      </c>
      <c r="O286" s="26"/>
      <c r="P286" s="26">
        <v>1.5</v>
      </c>
      <c r="Q286" s="26">
        <v>1.5</v>
      </c>
      <c r="R286" s="26">
        <v>1.5</v>
      </c>
      <c r="S286" s="26">
        <v>1.5</v>
      </c>
      <c r="T286" s="26">
        <v>1.5</v>
      </c>
      <c r="U286" s="26">
        <v>1.5</v>
      </c>
      <c r="W286" s="26">
        <v>1.5</v>
      </c>
      <c r="X286" s="26">
        <v>1.5</v>
      </c>
      <c r="Y286" s="26">
        <v>1.5</v>
      </c>
      <c r="Z286" s="26">
        <v>1.5</v>
      </c>
      <c r="AA286" s="26">
        <v>1.5</v>
      </c>
      <c r="AB286" s="26">
        <v>1.5</v>
      </c>
      <c r="AD286" s="26">
        <v>1.5</v>
      </c>
      <c r="AE286" s="26">
        <v>1.5</v>
      </c>
      <c r="AF286" s="26">
        <v>1.5</v>
      </c>
      <c r="AG286" s="26">
        <v>1.5</v>
      </c>
      <c r="AH286" s="26">
        <v>1.5</v>
      </c>
      <c r="AI286" s="26">
        <v>1.5</v>
      </c>
      <c r="AK286" s="26">
        <v>1.5</v>
      </c>
      <c r="AL286" s="26">
        <v>1.5</v>
      </c>
      <c r="AM286" s="26">
        <v>1.5</v>
      </c>
      <c r="AN286" s="26">
        <v>1.5</v>
      </c>
      <c r="AO286" s="26">
        <v>1.5</v>
      </c>
      <c r="AP286" s="26">
        <v>1.5</v>
      </c>
      <c r="AR286" s="26">
        <v>1.5</v>
      </c>
      <c r="AS286" s="26">
        <v>1.5</v>
      </c>
      <c r="AT286" s="26">
        <v>1.5</v>
      </c>
      <c r="AU286" s="26">
        <v>1.5</v>
      </c>
      <c r="AV286" s="26">
        <v>1.5</v>
      </c>
      <c r="AW286" s="26">
        <v>1.5</v>
      </c>
    </row>
    <row r="287" spans="1:53" x14ac:dyDescent="0.25">
      <c r="A287" s="50" t="s">
        <v>368</v>
      </c>
      <c r="B287" s="33">
        <f t="shared" ref="B287:G287" si="133">-0.12264*LN(AVERAGE(B5:B6)/2.2046) + 1.07262</f>
        <v>0.65299724345031629</v>
      </c>
      <c r="C287" s="33">
        <f t="shared" si="133"/>
        <v>0.60176619843647083</v>
      </c>
      <c r="D287" s="33">
        <f t="shared" si="133"/>
        <v>0.56352954534532851</v>
      </c>
      <c r="E287" s="33">
        <f t="shared" si="133"/>
        <v>0.53270834386095811</v>
      </c>
      <c r="F287" s="33">
        <f t="shared" si="133"/>
        <v>0.50809808976948001</v>
      </c>
      <c r="G287" s="33">
        <f t="shared" si="133"/>
        <v>0.48643697935376851</v>
      </c>
      <c r="H287" s="33"/>
      <c r="I287" s="33">
        <f t="shared" ref="I287:N287" si="134">-0.12264*LN(AVERAGE(I5:I6)/2.2046) + 1.07262</f>
        <v>0.65299724345031629</v>
      </c>
      <c r="J287" s="33">
        <f t="shared" si="134"/>
        <v>0.60176619843647083</v>
      </c>
      <c r="K287" s="33">
        <f t="shared" si="134"/>
        <v>0.56352954534532851</v>
      </c>
      <c r="L287" s="33">
        <f t="shared" si="134"/>
        <v>0.53270834386095811</v>
      </c>
      <c r="M287" s="33">
        <f t="shared" si="134"/>
        <v>0.50809808976948001</v>
      </c>
      <c r="N287" s="33">
        <f t="shared" si="134"/>
        <v>0.48643697935376851</v>
      </c>
      <c r="O287" s="26"/>
      <c r="P287" s="33">
        <f t="shared" ref="P287:U287" si="135">-0.12264*LN(AVERAGE(P5:P6)/2.2046) + 1.07262</f>
        <v>0.65299724345031629</v>
      </c>
      <c r="Q287" s="33">
        <f t="shared" si="135"/>
        <v>0.60176619843647083</v>
      </c>
      <c r="R287" s="33">
        <f t="shared" si="135"/>
        <v>0.56352954534532851</v>
      </c>
      <c r="S287" s="33">
        <f t="shared" si="135"/>
        <v>0.53270834386095811</v>
      </c>
      <c r="T287" s="33">
        <f t="shared" si="135"/>
        <v>0.50809808976948001</v>
      </c>
      <c r="U287" s="33">
        <f t="shared" si="135"/>
        <v>0.48643697935376851</v>
      </c>
      <c r="W287" s="33">
        <f t="shared" ref="W287:AB287" si="136">-0.12264*LN(AVERAGE(W5:W6)/2.2046) + 1.07262</f>
        <v>0.65299724345031629</v>
      </c>
      <c r="X287" s="33">
        <f t="shared" si="136"/>
        <v>0.60176619843647083</v>
      </c>
      <c r="Y287" s="33">
        <f t="shared" si="136"/>
        <v>0.56352954534532851</v>
      </c>
      <c r="Z287" s="33">
        <f t="shared" si="136"/>
        <v>0.53270834386095811</v>
      </c>
      <c r="AA287" s="33">
        <f t="shared" si="136"/>
        <v>0.50809808976948001</v>
      </c>
      <c r="AB287" s="33">
        <f t="shared" si="136"/>
        <v>0.48643697935376851</v>
      </c>
      <c r="AD287" s="33">
        <f t="shared" ref="AD287:AI287" si="137">-0.12264*LN(AVERAGE(AD5:AD6)/2.2046) + 1.07262</f>
        <v>0.65299724345031629</v>
      </c>
      <c r="AE287" s="33">
        <f t="shared" si="137"/>
        <v>0.60176619843647083</v>
      </c>
      <c r="AF287" s="33">
        <f t="shared" si="137"/>
        <v>0.56352954534532851</v>
      </c>
      <c r="AG287" s="33">
        <f t="shared" si="137"/>
        <v>0.53270834386095811</v>
      </c>
      <c r="AH287" s="33">
        <f t="shared" si="137"/>
        <v>0.50809808976948001</v>
      </c>
      <c r="AI287" s="33">
        <f t="shared" si="137"/>
        <v>0.48643697935376851</v>
      </c>
      <c r="AK287" s="33">
        <f t="shared" ref="AK287:AP287" si="138">-0.12264*LN(AVERAGE(AK5:AK6)/2.2046) + 1.07262</f>
        <v>0.65299724345031629</v>
      </c>
      <c r="AL287" s="33">
        <f t="shared" si="138"/>
        <v>0.60176619843647083</v>
      </c>
      <c r="AM287" s="33">
        <f t="shared" si="138"/>
        <v>0.56352954534532851</v>
      </c>
      <c r="AN287" s="33">
        <f t="shared" si="138"/>
        <v>0.53270834386095811</v>
      </c>
      <c r="AO287" s="33">
        <f t="shared" si="138"/>
        <v>0.50809808976948001</v>
      </c>
      <c r="AP287" s="33">
        <f t="shared" si="138"/>
        <v>0.48643697935376851</v>
      </c>
      <c r="AR287" s="33">
        <f t="shared" ref="AR287:AW287" si="139">-0.12264*LN(AVERAGE(AR5:AR6)/2.2046) + 1.07262</f>
        <v>0.65299724345031629</v>
      </c>
      <c r="AS287" s="33">
        <f t="shared" si="139"/>
        <v>0.60176619843647083</v>
      </c>
      <c r="AT287" s="33">
        <f t="shared" si="139"/>
        <v>0.56352954534532851</v>
      </c>
      <c r="AU287" s="33">
        <f t="shared" si="139"/>
        <v>0.53270834386095811</v>
      </c>
      <c r="AV287" s="33">
        <f t="shared" si="139"/>
        <v>0.50809808976948001</v>
      </c>
      <c r="AW287" s="33">
        <f t="shared" si="139"/>
        <v>0.48643697935376851</v>
      </c>
    </row>
    <row r="288" spans="1:53" x14ac:dyDescent="0.25">
      <c r="A288" s="50" t="s">
        <v>370</v>
      </c>
      <c r="B288" s="33">
        <v>0.4</v>
      </c>
      <c r="C288" s="33">
        <v>0.36</v>
      </c>
      <c r="D288" s="33">
        <v>0.32</v>
      </c>
      <c r="E288" s="33">
        <v>0.28999999999999998</v>
      </c>
      <c r="F288" s="33">
        <v>0.27</v>
      </c>
      <c r="G288" s="33">
        <v>0.26</v>
      </c>
      <c r="H288" s="33"/>
      <c r="I288" s="33">
        <v>0.4</v>
      </c>
      <c r="J288" s="33">
        <v>0.36</v>
      </c>
      <c r="K288" s="33">
        <v>0.32</v>
      </c>
      <c r="L288" s="33">
        <v>0.28999999999999998</v>
      </c>
      <c r="M288" s="33">
        <v>0.27</v>
      </c>
      <c r="N288" s="33">
        <v>0.26</v>
      </c>
      <c r="O288" s="33"/>
      <c r="P288" s="33">
        <v>0.4</v>
      </c>
      <c r="Q288" s="33">
        <v>0.36</v>
      </c>
      <c r="R288" s="33">
        <v>0.32</v>
      </c>
      <c r="S288" s="33">
        <v>0.28999999999999998</v>
      </c>
      <c r="T288" s="33">
        <v>0.27</v>
      </c>
      <c r="U288" s="33">
        <v>0.26</v>
      </c>
      <c r="W288" s="33">
        <v>0.4</v>
      </c>
      <c r="X288" s="33">
        <v>0.36</v>
      </c>
      <c r="Y288" s="33">
        <v>0.32</v>
      </c>
      <c r="Z288" s="33">
        <v>0.28999999999999998</v>
      </c>
      <c r="AA288" s="33">
        <v>0.27</v>
      </c>
      <c r="AB288" s="33">
        <v>0.26</v>
      </c>
      <c r="AD288" s="33">
        <v>0.4</v>
      </c>
      <c r="AE288" s="33">
        <v>0.36</v>
      </c>
      <c r="AF288" s="33">
        <v>0.32</v>
      </c>
      <c r="AG288" s="33">
        <v>0.28999999999999998</v>
      </c>
      <c r="AH288" s="33">
        <v>0.27</v>
      </c>
      <c r="AI288" s="33">
        <v>0.26</v>
      </c>
      <c r="AK288" s="33">
        <v>0.4</v>
      </c>
      <c r="AL288" s="33">
        <v>0.36</v>
      </c>
      <c r="AM288" s="33">
        <v>0.32</v>
      </c>
      <c r="AN288" s="33">
        <v>0.28999999999999998</v>
      </c>
      <c r="AO288" s="33">
        <v>0.27</v>
      </c>
      <c r="AP288" s="33">
        <v>0.26</v>
      </c>
      <c r="AR288" s="33">
        <v>0.4</v>
      </c>
      <c r="AS288" s="33">
        <v>0.36</v>
      </c>
      <c r="AT288" s="33">
        <v>0.32</v>
      </c>
      <c r="AU288" s="33">
        <v>0.28999999999999998</v>
      </c>
      <c r="AV288" s="33">
        <v>0.27</v>
      </c>
      <c r="AW288" s="33">
        <v>0.26</v>
      </c>
    </row>
    <row r="289" spans="1:49" x14ac:dyDescent="0.25">
      <c r="A289" s="50" t="s">
        <v>369</v>
      </c>
      <c r="B289" s="33">
        <v>1.74</v>
      </c>
      <c r="C289" s="33">
        <v>1.74</v>
      </c>
      <c r="D289" s="33">
        <v>1.79</v>
      </c>
      <c r="E289" s="33">
        <v>1.79</v>
      </c>
      <c r="F289" s="33">
        <v>1.77</v>
      </c>
      <c r="G289" s="33">
        <v>1.77</v>
      </c>
      <c r="H289" s="33"/>
      <c r="I289" s="33">
        <v>1.74</v>
      </c>
      <c r="J289" s="33">
        <v>1.74</v>
      </c>
      <c r="K289" s="33">
        <v>1.79</v>
      </c>
      <c r="L289" s="33">
        <v>1.79</v>
      </c>
      <c r="M289" s="33">
        <v>1.77</v>
      </c>
      <c r="N289" s="33">
        <v>1.77</v>
      </c>
      <c r="O289" s="33"/>
      <c r="P289" s="33">
        <v>1.74</v>
      </c>
      <c r="Q289" s="33">
        <v>1.74</v>
      </c>
      <c r="R289" s="33">
        <v>1.79</v>
      </c>
      <c r="S289" s="33">
        <v>1.79</v>
      </c>
      <c r="T289" s="33">
        <v>1.77</v>
      </c>
      <c r="U289" s="33">
        <v>1.77</v>
      </c>
      <c r="W289" s="33">
        <v>1.74</v>
      </c>
      <c r="X289" s="33">
        <v>1.74</v>
      </c>
      <c r="Y289" s="33">
        <v>1.79</v>
      </c>
      <c r="Z289" s="33">
        <v>1.79</v>
      </c>
      <c r="AA289" s="33">
        <v>1.77</v>
      </c>
      <c r="AB289" s="33">
        <v>1.77</v>
      </c>
      <c r="AD289" s="33">
        <v>1.74</v>
      </c>
      <c r="AE289" s="33">
        <v>1.74</v>
      </c>
      <c r="AF289" s="33">
        <v>1.79</v>
      </c>
      <c r="AG289" s="33">
        <v>1.79</v>
      </c>
      <c r="AH289" s="33">
        <v>1.77</v>
      </c>
      <c r="AI289" s="33">
        <v>1.77</v>
      </c>
      <c r="AK289" s="33">
        <v>1.74</v>
      </c>
      <c r="AL289" s="33">
        <v>1.74</v>
      </c>
      <c r="AM289" s="33">
        <v>1.79</v>
      </c>
      <c r="AN289" s="33">
        <v>1.79</v>
      </c>
      <c r="AO289" s="33">
        <v>1.77</v>
      </c>
      <c r="AP289" s="33">
        <v>1.77</v>
      </c>
      <c r="AR289" s="33">
        <v>1.74</v>
      </c>
      <c r="AS289" s="33">
        <v>1.74</v>
      </c>
      <c r="AT289" s="33">
        <v>1.79</v>
      </c>
      <c r="AU289" s="33">
        <v>1.79</v>
      </c>
      <c r="AV289" s="33">
        <v>1.77</v>
      </c>
      <c r="AW289" s="33">
        <v>1.77</v>
      </c>
    </row>
    <row r="290" spans="1:49" x14ac:dyDescent="0.25">
      <c r="A290" s="50" t="s">
        <v>152</v>
      </c>
      <c r="B290" s="26">
        <v>7.3</v>
      </c>
      <c r="C290" s="26">
        <v>8.3000000000000007</v>
      </c>
      <c r="D290" s="26">
        <v>9.3000000000000007</v>
      </c>
      <c r="E290" s="26">
        <v>10.3</v>
      </c>
      <c r="F290" s="26">
        <v>11.3</v>
      </c>
      <c r="G290" s="26">
        <v>11.3</v>
      </c>
      <c r="H290" s="26"/>
      <c r="I290" s="26">
        <v>7.3</v>
      </c>
      <c r="J290" s="26">
        <v>8.3000000000000007</v>
      </c>
      <c r="K290" s="26">
        <v>9.3000000000000007</v>
      </c>
      <c r="L290" s="26">
        <v>10.3</v>
      </c>
      <c r="M290" s="26">
        <v>11.3</v>
      </c>
      <c r="N290" s="26">
        <v>11.3</v>
      </c>
      <c r="O290" s="33"/>
      <c r="P290" s="26">
        <v>7.3</v>
      </c>
      <c r="Q290" s="26">
        <v>8.3000000000000007</v>
      </c>
      <c r="R290" s="26">
        <v>9.3000000000000007</v>
      </c>
      <c r="S290" s="26">
        <v>10.3</v>
      </c>
      <c r="T290" s="26">
        <v>11.3</v>
      </c>
      <c r="U290" s="26">
        <v>11.3</v>
      </c>
      <c r="W290" s="26">
        <v>7.3</v>
      </c>
      <c r="X290" s="26">
        <v>8.3000000000000007</v>
      </c>
      <c r="Y290" s="26">
        <v>9.3000000000000007</v>
      </c>
      <c r="Z290" s="26">
        <v>10.3</v>
      </c>
      <c r="AA290" s="26">
        <v>11.3</v>
      </c>
      <c r="AB290" s="26">
        <v>11.3</v>
      </c>
      <c r="AD290" s="26">
        <v>7.3</v>
      </c>
      <c r="AE290" s="26">
        <v>8.3000000000000007</v>
      </c>
      <c r="AF290" s="26">
        <v>9.3000000000000007</v>
      </c>
      <c r="AG290" s="26">
        <v>10.3</v>
      </c>
      <c r="AH290" s="26">
        <v>11.3</v>
      </c>
      <c r="AI290" s="26">
        <v>11.3</v>
      </c>
      <c r="AK290" s="26">
        <v>7.3</v>
      </c>
      <c r="AL290" s="26">
        <v>8.3000000000000007</v>
      </c>
      <c r="AM290" s="26">
        <v>9.3000000000000007</v>
      </c>
      <c r="AN290" s="26">
        <v>10.3</v>
      </c>
      <c r="AO290" s="26">
        <v>11.3</v>
      </c>
      <c r="AP290" s="26">
        <v>11.3</v>
      </c>
      <c r="AR290" s="26">
        <v>7.3</v>
      </c>
      <c r="AS290" s="26">
        <v>8.3000000000000007</v>
      </c>
      <c r="AT290" s="26">
        <v>9.3000000000000007</v>
      </c>
      <c r="AU290" s="26">
        <v>10.3</v>
      </c>
      <c r="AV290" s="26">
        <v>11.3</v>
      </c>
      <c r="AW290" s="26">
        <v>11.3</v>
      </c>
    </row>
    <row r="291" spans="1:49" x14ac:dyDescent="0.25">
      <c r="A291" s="15"/>
      <c r="B291" s="26"/>
      <c r="C291" s="26"/>
      <c r="D291" s="26"/>
      <c r="E291" s="26"/>
      <c r="F291" s="26"/>
      <c r="G291" s="26"/>
      <c r="H291" s="26"/>
      <c r="I291" s="26"/>
      <c r="J291" s="26"/>
      <c r="K291" s="26"/>
      <c r="L291" s="26"/>
      <c r="M291" s="26"/>
      <c r="N291" s="26"/>
      <c r="O291" s="26"/>
      <c r="P291" s="26"/>
      <c r="Q291" s="26"/>
      <c r="R291" s="26"/>
      <c r="S291" s="26"/>
      <c r="T291" s="26"/>
      <c r="U291" s="26"/>
      <c r="W291" s="26"/>
      <c r="X291" s="26"/>
      <c r="Y291" s="26"/>
      <c r="Z291" s="26"/>
      <c r="AA291" s="26"/>
      <c r="AB291" s="26"/>
      <c r="AD291" s="26"/>
      <c r="AE291" s="26"/>
      <c r="AF291" s="26"/>
      <c r="AG291" s="26"/>
      <c r="AH291" s="26"/>
      <c r="AI291" s="26"/>
      <c r="AK291" s="26"/>
      <c r="AL291" s="26"/>
      <c r="AM291" s="26"/>
      <c r="AN291" s="26"/>
      <c r="AO291" s="26"/>
      <c r="AP291" s="26"/>
      <c r="AR291" s="26"/>
      <c r="AS291" s="26"/>
      <c r="AT291" s="26"/>
      <c r="AU291" s="26"/>
      <c r="AV291" s="26"/>
      <c r="AW291" s="26"/>
    </row>
    <row r="292" spans="1:49" x14ac:dyDescent="0.25">
      <c r="A292" s="41" t="s">
        <v>349</v>
      </c>
      <c r="B292" s="33">
        <f t="shared" ref="B292:G292" si="140">IF(AVERAGE(B5:B6)&lt;15,-0.0525*((B5+B6)/2) + 5.0586,IF(AVERAGE(B5:B6)&lt;50,(-0.007855*((B5+B6)/2) + 4.1),(0.000025*((B5+B6)/2)^2 - 0.016*((B5+B6)/2)+ 4.53)*0.87))</f>
        <v>3.1005984375</v>
      </c>
      <c r="C292" s="33">
        <f t="shared" si="140"/>
        <v>2.7428109375000003</v>
      </c>
      <c r="D292" s="33">
        <f t="shared" si="140"/>
        <v>2.4186000000000001</v>
      </c>
      <c r="E292" s="33">
        <f t="shared" si="140"/>
        <v>2.1402000000000005</v>
      </c>
      <c r="F292" s="33">
        <f t="shared" si="140"/>
        <v>1.9314000000000002</v>
      </c>
      <c r="G292" s="33">
        <f t="shared" si="140"/>
        <v>1.7858109375</v>
      </c>
      <c r="H292" s="33"/>
      <c r="I292" s="33">
        <f t="shared" ref="I292:N292" si="141">IF(AVERAGE(I5:I6)&lt;15,-0.0525*((I5+I6)/2) + 5.0586,IF(AVERAGE(I5:I6)&lt;50,(-0.007855*((I5+I6)/2) + 4.1),(0.000025*((I5+I6)/2)^2 - 0.016*((I5+I6)/2)+ 4.53)*0.87))</f>
        <v>3.1005984375</v>
      </c>
      <c r="J292" s="33">
        <f t="shared" si="141"/>
        <v>2.7428109375000003</v>
      </c>
      <c r="K292" s="33">
        <f t="shared" si="141"/>
        <v>2.4186000000000001</v>
      </c>
      <c r="L292" s="33">
        <f t="shared" si="141"/>
        <v>2.1402000000000005</v>
      </c>
      <c r="M292" s="33">
        <f t="shared" si="141"/>
        <v>1.9314000000000002</v>
      </c>
      <c r="N292" s="33">
        <f t="shared" si="141"/>
        <v>1.7858109375</v>
      </c>
      <c r="O292" s="33"/>
      <c r="P292" s="33">
        <f t="shared" ref="P292:U292" si="142">IF(AVERAGE(P5:P6)&lt;15,-0.0525*((P5+P6)/2) + 5.0586,IF(AVERAGE(P5:P6)&lt;50,(-0.007855*((P5+P6)/2) + 4.1),(0.000025*((P5+P6)/2)^2 - 0.016*((P5+P6)/2)+ 4.53)*0.87))</f>
        <v>3.1005984375</v>
      </c>
      <c r="Q292" s="33">
        <f t="shared" si="142"/>
        <v>2.7428109375000003</v>
      </c>
      <c r="R292" s="33">
        <f t="shared" si="142"/>
        <v>2.4186000000000001</v>
      </c>
      <c r="S292" s="33">
        <f t="shared" si="142"/>
        <v>2.1402000000000005</v>
      </c>
      <c r="T292" s="33">
        <f t="shared" si="142"/>
        <v>1.9314000000000002</v>
      </c>
      <c r="U292" s="33">
        <f t="shared" si="142"/>
        <v>1.7858109375</v>
      </c>
      <c r="W292" s="33">
        <f t="shared" ref="W292:AB292" si="143">IF(AVERAGE(W5:W6)&lt;15,-0.0525*((W5+W6)/2) + 5.0586,IF(AVERAGE(W5:W6)&lt;50,(-0.007855*((W5+W6)/2) + 4.1),(0.000025*((W5+W6)/2)^2 - 0.016*((W5+W6)/2)+ 4.53)*0.87))</f>
        <v>3.1005984375</v>
      </c>
      <c r="X292" s="33">
        <f t="shared" si="143"/>
        <v>2.7428109375000003</v>
      </c>
      <c r="Y292" s="33">
        <f t="shared" si="143"/>
        <v>2.4186000000000001</v>
      </c>
      <c r="Z292" s="33">
        <f t="shared" si="143"/>
        <v>2.1402000000000005</v>
      </c>
      <c r="AA292" s="33">
        <f t="shared" si="143"/>
        <v>1.9314000000000002</v>
      </c>
      <c r="AB292" s="33">
        <f t="shared" si="143"/>
        <v>1.7858109375</v>
      </c>
      <c r="AD292" s="33">
        <f t="shared" ref="AD292:AI292" si="144">IF(AVERAGE(AD5:AD6)&lt;15,-0.0525*((AD5+AD6)/2) + 5.0586,IF(AVERAGE(AD5:AD6)&lt;50,(-0.007855*((AD5+AD6)/2) + 4.1),(0.000025*((AD5+AD6)/2)^2 - 0.016*((AD5+AD6)/2)+ 4.53)*0.87))</f>
        <v>3.1005984375</v>
      </c>
      <c r="AE292" s="33">
        <f t="shared" si="144"/>
        <v>2.7428109375000003</v>
      </c>
      <c r="AF292" s="33">
        <f t="shared" si="144"/>
        <v>2.4186000000000001</v>
      </c>
      <c r="AG292" s="33">
        <f t="shared" si="144"/>
        <v>2.1402000000000005</v>
      </c>
      <c r="AH292" s="33">
        <f t="shared" si="144"/>
        <v>1.9314000000000002</v>
      </c>
      <c r="AI292" s="33">
        <f t="shared" si="144"/>
        <v>1.7858109375</v>
      </c>
      <c r="AK292" s="33">
        <f t="shared" ref="AK292:AP292" si="145">IF(AVERAGE(AK5:AK6)&lt;15,-0.0525*((AK5+AK6)/2) + 5.0586,IF(AVERAGE(AK5:AK6)&lt;50,(-0.007855*((AK5+AK6)/2) + 4.1),(0.000025*((AK5+AK6)/2)^2 - 0.016*((AK5+AK6)/2)+ 4.53)*0.87))</f>
        <v>3.1005984375</v>
      </c>
      <c r="AL292" s="33">
        <f t="shared" si="145"/>
        <v>2.7428109375000003</v>
      </c>
      <c r="AM292" s="33">
        <f t="shared" si="145"/>
        <v>2.4186000000000001</v>
      </c>
      <c r="AN292" s="33">
        <f t="shared" si="145"/>
        <v>2.1402000000000005</v>
      </c>
      <c r="AO292" s="33">
        <f t="shared" si="145"/>
        <v>1.9314000000000002</v>
      </c>
      <c r="AP292" s="33">
        <f t="shared" si="145"/>
        <v>1.7858109375</v>
      </c>
      <c r="AR292" s="33">
        <f t="shared" ref="AR292:AW292" si="146">IF(AVERAGE(AR5:AR6)&lt;15,-0.0525*((AR5+AR6)/2) + 5.0586,IF(AVERAGE(AR5:AR6)&lt;50,(-0.007855*((AR5+AR6)/2) + 4.1),(0.000025*((AR5+AR6)/2)^2 - 0.016*((AR5+AR6)/2)+ 4.53)*0.87))</f>
        <v>3.1005984375</v>
      </c>
      <c r="AS292" s="33">
        <f t="shared" si="146"/>
        <v>2.7428109375000003</v>
      </c>
      <c r="AT292" s="33">
        <f t="shared" si="146"/>
        <v>2.4186000000000001</v>
      </c>
      <c r="AU292" s="33">
        <f t="shared" si="146"/>
        <v>2.1402000000000005</v>
      </c>
      <c r="AV292" s="33">
        <f t="shared" si="146"/>
        <v>1.9314000000000002</v>
      </c>
      <c r="AW292" s="33">
        <f t="shared" si="146"/>
        <v>1.7858109375</v>
      </c>
    </row>
    <row r="293" spans="1:49" x14ac:dyDescent="0.25">
      <c r="A293" s="40" t="s">
        <v>108</v>
      </c>
      <c r="B293" s="26">
        <f t="shared" ref="B293:G293" si="147">IF(B292="","",B246*2.2046*B292/10000)</f>
        <v>1.0197592309861019</v>
      </c>
      <c r="C293" s="26">
        <f t="shared" si="147"/>
        <v>0.90541139130346093</v>
      </c>
      <c r="D293" s="26">
        <f t="shared" si="147"/>
        <v>0.80102302375224621</v>
      </c>
      <c r="E293" s="26">
        <f t="shared" si="147"/>
        <v>0.71089909850466104</v>
      </c>
      <c r="F293" s="26">
        <f t="shared" si="147"/>
        <v>0.6429964836665738</v>
      </c>
      <c r="G293" s="26">
        <f t="shared" si="147"/>
        <v>0.59504378206974184</v>
      </c>
      <c r="H293" s="26"/>
      <c r="I293" s="26">
        <f t="shared" ref="I293:N293" si="148">IF(I292="","",I246*2.2046*I292/10000)</f>
        <v>1.0221092084172188</v>
      </c>
      <c r="J293" s="26">
        <f t="shared" si="148"/>
        <v>0.90745590586607328</v>
      </c>
      <c r="K293" s="26">
        <f t="shared" si="148"/>
        <v>0.80281062179405571</v>
      </c>
      <c r="L293" s="26">
        <f t="shared" si="148"/>
        <v>0.71262571367366423</v>
      </c>
      <c r="M293" s="26">
        <f t="shared" si="148"/>
        <v>0.64451116173040313</v>
      </c>
      <c r="N293" s="26">
        <f t="shared" si="148"/>
        <v>0.59647898810314504</v>
      </c>
      <c r="O293" s="26"/>
      <c r="P293" s="26">
        <f t="shared" ref="P293:U293" si="149">IF(P292="","",P246*2.2046*P292/10000)</f>
        <v>1.0244156168013978</v>
      </c>
      <c r="Q293" s="26">
        <f t="shared" si="149"/>
        <v>0.90949081625501227</v>
      </c>
      <c r="R293" s="26">
        <f t="shared" si="149"/>
        <v>0.80458823436388793</v>
      </c>
      <c r="S293" s="26">
        <f t="shared" si="149"/>
        <v>0.71420306163112368</v>
      </c>
      <c r="T293" s="26">
        <f t="shared" si="149"/>
        <v>0.64596056120207102</v>
      </c>
      <c r="U293" s="26">
        <f t="shared" si="149"/>
        <v>0.59782513021068995</v>
      </c>
      <c r="W293" s="26">
        <f t="shared" ref="W293:AB293" si="150">IF(W292="","",W246*2.2046*W292/10000)</f>
        <v>1.0267393393460114</v>
      </c>
      <c r="X293" s="26">
        <f t="shared" si="150"/>
        <v>0.91153635823039492</v>
      </c>
      <c r="Y293" s="26">
        <f t="shared" si="150"/>
        <v>0.80639865470823346</v>
      </c>
      <c r="Z293" s="26">
        <f t="shared" si="150"/>
        <v>0.71580377385252481</v>
      </c>
      <c r="AA293" s="26">
        <f t="shared" si="150"/>
        <v>0.64743157092622106</v>
      </c>
      <c r="AB293" s="26">
        <f t="shared" si="150"/>
        <v>0.5990558050234035</v>
      </c>
      <c r="AD293" s="26">
        <f t="shared" ref="AD293:AI293" si="151">IF(AD292="","",AD246*2.2046*AD292/10000)</f>
        <v>1.0290540418226002</v>
      </c>
      <c r="AE293" s="26">
        <f t="shared" si="151"/>
        <v>0.91358717640217257</v>
      </c>
      <c r="AF293" s="26">
        <f t="shared" si="151"/>
        <v>0.80818837566313362</v>
      </c>
      <c r="AG293" s="26">
        <f t="shared" si="151"/>
        <v>0.7174275394089813</v>
      </c>
      <c r="AH293" s="26">
        <f t="shared" si="151"/>
        <v>0.64852190604297266</v>
      </c>
      <c r="AI293" s="26">
        <f t="shared" si="151"/>
        <v>0.59989267255731271</v>
      </c>
      <c r="AK293" s="26">
        <f t="shared" ref="AK293:AP293" si="152">IF(AK292="","",AK246*2.2046*AK292/10000)</f>
        <v>1.031297866964924</v>
      </c>
      <c r="AL293" s="26">
        <f t="shared" si="152"/>
        <v>0.91564350362824465</v>
      </c>
      <c r="AM293" s="26">
        <f t="shared" si="152"/>
        <v>0.81004350501252487</v>
      </c>
      <c r="AN293" s="26">
        <f t="shared" si="152"/>
        <v>0.71874000848422681</v>
      </c>
      <c r="AO293" s="26">
        <f t="shared" si="152"/>
        <v>0.64943234208452483</v>
      </c>
      <c r="AP293" s="26">
        <f t="shared" si="152"/>
        <v>0.60073181300902556</v>
      </c>
      <c r="AR293" s="26">
        <f t="shared" ref="AR293:AW293" si="153">IF(AR292="","",AR246*2.2046*AR292/10000)</f>
        <v>1.0336465498776712</v>
      </c>
      <c r="AS293" s="26">
        <f t="shared" si="153"/>
        <v>0.91769056924544823</v>
      </c>
      <c r="AT293" s="26">
        <f t="shared" si="153"/>
        <v>0.811885417357881</v>
      </c>
      <c r="AU293" s="26">
        <f t="shared" si="153"/>
        <v>0.71974881443106553</v>
      </c>
      <c r="AV293" s="26">
        <f t="shared" si="153"/>
        <v>0.65034042398237824</v>
      </c>
      <c r="AW293" s="26">
        <f t="shared" si="153"/>
        <v>0.60156871461137429</v>
      </c>
    </row>
    <row r="294" spans="1:49" x14ac:dyDescent="0.25">
      <c r="A294" s="15"/>
      <c r="B294" s="26"/>
      <c r="C294" s="26"/>
      <c r="D294" s="26"/>
      <c r="E294" s="26"/>
      <c r="F294" s="26"/>
      <c r="G294" s="26"/>
      <c r="H294" s="26"/>
      <c r="I294" s="26"/>
      <c r="J294" s="26"/>
      <c r="K294" s="26"/>
      <c r="L294" s="26"/>
      <c r="M294" s="26"/>
      <c r="N294" s="26"/>
      <c r="O294" s="26"/>
      <c r="P294" s="26"/>
      <c r="Q294" s="26"/>
      <c r="R294" s="26"/>
      <c r="S294" s="26"/>
      <c r="T294" s="26"/>
      <c r="U294" s="26"/>
      <c r="W294" s="26"/>
      <c r="X294" s="26"/>
      <c r="Y294" s="26"/>
      <c r="Z294" s="26"/>
      <c r="AA294" s="26"/>
      <c r="AB294" s="26"/>
      <c r="AD294" s="26"/>
      <c r="AE294" s="26"/>
      <c r="AF294" s="26"/>
      <c r="AG294" s="26"/>
      <c r="AH294" s="26"/>
      <c r="AI294" s="26"/>
      <c r="AK294" s="26"/>
      <c r="AL294" s="26"/>
      <c r="AM294" s="26"/>
      <c r="AN294" s="26"/>
      <c r="AO294" s="26"/>
      <c r="AP294" s="26"/>
      <c r="AR294" s="26"/>
      <c r="AS294" s="26"/>
      <c r="AT294" s="26"/>
      <c r="AU294" s="26"/>
      <c r="AV294" s="26"/>
      <c r="AW294" s="26"/>
    </row>
    <row r="295" spans="1:49" x14ac:dyDescent="0.25">
      <c r="B295" s="26"/>
      <c r="C295" s="26"/>
      <c r="D295" s="26"/>
      <c r="E295" s="26"/>
      <c r="F295" s="26"/>
      <c r="G295" s="26"/>
      <c r="H295" s="26"/>
      <c r="I295" s="26"/>
      <c r="J295" s="26"/>
      <c r="K295" s="26"/>
      <c r="L295" s="26"/>
      <c r="M295" s="26"/>
      <c r="N295" s="26"/>
      <c r="O295" s="26"/>
      <c r="P295" s="26"/>
      <c r="Q295" s="26"/>
      <c r="R295" s="26"/>
      <c r="S295" s="26"/>
      <c r="T295" s="26"/>
      <c r="U295" s="26"/>
      <c r="W295" s="26"/>
      <c r="X295" s="26"/>
      <c r="Y295" s="26"/>
      <c r="Z295" s="26"/>
      <c r="AA295" s="26"/>
      <c r="AB295" s="26"/>
      <c r="AD295" s="26"/>
      <c r="AE295" s="26"/>
      <c r="AF295" s="26"/>
      <c r="AG295" s="26"/>
      <c r="AH295" s="26"/>
      <c r="AI295" s="26"/>
      <c r="AK295" s="26"/>
      <c r="AL295" s="26"/>
      <c r="AM295" s="26"/>
      <c r="AN295" s="26"/>
      <c r="AO295" s="26"/>
      <c r="AP295" s="26"/>
      <c r="AR295" s="26"/>
      <c r="AS295" s="26"/>
      <c r="AT295" s="26"/>
      <c r="AU295" s="26"/>
      <c r="AV295" s="26"/>
      <c r="AW295" s="26"/>
    </row>
    <row r="296" spans="1:49" x14ac:dyDescent="0.25">
      <c r="A296" s="17" t="s">
        <v>50</v>
      </c>
      <c r="B296" s="294"/>
      <c r="C296" s="294"/>
      <c r="D296" s="294"/>
      <c r="E296" s="294"/>
      <c r="F296" s="294"/>
      <c r="G296" s="294"/>
      <c r="H296" s="295"/>
      <c r="I296" s="294"/>
      <c r="J296" s="294"/>
      <c r="K296" s="294"/>
      <c r="L296" s="294"/>
      <c r="M296" s="294"/>
      <c r="N296" s="294"/>
      <c r="O296" s="201"/>
      <c r="P296" s="294"/>
      <c r="Q296" s="294"/>
      <c r="R296" s="294"/>
      <c r="S296" s="294"/>
      <c r="T296" s="294"/>
      <c r="U296" s="294"/>
      <c r="W296" s="294"/>
      <c r="X296" s="294"/>
      <c r="Y296" s="294"/>
      <c r="Z296" s="294"/>
      <c r="AA296" s="294"/>
      <c r="AB296" s="294"/>
      <c r="AD296" s="294"/>
      <c r="AE296" s="294"/>
      <c r="AF296" s="294"/>
      <c r="AG296" s="294"/>
      <c r="AH296" s="294"/>
      <c r="AI296" s="294"/>
      <c r="AK296" s="294"/>
      <c r="AL296" s="294"/>
      <c r="AM296" s="294"/>
      <c r="AN296" s="294"/>
      <c r="AO296" s="294"/>
      <c r="AP296" s="294"/>
      <c r="AR296" s="294"/>
      <c r="AS296" s="294"/>
      <c r="AT296" s="294"/>
      <c r="AU296" s="294"/>
      <c r="AV296" s="294"/>
      <c r="AW296" s="294"/>
    </row>
    <row r="297" spans="1:49" x14ac:dyDescent="0.25">
      <c r="A297" s="3" t="s">
        <v>48</v>
      </c>
      <c r="B297" s="20">
        <f>SUMPRODUCT(B$9:B$229,Nutrients!$DA$8:$DA$228)/2000</f>
        <v>0.24855419080599378</v>
      </c>
      <c r="C297" s="20">
        <f>SUMPRODUCT(C$9:C$229,Nutrients!$DA$8:$DA$228)/2000</f>
        <v>0.24598837503388346</v>
      </c>
      <c r="D297" s="20">
        <f>SUMPRODUCT(D$9:D$229,Nutrients!$DA$8:$DA$228)/2000</f>
        <v>0.24037497861787219</v>
      </c>
      <c r="E297" s="20">
        <f>SUMPRODUCT(E$9:E$229,Nutrients!$DA$8:$DA$228)/2000</f>
        <v>0.23743614434297908</v>
      </c>
      <c r="F297" s="20">
        <f>SUMPRODUCT(F$9:F$229,Nutrients!$DA$8:$DA$228)/2000</f>
        <v>0.23330638337529597</v>
      </c>
      <c r="G297" s="20">
        <f>SUMPRODUCT(G$9:G$229,Nutrients!$DA$8:$DA$228)/2000</f>
        <v>0.2281455840399364</v>
      </c>
      <c r="H297" s="192"/>
      <c r="I297" s="20">
        <f>SUMPRODUCT(I$9:I$229,Nutrients!$DA$8:$DA$228)/2000</f>
        <v>0.29595419080599378</v>
      </c>
      <c r="J297" s="20">
        <f>SUMPRODUCT(J$9:J$229,Nutrients!$DA$8:$DA$228)/2000</f>
        <v>0.29338837503388343</v>
      </c>
      <c r="K297" s="20">
        <f>SUMPRODUCT(K$9:K$229,Nutrients!$DA$8:$DA$228)/2000</f>
        <v>0.28777497861787221</v>
      </c>
      <c r="L297" s="20">
        <f>SUMPRODUCT(L$9:L$229,Nutrients!$DA$8:$DA$228)/2000</f>
        <v>0.2848361443429791</v>
      </c>
      <c r="M297" s="20">
        <f>SUMPRODUCT(M$9:M$229,Nutrients!$DA$8:$DA$228)/2000</f>
        <v>0.28070638337529596</v>
      </c>
      <c r="N297" s="20">
        <f>SUMPRODUCT(N$9:N$229,Nutrients!$DA$8:$DA$228)/2000</f>
        <v>0.2755455840399364</v>
      </c>
      <c r="O297" s="237"/>
      <c r="P297" s="20">
        <f>SUMPRODUCT(P$9:P$229,Nutrients!$DA$8:$DA$228)/2000</f>
        <v>0.34335419080599378</v>
      </c>
      <c r="Q297" s="20">
        <f>SUMPRODUCT(Q$9:Q$229,Nutrients!$DA$8:$DA$228)/2000</f>
        <v>0.34078837503388343</v>
      </c>
      <c r="R297" s="20">
        <f>SUMPRODUCT(R$9:R$229,Nutrients!$DA$8:$DA$228)/2000</f>
        <v>0.33517497861787215</v>
      </c>
      <c r="S297" s="20">
        <f>SUMPRODUCT(S$9:S$229,Nutrients!$DA$8:$DA$228)/2000</f>
        <v>0.33223614434297905</v>
      </c>
      <c r="T297" s="20">
        <f>SUMPRODUCT(T$9:T$229,Nutrients!$DA$8:$DA$228)/2000</f>
        <v>0.32810638337529602</v>
      </c>
      <c r="U297" s="20">
        <f>SUMPRODUCT(U$9:U$229,Nutrients!$DA$8:$DA$228)/2000</f>
        <v>0.3229455840399364</v>
      </c>
      <c r="W297" s="20">
        <f>SUMPRODUCT(W$9:W$229,Nutrients!$DA$8:$DA$228)/2000</f>
        <v>0.39075419080599372</v>
      </c>
      <c r="X297" s="20">
        <f>SUMPRODUCT(X$9:X$229,Nutrients!$DA$8:$DA$228)/2000</f>
        <v>0.38818837503388348</v>
      </c>
      <c r="Y297" s="20">
        <f>SUMPRODUCT(Y$9:Y$229,Nutrients!$DA$8:$DA$228)/2000</f>
        <v>0.38257497861787215</v>
      </c>
      <c r="Z297" s="20">
        <f>SUMPRODUCT(Z$9:Z$229,Nutrients!$DA$8:$DA$228)/2000</f>
        <v>0.37963614434297904</v>
      </c>
      <c r="AA297" s="20">
        <f>SUMPRODUCT(AA$9:AA$229,Nutrients!$DA$8:$DA$228)/2000</f>
        <v>0.37550638337529596</v>
      </c>
      <c r="AB297" s="20">
        <f>SUMPRODUCT(AB$9:AB$229,Nutrients!$DA$8:$DA$228)/2000</f>
        <v>0.37034558403993639</v>
      </c>
      <c r="AD297" s="20">
        <f>SUMPRODUCT(AD$9:AD$229,Nutrients!$DA$8:$DA$228)/2000</f>
        <v>0.43815419080599377</v>
      </c>
      <c r="AE297" s="20">
        <f>SUMPRODUCT(AE$9:AE$229,Nutrients!$DA$8:$DA$228)/2000</f>
        <v>0.43558837503388342</v>
      </c>
      <c r="AF297" s="20">
        <f>SUMPRODUCT(AF$9:AF$229,Nutrients!$DA$8:$DA$228)/2000</f>
        <v>0.42997497861787221</v>
      </c>
      <c r="AG297" s="20">
        <f>SUMPRODUCT(AG$9:AG$229,Nutrients!$DA$8:$DA$228)/2000</f>
        <v>0.4270361443429791</v>
      </c>
      <c r="AH297" s="20">
        <f>SUMPRODUCT(AH$9:AH$229,Nutrients!$DA$8:$DA$228)/2000</f>
        <v>0.42290638337529601</v>
      </c>
      <c r="AI297" s="20">
        <f>SUMPRODUCT(AI$9:AI$229,Nutrients!$DA$8:$DA$228)/2000</f>
        <v>0.41774558403993639</v>
      </c>
      <c r="AK297" s="20">
        <f>SUMPRODUCT(AK$9:AK$229,Nutrients!$DA$8:$DA$228)/2000</f>
        <v>0.48555419080599382</v>
      </c>
      <c r="AL297" s="20">
        <f>SUMPRODUCT(AL$9:AL$229,Nutrients!$DA$8:$DA$228)/2000</f>
        <v>0.48298837503388348</v>
      </c>
      <c r="AM297" s="20">
        <f>SUMPRODUCT(AM$9:AM$229,Nutrients!$DA$8:$DA$228)/2000</f>
        <v>0.4773749786178722</v>
      </c>
      <c r="AN297" s="20">
        <f>SUMPRODUCT(AN$9:AN$229,Nutrients!$DA$8:$DA$228)/2000</f>
        <v>0.47443614434297909</v>
      </c>
      <c r="AO297" s="20">
        <f>SUMPRODUCT(AO$9:AO$229,Nutrients!$DA$8:$DA$228)/2000</f>
        <v>0.47030638337529601</v>
      </c>
      <c r="AP297" s="20">
        <f>SUMPRODUCT(AP$9:AP$229,Nutrients!$DA$8:$DA$228)/2000</f>
        <v>0.46514558403993644</v>
      </c>
      <c r="AR297" s="20">
        <f>SUMPRODUCT(AR$9:AR$229,Nutrients!$DA$8:$DA$228)/2000</f>
        <v>0.53295419080599382</v>
      </c>
      <c r="AS297" s="20">
        <f>SUMPRODUCT(AS$9:AS$229,Nutrients!$DA$8:$DA$228)/2000</f>
        <v>0.53038837503388359</v>
      </c>
      <c r="AT297" s="20">
        <f>SUMPRODUCT(AT$9:AT$229,Nutrients!$DA$8:$DA$228)/2000</f>
        <v>0.52477497861787226</v>
      </c>
      <c r="AU297" s="20">
        <f>SUMPRODUCT(AU$9:AU$229,Nutrients!$DA$8:$DA$228)/2000</f>
        <v>0.5218361443429792</v>
      </c>
      <c r="AV297" s="20">
        <f>SUMPRODUCT(AV$9:AV$229,Nutrients!$DA$8:$DA$228)/2000</f>
        <v>0.51770638337529606</v>
      </c>
      <c r="AW297" s="20">
        <f>SUMPRODUCT(AW$9:AW$229,Nutrients!$DA$8:$DA$228)/2000</f>
        <v>0.51254558403993644</v>
      </c>
    </row>
    <row r="298" spans="1:49" x14ac:dyDescent="0.25">
      <c r="A298" s="34" t="s">
        <v>391</v>
      </c>
      <c r="B298" s="23">
        <f t="shared" ref="B298:G298" si="154">IF(B$5="","",B245/(B246*2.2046)*10000)</f>
        <v>4.0434845516419928</v>
      </c>
      <c r="C298" s="23">
        <f t="shared" si="154"/>
        <v>3.5693197159555714</v>
      </c>
      <c r="D298" s="23">
        <f t="shared" si="154"/>
        <v>3.1528272192975133</v>
      </c>
      <c r="E298" s="23">
        <f t="shared" si="154"/>
        <v>2.8088586731646132</v>
      </c>
      <c r="F298" s="23">
        <f t="shared" si="154"/>
        <v>2.5736429013234892</v>
      </c>
      <c r="G298" s="23">
        <f t="shared" si="154"/>
        <v>2.4458370650662657</v>
      </c>
      <c r="H298" s="227"/>
      <c r="I298" s="23">
        <f t="shared" ref="I298:N298" si="155">IF(I$5="","",I245/(I246*2.2046)*10000)</f>
        <v>4.0271406360078883</v>
      </c>
      <c r="J298" s="23">
        <f t="shared" si="155"/>
        <v>3.5591326910626186</v>
      </c>
      <c r="K298" s="23">
        <f t="shared" si="155"/>
        <v>3.1476655759679191</v>
      </c>
      <c r="L298" s="23">
        <f t="shared" si="155"/>
        <v>2.8065813543979083</v>
      </c>
      <c r="M298" s="23">
        <f t="shared" si="155"/>
        <v>2.5719151300986591</v>
      </c>
      <c r="N298" s="23">
        <f t="shared" si="155"/>
        <v>2.445610916540585</v>
      </c>
      <c r="O298" s="198"/>
      <c r="P298" s="23">
        <f t="shared" ref="P298:U298" si="156">IF(P$5="","",P245/(P246*2.2046)*10000)</f>
        <v>4.0173276330441174</v>
      </c>
      <c r="Q298" s="23">
        <f t="shared" si="156"/>
        <v>3.5533707848128109</v>
      </c>
      <c r="R298" s="23">
        <f t="shared" si="156"/>
        <v>3.146039731372555</v>
      </c>
      <c r="S298" s="23">
        <f t="shared" si="156"/>
        <v>2.8042398766879515</v>
      </c>
      <c r="T298" s="23">
        <f t="shared" si="156"/>
        <v>2.5725341953128291</v>
      </c>
      <c r="U298" s="23">
        <f t="shared" si="156"/>
        <v>2.4475154461963284</v>
      </c>
      <c r="W298" s="23">
        <f t="shared" ref="W298:AB298" si="157">IF(W$5="","",W245/(W246*2.2046)*10000)</f>
        <v>4.0074901404035028</v>
      </c>
      <c r="X298" s="23">
        <f t="shared" si="157"/>
        <v>3.5476091242178702</v>
      </c>
      <c r="Y298" s="23">
        <f t="shared" si="157"/>
        <v>3.1397711964568376</v>
      </c>
      <c r="Z298" s="23">
        <f t="shared" si="157"/>
        <v>2.8029693822445583</v>
      </c>
      <c r="AA298" s="23">
        <f t="shared" si="157"/>
        <v>2.5733656697428344</v>
      </c>
      <c r="AB298" s="23">
        <f t="shared" si="157"/>
        <v>2.4493540361035251</v>
      </c>
      <c r="AD298" s="23">
        <f t="shared" ref="AD298:AI298" si="158">IF(AD$5="","",AD245/(AD246*2.2046)*10000)</f>
        <v>3.9973739997934223</v>
      </c>
      <c r="AE298" s="23">
        <f t="shared" si="158"/>
        <v>3.5373999072847315</v>
      </c>
      <c r="AF298" s="23">
        <f t="shared" si="158"/>
        <v>3.1346802614833331</v>
      </c>
      <c r="AG298" s="23">
        <f t="shared" si="158"/>
        <v>2.8015258268850221</v>
      </c>
      <c r="AH298" s="23">
        <f t="shared" si="158"/>
        <v>2.5739180471005292</v>
      </c>
      <c r="AI298" s="23">
        <f t="shared" si="158"/>
        <v>2.4512745045549225</v>
      </c>
      <c r="AK298" s="23">
        <f t="shared" ref="AK298:AP298" si="159">IF(AK$5="","",AK245/(AK246*2.2046)*10000)</f>
        <v>4.0053826603255205</v>
      </c>
      <c r="AL298" s="23">
        <f t="shared" si="159"/>
        <v>3.5284976325215869</v>
      </c>
      <c r="AM298" s="23">
        <f t="shared" si="159"/>
        <v>3.1298595857027851</v>
      </c>
      <c r="AN298" s="23">
        <f t="shared" si="159"/>
        <v>2.7999113454395377</v>
      </c>
      <c r="AO298" s="23">
        <f t="shared" si="159"/>
        <v>2.5745594546283517</v>
      </c>
      <c r="AP298" s="23">
        <f t="shared" si="159"/>
        <v>2.4531642516329306</v>
      </c>
      <c r="AR298" s="23">
        <f t="shared" ref="AR298:AW298" si="160">IF(AR$5="","",AR245/(AR246*2.2046)*10000)</f>
        <v>3.9884878297030588</v>
      </c>
      <c r="AS298" s="23">
        <f t="shared" si="160"/>
        <v>3.5196966993008902</v>
      </c>
      <c r="AT298" s="23">
        <f t="shared" si="160"/>
        <v>3.1259689793167209</v>
      </c>
      <c r="AU298" s="23">
        <f t="shared" si="160"/>
        <v>2.7987690738800883</v>
      </c>
      <c r="AV298" s="23">
        <f t="shared" si="160"/>
        <v>2.5752311596139394</v>
      </c>
      <c r="AW298" s="23">
        <f t="shared" si="160"/>
        <v>2.4550669232537046</v>
      </c>
    </row>
    <row r="299" spans="1:49" x14ac:dyDescent="0.25">
      <c r="A299" s="34" t="s">
        <v>392</v>
      </c>
      <c r="B299" s="23">
        <f t="shared" ref="B299:G299" si="161">IF(B$5="","",B236/(B246*2.2046)*10000)</f>
        <v>3.6063972315389758</v>
      </c>
      <c r="C299" s="23">
        <f t="shared" si="161"/>
        <v>3.1769527308876992</v>
      </c>
      <c r="D299" s="23">
        <f t="shared" si="161"/>
        <v>2.7987491648675547</v>
      </c>
      <c r="E299" s="23">
        <f t="shared" si="161"/>
        <v>2.4869234391841561</v>
      </c>
      <c r="F299" s="23">
        <f t="shared" si="161"/>
        <v>2.2730285254980038</v>
      </c>
      <c r="G299" s="23">
        <f t="shared" si="161"/>
        <v>2.1560010424593594</v>
      </c>
      <c r="H299" s="227"/>
      <c r="I299" s="23">
        <f t="shared" ref="I299:N299" si="162">IF(I$5="","",I236/(I246*2.2046)*10000)</f>
        <v>3.568521744015936</v>
      </c>
      <c r="J299" s="23">
        <f t="shared" si="162"/>
        <v>3.1447283706055846</v>
      </c>
      <c r="K299" s="23">
        <f t="shared" si="162"/>
        <v>2.7711468540925082</v>
      </c>
      <c r="L299" s="23">
        <f t="shared" si="162"/>
        <v>2.461986773506573</v>
      </c>
      <c r="M299" s="23">
        <f t="shared" si="162"/>
        <v>2.2486463465723441</v>
      </c>
      <c r="N299" s="23">
        <f t="shared" si="162"/>
        <v>2.1329971743401024</v>
      </c>
      <c r="O299" s="198"/>
      <c r="P299" s="23">
        <f t="shared" ref="P299:U299" si="163">IF(P$5="","",P236/(P246*2.2046)*10000)</f>
        <v>3.5366555161131203</v>
      </c>
      <c r="Q299" s="23">
        <f t="shared" si="163"/>
        <v>3.1166087857679101</v>
      </c>
      <c r="R299" s="23">
        <f t="shared" si="163"/>
        <v>2.7468417387226545</v>
      </c>
      <c r="S299" s="23">
        <f t="shared" si="163"/>
        <v>2.4371084229149242</v>
      </c>
      <c r="T299" s="23">
        <f t="shared" si="163"/>
        <v>2.2265107357734371</v>
      </c>
      <c r="U299" s="23">
        <f t="shared" si="163"/>
        <v>2.1120517151974565</v>
      </c>
      <c r="W299" s="23">
        <f t="shared" ref="W299:AB299" si="164">IF(W$5="","",W236/(W246*2.2046)*10000)</f>
        <v>3.5048704216877544</v>
      </c>
      <c r="X299" s="23">
        <f t="shared" si="164"/>
        <v>3.0885903927607021</v>
      </c>
      <c r="Y299" s="23">
        <f t="shared" si="164"/>
        <v>2.7184440522435178</v>
      </c>
      <c r="Z299" s="23">
        <f t="shared" si="164"/>
        <v>2.4133034328473397</v>
      </c>
      <c r="AA299" s="23">
        <f t="shared" si="164"/>
        <v>2.2046733160336278</v>
      </c>
      <c r="AB299" s="23">
        <f t="shared" si="164"/>
        <v>2.0911482909636665</v>
      </c>
      <c r="AD299" s="23">
        <f t="shared" ref="AD299:AI299" si="165">IF(AD$5="","",AD236/(AD246*2.2046)*10000)</f>
        <v>3.4729368542905035</v>
      </c>
      <c r="AE299" s="23">
        <f t="shared" si="165"/>
        <v>3.0566563930072048</v>
      </c>
      <c r="AF299" s="23">
        <f t="shared" si="165"/>
        <v>2.6912088386894202</v>
      </c>
      <c r="AG299" s="23">
        <f t="shared" si="165"/>
        <v>2.3894594708947174</v>
      </c>
      <c r="AH299" s="23">
        <f t="shared" si="165"/>
        <v>2.1826721884408915</v>
      </c>
      <c r="AI299" s="23">
        <f t="shared" si="165"/>
        <v>2.0703947833997134</v>
      </c>
      <c r="AK299" s="23">
        <f t="shared" ref="AK299:AP299" si="166">IF(AK$5="","",AK236/(AK246*2.2046)*10000)</f>
        <v>3.4574765616637064</v>
      </c>
      <c r="AL299" s="23">
        <f t="shared" si="166"/>
        <v>3.0260050544100583</v>
      </c>
      <c r="AM299" s="23">
        <f t="shared" si="166"/>
        <v>2.6643441184453724</v>
      </c>
      <c r="AN299" s="23">
        <f t="shared" si="166"/>
        <v>2.3655427478636613</v>
      </c>
      <c r="AO299" s="23">
        <f t="shared" si="166"/>
        <v>2.1608155685985819</v>
      </c>
      <c r="AP299" s="23">
        <f t="shared" si="166"/>
        <v>2.0496773482348085</v>
      </c>
      <c r="AR299" s="23">
        <f t="shared" ref="AR299:AW299" si="167">IF(AR$5="","",AR236/(AR246*2.2046)*10000)</f>
        <v>3.4196236800367767</v>
      </c>
      <c r="AS299" s="23">
        <f t="shared" si="167"/>
        <v>2.9955459451900488</v>
      </c>
      <c r="AT299" s="23">
        <f t="shared" si="167"/>
        <v>2.6384214173911289</v>
      </c>
      <c r="AU299" s="23">
        <f t="shared" si="167"/>
        <v>2.3421079623562377</v>
      </c>
      <c r="AV299" s="23">
        <f t="shared" si="167"/>
        <v>2.1390479597077561</v>
      </c>
      <c r="AW299" s="23">
        <f t="shared" si="167"/>
        <v>2.0290329090782051</v>
      </c>
    </row>
    <row r="300" spans="1:49" x14ac:dyDescent="0.25">
      <c r="A300" s="34" t="s">
        <v>151</v>
      </c>
      <c r="B300" s="23">
        <f t="shared" ref="B300:G300" si="168">B245/B253*100</f>
        <v>6.4370478420696102</v>
      </c>
      <c r="C300" s="23">
        <f t="shared" si="168"/>
        <v>6.3776088080946991</v>
      </c>
      <c r="D300" s="23">
        <f t="shared" si="168"/>
        <v>6.2955955211424843</v>
      </c>
      <c r="E300" s="23">
        <f t="shared" si="168"/>
        <v>6.2166350165421349</v>
      </c>
      <c r="F300" s="23">
        <f t="shared" si="168"/>
        <v>6.1431562205295167</v>
      </c>
      <c r="G300" s="23">
        <f t="shared" si="168"/>
        <v>6.0778386851000716</v>
      </c>
      <c r="H300" s="227"/>
      <c r="I300" s="23">
        <f t="shared" ref="I300:N300" si="169">I245/I253*100</f>
        <v>6.3613201895694003</v>
      </c>
      <c r="J300" s="23">
        <f t="shared" si="169"/>
        <v>6.2944363705319484</v>
      </c>
      <c r="K300" s="23">
        <f t="shared" si="169"/>
        <v>6.2048511931365748</v>
      </c>
      <c r="L300" s="23">
        <f t="shared" si="169"/>
        <v>6.1180516282727391</v>
      </c>
      <c r="M300" s="23">
        <f t="shared" si="169"/>
        <v>6.0386705334628612</v>
      </c>
      <c r="N300" s="23">
        <f t="shared" si="169"/>
        <v>5.9707043258689998</v>
      </c>
      <c r="O300" s="198"/>
      <c r="P300" s="23">
        <f t="shared" ref="P300:U300" si="170">P245/P253*100</f>
        <v>6.2877555911951264</v>
      </c>
      <c r="Q300" s="23">
        <f t="shared" si="170"/>
        <v>6.2136953289551</v>
      </c>
      <c r="R300" s="23">
        <f t="shared" si="170"/>
        <v>6.1174174812790856</v>
      </c>
      <c r="S300" s="23">
        <f t="shared" si="170"/>
        <v>6.0229434291242114</v>
      </c>
      <c r="T300" s="23">
        <f t="shared" si="170"/>
        <v>5.9369179672319001</v>
      </c>
      <c r="U300" s="23">
        <f t="shared" si="170"/>
        <v>5.8662423506985215</v>
      </c>
      <c r="W300" s="23">
        <f t="shared" ref="W300:AB300" si="171">W245/W253*100</f>
        <v>6.215824500458675</v>
      </c>
      <c r="X300" s="23">
        <f t="shared" si="171"/>
        <v>6.1351912826698207</v>
      </c>
      <c r="Y300" s="23">
        <f t="shared" si="171"/>
        <v>6.0315172554482519</v>
      </c>
      <c r="Z300" s="23">
        <f t="shared" si="171"/>
        <v>5.9307064950822896</v>
      </c>
      <c r="AA300" s="23">
        <f t="shared" si="171"/>
        <v>5.8385605737600788</v>
      </c>
      <c r="AB300" s="23">
        <f t="shared" si="171"/>
        <v>5.7661291823857903</v>
      </c>
      <c r="AD300" s="23">
        <f t="shared" ref="AD300:AI300" si="172">AD245/AD253*100</f>
        <v>6.1454500580958484</v>
      </c>
      <c r="AE300" s="23">
        <f t="shared" si="172"/>
        <v>6.0578623711016304</v>
      </c>
      <c r="AF300" s="23">
        <f t="shared" si="172"/>
        <v>5.9486216150848366</v>
      </c>
      <c r="AG300" s="23">
        <f t="shared" si="172"/>
        <v>5.8399701548793512</v>
      </c>
      <c r="AH300" s="23">
        <f t="shared" si="172"/>
        <v>5.7443954969125954</v>
      </c>
      <c r="AI300" s="23">
        <f t="shared" si="172"/>
        <v>5.6706057859962353</v>
      </c>
      <c r="AK300" s="23">
        <f t="shared" ref="AK300:AP300" si="173">AK245/AK253*100</f>
        <v>6.0797117772838067</v>
      </c>
      <c r="AL300" s="23">
        <f t="shared" si="173"/>
        <v>5.9826280100744187</v>
      </c>
      <c r="AM300" s="23">
        <f t="shared" si="173"/>
        <v>5.8660368980773914</v>
      </c>
      <c r="AN300" s="23">
        <f t="shared" si="173"/>
        <v>5.7526680838157604</v>
      </c>
      <c r="AO300" s="23">
        <f t="shared" si="173"/>
        <v>5.6536665985135492</v>
      </c>
      <c r="AP300" s="23">
        <f t="shared" si="173"/>
        <v>5.5784459076942436</v>
      </c>
      <c r="AR300" s="23">
        <f t="shared" ref="AR300:AW300" si="174">AR245/AR253*100</f>
        <v>6.0113331085290902</v>
      </c>
      <c r="AS300" s="23">
        <f t="shared" si="174"/>
        <v>5.9092195025030776</v>
      </c>
      <c r="AT300" s="23">
        <f t="shared" si="174"/>
        <v>5.7861009714981027</v>
      </c>
      <c r="AU300" s="23">
        <f t="shared" si="174"/>
        <v>5.668397853973639</v>
      </c>
      <c r="AV300" s="23">
        <f t="shared" si="174"/>
        <v>5.5661767727775286</v>
      </c>
      <c r="AW300" s="23">
        <f t="shared" si="174"/>
        <v>5.4897496801072885</v>
      </c>
    </row>
    <row r="301" spans="1:49" x14ac:dyDescent="0.25">
      <c r="A301" t="s">
        <v>56</v>
      </c>
      <c r="B301" s="22">
        <f>(SUMPRODUCT(B$9:B$229,Nutrients!$K$8:$K$228)+(IF($A$7=Nutrients!$B$8,Nutrients!$K$8,Nutrients!$K$9)*B$7)+(((IF($A$8=Nutrients!$B$79,Nutrients!$K$79,(IF($A$8=Nutrients!$B$77,Nutrients!$K$77,Nutrients!$K$78)))))*B$8))/2000</f>
        <v>2.7726851771066428</v>
      </c>
      <c r="C301" s="22">
        <f>(SUMPRODUCT(C$9:C$229,Nutrients!$K$8:$K$228)+(IF($A$7=Nutrients!$B$8,Nutrients!$K$8,Nutrients!$K$9)*C$7)+(((IF($A$8=Nutrients!$B$79,Nutrients!$K$79,(IF($A$8=Nutrients!$B$77,Nutrients!$K$77,Nutrients!$K$78)))))*C$8))/2000</f>
        <v>2.8895248185748268</v>
      </c>
      <c r="D301" s="22">
        <f>(SUMPRODUCT(D$9:D$229,Nutrients!$K$8:$K$228)+(IF($A$7=Nutrients!$B$8,Nutrients!$K$8,Nutrients!$K$9)*D$7)+(((IF($A$8=Nutrients!$B$79,Nutrients!$K$79,(IF($A$8=Nutrients!$B$77,Nutrients!$K$77,Nutrients!$K$78)))))*D$8))/2000</f>
        <v>2.9911114387020761</v>
      </c>
      <c r="E301" s="22">
        <f>(SUMPRODUCT(E$9:E$229,Nutrients!$K$8:$K$228)+(IF($A$7=Nutrients!$B$8,Nutrients!$K$8,Nutrients!$K$9)*E$7)+(((IF($A$8=Nutrients!$B$79,Nutrients!$K$79,(IF($A$8=Nutrients!$B$77,Nutrients!$K$77,Nutrients!$K$78)))))*E$8))/2000</f>
        <v>3.0762951752970258</v>
      </c>
      <c r="F301" s="22">
        <f>(SUMPRODUCT(F$9:F$229,Nutrients!$K$8:$K$228)+(IF($A$7=Nutrients!$B$8,Nutrients!$K$8,Nutrients!$K$9)*F$7)+(((IF($A$8=Nutrients!$B$79,Nutrients!$K$79,(IF($A$8=Nutrients!$B$77,Nutrients!$K$77,Nutrients!$K$78)))))*F$8))/2000</f>
        <v>3.1350305214620882</v>
      </c>
      <c r="G301" s="22">
        <f>(SUMPRODUCT(G$9:G$229,Nutrients!$K$8:$K$228)+(IF($A$7=Nutrients!$B$8,Nutrients!$K$8,Nutrients!$K$9)*G$7)+(((IF($A$8=Nutrients!$B$79,Nutrients!$K$79,(IF($A$8=Nutrients!$B$77,Nutrients!$K$77,Nutrients!$K$78)))))*G$8))/2000</f>
        <v>3.1635989425624271</v>
      </c>
      <c r="H301" s="228"/>
      <c r="I301" s="22">
        <f>(SUMPRODUCT(I$9:I$229,Nutrients!$K$8:$K$228)+(IF($A$7=Nutrients!$B$8,Nutrients!$K$8,Nutrients!$K$9)*I$7)+(((IF($A$8=Nutrients!$B$79,Nutrients!$K$79,(IF($A$8=Nutrients!$B$77,Nutrients!$K$77,Nutrients!$K$78)))))*I$8))/2000</f>
        <v>3.2374664983793715</v>
      </c>
      <c r="J301" s="22">
        <f>(SUMPRODUCT(J$9:J$229,Nutrients!$K$8:$K$228)+(IF($A$7=Nutrients!$B$8,Nutrients!$K$8,Nutrients!$K$9)*J$7)+(((IF($A$8=Nutrients!$B$79,Nutrients!$K$79,(IF($A$8=Nutrients!$B$77,Nutrients!$K$77,Nutrients!$K$78)))))*J$8))/2000</f>
        <v>3.3530694762761306</v>
      </c>
      <c r="K301" s="22">
        <f>(SUMPRODUCT(K$9:K$229,Nutrients!$K$8:$K$228)+(IF($A$7=Nutrients!$B$8,Nutrients!$K$8,Nutrients!$K$9)*K$7)+(((IF($A$8=Nutrients!$B$79,Nutrients!$K$79,(IF($A$8=Nutrients!$B$77,Nutrients!$K$77,Nutrients!$K$78)))))*K$8))/2000</f>
        <v>3.4536423514779937</v>
      </c>
      <c r="L301" s="22">
        <f>(SUMPRODUCT(L$9:L$229,Nutrients!$K$8:$K$228)+(IF($A$7=Nutrients!$B$8,Nutrients!$K$8,Nutrients!$K$9)*L$7)+(((IF($A$8=Nutrients!$B$79,Nutrients!$K$79,(IF($A$8=Nutrients!$B$77,Nutrients!$K$77,Nutrients!$K$78)))))*L$8))/2000</f>
        <v>3.5389416573870505</v>
      </c>
      <c r="M301" s="22">
        <f>(SUMPRODUCT(M$9:M$229,Nutrients!$K$8:$K$228)+(IF($A$7=Nutrients!$B$8,Nutrients!$K$8,Nutrients!$K$9)*M$7)+(((IF($A$8=Nutrients!$B$79,Nutrients!$K$79,(IF($A$8=Nutrients!$B$77,Nutrients!$K$77,Nutrients!$K$78)))))*M$8))/2000</f>
        <v>3.5974806488766933</v>
      </c>
      <c r="N301" s="22">
        <f>(SUMPRODUCT(N$9:N$229,Nutrients!$K$8:$K$228)+(IF($A$7=Nutrients!$B$8,Nutrients!$K$8,Nutrients!$K$9)*N$7)+(((IF($A$8=Nutrients!$B$79,Nutrients!$K$79,(IF($A$8=Nutrients!$B$77,Nutrients!$K$77,Nutrients!$K$78)))))*N$8))/2000</f>
        <v>3.6259256110763722</v>
      </c>
      <c r="O301" s="235"/>
      <c r="P301" s="22">
        <f>(SUMPRODUCT(P$9:P$229,Nutrients!$K$8:$K$228)+(IF($A$7=Nutrients!$B$8,Nutrients!$K$8,Nutrients!$K$9)*P$7)+(((IF($A$8=Nutrients!$B$79,Nutrients!$K$79,(IF($A$8=Nutrients!$B$77,Nutrients!$K$77,Nutrients!$K$78)))))*P$8))/2000</f>
        <v>3.7006160810761815</v>
      </c>
      <c r="Q301" s="22">
        <f>(SUMPRODUCT(Q$9:Q$229,Nutrients!$K$8:$K$228)+(IF($A$7=Nutrients!$B$8,Nutrients!$K$8,Nutrients!$K$9)*Q$7)+(((IF($A$8=Nutrients!$B$79,Nutrients!$K$79,(IF($A$8=Nutrients!$B$77,Nutrients!$K$77,Nutrients!$K$78)))))*Q$8))/2000</f>
        <v>3.8154925943751441</v>
      </c>
      <c r="R301" s="22">
        <f>(SUMPRODUCT(R$9:R$229,Nutrients!$K$8:$K$228)+(IF($A$7=Nutrients!$B$8,Nutrients!$K$8,Nutrients!$K$9)*R$7)+(((IF($A$8=Nutrients!$B$79,Nutrients!$K$79,(IF($A$8=Nutrients!$B$77,Nutrients!$K$77,Nutrients!$K$78)))))*R$8))/2000</f>
        <v>3.915317010458208</v>
      </c>
      <c r="S301" s="22">
        <f>(SUMPRODUCT(S$9:S$229,Nutrients!$K$8:$K$228)+(IF($A$7=Nutrients!$B$8,Nutrients!$K$8,Nutrients!$K$9)*S$7)+(((IF($A$8=Nutrients!$B$79,Nutrients!$K$79,(IF($A$8=Nutrients!$B$77,Nutrients!$K$77,Nutrients!$K$78)))))*S$8))/2000</f>
        <v>4.0009698565147911</v>
      </c>
      <c r="T301" s="22">
        <f>(SUMPRODUCT(T$9:T$229,Nutrients!$K$8:$K$228)+(IF($A$7=Nutrients!$B$8,Nutrients!$K$8,Nutrients!$K$9)*T$7)+(((IF($A$8=Nutrients!$B$79,Nutrients!$K$79,(IF($A$8=Nutrients!$B$77,Nutrients!$K$77,Nutrients!$K$78)))))*T$8))/2000</f>
        <v>4.058579879001841</v>
      </c>
      <c r="U301" s="22">
        <f>(SUMPRODUCT(U$9:U$229,Nutrients!$K$8:$K$228)+(IF($A$7=Nutrients!$B$8,Nutrients!$K$8,Nutrients!$K$9)*U$7)+(((IF($A$8=Nutrients!$B$79,Nutrients!$K$79,(IF($A$8=Nutrients!$B$77,Nutrients!$K$77,Nutrients!$K$78)))))*U$8))/2000</f>
        <v>4.0866853609897147</v>
      </c>
      <c r="W301" s="22">
        <f>(SUMPRODUCT(W$9:W$229,Nutrients!$K$8:$K$228)+(IF($A$7=Nutrients!$B$8,Nutrients!$K$8,Nutrients!$K$9)*W$7)+(((IF($A$8=Nutrients!$B$79,Nutrients!$K$79,(IF($A$8=Nutrients!$B$77,Nutrients!$K$77,Nutrients!$K$78)))))*W$8))/2000</f>
        <v>4.1638259379065925</v>
      </c>
      <c r="X301" s="22">
        <f>(SUMPRODUCT(X$9:X$229,Nutrients!$K$8:$K$228)+(IF($A$7=Nutrients!$B$8,Nutrients!$K$8,Nutrients!$K$9)*X$7)+(((IF($A$8=Nutrients!$B$79,Nutrients!$K$79,(IF($A$8=Nutrients!$B$77,Nutrients!$K$77,Nutrients!$K$78)))))*X$8))/2000</f>
        <v>4.2779921614239775</v>
      </c>
      <c r="Y301" s="22">
        <f>(SUMPRODUCT(Y$9:Y$229,Nutrients!$K$8:$K$228)+(IF($A$7=Nutrients!$B$8,Nutrients!$K$8,Nutrients!$K$9)*Y$7)+(((IF($A$8=Nutrients!$B$79,Nutrients!$K$79,(IF($A$8=Nutrients!$B$77,Nutrients!$K$77,Nutrients!$K$78)))))*Y$8))/2000</f>
        <v>4.3781378716224406</v>
      </c>
      <c r="Z301" s="22">
        <f>(SUMPRODUCT(Z$9:Z$229,Nutrients!$K$8:$K$228)+(IF($A$7=Nutrients!$B$8,Nutrients!$K$8,Nutrients!$K$9)*Z$7)+(((IF($A$8=Nutrients!$B$79,Nutrients!$K$79,(IF($A$8=Nutrients!$B$77,Nutrients!$K$77,Nutrients!$K$78)))))*Z$8))/2000</f>
        <v>4.4626857616151412</v>
      </c>
      <c r="AA301" s="22">
        <f>(SUMPRODUCT(AA$9:AA$229,Nutrients!$K$8:$K$228)+(IF($A$7=Nutrients!$B$8,Nutrients!$K$8,Nutrients!$K$9)*AA$7)+(((IF($A$8=Nutrients!$B$79,Nutrients!$K$79,(IF($A$8=Nutrients!$B$77,Nutrients!$K$77,Nutrients!$K$78)))))*AA$8))/2000</f>
        <v>4.5195898577894011</v>
      </c>
      <c r="AB301" s="22">
        <f>(SUMPRODUCT(AB$9:AB$229,Nutrients!$K$8:$K$228)+(IF($A$7=Nutrients!$B$8,Nutrients!$K$8,Nutrients!$K$9)*AB$7)+(((IF($A$8=Nutrients!$B$79,Nutrients!$K$79,(IF($A$8=Nutrients!$B$77,Nutrients!$K$77,Nutrients!$K$78)))))*AB$8))/2000</f>
        <v>4.546871160069168</v>
      </c>
      <c r="AD301" s="22">
        <f>(SUMPRODUCT(AD$9:AD$229,Nutrients!$K$8:$K$228)+(IF($A$7=Nutrients!$B$8,Nutrients!$K$8,Nutrients!$K$9)*AD$7)+(((IF($A$8=Nutrients!$B$79,Nutrients!$K$79,(IF($A$8=Nutrients!$B$77,Nutrients!$K$77,Nutrients!$K$78)))))*AD$8))/2000</f>
        <v>4.627085709763203</v>
      </c>
      <c r="AE301" s="22">
        <f>(SUMPRODUCT(AE$9:AE$229,Nutrients!$K$8:$K$228)+(IF($A$7=Nutrients!$B$8,Nutrients!$K$8,Nutrients!$K$9)*AE$7)+(((IF($A$8=Nutrients!$B$79,Nutrients!$K$79,(IF($A$8=Nutrients!$B$77,Nutrients!$K$77,Nutrients!$K$78)))))*AE$8))/2000</f>
        <v>4.7415256861098412</v>
      </c>
      <c r="AF301" s="22">
        <f>(SUMPRODUCT(AF$9:AF$229,Nutrients!$K$8:$K$228)+(IF($A$7=Nutrients!$B$8,Nutrients!$K$8,Nutrients!$K$9)*AF$7)+(((IF($A$8=Nutrients!$B$79,Nutrients!$K$79,(IF($A$8=Nutrients!$B$77,Nutrients!$K$77,Nutrients!$K$78)))))*AF$8))/2000</f>
        <v>4.8407029897753064</v>
      </c>
      <c r="AG301" s="22">
        <f>(SUMPRODUCT(AG$9:AG$229,Nutrients!$K$8:$K$228)+(IF($A$7=Nutrients!$B$8,Nutrients!$K$8,Nutrients!$K$9)*AG$7)+(((IF($A$8=Nutrients!$B$79,Nutrients!$K$79,(IF($A$8=Nutrients!$B$77,Nutrients!$K$77,Nutrients!$K$78)))))*AG$8))/2000</f>
        <v>4.9240709382079215</v>
      </c>
      <c r="AH301" s="22">
        <f>(SUMPRODUCT(AH$9:AH$229,Nutrients!$K$8:$K$228)+(IF($A$7=Nutrients!$B$8,Nutrients!$K$8,Nutrients!$K$9)*AH$7)+(((IF($A$8=Nutrients!$B$79,Nutrients!$K$79,(IF($A$8=Nutrients!$B$77,Nutrients!$K$77,Nutrients!$K$78)))))*AH$8))/2000</f>
        <v>4.9789179964524166</v>
      </c>
      <c r="AI301" s="22">
        <f>(SUMPRODUCT(AI$9:AI$229,Nutrients!$K$8:$K$228)+(IF($A$7=Nutrients!$B$8,Nutrients!$K$8,Nutrients!$K$9)*AI$7)+(((IF($A$8=Nutrients!$B$79,Nutrients!$K$79,(IF($A$8=Nutrients!$B$77,Nutrients!$K$77,Nutrients!$K$78)))))*AI$8))/2000</f>
        <v>5.0050642648761432</v>
      </c>
      <c r="AK301" s="22">
        <f>(SUMPRODUCT(AK$9:AK$229,Nutrients!$K$8:$K$228)+(IF($A$7=Nutrients!$B$8,Nutrients!$K$8,Nutrients!$K$9)*AK$7)+(((IF($A$8=Nutrients!$B$79,Nutrients!$K$79,(IF($A$8=Nutrients!$B$77,Nutrients!$K$77,Nutrients!$K$78)))))*AK$8))/2000</f>
        <v>5.0860537389361369</v>
      </c>
      <c r="AL301" s="22">
        <f>(SUMPRODUCT(AL$9:AL$229,Nutrients!$K$8:$K$228)+(IF($A$7=Nutrients!$B$8,Nutrients!$K$8,Nutrients!$K$9)*AL$7)+(((IF($A$8=Nutrients!$B$79,Nutrients!$K$79,(IF($A$8=Nutrients!$B$77,Nutrients!$K$77,Nutrients!$K$78)))))*AL$8))/2000</f>
        <v>5.2047883313982641</v>
      </c>
      <c r="AM301" s="22">
        <f>(SUMPRODUCT(AM$9:AM$229,Nutrients!$K$8:$K$228)+(IF($A$7=Nutrients!$B$8,Nutrients!$K$8,Nutrients!$K$9)*AM$7)+(((IF($A$8=Nutrients!$B$79,Nutrients!$K$79,(IF($A$8=Nutrients!$B$77,Nutrients!$K$77,Nutrients!$K$78)))))*AM$8))/2000</f>
        <v>5.302760381398449</v>
      </c>
      <c r="AN301" s="22">
        <f>(SUMPRODUCT(AN$9:AN$229,Nutrients!$K$8:$K$228)+(IF($A$7=Nutrients!$B$8,Nutrients!$K$8,Nutrients!$K$9)*AN$7)+(((IF($A$8=Nutrients!$B$79,Nutrients!$K$79,(IF($A$8=Nutrients!$B$77,Nutrients!$K$77,Nutrients!$K$78)))))*AN$8))/2000</f>
        <v>5.3842497904616557</v>
      </c>
      <c r="AO301" s="22">
        <f>(SUMPRODUCT(AO$9:AO$229,Nutrients!$K$8:$K$228)+(IF($A$7=Nutrients!$B$8,Nutrients!$K$8,Nutrients!$K$9)*AO$7)+(((IF($A$8=Nutrients!$B$79,Nutrients!$K$79,(IF($A$8=Nutrients!$B$77,Nutrients!$K$77,Nutrients!$K$78)))))*AO$8))/2000</f>
        <v>5.4373595954376208</v>
      </c>
      <c r="AP301" s="22">
        <f>(SUMPRODUCT(AP$9:AP$229,Nutrients!$K$8:$K$228)+(IF($A$7=Nutrients!$B$8,Nutrients!$K$8,Nutrients!$K$9)*AP$7)+(((IF($A$8=Nutrients!$B$79,Nutrients!$K$79,(IF($A$8=Nutrients!$B$77,Nutrients!$K$77,Nutrients!$K$78)))))*AP$8))/2000</f>
        <v>5.4632448552906725</v>
      </c>
      <c r="AR301" s="22">
        <f>(SUMPRODUCT(AR$9:AR$229,Nutrients!$K$8:$K$228)+(IF($A$7=Nutrients!$B$8,Nutrients!$K$8,Nutrients!$K$9)*AR$7)+(((IF($A$8=Nutrients!$B$79,Nutrients!$K$79,(IF($A$8=Nutrients!$B$77,Nutrients!$K$77,Nutrients!$K$78)))))*AR$8))/2000</f>
        <v>5.5509565191772641</v>
      </c>
      <c r="AS301" s="22">
        <f>(SUMPRODUCT(AS$9:AS$229,Nutrients!$K$8:$K$228)+(IF($A$7=Nutrients!$B$8,Nutrients!$K$8,Nutrients!$K$9)*AS$7)+(((IF($A$8=Nutrients!$B$79,Nutrients!$K$79,(IF($A$8=Nutrients!$B$77,Nutrients!$K$77,Nutrients!$K$78)))))*AS$8))/2000</f>
        <v>5.6680087399097658</v>
      </c>
      <c r="AT301" s="22">
        <f>(SUMPRODUCT(AT$9:AT$229,Nutrients!$K$8:$K$228)+(IF($A$7=Nutrients!$B$8,Nutrients!$K$8,Nutrients!$K$9)*AT$7)+(((IF($A$8=Nutrients!$B$79,Nutrients!$K$79,(IF($A$8=Nutrients!$B$77,Nutrients!$K$77,Nutrients!$K$78)))))*AT$8))/2000</f>
        <v>5.7645624352572282</v>
      </c>
      <c r="AU301" s="22">
        <f>(SUMPRODUCT(AU$9:AU$229,Nutrients!$K$8:$K$228)+(IF($A$7=Nutrients!$B$8,Nutrients!$K$8,Nutrients!$K$9)*AU$7)+(((IF($A$8=Nutrients!$B$79,Nutrients!$K$79,(IF($A$8=Nutrients!$B$77,Nutrients!$K$77,Nutrients!$K$78)))))*AU$8))/2000</f>
        <v>5.8430281595229596</v>
      </c>
      <c r="AV301" s="22">
        <f>(SUMPRODUCT(AV$9:AV$229,Nutrients!$K$8:$K$228)+(IF($A$7=Nutrients!$B$8,Nutrients!$K$8,Nutrients!$K$9)*AV$7)+(((IF($A$8=Nutrients!$B$79,Nutrients!$K$79,(IF($A$8=Nutrients!$B$77,Nutrients!$K$77,Nutrients!$K$78)))))*AV$8))/2000</f>
        <v>5.8958109757210444</v>
      </c>
      <c r="AW301" s="22">
        <f>(SUMPRODUCT(AW$9:AW$229,Nutrients!$K$8:$K$228)+(IF($A$7=Nutrients!$B$8,Nutrients!$K$8,Nutrients!$K$9)*AW$7)+(((IF($A$8=Nutrients!$B$79,Nutrients!$K$79,(IF($A$8=Nutrients!$B$77,Nutrients!$K$77,Nutrients!$K$78)))))*AW$8))/2000</f>
        <v>5.9214395561488971</v>
      </c>
    </row>
    <row r="302" spans="1:49" x14ac:dyDescent="0.25">
      <c r="A302" t="s">
        <v>53</v>
      </c>
      <c r="B302" s="22">
        <f>(SUMPRODUCT(B$9:B$229,Nutrients!$J$8:$J$228)+(IF($A$7=Nutrients!$B$8,Nutrients!$J$8,Nutrients!$J$9)*B$7)+(((IF($A$8=Nutrients!$B$79,Nutrients!$J$79,(IF($A$8=Nutrients!$B$77,Nutrients!$J$77,Nutrients!$J$78)))))*B$8))/2000</f>
        <v>2.513641643841301</v>
      </c>
      <c r="C302" s="22">
        <f>(SUMPRODUCT(C$9:C$229,Nutrients!$J$8:$J$228)+(IF($A$7=Nutrients!$B$8,Nutrients!$J$8,Nutrients!$J$9)*C$7)+(((IF($A$8=Nutrients!$B$79,Nutrients!$J$79,(IF($A$8=Nutrients!$B$77,Nutrients!$J$77,Nutrients!$J$78)))))*C$8))/2000</f>
        <v>2.4130399696967721</v>
      </c>
      <c r="D302" s="22">
        <f>(SUMPRODUCT(D$9:D$229,Nutrients!$J$8:$J$228)+(IF($A$7=Nutrients!$B$8,Nutrients!$J$8,Nutrients!$J$9)*D$7)+(((IF($A$8=Nutrients!$B$79,Nutrients!$J$79,(IF($A$8=Nutrients!$B$77,Nutrients!$J$77,Nutrients!$J$78)))))*D$8))/2000</f>
        <v>2.3268016052434768</v>
      </c>
      <c r="E302" s="22">
        <f>(SUMPRODUCT(E$9:E$229,Nutrients!$J$8:$J$228)+(IF($A$7=Nutrients!$B$8,Nutrients!$J$8,Nutrients!$J$9)*E$7)+(((IF($A$8=Nutrients!$B$79,Nutrients!$J$79,(IF($A$8=Nutrients!$B$77,Nutrients!$J$77,Nutrients!$J$78)))))*E$8))/2000</f>
        <v>2.2539022615675171</v>
      </c>
      <c r="F302" s="22">
        <f>(SUMPRODUCT(F$9:F$229,Nutrients!$J$8:$J$228)+(IF($A$7=Nutrients!$B$8,Nutrients!$J$8,Nutrients!$J$9)*F$7)+(((IF($A$8=Nutrients!$B$79,Nutrients!$J$79,(IF($A$8=Nutrients!$B$77,Nutrients!$J$77,Nutrients!$J$78)))))*F$8))/2000</f>
        <v>2.2063713720102678</v>
      </c>
      <c r="G302" s="22">
        <f>(SUMPRODUCT(G$9:G$229,Nutrients!$J$8:$J$228)+(IF($A$7=Nutrients!$B$8,Nutrients!$J$8,Nutrients!$J$9)*G$7)+(((IF($A$8=Nutrients!$B$79,Nutrients!$J$79,(IF($A$8=Nutrients!$B$77,Nutrients!$J$77,Nutrients!$J$78)))))*G$8))/2000</f>
        <v>2.1815237128108387</v>
      </c>
      <c r="H302" s="228"/>
      <c r="I302" s="22">
        <f>(SUMPRODUCT(I$9:I$229,Nutrients!$J$8:$J$228)+(IF($A$7=Nutrients!$B$8,Nutrients!$J$8,Nutrients!$J$9)*I$7)+(((IF($A$8=Nutrients!$B$79,Nutrients!$J$79,(IF($A$8=Nutrients!$B$77,Nutrients!$J$77,Nutrients!$J$78)))))*I$8))/2000</f>
        <v>2.7590160087512601</v>
      </c>
      <c r="J302" s="22">
        <f>(SUMPRODUCT(J$9:J$229,Nutrients!$J$8:$J$228)+(IF($A$7=Nutrients!$B$8,Nutrients!$J$8,Nutrients!$J$9)*J$7)+(((IF($A$8=Nutrients!$B$79,Nutrients!$J$79,(IF($A$8=Nutrients!$B$77,Nutrients!$J$77,Nutrients!$J$78)))))*J$8))/2000</f>
        <v>2.6595170624470321</v>
      </c>
      <c r="K302" s="22">
        <f>(SUMPRODUCT(K$9:K$229,Nutrients!$J$8:$J$228)+(IF($A$7=Nutrients!$B$8,Nutrients!$J$8,Nutrients!$J$9)*K$7)+(((IF($A$8=Nutrients!$B$79,Nutrients!$J$79,(IF($A$8=Nutrients!$B$77,Nutrients!$J$77,Nutrients!$J$78)))))*K$8))/2000</f>
        <v>2.5741870597453347</v>
      </c>
      <c r="L302" s="22">
        <f>(SUMPRODUCT(L$9:L$229,Nutrients!$J$8:$J$228)+(IF($A$7=Nutrients!$B$8,Nutrients!$J$8,Nutrients!$J$9)*L$7)+(((IF($A$8=Nutrients!$B$79,Nutrients!$J$79,(IF($A$8=Nutrients!$B$77,Nutrients!$J$77,Nutrients!$J$78)))))*L$8))/2000</f>
        <v>2.502289969056624</v>
      </c>
      <c r="M302" s="22">
        <f>(SUMPRODUCT(M$9:M$229,Nutrients!$J$8:$J$228)+(IF($A$7=Nutrients!$B$8,Nutrients!$J$8,Nutrients!$J$9)*M$7)+(((IF($A$8=Nutrients!$B$79,Nutrients!$J$79,(IF($A$8=Nutrients!$B$77,Nutrients!$J$77,Nutrients!$J$78)))))*M$8))/2000</f>
        <v>2.4545923069129203</v>
      </c>
      <c r="N302" s="22">
        <f>(SUMPRODUCT(N$9:N$229,Nutrients!$J$8:$J$228)+(IF($A$7=Nutrients!$B$8,Nutrients!$J$8,Nutrients!$J$9)*N$7)+(((IF($A$8=Nutrients!$B$79,Nutrients!$J$79,(IF($A$8=Nutrients!$B$77,Nutrients!$J$77,Nutrients!$J$78)))))*N$8))/2000</f>
        <v>2.4301595619180967</v>
      </c>
      <c r="O302" s="235"/>
      <c r="P302" s="22">
        <f>(SUMPRODUCT(P$9:P$229,Nutrients!$J$8:$J$228)+(IF($A$7=Nutrients!$B$8,Nutrients!$J$8,Nutrients!$J$9)*P$7)+(((IF($A$8=Nutrients!$B$79,Nutrients!$J$79,(IF($A$8=Nutrients!$B$77,Nutrients!$J$77,Nutrients!$J$78)))))*P$8))/2000</f>
        <v>3.0057900127486676</v>
      </c>
      <c r="Q302" s="22">
        <f>(SUMPRODUCT(Q$9:Q$229,Nutrients!$J$8:$J$228)+(IF($A$7=Nutrients!$B$8,Nutrients!$J$8,Nutrients!$J$9)*Q$7)+(((IF($A$8=Nutrients!$B$79,Nutrients!$J$79,(IF($A$8=Nutrients!$B$77,Nutrients!$J$77,Nutrients!$J$78)))))*Q$8))/2000</f>
        <v>2.9069693101952425</v>
      </c>
      <c r="R302" s="22">
        <f>(SUMPRODUCT(R$9:R$229,Nutrients!$J$8:$J$228)+(IF($A$7=Nutrients!$B$8,Nutrients!$J$8,Nutrients!$J$9)*R$7)+(((IF($A$8=Nutrients!$B$79,Nutrients!$J$79,(IF($A$8=Nutrients!$B$77,Nutrients!$J$77,Nutrients!$J$78)))))*R$8))/2000</f>
        <v>2.8223769333491715</v>
      </c>
      <c r="S302" s="22">
        <f>(SUMPRODUCT(S$9:S$229,Nutrients!$J$8:$J$228)+(IF($A$7=Nutrients!$B$8,Nutrients!$J$8,Nutrients!$J$9)*S$7)+(((IF($A$8=Nutrients!$B$79,Nutrients!$J$79,(IF($A$8=Nutrients!$B$77,Nutrients!$J$77,Nutrients!$J$78)))))*S$8))/2000</f>
        <v>2.7501388616518496</v>
      </c>
      <c r="T302" s="22">
        <f>(SUMPRODUCT(T$9:T$229,Nutrients!$J$8:$J$228)+(IF($A$7=Nutrients!$B$8,Nutrients!$J$8,Nutrients!$J$9)*T$7)+(((IF($A$8=Nutrients!$B$79,Nutrients!$J$79,(IF($A$8=Nutrients!$B$77,Nutrients!$J$77,Nutrients!$J$78)))))*T$8))/2000</f>
        <v>2.7028854655054002</v>
      </c>
      <c r="U302" s="22">
        <f>(SUMPRODUCT(U$9:U$229,Nutrients!$J$8:$J$228)+(IF($A$7=Nutrients!$B$8,Nutrients!$J$8,Nutrients!$J$9)*U$7)+(((IF($A$8=Nutrients!$B$79,Nutrients!$J$79,(IF($A$8=Nutrients!$B$77,Nutrients!$J$77,Nutrients!$J$78)))))*U$8))/2000</f>
        <v>2.6786504364632484</v>
      </c>
      <c r="W302" s="22">
        <f>(SUMPRODUCT(W$9:W$229,Nutrients!$J$8:$J$228)+(IF($A$7=Nutrients!$B$8,Nutrients!$J$8,Nutrients!$J$9)*W$7)+(((IF($A$8=Nutrients!$B$79,Nutrients!$J$79,(IF($A$8=Nutrients!$B$77,Nutrients!$J$77,Nutrients!$J$78)))))*W$8))/2000</f>
        <v>3.2525933655312782</v>
      </c>
      <c r="X302" s="22">
        <f>(SUMPRODUCT(X$9:X$229,Nutrients!$J$8:$J$228)+(IF($A$7=Nutrients!$B$8,Nutrients!$J$8,Nutrients!$J$9)*X$7)+(((IF($A$8=Nutrients!$B$79,Nutrients!$J$79,(IF($A$8=Nutrients!$B$77,Nutrients!$J$77,Nutrients!$J$78)))))*X$8))/2000</f>
        <v>3.1544648331221445</v>
      </c>
      <c r="Y302" s="22">
        <f>(SUMPRODUCT(Y$9:Y$229,Nutrients!$J$8:$J$228)+(IF($A$7=Nutrients!$B$8,Nutrients!$J$8,Nutrients!$J$9)*Y$7)+(((IF($A$8=Nutrients!$B$79,Nutrients!$J$79,(IF($A$8=Nutrients!$B$77,Nutrients!$J$77,Nutrients!$J$78)))))*Y$8))/2000</f>
        <v>3.06953168008405</v>
      </c>
      <c r="Z302" s="22">
        <f>(SUMPRODUCT(Z$9:Z$229,Nutrients!$J$8:$J$228)+(IF($A$7=Nutrients!$B$8,Nutrients!$J$8,Nutrients!$J$9)*Z$7)+(((IF($A$8=Nutrients!$B$79,Nutrients!$J$79,(IF($A$8=Nutrients!$B$77,Nutrients!$J$77,Nutrients!$J$78)))))*Z$8))/2000</f>
        <v>2.9982427794218283</v>
      </c>
      <c r="AA302" s="22">
        <f>(SUMPRODUCT(AA$9:AA$229,Nutrients!$J$8:$J$228)+(IF($A$7=Nutrients!$B$8,Nutrients!$J$8,Nutrients!$J$9)*AA$7)+(((IF($A$8=Nutrients!$B$79,Nutrients!$J$79,(IF($A$8=Nutrients!$B$77,Nutrients!$J$77,Nutrients!$J$78)))))*AA$8))/2000</f>
        <v>2.9512417422991537</v>
      </c>
      <c r="AB302" s="22">
        <f>(SUMPRODUCT(AB$9:AB$229,Nutrients!$J$8:$J$228)+(IF($A$7=Nutrients!$B$8,Nutrients!$J$8,Nutrients!$J$9)*AB$7)+(((IF($A$8=Nutrients!$B$79,Nutrients!$J$79,(IF($A$8=Nutrients!$B$77,Nutrients!$J$77,Nutrients!$J$78)))))*AB$8))/2000</f>
        <v>2.9266700190959947</v>
      </c>
      <c r="AD302" s="22">
        <f>(SUMPRODUCT(AD$9:AD$229,Nutrients!$J$8:$J$228)+(IF($A$7=Nutrients!$B$8,Nutrients!$J$8,Nutrients!$J$9)*AD$7)+(((IF($A$8=Nutrients!$B$79,Nutrients!$J$79,(IF($A$8=Nutrients!$B$77,Nutrients!$J$77,Nutrients!$J$78)))))*AD$8))/2000</f>
        <v>3.4992951881988779</v>
      </c>
      <c r="AE302" s="22">
        <f>(SUMPRODUCT(AE$9:AE$229,Nutrients!$J$8:$J$228)+(IF($A$7=Nutrients!$B$8,Nutrients!$J$8,Nutrients!$J$9)*AE$7)+(((IF($A$8=Nutrients!$B$79,Nutrients!$J$79,(IF($A$8=Nutrients!$B$77,Nutrients!$J$77,Nutrients!$J$78)))))*AE$8))/2000</f>
        <v>3.4008959102660015</v>
      </c>
      <c r="AF302" s="22">
        <f>(SUMPRODUCT(AF$9:AF$229,Nutrients!$J$8:$J$228)+(IF($A$7=Nutrients!$B$8,Nutrients!$J$8,Nutrients!$J$9)*AF$7)+(((IF($A$8=Nutrients!$B$79,Nutrients!$J$79,(IF($A$8=Nutrients!$B$77,Nutrients!$J$77,Nutrients!$J$78)))))*AF$8))/2000</f>
        <v>3.3169395670437973</v>
      </c>
      <c r="AG302" s="22">
        <f>(SUMPRODUCT(AG$9:AG$229,Nutrients!$J$8:$J$228)+(IF($A$7=Nutrients!$B$8,Nutrients!$J$8,Nutrients!$J$9)*AG$7)+(((IF($A$8=Nutrients!$B$79,Nutrients!$J$79,(IF($A$8=Nutrients!$B$77,Nutrients!$J$77,Nutrients!$J$78)))))*AG$8))/2000</f>
        <v>3.2461521834429927</v>
      </c>
      <c r="AH302" s="22">
        <f>(SUMPRODUCT(AH$9:AH$229,Nutrients!$J$8:$J$228)+(IF($A$7=Nutrients!$B$8,Nutrients!$J$8,Nutrients!$J$9)*AH$7)+(((IF($A$8=Nutrients!$B$79,Nutrients!$J$79,(IF($A$8=Nutrients!$B$77,Nutrients!$J$77,Nutrients!$J$78)))))*AH$8))/2000</f>
        <v>3.1981328178357948</v>
      </c>
      <c r="AI302" s="22">
        <f>(SUMPRODUCT(AI$9:AI$229,Nutrients!$J$8:$J$228)+(IF($A$7=Nutrients!$B$8,Nutrients!$J$8,Nutrients!$J$9)*AI$7)+(((IF($A$8=Nutrients!$B$79,Nutrients!$J$79,(IF($A$8=Nutrients!$B$77,Nutrients!$J$77,Nutrients!$J$78)))))*AI$8))/2000</f>
        <v>3.1731660138046665</v>
      </c>
      <c r="AK302" s="22">
        <f>(SUMPRODUCT(AK$9:AK$229,Nutrients!$J$8:$J$228)+(IF($A$7=Nutrients!$B$8,Nutrients!$J$8,Nutrients!$J$9)*AK$7)+(((IF($A$8=Nutrients!$B$79,Nutrients!$J$79,(IF($A$8=Nutrients!$B$77,Nutrients!$J$77,Nutrients!$J$78)))))*AK$8))/2000</f>
        <v>3.7501668492604385</v>
      </c>
      <c r="AL302" s="22">
        <f>(SUMPRODUCT(AL$9:AL$229,Nutrients!$J$8:$J$228)+(IF($A$7=Nutrients!$B$8,Nutrients!$J$8,Nutrients!$J$9)*AL$7)+(((IF($A$8=Nutrients!$B$79,Nutrients!$J$79,(IF($A$8=Nutrients!$B$77,Nutrients!$J$77,Nutrients!$J$78)))))*AL$8))/2000</f>
        <v>3.647647821234937</v>
      </c>
      <c r="AM302" s="22">
        <f>(SUMPRODUCT(AM$9:AM$229,Nutrients!$J$8:$J$228)+(IF($A$7=Nutrients!$B$8,Nutrients!$J$8,Nutrients!$J$9)*AM$7)+(((IF($A$8=Nutrients!$B$79,Nutrients!$J$79,(IF($A$8=Nutrients!$B$77,Nutrients!$J$77,Nutrients!$J$78)))))*AM$8))/2000</f>
        <v>3.5642751507171644</v>
      </c>
      <c r="AN302" s="22">
        <f>(SUMPRODUCT(AN$9:AN$229,Nutrients!$J$8:$J$228)+(IF($A$7=Nutrients!$B$8,Nutrients!$J$8,Nutrients!$J$9)*AN$7)+(((IF($A$8=Nutrients!$B$79,Nutrients!$J$79,(IF($A$8=Nutrients!$B$77,Nutrients!$J$77,Nutrients!$J$78)))))*AN$8))/2000</f>
        <v>3.4929717664983673</v>
      </c>
      <c r="AO302" s="22">
        <f>(SUMPRODUCT(AO$9:AO$229,Nutrients!$J$8:$J$228)+(IF($A$7=Nutrients!$B$8,Nutrients!$J$8,Nutrients!$J$9)*AO$7)+(((IF($A$8=Nutrients!$B$79,Nutrients!$J$79,(IF($A$8=Nutrients!$B$77,Nutrients!$J$77,Nutrients!$J$78)))))*AO$8))/2000</f>
        <v>3.4443650311682386</v>
      </c>
      <c r="AP302" s="22">
        <f>(SUMPRODUCT(AP$9:AP$229,Nutrients!$J$8:$J$228)+(IF($A$7=Nutrients!$B$8,Nutrients!$J$8,Nutrients!$J$9)*AP$7)+(((IF($A$8=Nutrients!$B$79,Nutrients!$J$79,(IF($A$8=Nutrients!$B$77,Nutrients!$J$77,Nutrients!$J$78)))))*AP$8))/2000</f>
        <v>3.4196500991067182</v>
      </c>
      <c r="AR302" s="22">
        <f>(SUMPRODUCT(AR$9:AR$229,Nutrients!$J$8:$J$228)+(IF($A$7=Nutrients!$B$8,Nutrients!$J$8,Nutrients!$J$9)*AR$7)+(((IF($A$8=Nutrients!$B$79,Nutrients!$J$79,(IF($A$8=Nutrients!$B$77,Nutrients!$J$77,Nutrients!$J$78)))))*AR$8))/2000</f>
        <v>3.9953092147969484</v>
      </c>
      <c r="AS302" s="22">
        <f>(SUMPRODUCT(AS$9:AS$229,Nutrients!$J$8:$J$228)+(IF($A$7=Nutrients!$B$8,Nutrients!$J$8,Nutrients!$J$9)*AS$7)+(((IF($A$8=Nutrients!$B$79,Nutrients!$J$79,(IF($A$8=Nutrients!$B$77,Nutrients!$J$77,Nutrients!$J$78)))))*AS$8))/2000</f>
        <v>3.8943881252907429</v>
      </c>
      <c r="AT302" s="22">
        <f>(SUMPRODUCT(AT$9:AT$229,Nutrients!$J$8:$J$228)+(IF($A$7=Nutrients!$B$8,Nutrients!$J$8,Nutrients!$J$9)*AT$7)+(((IF($A$8=Nutrients!$B$79,Nutrients!$J$79,(IF($A$8=Nutrients!$B$77,Nutrients!$J$77,Nutrients!$J$78)))))*AT$8))/2000</f>
        <v>3.8117902572229023</v>
      </c>
      <c r="AU302" s="22">
        <f>(SUMPRODUCT(AU$9:AU$229,Nutrients!$J$8:$J$228)+(IF($A$7=Nutrients!$B$8,Nutrients!$J$8,Nutrients!$J$9)*AU$7)+(((IF($A$8=Nutrients!$B$79,Nutrients!$J$79,(IF($A$8=Nutrients!$B$77,Nutrients!$J$77,Nutrients!$J$78)))))*AU$8))/2000</f>
        <v>3.7388463800043783</v>
      </c>
      <c r="AV302" s="22">
        <f>(SUMPRODUCT(AV$9:AV$229,Nutrients!$J$8:$J$228)+(IF($A$7=Nutrients!$B$8,Nutrients!$J$8,Nutrients!$J$9)*AV$7)+(((IF($A$8=Nutrients!$B$79,Nutrients!$J$79,(IF($A$8=Nutrients!$B$77,Nutrients!$J$77,Nutrients!$J$78)))))*AV$8))/2000</f>
        <v>3.6906102006408488</v>
      </c>
      <c r="AW302" s="22">
        <f>(SUMPRODUCT(AW$9:AW$229,Nutrients!$J$8:$J$228)+(IF($A$7=Nutrients!$B$8,Nutrients!$J$8,Nutrients!$J$9)*AW$7)+(((IF($A$8=Nutrients!$B$79,Nutrients!$J$79,(IF($A$8=Nutrients!$B$77,Nutrients!$J$77,Nutrients!$J$78)))))*AW$8))/2000</f>
        <v>3.6661443755990457</v>
      </c>
    </row>
    <row r="303" spans="1:49" x14ac:dyDescent="0.25">
      <c r="A303" t="s">
        <v>54</v>
      </c>
      <c r="B303" s="22">
        <f>(SUMPRODUCT(B$9:B$229,Nutrients!$ED$8:$ED$228)+(IF($A$7=Nutrients!$B$8,Nutrients!$ED$8,Nutrients!$ED$9)*B$7)+(((IF($A$8=Nutrients!$B$79,Nutrients!$ED$79,(IF($A$8=Nutrients!$B$77,Nutrients!$ED$77,Nutrients!$ED$78)))))*B$8))/2000</f>
        <v>0</v>
      </c>
      <c r="C303" s="22">
        <f>(SUMPRODUCT(C$9:C$229,Nutrients!$ED$8:$ED$228)+(IF($A$7=Nutrients!$B$8,Nutrients!$ED$8,Nutrients!$ED$9)*C$7)+(((IF($A$8=Nutrients!$B$79,Nutrients!$ED$79,(IF($A$8=Nutrients!$B$77,Nutrients!$ED$77,Nutrients!$ED$78)))))*C$8))/2000</f>
        <v>0</v>
      </c>
      <c r="D303" s="22">
        <f>(SUMPRODUCT(D$9:D$229,Nutrients!$ED$8:$ED$228)+(IF($A$7=Nutrients!$B$8,Nutrients!$ED$8,Nutrients!$ED$9)*D$7)+(((IF($A$8=Nutrients!$B$79,Nutrients!$ED$79,(IF($A$8=Nutrients!$B$77,Nutrients!$ED$77,Nutrients!$ED$78)))))*D$8))/2000</f>
        <v>0</v>
      </c>
      <c r="E303" s="22">
        <f>(SUMPRODUCT(E$9:E$229,Nutrients!$ED$8:$ED$228)+(IF($A$7=Nutrients!$B$8,Nutrients!$ED$8,Nutrients!$ED$9)*E$7)+(((IF($A$8=Nutrients!$B$79,Nutrients!$ED$79,(IF($A$8=Nutrients!$B$77,Nutrients!$ED$77,Nutrients!$ED$78)))))*E$8))/2000</f>
        <v>0</v>
      </c>
      <c r="F303" s="22">
        <f>(SUMPRODUCT(F$9:F$229,Nutrients!$ED$8:$ED$228)+(IF($A$7=Nutrients!$B$8,Nutrients!$ED$8,Nutrients!$ED$9)*F$7)+(((IF($A$8=Nutrients!$B$79,Nutrients!$ED$79,(IF($A$8=Nutrients!$B$77,Nutrients!$ED$77,Nutrients!$ED$78)))))*F$8))/2000</f>
        <v>0</v>
      </c>
      <c r="G303" s="22">
        <f>(SUMPRODUCT(G$9:G$229,Nutrients!$ED$8:$ED$228)+(IF($A$7=Nutrients!$B$8,Nutrients!$ED$8,Nutrients!$ED$9)*G$7)+(((IF($A$8=Nutrients!$B$79,Nutrients!$ED$79,(IF($A$8=Nutrients!$B$77,Nutrients!$ED$77,Nutrients!$ED$78)))))*G$8))/2000</f>
        <v>0</v>
      </c>
      <c r="H303" s="228"/>
      <c r="I303" s="22">
        <f>(SUMPRODUCT(I$9:I$229,Nutrients!$ED$8:$ED$228)+(IF($A$7=Nutrients!$B$8,Nutrients!$ED$8,Nutrients!$ED$9)*I$7)+(((IF($A$8=Nutrients!$B$79,Nutrients!$ED$79,(IF($A$8=Nutrients!$B$77,Nutrients!$ED$77,Nutrients!$ED$78)))))*I$8))/2000</f>
        <v>0</v>
      </c>
      <c r="J303" s="22">
        <f>(SUMPRODUCT(J$9:J$229,Nutrients!$ED$8:$ED$228)+(IF($A$7=Nutrients!$B$8,Nutrients!$ED$8,Nutrients!$ED$9)*J$7)+(((IF($A$8=Nutrients!$B$79,Nutrients!$ED$79,(IF($A$8=Nutrients!$B$77,Nutrients!$ED$77,Nutrients!$ED$78)))))*J$8))/2000</f>
        <v>0</v>
      </c>
      <c r="K303" s="22">
        <f>(SUMPRODUCT(K$9:K$229,Nutrients!$ED$8:$ED$228)+(IF($A$7=Nutrients!$B$8,Nutrients!$ED$8,Nutrients!$ED$9)*K$7)+(((IF($A$8=Nutrients!$B$79,Nutrients!$ED$79,(IF($A$8=Nutrients!$B$77,Nutrients!$ED$77,Nutrients!$ED$78)))))*K$8))/2000</f>
        <v>0</v>
      </c>
      <c r="L303" s="22">
        <f>(SUMPRODUCT(L$9:L$229,Nutrients!$ED$8:$ED$228)+(IF($A$7=Nutrients!$B$8,Nutrients!$ED$8,Nutrients!$ED$9)*L$7)+(((IF($A$8=Nutrients!$B$79,Nutrients!$ED$79,(IF($A$8=Nutrients!$B$77,Nutrients!$ED$77,Nutrients!$ED$78)))))*L$8))/2000</f>
        <v>0</v>
      </c>
      <c r="M303" s="22">
        <f>(SUMPRODUCT(M$9:M$229,Nutrients!$ED$8:$ED$228)+(IF($A$7=Nutrients!$B$8,Nutrients!$ED$8,Nutrients!$ED$9)*M$7)+(((IF($A$8=Nutrients!$B$79,Nutrients!$ED$79,(IF($A$8=Nutrients!$B$77,Nutrients!$ED$77,Nutrients!$ED$78)))))*M$8))/2000</f>
        <v>0</v>
      </c>
      <c r="N303" s="22">
        <f>(SUMPRODUCT(N$9:N$229,Nutrients!$ED$8:$ED$228)+(IF($A$7=Nutrients!$B$8,Nutrients!$ED$8,Nutrients!$ED$9)*N$7)+(((IF($A$8=Nutrients!$B$79,Nutrients!$ED$79,(IF($A$8=Nutrients!$B$77,Nutrients!$ED$77,Nutrients!$ED$78)))))*N$8))/2000</f>
        <v>0</v>
      </c>
      <c r="O303" s="235"/>
      <c r="P303" s="22">
        <f>(SUMPRODUCT(P$9:P$229,Nutrients!$ED$8:$ED$228)+(IF($A$7=Nutrients!$B$8,Nutrients!$ED$8,Nutrients!$ED$9)*P$7)+(((IF($A$8=Nutrients!$B$79,Nutrients!$ED$79,(IF($A$8=Nutrients!$B$77,Nutrients!$ED$77,Nutrients!$ED$78)))))*P$8))/2000</f>
        <v>0</v>
      </c>
      <c r="Q303" s="22">
        <f>(SUMPRODUCT(Q$9:Q$229,Nutrients!$ED$8:$ED$228)+(IF($A$7=Nutrients!$B$8,Nutrients!$ED$8,Nutrients!$ED$9)*Q$7)+(((IF($A$8=Nutrients!$B$79,Nutrients!$ED$79,(IF($A$8=Nutrients!$B$77,Nutrients!$ED$77,Nutrients!$ED$78)))))*Q$8))/2000</f>
        <v>0</v>
      </c>
      <c r="R303" s="22">
        <f>(SUMPRODUCT(R$9:R$229,Nutrients!$ED$8:$ED$228)+(IF($A$7=Nutrients!$B$8,Nutrients!$ED$8,Nutrients!$ED$9)*R$7)+(((IF($A$8=Nutrients!$B$79,Nutrients!$ED$79,(IF($A$8=Nutrients!$B$77,Nutrients!$ED$77,Nutrients!$ED$78)))))*R$8))/2000</f>
        <v>0</v>
      </c>
      <c r="S303" s="22">
        <f>(SUMPRODUCT(S$9:S$229,Nutrients!$ED$8:$ED$228)+(IF($A$7=Nutrients!$B$8,Nutrients!$ED$8,Nutrients!$ED$9)*S$7)+(((IF($A$8=Nutrients!$B$79,Nutrients!$ED$79,(IF($A$8=Nutrients!$B$77,Nutrients!$ED$77,Nutrients!$ED$78)))))*S$8))/2000</f>
        <v>0</v>
      </c>
      <c r="T303" s="22">
        <f>(SUMPRODUCT(T$9:T$229,Nutrients!$ED$8:$ED$228)+(IF($A$7=Nutrients!$B$8,Nutrients!$ED$8,Nutrients!$ED$9)*T$7)+(((IF($A$8=Nutrients!$B$79,Nutrients!$ED$79,(IF($A$8=Nutrients!$B$77,Nutrients!$ED$77,Nutrients!$ED$78)))))*T$8))/2000</f>
        <v>0</v>
      </c>
      <c r="U303" s="22">
        <f>(SUMPRODUCT(U$9:U$229,Nutrients!$ED$8:$ED$228)+(IF($A$7=Nutrients!$B$8,Nutrients!$ED$8,Nutrients!$ED$9)*U$7)+(((IF($A$8=Nutrients!$B$79,Nutrients!$ED$79,(IF($A$8=Nutrients!$B$77,Nutrients!$ED$77,Nutrients!$ED$78)))))*U$8))/2000</f>
        <v>0</v>
      </c>
      <c r="W303" s="22">
        <f>(SUMPRODUCT(W$9:W$229,Nutrients!$ED$8:$ED$228)+(IF($A$7=Nutrients!$B$8,Nutrients!$ED$8,Nutrients!$ED$9)*W$7)+(((IF($A$8=Nutrients!$B$79,Nutrients!$ED$79,(IF($A$8=Nutrients!$B$77,Nutrients!$ED$77,Nutrients!$ED$78)))))*W$8))/2000</f>
        <v>0</v>
      </c>
      <c r="X303" s="22">
        <f>(SUMPRODUCT(X$9:X$229,Nutrients!$ED$8:$ED$228)+(IF($A$7=Nutrients!$B$8,Nutrients!$ED$8,Nutrients!$ED$9)*X$7)+(((IF($A$8=Nutrients!$B$79,Nutrients!$ED$79,(IF($A$8=Nutrients!$B$77,Nutrients!$ED$77,Nutrients!$ED$78)))))*X$8))/2000</f>
        <v>0</v>
      </c>
      <c r="Y303" s="22">
        <f>(SUMPRODUCT(Y$9:Y$229,Nutrients!$ED$8:$ED$228)+(IF($A$7=Nutrients!$B$8,Nutrients!$ED$8,Nutrients!$ED$9)*Y$7)+(((IF($A$8=Nutrients!$B$79,Nutrients!$ED$79,(IF($A$8=Nutrients!$B$77,Nutrients!$ED$77,Nutrients!$ED$78)))))*Y$8))/2000</f>
        <v>0</v>
      </c>
      <c r="Z303" s="22">
        <f>(SUMPRODUCT(Z$9:Z$229,Nutrients!$ED$8:$ED$228)+(IF($A$7=Nutrients!$B$8,Nutrients!$ED$8,Nutrients!$ED$9)*Z$7)+(((IF($A$8=Nutrients!$B$79,Nutrients!$ED$79,(IF($A$8=Nutrients!$B$77,Nutrients!$ED$77,Nutrients!$ED$78)))))*Z$8))/2000</f>
        <v>0</v>
      </c>
      <c r="AA303" s="22">
        <f>(SUMPRODUCT(AA$9:AA$229,Nutrients!$ED$8:$ED$228)+(IF($A$7=Nutrients!$B$8,Nutrients!$ED$8,Nutrients!$ED$9)*AA$7)+(((IF($A$8=Nutrients!$B$79,Nutrients!$ED$79,(IF($A$8=Nutrients!$B$77,Nutrients!$ED$77,Nutrients!$ED$78)))))*AA$8))/2000</f>
        <v>0</v>
      </c>
      <c r="AB303" s="22">
        <f>(SUMPRODUCT(AB$9:AB$229,Nutrients!$ED$8:$ED$228)+(IF($A$7=Nutrients!$B$8,Nutrients!$ED$8,Nutrients!$ED$9)*AB$7)+(((IF($A$8=Nutrients!$B$79,Nutrients!$ED$79,(IF($A$8=Nutrients!$B$77,Nutrients!$ED$77,Nutrients!$ED$78)))))*AB$8))/2000</f>
        <v>0</v>
      </c>
      <c r="AD303" s="22">
        <f>(SUMPRODUCT(AD$9:AD$229,Nutrients!$ED$8:$ED$228)+(IF($A$7=Nutrients!$B$8,Nutrients!$ED$8,Nutrients!$ED$9)*AD$7)+(((IF($A$8=Nutrients!$B$79,Nutrients!$ED$79,(IF($A$8=Nutrients!$B$77,Nutrients!$ED$77,Nutrients!$ED$78)))))*AD$8))/2000</f>
        <v>0</v>
      </c>
      <c r="AE303" s="22">
        <f>(SUMPRODUCT(AE$9:AE$229,Nutrients!$ED$8:$ED$228)+(IF($A$7=Nutrients!$B$8,Nutrients!$ED$8,Nutrients!$ED$9)*AE$7)+(((IF($A$8=Nutrients!$B$79,Nutrients!$ED$79,(IF($A$8=Nutrients!$B$77,Nutrients!$ED$77,Nutrients!$ED$78)))))*AE$8))/2000</f>
        <v>0</v>
      </c>
      <c r="AF303" s="22">
        <f>(SUMPRODUCT(AF$9:AF$229,Nutrients!$ED$8:$ED$228)+(IF($A$7=Nutrients!$B$8,Nutrients!$ED$8,Nutrients!$ED$9)*AF$7)+(((IF($A$8=Nutrients!$B$79,Nutrients!$ED$79,(IF($A$8=Nutrients!$B$77,Nutrients!$ED$77,Nutrients!$ED$78)))))*AF$8))/2000</f>
        <v>0</v>
      </c>
      <c r="AG303" s="22">
        <f>(SUMPRODUCT(AG$9:AG$229,Nutrients!$ED$8:$ED$228)+(IF($A$7=Nutrients!$B$8,Nutrients!$ED$8,Nutrients!$ED$9)*AG$7)+(((IF($A$8=Nutrients!$B$79,Nutrients!$ED$79,(IF($A$8=Nutrients!$B$77,Nutrients!$ED$77,Nutrients!$ED$78)))))*AG$8))/2000</f>
        <v>0</v>
      </c>
      <c r="AH303" s="22">
        <f>(SUMPRODUCT(AH$9:AH$229,Nutrients!$ED$8:$ED$228)+(IF($A$7=Nutrients!$B$8,Nutrients!$ED$8,Nutrients!$ED$9)*AH$7)+(((IF($A$8=Nutrients!$B$79,Nutrients!$ED$79,(IF($A$8=Nutrients!$B$77,Nutrients!$ED$77,Nutrients!$ED$78)))))*AH$8))/2000</f>
        <v>0</v>
      </c>
      <c r="AI303" s="22">
        <f>(SUMPRODUCT(AI$9:AI$229,Nutrients!$ED$8:$ED$228)+(IF($A$7=Nutrients!$B$8,Nutrients!$ED$8,Nutrients!$ED$9)*AI$7)+(((IF($A$8=Nutrients!$B$79,Nutrients!$ED$79,(IF($A$8=Nutrients!$B$77,Nutrients!$ED$77,Nutrients!$ED$78)))))*AI$8))/2000</f>
        <v>0</v>
      </c>
      <c r="AK303" s="22">
        <f>(SUMPRODUCT(AK$9:AK$229,Nutrients!$ED$8:$ED$228)+(IF($A$7=Nutrients!$B$8,Nutrients!$ED$8,Nutrients!$ED$9)*AK$7)+(((IF($A$8=Nutrients!$B$79,Nutrients!$ED$79,(IF($A$8=Nutrients!$B$77,Nutrients!$ED$77,Nutrients!$ED$78)))))*AK$8))/2000</f>
        <v>0</v>
      </c>
      <c r="AL303" s="22">
        <f>(SUMPRODUCT(AL$9:AL$229,Nutrients!$ED$8:$ED$228)+(IF($A$7=Nutrients!$B$8,Nutrients!$ED$8,Nutrients!$ED$9)*AL$7)+(((IF($A$8=Nutrients!$B$79,Nutrients!$ED$79,(IF($A$8=Nutrients!$B$77,Nutrients!$ED$77,Nutrients!$ED$78)))))*AL$8))/2000</f>
        <v>0</v>
      </c>
      <c r="AM303" s="22">
        <f>(SUMPRODUCT(AM$9:AM$229,Nutrients!$ED$8:$ED$228)+(IF($A$7=Nutrients!$B$8,Nutrients!$ED$8,Nutrients!$ED$9)*AM$7)+(((IF($A$8=Nutrients!$B$79,Nutrients!$ED$79,(IF($A$8=Nutrients!$B$77,Nutrients!$ED$77,Nutrients!$ED$78)))))*AM$8))/2000</f>
        <v>0</v>
      </c>
      <c r="AN303" s="22">
        <f>(SUMPRODUCT(AN$9:AN$229,Nutrients!$ED$8:$ED$228)+(IF($A$7=Nutrients!$B$8,Nutrients!$ED$8,Nutrients!$ED$9)*AN$7)+(((IF($A$8=Nutrients!$B$79,Nutrients!$ED$79,(IF($A$8=Nutrients!$B$77,Nutrients!$ED$77,Nutrients!$ED$78)))))*AN$8))/2000</f>
        <v>0</v>
      </c>
      <c r="AO303" s="22">
        <f>(SUMPRODUCT(AO$9:AO$229,Nutrients!$ED$8:$ED$228)+(IF($A$7=Nutrients!$B$8,Nutrients!$ED$8,Nutrients!$ED$9)*AO$7)+(((IF($A$8=Nutrients!$B$79,Nutrients!$ED$79,(IF($A$8=Nutrients!$B$77,Nutrients!$ED$77,Nutrients!$ED$78)))))*AO$8))/2000</f>
        <v>0</v>
      </c>
      <c r="AP303" s="22">
        <f>(SUMPRODUCT(AP$9:AP$229,Nutrients!$ED$8:$ED$228)+(IF($A$7=Nutrients!$B$8,Nutrients!$ED$8,Nutrients!$ED$9)*AP$7)+(((IF($A$8=Nutrients!$B$79,Nutrients!$ED$79,(IF($A$8=Nutrients!$B$77,Nutrients!$ED$77,Nutrients!$ED$78)))))*AP$8))/2000</f>
        <v>0</v>
      </c>
      <c r="AR303" s="22">
        <f>(SUMPRODUCT(AR$9:AR$229,Nutrients!$ED$8:$ED$228)+(IF($A$7=Nutrients!$B$8,Nutrients!$ED$8,Nutrients!$ED$9)*AR$7)+(((IF($A$8=Nutrients!$B$79,Nutrients!$ED$79,(IF($A$8=Nutrients!$B$77,Nutrients!$ED$77,Nutrients!$ED$78)))))*AR$8))/2000</f>
        <v>0</v>
      </c>
      <c r="AS303" s="22">
        <f>(SUMPRODUCT(AS$9:AS$229,Nutrients!$ED$8:$ED$228)+(IF($A$7=Nutrients!$B$8,Nutrients!$ED$8,Nutrients!$ED$9)*AS$7)+(((IF($A$8=Nutrients!$B$79,Nutrients!$ED$79,(IF($A$8=Nutrients!$B$77,Nutrients!$ED$77,Nutrients!$ED$78)))))*AS$8))/2000</f>
        <v>0</v>
      </c>
      <c r="AT303" s="22">
        <f>(SUMPRODUCT(AT$9:AT$229,Nutrients!$ED$8:$ED$228)+(IF($A$7=Nutrients!$B$8,Nutrients!$ED$8,Nutrients!$ED$9)*AT$7)+(((IF($A$8=Nutrients!$B$79,Nutrients!$ED$79,(IF($A$8=Nutrients!$B$77,Nutrients!$ED$77,Nutrients!$ED$78)))))*AT$8))/2000</f>
        <v>0</v>
      </c>
      <c r="AU303" s="22">
        <f>(SUMPRODUCT(AU$9:AU$229,Nutrients!$ED$8:$ED$228)+(IF($A$7=Nutrients!$B$8,Nutrients!$ED$8,Nutrients!$ED$9)*AU$7)+(((IF($A$8=Nutrients!$B$79,Nutrients!$ED$79,(IF($A$8=Nutrients!$B$77,Nutrients!$ED$77,Nutrients!$ED$78)))))*AU$8))/2000</f>
        <v>0</v>
      </c>
      <c r="AV303" s="22">
        <f>(SUMPRODUCT(AV$9:AV$229,Nutrients!$ED$8:$ED$228)+(IF($A$7=Nutrients!$B$8,Nutrients!$ED$8,Nutrients!$ED$9)*AV$7)+(((IF($A$8=Nutrients!$B$79,Nutrients!$ED$79,(IF($A$8=Nutrients!$B$77,Nutrients!$ED$77,Nutrients!$ED$78)))))*AV$8))/2000</f>
        <v>0</v>
      </c>
      <c r="AW303" s="22">
        <f>(SUMPRODUCT(AW$9:AW$229,Nutrients!$ED$8:$ED$228)+(IF($A$7=Nutrients!$B$8,Nutrients!$ED$8,Nutrients!$ED$9)*AW$7)+(((IF($A$8=Nutrients!$B$79,Nutrients!$ED$79,(IF($A$8=Nutrients!$B$77,Nutrients!$ED$77,Nutrients!$ED$78)))))*AW$8))/2000</f>
        <v>0</v>
      </c>
    </row>
    <row r="304" spans="1:49" x14ac:dyDescent="0.25">
      <c r="A304" t="s">
        <v>57</v>
      </c>
      <c r="B304" s="22">
        <f>(SUMPRODUCT(B$9:B$229,Nutrients!$EH$8:$EH$228)+(IF($A$7=Nutrients!$B$8,Nutrients!$EH$8,Nutrients!$EH$9)*B$7)+(((IF($A$8=Nutrients!$B$79,Nutrients!$EH$79,(IF($A$8=Nutrients!$B$77,Nutrients!$EH$77,Nutrients!$EH$78)))))*B$8))/2000</f>
        <v>34.658564713833037</v>
      </c>
      <c r="C304" s="22">
        <f>(SUMPRODUCT(C$9:C$229,Nutrients!$EH$8:$EH$228)+(IF($A$7=Nutrients!$B$8,Nutrients!$EH$8,Nutrients!$EH$9)*C$7)+(((IF($A$8=Nutrients!$B$79,Nutrients!$EH$79,(IF($A$8=Nutrients!$B$77,Nutrients!$EH$77,Nutrients!$EH$78)))))*C$8))/2000</f>
        <v>36.119060232185333</v>
      </c>
      <c r="D304" s="22">
        <f>(SUMPRODUCT(D$9:D$229,Nutrients!$EH$8:$EH$228)+(IF($A$7=Nutrients!$B$8,Nutrients!$EH$8,Nutrients!$EH$9)*D$7)+(((IF($A$8=Nutrients!$B$79,Nutrients!$EH$79,(IF($A$8=Nutrients!$B$77,Nutrients!$EH$77,Nutrients!$EH$78)))))*D$8))/2000</f>
        <v>37.38889298377596</v>
      </c>
      <c r="E304" s="22">
        <f>(SUMPRODUCT(E$9:E$229,Nutrients!$EH$8:$EH$228)+(IF($A$7=Nutrients!$B$8,Nutrients!$EH$8,Nutrients!$EH$9)*E$7)+(((IF($A$8=Nutrients!$B$79,Nutrients!$EH$79,(IF($A$8=Nutrients!$B$77,Nutrients!$EH$77,Nutrients!$EH$78)))))*E$8))/2000</f>
        <v>38.453689691212816</v>
      </c>
      <c r="F304" s="22">
        <f>(SUMPRODUCT(F$9:F$229,Nutrients!$EH$8:$EH$228)+(IF($A$7=Nutrients!$B$8,Nutrients!$EH$8,Nutrients!$EH$9)*F$7)+(((IF($A$8=Nutrients!$B$79,Nutrients!$EH$79,(IF($A$8=Nutrients!$B$77,Nutrients!$EH$77,Nutrients!$EH$78)))))*F$8))/2000</f>
        <v>39.1878815182761</v>
      </c>
      <c r="G304" s="22">
        <f>(SUMPRODUCT(G$9:G$229,Nutrients!$EH$8:$EH$228)+(IF($A$7=Nutrients!$B$8,Nutrients!$EH$8,Nutrients!$EH$9)*G$7)+(((IF($A$8=Nutrients!$B$79,Nutrients!$EH$79,(IF($A$8=Nutrients!$B$77,Nutrients!$EH$77,Nutrients!$EH$78)))))*G$8))/2000</f>
        <v>39.544986782030342</v>
      </c>
      <c r="H304" s="228"/>
      <c r="I304" s="22">
        <f>(SUMPRODUCT(I$9:I$229,Nutrients!$EH$8:$EH$228)+(IF($A$7=Nutrients!$B$8,Nutrients!$EH$8,Nutrients!$EH$9)*I$7)+(((IF($A$8=Nutrients!$B$79,Nutrients!$EH$79,(IF($A$8=Nutrients!$B$77,Nutrients!$EH$77,Nutrients!$EH$78)))))*I$8))/2000</f>
        <v>33.705831229742145</v>
      </c>
      <c r="J304" s="22">
        <f>(SUMPRODUCT(J$9:J$229,Nutrients!$EH$8:$EH$228)+(IF($A$7=Nutrients!$B$8,Nutrients!$EH$8,Nutrients!$EH$9)*J$7)+(((IF($A$8=Nutrients!$B$79,Nutrients!$EH$79,(IF($A$8=Nutrients!$B$77,Nutrients!$EH$77,Nutrients!$EH$78)))))*J$8))/2000</f>
        <v>35.150868453451629</v>
      </c>
      <c r="K304" s="22">
        <f>(SUMPRODUCT(K$9:K$229,Nutrients!$EH$8:$EH$228)+(IF($A$7=Nutrients!$B$8,Nutrients!$EH$8,Nutrients!$EH$9)*K$7)+(((IF($A$8=Nutrients!$B$79,Nutrients!$EH$79,(IF($A$8=Nutrients!$B$77,Nutrients!$EH$77,Nutrients!$EH$78)))))*K$8))/2000</f>
        <v>36.408029393474912</v>
      </c>
      <c r="L304" s="22">
        <f>(SUMPRODUCT(L$9:L$229,Nutrients!$EH$8:$EH$228)+(IF($A$7=Nutrients!$B$8,Nutrients!$EH$8,Nutrients!$EH$9)*L$7)+(((IF($A$8=Nutrients!$B$79,Nutrients!$EH$79,(IF($A$8=Nutrients!$B$77,Nutrients!$EH$77,Nutrients!$EH$78)))))*L$8))/2000</f>
        <v>37.474270717338129</v>
      </c>
      <c r="M304" s="22">
        <f>(SUMPRODUCT(M$9:M$229,Nutrients!$EH$8:$EH$228)+(IF($A$7=Nutrients!$B$8,Nutrients!$EH$8,Nutrients!$EH$9)*M$7)+(((IF($A$8=Nutrients!$B$79,Nutrients!$EH$79,(IF($A$8=Nutrients!$B$77,Nutrients!$EH$77,Nutrients!$EH$78)))))*M$8))/2000</f>
        <v>38.20600811095867</v>
      </c>
      <c r="N304" s="22">
        <f>(SUMPRODUCT(N$9:N$229,Nutrients!$EH$8:$EH$228)+(IF($A$7=Nutrients!$B$8,Nutrients!$EH$8,Nutrients!$EH$9)*N$7)+(((IF($A$8=Nutrients!$B$79,Nutrients!$EH$79,(IF($A$8=Nutrients!$B$77,Nutrients!$EH$77,Nutrients!$EH$78)))))*N$8))/2000</f>
        <v>38.561570138454648</v>
      </c>
      <c r="O304" s="235"/>
      <c r="P304" s="22">
        <f>(SUMPRODUCT(P$9:P$229,Nutrients!$EH$8:$EH$228)+(IF($A$7=Nutrients!$B$8,Nutrients!$EH$8,Nutrients!$EH$9)*P$7)+(((IF($A$8=Nutrients!$B$79,Nutrients!$EH$79,(IF($A$8=Nutrients!$B$77,Nutrients!$EH$77,Nutrients!$EH$78)))))*P$8))/2000</f>
        <v>32.732701013452271</v>
      </c>
      <c r="Q304" s="22">
        <f>(SUMPRODUCT(Q$9:Q$229,Nutrients!$EH$8:$EH$228)+(IF($A$7=Nutrients!$B$8,Nutrients!$EH$8,Nutrients!$EH$9)*Q$7)+(((IF($A$8=Nutrients!$B$79,Nutrients!$EH$79,(IF($A$8=Nutrients!$B$77,Nutrients!$EH$77,Nutrients!$EH$78)))))*Q$8))/2000</f>
        <v>34.168657429689304</v>
      </c>
      <c r="R304" s="22">
        <f>(SUMPRODUCT(R$9:R$229,Nutrients!$EH$8:$EH$228)+(IF($A$7=Nutrients!$B$8,Nutrients!$EH$8,Nutrients!$EH$9)*R$7)+(((IF($A$8=Nutrients!$B$79,Nutrients!$EH$79,(IF($A$8=Nutrients!$B$77,Nutrients!$EH$77,Nutrients!$EH$78)))))*R$8))/2000</f>
        <v>35.416462630727601</v>
      </c>
      <c r="S304" s="22">
        <f>(SUMPRODUCT(S$9:S$229,Nutrients!$EH$8:$EH$228)+(IF($A$7=Nutrients!$B$8,Nutrients!$EH$8,Nutrients!$EH$9)*S$7)+(((IF($A$8=Nutrients!$B$79,Nutrients!$EH$79,(IF($A$8=Nutrients!$B$77,Nutrients!$EH$77,Nutrients!$EH$78)))))*S$8))/2000</f>
        <v>36.487123206434887</v>
      </c>
      <c r="T304" s="22">
        <f>(SUMPRODUCT(T$9:T$229,Nutrients!$EH$8:$EH$228)+(IF($A$7=Nutrients!$B$8,Nutrients!$EH$8,Nutrients!$EH$9)*T$7)+(((IF($A$8=Nutrients!$B$79,Nutrients!$EH$79,(IF($A$8=Nutrients!$B$77,Nutrients!$EH$77,Nutrients!$EH$78)))))*T$8))/2000</f>
        <v>37.20724848752301</v>
      </c>
      <c r="U304" s="22">
        <f>(SUMPRODUCT(U$9:U$229,Nutrients!$EH$8:$EH$228)+(IF($A$7=Nutrients!$B$8,Nutrients!$EH$8,Nutrients!$EH$9)*U$7)+(((IF($A$8=Nutrients!$B$79,Nutrients!$EH$79,(IF($A$8=Nutrients!$B$77,Nutrients!$EH$77,Nutrients!$EH$78)))))*U$8))/2000</f>
        <v>37.558567012371419</v>
      </c>
      <c r="W304" s="22">
        <f>(SUMPRODUCT(W$9:W$229,Nutrients!$EH$8:$EH$228)+(IF($A$7=Nutrients!$B$8,Nutrients!$EH$8,Nutrients!$EH$9)*W$7)+(((IF($A$8=Nutrients!$B$79,Nutrients!$EH$79,(IF($A$8=Nutrients!$B$77,Nutrients!$EH$77,Nutrients!$EH$78)))))*W$8))/2000</f>
        <v>31.760324223832395</v>
      </c>
      <c r="X304" s="22">
        <f>(SUMPRODUCT(X$9:X$229,Nutrients!$EH$8:$EH$228)+(IF($A$7=Nutrients!$B$8,Nutrients!$EH$8,Nutrients!$EH$9)*X$7)+(((IF($A$8=Nutrients!$B$79,Nutrients!$EH$79,(IF($A$8=Nutrients!$B$77,Nutrients!$EH$77,Nutrients!$EH$78)))))*X$8))/2000</f>
        <v>33.18740201779972</v>
      </c>
      <c r="Y304" s="22">
        <f>(SUMPRODUCT(Y$9:Y$229,Nutrients!$EH$8:$EH$228)+(IF($A$7=Nutrients!$B$8,Nutrients!$EH$8,Nutrients!$EH$9)*Y$7)+(((IF($A$8=Nutrients!$B$79,Nutrients!$EH$79,(IF($A$8=Nutrients!$B$77,Nutrients!$EH$77,Nutrients!$EH$78)))))*Y$8))/2000</f>
        <v>34.439223395280514</v>
      </c>
      <c r="Z304" s="22">
        <f>(SUMPRODUCT(Z$9:Z$229,Nutrients!$EH$8:$EH$228)+(IF($A$7=Nutrients!$B$8,Nutrients!$EH$8,Nutrients!$EH$9)*Z$7)+(((IF($A$8=Nutrients!$B$79,Nutrients!$EH$79,(IF($A$8=Nutrients!$B$77,Nutrients!$EH$77,Nutrients!$EH$78)))))*Z$8))/2000</f>
        <v>35.496072020189267</v>
      </c>
      <c r="AA304" s="22">
        <f>(SUMPRODUCT(AA$9:AA$229,Nutrients!$EH$8:$EH$228)+(IF($A$7=Nutrients!$B$8,Nutrients!$EH$8,Nutrients!$EH$9)*AA$7)+(((IF($A$8=Nutrients!$B$79,Nutrients!$EH$79,(IF($A$8=Nutrients!$B$77,Nutrients!$EH$77,Nutrients!$EH$78)))))*AA$8))/2000</f>
        <v>36.207373222367529</v>
      </c>
      <c r="AB304" s="22">
        <f>(SUMPRODUCT(AB$9:AB$229,Nutrients!$EH$8:$EH$228)+(IF($A$7=Nutrients!$B$8,Nutrients!$EH$8,Nutrients!$EH$9)*AB$7)+(((IF($A$8=Nutrients!$B$79,Nutrients!$EH$79,(IF($A$8=Nutrients!$B$77,Nutrients!$EH$77,Nutrients!$EH$78)))))*AB$8))/2000</f>
        <v>36.548389500864616</v>
      </c>
      <c r="AD304" s="22">
        <f>(SUMPRODUCT(AD$9:AD$229,Nutrients!$EH$8:$EH$228)+(IF($A$7=Nutrients!$B$8,Nutrients!$EH$8,Nutrients!$EH$9)*AD$7)+(((IF($A$8=Nutrients!$B$79,Nutrients!$EH$79,(IF($A$8=Nutrients!$B$77,Nutrients!$EH$77,Nutrients!$EH$78)))))*AD$8))/2000</f>
        <v>30.788571372040046</v>
      </c>
      <c r="AE304" s="22">
        <f>(SUMPRODUCT(AE$9:AE$229,Nutrients!$EH$8:$EH$228)+(IF($A$7=Nutrients!$B$8,Nutrients!$EH$8,Nutrients!$EH$9)*AE$7)+(((IF($A$8=Nutrients!$B$79,Nutrients!$EH$79,(IF($A$8=Nutrients!$B$77,Nutrients!$EH$77,Nutrients!$EH$78)))))*AE$8))/2000</f>
        <v>32.219071076373034</v>
      </c>
      <c r="AF304" s="22">
        <f>(SUMPRODUCT(AF$9:AF$229,Nutrients!$EH$8:$EH$228)+(IF($A$7=Nutrients!$B$8,Nutrients!$EH$8,Nutrients!$EH$9)*AF$7)+(((IF($A$8=Nutrients!$B$79,Nutrients!$EH$79,(IF($A$8=Nutrients!$B$77,Nutrients!$EH$77,Nutrients!$EH$78)))))*AF$8))/2000</f>
        <v>33.458787372191345</v>
      </c>
      <c r="AG304" s="22">
        <f>(SUMPRODUCT(AG$9:AG$229,Nutrients!$EH$8:$EH$228)+(IF($A$7=Nutrients!$B$8,Nutrients!$EH$8,Nutrients!$EH$9)*AG$7)+(((IF($A$8=Nutrients!$B$79,Nutrients!$EH$79,(IF($A$8=Nutrients!$B$77,Nutrients!$EH$77,Nutrients!$EH$78)))))*AG$8))/2000</f>
        <v>34.50088672759901</v>
      </c>
      <c r="AH304" s="22">
        <f>(SUMPRODUCT(AH$9:AH$229,Nutrients!$EH$8:$EH$228)+(IF($A$7=Nutrients!$B$8,Nutrients!$EH$8,Nutrients!$EH$9)*AH$7)+(((IF($A$8=Nutrients!$B$79,Nutrients!$EH$79,(IF($A$8=Nutrients!$B$77,Nutrients!$EH$77,Nutrients!$EH$78)))))*AH$8))/2000</f>
        <v>35.1864749556552</v>
      </c>
      <c r="AI304" s="22">
        <f>(SUMPRODUCT(AI$9:AI$229,Nutrients!$EH$8:$EH$228)+(IF($A$7=Nutrients!$B$8,Nutrients!$EH$8,Nutrients!$EH$9)*AI$7)+(((IF($A$8=Nutrients!$B$79,Nutrients!$EH$79,(IF($A$8=Nutrients!$B$77,Nutrients!$EH$77,Nutrients!$EH$78)))))*AI$8))/2000</f>
        <v>35.513303310951791</v>
      </c>
      <c r="AK304" s="22">
        <f>(SUMPRODUCT(AK$9:AK$229,Nutrients!$EH$8:$EH$228)+(IF($A$7=Nutrients!$B$8,Nutrients!$EH$8,Nutrients!$EH$9)*AK$7)+(((IF($A$8=Nutrients!$B$79,Nutrients!$EH$79,(IF($A$8=Nutrients!$B$77,Nutrients!$EH$77,Nutrients!$EH$78)))))*AK$8))/2000</f>
        <v>29.763171736701704</v>
      </c>
      <c r="AL304" s="22">
        <f>(SUMPRODUCT(AL$9:AL$229,Nutrients!$EH$8:$EH$228)+(IF($A$7=Nutrients!$B$8,Nutrients!$EH$8,Nutrients!$EH$9)*AL$7)+(((IF($A$8=Nutrients!$B$79,Nutrients!$EH$79,(IF($A$8=Nutrients!$B$77,Nutrients!$EH$77,Nutrients!$EH$78)))))*AL$8))/2000</f>
        <v>31.247354142478294</v>
      </c>
      <c r="AM304" s="22">
        <f>(SUMPRODUCT(AM$9:AM$229,Nutrients!$EH$8:$EH$228)+(IF($A$7=Nutrients!$B$8,Nutrients!$EH$8,Nutrients!$EH$9)*AM$7)+(((IF($A$8=Nutrients!$B$79,Nutrients!$EH$79,(IF($A$8=Nutrients!$B$77,Nutrients!$EH$77,Nutrients!$EH$78)))))*AM$8))/2000</f>
        <v>32.472004767480598</v>
      </c>
      <c r="AN304" s="22">
        <f>(SUMPRODUCT(AN$9:AN$229,Nutrients!$EH$8:$EH$228)+(IF($A$7=Nutrients!$B$8,Nutrients!$EH$8,Nutrients!$EH$9)*AN$7)+(((IF($A$8=Nutrients!$B$79,Nutrients!$EH$79,(IF($A$8=Nutrients!$B$77,Nutrients!$EH$77,Nutrients!$EH$78)))))*AN$8))/2000</f>
        <v>33.490622380770702</v>
      </c>
      <c r="AO304" s="22">
        <f>(SUMPRODUCT(AO$9:AO$229,Nutrients!$EH$8:$EH$228)+(IF($A$7=Nutrients!$B$8,Nutrients!$EH$8,Nutrients!$EH$9)*AO$7)+(((IF($A$8=Nutrients!$B$79,Nutrients!$EH$79,(IF($A$8=Nutrients!$B$77,Nutrients!$EH$77,Nutrients!$EH$78)))))*AO$8))/2000</f>
        <v>34.154494942970253</v>
      </c>
      <c r="AP304" s="22">
        <f>(SUMPRODUCT(AP$9:AP$229,Nutrients!$EH$8:$EH$228)+(IF($A$7=Nutrients!$B$8,Nutrients!$EH$8,Nutrients!$EH$9)*AP$7)+(((IF($A$8=Nutrients!$B$79,Nutrients!$EH$79,(IF($A$8=Nutrients!$B$77,Nutrients!$EH$77,Nutrients!$EH$78)))))*AP$8))/2000</f>
        <v>34.478060691133393</v>
      </c>
      <c r="AR304" s="22">
        <f>(SUMPRODUCT(AR$9:AR$229,Nutrients!$EH$8:$EH$228)+(IF($A$7=Nutrients!$B$8,Nutrients!$EH$8,Nutrients!$EH$9)*AR$7)+(((IF($A$8=Nutrients!$B$79,Nutrients!$EH$79,(IF($A$8=Nutrients!$B$77,Nutrients!$EH$77,Nutrients!$EH$78)))))*AR$8))/2000</f>
        <v>28.811956489715804</v>
      </c>
      <c r="AS304" s="22">
        <f>(SUMPRODUCT(AS$9:AS$229,Nutrients!$EH$8:$EH$228)+(IF($A$7=Nutrients!$B$8,Nutrients!$EH$8,Nutrients!$EH$9)*AS$7)+(((IF($A$8=Nutrients!$B$79,Nutrients!$EH$79,(IF($A$8=Nutrients!$B$77,Nutrients!$EH$77,Nutrients!$EH$78)))))*AS$8))/2000</f>
        <v>30.27510924887207</v>
      </c>
      <c r="AT304" s="22">
        <f>(SUMPRODUCT(AT$9:AT$229,Nutrients!$EH$8:$EH$228)+(IF($A$7=Nutrients!$B$8,Nutrients!$EH$8,Nutrients!$EH$9)*AT$7)+(((IF($A$8=Nutrients!$B$79,Nutrients!$EH$79,(IF($A$8=Nutrients!$B$77,Nutrients!$EH$77,Nutrients!$EH$78)))))*AT$8))/2000</f>
        <v>31.482030440715349</v>
      </c>
      <c r="AU304" s="22">
        <f>(SUMPRODUCT(AU$9:AU$229,Nutrients!$EH$8:$EH$228)+(IF($A$7=Nutrients!$B$8,Nutrients!$EH$8,Nutrients!$EH$9)*AU$7)+(((IF($A$8=Nutrients!$B$79,Nutrients!$EH$79,(IF($A$8=Nutrients!$B$77,Nutrients!$EH$77,Nutrients!$EH$78)))))*AU$8))/2000</f>
        <v>32.462851994037003</v>
      </c>
      <c r="AV304" s="22">
        <f>(SUMPRODUCT(AV$9:AV$229,Nutrients!$EH$8:$EH$228)+(IF($A$7=Nutrients!$B$8,Nutrients!$EH$8,Nutrients!$EH$9)*AV$7)+(((IF($A$8=Nutrients!$B$79,Nutrients!$EH$79,(IF($A$8=Nutrients!$B$77,Nutrients!$EH$77,Nutrients!$EH$78)))))*AV$8))/2000</f>
        <v>33.122637196513061</v>
      </c>
      <c r="AW304" s="22">
        <f>(SUMPRODUCT(AW$9:AW$229,Nutrients!$EH$8:$EH$228)+(IF($A$7=Nutrients!$B$8,Nutrients!$EH$8,Nutrients!$EH$9)*AW$7)+(((IF($A$8=Nutrients!$B$79,Nutrients!$EH$79,(IF($A$8=Nutrients!$B$77,Nutrients!$EH$77,Nutrients!$EH$78)))))*AW$8))/2000</f>
        <v>33.442994451861225</v>
      </c>
    </row>
    <row r="305" spans="1:49" x14ac:dyDescent="0.25">
      <c r="A305" t="s">
        <v>58</v>
      </c>
      <c r="B305" s="23">
        <f t="shared" ref="B305:G305" si="175">(0.4472*B304)+51.796</f>
        <v>67.295310140026132</v>
      </c>
      <c r="C305" s="23">
        <f t="shared" si="175"/>
        <v>67.94844373583328</v>
      </c>
      <c r="D305" s="23">
        <f t="shared" si="175"/>
        <v>68.516312942344612</v>
      </c>
      <c r="E305" s="23">
        <f t="shared" si="175"/>
        <v>68.992490029910371</v>
      </c>
      <c r="F305" s="23">
        <f t="shared" si="175"/>
        <v>69.320820614973073</v>
      </c>
      <c r="G305" s="23">
        <f t="shared" si="175"/>
        <v>69.480518088923972</v>
      </c>
      <c r="H305" s="227"/>
      <c r="I305" s="23">
        <f t="shared" ref="I305:N305" si="176">(0.4472*I304)+51.796</f>
        <v>66.869247725940681</v>
      </c>
      <c r="J305" s="23">
        <f t="shared" si="176"/>
        <v>67.515468372383566</v>
      </c>
      <c r="K305" s="23">
        <f t="shared" si="176"/>
        <v>68.077670744761974</v>
      </c>
      <c r="L305" s="23">
        <f t="shared" si="176"/>
        <v>68.554493864793614</v>
      </c>
      <c r="M305" s="23">
        <f t="shared" si="176"/>
        <v>68.881726827220717</v>
      </c>
      <c r="N305" s="23">
        <f t="shared" si="176"/>
        <v>69.040734165916916</v>
      </c>
      <c r="O305" s="198"/>
      <c r="P305" s="23">
        <f t="shared" ref="P305:U305" si="177">(0.4472*P304)+51.796</f>
        <v>66.43406389321585</v>
      </c>
      <c r="Q305" s="23">
        <f t="shared" si="177"/>
        <v>67.07622360255705</v>
      </c>
      <c r="R305" s="23">
        <f t="shared" si="177"/>
        <v>67.634242088461377</v>
      </c>
      <c r="S305" s="23">
        <f t="shared" si="177"/>
        <v>68.113041497917678</v>
      </c>
      <c r="T305" s="23">
        <f t="shared" si="177"/>
        <v>68.435081523620283</v>
      </c>
      <c r="U305" s="23">
        <f t="shared" si="177"/>
        <v>68.592191167932498</v>
      </c>
      <c r="W305" s="23">
        <f t="shared" ref="W305:AB305" si="178">(0.4472*W304)+51.796</f>
        <v>65.999216992897843</v>
      </c>
      <c r="X305" s="23">
        <f t="shared" si="178"/>
        <v>66.637406182360039</v>
      </c>
      <c r="Y305" s="23">
        <f t="shared" si="178"/>
        <v>67.197220702369449</v>
      </c>
      <c r="Z305" s="23">
        <f t="shared" si="178"/>
        <v>67.669843407428644</v>
      </c>
      <c r="AA305" s="23">
        <f t="shared" si="178"/>
        <v>67.987937305042763</v>
      </c>
      <c r="AB305" s="23">
        <f t="shared" si="178"/>
        <v>68.140439784786651</v>
      </c>
      <c r="AD305" s="23">
        <f t="shared" ref="AD305:AI305" si="179">(0.4472*AD304)+51.796</f>
        <v>65.564649117576309</v>
      </c>
      <c r="AE305" s="23">
        <f t="shared" si="179"/>
        <v>66.204368585354018</v>
      </c>
      <c r="AF305" s="23">
        <f t="shared" si="179"/>
        <v>66.758769712843971</v>
      </c>
      <c r="AG305" s="23">
        <f t="shared" si="179"/>
        <v>67.224796544582276</v>
      </c>
      <c r="AH305" s="23">
        <f t="shared" si="179"/>
        <v>67.531391600169002</v>
      </c>
      <c r="AI305" s="23">
        <f t="shared" si="179"/>
        <v>67.67754924065764</v>
      </c>
      <c r="AK305" s="23">
        <f t="shared" ref="AK305:AP305" si="180">(0.4472*AK304)+51.796</f>
        <v>65.106090400653002</v>
      </c>
      <c r="AL305" s="23">
        <f t="shared" si="180"/>
        <v>65.769816772516293</v>
      </c>
      <c r="AM305" s="23">
        <f t="shared" si="180"/>
        <v>66.317480532017328</v>
      </c>
      <c r="AN305" s="23">
        <f t="shared" si="180"/>
        <v>66.773006328680651</v>
      </c>
      <c r="AO305" s="23">
        <f t="shared" si="180"/>
        <v>67.069890138496291</v>
      </c>
      <c r="AP305" s="23">
        <f t="shared" si="180"/>
        <v>67.214588741074849</v>
      </c>
      <c r="AR305" s="23">
        <f t="shared" ref="AR305:AW305" si="181">(0.4472*AR304)+51.796</f>
        <v>64.680706942200914</v>
      </c>
      <c r="AS305" s="23">
        <f t="shared" si="181"/>
        <v>65.33502885609559</v>
      </c>
      <c r="AT305" s="23">
        <f t="shared" si="181"/>
        <v>65.874764013087898</v>
      </c>
      <c r="AU305" s="23">
        <f t="shared" si="181"/>
        <v>66.313387411733345</v>
      </c>
      <c r="AV305" s="23">
        <f t="shared" si="181"/>
        <v>66.608443354280638</v>
      </c>
      <c r="AW305" s="23">
        <f t="shared" si="181"/>
        <v>66.751707118872332</v>
      </c>
    </row>
    <row r="306" spans="1:49" x14ac:dyDescent="0.25">
      <c r="A306" t="s">
        <v>65</v>
      </c>
      <c r="B306" s="23">
        <f>(SUMPRODUCT(B$9:B$229,Nutrients!$BW$8:$BW$228)+(IF($A$7=Nutrients!$B$8,Nutrients!$BW$8,Nutrients!$BW$9)*B$7)+(((IF($A$8=Nutrients!$B$79,Nutrients!$BW$79,(IF($A$8=Nutrients!$B$77,Nutrients!$BW$77,Nutrients!$BW$78)))))*B$8))/2000</f>
        <v>0.17839028042000546</v>
      </c>
      <c r="C306" s="23">
        <f>(SUMPRODUCT(C$9:C$229,Nutrients!$BW$8:$BW$228)+(IF($A$7=Nutrients!$B$8,Nutrients!$BW$8,Nutrients!$BW$9)*C$7)+(((IF($A$8=Nutrients!$B$79,Nutrients!$BW$79,(IF($A$8=Nutrients!$B$77,Nutrients!$BW$77,Nutrients!$BW$78)))))*C$8))/2000</f>
        <v>0.1747961379454851</v>
      </c>
      <c r="D306" s="23">
        <f>(SUMPRODUCT(D$9:D$229,Nutrients!$BW$8:$BW$228)+(IF($A$7=Nutrients!$B$8,Nutrients!$BW$8,Nutrients!$BW$9)*D$7)+(((IF($A$8=Nutrients!$B$79,Nutrients!$BW$79,(IF($A$8=Nutrients!$B$77,Nutrients!$BW$77,Nutrients!$BW$78)))))*D$8))/2000</f>
        <v>0.17169952789434653</v>
      </c>
      <c r="E306" s="23">
        <f>(SUMPRODUCT(E$9:E$229,Nutrients!$BW$8:$BW$228)+(IF($A$7=Nutrients!$B$8,Nutrients!$BW$8,Nutrients!$BW$9)*E$7)+(((IF($A$8=Nutrients!$B$79,Nutrients!$BW$79,(IF($A$8=Nutrients!$B$77,Nutrients!$BW$77,Nutrients!$BW$78)))))*E$8))/2000</f>
        <v>0.16911270535843034</v>
      </c>
      <c r="F306" s="23">
        <f>(SUMPRODUCT(F$9:F$229,Nutrients!$BW$8:$BW$228)+(IF($A$7=Nutrients!$B$8,Nutrients!$BW$8,Nutrients!$BW$9)*F$7)+(((IF($A$8=Nutrients!$B$79,Nutrients!$BW$79,(IF($A$8=Nutrients!$B$77,Nutrients!$BW$77,Nutrients!$BW$78)))))*F$8))/2000</f>
        <v>0.16737197925804595</v>
      </c>
      <c r="G306" s="23">
        <f>(SUMPRODUCT(G$9:G$229,Nutrients!$BW$8:$BW$228)+(IF($A$7=Nutrients!$B$8,Nutrients!$BW$8,Nutrients!$BW$9)*G$7)+(((IF($A$8=Nutrients!$B$79,Nutrients!$BW$79,(IF($A$8=Nutrients!$B$77,Nutrients!$BW$77,Nutrients!$BW$78)))))*G$8))/2000</f>
        <v>0.1664919947730959</v>
      </c>
      <c r="H306" s="227"/>
      <c r="I306" s="23">
        <f>(SUMPRODUCT(I$9:I$229,Nutrients!$BW$8:$BW$228)+(IF($A$7=Nutrients!$B$8,Nutrients!$BW$8,Nutrients!$BW$9)*I$7)+(((IF($A$8=Nutrients!$B$79,Nutrients!$BW$79,(IF($A$8=Nutrients!$B$77,Nutrients!$BW$77,Nutrients!$BW$78)))))*I$8))/2000</f>
        <v>0.18562286981309919</v>
      </c>
      <c r="J306" s="23">
        <f>(SUMPRODUCT(J$9:J$229,Nutrients!$BW$8:$BW$228)+(IF($A$7=Nutrients!$B$8,Nutrients!$BW$8,Nutrients!$BW$9)*J$7)+(((IF($A$8=Nutrients!$B$79,Nutrients!$BW$79,(IF($A$8=Nutrients!$B$77,Nutrients!$BW$77,Nutrients!$BW$78)))))*J$8))/2000</f>
        <v>0.18206569740360845</v>
      </c>
      <c r="K306" s="23">
        <f>(SUMPRODUCT(K$9:K$229,Nutrients!$BW$8:$BW$228)+(IF($A$7=Nutrients!$B$8,Nutrients!$BW$8,Nutrients!$BW$9)*K$7)+(((IF($A$8=Nutrients!$B$79,Nutrients!$BW$79,(IF($A$8=Nutrients!$B$77,Nutrients!$BW$77,Nutrients!$BW$78)))))*K$8))/2000</f>
        <v>0.17899888148280288</v>
      </c>
      <c r="L306" s="23">
        <f>(SUMPRODUCT(L$9:L$229,Nutrients!$BW$8:$BW$228)+(IF($A$7=Nutrients!$B$8,Nutrients!$BW$8,Nutrients!$BW$9)*L$7)+(((IF($A$8=Nutrients!$B$79,Nutrients!$BW$79,(IF($A$8=Nutrients!$B$77,Nutrients!$BW$77,Nutrients!$BW$78)))))*L$8))/2000</f>
        <v>0.17640287222484963</v>
      </c>
      <c r="M306" s="23">
        <f>(SUMPRODUCT(M$9:M$229,Nutrients!$BW$8:$BW$228)+(IF($A$7=Nutrients!$B$8,Nutrients!$BW$8,Nutrients!$BW$9)*M$7)+(((IF($A$8=Nutrients!$B$79,Nutrients!$BW$79,(IF($A$8=Nutrients!$B$77,Nutrients!$BW$77,Nutrients!$BW$78)))))*M$8))/2000</f>
        <v>0.17466956877762876</v>
      </c>
      <c r="N306" s="23">
        <f>(SUMPRODUCT(N$9:N$229,Nutrients!$BW$8:$BW$228)+(IF($A$7=Nutrients!$B$8,Nutrients!$BW$8,Nutrients!$BW$9)*N$7)+(((IF($A$8=Nutrients!$B$79,Nutrients!$BW$79,(IF($A$8=Nutrients!$B$77,Nutrients!$BW$77,Nutrients!$BW$78)))))*N$8))/2000</f>
        <v>0.17379099869826903</v>
      </c>
      <c r="O306" s="198"/>
      <c r="P306" s="23">
        <f>(SUMPRODUCT(P$9:P$229,Nutrients!$BW$8:$BW$228)+(IF($A$7=Nutrients!$B$8,Nutrients!$BW$8,Nutrients!$BW$9)*P$7)+(((IF($A$8=Nutrients!$B$79,Nutrients!$BW$79,(IF($A$8=Nutrients!$B$77,Nutrients!$BW$77,Nutrients!$BW$78)))))*P$8))/2000</f>
        <v>0.19290296032595378</v>
      </c>
      <c r="Q306" s="23">
        <f>(SUMPRODUCT(Q$9:Q$229,Nutrients!$BW$8:$BW$228)+(IF($A$7=Nutrients!$B$8,Nutrients!$BW$8,Nutrients!$BW$9)*Q$7)+(((IF($A$8=Nutrients!$B$79,Nutrients!$BW$79,(IF($A$8=Nutrients!$B$77,Nutrients!$BW$77,Nutrients!$BW$78)))))*Q$8))/2000</f>
        <v>0.18936723619453219</v>
      </c>
      <c r="R306" s="23">
        <f>(SUMPRODUCT(R$9:R$229,Nutrients!$BW$8:$BW$228)+(IF($A$7=Nutrients!$B$8,Nutrients!$BW$8,Nutrients!$BW$9)*R$7)+(((IF($A$8=Nutrients!$B$79,Nutrients!$BW$79,(IF($A$8=Nutrients!$B$77,Nutrients!$BW$77,Nutrients!$BW$78)))))*R$8))/2000</f>
        <v>0.18632393708775447</v>
      </c>
      <c r="S306" s="23">
        <f>(SUMPRODUCT(S$9:S$229,Nutrients!$BW$8:$BW$228)+(IF($A$7=Nutrients!$B$8,Nutrients!$BW$8,Nutrients!$BW$9)*S$7)+(((IF($A$8=Nutrients!$B$79,Nutrients!$BW$79,(IF($A$8=Nutrients!$B$77,Nutrients!$BW$77,Nutrients!$BW$78)))))*S$8))/2000</f>
        <v>0.18371713584127405</v>
      </c>
      <c r="T306" s="23">
        <f>(SUMPRODUCT(T$9:T$229,Nutrients!$BW$8:$BW$228)+(IF($A$7=Nutrients!$B$8,Nutrients!$BW$8,Nutrients!$BW$9)*T$7)+(((IF($A$8=Nutrients!$B$79,Nutrients!$BW$79,(IF($A$8=Nutrients!$B$77,Nutrients!$BW$77,Nutrients!$BW$78)))))*T$8))/2000</f>
        <v>0.18200143055036358</v>
      </c>
      <c r="U306" s="23">
        <f>(SUMPRODUCT(U$9:U$229,Nutrients!$BW$8:$BW$228)+(IF($A$7=Nutrients!$B$8,Nutrients!$BW$8,Nutrients!$BW$9)*U$7)+(((IF($A$8=Nutrients!$B$79,Nutrients!$BW$79,(IF($A$8=Nutrients!$B$77,Nutrients!$BW$77,Nutrients!$BW$78)))))*U$8))/2000</f>
        <v>0.1811301456613702</v>
      </c>
      <c r="W306" s="23">
        <f>(SUMPRODUCT(W$9:W$229,Nutrients!$BW$8:$BW$228)+(IF($A$7=Nutrients!$B$8,Nutrients!$BW$8,Nutrients!$BW$9)*W$7)+(((IF($A$8=Nutrients!$B$79,Nutrients!$BW$79,(IF($A$8=Nutrients!$B$77,Nutrients!$BW$77,Nutrients!$BW$78)))))*W$8))/2000</f>
        <v>0.20018196879032896</v>
      </c>
      <c r="X306" s="23">
        <f>(SUMPRODUCT(X$9:X$229,Nutrients!$BW$8:$BW$228)+(IF($A$7=Nutrients!$B$8,Nutrients!$BW$8,Nutrients!$BW$9)*X$7)+(((IF($A$8=Nutrients!$B$79,Nutrients!$BW$79,(IF($A$8=Nutrients!$B$77,Nutrients!$BW$77,Nutrients!$BW$78)))))*X$8))/2000</f>
        <v>0.19666798822364953</v>
      </c>
      <c r="Y306" s="23">
        <f>(SUMPRODUCT(Y$9:Y$229,Nutrients!$BW$8:$BW$228)+(IF($A$7=Nutrients!$B$8,Nutrients!$BW$8,Nutrients!$BW$9)*Y$7)+(((IF($A$8=Nutrients!$B$79,Nutrients!$BW$79,(IF($A$8=Nutrients!$B$77,Nutrients!$BW$77,Nutrients!$BW$78)))))*Y$8))/2000</f>
        <v>0.19361420156022802</v>
      </c>
      <c r="Z306" s="23">
        <f>(SUMPRODUCT(Z$9:Z$229,Nutrients!$BW$8:$BW$228)+(IF($A$7=Nutrients!$B$8,Nutrients!$BW$8,Nutrients!$BW$9)*Z$7)+(((IF($A$8=Nutrients!$B$79,Nutrients!$BW$79,(IF($A$8=Nutrients!$B$77,Nutrients!$BW$77,Nutrients!$BW$78)))))*Z$8))/2000</f>
        <v>0.19103821967195403</v>
      </c>
      <c r="AA306" s="23">
        <f>(SUMPRODUCT(AA$9:AA$229,Nutrients!$BW$8:$BW$228)+(IF($A$7=Nutrients!$B$8,Nutrients!$BW$8,Nutrients!$BW$9)*AA$7)+(((IF($A$8=Nutrients!$B$79,Nutrients!$BW$79,(IF($A$8=Nutrients!$B$77,Nutrients!$BW$77,Nutrients!$BW$78)))))*AA$8))/2000</f>
        <v>0.18933386385278517</v>
      </c>
      <c r="AB306" s="23">
        <f>(SUMPRODUCT(AB$9:AB$229,Nutrients!$BW$8:$BW$228)+(IF($A$7=Nutrients!$B$8,Nutrients!$BW$8,Nutrients!$BW$9)*AB$7)+(((IF($A$8=Nutrients!$B$79,Nutrients!$BW$79,(IF($A$8=Nutrients!$B$77,Nutrients!$BW$77,Nutrients!$BW$78)))))*AB$8))/2000</f>
        <v>0.18849542032829325</v>
      </c>
      <c r="AD306" s="23">
        <f>(SUMPRODUCT(AD$9:AD$229,Nutrients!$BW$8:$BW$228)+(IF($A$7=Nutrients!$B$8,Nutrients!$BW$8,Nutrients!$BW$9)*AD$7)+(((IF($A$8=Nutrients!$B$79,Nutrients!$BW$79,(IF($A$8=Nutrients!$B$77,Nutrients!$BW$77,Nutrients!$BW$78)))))*AD$8))/2000</f>
        <v>0.20745899107422577</v>
      </c>
      <c r="AE306" s="23">
        <f>(SUMPRODUCT(AE$9:AE$229,Nutrients!$BW$8:$BW$228)+(IF($A$7=Nutrients!$B$8,Nutrients!$BW$8,Nutrients!$BW$9)*AE$7)+(((IF($A$8=Nutrients!$B$79,Nutrients!$BW$79,(IF($A$8=Nutrients!$B$77,Nutrients!$BW$77,Nutrients!$BW$78)))))*AE$8))/2000</f>
        <v>0.20393659587343096</v>
      </c>
      <c r="AF306" s="23">
        <f>(SUMPRODUCT(AF$9:AF$229,Nutrients!$BW$8:$BW$228)+(IF($A$7=Nutrients!$B$8,Nutrients!$BW$8,Nutrients!$BW$9)*AF$7)+(((IF($A$8=Nutrients!$B$79,Nutrients!$BW$79,(IF($A$8=Nutrients!$B$77,Nutrients!$BW$77,Nutrients!$BW$78)))))*AF$8))/2000</f>
        <v>0.20091337096117329</v>
      </c>
      <c r="AG306" s="23">
        <f>(SUMPRODUCT(AG$9:AG$229,Nutrients!$BW$8:$BW$228)+(IF($A$7=Nutrients!$B$8,Nutrients!$BW$8,Nutrients!$BW$9)*AG$7)+(((IF($A$8=Nutrients!$B$79,Nutrients!$BW$79,(IF($A$8=Nutrients!$B$77,Nutrients!$BW$77,Nutrients!$BW$78)))))*AG$8))/2000</f>
        <v>0.19835846349485534</v>
      </c>
      <c r="AH306" s="23">
        <f>(SUMPRODUCT(AH$9:AH$229,Nutrients!$BW$8:$BW$228)+(IF($A$7=Nutrients!$B$8,Nutrients!$BW$8,Nutrients!$BW$9)*AH$7)+(((IF($A$8=Nutrients!$B$79,Nutrients!$BW$79,(IF($A$8=Nutrients!$B$77,Nutrients!$BW$77,Nutrients!$BW$78)))))*AH$8))/2000</f>
        <v>0.19673978885299195</v>
      </c>
      <c r="AI306" s="23">
        <f>(SUMPRODUCT(AI$9:AI$229,Nutrients!$BW$8:$BW$228)+(IF($A$7=Nutrients!$B$8,Nutrients!$BW$8,Nutrients!$BW$9)*AI$7)+(((IF($A$8=Nutrients!$B$79,Nutrients!$BW$79,(IF($A$8=Nutrients!$B$77,Nutrients!$BW$77,Nutrients!$BW$78)))))*AI$8))/2000</f>
        <v>0.19594774977452786</v>
      </c>
      <c r="AK306" s="23">
        <f>(SUMPRODUCT(AK$9:AK$229,Nutrients!$BW$8:$BW$228)+(IF($A$7=Nutrients!$B$8,Nutrients!$BW$8,Nutrients!$BW$9)*AK$7)+(((IF($A$8=Nutrients!$B$79,Nutrients!$BW$79,(IF($A$8=Nutrients!$B$77,Nutrients!$BW$77,Nutrients!$BW$78)))))*AK$8))/2000</f>
        <v>0.21486728563327551</v>
      </c>
      <c r="AL306" s="23">
        <f>(SUMPRODUCT(AL$9:AL$229,Nutrients!$BW$8:$BW$228)+(IF($A$7=Nutrients!$B$8,Nutrients!$BW$8,Nutrients!$BW$9)*AL$7)+(((IF($A$8=Nutrients!$B$79,Nutrients!$BW$79,(IF($A$8=Nutrients!$B$77,Nutrients!$BW$77,Nutrients!$BW$78)))))*AL$8))/2000</f>
        <v>0.21121398836460173</v>
      </c>
      <c r="AM306" s="23">
        <f>(SUMPRODUCT(AM$9:AM$229,Nutrients!$BW$8:$BW$228)+(IF($A$7=Nutrients!$B$8,Nutrients!$BW$8,Nutrients!$BW$9)*AM$7)+(((IF($A$8=Nutrients!$B$79,Nutrients!$BW$79,(IF($A$8=Nutrients!$B$77,Nutrients!$BW$77,Nutrients!$BW$78)))))*AM$8))/2000</f>
        <v>0.20821374060536282</v>
      </c>
      <c r="AN306" s="23">
        <f>(SUMPRODUCT(AN$9:AN$229,Nutrients!$BW$8:$BW$228)+(IF($A$7=Nutrients!$B$8,Nutrients!$BW$8,Nutrients!$BW$9)*AN$7)+(((IF($A$8=Nutrients!$B$79,Nutrients!$BW$79,(IF($A$8=Nutrients!$B$77,Nutrients!$BW$77,Nutrients!$BW$78)))))*AN$8))/2000</f>
        <v>0.20573356687597472</v>
      </c>
      <c r="AO306" s="23">
        <f>(SUMPRODUCT(AO$9:AO$229,Nutrients!$BW$8:$BW$228)+(IF($A$7=Nutrients!$B$8,Nutrients!$BW$8,Nutrients!$BW$9)*AO$7)+(((IF($A$8=Nutrients!$B$79,Nutrients!$BW$79,(IF($A$8=Nutrients!$B$77,Nutrients!$BW$77,Nutrients!$BW$78)))))*AO$8))/2000</f>
        <v>0.20418396325292856</v>
      </c>
      <c r="AP306" s="23">
        <f>(SUMPRODUCT(AP$9:AP$229,Nutrients!$BW$8:$BW$228)+(IF($A$7=Nutrients!$B$8,Nutrients!$BW$8,Nutrients!$BW$9)*AP$7)+(((IF($A$8=Nutrients!$B$79,Nutrients!$BW$79,(IF($A$8=Nutrients!$B$77,Nutrients!$BW$77,Nutrients!$BW$78)))))*AP$8))/2000</f>
        <v>0.2033998927640788</v>
      </c>
      <c r="AR306" s="23">
        <f>(SUMPRODUCT(AR$9:AR$229,Nutrients!$BW$8:$BW$228)+(IF($A$7=Nutrients!$B$8,Nutrients!$BW$8,Nutrients!$BW$9)*AR$7)+(((IF($A$8=Nutrients!$B$79,Nutrients!$BW$79,(IF($A$8=Nutrients!$B$77,Nutrients!$BW$77,Nutrients!$BW$78)))))*AR$8))/2000</f>
        <v>0.22209437244780594</v>
      </c>
      <c r="AS306" s="23">
        <f>(SUMPRODUCT(AS$9:AS$229,Nutrients!$BW$8:$BW$228)+(IF($A$7=Nutrients!$B$8,Nutrients!$BW$8,Nutrients!$BW$9)*AS$7)+(((IF($A$8=Nutrients!$B$79,Nutrients!$BW$79,(IF($A$8=Nutrients!$B$77,Nutrients!$BW$77,Nutrients!$BW$78)))))*AS$8))/2000</f>
        <v>0.21849221670755783</v>
      </c>
      <c r="AT306" s="23">
        <f>(SUMPRODUCT(AT$9:AT$229,Nutrients!$BW$8:$BW$228)+(IF($A$7=Nutrients!$B$8,Nutrients!$BW$8,Nutrients!$BW$9)*AT$7)+(((IF($A$8=Nutrients!$B$79,Nutrients!$BW$79,(IF($A$8=Nutrients!$B$77,Nutrients!$BW$77,Nutrients!$BW$78)))))*AT$8))/2000</f>
        <v>0.21552132635925586</v>
      </c>
      <c r="AU306" s="23">
        <f>(SUMPRODUCT(AU$9:AU$229,Nutrients!$BW$8:$BW$228)+(IF($A$7=Nutrients!$B$8,Nutrients!$BW$8,Nutrients!$BW$9)*AU$7)+(((IF($A$8=Nutrients!$B$79,Nutrients!$BW$79,(IF($A$8=Nutrients!$B$77,Nutrients!$BW$77,Nutrients!$BW$78)))))*AU$8))/2000</f>
        <v>0.21316717711694511</v>
      </c>
      <c r="AV306" s="23">
        <f>(SUMPRODUCT(AV$9:AV$229,Nutrients!$BW$8:$BW$228)+(IF($A$7=Nutrients!$B$8,Nutrients!$BW$8,Nutrients!$BW$9)*AV$7)+(((IF($A$8=Nutrients!$B$79,Nutrients!$BW$79,(IF($A$8=Nutrients!$B$77,Nutrients!$BW$77,Nutrients!$BW$78)))))*AV$8))/2000</f>
        <v>0.21162837239487978</v>
      </c>
      <c r="AW306" s="23">
        <f>(SUMPRODUCT(AW$9:AW$229,Nutrients!$BW$8:$BW$228)+(IF($A$7=Nutrients!$B$8,Nutrients!$BW$8,Nutrients!$BW$9)*AW$7)+(((IF($A$8=Nutrients!$B$79,Nutrients!$BW$79,(IF($A$8=Nutrients!$B$77,Nutrients!$BW$77,Nutrients!$BW$78)))))*AW$8))/2000</f>
        <v>0.21085216926731284</v>
      </c>
    </row>
    <row r="307" spans="1:49" x14ac:dyDescent="0.25">
      <c r="A307" t="s">
        <v>66</v>
      </c>
      <c r="B307" s="23">
        <f>(SUMPRODUCT(B$9:B$229,Nutrients!$BT$8:$BT$228)+(IF($A$7=Nutrients!$B$8,Nutrients!$BT$8,Nutrients!$BT$9)*B$7)+(((IF($A$8=Nutrients!$B$79,Nutrients!$BT$79,(IF($A$8=Nutrients!$B$77,Nutrients!$BT$77,Nutrients!$BT$78)))))*B$8))/2000</f>
        <v>0.31519434822612252</v>
      </c>
      <c r="C307" s="23">
        <f>(SUMPRODUCT(C$9:C$229,Nutrients!$BT$8:$BT$228)+(IF($A$7=Nutrients!$B$8,Nutrients!$BT$8,Nutrients!$BT$9)*C$7)+(((IF($A$8=Nutrients!$B$79,Nutrients!$BT$79,(IF($A$8=Nutrients!$B$77,Nutrients!$BT$77,Nutrients!$BT$78)))))*C$8))/2000</f>
        <v>0.3147366231672945</v>
      </c>
      <c r="D307" s="23">
        <f>(SUMPRODUCT(D$9:D$229,Nutrients!$BT$8:$BT$228)+(IF($A$7=Nutrients!$B$8,Nutrients!$BT$8,Nutrients!$BT$9)*D$7)+(((IF($A$8=Nutrients!$B$79,Nutrients!$BT$79,(IF($A$8=Nutrients!$B$77,Nutrients!$BT$77,Nutrients!$BT$78)))))*D$8))/2000</f>
        <v>0.31354180150272754</v>
      </c>
      <c r="E307" s="23">
        <f>(SUMPRODUCT(E$9:E$229,Nutrients!$BT$8:$BT$228)+(IF($A$7=Nutrients!$B$8,Nutrients!$BT$8,Nutrients!$BT$9)*E$7)+(((IF($A$8=Nutrients!$B$79,Nutrients!$BT$79,(IF($A$8=Nutrients!$B$77,Nutrients!$BT$77,Nutrients!$BT$78)))))*E$8))/2000</f>
        <v>0.31295871729246166</v>
      </c>
      <c r="F307" s="23">
        <f>(SUMPRODUCT(F$9:F$229,Nutrients!$BT$8:$BT$228)+(IF($A$7=Nutrients!$B$8,Nutrients!$BT$8,Nutrients!$BT$9)*F$7)+(((IF($A$8=Nutrients!$B$79,Nutrients!$BT$79,(IF($A$8=Nutrients!$B$77,Nutrients!$BT$77,Nutrients!$BT$78)))))*F$8))/2000</f>
        <v>0.31206915279820541</v>
      </c>
      <c r="G307" s="23">
        <f>(SUMPRODUCT(G$9:G$229,Nutrients!$BT$8:$BT$228)+(IF($A$7=Nutrients!$B$8,Nutrients!$BT$8,Nutrients!$BT$9)*G$7)+(((IF($A$8=Nutrients!$B$79,Nutrients!$BT$79,(IF($A$8=Nutrients!$B$77,Nutrients!$BT$77,Nutrients!$BT$78)))))*G$8))/2000</f>
        <v>0.31085636054251664</v>
      </c>
      <c r="H307" s="227"/>
      <c r="I307" s="23">
        <f>(SUMPRODUCT(I$9:I$229,Nutrients!$BT$8:$BT$228)+(IF($A$7=Nutrients!$B$8,Nutrients!$BT$8,Nutrients!$BT$9)*I$7)+(((IF($A$8=Nutrients!$B$79,Nutrients!$BT$79,(IF($A$8=Nutrients!$B$77,Nutrients!$BT$77,Nutrients!$BT$78)))))*I$8))/2000</f>
        <v>0.32797913621121561</v>
      </c>
      <c r="J307" s="23">
        <f>(SUMPRODUCT(J$9:J$229,Nutrients!$BT$8:$BT$228)+(IF($A$7=Nutrients!$B$8,Nutrients!$BT$8,Nutrients!$BT$9)*J$7)+(((IF($A$8=Nutrients!$B$79,Nutrients!$BT$79,(IF($A$8=Nutrients!$B$77,Nutrients!$BT$77,Nutrients!$BT$78)))))*J$8))/2000</f>
        <v>0.32752024217632575</v>
      </c>
      <c r="K307" s="23">
        <f>(SUMPRODUCT(K$9:K$229,Nutrients!$BT$8:$BT$228)+(IF($A$7=Nutrients!$B$8,Nutrients!$BT$8,Nutrients!$BT$9)*K$7)+(((IF($A$8=Nutrients!$B$79,Nutrients!$BT$79,(IF($A$8=Nutrients!$B$77,Nutrients!$BT$77,Nutrients!$BT$78)))))*K$8))/2000</f>
        <v>0.32632434792923404</v>
      </c>
      <c r="L307" s="23">
        <f>(SUMPRODUCT(L$9:L$229,Nutrients!$BT$8:$BT$228)+(IF($A$7=Nutrients!$B$8,Nutrients!$BT$8,Nutrients!$BT$9)*L$7)+(((IF($A$8=Nutrients!$B$79,Nutrients!$BT$79,(IF($A$8=Nutrients!$B$77,Nutrients!$BT$77,Nutrients!$BT$78)))))*L$8))/2000</f>
        <v>0.32574971304931477</v>
      </c>
      <c r="M307" s="23">
        <f>(SUMPRODUCT(M$9:M$229,Nutrients!$BT$8:$BT$228)+(IF($A$7=Nutrients!$B$8,Nutrients!$BT$8,Nutrients!$BT$9)*M$7)+(((IF($A$8=Nutrients!$B$79,Nutrients!$BT$79,(IF($A$8=Nutrients!$B$77,Nutrients!$BT$77,Nutrients!$BT$78)))))*M$8))/2000</f>
        <v>0.32485741816680286</v>
      </c>
      <c r="N307" s="23">
        <f>(SUMPRODUCT(N$9:N$229,Nutrients!$BT$8:$BT$228)+(IF($A$7=Nutrients!$B$8,Nutrients!$BT$8,Nutrients!$BT$9)*N$7)+(((IF($A$8=Nutrients!$B$79,Nutrients!$BT$79,(IF($A$8=Nutrients!$B$77,Nutrients!$BT$77,Nutrients!$BT$78)))))*N$8))/2000</f>
        <v>0.32364677909450895</v>
      </c>
      <c r="O307" s="198"/>
      <c r="P307" s="23">
        <f>(SUMPRODUCT(P$9:P$229,Nutrients!$BT$8:$BT$228)+(IF($A$7=Nutrients!$B$8,Nutrients!$BT$8,Nutrients!$BT$9)*P$7)+(((IF($A$8=Nutrients!$B$79,Nutrients!$BT$79,(IF($A$8=Nutrients!$B$77,Nutrients!$BT$77,Nutrients!$BT$78)))))*P$8))/2000</f>
        <v>0.34076189078428104</v>
      </c>
      <c r="Q307" s="23">
        <f>(SUMPRODUCT(Q$9:Q$229,Nutrients!$BT$8:$BT$228)+(IF($A$7=Nutrients!$B$8,Nutrients!$BT$8,Nutrients!$BT$9)*Q$7)+(((IF($A$8=Nutrients!$B$79,Nutrients!$BT$79,(IF($A$8=Nutrients!$B$77,Nutrients!$BT$77,Nutrients!$BT$78)))))*Q$8))/2000</f>
        <v>0.34030233678692939</v>
      </c>
      <c r="R307" s="23">
        <f>(SUMPRODUCT(R$9:R$229,Nutrients!$BT$8:$BT$228)+(IF($A$7=Nutrients!$B$8,Nutrients!$BT$8,Nutrients!$BT$9)*R$7)+(((IF($A$8=Nutrients!$B$79,Nutrients!$BT$79,(IF($A$8=Nutrients!$B$77,Nutrients!$BT$77,Nutrients!$BT$78)))))*R$8))/2000</f>
        <v>0.33910623738857054</v>
      </c>
      <c r="S307" s="23">
        <f>(SUMPRODUCT(S$9:S$229,Nutrients!$BT$8:$BT$228)+(IF($A$7=Nutrients!$B$8,Nutrients!$BT$8,Nutrients!$BT$9)*S$7)+(((IF($A$8=Nutrients!$B$79,Nutrients!$BT$79,(IF($A$8=Nutrients!$B$77,Nutrients!$BT$77,Nutrients!$BT$78)))))*S$8))/2000</f>
        <v>0.33853180148947781</v>
      </c>
      <c r="T307" s="23">
        <f>(SUMPRODUCT(T$9:T$229,Nutrients!$BT$8:$BT$228)+(IF($A$7=Nutrients!$B$8,Nutrients!$BT$8,Nutrients!$BT$9)*T$7)+(((IF($A$8=Nutrients!$B$79,Nutrients!$BT$79,(IF($A$8=Nutrients!$B$77,Nutrients!$BT$77,Nutrients!$BT$78)))))*T$8))/2000</f>
        <v>0.33763489867106866</v>
      </c>
      <c r="U307" s="23">
        <f>(SUMPRODUCT(U$9:U$229,Nutrients!$BT$8:$BT$228)+(IF($A$7=Nutrients!$B$8,Nutrients!$BT$8,Nutrients!$BT$9)*U$7)+(((IF($A$8=Nutrients!$B$79,Nutrients!$BT$79,(IF($A$8=Nutrients!$B$77,Nutrients!$BT$77,Nutrients!$BT$78)))))*U$8))/2000</f>
        <v>0.33642289846784196</v>
      </c>
      <c r="W307" s="23">
        <f>(SUMPRODUCT(W$9:W$229,Nutrients!$BT$8:$BT$228)+(IF($A$7=Nutrients!$B$8,Nutrients!$BT$8,Nutrients!$BT$9)*W$7)+(((IF($A$8=Nutrients!$B$79,Nutrients!$BT$79,(IF($A$8=Nutrients!$B$77,Nutrients!$BT$77,Nutrients!$BT$78)))))*W$8))/2000</f>
        <v>0.35354513897654144</v>
      </c>
      <c r="X307" s="23">
        <f>(SUMPRODUCT(X$9:X$229,Nutrients!$BT$8:$BT$228)+(IF($A$7=Nutrients!$B$8,Nutrients!$BT$8,Nutrients!$BT$9)*X$7)+(((IF($A$8=Nutrients!$B$79,Nutrients!$BT$79,(IF($A$8=Nutrients!$B$77,Nutrients!$BT$77,Nutrients!$BT$78)))))*X$8))/2000</f>
        <v>0.35308522258644415</v>
      </c>
      <c r="Y307" s="23">
        <f>(SUMPRODUCT(Y$9:Y$229,Nutrients!$BT$8:$BT$228)+(IF($A$7=Nutrients!$B$8,Nutrients!$BT$8,Nutrients!$BT$9)*Y$7)+(((IF($A$8=Nutrients!$B$79,Nutrients!$BT$79,(IF($A$8=Nutrients!$B$77,Nutrients!$BT$77,Nutrients!$BT$78)))))*Y$8))/2000</f>
        <v>0.35188903860895032</v>
      </c>
      <c r="Z307" s="23">
        <f>(SUMPRODUCT(Z$9:Z$229,Nutrients!$BT$8:$BT$228)+(IF($A$7=Nutrients!$B$8,Nutrients!$BT$8,Nutrients!$BT$9)*Z$7)+(((IF($A$8=Nutrients!$B$79,Nutrients!$BT$79,(IF($A$8=Nutrients!$B$77,Nutrients!$BT$77,Nutrients!$BT$78)))))*Z$8))/2000</f>
        <v>0.351312893348667</v>
      </c>
      <c r="AA307" s="23">
        <f>(SUMPRODUCT(AA$9:AA$229,Nutrients!$BT$8:$BT$228)+(IF($A$7=Nutrients!$B$8,Nutrients!$BT$8,Nutrients!$BT$9)*AA$7)+(((IF($A$8=Nutrients!$B$79,Nutrients!$BT$79,(IF($A$8=Nutrients!$B$77,Nutrients!$BT$77,Nutrients!$BT$78)))))*AA$8))/2000</f>
        <v>0.35041171978269497</v>
      </c>
      <c r="AB307" s="23">
        <f>(SUMPRODUCT(AB$9:AB$229,Nutrients!$BT$8:$BT$228)+(IF($A$7=Nutrients!$B$8,Nutrients!$BT$8,Nutrients!$BT$9)*AB$7)+(((IF($A$8=Nutrients!$B$79,Nutrients!$BT$79,(IF($A$8=Nutrients!$B$77,Nutrients!$BT$77,Nutrients!$BT$78)))))*AB$8))/2000</f>
        <v>0.34919039514532946</v>
      </c>
      <c r="AD307" s="23">
        <f>(SUMPRODUCT(AD$9:AD$229,Nutrients!$BT$8:$BT$228)+(IF($A$7=Nutrients!$B$8,Nutrients!$BT$8,Nutrients!$BT$9)*AD$7)+(((IF($A$8=Nutrients!$B$79,Nutrients!$BT$79,(IF($A$8=Nutrients!$B$77,Nutrients!$BT$77,Nutrients!$BT$78)))))*AD$8))/2000</f>
        <v>0.36632813471969583</v>
      </c>
      <c r="AE307" s="23">
        <f>(SUMPRODUCT(AE$9:AE$229,Nutrients!$BT$8:$BT$228)+(IF($A$7=Nutrients!$B$8,Nutrients!$BT$8,Nutrients!$BT$9)*AE$7)+(((IF($A$8=Nutrients!$B$79,Nutrients!$BT$79,(IF($A$8=Nutrients!$B$77,Nutrients!$BT$77,Nutrients!$BT$78)))))*AE$8))/2000</f>
        <v>0.36586833710551553</v>
      </c>
      <c r="AF307" s="23">
        <f>(SUMPRODUCT(AF$9:AF$229,Nutrients!$BT$8:$BT$228)+(IF($A$7=Nutrients!$B$8,Nutrients!$BT$8,Nutrients!$BT$9)*AF$7)+(((IF($A$8=Nutrients!$B$79,Nutrients!$BT$79,(IF($A$8=Nutrients!$B$77,Nutrients!$BT$77,Nutrients!$BT$78)))))*AF$8))/2000</f>
        <v>0.36467199047628951</v>
      </c>
      <c r="AG307" s="23">
        <f>(SUMPRODUCT(AG$9:AG$229,Nutrients!$BT$8:$BT$228)+(IF($A$7=Nutrients!$B$8,Nutrients!$BT$8,Nutrients!$BT$9)*AG$7)+(((IF($A$8=Nutrients!$B$79,Nutrients!$BT$79,(IF($A$8=Nutrients!$B$77,Nutrients!$BT$77,Nutrients!$BT$78)))))*AG$8))/2000</f>
        <v>0.36408947895781546</v>
      </c>
      <c r="AH307" s="23">
        <f>(SUMPRODUCT(AH$9:AH$229,Nutrients!$BT$8:$BT$228)+(IF($A$7=Nutrients!$B$8,Nutrients!$BT$8,Nutrients!$BT$9)*AH$7)+(((IF($A$8=Nutrients!$B$79,Nutrients!$BT$79,(IF($A$8=Nutrients!$B$77,Nutrients!$BT$77,Nutrients!$BT$78)))))*AH$8))/2000</f>
        <v>0.36316336176056729</v>
      </c>
      <c r="AI307" s="23">
        <f>(SUMPRODUCT(AI$9:AI$229,Nutrients!$BT$8:$BT$228)+(IF($A$7=Nutrients!$B$8,Nutrients!$BT$8,Nutrients!$BT$9)*AI$7)+(((IF($A$8=Nutrients!$B$79,Nutrients!$BT$79,(IF($A$8=Nutrients!$B$77,Nutrients!$BT$77,Nutrients!$BT$78)))))*AI$8))/2000</f>
        <v>0.36192946953416594</v>
      </c>
      <c r="AK307" s="23">
        <f>(SUMPRODUCT(AK$9:AK$229,Nutrients!$BT$8:$BT$228)+(IF($A$7=Nutrients!$B$8,Nutrients!$BT$8,Nutrients!$BT$9)*AK$7)+(((IF($A$8=Nutrients!$B$79,Nutrients!$BT$79,(IF($A$8=Nutrients!$B$77,Nutrients!$BT$77,Nutrients!$BT$78)))))*AK$8))/2000</f>
        <v>0.37910887552855033</v>
      </c>
      <c r="AL307" s="23">
        <f>(SUMPRODUCT(AL$9:AL$229,Nutrients!$BT$8:$BT$228)+(IF($A$7=Nutrients!$B$8,Nutrients!$BT$8,Nutrients!$BT$9)*AL$7)+(((IF($A$8=Nutrients!$B$79,Nutrients!$BT$79,(IF($A$8=Nutrients!$B$77,Nutrients!$BT$77,Nutrients!$BT$78)))))*AL$8))/2000</f>
        <v>0.37865161223066268</v>
      </c>
      <c r="AM307" s="23">
        <f>(SUMPRODUCT(AM$9:AM$229,Nutrients!$BT$8:$BT$228)+(IF($A$7=Nutrients!$B$8,Nutrients!$BT$8,Nutrients!$BT$9)*AM$7)+(((IF($A$8=Nutrients!$B$79,Nutrients!$BT$79,(IF($A$8=Nutrients!$B$77,Nutrients!$BT$77,Nutrients!$BT$78)))))*AM$8))/2000</f>
        <v>0.37744934598221969</v>
      </c>
      <c r="AN307" s="23">
        <f>(SUMPRODUCT(AN$9:AN$229,Nutrients!$BT$8:$BT$228)+(IF($A$7=Nutrients!$B$8,Nutrients!$BT$8,Nutrients!$BT$9)*AN$7)+(((IF($A$8=Nutrients!$B$79,Nutrients!$BT$79,(IF($A$8=Nutrients!$B$77,Nutrients!$BT$77,Nutrients!$BT$78)))))*AN$8))/2000</f>
        <v>0.37684748099816834</v>
      </c>
      <c r="AO307" s="23">
        <f>(SUMPRODUCT(AO$9:AO$229,Nutrients!$BT$8:$BT$228)+(IF($A$7=Nutrients!$B$8,Nutrients!$BT$8,Nutrients!$BT$9)*AO$7)+(((IF($A$8=Nutrients!$B$79,Nutrients!$BT$79,(IF($A$8=Nutrients!$B$77,Nutrients!$BT$77,Nutrients!$BT$78)))))*AO$8))/2000</f>
        <v>0.37590235910748337</v>
      </c>
      <c r="AP307" s="23">
        <f>(SUMPRODUCT(AP$9:AP$229,Nutrients!$BT$8:$BT$228)+(IF($A$7=Nutrients!$B$8,Nutrients!$BT$8,Nutrients!$BT$9)*AP$7)+(((IF($A$8=Nutrients!$B$79,Nutrients!$BT$79,(IF($A$8=Nutrients!$B$77,Nutrients!$BT$77,Nutrients!$BT$78)))))*AP$8))/2000</f>
        <v>0.37466832069099965</v>
      </c>
      <c r="AR307" s="23">
        <f>(SUMPRODUCT(AR$9:AR$229,Nutrients!$BT$8:$BT$228)+(IF($A$7=Nutrients!$B$8,Nutrients!$BT$8,Nutrients!$BT$9)*AR$7)+(((IF($A$8=Nutrients!$B$79,Nutrients!$BT$79,(IF($A$8=Nutrients!$B$77,Nutrients!$BT$77,Nutrients!$BT$78)))))*AR$8))/2000</f>
        <v>0.39189292833775413</v>
      </c>
      <c r="AS307" s="23">
        <f>(SUMPRODUCT(AS$9:AS$229,Nutrients!$BT$8:$BT$228)+(IF($A$7=Nutrients!$B$8,Nutrients!$BT$8,Nutrients!$BT$9)*AS$7)+(((IF($A$8=Nutrients!$B$79,Nutrients!$BT$79,(IF($A$8=Nutrients!$B$77,Nutrients!$BT$77,Nutrients!$BT$78)))))*AS$8))/2000</f>
        <v>0.39143458853266211</v>
      </c>
      <c r="AT307" s="23">
        <f>(SUMPRODUCT(AT$9:AT$229,Nutrients!$BT$8:$BT$228)+(IF($A$7=Nutrients!$B$8,Nutrients!$BT$8,Nutrients!$BT$9)*AT$7)+(((IF($A$8=Nutrients!$B$79,Nutrients!$BT$79,(IF($A$8=Nutrients!$B$77,Nutrients!$BT$77,Nutrients!$BT$78)))))*AT$8))/2000</f>
        <v>0.39022620705261057</v>
      </c>
      <c r="AU307" s="23">
        <f>(SUMPRODUCT(AU$9:AU$229,Nutrients!$BT$8:$BT$228)+(IF($A$7=Nutrients!$B$8,Nutrients!$BT$8,Nutrients!$BT$9)*AU$7)+(((IF($A$8=Nutrients!$B$79,Nutrients!$BT$79,(IF($A$8=Nutrients!$B$77,Nutrients!$BT$77,Nutrients!$BT$78)))))*AU$8))/2000</f>
        <v>0.38958649556721603</v>
      </c>
      <c r="AV307" s="23">
        <f>(SUMPRODUCT(AV$9:AV$229,Nutrients!$BT$8:$BT$228)+(IF($A$7=Nutrients!$B$8,Nutrients!$BT$8,Nutrients!$BT$9)*AV$7)+(((IF($A$8=Nutrients!$B$79,Nutrients!$BT$79,(IF($A$8=Nutrients!$B$77,Nutrients!$BT$77,Nutrients!$BT$78)))))*AV$8))/2000</f>
        <v>0.38864156445292686</v>
      </c>
      <c r="AW307" s="23">
        <f>(SUMPRODUCT(AW$9:AW$229,Nutrients!$BT$8:$BT$228)+(IF($A$7=Nutrients!$B$8,Nutrients!$BT$8,Nutrients!$BT$9)*AW$7)+(((IF($A$8=Nutrients!$B$79,Nutrients!$BT$79,(IF($A$8=Nutrients!$B$77,Nutrients!$BT$77,Nutrients!$BT$78)))))*AW$8))/2000</f>
        <v>0.3874073943699336</v>
      </c>
    </row>
    <row r="308" spans="1:49" x14ac:dyDescent="0.25">
      <c r="A308" t="s">
        <v>67</v>
      </c>
      <c r="B308" s="23">
        <f>(SUMPRODUCT(B$9:B$229,Nutrients!$BU$8:$BU$228)+(IF($A$7=Nutrients!$B$8,Nutrients!$BU$8,Nutrients!$BU$9)*B$7)+(((IF($A$8=Nutrients!$B$79,Nutrients!$BU$79,(IF($A$8=Nutrients!$B$77,Nutrients!$BU$77,Nutrients!$BU$78)))))*B$8))/2000</f>
        <v>0.90672227094333946</v>
      </c>
      <c r="C308" s="23">
        <f>(SUMPRODUCT(C$9:C$229,Nutrients!$BU$8:$BU$228)+(IF($A$7=Nutrients!$B$8,Nutrients!$BU$8,Nutrients!$BU$9)*C$7)+(((IF($A$8=Nutrients!$B$79,Nutrients!$BU$79,(IF($A$8=Nutrients!$B$77,Nutrients!$BU$77,Nutrients!$BU$78)))))*C$8))/2000</f>
        <v>0.80119571619411978</v>
      </c>
      <c r="D308" s="23">
        <f>(SUMPRODUCT(D$9:D$229,Nutrients!$BU$8:$BU$228)+(IF($A$7=Nutrients!$B$8,Nutrients!$BU$8,Nutrients!$BU$9)*D$7)+(((IF($A$8=Nutrients!$B$79,Nutrients!$BU$79,(IF($A$8=Nutrients!$B$77,Nutrients!$BU$77,Nutrients!$BU$78)))))*D$8))/2000</f>
        <v>0.71030836475916248</v>
      </c>
      <c r="E308" s="23">
        <f>(SUMPRODUCT(E$9:E$229,Nutrients!$BU$8:$BU$228)+(IF($A$7=Nutrients!$B$8,Nutrients!$BU$8,Nutrients!$BU$9)*E$7)+(((IF($A$8=Nutrients!$B$79,Nutrients!$BU$79,(IF($A$8=Nutrients!$B$77,Nutrients!$BU$77,Nutrients!$BU$78)))))*E$8))/2000</f>
        <v>0.63370500360255355</v>
      </c>
      <c r="F308" s="23">
        <f>(SUMPRODUCT(F$9:F$229,Nutrients!$BU$8:$BU$228)+(IF($A$7=Nutrients!$B$8,Nutrients!$BU$8,Nutrients!$BU$9)*F$7)+(((IF($A$8=Nutrients!$B$79,Nutrients!$BU$79,(IF($A$8=Nutrients!$B$77,Nutrients!$BU$77,Nutrients!$BU$78)))))*F$8))/2000</f>
        <v>0.58276518762548057</v>
      </c>
      <c r="G308" s="23">
        <f>(SUMPRODUCT(G$9:G$229,Nutrients!$BU$8:$BU$228)+(IF($A$7=Nutrients!$B$8,Nutrients!$BU$8,Nutrients!$BU$9)*G$7)+(((IF($A$8=Nutrients!$B$79,Nutrients!$BU$79,(IF($A$8=Nutrients!$B$77,Nutrients!$BU$77,Nutrients!$BU$78)))))*G$8))/2000</f>
        <v>0.55679357869744972</v>
      </c>
      <c r="H308" s="227"/>
      <c r="I308" s="23">
        <f>(SUMPRODUCT(I$9:I$229,Nutrients!$BU$8:$BU$228)+(IF($A$7=Nutrients!$B$8,Nutrients!$BU$8,Nutrients!$BU$9)*I$7)+(((IF($A$8=Nutrients!$B$79,Nutrients!$BU$79,(IF($A$8=Nutrients!$B$77,Nutrients!$BU$77,Nutrients!$BU$78)))))*I$8))/2000</f>
        <v>0.89962350621035569</v>
      </c>
      <c r="J308" s="23">
        <f>(SUMPRODUCT(J$9:J$229,Nutrients!$BU$8:$BU$228)+(IF($A$7=Nutrients!$B$8,Nutrients!$BU$8,Nutrients!$BU$9)*J$7)+(((IF($A$8=Nutrients!$B$79,Nutrients!$BU$79,(IF($A$8=Nutrients!$B$77,Nutrients!$BU$77,Nutrients!$BU$78)))))*J$8))/2000</f>
        <v>0.79523881885406744</v>
      </c>
      <c r="K308" s="23">
        <f>(SUMPRODUCT(K$9:K$229,Nutrients!$BU$8:$BU$228)+(IF($A$7=Nutrients!$B$8,Nutrients!$BU$8,Nutrients!$BU$9)*K$7)+(((IF($A$8=Nutrients!$B$79,Nutrients!$BU$79,(IF($A$8=Nutrients!$B$77,Nutrients!$BU$77,Nutrients!$BU$78)))))*K$8))/2000</f>
        <v>0.70528994962883884</v>
      </c>
      <c r="L308" s="23">
        <f>(SUMPRODUCT(L$9:L$229,Nutrients!$BU$8:$BU$228)+(IF($A$7=Nutrients!$B$8,Nutrients!$BU$8,Nutrients!$BU$9)*L$7)+(((IF($A$8=Nutrients!$B$79,Nutrients!$BU$79,(IF($A$8=Nutrients!$B$77,Nutrients!$BU$77,Nutrients!$BU$78)))))*L$8))/2000</f>
        <v>0.62932055537058251</v>
      </c>
      <c r="M308" s="23">
        <f>(SUMPRODUCT(M$9:M$229,Nutrients!$BU$8:$BU$228)+(IF($A$7=Nutrients!$B$8,Nutrients!$BU$8,Nutrients!$BU$9)*M$7)+(((IF($A$8=Nutrients!$B$79,Nutrients!$BU$79,(IF($A$8=Nutrients!$B$77,Nutrients!$BU$77,Nutrients!$BU$78)))))*M$8))/2000</f>
        <v>0.57833280928955455</v>
      </c>
      <c r="N308" s="23">
        <f>(SUMPRODUCT(N$9:N$229,Nutrients!$BU$8:$BU$228)+(IF($A$7=Nutrients!$B$8,Nutrients!$BU$8,Nutrients!$BU$9)*N$7)+(((IF($A$8=Nutrients!$B$79,Nutrients!$BU$79,(IF($A$8=Nutrients!$B$77,Nutrients!$BU$77,Nutrients!$BU$78)))))*N$8))/2000</f>
        <v>0.55267888233969797</v>
      </c>
      <c r="O308" s="198"/>
      <c r="P308" s="23">
        <f>(SUMPRODUCT(P$9:P$229,Nutrients!$BU$8:$BU$228)+(IF($A$7=Nutrients!$B$8,Nutrients!$BU$8,Nutrients!$BU$9)*P$7)+(((IF($A$8=Nutrients!$B$79,Nutrients!$BU$79,(IF($A$8=Nutrients!$B$77,Nutrients!$BU$77,Nutrients!$BU$78)))))*P$8))/2000</f>
        <v>0.89399297973494662</v>
      </c>
      <c r="Q308" s="23">
        <f>(SUMPRODUCT(Q$9:Q$229,Nutrients!$BU$8:$BU$228)+(IF($A$7=Nutrients!$B$8,Nutrients!$BU$8,Nutrients!$BU$9)*Q$7)+(((IF($A$8=Nutrients!$B$79,Nutrients!$BU$79,(IF($A$8=Nutrients!$B$77,Nutrients!$BU$77,Nutrients!$BU$78)))))*Q$8))/2000</f>
        <v>0.79029922877195724</v>
      </c>
      <c r="R308" s="23">
        <f>(SUMPRODUCT(R$9:R$229,Nutrients!$BU$8:$BU$228)+(IF($A$7=Nutrients!$B$8,Nutrients!$BU$8,Nutrients!$BU$9)*R$7)+(((IF($A$8=Nutrients!$B$79,Nutrients!$BU$79,(IF($A$8=Nutrients!$B$77,Nutrients!$BU$77,Nutrients!$BU$78)))))*R$8))/2000</f>
        <v>0.70108968877850109</v>
      </c>
      <c r="S308" s="23">
        <f>(SUMPRODUCT(S$9:S$229,Nutrients!$BU$8:$BU$228)+(IF($A$7=Nutrients!$B$8,Nutrients!$BU$8,Nutrients!$BU$9)*S$7)+(((IF($A$8=Nutrients!$B$79,Nutrients!$BU$79,(IF($A$8=Nutrients!$B$77,Nutrients!$BU$77,Nutrients!$BU$78)))))*S$8))/2000</f>
        <v>0.6247763745769721</v>
      </c>
      <c r="T308" s="23">
        <f>(SUMPRODUCT(T$9:T$229,Nutrients!$BU$8:$BU$228)+(IF($A$7=Nutrients!$B$8,Nutrients!$BU$8,Nutrients!$BU$9)*T$7)+(((IF($A$8=Nutrients!$B$79,Nutrients!$BU$79,(IF($A$8=Nutrients!$B$77,Nutrients!$BU$77,Nutrients!$BU$78)))))*T$8))/2000</f>
        <v>0.57437860603194968</v>
      </c>
      <c r="U308" s="23">
        <f>(SUMPRODUCT(U$9:U$229,Nutrients!$BU$8:$BU$228)+(IF($A$7=Nutrients!$B$8,Nutrients!$BU$8,Nutrients!$BU$9)*U$7)+(((IF($A$8=Nutrients!$B$79,Nutrients!$BU$79,(IF($A$8=Nutrients!$B$77,Nutrients!$BU$77,Nutrients!$BU$78)))))*U$8))/2000</f>
        <v>0.54896485195448597</v>
      </c>
      <c r="W308" s="23">
        <f>(SUMPRODUCT(W$9:W$229,Nutrients!$BU$8:$BU$228)+(IF($A$7=Nutrients!$B$8,Nutrients!$BU$8,Nutrients!$BU$9)*W$7)+(((IF($A$8=Nutrients!$B$79,Nutrients!$BU$79,(IF($A$8=Nutrients!$B$77,Nutrients!$BU$77,Nutrients!$BU$78)))))*W$8))/2000</f>
        <v>0.88836325059495336</v>
      </c>
      <c r="X308" s="23">
        <f>(SUMPRODUCT(X$9:X$229,Nutrients!$BU$8:$BU$228)+(IF($A$7=Nutrients!$B$8,Nutrients!$BU$8,Nutrients!$BU$9)*X$7)+(((IF($A$8=Nutrients!$B$79,Nutrients!$BU$79,(IF($A$8=Nutrients!$B$77,Nutrients!$BU$77,Nutrients!$BU$78)))))*X$8))/2000</f>
        <v>0.78536529370371211</v>
      </c>
      <c r="Y308" s="23">
        <f>(SUMPRODUCT(Y$9:Y$229,Nutrients!$BU$8:$BU$228)+(IF($A$7=Nutrients!$B$8,Nutrients!$BU$8,Nutrients!$BU$9)*Y$7)+(((IF($A$8=Nutrients!$B$79,Nutrients!$BU$79,(IF($A$8=Nutrients!$B$77,Nutrients!$BU$77,Nutrients!$BU$78)))))*Y$8))/2000</f>
        <v>0.69582180088358803</v>
      </c>
      <c r="Z308" s="23">
        <f>(SUMPRODUCT(Z$9:Z$229,Nutrients!$BU$8:$BU$228)+(IF($A$7=Nutrients!$B$8,Nutrients!$BU$8,Nutrients!$BU$9)*Z$7)+(((IF($A$8=Nutrients!$B$79,Nutrients!$BU$79,(IF($A$8=Nutrients!$B$77,Nutrients!$BU$77,Nutrients!$BU$78)))))*Z$8))/2000</f>
        <v>0.62050230797917816</v>
      </c>
      <c r="AA308" s="23">
        <f>(SUMPRODUCT(AA$9:AA$229,Nutrients!$BU$8:$BU$228)+(IF($A$7=Nutrients!$B$8,Nutrients!$BU$8,Nutrients!$BU$9)*AA$7)+(((IF($A$8=Nutrients!$B$79,Nutrients!$BU$79,(IF($A$8=Nutrients!$B$77,Nutrients!$BU$77,Nutrients!$BU$78)))))*AA$8))/2000</f>
        <v>0.57049367170944065</v>
      </c>
      <c r="AB308" s="23">
        <f>(SUMPRODUCT(AB$9:AB$229,Nutrients!$BU$8:$BU$228)+(IF($A$7=Nutrients!$B$8,Nutrients!$BU$8,Nutrients!$BU$9)*AB$7)+(((IF($A$8=Nutrients!$B$79,Nutrients!$BU$79,(IF($A$8=Nutrients!$B$77,Nutrients!$BU$77,Nutrients!$BU$78)))))*AB$8))/2000</f>
        <v>0.54512457011075999</v>
      </c>
      <c r="AD308" s="23">
        <f>(SUMPRODUCT(AD$9:AD$229,Nutrients!$BU$8:$BU$228)+(IF($A$7=Nutrients!$B$8,Nutrients!$BU$8,Nutrients!$BU$9)*AD$7)+(((IF($A$8=Nutrients!$B$79,Nutrients!$BU$79,(IF($A$8=Nutrients!$B$77,Nutrients!$BU$77,Nutrients!$BU$78)))))*AD$8))/2000</f>
        <v>0.88264869497046583</v>
      </c>
      <c r="AE308" s="23">
        <f>(SUMPRODUCT(AE$9:AE$229,Nutrients!$BU$8:$BU$228)+(IF($A$7=Nutrients!$B$8,Nutrients!$BU$8,Nutrients!$BU$9)*AE$7)+(((IF($A$8=Nutrients!$B$79,Nutrients!$BU$79,(IF($A$8=Nutrients!$B$77,Nutrients!$BU$77,Nutrients!$BU$78)))))*AE$8))/2000</f>
        <v>0.77937987079280013</v>
      </c>
      <c r="AF308" s="23">
        <f>(SUMPRODUCT(AF$9:AF$229,Nutrients!$BU$8:$BU$228)+(IF($A$7=Nutrients!$B$8,Nutrients!$BU$8,Nutrients!$BU$9)*AF$7)+(((IF($A$8=Nutrients!$B$79,Nutrients!$BU$79,(IF($A$8=Nutrients!$B$77,Nutrients!$BU$77,Nutrients!$BU$78)))))*AF$8))/2000</f>
        <v>0.69080814278857994</v>
      </c>
      <c r="AG308" s="23">
        <f>(SUMPRODUCT(AG$9:AG$229,Nutrients!$BU$8:$BU$228)+(IF($A$7=Nutrients!$B$8,Nutrients!$BU$8,Nutrients!$BU$9)*AG$7)+(((IF($A$8=Nutrients!$B$79,Nutrients!$BU$79,(IF($A$8=Nutrients!$B$77,Nutrients!$BU$77,Nutrients!$BU$78)))))*AG$8))/2000</f>
        <v>0.61619463767012261</v>
      </c>
      <c r="AH308" s="23">
        <f>(SUMPRODUCT(AH$9:AH$229,Nutrients!$BU$8:$BU$228)+(IF($A$7=Nutrients!$B$8,Nutrients!$BU$8,Nutrients!$BU$9)*AH$7)+(((IF($A$8=Nutrients!$B$79,Nutrients!$BU$79,(IF($A$8=Nutrients!$B$77,Nutrients!$BU$77,Nutrients!$BU$78)))))*AH$8))/2000</f>
        <v>0.56618014703598296</v>
      </c>
      <c r="AI308" s="23">
        <f>(SUMPRODUCT(AI$9:AI$229,Nutrients!$BU$8:$BU$228)+(IF($A$7=Nutrients!$B$8,Nutrients!$BU$8,Nutrients!$BU$9)*AI$7)+(((IF($A$8=Nutrients!$B$79,Nutrients!$BU$79,(IF($A$8=Nutrients!$B$77,Nutrients!$BU$77,Nutrients!$BU$78)))))*AI$8))/2000</f>
        <v>0.54091954195509695</v>
      </c>
      <c r="AK308" s="23">
        <f>(SUMPRODUCT(AK$9:AK$229,Nutrients!$BU$8:$BU$228)+(IF($A$7=Nutrients!$B$8,Nutrients!$BU$8,Nutrients!$BU$9)*AK$7)+(((IF($A$8=Nutrients!$B$79,Nutrients!$BU$79,(IF($A$8=Nutrients!$B$77,Nutrients!$BU$77,Nutrients!$BU$78)))))*AK$8))/2000</f>
        <v>0.88112985711011127</v>
      </c>
      <c r="AL308" s="23">
        <f>(SUMPRODUCT(AL$9:AL$229,Nutrients!$BU$8:$BU$228)+(IF($A$7=Nutrients!$B$8,Nutrients!$BU$8,Nutrients!$BU$9)*AL$7)+(((IF($A$8=Nutrients!$B$79,Nutrients!$BU$79,(IF($A$8=Nutrients!$B$77,Nutrients!$BU$77,Nutrients!$BU$78)))))*AL$8))/2000</f>
        <v>0.77369843051026488</v>
      </c>
      <c r="AM308" s="23">
        <f>(SUMPRODUCT(AM$9:AM$229,Nutrients!$BU$8:$BU$228)+(IF($A$7=Nutrients!$B$8,Nutrients!$BU$8,Nutrients!$BU$9)*AM$7)+(((IF($A$8=Nutrients!$B$79,Nutrients!$BU$79,(IF($A$8=Nutrients!$B$77,Nutrients!$BU$77,Nutrients!$BU$78)))))*AM$8))/2000</f>
        <v>0.68589717140264539</v>
      </c>
      <c r="AN308" s="23">
        <f>(SUMPRODUCT(AN$9:AN$229,Nutrients!$BU$8:$BU$228)+(IF($A$7=Nutrients!$B$8,Nutrients!$BU$8,Nutrients!$BU$9)*AN$7)+(((IF($A$8=Nutrients!$B$79,Nutrients!$BU$79,(IF($A$8=Nutrients!$B$77,Nutrients!$BU$77,Nutrients!$BU$78)))))*AN$8))/2000</f>
        <v>0.61155486997582809</v>
      </c>
      <c r="AO308" s="23">
        <f>(SUMPRODUCT(AO$9:AO$229,Nutrients!$BU$8:$BU$228)+(IF($A$7=Nutrients!$B$8,Nutrients!$BU$8,Nutrients!$BU$9)*AO$7)+(((IF($A$8=Nutrients!$B$79,Nutrients!$BU$79,(IF($A$8=Nutrients!$B$77,Nutrients!$BU$77,Nutrients!$BU$78)))))*AO$8))/2000</f>
        <v>0.56171664327314108</v>
      </c>
      <c r="AP308" s="23">
        <f>(SUMPRODUCT(AP$9:AP$229,Nutrients!$BU$8:$BU$228)+(IF($A$7=Nutrients!$B$8,Nutrients!$BU$8,Nutrients!$BU$9)*AP$7)+(((IF($A$8=Nutrients!$B$79,Nutrients!$BU$79,(IF($A$8=Nutrients!$B$77,Nutrients!$BU$77,Nutrients!$BU$78)))))*AP$8))/2000</f>
        <v>0.53671003646157711</v>
      </c>
      <c r="AR308" s="23">
        <f>(SUMPRODUCT(AR$9:AR$229,Nutrients!$BU$8:$BU$228)+(IF($A$7=Nutrients!$B$8,Nutrients!$BU$8,Nutrients!$BU$9)*AR$7)+(((IF($A$8=Nutrients!$B$79,Nutrients!$BU$79,(IF($A$8=Nutrients!$B$77,Nutrients!$BU$77,Nutrients!$BU$78)))))*AR$8))/2000</f>
        <v>0.87383411080278384</v>
      </c>
      <c r="AS308" s="23">
        <f>(SUMPRODUCT(AS$9:AS$229,Nutrients!$BU$8:$BU$228)+(IF($A$7=Nutrients!$B$8,Nutrients!$BU$8,Nutrients!$BU$9)*AS$7)+(((IF($A$8=Nutrients!$B$79,Nutrients!$BU$79,(IF($A$8=Nutrients!$B$77,Nutrients!$BU$77,Nutrients!$BU$78)))))*AS$8))/2000</f>
        <v>0.76802251792159004</v>
      </c>
      <c r="AT308" s="23">
        <f>(SUMPRODUCT(AT$9:AT$229,Nutrients!$BU$8:$BU$228)+(IF($A$7=Nutrients!$B$8,Nutrients!$BU$8,Nutrients!$BU$9)*AT$7)+(((IF($A$8=Nutrients!$B$79,Nutrients!$BU$79,(IF($A$8=Nutrients!$B$77,Nutrients!$BU$77,Nutrients!$BU$78)))))*AT$8))/2000</f>
        <v>0.68118924653357427</v>
      </c>
      <c r="AU308" s="23">
        <f>(SUMPRODUCT(AU$9:AU$229,Nutrients!$BU$8:$BU$228)+(IF($A$7=Nutrients!$B$8,Nutrients!$BU$8,Nutrients!$BU$9)*AU$7)+(((IF($A$8=Nutrients!$B$79,Nutrients!$BU$79,(IF($A$8=Nutrients!$B$77,Nutrients!$BU$77,Nutrients!$BU$78)))))*AU$8))/2000</f>
        <v>0.60674148174956921</v>
      </c>
      <c r="AV308" s="23">
        <f>(SUMPRODUCT(AV$9:AV$229,Nutrients!$BU$8:$BU$228)+(IF($A$7=Nutrients!$B$8,Nutrients!$BU$8,Nutrients!$BU$9)*AV$7)+(((IF($A$8=Nutrients!$B$79,Nutrients!$BU$79,(IF($A$8=Nutrients!$B$77,Nutrients!$BU$77,Nutrients!$BU$78)))))*AV$8))/2000</f>
        <v>0.5572591745138431</v>
      </c>
      <c r="AW308" s="23">
        <f>(SUMPRODUCT(AW$9:AW$229,Nutrients!$BU$8:$BU$228)+(IF($A$7=Nutrients!$B$8,Nutrients!$BU$8,Nutrients!$BU$9)*AW$7)+(((IF($A$8=Nutrients!$B$79,Nutrients!$BU$79,(IF($A$8=Nutrients!$B$77,Nutrients!$BU$77,Nutrients!$BU$78)))))*AW$8))/2000</f>
        <v>0.53250333149972096</v>
      </c>
    </row>
    <row r="309" spans="1:49" x14ac:dyDescent="0.25">
      <c r="A309" t="s">
        <v>42</v>
      </c>
      <c r="B309" s="8">
        <f t="shared" ref="B309:G309" si="182">(B306 * 434.98) + (B308* 255.74) - (B307*282.06)</f>
        <v>220.57763988748351</v>
      </c>
      <c r="C309" s="8">
        <f t="shared" si="182"/>
        <v>192.15600461244421</v>
      </c>
      <c r="D309" s="8">
        <f t="shared" si="182"/>
        <v>167.90252131513171</v>
      </c>
      <c r="E309" s="8">
        <f t="shared" si="182"/>
        <v>147.35122639861532</v>
      </c>
      <c r="F309" s="8">
        <f t="shared" si="182"/>
        <v>133.81760738274346</v>
      </c>
      <c r="G309" s="8">
        <f t="shared" si="182"/>
        <v>127.13493264786482</v>
      </c>
      <c r="H309" s="8"/>
      <c r="I309" s="8">
        <f t="shared" ref="I309:N309" si="183">(I306 * 434.98) + (I308* 255.74) - (I307*282.06)</f>
        <v>218.30215622980279</v>
      </c>
      <c r="J309" s="8">
        <f t="shared" si="183"/>
        <v>190.18895308210637</v>
      </c>
      <c r="K309" s="8">
        <f t="shared" si="183"/>
        <v>166.18873960854913</v>
      </c>
      <c r="L309" s="8">
        <f t="shared" si="183"/>
        <v>145.79319612814817</v>
      </c>
      <c r="M309" s="8">
        <f t="shared" si="183"/>
        <v>132.25131830647524</v>
      </c>
      <c r="N309" s="8">
        <f t="shared" si="183"/>
        <v>125.64989547193022</v>
      </c>
      <c r="O309" s="8"/>
      <c r="P309" s="8">
        <f t="shared" ref="P309:U309" si="184">(P306 * 434.98) + (P308* 255.74) - (P307*282.06)</f>
        <v>216.42339540538433</v>
      </c>
      <c r="Q309" s="8">
        <f t="shared" si="184"/>
        <v>188.49640805191666</v>
      </c>
      <c r="R309" s="8">
        <f t="shared" si="184"/>
        <v>164.69555784482515</v>
      </c>
      <c r="S309" s="8">
        <f t="shared" si="184"/>
        <v>144.20730985443012</v>
      </c>
      <c r="T309" s="8">
        <f t="shared" si="184"/>
        <v>130.82526744824634</v>
      </c>
      <c r="U309" s="8">
        <f t="shared" si="184"/>
        <v>124.28881925678355</v>
      </c>
      <c r="W309" s="8">
        <f t="shared" ref="W309:AB309" si="185">(W306 * 434.98) + (W308* 255.74) - (W307*282.06)</f>
        <v>214.54422859184734</v>
      </c>
      <c r="X309" s="8">
        <f t="shared" si="185"/>
        <v>186.80474384657794</v>
      </c>
      <c r="Y309" s="8">
        <f t="shared" si="185"/>
        <v>162.91395052259625</v>
      </c>
      <c r="Z309" s="8">
        <f t="shared" si="185"/>
        <v>142.69375033757657</v>
      </c>
      <c r="AA309" s="8">
        <f t="shared" si="185"/>
        <v>129.41736601974986</v>
      </c>
      <c r="AB309" s="8">
        <f t="shared" si="185"/>
        <v>122.90925263983512</v>
      </c>
      <c r="AD309" s="8">
        <f t="shared" ref="AD309:AI309" si="186">(AD306 * 434.98) + (AD308* 255.74) - (AD307*282.06)</f>
        <v>212.64257551017624</v>
      </c>
      <c r="AE309" s="8">
        <f t="shared" si="186"/>
        <v>184.83012546559399</v>
      </c>
      <c r="AF309" s="8">
        <f t="shared" si="186"/>
        <v>161.20119090370036</v>
      </c>
      <c r="AG309" s="8">
        <f t="shared" si="186"/>
        <v>141.17250265390791</v>
      </c>
      <c r="AH309" s="8">
        <f t="shared" si="186"/>
        <v>127.93892634007112</v>
      </c>
      <c r="AI309" s="8">
        <f t="shared" si="186"/>
        <v>121.48228967971377</v>
      </c>
      <c r="AK309" s="8">
        <f t="shared" ref="AK309:AP309" si="187">(AK306 * 434.98) + (AK308* 255.74) - (AK307*282.06)</f>
        <v>211.87167213051913</v>
      </c>
      <c r="AL309" s="8">
        <f t="shared" si="187"/>
        <v>182.93702353174888</v>
      </c>
      <c r="AM309" s="8">
        <f t="shared" si="187"/>
        <v>159.51679297528835</v>
      </c>
      <c r="AN309" s="8">
        <f t="shared" si="187"/>
        <v>139.59542887698643</v>
      </c>
      <c r="AO309" s="8">
        <f t="shared" si="187"/>
        <v>126.44233527657522</v>
      </c>
      <c r="AP309" s="8">
        <f t="shared" si="187"/>
        <v>120.05416354509937</v>
      </c>
      <c r="AR309" s="8">
        <f t="shared" ref="AR309:AW309" si="188">(AR306 * 434.98) + (AR308* 255.74) - (AR307*282.06)</f>
        <v>209.54362625710365</v>
      </c>
      <c r="AS309" s="8">
        <f t="shared" si="188"/>
        <v>181.04578311519828</v>
      </c>
      <c r="AT309" s="8">
        <f t="shared" si="188"/>
        <v>157.88760048698606</v>
      </c>
      <c r="AU309" s="8">
        <f t="shared" si="188"/>
        <v>138.00475830527469</v>
      </c>
      <c r="AV309" s="8">
        <f t="shared" si="188"/>
        <v>124.9473310449025</v>
      </c>
      <c r="AW309" s="8">
        <f t="shared" si="188"/>
        <v>118.62674892965093</v>
      </c>
    </row>
    <row r="310" spans="1:49" x14ac:dyDescent="0.25">
      <c r="A310" t="s">
        <v>73</v>
      </c>
      <c r="B310" s="202">
        <f>(SUMPRODUCT(B$9:B$229,Nutrients!$EG$8:$EG$228)+(IF($A$7=Nutrients!$B$8,Nutrients!$EG$8,Nutrients!$EG$9)*B$7)+(((IF($A$8=Nutrients!$B$79,Nutrients!$EG$79,(IF($A$8=Nutrients!$B$77,Nutrients!$EG$77,Nutrients!$EG$78)))))*B$8))/2000</f>
        <v>0.27113524017910468</v>
      </c>
      <c r="C310" s="202">
        <f>(SUMPRODUCT(C$9:C$229,Nutrients!$EG$8:$EG$228)+(IF($A$7=Nutrients!$B$8,Nutrients!$EG$8,Nutrients!$EG$9)*C$7)+(((IF($A$8=Nutrients!$B$79,Nutrients!$EG$79,(IF($A$8=Nutrients!$B$77,Nutrients!$EG$77,Nutrients!$EG$78)))))*C$8))/2000</f>
        <v>0.25613988263521914</v>
      </c>
      <c r="D310" s="202">
        <f>(SUMPRODUCT(D$9:D$229,Nutrients!$EG$8:$EG$228)+(IF($A$7=Nutrients!$B$8,Nutrients!$EG$8,Nutrients!$EG$9)*D$7)+(((IF($A$8=Nutrients!$B$79,Nutrients!$EG$79,(IF($A$8=Nutrients!$B$77,Nutrients!$EG$77,Nutrients!$EG$78)))))*D$8))/2000</f>
        <v>0.24325948567864156</v>
      </c>
      <c r="E310" s="202">
        <f>(SUMPRODUCT(E$9:E$229,Nutrients!$EG$8:$EG$228)+(IF($A$7=Nutrients!$B$8,Nutrients!$EG$8,Nutrients!$EG$9)*E$7)+(((IF($A$8=Nutrients!$B$79,Nutrients!$EG$79,(IF($A$8=Nutrients!$B$77,Nutrients!$EG$77,Nutrients!$EG$78)))))*E$8))/2000</f>
        <v>0.23238392794271739</v>
      </c>
      <c r="F310" s="202">
        <f>(SUMPRODUCT(F$9:F$229,Nutrients!$EG$8:$EG$228)+(IF($A$7=Nutrients!$B$8,Nutrients!$EG$8,Nutrients!$EG$9)*F$7)+(((IF($A$8=Nutrients!$B$79,Nutrients!$EG$79,(IF($A$8=Nutrients!$B$77,Nutrients!$EG$77,Nutrients!$EG$78)))))*F$8))/2000</f>
        <v>0.2252348701473687</v>
      </c>
      <c r="G310" s="202">
        <f>(SUMPRODUCT(G$9:G$229,Nutrients!$EG$8:$EG$228)+(IF($A$7=Nutrients!$B$8,Nutrients!$EG$8,Nutrients!$EG$9)*G$7)+(((IF($A$8=Nutrients!$B$79,Nutrients!$EG$79,(IF($A$8=Nutrients!$B$77,Nutrients!$EG$77,Nutrients!$EG$78)))))*G$8))/2000</f>
        <v>0.2215364317520549</v>
      </c>
      <c r="H310" s="232"/>
      <c r="I310" s="202">
        <f>(SUMPRODUCT(I$9:I$229,Nutrients!$EG$8:$EG$228)+(IF($A$7=Nutrients!$B$8,Nutrients!$EG$8,Nutrients!$EG$9)*I$7)+(((IF($A$8=Nutrients!$B$79,Nutrients!$EG$79,(IF($A$8=Nutrients!$B$77,Nutrients!$EG$77,Nutrients!$EG$78)))))*I$8))/2000</f>
        <v>0.26518029998732356</v>
      </c>
      <c r="J310" s="202">
        <f>(SUMPRODUCT(J$9:J$229,Nutrients!$EG$8:$EG$228)+(IF($A$7=Nutrients!$B$8,Nutrients!$EG$8,Nutrients!$EG$9)*J$7)+(((IF($A$8=Nutrients!$B$79,Nutrients!$EG$79,(IF($A$8=Nutrients!$B$77,Nutrients!$EG$77,Nutrients!$EG$78)))))*J$8))/2000</f>
        <v>0.25034851010646142</v>
      </c>
      <c r="K310" s="202">
        <f>(SUMPRODUCT(K$9:K$229,Nutrients!$EG$8:$EG$228)+(IF($A$7=Nutrients!$B$8,Nutrients!$EG$8,Nutrients!$EG$9)*K$7)+(((IF($A$8=Nutrients!$B$79,Nutrients!$EG$79,(IF($A$8=Nutrients!$B$77,Nutrients!$EG$77,Nutrients!$EG$78)))))*K$8))/2000</f>
        <v>0.23760276053012855</v>
      </c>
      <c r="L310" s="202">
        <f>(SUMPRODUCT(L$9:L$229,Nutrients!$EG$8:$EG$228)+(IF($A$7=Nutrients!$B$8,Nutrients!$EG$8,Nutrients!$EG$9)*L$7)+(((IF($A$8=Nutrients!$B$79,Nutrients!$EG$79,(IF($A$8=Nutrients!$B$77,Nutrients!$EG$77,Nutrients!$EG$78)))))*L$8))/2000</f>
        <v>0.2268533191739657</v>
      </c>
      <c r="M310" s="202">
        <f>(SUMPRODUCT(M$9:M$229,Nutrients!$EG$8:$EG$228)+(IF($A$7=Nutrients!$B$8,Nutrients!$EG$8,Nutrients!$EG$9)*M$7)+(((IF($A$8=Nutrients!$B$79,Nutrients!$EG$79,(IF($A$8=Nutrients!$B$77,Nutrients!$EG$77,Nutrients!$EG$78)))))*M$8))/2000</f>
        <v>0.21968649784285443</v>
      </c>
      <c r="N310" s="202">
        <f>(SUMPRODUCT(N$9:N$229,Nutrients!$EG$8:$EG$228)+(IF($A$7=Nutrients!$B$8,Nutrients!$EG$8,Nutrients!$EG$9)*N$7)+(((IF($A$8=Nutrients!$B$79,Nutrients!$EG$79,(IF($A$8=Nutrients!$B$77,Nutrients!$EG$77,Nutrients!$EG$78)))))*N$8))/2000</f>
        <v>0.21604338533665482</v>
      </c>
      <c r="O310" s="238"/>
      <c r="P310" s="202">
        <f>(SUMPRODUCT(P$9:P$229,Nutrients!$EG$8:$EG$228)+(IF($A$7=Nutrients!$B$8,Nutrients!$EG$8,Nutrients!$EG$9)*P$7)+(((IF($A$8=Nutrients!$B$79,Nutrients!$EG$79,(IF($A$8=Nutrients!$B$77,Nutrients!$EG$77,Nutrients!$EG$78)))))*P$8))/2000</f>
        <v>0.25943409795621192</v>
      </c>
      <c r="Q310" s="202">
        <f>(SUMPRODUCT(Q$9:Q$229,Nutrients!$EG$8:$EG$228)+(IF($A$7=Nutrients!$B$8,Nutrients!$EG$8,Nutrients!$EG$9)*Q$7)+(((IF($A$8=Nutrients!$B$79,Nutrients!$EG$79,(IF($A$8=Nutrients!$B$77,Nutrients!$EG$77,Nutrients!$EG$78)))))*Q$8))/2000</f>
        <v>0.24470229065961019</v>
      </c>
      <c r="R310" s="202">
        <f>(SUMPRODUCT(R$9:R$229,Nutrients!$EG$8:$EG$228)+(IF($A$7=Nutrients!$B$8,Nutrients!$EG$8,Nutrients!$EG$9)*R$7)+(((IF($A$8=Nutrients!$B$79,Nutrients!$EG$79,(IF($A$8=Nutrients!$B$77,Nutrients!$EG$77,Nutrients!$EG$78)))))*R$8))/2000</f>
        <v>0.23206452053002743</v>
      </c>
      <c r="S310" s="202">
        <f>(SUMPRODUCT(S$9:S$229,Nutrients!$EG$8:$EG$228)+(IF($A$7=Nutrients!$B$8,Nutrients!$EG$8,Nutrients!$EG$9)*S$7)+(((IF($A$8=Nutrients!$B$79,Nutrients!$EG$79,(IF($A$8=Nutrients!$B$77,Nutrients!$EG$77,Nutrients!$EG$78)))))*S$8))/2000</f>
        <v>0.2212650263450481</v>
      </c>
      <c r="T310" s="202">
        <f>(SUMPRODUCT(T$9:T$229,Nutrients!$EG$8:$EG$228)+(IF($A$7=Nutrients!$B$8,Nutrients!$EG$8,Nutrients!$EG$9)*T$7)+(((IF($A$8=Nutrients!$B$79,Nutrients!$EG$79,(IF($A$8=Nutrients!$B$77,Nutrients!$EG$77,Nutrients!$EG$78)))))*T$8))/2000</f>
        <v>0.2141719383443349</v>
      </c>
      <c r="U310" s="202">
        <f>(SUMPRODUCT(U$9:U$229,Nutrients!$EG$8:$EG$228)+(IF($A$7=Nutrients!$B$8,Nutrients!$EG$8,Nutrients!$EG$9)*U$7)+(((IF($A$8=Nutrients!$B$79,Nutrients!$EG$79,(IF($A$8=Nutrients!$B$77,Nutrients!$EG$77,Nutrients!$EG$78)))))*U$8))/2000</f>
        <v>0.21056029495793654</v>
      </c>
      <c r="W310" s="202">
        <f>(SUMPRODUCT(W$9:W$229,Nutrients!$EG$8:$EG$228)+(IF($A$7=Nutrients!$B$8,Nutrients!$EG$8,Nutrients!$EG$9)*W$7)+(((IF($A$8=Nutrients!$B$79,Nutrients!$EG$79,(IF($A$8=Nutrients!$B$77,Nutrients!$EG$77,Nutrients!$EG$78)))))*W$8))/2000</f>
        <v>0.25369055412329622</v>
      </c>
      <c r="X310" s="202">
        <f>(SUMPRODUCT(X$9:X$229,Nutrients!$EG$8:$EG$228)+(IF($A$7=Nutrients!$B$8,Nutrients!$EG$8,Nutrients!$EG$9)*X$7)+(((IF($A$8=Nutrients!$B$79,Nutrients!$EG$79,(IF($A$8=Nutrients!$B$77,Nutrients!$EG$77,Nutrients!$EG$78)))))*X$8))/2000</f>
        <v>0.23906021679549116</v>
      </c>
      <c r="Y310" s="202">
        <f>(SUMPRODUCT(Y$9:Y$229,Nutrients!$EG$8:$EG$228)+(IF($A$7=Nutrients!$B$8,Nutrients!$EG$8,Nutrients!$EG$9)*Y$7)+(((IF($A$8=Nutrients!$B$79,Nutrients!$EG$79,(IF($A$8=Nutrients!$B$77,Nutrients!$EG$77,Nutrients!$EG$78)))))*Y$8))/2000</f>
        <v>0.22637300660373694</v>
      </c>
      <c r="Z310" s="202">
        <f>(SUMPRODUCT(Z$9:Z$229,Nutrients!$EG$8:$EG$228)+(IF($A$7=Nutrients!$B$8,Nutrients!$EG$8,Nutrients!$EG$9)*Z$7)+(((IF($A$8=Nutrients!$B$79,Nutrients!$EG$79,(IF($A$8=Nutrients!$B$77,Nutrients!$EG$77,Nutrients!$EG$78)))))*Z$8))/2000</f>
        <v>0.21571503970287803</v>
      </c>
      <c r="AA310" s="202">
        <f>(SUMPRODUCT(AA$9:AA$229,Nutrients!$EG$8:$EG$228)+(IF($A$7=Nutrients!$B$8,Nutrients!$EG$8,Nutrients!$EG$9)*AA$7)+(((IF($A$8=Nutrients!$B$79,Nutrients!$EG$79,(IF($A$8=Nutrients!$B$77,Nutrients!$EG$77,Nutrients!$EG$78)))))*AA$8))/2000</f>
        <v>0.20866707708896901</v>
      </c>
      <c r="AB310" s="202">
        <f>(SUMPRODUCT(AB$9:AB$229,Nutrients!$EG$8:$EG$228)+(IF($A$7=Nutrients!$B$8,Nutrients!$EG$8,Nutrients!$EG$9)*AB$7)+(((IF($A$8=Nutrients!$B$79,Nutrients!$EG$79,(IF($A$8=Nutrients!$B$77,Nutrients!$EG$77,Nutrients!$EG$78)))))*AB$8))/2000</f>
        <v>0.20502735234671143</v>
      </c>
      <c r="AD310" s="202">
        <f>(SUMPRODUCT(AD$9:AD$229,Nutrients!$EG$8:$EG$228)+(IF($A$7=Nutrients!$B$8,Nutrients!$EG$8,Nutrients!$EG$9)*AD$7)+(((IF($A$8=Nutrients!$B$79,Nutrients!$EG$79,(IF($A$8=Nutrients!$B$77,Nutrients!$EG$77,Nutrients!$EG$78)))))*AD$8))/2000</f>
        <v>0.24793311353457534</v>
      </c>
      <c r="AE310" s="202">
        <f>(SUMPRODUCT(AE$9:AE$229,Nutrients!$EG$8:$EG$228)+(IF($A$7=Nutrients!$B$8,Nutrients!$EG$8,Nutrients!$EG$9)*AE$7)+(((IF($A$8=Nutrients!$B$79,Nutrients!$EG$79,(IF($A$8=Nutrients!$B$77,Nutrients!$EG$77,Nutrients!$EG$78)))))*AE$8))/2000</f>
        <v>0.23326315998482239</v>
      </c>
      <c r="AF310" s="202">
        <f>(SUMPRODUCT(AF$9:AF$229,Nutrients!$EG$8:$EG$228)+(IF($A$7=Nutrients!$B$8,Nutrients!$EG$8,Nutrients!$EG$9)*AF$7)+(((IF($A$8=Nutrients!$B$79,Nutrients!$EG$79,(IF($A$8=Nutrients!$B$77,Nutrients!$EG$77,Nutrients!$EG$78)))))*AF$8))/2000</f>
        <v>0.22071852904295519</v>
      </c>
      <c r="AG310" s="202">
        <f>(SUMPRODUCT(AG$9:AG$229,Nutrients!$EG$8:$EG$228)+(IF($A$7=Nutrients!$B$8,Nutrients!$EG$8,Nutrients!$EG$9)*AG$7)+(((IF($A$8=Nutrients!$B$79,Nutrients!$EG$79,(IF($A$8=Nutrients!$B$77,Nutrients!$EG$77,Nutrients!$EG$78)))))*AG$8))/2000</f>
        <v>0.21014618488489362</v>
      </c>
      <c r="AH310" s="202">
        <f>(SUMPRODUCT(AH$9:AH$229,Nutrients!$EG$8:$EG$228)+(IF($A$7=Nutrients!$B$8,Nutrients!$EG$8,Nutrients!$EG$9)*AH$7)+(((IF($A$8=Nutrients!$B$79,Nutrients!$EG$79,(IF($A$8=Nutrients!$B$77,Nutrients!$EG$77,Nutrients!$EG$78)))))*AH$8))/2000</f>
        <v>0.20300536520580292</v>
      </c>
      <c r="AI310" s="202">
        <f>(SUMPRODUCT(AI$9:AI$229,Nutrients!$EG$8:$EG$228)+(IF($A$7=Nutrients!$B$8,Nutrients!$EG$8,Nutrients!$EG$9)*AI$7)+(((IF($A$8=Nutrients!$B$79,Nutrients!$EG$79,(IF($A$8=Nutrients!$B$77,Nutrients!$EG$77,Nutrients!$EG$78)))))*AI$8))/2000</f>
        <v>0.19933574420269992</v>
      </c>
      <c r="AK310" s="202">
        <f>(SUMPRODUCT(AK$9:AK$229,Nutrients!$EG$8:$EG$228)+(IF($A$7=Nutrients!$B$8,Nutrients!$EG$8,Nutrients!$EG$9)*AK$7)+(((IF($A$8=Nutrients!$B$79,Nutrients!$EG$79,(IF($A$8=Nutrients!$B$77,Nutrients!$EG$77,Nutrients!$EG$78)))))*AK$8))/2000</f>
        <v>0.24278719001269883</v>
      </c>
      <c r="AL310" s="202">
        <f>(SUMPRODUCT(AL$9:AL$229,Nutrients!$EG$8:$EG$228)+(IF($A$7=Nutrients!$B$8,Nutrients!$EG$8,Nutrients!$EG$9)*AL$7)+(((IF($A$8=Nutrients!$B$79,Nutrients!$EG$79,(IF($A$8=Nutrients!$B$77,Nutrients!$EG$77,Nutrients!$EG$78)))))*AL$8))/2000</f>
        <v>0.22751207494361927</v>
      </c>
      <c r="AM310" s="202">
        <f>(SUMPRODUCT(AM$9:AM$229,Nutrients!$EG$8:$EG$228)+(IF($A$7=Nutrients!$B$8,Nutrients!$EG$8,Nutrients!$EG$9)*AM$7)+(((IF($A$8=Nutrients!$B$79,Nutrients!$EG$79,(IF($A$8=Nutrients!$B$77,Nutrients!$EG$77,Nutrients!$EG$78)))))*AM$8))/2000</f>
        <v>0.2150640373825064</v>
      </c>
      <c r="AN310" s="202">
        <f>(SUMPRODUCT(AN$9:AN$229,Nutrients!$EG$8:$EG$228)+(IF($A$7=Nutrients!$B$8,Nutrients!$EG$8,Nutrients!$EG$9)*AN$7)+(((IF($A$8=Nutrients!$B$79,Nutrients!$EG$79,(IF($A$8=Nutrients!$B$77,Nutrients!$EG$77,Nutrients!$EG$78)))))*AN$8))/2000</f>
        <v>0.20445985222145546</v>
      </c>
      <c r="AO310" s="202">
        <f>(SUMPRODUCT(AO$9:AO$229,Nutrients!$EG$8:$EG$228)+(IF($A$7=Nutrients!$B$8,Nutrients!$EG$8,Nutrients!$EG$9)*AO$7)+(((IF($A$8=Nutrients!$B$79,Nutrients!$EG$79,(IF($A$8=Nutrients!$B$77,Nutrients!$EG$77,Nutrients!$EG$78)))))*AO$8))/2000</f>
        <v>0.19727549122792276</v>
      </c>
      <c r="AP310" s="202">
        <f>(SUMPRODUCT(AP$9:AP$229,Nutrients!$EG$8:$EG$228)+(IF($A$7=Nutrients!$B$8,Nutrients!$EG$8,Nutrients!$EG$9)*AP$7)+(((IF($A$8=Nutrients!$B$79,Nutrients!$EG$79,(IF($A$8=Nutrients!$B$77,Nutrients!$EG$77,Nutrients!$EG$78)))))*AP$8))/2000</f>
        <v>0.19364284012393748</v>
      </c>
      <c r="AR310" s="202">
        <f>(SUMPRODUCT(AR$9:AR$229,Nutrients!$EG$8:$EG$228)+(IF($A$7=Nutrients!$B$8,Nutrients!$EG$8,Nutrients!$EG$9)*AR$7)+(((IF($A$8=Nutrients!$B$79,Nutrients!$EG$79,(IF($A$8=Nutrients!$B$77,Nutrients!$EG$77,Nutrients!$EG$78)))))*AR$8))/2000</f>
        <v>0.23680036067727533</v>
      </c>
      <c r="AS310" s="202">
        <f>(SUMPRODUCT(AS$9:AS$229,Nutrients!$EG$8:$EG$228)+(IF($A$7=Nutrients!$B$8,Nutrients!$EG$8,Nutrients!$EG$9)*AS$7)+(((IF($A$8=Nutrients!$B$79,Nutrients!$EG$79,(IF($A$8=Nutrients!$B$77,Nutrients!$EG$77,Nutrients!$EG$78)))))*AS$8))/2000</f>
        <v>0.22176027332429543</v>
      </c>
      <c r="AT310" s="202">
        <f>(SUMPRODUCT(AT$9:AT$229,Nutrients!$EG$8:$EG$228)+(IF($A$7=Nutrients!$B$8,Nutrients!$EG$8,Nutrients!$EG$9)*AT$7)+(((IF($A$8=Nutrients!$B$79,Nutrients!$EG$79,(IF($A$8=Nutrients!$B$77,Nutrients!$EG$77,Nutrients!$EG$78)))))*AT$8))/2000</f>
        <v>0.20943715681409306</v>
      </c>
      <c r="AU310" s="202">
        <f>(SUMPRODUCT(AU$9:AU$229,Nutrients!$EG$8:$EG$228)+(IF($A$7=Nutrients!$B$8,Nutrients!$EG$8,Nutrients!$EG$9)*AU$7)+(((IF($A$8=Nutrients!$B$79,Nutrients!$EG$79,(IF($A$8=Nutrients!$B$77,Nutrients!$EG$77,Nutrients!$EG$78)))))*AU$8))/2000</f>
        <v>0.19867810441518011</v>
      </c>
      <c r="AV310" s="202">
        <f>(SUMPRODUCT(AV$9:AV$229,Nutrients!$EG$8:$EG$228)+(IF($A$7=Nutrients!$B$8,Nutrients!$EG$8,Nutrients!$EG$9)*AV$7)+(((IF($A$8=Nutrients!$B$79,Nutrients!$EG$79,(IF($A$8=Nutrients!$B$77,Nutrients!$EG$77,Nutrients!$EG$78)))))*AV$8))/2000</f>
        <v>0.19154709680957813</v>
      </c>
      <c r="AW310" s="202">
        <f>(SUMPRODUCT(AW$9:AW$229,Nutrients!$EG$8:$EG$228)+(IF($A$7=Nutrients!$B$8,Nutrients!$EG$8,Nutrients!$EG$9)*AW$7)+(((IF($A$8=Nutrients!$B$79,Nutrients!$EG$79,(IF($A$8=Nutrients!$B$77,Nutrients!$EG$77,Nutrients!$EG$78)))))*AW$8))/2000</f>
        <v>0.18795098313521419</v>
      </c>
    </row>
    <row r="311" spans="1:49" ht="12.6" customHeight="1" x14ac:dyDescent="0.25">
      <c r="A311" t="s">
        <v>74</v>
      </c>
      <c r="B311" s="23">
        <f t="shared" ref="B311:G311" si="189">B255-B256</f>
        <v>0.31730463701690137</v>
      </c>
      <c r="C311" s="23">
        <f t="shared" si="189"/>
        <v>0.29999736257979814</v>
      </c>
      <c r="D311" s="23">
        <f t="shared" si="189"/>
        <v>0.2851440661893474</v>
      </c>
      <c r="E311" s="23">
        <f t="shared" si="189"/>
        <v>0.27259764867356195</v>
      </c>
      <c r="F311" s="23">
        <f t="shared" si="189"/>
        <v>0.26435033325189533</v>
      </c>
      <c r="G311" s="23">
        <f t="shared" si="189"/>
        <v>0.26008169818001309</v>
      </c>
      <c r="H311" s="227"/>
      <c r="I311" s="23">
        <f t="shared" ref="I311:N311" si="190">I255-I256</f>
        <v>0.33383708454138628</v>
      </c>
      <c r="J311" s="23">
        <f t="shared" si="190"/>
        <v>0.31671885376179243</v>
      </c>
      <c r="K311" s="23">
        <f t="shared" si="190"/>
        <v>0.30202102498476391</v>
      </c>
      <c r="L311" s="23">
        <f t="shared" si="190"/>
        <v>0.28961942109569244</v>
      </c>
      <c r="M311" s="23">
        <f t="shared" si="190"/>
        <v>0.28135190264196031</v>
      </c>
      <c r="N311" s="23">
        <f t="shared" si="190"/>
        <v>0.27714691960336169</v>
      </c>
      <c r="O311" s="198"/>
      <c r="P311" s="23">
        <f t="shared" ref="P311:U311" si="191">P255-P256</f>
        <v>0.35061075584456458</v>
      </c>
      <c r="Q311" s="23">
        <f t="shared" si="191"/>
        <v>0.33360785099784052</v>
      </c>
      <c r="R311" s="23">
        <f t="shared" si="191"/>
        <v>0.319034732038739</v>
      </c>
      <c r="S311" s="23">
        <f t="shared" si="191"/>
        <v>0.30657536044761091</v>
      </c>
      <c r="T311" s="23">
        <f t="shared" si="191"/>
        <v>0.2983925563990048</v>
      </c>
      <c r="U311" s="23">
        <f t="shared" si="191"/>
        <v>0.29422378571318764</v>
      </c>
      <c r="W311" s="23">
        <f t="shared" ref="W311:AB311" si="192">W255-W256</f>
        <v>0.3673872379252251</v>
      </c>
      <c r="X311" s="23">
        <f t="shared" si="192"/>
        <v>0.35050142217463737</v>
      </c>
      <c r="Y311" s="23">
        <f t="shared" si="192"/>
        <v>0.33587123048091666</v>
      </c>
      <c r="Z311" s="23">
        <f t="shared" si="192"/>
        <v>0.32357506784429207</v>
      </c>
      <c r="AA311" s="23">
        <f t="shared" si="192"/>
        <v>0.31544398223254499</v>
      </c>
      <c r="AB311" s="23">
        <f t="shared" si="192"/>
        <v>0.31124321375537534</v>
      </c>
      <c r="AD311" s="23">
        <f t="shared" ref="AD311:AI311" si="193">AD255-AD256</f>
        <v>0.38414783820682069</v>
      </c>
      <c r="AE311" s="23">
        <f t="shared" si="193"/>
        <v>0.36721631974850044</v>
      </c>
      <c r="AF311" s="23">
        <f t="shared" si="193"/>
        <v>0.35275071534349939</v>
      </c>
      <c r="AG311" s="23">
        <f t="shared" si="193"/>
        <v>0.34055288634890857</v>
      </c>
      <c r="AH311" s="23">
        <f t="shared" si="193"/>
        <v>0.33231544646809535</v>
      </c>
      <c r="AI311" s="23">
        <f t="shared" si="193"/>
        <v>0.32808045247650308</v>
      </c>
      <c r="AK311" s="23">
        <f t="shared" ref="AK311:AP311" si="194">AK255-AK256</f>
        <v>0.40161412168642541</v>
      </c>
      <c r="AL311" s="23">
        <f t="shared" si="194"/>
        <v>0.38398409981345505</v>
      </c>
      <c r="AM311" s="23">
        <f t="shared" si="194"/>
        <v>0.36962947837746013</v>
      </c>
      <c r="AN311" s="23">
        <f t="shared" si="194"/>
        <v>0.35739567874583955</v>
      </c>
      <c r="AO311" s="23">
        <f t="shared" si="194"/>
        <v>0.34910850196444831</v>
      </c>
      <c r="AP311" s="23">
        <f t="shared" si="194"/>
        <v>0.3449161758148071</v>
      </c>
      <c r="AR311" s="23">
        <f t="shared" ref="AR311:AW311" si="195">AR255-AR256</f>
        <v>0.41810990244800006</v>
      </c>
      <c r="AS311" s="23">
        <f t="shared" si="195"/>
        <v>0.40075120670695219</v>
      </c>
      <c r="AT311" s="23">
        <f t="shared" si="195"/>
        <v>0.38654030451451005</v>
      </c>
      <c r="AU311" s="23">
        <f t="shared" si="195"/>
        <v>0.37412896125264017</v>
      </c>
      <c r="AV311" s="23">
        <f t="shared" si="195"/>
        <v>0.36590328409880318</v>
      </c>
      <c r="AW311" s="23">
        <f t="shared" si="195"/>
        <v>0.36175312719306957</v>
      </c>
    </row>
    <row r="312" spans="1:49" x14ac:dyDescent="0.25">
      <c r="A312" s="34" t="s">
        <v>109</v>
      </c>
      <c r="B312" s="45">
        <f t="shared" ref="B312:G312" si="196">B257-B256</f>
        <v>0.11261444047083269</v>
      </c>
      <c r="C312" s="45">
        <f t="shared" si="196"/>
        <v>0.11261444047083266</v>
      </c>
      <c r="D312" s="45">
        <f t="shared" si="196"/>
        <v>0.11261444047083266</v>
      </c>
      <c r="E312" s="45">
        <f t="shared" si="196"/>
        <v>0.11261444047083269</v>
      </c>
      <c r="F312" s="45">
        <f t="shared" si="196"/>
        <v>0.11261444047083269</v>
      </c>
      <c r="G312" s="45">
        <f t="shared" si="196"/>
        <v>0.11261444047083269</v>
      </c>
      <c r="H312" s="233"/>
      <c r="I312" s="45">
        <f t="shared" ref="I312:N312" si="197">I257-I256</f>
        <v>0.11261444047083266</v>
      </c>
      <c r="J312" s="45">
        <f t="shared" si="197"/>
        <v>0.11261444047083272</v>
      </c>
      <c r="K312" s="45">
        <f t="shared" si="197"/>
        <v>0.11261444047083266</v>
      </c>
      <c r="L312" s="45">
        <f t="shared" si="197"/>
        <v>0.1126144404708327</v>
      </c>
      <c r="M312" s="45">
        <f t="shared" si="197"/>
        <v>0.1126144404708327</v>
      </c>
      <c r="N312" s="45">
        <f t="shared" si="197"/>
        <v>0.11261444047083269</v>
      </c>
      <c r="O312" s="239"/>
      <c r="P312" s="45">
        <f t="shared" ref="P312:U312" si="198">P257-P256</f>
        <v>0.11261444047083269</v>
      </c>
      <c r="Q312" s="45">
        <f t="shared" si="198"/>
        <v>0.11261444047083266</v>
      </c>
      <c r="R312" s="45">
        <f t="shared" si="198"/>
        <v>0.1126144404708327</v>
      </c>
      <c r="S312" s="45">
        <f t="shared" si="198"/>
        <v>0.11261444047083269</v>
      </c>
      <c r="T312" s="45">
        <f t="shared" si="198"/>
        <v>0.11261444047083269</v>
      </c>
      <c r="U312" s="45">
        <f t="shared" si="198"/>
        <v>0.11261444047083266</v>
      </c>
      <c r="W312" s="45">
        <f t="shared" ref="W312:AB312" si="199">W257-W256</f>
        <v>0.11261444047083272</v>
      </c>
      <c r="X312" s="45">
        <f t="shared" si="199"/>
        <v>0.11261444047083266</v>
      </c>
      <c r="Y312" s="45">
        <f t="shared" si="199"/>
        <v>0.11261444047083267</v>
      </c>
      <c r="Z312" s="45">
        <f t="shared" si="199"/>
        <v>0.1126144404708327</v>
      </c>
      <c r="AA312" s="45">
        <f t="shared" si="199"/>
        <v>0.11261444047083269</v>
      </c>
      <c r="AB312" s="45">
        <f t="shared" si="199"/>
        <v>0.11261444047083269</v>
      </c>
      <c r="AD312" s="45">
        <f t="shared" ref="AD312:AI312" si="200">AD257-AD256</f>
        <v>0.11261444047083263</v>
      </c>
      <c r="AE312" s="45">
        <f t="shared" si="200"/>
        <v>0.1126144404708327</v>
      </c>
      <c r="AF312" s="45">
        <f t="shared" si="200"/>
        <v>0.11261444047083267</v>
      </c>
      <c r="AG312" s="45">
        <f t="shared" si="200"/>
        <v>0.11261444047083269</v>
      </c>
      <c r="AH312" s="45">
        <f t="shared" si="200"/>
        <v>0.11261444047083269</v>
      </c>
      <c r="AI312" s="45">
        <f t="shared" si="200"/>
        <v>0.11261444047083269</v>
      </c>
      <c r="AK312" s="45">
        <f t="shared" ref="AK312:AP312" si="201">AK257-AK256</f>
        <v>0.11261444047083266</v>
      </c>
      <c r="AL312" s="45">
        <f t="shared" si="201"/>
        <v>0.1126144404708327</v>
      </c>
      <c r="AM312" s="45">
        <f t="shared" si="201"/>
        <v>0.1126144404708327</v>
      </c>
      <c r="AN312" s="45">
        <f t="shared" si="201"/>
        <v>0.11261444047083269</v>
      </c>
      <c r="AO312" s="45">
        <f t="shared" si="201"/>
        <v>0.11261444047083269</v>
      </c>
      <c r="AP312" s="45">
        <f t="shared" si="201"/>
        <v>0.11261444047083269</v>
      </c>
      <c r="AR312" s="45">
        <f t="shared" ref="AR312:AW312" si="202">AR257-AR256</f>
        <v>0.1126144404708327</v>
      </c>
      <c r="AS312" s="45">
        <f t="shared" si="202"/>
        <v>0.11261444047083269</v>
      </c>
      <c r="AT312" s="45">
        <f t="shared" si="202"/>
        <v>0.11261444047083269</v>
      </c>
      <c r="AU312" s="45">
        <f t="shared" si="202"/>
        <v>0.11261444047083269</v>
      </c>
      <c r="AV312" s="45">
        <f t="shared" si="202"/>
        <v>0.11261444047083269</v>
      </c>
      <c r="AW312" s="45">
        <f t="shared" si="202"/>
        <v>0.11261444047083267</v>
      </c>
    </row>
    <row r="313" spans="1:49" x14ac:dyDescent="0.25">
      <c r="A313" s="44" t="s">
        <v>110</v>
      </c>
      <c r="B313" s="46">
        <f t="shared" ref="B313:G313" si="203">B312/B310</f>
        <v>0.41534416697896814</v>
      </c>
      <c r="C313" s="46">
        <f t="shared" si="203"/>
        <v>0.4396599206348985</v>
      </c>
      <c r="D313" s="46">
        <f t="shared" si="203"/>
        <v>0.46293956495329519</v>
      </c>
      <c r="E313" s="46">
        <f t="shared" si="203"/>
        <v>0.48460511648891713</v>
      </c>
      <c r="F313" s="46">
        <f t="shared" si="203"/>
        <v>0.49998670453269645</v>
      </c>
      <c r="G313" s="46">
        <f t="shared" si="203"/>
        <v>0.50833372904042951</v>
      </c>
      <c r="H313" s="46"/>
      <c r="I313" s="46">
        <f t="shared" ref="I313:N313" si="204">I312/I310</f>
        <v>0.42467121606022762</v>
      </c>
      <c r="J313" s="46">
        <f t="shared" si="204"/>
        <v>0.44983067973100022</v>
      </c>
      <c r="K313" s="46">
        <f t="shared" si="204"/>
        <v>0.47396099363312283</v>
      </c>
      <c r="L313" s="46">
        <f t="shared" si="204"/>
        <v>0.4964196286873489</v>
      </c>
      <c r="M313" s="46">
        <f t="shared" si="204"/>
        <v>0.51261430072679193</v>
      </c>
      <c r="N313" s="46">
        <f t="shared" si="204"/>
        <v>0.52125845137701632</v>
      </c>
      <c r="O313" s="46"/>
      <c r="P313" s="46">
        <f t="shared" ref="P313:U313" si="205">P312/P310</f>
        <v>0.43407725259707419</v>
      </c>
      <c r="Q313" s="46">
        <f t="shared" si="205"/>
        <v>0.46020999708369487</v>
      </c>
      <c r="R313" s="46">
        <f t="shared" si="205"/>
        <v>0.48527211403804926</v>
      </c>
      <c r="S313" s="46">
        <f t="shared" si="205"/>
        <v>0.50895725515707102</v>
      </c>
      <c r="T313" s="46">
        <f t="shared" si="205"/>
        <v>0.52581323837942229</v>
      </c>
      <c r="U313" s="46">
        <f t="shared" si="205"/>
        <v>0.53483226974643794</v>
      </c>
      <c r="W313" s="46">
        <f t="shared" ref="W313:AB313" si="206">W312/W310</f>
        <v>0.44390474395077767</v>
      </c>
      <c r="X313" s="46">
        <f t="shared" si="206"/>
        <v>0.47107143957445219</v>
      </c>
      <c r="Y313" s="46">
        <f t="shared" si="206"/>
        <v>0.4974729194102317</v>
      </c>
      <c r="Z313" s="46">
        <f t="shared" si="206"/>
        <v>0.52205187281306753</v>
      </c>
      <c r="AA313" s="46">
        <f t="shared" si="206"/>
        <v>0.53968475545769723</v>
      </c>
      <c r="AB313" s="46">
        <f t="shared" si="206"/>
        <v>0.54926544766766572</v>
      </c>
      <c r="AD313" s="46">
        <f t="shared" ref="AD313:AI313" si="207">AD312/AD310</f>
        <v>0.45421298859753989</v>
      </c>
      <c r="AE313" s="46">
        <f t="shared" si="207"/>
        <v>0.48277850852299237</v>
      </c>
      <c r="AF313" s="46">
        <f t="shared" si="207"/>
        <v>0.51021742922596314</v>
      </c>
      <c r="AG313" s="46">
        <f t="shared" si="207"/>
        <v>0.53588620003982756</v>
      </c>
      <c r="AH313" s="46">
        <f t="shared" si="207"/>
        <v>0.55473627683025195</v>
      </c>
      <c r="AI313" s="46">
        <f t="shared" si="207"/>
        <v>0.56494855411540068</v>
      </c>
      <c r="AK313" s="46">
        <f t="shared" ref="AK313:AP313" si="208">AK312/AK310</f>
        <v>0.46384012461671653</v>
      </c>
      <c r="AL313" s="46">
        <f t="shared" si="208"/>
        <v>0.49498225752958458</v>
      </c>
      <c r="AM313" s="46">
        <f t="shared" si="208"/>
        <v>0.52363213227760652</v>
      </c>
      <c r="AN313" s="46">
        <f t="shared" si="208"/>
        <v>0.55078999249621508</v>
      </c>
      <c r="AO313" s="46">
        <f t="shared" si="208"/>
        <v>0.57084861261718156</v>
      </c>
      <c r="AP313" s="46">
        <f t="shared" si="208"/>
        <v>0.5815574714704449</v>
      </c>
      <c r="AR313" s="46">
        <f t="shared" ref="AR313:AW313" si="209">AR312/AR310</f>
        <v>0.47556701412423064</v>
      </c>
      <c r="AS313" s="46">
        <f t="shared" si="209"/>
        <v>0.50782062441882359</v>
      </c>
      <c r="AT313" s="46">
        <f t="shared" si="209"/>
        <v>0.53770038795358044</v>
      </c>
      <c r="AU313" s="46">
        <f t="shared" si="209"/>
        <v>0.56681857722731688</v>
      </c>
      <c r="AV313" s="46">
        <f t="shared" si="209"/>
        <v>0.58792037230815142</v>
      </c>
      <c r="AW313" s="46">
        <f t="shared" si="209"/>
        <v>0.5991692014178851</v>
      </c>
    </row>
    <row r="314" spans="1:49" x14ac:dyDescent="0.25">
      <c r="A314" s="34" t="s">
        <v>359</v>
      </c>
      <c r="B314" s="21">
        <f>((SUMPRODUCT(B$9:B$229,Nutrients!$EE$8:$EE$228)+(IF($A$7=Nutrients!$B$8,Nutrients!$EE$8,Nutrients!$EE$9)*B$7)+(((IF($A$8=Nutrients!$B$79,Nutrients!$EE$79,(IF($A$8=Nutrients!$B$77,Nutrients!$EE$77,Nutrients!$EE$78)))))*B$8))/2000)*2.2046</f>
        <v>608.03970300000003</v>
      </c>
      <c r="C314" s="21">
        <f>((SUMPRODUCT(C$9:C$229,Nutrients!$EE$8:$EE$228)+(IF($A$7=Nutrients!$B$8,Nutrients!$EE$8,Nutrients!$EE$9)*C$7)+(((IF($A$8=Nutrients!$B$79,Nutrients!$EE$79,(IF($A$8=Nutrients!$B$77,Nutrients!$EE$77,Nutrients!$EE$78)))))*C$8))/2000)*2.2046</f>
        <v>608.03970300000003</v>
      </c>
      <c r="D314" s="21">
        <f>((SUMPRODUCT(D$9:D$229,Nutrients!$EE$8:$EE$228)+(IF($A$7=Nutrients!$B$8,Nutrients!$EE$8,Nutrients!$EE$9)*D$7)+(((IF($A$8=Nutrients!$B$79,Nutrients!$EE$79,(IF($A$8=Nutrients!$B$77,Nutrients!$EE$77,Nutrients!$EE$78)))))*D$8))/2000)*2.2046</f>
        <v>608.03970300000003</v>
      </c>
      <c r="E314" s="21">
        <f>((SUMPRODUCT(E$9:E$229,Nutrients!$EE$8:$EE$228)+(IF($A$7=Nutrients!$B$8,Nutrients!$EE$8,Nutrients!$EE$9)*E$7)+(((IF($A$8=Nutrients!$B$79,Nutrients!$EE$79,(IF($A$8=Nutrients!$B$77,Nutrients!$EE$77,Nutrients!$EE$78)))))*E$8))/2000)*2.2046</f>
        <v>608.03970300000003</v>
      </c>
      <c r="F314" s="21">
        <f>((SUMPRODUCT(F$9:F$229,Nutrients!$EE$8:$EE$228)+(IF($A$7=Nutrients!$B$8,Nutrients!$EE$8,Nutrients!$EE$9)*F$7)+(((IF($A$8=Nutrients!$B$79,Nutrients!$EE$79,(IF($A$8=Nutrients!$B$77,Nutrients!$EE$77,Nutrients!$EE$78)))))*F$8))/2000)*2.2046</f>
        <v>608.03970300000003</v>
      </c>
      <c r="G314" s="21">
        <f>((SUMPRODUCT(G$9:G$229,Nutrients!$EE$8:$EE$228)+(IF($A$7=Nutrients!$B$8,Nutrients!$EE$8,Nutrients!$EE$9)*G$7)+(((IF($A$8=Nutrients!$B$79,Nutrients!$EE$79,(IF($A$8=Nutrients!$B$77,Nutrients!$EE$77,Nutrients!$EE$78)))))*G$8))/2000)*2.2046</f>
        <v>608.03970300000003</v>
      </c>
      <c r="H314" s="226"/>
      <c r="I314" s="21">
        <f>((SUMPRODUCT(I$9:I$229,Nutrients!$EE$8:$EE$228)+(IF($A$7=Nutrients!$B$8,Nutrients!$EE$8,Nutrients!$EE$9)*I$7)+(((IF($A$8=Nutrients!$B$79,Nutrients!$EE$79,(IF($A$8=Nutrients!$B$77,Nutrients!$EE$77,Nutrients!$EE$78)))))*I$8))/2000)*2.2046</f>
        <v>608.03970300000003</v>
      </c>
      <c r="J314" s="21">
        <f>((SUMPRODUCT(J$9:J$229,Nutrients!$EE$8:$EE$228)+(IF($A$7=Nutrients!$B$8,Nutrients!$EE$8,Nutrients!$EE$9)*J$7)+(((IF($A$8=Nutrients!$B$79,Nutrients!$EE$79,(IF($A$8=Nutrients!$B$77,Nutrients!$EE$77,Nutrients!$EE$78)))))*J$8))/2000)*2.2046</f>
        <v>608.03970300000003</v>
      </c>
      <c r="K314" s="21">
        <f>((SUMPRODUCT(K$9:K$229,Nutrients!$EE$8:$EE$228)+(IF($A$7=Nutrients!$B$8,Nutrients!$EE$8,Nutrients!$EE$9)*K$7)+(((IF($A$8=Nutrients!$B$79,Nutrients!$EE$79,(IF($A$8=Nutrients!$B$77,Nutrients!$EE$77,Nutrients!$EE$78)))))*K$8))/2000)*2.2046</f>
        <v>608.03970300000003</v>
      </c>
      <c r="L314" s="21">
        <f>((SUMPRODUCT(L$9:L$229,Nutrients!$EE$8:$EE$228)+(IF($A$7=Nutrients!$B$8,Nutrients!$EE$8,Nutrients!$EE$9)*L$7)+(((IF($A$8=Nutrients!$B$79,Nutrients!$EE$79,(IF($A$8=Nutrients!$B$77,Nutrients!$EE$77,Nutrients!$EE$78)))))*L$8))/2000)*2.2046</f>
        <v>608.03970300000003</v>
      </c>
      <c r="M314" s="21">
        <f>((SUMPRODUCT(M$9:M$229,Nutrients!$EE$8:$EE$228)+(IF($A$7=Nutrients!$B$8,Nutrients!$EE$8,Nutrients!$EE$9)*M$7)+(((IF($A$8=Nutrients!$B$79,Nutrients!$EE$79,(IF($A$8=Nutrients!$B$77,Nutrients!$EE$77,Nutrients!$EE$78)))))*M$8))/2000)*2.2046</f>
        <v>608.03970300000003</v>
      </c>
      <c r="N314" s="21">
        <f>((SUMPRODUCT(N$9:N$229,Nutrients!$EE$8:$EE$228)+(IF($A$7=Nutrients!$B$8,Nutrients!$EE$8,Nutrients!$EE$9)*N$7)+(((IF($A$8=Nutrients!$B$79,Nutrients!$EE$79,(IF($A$8=Nutrients!$B$77,Nutrients!$EE$77,Nutrients!$EE$78)))))*N$8))/2000)*2.2046</f>
        <v>608.03970300000003</v>
      </c>
      <c r="O314" s="234"/>
      <c r="P314" s="21">
        <f>((SUMPRODUCT(P$9:P$229,Nutrients!$EE$8:$EE$228)+(IF($A$7=Nutrients!$B$8,Nutrients!$EE$8,Nutrients!$EE$9)*P$7)+(((IF($A$8=Nutrients!$B$79,Nutrients!$EE$79,(IF($A$8=Nutrients!$B$77,Nutrients!$EE$77,Nutrients!$EE$78)))))*P$8))/2000)*2.2046</f>
        <v>608.03970300000003</v>
      </c>
      <c r="Q314" s="21">
        <f>((SUMPRODUCT(Q$9:Q$229,Nutrients!$EE$8:$EE$228)+(IF($A$7=Nutrients!$B$8,Nutrients!$EE$8,Nutrients!$EE$9)*Q$7)+(((IF($A$8=Nutrients!$B$79,Nutrients!$EE$79,(IF($A$8=Nutrients!$B$77,Nutrients!$EE$77,Nutrients!$EE$78)))))*Q$8))/2000)*2.2046</f>
        <v>608.03970300000003</v>
      </c>
      <c r="R314" s="21">
        <f>((SUMPRODUCT(R$9:R$229,Nutrients!$EE$8:$EE$228)+(IF($A$7=Nutrients!$B$8,Nutrients!$EE$8,Nutrients!$EE$9)*R$7)+(((IF($A$8=Nutrients!$B$79,Nutrients!$EE$79,(IF($A$8=Nutrients!$B$77,Nutrients!$EE$77,Nutrients!$EE$78)))))*R$8))/2000)*2.2046</f>
        <v>608.03970300000003</v>
      </c>
      <c r="S314" s="21">
        <f>((SUMPRODUCT(S$9:S$229,Nutrients!$EE$8:$EE$228)+(IF($A$7=Nutrients!$B$8,Nutrients!$EE$8,Nutrients!$EE$9)*S$7)+(((IF($A$8=Nutrients!$B$79,Nutrients!$EE$79,(IF($A$8=Nutrients!$B$77,Nutrients!$EE$77,Nutrients!$EE$78)))))*S$8))/2000)*2.2046</f>
        <v>608.03970300000003</v>
      </c>
      <c r="T314" s="21">
        <f>((SUMPRODUCT(T$9:T$229,Nutrients!$EE$8:$EE$228)+(IF($A$7=Nutrients!$B$8,Nutrients!$EE$8,Nutrients!$EE$9)*T$7)+(((IF($A$8=Nutrients!$B$79,Nutrients!$EE$79,(IF($A$8=Nutrients!$B$77,Nutrients!$EE$77,Nutrients!$EE$78)))))*T$8))/2000)*2.2046</f>
        <v>608.03970300000003</v>
      </c>
      <c r="U314" s="21">
        <f>((SUMPRODUCT(U$9:U$229,Nutrients!$EE$8:$EE$228)+(IF($A$7=Nutrients!$B$8,Nutrients!$EE$8,Nutrients!$EE$9)*U$7)+(((IF($A$8=Nutrients!$B$79,Nutrients!$EE$79,(IF($A$8=Nutrients!$B$77,Nutrients!$EE$77,Nutrients!$EE$78)))))*U$8))/2000)*2.2046</f>
        <v>608.03970300000003</v>
      </c>
      <c r="W314" s="21">
        <f>((SUMPRODUCT(W$9:W$229,Nutrients!$EE$8:$EE$228)+(IF($A$7=Nutrients!$B$8,Nutrients!$EE$8,Nutrients!$EE$9)*W$7)+(((IF($A$8=Nutrients!$B$79,Nutrients!$EE$79,(IF($A$8=Nutrients!$B$77,Nutrients!$EE$77,Nutrients!$EE$78)))))*W$8))/2000)*2.2046</f>
        <v>608.03970300000003</v>
      </c>
      <c r="X314" s="21">
        <f>((SUMPRODUCT(X$9:X$229,Nutrients!$EE$8:$EE$228)+(IF($A$7=Nutrients!$B$8,Nutrients!$EE$8,Nutrients!$EE$9)*X$7)+(((IF($A$8=Nutrients!$B$79,Nutrients!$EE$79,(IF($A$8=Nutrients!$B$77,Nutrients!$EE$77,Nutrients!$EE$78)))))*X$8))/2000)*2.2046</f>
        <v>608.03970300000003</v>
      </c>
      <c r="Y314" s="21">
        <f>((SUMPRODUCT(Y$9:Y$229,Nutrients!$EE$8:$EE$228)+(IF($A$7=Nutrients!$B$8,Nutrients!$EE$8,Nutrients!$EE$9)*Y$7)+(((IF($A$8=Nutrients!$B$79,Nutrients!$EE$79,(IF($A$8=Nutrients!$B$77,Nutrients!$EE$77,Nutrients!$EE$78)))))*Y$8))/2000)*2.2046</f>
        <v>608.03970300000003</v>
      </c>
      <c r="Z314" s="21">
        <f>((SUMPRODUCT(Z$9:Z$229,Nutrients!$EE$8:$EE$228)+(IF($A$7=Nutrients!$B$8,Nutrients!$EE$8,Nutrients!$EE$9)*Z$7)+(((IF($A$8=Nutrients!$B$79,Nutrients!$EE$79,(IF($A$8=Nutrients!$B$77,Nutrients!$EE$77,Nutrients!$EE$78)))))*Z$8))/2000)*2.2046</f>
        <v>608.03970300000003</v>
      </c>
      <c r="AA314" s="21">
        <f>((SUMPRODUCT(AA$9:AA$229,Nutrients!$EE$8:$EE$228)+(IF($A$7=Nutrients!$B$8,Nutrients!$EE$8,Nutrients!$EE$9)*AA$7)+(((IF($A$8=Nutrients!$B$79,Nutrients!$EE$79,(IF($A$8=Nutrients!$B$77,Nutrients!$EE$77,Nutrients!$EE$78)))))*AA$8))/2000)*2.2046</f>
        <v>608.03970300000003</v>
      </c>
      <c r="AB314" s="21">
        <f>((SUMPRODUCT(AB$9:AB$229,Nutrients!$EE$8:$EE$228)+(IF($A$7=Nutrients!$B$8,Nutrients!$EE$8,Nutrients!$EE$9)*AB$7)+(((IF($A$8=Nutrients!$B$79,Nutrients!$EE$79,(IF($A$8=Nutrients!$B$77,Nutrients!$EE$77,Nutrients!$EE$78)))))*AB$8))/2000)*2.2046</f>
        <v>608.03970300000003</v>
      </c>
      <c r="AD314" s="21">
        <f>((SUMPRODUCT(AD$9:AD$229,Nutrients!$EE$8:$EE$228)+(IF($A$7=Nutrients!$B$8,Nutrients!$EE$8,Nutrients!$EE$9)*AD$7)+(((IF($A$8=Nutrients!$B$79,Nutrients!$EE$79,(IF($A$8=Nutrients!$B$77,Nutrients!$EE$77,Nutrients!$EE$78)))))*AD$8))/2000)*2.2046</f>
        <v>608.03970300000003</v>
      </c>
      <c r="AE314" s="21">
        <f>((SUMPRODUCT(AE$9:AE$229,Nutrients!$EE$8:$EE$228)+(IF($A$7=Nutrients!$B$8,Nutrients!$EE$8,Nutrients!$EE$9)*AE$7)+(((IF($A$8=Nutrients!$B$79,Nutrients!$EE$79,(IF($A$8=Nutrients!$B$77,Nutrients!$EE$77,Nutrients!$EE$78)))))*AE$8))/2000)*2.2046</f>
        <v>608.03970300000003</v>
      </c>
      <c r="AF314" s="21">
        <f>((SUMPRODUCT(AF$9:AF$229,Nutrients!$EE$8:$EE$228)+(IF($A$7=Nutrients!$B$8,Nutrients!$EE$8,Nutrients!$EE$9)*AF$7)+(((IF($A$8=Nutrients!$B$79,Nutrients!$EE$79,(IF($A$8=Nutrients!$B$77,Nutrients!$EE$77,Nutrients!$EE$78)))))*AF$8))/2000)*2.2046</f>
        <v>608.03970300000003</v>
      </c>
      <c r="AG314" s="21">
        <f>((SUMPRODUCT(AG$9:AG$229,Nutrients!$EE$8:$EE$228)+(IF($A$7=Nutrients!$B$8,Nutrients!$EE$8,Nutrients!$EE$9)*AG$7)+(((IF($A$8=Nutrients!$B$79,Nutrients!$EE$79,(IF($A$8=Nutrients!$B$77,Nutrients!$EE$77,Nutrients!$EE$78)))))*AG$8))/2000)*2.2046</f>
        <v>608.03970300000003</v>
      </c>
      <c r="AH314" s="21">
        <f>((SUMPRODUCT(AH$9:AH$229,Nutrients!$EE$8:$EE$228)+(IF($A$7=Nutrients!$B$8,Nutrients!$EE$8,Nutrients!$EE$9)*AH$7)+(((IF($A$8=Nutrients!$B$79,Nutrients!$EE$79,(IF($A$8=Nutrients!$B$77,Nutrients!$EE$77,Nutrients!$EE$78)))))*AH$8))/2000)*2.2046</f>
        <v>608.03970300000003</v>
      </c>
      <c r="AI314" s="21">
        <f>((SUMPRODUCT(AI$9:AI$229,Nutrients!$EE$8:$EE$228)+(IF($A$7=Nutrients!$B$8,Nutrients!$EE$8,Nutrients!$EE$9)*AI$7)+(((IF($A$8=Nutrients!$B$79,Nutrients!$EE$79,(IF($A$8=Nutrients!$B$77,Nutrients!$EE$77,Nutrients!$EE$78)))))*AI$8))/2000)*2.2046</f>
        <v>608.03970300000003</v>
      </c>
      <c r="AK314" s="21">
        <f>((SUMPRODUCT(AK$9:AK$229,Nutrients!$EE$8:$EE$228)+(IF($A$7=Nutrients!$B$8,Nutrients!$EE$8,Nutrients!$EE$9)*AK$7)+(((IF($A$8=Nutrients!$B$79,Nutrients!$EE$79,(IF($A$8=Nutrients!$B$77,Nutrients!$EE$77,Nutrients!$EE$78)))))*AK$8))/2000)*2.2046</f>
        <v>608.03970300000003</v>
      </c>
      <c r="AL314" s="21">
        <f>((SUMPRODUCT(AL$9:AL$229,Nutrients!$EE$8:$EE$228)+(IF($A$7=Nutrients!$B$8,Nutrients!$EE$8,Nutrients!$EE$9)*AL$7)+(((IF($A$8=Nutrients!$B$79,Nutrients!$EE$79,(IF($A$8=Nutrients!$B$77,Nutrients!$EE$77,Nutrients!$EE$78)))))*AL$8))/2000)*2.2046</f>
        <v>608.03970300000003</v>
      </c>
      <c r="AM314" s="21">
        <f>((SUMPRODUCT(AM$9:AM$229,Nutrients!$EE$8:$EE$228)+(IF($A$7=Nutrients!$B$8,Nutrients!$EE$8,Nutrients!$EE$9)*AM$7)+(((IF($A$8=Nutrients!$B$79,Nutrients!$EE$79,(IF($A$8=Nutrients!$B$77,Nutrients!$EE$77,Nutrients!$EE$78)))))*AM$8))/2000)*2.2046</f>
        <v>608.03970300000003</v>
      </c>
      <c r="AN314" s="21">
        <f>((SUMPRODUCT(AN$9:AN$229,Nutrients!$EE$8:$EE$228)+(IF($A$7=Nutrients!$B$8,Nutrients!$EE$8,Nutrients!$EE$9)*AN$7)+(((IF($A$8=Nutrients!$B$79,Nutrients!$EE$79,(IF($A$8=Nutrients!$B$77,Nutrients!$EE$77,Nutrients!$EE$78)))))*AN$8))/2000)*2.2046</f>
        <v>608.03970300000003</v>
      </c>
      <c r="AO314" s="21">
        <f>((SUMPRODUCT(AO$9:AO$229,Nutrients!$EE$8:$EE$228)+(IF($A$7=Nutrients!$B$8,Nutrients!$EE$8,Nutrients!$EE$9)*AO$7)+(((IF($A$8=Nutrients!$B$79,Nutrients!$EE$79,(IF($A$8=Nutrients!$B$77,Nutrients!$EE$77,Nutrients!$EE$78)))))*AO$8))/2000)*2.2046</f>
        <v>608.03970300000003</v>
      </c>
      <c r="AP314" s="21">
        <f>((SUMPRODUCT(AP$9:AP$229,Nutrients!$EE$8:$EE$228)+(IF($A$7=Nutrients!$B$8,Nutrients!$EE$8,Nutrients!$EE$9)*AP$7)+(((IF($A$8=Nutrients!$B$79,Nutrients!$EE$79,(IF($A$8=Nutrients!$B$77,Nutrients!$EE$77,Nutrients!$EE$78)))))*AP$8))/2000)*2.2046</f>
        <v>608.03970300000003</v>
      </c>
      <c r="AR314" s="21">
        <f>((SUMPRODUCT(AR$9:AR$229,Nutrients!$EE$8:$EE$228)+(IF($A$7=Nutrients!$B$8,Nutrients!$EE$8,Nutrients!$EE$9)*AR$7)+(((IF($A$8=Nutrients!$B$79,Nutrients!$EE$79,(IF($A$8=Nutrients!$B$77,Nutrients!$EE$77,Nutrients!$EE$78)))))*AR$8))/2000)*2.2046</f>
        <v>608.03970300000003</v>
      </c>
      <c r="AS314" s="21">
        <f>((SUMPRODUCT(AS$9:AS$229,Nutrients!$EE$8:$EE$228)+(IF($A$7=Nutrients!$B$8,Nutrients!$EE$8,Nutrients!$EE$9)*AS$7)+(((IF($A$8=Nutrients!$B$79,Nutrients!$EE$79,(IF($A$8=Nutrients!$B$77,Nutrients!$EE$77,Nutrients!$EE$78)))))*AS$8))/2000)*2.2046</f>
        <v>608.03970300000003</v>
      </c>
      <c r="AT314" s="21">
        <f>((SUMPRODUCT(AT$9:AT$229,Nutrients!$EE$8:$EE$228)+(IF($A$7=Nutrients!$B$8,Nutrients!$EE$8,Nutrients!$EE$9)*AT$7)+(((IF($A$8=Nutrients!$B$79,Nutrients!$EE$79,(IF($A$8=Nutrients!$B$77,Nutrients!$EE$77,Nutrients!$EE$78)))))*AT$8))/2000)*2.2046</f>
        <v>608.03970300000003</v>
      </c>
      <c r="AU314" s="21">
        <f>((SUMPRODUCT(AU$9:AU$229,Nutrients!$EE$8:$EE$228)+(IF($A$7=Nutrients!$B$8,Nutrients!$EE$8,Nutrients!$EE$9)*AU$7)+(((IF($A$8=Nutrients!$B$79,Nutrients!$EE$79,(IF($A$8=Nutrients!$B$77,Nutrients!$EE$77,Nutrients!$EE$78)))))*AU$8))/2000)*2.2046</f>
        <v>608.03970300000003</v>
      </c>
      <c r="AV314" s="21">
        <f>((SUMPRODUCT(AV$9:AV$229,Nutrients!$EE$8:$EE$228)+(IF($A$7=Nutrients!$B$8,Nutrients!$EE$8,Nutrients!$EE$9)*AV$7)+(((IF($A$8=Nutrients!$B$79,Nutrients!$EE$79,(IF($A$8=Nutrients!$B$77,Nutrients!$EE$77,Nutrients!$EE$78)))))*AV$8))/2000)*2.2046</f>
        <v>608.03970300000003</v>
      </c>
      <c r="AW314" s="21">
        <f>((SUMPRODUCT(AW$9:AW$229,Nutrients!$EE$8:$EE$228)+(IF($A$7=Nutrients!$B$8,Nutrients!$EE$8,Nutrients!$EE$9)*AW$7)+(((IF($A$8=Nutrients!$B$79,Nutrients!$EE$79,(IF($A$8=Nutrients!$B$77,Nutrients!$EE$77,Nutrients!$EE$78)))))*AW$8))/2000)*2.2046</f>
        <v>608.03970300000003</v>
      </c>
    </row>
    <row r="315" spans="1:49" x14ac:dyDescent="0.25">
      <c r="A315" s="34" t="s">
        <v>360</v>
      </c>
      <c r="B315" s="23">
        <f>((SUMPRODUCT(B$9:B$229,Nutrients!$FK$8:$FK$228)+(IF($A$7=Nutrients!$B$8,Nutrients!$FK$8,Nutrients!$FK$9)*B$7)+(((IF($A$8=Nutrients!$B$79,Nutrients!$FK$79,(IF($A$8=Nutrients!$B$77,Nutrients!$FK$77,Nutrients!$FK$78)))))*B$8))/2000)</f>
        <v>1.5203643016438457</v>
      </c>
      <c r="C315" s="23">
        <f>((SUMPRODUCT(C$9:C$229,Nutrients!$FK$8:$FK$228)+(IF($A$7=Nutrients!$B$8,Nutrients!$FK$8,Nutrients!$FK$9)*C$7)+(((IF($A$8=Nutrients!$B$79,Nutrients!$FK$79,(IF($A$8=Nutrients!$B$77,Nutrients!$FK$77,Nutrients!$FK$78)))))*C$8))/2000)</f>
        <v>1.5749887728173662</v>
      </c>
      <c r="D315" s="23">
        <f>((SUMPRODUCT(D$9:D$229,Nutrients!$FK$8:$FK$228)+(IF($A$7=Nutrients!$B$8,Nutrients!$FK$8,Nutrients!$FK$9)*D$7)+(((IF($A$8=Nutrients!$B$79,Nutrients!$FK$79,(IF($A$8=Nutrients!$B$77,Nutrients!$FK$77,Nutrients!$FK$78)))))*D$8))/2000)</f>
        <v>1.622538447302484</v>
      </c>
      <c r="E315" s="23">
        <f>((SUMPRODUCT(E$9:E$229,Nutrients!$FK$8:$FK$228)+(IF($A$7=Nutrients!$B$8,Nutrients!$FK$8,Nutrients!$FK$9)*E$7)+(((IF($A$8=Nutrients!$B$79,Nutrients!$FK$79,(IF($A$8=Nutrients!$B$77,Nutrients!$FK$77,Nutrients!$FK$78)))))*E$8))/2000)</f>
        <v>1.6623836434171375</v>
      </c>
      <c r="F315" s="23">
        <f>((SUMPRODUCT(F$9:F$229,Nutrients!$FK$8:$FK$228)+(IF($A$7=Nutrients!$B$8,Nutrients!$FK$8,Nutrients!$FK$9)*F$7)+(((IF($A$8=Nutrients!$B$79,Nutrients!$FK$79,(IF($A$8=Nutrients!$B$77,Nutrients!$FK$77,Nutrients!$FK$78)))))*F$8))/2000)</f>
        <v>1.689982464517773</v>
      </c>
      <c r="G315" s="23">
        <f>((SUMPRODUCT(G$9:G$229,Nutrients!$FK$8:$FK$228)+(IF($A$7=Nutrients!$B$8,Nutrients!$FK$8,Nutrients!$FK$9)*G$7)+(((IF($A$8=Nutrients!$B$79,Nutrients!$FK$79,(IF($A$8=Nutrients!$B$77,Nutrients!$FK$77,Nutrients!$FK$78)))))*G$8))/2000)</f>
        <v>1.7033272639768986</v>
      </c>
      <c r="H315" s="227"/>
      <c r="I315" s="23">
        <f>((SUMPRODUCT(I$9:I$229,Nutrients!$FK$8:$FK$228)+(IF($A$7=Nutrients!$B$8,Nutrients!$FK$8,Nutrients!$FK$9)*I$7)+(((IF($A$8=Nutrients!$B$79,Nutrients!$FK$79,(IF($A$8=Nutrients!$B$77,Nutrients!$FK$77,Nutrients!$FK$78)))))*I$8))/2000)</f>
        <v>1.4455998828026497</v>
      </c>
      <c r="J315" s="23">
        <f>((SUMPRODUCT(J$9:J$229,Nutrients!$FK$8:$FK$228)+(IF($A$7=Nutrients!$B$8,Nutrients!$FK$8,Nutrients!$FK$9)*J$7)+(((IF($A$8=Nutrients!$B$79,Nutrients!$FK$79,(IF($A$8=Nutrients!$B$77,Nutrients!$FK$77,Nutrients!$FK$78)))))*J$8))/2000)</f>
        <v>1.4996479275771843</v>
      </c>
      <c r="K315" s="23">
        <f>((SUMPRODUCT(K$9:K$229,Nutrients!$FK$8:$FK$228)+(IF($A$7=Nutrients!$B$8,Nutrients!$FK$8,Nutrients!$FK$9)*K$7)+(((IF($A$8=Nutrients!$B$79,Nutrients!$FK$79,(IF($A$8=Nutrients!$B$77,Nutrients!$FK$77,Nutrients!$FK$78)))))*K$8))/2000)</f>
        <v>1.5467252828183879</v>
      </c>
      <c r="L315" s="23">
        <f>((SUMPRODUCT(L$9:L$229,Nutrients!$FK$8:$FK$228)+(IF($A$7=Nutrients!$B$8,Nutrients!$FK$8,Nutrients!$FK$9)*L$7)+(((IF($A$8=Nutrients!$B$79,Nutrients!$FK$79,(IF($A$8=Nutrients!$B$77,Nutrients!$FK$77,Nutrients!$FK$78)))))*L$8))/2000)</f>
        <v>1.5866748853329937</v>
      </c>
      <c r="M315" s="23">
        <f>((SUMPRODUCT(M$9:M$229,Nutrients!$FK$8:$FK$228)+(IF($A$7=Nutrients!$B$8,Nutrients!$FK$8,Nutrients!$FK$9)*M$7)+(((IF($A$8=Nutrients!$B$79,Nutrients!$FK$79,(IF($A$8=Nutrients!$B$77,Nutrients!$FK$77,Nutrients!$FK$78)))))*M$8))/2000)</f>
        <v>1.6141665518130097</v>
      </c>
      <c r="N315" s="23">
        <f>((SUMPRODUCT(N$9:N$229,Nutrients!$FK$8:$FK$228)+(IF($A$7=Nutrients!$B$8,Nutrients!$FK$8,Nutrients!$FK$9)*N$7)+(((IF($A$8=Nutrients!$B$79,Nutrients!$FK$79,(IF($A$8=Nutrients!$B$77,Nutrients!$FK$77,Nutrients!$FK$78)))))*N$8))/2000)</f>
        <v>1.627467742912728</v>
      </c>
      <c r="O315" s="198"/>
      <c r="P315" s="23">
        <f>((SUMPRODUCT(P$9:P$229,Nutrients!$FK$8:$FK$228)+(IF($A$7=Nutrients!$B$8,Nutrients!$FK$8,Nutrients!$FK$9)*P$7)+(((IF($A$8=Nutrients!$B$79,Nutrients!$FK$79,(IF($A$8=Nutrients!$B$77,Nutrients!$FK$77,Nutrients!$FK$78)))))*P$8))/2000)</f>
        <v>1.3700723555740364</v>
      </c>
      <c r="Q315" s="23">
        <f>((SUMPRODUCT(Q$9:Q$229,Nutrients!$FK$8:$FK$228)+(IF($A$7=Nutrients!$B$8,Nutrients!$FK$8,Nutrients!$FK$9)*Q$7)+(((IF($A$8=Nutrients!$B$79,Nutrients!$FK$79,(IF($A$8=Nutrients!$B$77,Nutrients!$FK$77,Nutrients!$FK$78)))))*Q$8))/2000)</f>
        <v>1.4237831775572127</v>
      </c>
      <c r="R315" s="23">
        <f>((SUMPRODUCT(R$9:R$229,Nutrients!$FK$8:$FK$228)+(IF($A$7=Nutrients!$B$8,Nutrients!$FK$8,Nutrients!$FK$9)*R$7)+(((IF($A$8=Nutrients!$B$79,Nutrients!$FK$79,(IF($A$8=Nutrients!$B$77,Nutrients!$FK$77,Nutrients!$FK$78)))))*R$8))/2000)</f>
        <v>1.4705148764390779</v>
      </c>
      <c r="S315" s="23">
        <f>((SUMPRODUCT(S$9:S$229,Nutrients!$FK$8:$FK$228)+(IF($A$7=Nutrients!$B$8,Nutrients!$FK$8,Nutrients!$FK$9)*S$7)+(((IF($A$8=Nutrients!$B$79,Nutrients!$FK$79,(IF($A$8=Nutrients!$B$77,Nutrients!$FK$77,Nutrients!$FK$78)))))*S$8))/2000)</f>
        <v>1.5106280925362794</v>
      </c>
      <c r="T315" s="23">
        <f>((SUMPRODUCT(T$9:T$229,Nutrients!$FK$8:$FK$228)+(IF($A$7=Nutrients!$B$8,Nutrients!$FK$8,Nutrients!$FK$9)*T$7)+(((IF($A$8=Nutrients!$B$79,Nutrients!$FK$79,(IF($A$8=Nutrients!$B$77,Nutrients!$FK$77,Nutrients!$FK$78)))))*T$8))/2000)</f>
        <v>1.5376691915748419</v>
      </c>
      <c r="U315" s="23">
        <f>((SUMPRODUCT(U$9:U$229,Nutrients!$FK$8:$FK$228)+(IF($A$7=Nutrients!$B$8,Nutrients!$FK$8,Nutrients!$FK$9)*U$7)+(((IF($A$8=Nutrients!$B$79,Nutrients!$FK$79,(IF($A$8=Nutrients!$B$77,Nutrients!$FK$77,Nutrients!$FK$78)))))*U$8))/2000)</f>
        <v>1.5508073453549103</v>
      </c>
      <c r="W315" s="23">
        <f>((SUMPRODUCT(W$9:W$229,Nutrients!$FK$8:$FK$228)+(IF($A$7=Nutrients!$B$8,Nutrients!$FK$8,Nutrients!$FK$9)*W$7)+(((IF($A$8=Nutrients!$B$79,Nutrients!$FK$79,(IF($A$8=Nutrients!$B$77,Nutrients!$FK$77,Nutrients!$FK$78)))))*W$8))/2000)</f>
        <v>1.2945767223255014</v>
      </c>
      <c r="X315" s="23">
        <f>((SUMPRODUCT(X$9:X$229,Nutrients!$FK$8:$FK$228)+(IF($A$7=Nutrients!$B$8,Nutrients!$FK$8,Nutrients!$FK$9)*X$7)+(((IF($A$8=Nutrients!$B$79,Nutrients!$FK$79,(IF($A$8=Nutrients!$B$77,Nutrients!$FK$77,Nutrients!$FK$78)))))*X$8))/2000)</f>
        <v>1.3479591570486611</v>
      </c>
      <c r="Y315" s="23">
        <f>((SUMPRODUCT(Y$9:Y$229,Nutrients!$FK$8:$FK$228)+(IF($A$7=Nutrients!$B$8,Nutrients!$FK$8,Nutrients!$FK$9)*Y$7)+(((IF($A$8=Nutrients!$B$79,Nutrients!$FK$79,(IF($A$8=Nutrients!$B$77,Nutrients!$FK$77,Nutrients!$FK$78)))))*Y$8))/2000)</f>
        <v>1.3948381338420965</v>
      </c>
      <c r="Z315" s="23">
        <f>((SUMPRODUCT(Z$9:Z$229,Nutrients!$FK$8:$FK$228)+(IF($A$7=Nutrients!$B$8,Nutrients!$FK$8,Nutrients!$FK$9)*Z$7)+(((IF($A$8=Nutrients!$B$79,Nutrients!$FK$79,(IF($A$8=Nutrients!$B$77,Nutrients!$FK$77,Nutrients!$FK$78)))))*Z$8))/2000)</f>
        <v>1.4344346630442963</v>
      </c>
      <c r="AA315" s="23">
        <f>((SUMPRODUCT(AA$9:AA$229,Nutrients!$FK$8:$FK$228)+(IF($A$7=Nutrients!$B$8,Nutrients!$FK$8,Nutrients!$FK$9)*AA$7)+(((IF($A$8=Nutrients!$B$79,Nutrients!$FK$79,(IF($A$8=Nutrients!$B$77,Nutrients!$FK$77,Nutrients!$FK$78)))))*AA$8))/2000)</f>
        <v>1.4611294771105829</v>
      </c>
      <c r="AB315" s="23">
        <f>((SUMPRODUCT(AB$9:AB$229,Nutrients!$FK$8:$FK$228)+(IF($A$7=Nutrients!$B$8,Nutrients!$FK$8,Nutrients!$FK$9)*AB$7)+(((IF($A$8=Nutrients!$B$79,Nutrients!$FK$79,(IF($A$8=Nutrients!$B$77,Nutrients!$FK$77,Nutrients!$FK$78)))))*AB$8))/2000)</f>
        <v>1.473834471737697</v>
      </c>
      <c r="AD315" s="23">
        <f>((SUMPRODUCT(AD$9:AD$229,Nutrients!$FK$8:$FK$228)+(IF($A$7=Nutrients!$B$8,Nutrients!$FK$8,Nutrients!$FK$9)*AD$7)+(((IF($A$8=Nutrients!$B$79,Nutrients!$FK$79,(IF($A$8=Nutrients!$B$77,Nutrients!$FK$77,Nutrients!$FK$78)))))*AD$8))/2000)</f>
        <v>1.2191017480012487</v>
      </c>
      <c r="AE315" s="23">
        <f>((SUMPRODUCT(AE$9:AE$229,Nutrients!$FK$8:$FK$228)+(IF($A$7=Nutrients!$B$8,Nutrients!$FK$8,Nutrients!$FK$9)*AE$7)+(((IF($A$8=Nutrients!$B$79,Nutrients!$FK$79,(IF($A$8=Nutrients!$B$77,Nutrients!$FK$77,Nutrients!$FK$78)))))*AE$8))/2000)</f>
        <v>1.2726105646757182</v>
      </c>
      <c r="AF315" s="23">
        <f>((SUMPRODUCT(AF$9:AF$229,Nutrients!$FK$8:$FK$228)+(IF($A$7=Nutrients!$B$8,Nutrients!$FK$8,Nutrients!$FK$9)*AF$7)+(((IF($A$8=Nutrients!$B$79,Nutrients!$FK$79,(IF($A$8=Nutrients!$B$77,Nutrients!$FK$77,Nutrients!$FK$78)))))*AF$8))/2000)</f>
        <v>1.3190433332362954</v>
      </c>
      <c r="AG315" s="23">
        <f>((SUMPRODUCT(AG$9:AG$229,Nutrients!$FK$8:$FK$228)+(IF($A$7=Nutrients!$B$8,Nutrients!$FK$8,Nutrients!$FK$9)*AG$7)+(((IF($A$8=Nutrients!$B$79,Nutrients!$FK$79,(IF($A$8=Nutrients!$B$77,Nutrients!$FK$77,Nutrients!$FK$78)))))*AG$8))/2000)</f>
        <v>1.3580646984178044</v>
      </c>
      <c r="AH315" s="23">
        <f>((SUMPRODUCT(AH$9:AH$229,Nutrients!$FK$8:$FK$228)+(IF($A$7=Nutrients!$B$8,Nutrients!$FK$8,Nutrients!$FK$9)*AH$7)+(((IF($A$8=Nutrients!$B$79,Nutrients!$FK$79,(IF($A$8=Nutrients!$B$77,Nutrients!$FK$77,Nutrients!$FK$78)))))*AH$8))/2000)</f>
        <v>1.3836702693917331</v>
      </c>
      <c r="AI315" s="23">
        <f>((SUMPRODUCT(AI$9:AI$229,Nutrients!$FK$8:$FK$228)+(IF($A$7=Nutrients!$B$8,Nutrients!$FK$8,Nutrients!$FK$9)*AI$7)+(((IF($A$8=Nutrients!$B$79,Nutrients!$FK$79,(IF($A$8=Nutrients!$B$77,Nutrients!$FK$77,Nutrients!$FK$78)))))*AI$8))/2000)</f>
        <v>1.3957818678902247</v>
      </c>
      <c r="AK315" s="23">
        <f>((SUMPRODUCT(AK$9:AK$229,Nutrients!$FK$8:$FK$228)+(IF($A$7=Nutrients!$B$8,Nutrients!$FK$8,Nutrients!$FK$9)*AK$7)+(((IF($A$8=Nutrients!$B$79,Nutrients!$FK$79,(IF($A$8=Nutrients!$B$77,Nutrients!$FK$77,Nutrients!$FK$78)))))*AK$8))/2000)</f>
        <v>1.1416420104849061</v>
      </c>
      <c r="AL315" s="23">
        <f>((SUMPRODUCT(AL$9:AL$229,Nutrients!$FK$8:$FK$228)+(IF($A$7=Nutrients!$B$8,Nutrients!$FK$8,Nutrients!$FK$9)*AL$7)+(((IF($A$8=Nutrients!$B$79,Nutrients!$FK$79,(IF($A$8=Nutrients!$B$77,Nutrients!$FK$77,Nutrients!$FK$78)))))*AL$8))/2000)</f>
        <v>1.1971393370395638</v>
      </c>
      <c r="AM315" s="23">
        <f>((SUMPRODUCT(AM$9:AM$229,Nutrients!$FK$8:$FK$228)+(IF($A$7=Nutrients!$B$8,Nutrients!$FK$8,Nutrients!$FK$9)*AM$7)+(((IF($A$8=Nutrients!$B$79,Nutrients!$FK$79,(IF($A$8=Nutrients!$B$77,Nutrients!$FK$77,Nutrients!$FK$78)))))*AM$8))/2000)</f>
        <v>1.2429878676520056</v>
      </c>
      <c r="AN315" s="23">
        <f>((SUMPRODUCT(AN$9:AN$229,Nutrients!$FK$8:$FK$228)+(IF($A$7=Nutrients!$B$8,Nutrients!$FK$8,Nutrients!$FK$9)*AN$7)+(((IF($A$8=Nutrients!$B$79,Nutrients!$FK$79,(IF($A$8=Nutrients!$B$77,Nutrients!$FK$77,Nutrients!$FK$78)))))*AN$8))/2000)</f>
        <v>1.2810334359603466</v>
      </c>
      <c r="AO315" s="23">
        <f>((SUMPRODUCT(AO$9:AO$229,Nutrients!$FK$8:$FK$228)+(IF($A$7=Nutrients!$B$8,Nutrients!$FK$8,Nutrients!$FK$9)*AO$7)+(((IF($A$8=Nutrients!$B$79,Nutrients!$FK$79,(IF($A$8=Nutrients!$B$77,Nutrients!$FK$77,Nutrients!$FK$78)))))*AO$8))/2000)</f>
        <v>1.305731562681467</v>
      </c>
      <c r="AP315" s="23">
        <f>((SUMPRODUCT(AP$9:AP$229,Nutrients!$FK$8:$FK$228)+(IF($A$7=Nutrients!$B$8,Nutrients!$FK$8,Nutrients!$FK$9)*AP$7)+(((IF($A$8=Nutrients!$B$79,Nutrients!$FK$79,(IF($A$8=Nutrients!$B$77,Nutrients!$FK$77,Nutrients!$FK$78)))))*AP$8))/2000)</f>
        <v>1.3177223761486987</v>
      </c>
      <c r="AR315" s="23">
        <f>((SUMPRODUCT(AR$9:AR$229,Nutrients!$FK$8:$FK$228)+(IF($A$7=Nutrients!$B$8,Nutrients!$FK$8,Nutrients!$FK$9)*AR$7)+(((IF($A$8=Nutrients!$B$79,Nutrients!$FK$79,(IF($A$8=Nutrients!$B$77,Nutrients!$FK$77,Nutrients!$FK$78)))))*AR$8))/2000)</f>
        <v>1.0669285496844374</v>
      </c>
      <c r="AS315" s="23">
        <f>((SUMPRODUCT(AS$9:AS$229,Nutrients!$FK$8:$FK$228)+(IF($A$7=Nutrients!$B$8,Nutrients!$FK$8,Nutrients!$FK$9)*AS$7)+(((IF($A$8=Nutrients!$B$79,Nutrients!$FK$79,(IF($A$8=Nutrients!$B$77,Nutrients!$FK$77,Nutrients!$FK$78)))))*AS$8))/2000)</f>
        <v>1.1216461695040123</v>
      </c>
      <c r="AT315" s="23">
        <f>((SUMPRODUCT(AT$9:AT$229,Nutrients!$FK$8:$FK$228)+(IF($A$7=Nutrients!$B$8,Nutrients!$FK$8,Nutrients!$FK$9)*AT$7)+(((IF($A$8=Nutrients!$B$79,Nutrients!$FK$79,(IF($A$8=Nutrients!$B$77,Nutrients!$FK$77,Nutrients!$FK$78)))))*AT$8))/2000)</f>
        <v>1.1668111834635457</v>
      </c>
      <c r="AU315" s="23">
        <f>((SUMPRODUCT(AU$9:AU$229,Nutrients!$FK$8:$FK$228)+(IF($A$7=Nutrients!$B$8,Nutrients!$FK$8,Nutrients!$FK$9)*AU$7)+(((IF($A$8=Nutrients!$B$79,Nutrients!$FK$79,(IF($A$8=Nutrients!$B$77,Nutrients!$FK$77,Nutrients!$FK$78)))))*AU$8))/2000)</f>
        <v>1.2032490824695359</v>
      </c>
      <c r="AV315" s="23">
        <f>((SUMPRODUCT(AV$9:AV$229,Nutrients!$FK$8:$FK$228)+(IF($A$7=Nutrients!$B$8,Nutrients!$FK$8,Nutrients!$FK$9)*AV$7)+(((IF($A$8=Nutrients!$B$79,Nutrients!$FK$79,(IF($A$8=Nutrients!$B$77,Nutrients!$FK$77,Nutrients!$FK$78)))))*AV$8))/2000)</f>
        <v>1.2277984063601033</v>
      </c>
      <c r="AW315" s="23">
        <f>((SUMPRODUCT(AW$9:AW$229,Nutrients!$FK$8:$FK$228)+(IF($A$7=Nutrients!$B$8,Nutrients!$FK$8,Nutrients!$FK$9)*AW$7)+(((IF($A$8=Nutrients!$B$79,Nutrients!$FK$79,(IF($A$8=Nutrients!$B$77,Nutrients!$FK$77,Nutrients!$FK$78)))))*AW$8))/2000)</f>
        <v>1.2396705027539252</v>
      </c>
    </row>
    <row r="316" spans="1:49" x14ac:dyDescent="0.25">
      <c r="A316" s="34" t="s">
        <v>403</v>
      </c>
      <c r="B316" s="22">
        <f>(SUMPRODUCT(B$9:B$229,Nutrients!$U$8:$U$228)+(IF($A$7=Nutrients!$B$8,Nutrients!$U$8,Nutrients!$U$9)*B$7)+(((IF($A$8=Nutrients!$B$79,Nutrients!$U$79,(IF($A$8=Nutrients!$B$77,Nutrients!$U$77,Nutrients!$U$78)))))*B$8))/2000</f>
        <v>8.5675537105360302</v>
      </c>
      <c r="C316" s="22">
        <f>(SUMPRODUCT(C$9:C$229,Nutrients!$U$8:$U$228)+(IF($A$7=Nutrients!$B$8,Nutrients!$U$8,Nutrients!$U$9)*C$7)+(((IF($A$8=Nutrients!$B$79,Nutrients!$U$79,(IF($A$8=Nutrients!$B$77,Nutrients!$U$77,Nutrients!$U$78)))))*C$8))/2000</f>
        <v>8.6397459364158564</v>
      </c>
      <c r="D316" s="22">
        <f>(SUMPRODUCT(D$9:D$229,Nutrients!$U$8:$U$228)+(IF($A$7=Nutrients!$B$8,Nutrients!$U$8,Nutrients!$U$9)*D$7)+(((IF($A$8=Nutrients!$B$79,Nutrients!$U$79,(IF($A$8=Nutrients!$B$77,Nutrients!$U$77,Nutrients!$U$78)))))*D$8))/2000</f>
        <v>8.7042340935531328</v>
      </c>
      <c r="E316" s="22">
        <f>(SUMPRODUCT(E$9:E$229,Nutrients!$U$8:$U$228)+(IF($A$7=Nutrients!$B$8,Nutrients!$U$8,Nutrients!$U$9)*E$7)+(((IF($A$8=Nutrients!$B$79,Nutrients!$U$79,(IF($A$8=Nutrients!$B$77,Nutrients!$U$77,Nutrients!$U$78)))))*E$8))/2000</f>
        <v>8.7574905031042753</v>
      </c>
      <c r="F316" s="22">
        <f>(SUMPRODUCT(F$9:F$229,Nutrients!$U$8:$U$228)+(IF($A$7=Nutrients!$B$8,Nutrients!$U$8,Nutrients!$U$9)*F$7)+(((IF($A$8=Nutrients!$B$79,Nutrients!$U$79,(IF($A$8=Nutrients!$B$77,Nutrients!$U$77,Nutrients!$U$78)))))*F$8))/2000</f>
        <v>8.7980354970428483</v>
      </c>
      <c r="G316" s="22">
        <f>(SUMPRODUCT(G$9:G$229,Nutrients!$U$8:$U$228)+(IF($A$7=Nutrients!$B$8,Nutrients!$U$8,Nutrients!$U$9)*G$7)+(((IF($A$8=Nutrients!$B$79,Nutrients!$U$79,(IF($A$8=Nutrients!$B$77,Nutrients!$U$77,Nutrients!$U$78)))))*G$8))/2000</f>
        <v>8.8153381410832843</v>
      </c>
      <c r="H316" s="228"/>
      <c r="I316" s="22">
        <f>(SUMPRODUCT(I$9:I$229,Nutrients!$U$8:$U$228)+(IF($A$7=Nutrients!$B$8,Nutrients!$U$8,Nutrients!$U$9)*I$7)+(((IF($A$8=Nutrients!$B$79,Nutrients!$U$79,(IF($A$8=Nutrients!$B$77,Nutrients!$U$77,Nutrients!$U$78)))))*I$8))/2000</f>
        <v>9.7722934215788015</v>
      </c>
      <c r="J316" s="22">
        <f>(SUMPRODUCT(J$9:J$229,Nutrients!$U$8:$U$228)+(IF($A$7=Nutrients!$B$8,Nutrients!$U$8,Nutrients!$U$9)*J$7)+(((IF($A$8=Nutrients!$B$79,Nutrients!$U$79,(IF($A$8=Nutrients!$B$77,Nutrients!$U$77,Nutrients!$U$78)))))*J$8))/2000</f>
        <v>9.8437745945440067</v>
      </c>
      <c r="K316" s="22">
        <f>(SUMPRODUCT(K$9:K$229,Nutrients!$U$8:$U$228)+(IF($A$7=Nutrients!$B$8,Nutrients!$U$8,Nutrients!$U$9)*K$7)+(((IF($A$8=Nutrients!$B$79,Nutrients!$U$79,(IF($A$8=Nutrients!$B$77,Nutrients!$U$77,Nutrients!$U$78)))))*K$8))/2000</f>
        <v>9.9076860389027352</v>
      </c>
      <c r="L316" s="22">
        <f>(SUMPRODUCT(L$9:L$229,Nutrients!$U$8:$U$228)+(IF($A$7=Nutrients!$B$8,Nutrients!$U$8,Nutrients!$U$9)*L$7)+(((IF($A$8=Nutrients!$B$79,Nutrients!$U$79,(IF($A$8=Nutrients!$B$77,Nutrients!$U$77,Nutrients!$U$78)))))*L$8))/2000</f>
        <v>9.9625547470046598</v>
      </c>
      <c r="M316" s="22">
        <f>(SUMPRODUCT(M$9:M$229,Nutrients!$U$8:$U$228)+(IF($A$7=Nutrients!$B$8,Nutrients!$U$8,Nutrients!$U$9)*M$7)+(((IF($A$8=Nutrients!$B$79,Nutrients!$U$79,(IF($A$8=Nutrients!$B$77,Nutrients!$U$77,Nutrients!$U$78)))))*M$8))/2000</f>
        <v>10.002508724199311</v>
      </c>
      <c r="N316" s="22">
        <f>(SUMPRODUCT(N$9:N$229,Nutrients!$U$8:$U$228)+(IF($A$7=Nutrients!$B$8,Nutrients!$U$8,Nutrients!$U$9)*N$7)+(((IF($A$8=Nutrients!$B$79,Nutrients!$U$79,(IF($A$8=Nutrients!$B$77,Nutrients!$U$77,Nutrients!$U$78)))))*N$8))/2000</f>
        <v>10.020166703720257</v>
      </c>
      <c r="O316" s="235"/>
      <c r="P316" s="22">
        <f>(SUMPRODUCT(P$9:P$229,Nutrients!$U$8:$U$228)+(IF($A$7=Nutrients!$B$8,Nutrients!$U$8,Nutrients!$U$9)*P$7)+(((IF($A$8=Nutrients!$B$79,Nutrients!$U$79,(IF($A$8=Nutrients!$B$77,Nutrients!$U$77,Nutrients!$U$78)))))*P$8))/2000</f>
        <v>10.97601747411734</v>
      </c>
      <c r="Q316" s="22">
        <f>(SUMPRODUCT(Q$9:Q$229,Nutrients!$U$8:$U$228)+(IF($A$7=Nutrients!$B$8,Nutrients!$U$8,Nutrients!$U$9)*Q$7)+(((IF($A$8=Nutrients!$B$79,Nutrients!$U$79,(IF($A$8=Nutrients!$B$77,Nutrients!$U$77,Nutrients!$U$78)))))*Q$8))/2000</f>
        <v>11.047123544792175</v>
      </c>
      <c r="R316" s="22">
        <f>(SUMPRODUCT(R$9:R$229,Nutrients!$U$8:$U$228)+(IF($A$7=Nutrients!$B$8,Nutrients!$U$8,Nutrients!$U$9)*R$7)+(((IF($A$8=Nutrients!$B$79,Nutrients!$U$79,(IF($A$8=Nutrients!$B$77,Nutrients!$U$77,Nutrients!$U$78)))))*R$8))/2000</f>
        <v>11.110702861257101</v>
      </c>
      <c r="S316" s="22">
        <f>(SUMPRODUCT(S$9:S$229,Nutrients!$U$8:$U$228)+(IF($A$7=Nutrients!$B$8,Nutrients!$U$8,Nutrients!$U$9)*S$7)+(((IF($A$8=Nutrients!$B$79,Nutrients!$U$79,(IF($A$8=Nutrients!$B$77,Nutrients!$U$77,Nutrients!$U$78)))))*S$8))/2000</f>
        <v>11.165738860525623</v>
      </c>
      <c r="T316" s="22">
        <f>(SUMPRODUCT(T$9:T$229,Nutrients!$U$8:$U$228)+(IF($A$7=Nutrients!$B$8,Nutrients!$U$8,Nutrients!$U$9)*T$7)+(((IF($A$8=Nutrients!$B$79,Nutrients!$U$79,(IF($A$8=Nutrients!$B$77,Nutrients!$U$77,Nutrients!$U$78)))))*T$8))/2000</f>
        <v>11.204621522181363</v>
      </c>
      <c r="U316" s="22">
        <f>(SUMPRODUCT(U$9:U$229,Nutrients!$U$8:$U$228)+(IF($A$7=Nutrients!$B$8,Nutrients!$U$8,Nutrients!$U$9)*U$7)+(((IF($A$8=Nutrients!$B$79,Nutrients!$U$79,(IF($A$8=Nutrients!$B$77,Nutrients!$U$77,Nutrients!$U$78)))))*U$8))/2000</f>
        <v>11.221937462417936</v>
      </c>
      <c r="W316" s="22">
        <f>(SUMPRODUCT(W$9:W$229,Nutrients!$U$8:$U$228)+(IF($A$7=Nutrients!$B$8,Nutrients!$U$8,Nutrients!$U$9)*W$7)+(((IF($A$8=Nutrients!$B$79,Nutrients!$U$79,(IF($A$8=Nutrients!$B$77,Nutrients!$U$77,Nutrients!$U$78)))))*W$8))/2000</f>
        <v>12.179892397151711</v>
      </c>
      <c r="X316" s="22">
        <f>(SUMPRODUCT(X$9:X$229,Nutrients!$U$8:$U$228)+(IF($A$7=Nutrients!$B$8,Nutrients!$U$8,Nutrients!$U$9)*X$7)+(((IF($A$8=Nutrients!$B$79,Nutrients!$U$79,(IF($A$8=Nutrients!$B$77,Nutrients!$U$77,Nutrients!$U$78)))))*X$8))/2000</f>
        <v>12.250672314355418</v>
      </c>
      <c r="Y316" s="22">
        <f>(SUMPRODUCT(Y$9:Y$229,Nutrients!$U$8:$U$228)+(IF($A$7=Nutrients!$B$8,Nutrients!$U$8,Nutrients!$U$9)*Y$7)+(((IF($A$8=Nutrients!$B$79,Nutrients!$U$79,(IF($A$8=Nutrients!$B$77,Nutrients!$U$77,Nutrients!$U$78)))))*Y$8))/2000</f>
        <v>12.314360453677414</v>
      </c>
      <c r="Z316" s="22">
        <f>(SUMPRODUCT(Z$9:Z$229,Nutrients!$U$8:$U$228)+(IF($A$7=Nutrients!$B$8,Nutrients!$U$8,Nutrients!$U$9)*Z$7)+(((IF($A$8=Nutrients!$B$79,Nutrients!$U$79,(IF($A$8=Nutrients!$B$77,Nutrients!$U$77,Nutrients!$U$78)))))*Z$8))/2000</f>
        <v>12.368710621126661</v>
      </c>
      <c r="AA316" s="22">
        <f>(SUMPRODUCT(AA$9:AA$229,Nutrients!$U$8:$U$228)+(IF($A$7=Nutrients!$B$8,Nutrients!$U$8,Nutrients!$U$9)*AA$7)+(((IF($A$8=Nutrients!$B$79,Nutrients!$U$79,(IF($A$8=Nutrients!$B$77,Nutrients!$U$77,Nutrients!$U$78)))))*AA$8))/2000</f>
        <v>12.406659972645041</v>
      </c>
      <c r="AB316" s="22">
        <f>(SUMPRODUCT(AB$9:AB$229,Nutrients!$U$8:$U$228)+(IF($A$7=Nutrients!$B$8,Nutrients!$U$8,Nutrients!$U$9)*AB$7)+(((IF($A$8=Nutrients!$B$79,Nutrients!$U$79,(IF($A$8=Nutrients!$B$77,Nutrients!$U$77,Nutrients!$U$78)))))*AB$8))/2000</f>
        <v>12.422003303005869</v>
      </c>
      <c r="AD316" s="22">
        <f>(SUMPRODUCT(AD$9:AD$229,Nutrients!$U$8:$U$228)+(IF($A$7=Nutrients!$B$8,Nutrients!$U$8,Nutrients!$U$9)*AD$7)+(((IF($A$8=Nutrients!$B$79,Nutrients!$U$79,(IF($A$8=Nutrients!$B$77,Nutrients!$U$77,Nutrients!$U$78)))))*AD$8))/2000</f>
        <v>13.383716272105108</v>
      </c>
      <c r="AE316" s="22">
        <f>(SUMPRODUCT(AE$9:AE$229,Nutrients!$U$8:$U$228)+(IF($A$7=Nutrients!$B$8,Nutrients!$U$8,Nutrients!$U$9)*AE$7)+(((IF($A$8=Nutrients!$B$79,Nutrients!$U$79,(IF($A$8=Nutrients!$B$77,Nutrients!$U$77,Nutrients!$U$78)))))*AE$8))/2000</f>
        <v>13.454616331160009</v>
      </c>
      <c r="AF316" s="22">
        <f>(SUMPRODUCT(AF$9:AF$229,Nutrients!$U$8:$U$228)+(IF($A$7=Nutrients!$B$8,Nutrients!$U$8,Nutrients!$U$9)*AF$7)+(((IF($A$8=Nutrients!$B$79,Nutrients!$U$79,(IF($A$8=Nutrients!$B$77,Nutrients!$U$77,Nutrients!$U$78)))))*AF$8))/2000</f>
        <v>13.517906097258157</v>
      </c>
      <c r="AG316" s="22">
        <f>(SUMPRODUCT(AG$9:AG$229,Nutrients!$U$8:$U$228)+(IF($A$7=Nutrients!$B$8,Nutrients!$U$8,Nutrients!$U$9)*AG$7)+(((IF($A$8=Nutrients!$B$79,Nutrients!$U$79,(IF($A$8=Nutrients!$B$77,Nutrients!$U$77,Nutrients!$U$78)))))*AG$8))/2000</f>
        <v>13.57080772749149</v>
      </c>
      <c r="AH316" s="22">
        <f>(SUMPRODUCT(AH$9:AH$229,Nutrients!$U$8:$U$228)+(IF($A$7=Nutrients!$B$8,Nutrients!$U$8,Nutrients!$U$9)*AH$7)+(((IF($A$8=Nutrients!$B$79,Nutrients!$U$79,(IF($A$8=Nutrients!$B$77,Nutrients!$U$77,Nutrients!$U$78)))))*AH$8))/2000</f>
        <v>13.603584792016889</v>
      </c>
      <c r="AI316" s="22">
        <f>(SUMPRODUCT(AI$9:AI$229,Nutrients!$U$8:$U$228)+(IF($A$7=Nutrients!$B$8,Nutrients!$U$8,Nutrients!$U$9)*AI$7)+(((IF($A$8=Nutrients!$B$79,Nutrients!$U$79,(IF($A$8=Nutrients!$B$77,Nutrients!$U$77,Nutrients!$U$78)))))*AI$8))/2000</f>
        <v>13.616307454323403</v>
      </c>
      <c r="AK316" s="22">
        <f>(SUMPRODUCT(AK$9:AK$229,Nutrients!$U$8:$U$228)+(IF($A$7=Nutrients!$B$8,Nutrients!$U$8,Nutrients!$U$9)*AK$7)+(((IF($A$8=Nutrients!$B$79,Nutrients!$U$79,(IF($A$8=Nutrients!$B$77,Nutrients!$U$77,Nutrients!$U$78)))))*AK$8))/2000</f>
        <v>14.585552077151283</v>
      </c>
      <c r="AL316" s="22">
        <f>(SUMPRODUCT(AL$9:AL$229,Nutrients!$U$8:$U$228)+(IF($A$7=Nutrients!$B$8,Nutrients!$U$8,Nutrients!$U$9)*AL$7)+(((IF($A$8=Nutrients!$B$79,Nutrients!$U$79,(IF($A$8=Nutrients!$B$77,Nutrients!$U$77,Nutrients!$U$78)))))*AL$8))/2000</f>
        <v>14.658515493792445</v>
      </c>
      <c r="AM316" s="22">
        <f>(SUMPRODUCT(AM$9:AM$229,Nutrients!$U$8:$U$228)+(IF($A$7=Nutrients!$B$8,Nutrients!$U$8,Nutrients!$U$9)*AM$7)+(((IF($A$8=Nutrients!$B$79,Nutrients!$U$79,(IF($A$8=Nutrients!$B$77,Nutrients!$U$77,Nutrients!$U$78)))))*AM$8))/2000</f>
        <v>14.720425502595312</v>
      </c>
      <c r="AN316" s="22">
        <f>(SUMPRODUCT(AN$9:AN$229,Nutrients!$U$8:$U$228)+(IF($A$7=Nutrients!$B$8,Nutrients!$U$8,Nutrients!$U$9)*AN$7)+(((IF($A$8=Nutrients!$B$79,Nutrients!$U$79,(IF($A$8=Nutrients!$B$77,Nutrients!$U$77,Nutrients!$U$78)))))*AN$8))/2000</f>
        <v>14.769182625368545</v>
      </c>
      <c r="AO316" s="22">
        <f>(SUMPRODUCT(AO$9:AO$229,Nutrients!$U$8:$U$228)+(IF($A$7=Nutrients!$B$8,Nutrients!$U$8,Nutrients!$U$9)*AO$7)+(((IF($A$8=Nutrients!$B$79,Nutrients!$U$79,(IF($A$8=Nutrients!$B$77,Nutrients!$U$77,Nutrients!$U$78)))))*AO$8))/2000</f>
        <v>14.79797280183068</v>
      </c>
      <c r="AP316" s="22">
        <f>(SUMPRODUCT(AP$9:AP$229,Nutrients!$U$8:$U$228)+(IF($A$7=Nutrients!$B$8,Nutrients!$U$8,Nutrients!$U$9)*AP$7)+(((IF($A$8=Nutrients!$B$79,Nutrients!$U$79,(IF($A$8=Nutrients!$B$77,Nutrients!$U$77,Nutrients!$U$78)))))*AP$8))/2000</f>
        <v>14.810572147296522</v>
      </c>
      <c r="AR316" s="22">
        <f>(SUMPRODUCT(AR$9:AR$229,Nutrients!$U$8:$U$228)+(IF($A$7=Nutrients!$B$8,Nutrients!$U$8,Nutrients!$U$9)*AR$7)+(((IF($A$8=Nutrients!$B$79,Nutrients!$U$79,(IF($A$8=Nutrients!$B$77,Nutrients!$U$77,Nutrients!$U$78)))))*AR$8))/2000</f>
        <v>15.79018862812935</v>
      </c>
      <c r="AS316" s="22">
        <f>(SUMPRODUCT(AS$9:AS$229,Nutrients!$U$8:$U$228)+(IF($A$7=Nutrients!$B$8,Nutrients!$U$8,Nutrients!$U$9)*AS$7)+(((IF($A$8=Nutrients!$B$79,Nutrients!$U$79,(IF($A$8=Nutrients!$B$77,Nutrients!$U$77,Nutrients!$U$78)))))*AS$8))/2000</f>
        <v>15.862321464659933</v>
      </c>
      <c r="AT316" s="22">
        <f>(SUMPRODUCT(AT$9:AT$229,Nutrients!$U$8:$U$228)+(IF($A$7=Nutrients!$B$8,Nutrients!$U$8,Nutrients!$U$9)*AT$7)+(((IF($A$8=Nutrients!$B$79,Nutrients!$U$79,(IF($A$8=Nutrients!$B$77,Nutrients!$U$77,Nutrients!$U$78)))))*AT$8))/2000</f>
        <v>15.922730738306432</v>
      </c>
      <c r="AU316" s="22">
        <f>(SUMPRODUCT(AU$9:AU$229,Nutrients!$U$8:$U$228)+(IF($A$7=Nutrients!$B$8,Nutrients!$U$8,Nutrients!$U$9)*AU$7)+(((IF($A$8=Nutrients!$B$79,Nutrients!$U$79,(IF($A$8=Nutrients!$B$77,Nutrients!$U$77,Nutrients!$U$78)))))*AU$8))/2000</f>
        <v>15.963684127381153</v>
      </c>
      <c r="AV316" s="22">
        <f>(SUMPRODUCT(AV$9:AV$229,Nutrients!$U$8:$U$228)+(IF($A$7=Nutrients!$B$8,Nutrients!$U$8,Nutrients!$U$9)*AV$7)+(((IF($A$8=Nutrients!$B$79,Nutrients!$U$79,(IF($A$8=Nutrients!$B$77,Nutrients!$U$77,Nutrients!$U$78)))))*AV$8))/2000</f>
        <v>15.992396754011763</v>
      </c>
      <c r="AW316" s="22">
        <f>(SUMPRODUCT(AW$9:AW$229,Nutrients!$U$8:$U$228)+(IF($A$7=Nutrients!$B$8,Nutrients!$U$8,Nutrients!$U$9)*AW$7)+(((IF($A$8=Nutrients!$B$79,Nutrients!$U$79,(IF($A$8=Nutrients!$B$77,Nutrients!$U$77,Nutrients!$U$78)))))*AW$8))/2000</f>
        <v>16.004876803694469</v>
      </c>
    </row>
    <row r="317" spans="1:49" x14ac:dyDescent="0.25">
      <c r="A317" s="34" t="s">
        <v>416</v>
      </c>
      <c r="B317" s="23">
        <f t="shared" ref="B317:G317" si="210">B236/B253*100</f>
        <v>5.7412242387563301</v>
      </c>
      <c r="C317" s="23">
        <f t="shared" si="210"/>
        <v>5.6765331580798346</v>
      </c>
      <c r="D317" s="23">
        <f t="shared" si="210"/>
        <v>5.5885690783484616</v>
      </c>
      <c r="E317" s="23">
        <f t="shared" si="210"/>
        <v>5.5041200481878318</v>
      </c>
      <c r="F317" s="23">
        <f t="shared" si="210"/>
        <v>5.4256048182416317</v>
      </c>
      <c r="G317" s="23">
        <f t="shared" si="210"/>
        <v>5.3576040399978782</v>
      </c>
      <c r="H317" s="227"/>
      <c r="I317" s="23">
        <f t="shared" ref="I317:N317" si="211">I236/I253*100</f>
        <v>5.636880225675216</v>
      </c>
      <c r="J317" s="23">
        <f t="shared" si="211"/>
        <v>5.5615494980249407</v>
      </c>
      <c r="K317" s="23">
        <f t="shared" si="211"/>
        <v>5.4626368173452402</v>
      </c>
      <c r="L317" s="23">
        <f t="shared" si="211"/>
        <v>5.3668717512267472</v>
      </c>
      <c r="M317" s="23">
        <f t="shared" si="211"/>
        <v>5.2796588325620393</v>
      </c>
      <c r="N317" s="23">
        <f t="shared" si="211"/>
        <v>5.2074904351153588</v>
      </c>
      <c r="O317" s="198"/>
      <c r="P317" s="23">
        <f t="shared" ref="P317:U317" si="212">P236/P253*100</f>
        <v>5.5354274101664114</v>
      </c>
      <c r="Q317" s="23">
        <f t="shared" si="212"/>
        <v>5.4499399660389392</v>
      </c>
      <c r="R317" s="23">
        <f t="shared" si="212"/>
        <v>5.3411841888716189</v>
      </c>
      <c r="S317" s="23">
        <f t="shared" si="212"/>
        <v>5.2344188825940812</v>
      </c>
      <c r="T317" s="23">
        <f t="shared" si="212"/>
        <v>5.1383618594973068</v>
      </c>
      <c r="U317" s="23">
        <f t="shared" si="212"/>
        <v>5.0621977637819251</v>
      </c>
      <c r="W317" s="23">
        <f t="shared" ref="W317:AB317" si="213">W236/W253*100</f>
        <v>5.4362353180652185</v>
      </c>
      <c r="X317" s="23">
        <f t="shared" si="213"/>
        <v>5.3413699733847828</v>
      </c>
      <c r="Y317" s="23">
        <f t="shared" si="213"/>
        <v>5.2221455587529295</v>
      </c>
      <c r="Z317" s="23">
        <f t="shared" si="213"/>
        <v>5.1062257170753984</v>
      </c>
      <c r="AA317" s="23">
        <f t="shared" si="213"/>
        <v>5.0020558105530295</v>
      </c>
      <c r="AB317" s="23">
        <f t="shared" si="213"/>
        <v>4.9228617045511216</v>
      </c>
      <c r="AD317" s="23">
        <f t="shared" ref="AD317:AI317" si="214">AD236/AD253*100</f>
        <v>5.3391951801522062</v>
      </c>
      <c r="AE317" s="23">
        <f t="shared" si="214"/>
        <v>5.234580265141374</v>
      </c>
      <c r="AF317" s="23">
        <f t="shared" si="214"/>
        <v>5.1070545424495011</v>
      </c>
      <c r="AG317" s="23">
        <f t="shared" si="214"/>
        <v>4.9809899528338928</v>
      </c>
      <c r="AH317" s="23">
        <f t="shared" si="214"/>
        <v>4.8712243595479627</v>
      </c>
      <c r="AI317" s="23">
        <f t="shared" si="214"/>
        <v>4.7895054659227316</v>
      </c>
      <c r="AK317" s="23">
        <f t="shared" ref="AK317:AP317" si="215">AK236/AK253*100</f>
        <v>5.2480531210771275</v>
      </c>
      <c r="AL317" s="23">
        <f t="shared" si="215"/>
        <v>5.1306432602600367</v>
      </c>
      <c r="AM317" s="23">
        <f t="shared" si="215"/>
        <v>4.9935597684222097</v>
      </c>
      <c r="AN317" s="23">
        <f t="shared" si="215"/>
        <v>4.8602189811123706</v>
      </c>
      <c r="AO317" s="23">
        <f t="shared" si="215"/>
        <v>4.7450956254950318</v>
      </c>
      <c r="AP317" s="23">
        <f t="shared" si="215"/>
        <v>4.6609248474671388</v>
      </c>
      <c r="AR317" s="23">
        <f t="shared" ref="AR317:AW317" si="216">AR236/AR253*100</f>
        <v>5.1539575709437697</v>
      </c>
      <c r="AS317" s="23">
        <f t="shared" si="216"/>
        <v>5.029222695091037</v>
      </c>
      <c r="AT317" s="23">
        <f t="shared" si="216"/>
        <v>4.8836609791710464</v>
      </c>
      <c r="AU317" s="23">
        <f t="shared" si="216"/>
        <v>4.7435138080861448</v>
      </c>
      <c r="AV317" s="23">
        <f t="shared" si="216"/>
        <v>4.6233981849487193</v>
      </c>
      <c r="AW317" s="23">
        <f t="shared" si="216"/>
        <v>4.5370994403593912</v>
      </c>
    </row>
    <row r="318" spans="1:49" x14ac:dyDescent="0.25">
      <c r="A318" s="34" t="s">
        <v>120</v>
      </c>
    </row>
    <row r="319" spans="1:49" x14ac:dyDescent="0.25">
      <c r="A319" s="34" t="s">
        <v>112</v>
      </c>
      <c r="B319" s="21">
        <f>(SUMPRODUCT(B$9:B$229,Nutrients!$EK$8:$EK$228)+(IF($A$7=Nutrients!$B$8,Nutrients!$EK$8,Nutrients!$EK$9)*B$7)+(((IF($A$8=Nutrients!$B$79,Nutrients!$EK$79,(IF($A$8=Nutrients!$B$77,Nutrients!$EK$77,Nutrients!$EK$78)))))*B$8))/2000*1000000</f>
        <v>110.11950000000002</v>
      </c>
      <c r="C319" s="21">
        <f>(SUMPRODUCT(C$9:C$229,Nutrients!$EK$8:$EK$228)+(IF($A$7=Nutrients!$B$8,Nutrients!$EK$8,Nutrients!$EK$9)*C$7)+(((IF($A$8=Nutrients!$B$79,Nutrients!$EK$79,(IF($A$8=Nutrients!$B$77,Nutrients!$EK$77,Nutrients!$EK$78)))))*C$8))/2000*1000000</f>
        <v>110.11950000000002</v>
      </c>
      <c r="D319" s="21">
        <f>(SUMPRODUCT(D$9:D$229,Nutrients!$EK$8:$EK$228)+(IF($A$7=Nutrients!$B$8,Nutrients!$EK$8,Nutrients!$EK$9)*D$7)+(((IF($A$8=Nutrients!$B$79,Nutrients!$EK$79,(IF($A$8=Nutrients!$B$77,Nutrients!$EK$77,Nutrients!$EK$78)))))*D$8))/2000*1000000</f>
        <v>91.766249999999999</v>
      </c>
      <c r="E319" s="21">
        <f>(SUMPRODUCT(E$9:E$229,Nutrients!$EK$8:$EK$228)+(IF($A$7=Nutrients!$B$8,Nutrients!$EK$8,Nutrients!$EK$9)*E$7)+(((IF($A$8=Nutrients!$B$79,Nutrients!$EK$79,(IF($A$8=Nutrients!$B$77,Nutrients!$EK$77,Nutrients!$EK$78)))))*E$8))/2000*1000000</f>
        <v>73.413000000000011</v>
      </c>
      <c r="F319" s="21">
        <f>(SUMPRODUCT(F$9:F$229,Nutrients!$EK$8:$EK$228)+(IF($A$7=Nutrients!$B$8,Nutrients!$EK$8,Nutrients!$EK$9)*F$7)+(((IF($A$8=Nutrients!$B$79,Nutrients!$EK$79,(IF($A$8=Nutrients!$B$77,Nutrients!$EK$77,Nutrients!$EK$78)))))*F$8))/2000*1000000</f>
        <v>55.059750000000008</v>
      </c>
      <c r="G319" s="21">
        <f>(SUMPRODUCT(G$9:G$229,Nutrients!$EK$8:$EK$228)+(IF($A$7=Nutrients!$B$8,Nutrients!$EK$8,Nutrients!$EK$9)*G$7)+(((IF($A$8=Nutrients!$B$79,Nutrients!$EK$79,(IF($A$8=Nutrients!$B$77,Nutrients!$EK$77,Nutrients!$EK$78)))))*G$8))/2000*1000000</f>
        <v>55.059750000000008</v>
      </c>
      <c r="H319" s="226"/>
      <c r="I319" s="21">
        <f>(SUMPRODUCT(I$9:I$229,Nutrients!$EK$8:$EK$228)+(IF($A$7=Nutrients!$B$8,Nutrients!$EK$8,Nutrients!$EK$9)*I$7)+(((IF($A$8=Nutrients!$B$79,Nutrients!$EK$79,(IF($A$8=Nutrients!$B$77,Nutrients!$EK$77,Nutrients!$EK$78)))))*I$8))/2000*1000000</f>
        <v>110.11950000000002</v>
      </c>
      <c r="J319" s="21">
        <f>(SUMPRODUCT(J$9:J$229,Nutrients!$EK$8:$EK$228)+(IF($A$7=Nutrients!$B$8,Nutrients!$EK$8,Nutrients!$EK$9)*J$7)+(((IF($A$8=Nutrients!$B$79,Nutrients!$EK$79,(IF($A$8=Nutrients!$B$77,Nutrients!$EK$77,Nutrients!$EK$78)))))*J$8))/2000*1000000</f>
        <v>110.11950000000002</v>
      </c>
      <c r="K319" s="21">
        <f>(SUMPRODUCT(K$9:K$229,Nutrients!$EK$8:$EK$228)+(IF($A$7=Nutrients!$B$8,Nutrients!$EK$8,Nutrients!$EK$9)*K$7)+(((IF($A$8=Nutrients!$B$79,Nutrients!$EK$79,(IF($A$8=Nutrients!$B$77,Nutrients!$EK$77,Nutrients!$EK$78)))))*K$8))/2000*1000000</f>
        <v>91.766249999999999</v>
      </c>
      <c r="L319" s="21">
        <f>(SUMPRODUCT(L$9:L$229,Nutrients!$EK$8:$EK$228)+(IF($A$7=Nutrients!$B$8,Nutrients!$EK$8,Nutrients!$EK$9)*L$7)+(((IF($A$8=Nutrients!$B$79,Nutrients!$EK$79,(IF($A$8=Nutrients!$B$77,Nutrients!$EK$77,Nutrients!$EK$78)))))*L$8))/2000*1000000</f>
        <v>73.413000000000011</v>
      </c>
      <c r="M319" s="21">
        <f>(SUMPRODUCT(M$9:M$229,Nutrients!$EK$8:$EK$228)+(IF($A$7=Nutrients!$B$8,Nutrients!$EK$8,Nutrients!$EK$9)*M$7)+(((IF($A$8=Nutrients!$B$79,Nutrients!$EK$79,(IF($A$8=Nutrients!$B$77,Nutrients!$EK$77,Nutrients!$EK$78)))))*M$8))/2000*1000000</f>
        <v>55.059750000000008</v>
      </c>
      <c r="N319" s="21">
        <f>(SUMPRODUCT(N$9:N$229,Nutrients!$EK$8:$EK$228)+(IF($A$7=Nutrients!$B$8,Nutrients!$EK$8,Nutrients!$EK$9)*N$7)+(((IF($A$8=Nutrients!$B$79,Nutrients!$EK$79,(IF($A$8=Nutrients!$B$77,Nutrients!$EK$77,Nutrients!$EK$78)))))*N$8))/2000*1000000</f>
        <v>55.059750000000008</v>
      </c>
      <c r="O319" s="234"/>
      <c r="P319" s="21">
        <f>(SUMPRODUCT(P$9:P$229,Nutrients!$EK$8:$EK$228)+(IF($A$7=Nutrients!$B$8,Nutrients!$EK$8,Nutrients!$EK$9)*P$7)+(((IF($A$8=Nutrients!$B$79,Nutrients!$EK$79,(IF($A$8=Nutrients!$B$77,Nutrients!$EK$77,Nutrients!$EK$78)))))*P$8))/2000*1000000</f>
        <v>110.11950000000002</v>
      </c>
      <c r="Q319" s="21">
        <f>(SUMPRODUCT(Q$9:Q$229,Nutrients!$EK$8:$EK$228)+(IF($A$7=Nutrients!$B$8,Nutrients!$EK$8,Nutrients!$EK$9)*Q$7)+(((IF($A$8=Nutrients!$B$79,Nutrients!$EK$79,(IF($A$8=Nutrients!$B$77,Nutrients!$EK$77,Nutrients!$EK$78)))))*Q$8))/2000*1000000</f>
        <v>110.11950000000002</v>
      </c>
      <c r="R319" s="21">
        <f>(SUMPRODUCT(R$9:R$229,Nutrients!$EK$8:$EK$228)+(IF($A$7=Nutrients!$B$8,Nutrients!$EK$8,Nutrients!$EK$9)*R$7)+(((IF($A$8=Nutrients!$B$79,Nutrients!$EK$79,(IF($A$8=Nutrients!$B$77,Nutrients!$EK$77,Nutrients!$EK$78)))))*R$8))/2000*1000000</f>
        <v>91.766249999999999</v>
      </c>
      <c r="S319" s="21">
        <f>(SUMPRODUCT(S$9:S$229,Nutrients!$EK$8:$EK$228)+(IF($A$7=Nutrients!$B$8,Nutrients!$EK$8,Nutrients!$EK$9)*S$7)+(((IF($A$8=Nutrients!$B$79,Nutrients!$EK$79,(IF($A$8=Nutrients!$B$77,Nutrients!$EK$77,Nutrients!$EK$78)))))*S$8))/2000*1000000</f>
        <v>73.413000000000011</v>
      </c>
      <c r="T319" s="21">
        <f>(SUMPRODUCT(T$9:T$229,Nutrients!$EK$8:$EK$228)+(IF($A$7=Nutrients!$B$8,Nutrients!$EK$8,Nutrients!$EK$9)*T$7)+(((IF($A$8=Nutrients!$B$79,Nutrients!$EK$79,(IF($A$8=Nutrients!$B$77,Nutrients!$EK$77,Nutrients!$EK$78)))))*T$8))/2000*1000000</f>
        <v>55.059750000000008</v>
      </c>
      <c r="U319" s="21">
        <f>(SUMPRODUCT(U$9:U$229,Nutrients!$EK$8:$EK$228)+(IF($A$7=Nutrients!$B$8,Nutrients!$EK$8,Nutrients!$EK$9)*U$7)+(((IF($A$8=Nutrients!$B$79,Nutrients!$EK$79,(IF($A$8=Nutrients!$B$77,Nutrients!$EK$77,Nutrients!$EK$78)))))*U$8))/2000*1000000</f>
        <v>55.059750000000008</v>
      </c>
      <c r="W319" s="21">
        <f>(SUMPRODUCT(W$9:W$229,Nutrients!$EK$8:$EK$228)+(IF($A$7=Nutrients!$B$8,Nutrients!$EK$8,Nutrients!$EK$9)*W$7)+(((IF($A$8=Nutrients!$B$79,Nutrients!$EK$79,(IF($A$8=Nutrients!$B$77,Nutrients!$EK$77,Nutrients!$EK$78)))))*W$8))/2000*1000000</f>
        <v>110.11950000000002</v>
      </c>
      <c r="X319" s="21">
        <f>(SUMPRODUCT(X$9:X$229,Nutrients!$EK$8:$EK$228)+(IF($A$7=Nutrients!$B$8,Nutrients!$EK$8,Nutrients!$EK$9)*X$7)+(((IF($A$8=Nutrients!$B$79,Nutrients!$EK$79,(IF($A$8=Nutrients!$B$77,Nutrients!$EK$77,Nutrients!$EK$78)))))*X$8))/2000*1000000</f>
        <v>110.11950000000002</v>
      </c>
      <c r="Y319" s="21">
        <f>(SUMPRODUCT(Y$9:Y$229,Nutrients!$EK$8:$EK$228)+(IF($A$7=Nutrients!$B$8,Nutrients!$EK$8,Nutrients!$EK$9)*Y$7)+(((IF($A$8=Nutrients!$B$79,Nutrients!$EK$79,(IF($A$8=Nutrients!$B$77,Nutrients!$EK$77,Nutrients!$EK$78)))))*Y$8))/2000*1000000</f>
        <v>91.766249999999999</v>
      </c>
      <c r="Z319" s="21">
        <f>(SUMPRODUCT(Z$9:Z$229,Nutrients!$EK$8:$EK$228)+(IF($A$7=Nutrients!$B$8,Nutrients!$EK$8,Nutrients!$EK$9)*Z$7)+(((IF($A$8=Nutrients!$B$79,Nutrients!$EK$79,(IF($A$8=Nutrients!$B$77,Nutrients!$EK$77,Nutrients!$EK$78)))))*Z$8))/2000*1000000</f>
        <v>73.413000000000011</v>
      </c>
      <c r="AA319" s="21">
        <f>(SUMPRODUCT(AA$9:AA$229,Nutrients!$EK$8:$EK$228)+(IF($A$7=Nutrients!$B$8,Nutrients!$EK$8,Nutrients!$EK$9)*AA$7)+(((IF($A$8=Nutrients!$B$79,Nutrients!$EK$79,(IF($A$8=Nutrients!$B$77,Nutrients!$EK$77,Nutrients!$EK$78)))))*AA$8))/2000*1000000</f>
        <v>55.059750000000008</v>
      </c>
      <c r="AB319" s="21">
        <f>(SUMPRODUCT(AB$9:AB$229,Nutrients!$EK$8:$EK$228)+(IF($A$7=Nutrients!$B$8,Nutrients!$EK$8,Nutrients!$EK$9)*AB$7)+(((IF($A$8=Nutrients!$B$79,Nutrients!$EK$79,(IF($A$8=Nutrients!$B$77,Nutrients!$EK$77,Nutrients!$EK$78)))))*AB$8))/2000*1000000</f>
        <v>55.059750000000008</v>
      </c>
      <c r="AD319" s="21">
        <f>(SUMPRODUCT(AD$9:AD$229,Nutrients!$EK$8:$EK$228)+(IF($A$7=Nutrients!$B$8,Nutrients!$EK$8,Nutrients!$EK$9)*AD$7)+(((IF($A$8=Nutrients!$B$79,Nutrients!$EK$79,(IF($A$8=Nutrients!$B$77,Nutrients!$EK$77,Nutrients!$EK$78)))))*AD$8))/2000*1000000</f>
        <v>110.11950000000002</v>
      </c>
      <c r="AE319" s="21">
        <f>(SUMPRODUCT(AE$9:AE$229,Nutrients!$EK$8:$EK$228)+(IF($A$7=Nutrients!$B$8,Nutrients!$EK$8,Nutrients!$EK$9)*AE$7)+(((IF($A$8=Nutrients!$B$79,Nutrients!$EK$79,(IF($A$8=Nutrients!$B$77,Nutrients!$EK$77,Nutrients!$EK$78)))))*AE$8))/2000*1000000</f>
        <v>110.11950000000002</v>
      </c>
      <c r="AF319" s="21">
        <f>(SUMPRODUCT(AF$9:AF$229,Nutrients!$EK$8:$EK$228)+(IF($A$7=Nutrients!$B$8,Nutrients!$EK$8,Nutrients!$EK$9)*AF$7)+(((IF($A$8=Nutrients!$B$79,Nutrients!$EK$79,(IF($A$8=Nutrients!$B$77,Nutrients!$EK$77,Nutrients!$EK$78)))))*AF$8))/2000*1000000</f>
        <v>91.766249999999999</v>
      </c>
      <c r="AG319" s="21">
        <f>(SUMPRODUCT(AG$9:AG$229,Nutrients!$EK$8:$EK$228)+(IF($A$7=Nutrients!$B$8,Nutrients!$EK$8,Nutrients!$EK$9)*AG$7)+(((IF($A$8=Nutrients!$B$79,Nutrients!$EK$79,(IF($A$8=Nutrients!$B$77,Nutrients!$EK$77,Nutrients!$EK$78)))))*AG$8))/2000*1000000</f>
        <v>73.413000000000011</v>
      </c>
      <c r="AH319" s="21">
        <f>(SUMPRODUCT(AH$9:AH$229,Nutrients!$EK$8:$EK$228)+(IF($A$7=Nutrients!$B$8,Nutrients!$EK$8,Nutrients!$EK$9)*AH$7)+(((IF($A$8=Nutrients!$B$79,Nutrients!$EK$79,(IF($A$8=Nutrients!$B$77,Nutrients!$EK$77,Nutrients!$EK$78)))))*AH$8))/2000*1000000</f>
        <v>55.059750000000008</v>
      </c>
      <c r="AI319" s="21">
        <f>(SUMPRODUCT(AI$9:AI$229,Nutrients!$EK$8:$EK$228)+(IF($A$7=Nutrients!$B$8,Nutrients!$EK$8,Nutrients!$EK$9)*AI$7)+(((IF($A$8=Nutrients!$B$79,Nutrients!$EK$79,(IF($A$8=Nutrients!$B$77,Nutrients!$EK$77,Nutrients!$EK$78)))))*AI$8))/2000*1000000</f>
        <v>55.059750000000008</v>
      </c>
      <c r="AK319" s="21">
        <f>(SUMPRODUCT(AK$9:AK$229,Nutrients!$EK$8:$EK$228)+(IF($A$7=Nutrients!$B$8,Nutrients!$EK$8,Nutrients!$EK$9)*AK$7)+(((IF($A$8=Nutrients!$B$79,Nutrients!$EK$79,(IF($A$8=Nutrients!$B$77,Nutrients!$EK$77,Nutrients!$EK$78)))))*AK$8))/2000*1000000</f>
        <v>110.11950000000002</v>
      </c>
      <c r="AL319" s="21">
        <f>(SUMPRODUCT(AL$9:AL$229,Nutrients!$EK$8:$EK$228)+(IF($A$7=Nutrients!$B$8,Nutrients!$EK$8,Nutrients!$EK$9)*AL$7)+(((IF($A$8=Nutrients!$B$79,Nutrients!$EK$79,(IF($A$8=Nutrients!$B$77,Nutrients!$EK$77,Nutrients!$EK$78)))))*AL$8))/2000*1000000</f>
        <v>110.11950000000002</v>
      </c>
      <c r="AM319" s="21">
        <f>(SUMPRODUCT(AM$9:AM$229,Nutrients!$EK$8:$EK$228)+(IF($A$7=Nutrients!$B$8,Nutrients!$EK$8,Nutrients!$EK$9)*AM$7)+(((IF($A$8=Nutrients!$B$79,Nutrients!$EK$79,(IF($A$8=Nutrients!$B$77,Nutrients!$EK$77,Nutrients!$EK$78)))))*AM$8))/2000*1000000</f>
        <v>91.766249999999999</v>
      </c>
      <c r="AN319" s="21">
        <f>(SUMPRODUCT(AN$9:AN$229,Nutrients!$EK$8:$EK$228)+(IF($A$7=Nutrients!$B$8,Nutrients!$EK$8,Nutrients!$EK$9)*AN$7)+(((IF($A$8=Nutrients!$B$79,Nutrients!$EK$79,(IF($A$8=Nutrients!$B$77,Nutrients!$EK$77,Nutrients!$EK$78)))))*AN$8))/2000*1000000</f>
        <v>73.413000000000011</v>
      </c>
      <c r="AO319" s="21">
        <f>(SUMPRODUCT(AO$9:AO$229,Nutrients!$EK$8:$EK$228)+(IF($A$7=Nutrients!$B$8,Nutrients!$EK$8,Nutrients!$EK$9)*AO$7)+(((IF($A$8=Nutrients!$B$79,Nutrients!$EK$79,(IF($A$8=Nutrients!$B$77,Nutrients!$EK$77,Nutrients!$EK$78)))))*AO$8))/2000*1000000</f>
        <v>55.059750000000008</v>
      </c>
      <c r="AP319" s="21">
        <f>(SUMPRODUCT(AP$9:AP$229,Nutrients!$EK$8:$EK$228)+(IF($A$7=Nutrients!$B$8,Nutrients!$EK$8,Nutrients!$EK$9)*AP$7)+(((IF($A$8=Nutrients!$B$79,Nutrients!$EK$79,(IF($A$8=Nutrients!$B$77,Nutrients!$EK$77,Nutrients!$EK$78)))))*AP$8))/2000*1000000</f>
        <v>55.059750000000008</v>
      </c>
      <c r="AR319" s="21">
        <f>(SUMPRODUCT(AR$9:AR$229,Nutrients!$EK$8:$EK$228)+(IF($A$7=Nutrients!$B$8,Nutrients!$EK$8,Nutrients!$EK$9)*AR$7)+(((IF($A$8=Nutrients!$B$79,Nutrients!$EK$79,(IF($A$8=Nutrients!$B$77,Nutrients!$EK$77,Nutrients!$EK$78)))))*AR$8))/2000*1000000</f>
        <v>110.11950000000002</v>
      </c>
      <c r="AS319" s="21">
        <f>(SUMPRODUCT(AS$9:AS$229,Nutrients!$EK$8:$EK$228)+(IF($A$7=Nutrients!$B$8,Nutrients!$EK$8,Nutrients!$EK$9)*AS$7)+(((IF($A$8=Nutrients!$B$79,Nutrients!$EK$79,(IF($A$8=Nutrients!$B$77,Nutrients!$EK$77,Nutrients!$EK$78)))))*AS$8))/2000*1000000</f>
        <v>110.11950000000002</v>
      </c>
      <c r="AT319" s="21">
        <f>(SUMPRODUCT(AT$9:AT$229,Nutrients!$EK$8:$EK$228)+(IF($A$7=Nutrients!$B$8,Nutrients!$EK$8,Nutrients!$EK$9)*AT$7)+(((IF($A$8=Nutrients!$B$79,Nutrients!$EK$79,(IF($A$8=Nutrients!$B$77,Nutrients!$EK$77,Nutrients!$EK$78)))))*AT$8))/2000*1000000</f>
        <v>91.766249999999999</v>
      </c>
      <c r="AU319" s="21">
        <f>(SUMPRODUCT(AU$9:AU$229,Nutrients!$EK$8:$EK$228)+(IF($A$7=Nutrients!$B$8,Nutrients!$EK$8,Nutrients!$EK$9)*AU$7)+(((IF($A$8=Nutrients!$B$79,Nutrients!$EK$79,(IF($A$8=Nutrients!$B$77,Nutrients!$EK$77,Nutrients!$EK$78)))))*AU$8))/2000*1000000</f>
        <v>73.413000000000011</v>
      </c>
      <c r="AV319" s="21">
        <f>(SUMPRODUCT(AV$9:AV$229,Nutrients!$EK$8:$EK$228)+(IF($A$7=Nutrients!$B$8,Nutrients!$EK$8,Nutrients!$EK$9)*AV$7)+(((IF($A$8=Nutrients!$B$79,Nutrients!$EK$79,(IF($A$8=Nutrients!$B$77,Nutrients!$EK$77,Nutrients!$EK$78)))))*AV$8))/2000*1000000</f>
        <v>55.059750000000008</v>
      </c>
      <c r="AW319" s="21">
        <f>(SUMPRODUCT(AW$9:AW$229,Nutrients!$EK$8:$EK$228)+(IF($A$7=Nutrients!$B$8,Nutrients!$EK$8,Nutrients!$EK$9)*AW$7)+(((IF($A$8=Nutrients!$B$79,Nutrients!$EK$79,(IF($A$8=Nutrients!$B$77,Nutrients!$EK$77,Nutrients!$EK$78)))))*AW$8))/2000*1000000</f>
        <v>55.059750000000008</v>
      </c>
    </row>
    <row r="320" spans="1:49" x14ac:dyDescent="0.25">
      <c r="A320" s="34" t="s">
        <v>113</v>
      </c>
      <c r="B320" s="21">
        <f>(SUMPRODUCT(B$9:B$229,Nutrients!$EL$8:$EL$228)+(IF($A$7=Nutrients!$B$8,Nutrients!$EL$8,Nutrients!$EL$9)*B$7)+(((IF($A$8=Nutrients!$B$79,Nutrients!$EL$79,(IF($A$8=Nutrients!$B$77,Nutrients!$EL$77,Nutrients!$EL$78)))))*B$8))/2000*1000000</f>
        <v>110.11950000000002</v>
      </c>
      <c r="C320" s="21">
        <f>(SUMPRODUCT(C$9:C$229,Nutrients!$EL$8:$EL$228)+(IF($A$7=Nutrients!$B$8,Nutrients!$EL$8,Nutrients!$EL$9)*C$7)+(((IF($A$8=Nutrients!$B$79,Nutrients!$EL$79,(IF($A$8=Nutrients!$B$77,Nutrients!$EL$77,Nutrients!$EL$78)))))*C$8))/2000*1000000</f>
        <v>110.11950000000002</v>
      </c>
      <c r="D320" s="21">
        <f>(SUMPRODUCT(D$9:D$229,Nutrients!$EL$8:$EL$228)+(IF($A$7=Nutrients!$B$8,Nutrients!$EL$8,Nutrients!$EL$9)*D$7)+(((IF($A$8=Nutrients!$B$79,Nutrients!$EL$79,(IF($A$8=Nutrients!$B$77,Nutrients!$EL$77,Nutrients!$EL$78)))))*D$8))/2000*1000000</f>
        <v>91.766249999999999</v>
      </c>
      <c r="E320" s="21">
        <f>(SUMPRODUCT(E$9:E$229,Nutrients!$EL$8:$EL$228)+(IF($A$7=Nutrients!$B$8,Nutrients!$EL$8,Nutrients!$EL$9)*E$7)+(((IF($A$8=Nutrients!$B$79,Nutrients!$EL$79,(IF($A$8=Nutrients!$B$77,Nutrients!$EL$77,Nutrients!$EL$78)))))*E$8))/2000*1000000</f>
        <v>73.413000000000011</v>
      </c>
      <c r="F320" s="21">
        <f>(SUMPRODUCT(F$9:F$229,Nutrients!$EL$8:$EL$228)+(IF($A$7=Nutrients!$B$8,Nutrients!$EL$8,Nutrients!$EL$9)*F$7)+(((IF($A$8=Nutrients!$B$79,Nutrients!$EL$79,(IF($A$8=Nutrients!$B$77,Nutrients!$EL$77,Nutrients!$EL$78)))))*F$8))/2000*1000000</f>
        <v>55.059750000000008</v>
      </c>
      <c r="G320" s="21">
        <f>(SUMPRODUCT(G$9:G$229,Nutrients!$EL$8:$EL$228)+(IF($A$7=Nutrients!$B$8,Nutrients!$EL$8,Nutrients!$EL$9)*G$7)+(((IF($A$8=Nutrients!$B$79,Nutrients!$EL$79,(IF($A$8=Nutrients!$B$77,Nutrients!$EL$77,Nutrients!$EL$78)))))*G$8))/2000*1000000</f>
        <v>55.059750000000008</v>
      </c>
      <c r="H320" s="226"/>
      <c r="I320" s="21">
        <f>(SUMPRODUCT(I$9:I$229,Nutrients!$EL$8:$EL$228)+(IF($A$7=Nutrients!$B$8,Nutrients!$EL$8,Nutrients!$EL$9)*I$7)+(((IF($A$8=Nutrients!$B$79,Nutrients!$EL$79,(IF($A$8=Nutrients!$B$77,Nutrients!$EL$77,Nutrients!$EL$78)))))*I$8))/2000*1000000</f>
        <v>110.11950000000002</v>
      </c>
      <c r="J320" s="21">
        <f>(SUMPRODUCT(J$9:J$229,Nutrients!$EL$8:$EL$228)+(IF($A$7=Nutrients!$B$8,Nutrients!$EL$8,Nutrients!$EL$9)*J$7)+(((IF($A$8=Nutrients!$B$79,Nutrients!$EL$79,(IF($A$8=Nutrients!$B$77,Nutrients!$EL$77,Nutrients!$EL$78)))))*J$8))/2000*1000000</f>
        <v>110.11950000000002</v>
      </c>
      <c r="K320" s="21">
        <f>(SUMPRODUCT(K$9:K$229,Nutrients!$EL$8:$EL$228)+(IF($A$7=Nutrients!$B$8,Nutrients!$EL$8,Nutrients!$EL$9)*K$7)+(((IF($A$8=Nutrients!$B$79,Nutrients!$EL$79,(IF($A$8=Nutrients!$B$77,Nutrients!$EL$77,Nutrients!$EL$78)))))*K$8))/2000*1000000</f>
        <v>91.766249999999999</v>
      </c>
      <c r="L320" s="21">
        <f>(SUMPRODUCT(L$9:L$229,Nutrients!$EL$8:$EL$228)+(IF($A$7=Nutrients!$B$8,Nutrients!$EL$8,Nutrients!$EL$9)*L$7)+(((IF($A$8=Nutrients!$B$79,Nutrients!$EL$79,(IF($A$8=Nutrients!$B$77,Nutrients!$EL$77,Nutrients!$EL$78)))))*L$8))/2000*1000000</f>
        <v>73.413000000000011</v>
      </c>
      <c r="M320" s="21">
        <f>(SUMPRODUCT(M$9:M$229,Nutrients!$EL$8:$EL$228)+(IF($A$7=Nutrients!$B$8,Nutrients!$EL$8,Nutrients!$EL$9)*M$7)+(((IF($A$8=Nutrients!$B$79,Nutrients!$EL$79,(IF($A$8=Nutrients!$B$77,Nutrients!$EL$77,Nutrients!$EL$78)))))*M$8))/2000*1000000</f>
        <v>55.059750000000008</v>
      </c>
      <c r="N320" s="21">
        <f>(SUMPRODUCT(N$9:N$229,Nutrients!$EL$8:$EL$228)+(IF($A$7=Nutrients!$B$8,Nutrients!$EL$8,Nutrients!$EL$9)*N$7)+(((IF($A$8=Nutrients!$B$79,Nutrients!$EL$79,(IF($A$8=Nutrients!$B$77,Nutrients!$EL$77,Nutrients!$EL$78)))))*N$8))/2000*1000000</f>
        <v>55.059750000000008</v>
      </c>
      <c r="O320" s="234"/>
      <c r="P320" s="21">
        <f>(SUMPRODUCT(P$9:P$229,Nutrients!$EL$8:$EL$228)+(IF($A$7=Nutrients!$B$8,Nutrients!$EL$8,Nutrients!$EL$9)*P$7)+(((IF($A$8=Nutrients!$B$79,Nutrients!$EL$79,(IF($A$8=Nutrients!$B$77,Nutrients!$EL$77,Nutrients!$EL$78)))))*P$8))/2000*1000000</f>
        <v>110.11950000000002</v>
      </c>
      <c r="Q320" s="21">
        <f>(SUMPRODUCT(Q$9:Q$229,Nutrients!$EL$8:$EL$228)+(IF($A$7=Nutrients!$B$8,Nutrients!$EL$8,Nutrients!$EL$9)*Q$7)+(((IF($A$8=Nutrients!$B$79,Nutrients!$EL$79,(IF($A$8=Nutrients!$B$77,Nutrients!$EL$77,Nutrients!$EL$78)))))*Q$8))/2000*1000000</f>
        <v>110.11950000000002</v>
      </c>
      <c r="R320" s="21">
        <f>(SUMPRODUCT(R$9:R$229,Nutrients!$EL$8:$EL$228)+(IF($A$7=Nutrients!$B$8,Nutrients!$EL$8,Nutrients!$EL$9)*R$7)+(((IF($A$8=Nutrients!$B$79,Nutrients!$EL$79,(IF($A$8=Nutrients!$B$77,Nutrients!$EL$77,Nutrients!$EL$78)))))*R$8))/2000*1000000</f>
        <v>91.766249999999999</v>
      </c>
      <c r="S320" s="21">
        <f>(SUMPRODUCT(S$9:S$229,Nutrients!$EL$8:$EL$228)+(IF($A$7=Nutrients!$B$8,Nutrients!$EL$8,Nutrients!$EL$9)*S$7)+(((IF($A$8=Nutrients!$B$79,Nutrients!$EL$79,(IF($A$8=Nutrients!$B$77,Nutrients!$EL$77,Nutrients!$EL$78)))))*S$8))/2000*1000000</f>
        <v>73.413000000000011</v>
      </c>
      <c r="T320" s="21">
        <f>(SUMPRODUCT(T$9:T$229,Nutrients!$EL$8:$EL$228)+(IF($A$7=Nutrients!$B$8,Nutrients!$EL$8,Nutrients!$EL$9)*T$7)+(((IF($A$8=Nutrients!$B$79,Nutrients!$EL$79,(IF($A$8=Nutrients!$B$77,Nutrients!$EL$77,Nutrients!$EL$78)))))*T$8))/2000*1000000</f>
        <v>55.059750000000008</v>
      </c>
      <c r="U320" s="21">
        <f>(SUMPRODUCT(U$9:U$229,Nutrients!$EL$8:$EL$228)+(IF($A$7=Nutrients!$B$8,Nutrients!$EL$8,Nutrients!$EL$9)*U$7)+(((IF($A$8=Nutrients!$B$79,Nutrients!$EL$79,(IF($A$8=Nutrients!$B$77,Nutrients!$EL$77,Nutrients!$EL$78)))))*U$8))/2000*1000000</f>
        <v>55.059750000000008</v>
      </c>
      <c r="W320" s="21">
        <f>(SUMPRODUCT(W$9:W$229,Nutrients!$EL$8:$EL$228)+(IF($A$7=Nutrients!$B$8,Nutrients!$EL$8,Nutrients!$EL$9)*W$7)+(((IF($A$8=Nutrients!$B$79,Nutrients!$EL$79,(IF($A$8=Nutrients!$B$77,Nutrients!$EL$77,Nutrients!$EL$78)))))*W$8))/2000*1000000</f>
        <v>110.11950000000002</v>
      </c>
      <c r="X320" s="21">
        <f>(SUMPRODUCT(X$9:X$229,Nutrients!$EL$8:$EL$228)+(IF($A$7=Nutrients!$B$8,Nutrients!$EL$8,Nutrients!$EL$9)*X$7)+(((IF($A$8=Nutrients!$B$79,Nutrients!$EL$79,(IF($A$8=Nutrients!$B$77,Nutrients!$EL$77,Nutrients!$EL$78)))))*X$8))/2000*1000000</f>
        <v>110.11950000000002</v>
      </c>
      <c r="Y320" s="21">
        <f>(SUMPRODUCT(Y$9:Y$229,Nutrients!$EL$8:$EL$228)+(IF($A$7=Nutrients!$B$8,Nutrients!$EL$8,Nutrients!$EL$9)*Y$7)+(((IF($A$8=Nutrients!$B$79,Nutrients!$EL$79,(IF($A$8=Nutrients!$B$77,Nutrients!$EL$77,Nutrients!$EL$78)))))*Y$8))/2000*1000000</f>
        <v>91.766249999999999</v>
      </c>
      <c r="Z320" s="21">
        <f>(SUMPRODUCT(Z$9:Z$229,Nutrients!$EL$8:$EL$228)+(IF($A$7=Nutrients!$B$8,Nutrients!$EL$8,Nutrients!$EL$9)*Z$7)+(((IF($A$8=Nutrients!$B$79,Nutrients!$EL$79,(IF($A$8=Nutrients!$B$77,Nutrients!$EL$77,Nutrients!$EL$78)))))*Z$8))/2000*1000000</f>
        <v>73.413000000000011</v>
      </c>
      <c r="AA320" s="21">
        <f>(SUMPRODUCT(AA$9:AA$229,Nutrients!$EL$8:$EL$228)+(IF($A$7=Nutrients!$B$8,Nutrients!$EL$8,Nutrients!$EL$9)*AA$7)+(((IF($A$8=Nutrients!$B$79,Nutrients!$EL$79,(IF($A$8=Nutrients!$B$77,Nutrients!$EL$77,Nutrients!$EL$78)))))*AA$8))/2000*1000000</f>
        <v>55.059750000000008</v>
      </c>
      <c r="AB320" s="21">
        <f>(SUMPRODUCT(AB$9:AB$229,Nutrients!$EL$8:$EL$228)+(IF($A$7=Nutrients!$B$8,Nutrients!$EL$8,Nutrients!$EL$9)*AB$7)+(((IF($A$8=Nutrients!$B$79,Nutrients!$EL$79,(IF($A$8=Nutrients!$B$77,Nutrients!$EL$77,Nutrients!$EL$78)))))*AB$8))/2000*1000000</f>
        <v>55.059750000000008</v>
      </c>
      <c r="AD320" s="21">
        <f>(SUMPRODUCT(AD$9:AD$229,Nutrients!$EL$8:$EL$228)+(IF($A$7=Nutrients!$B$8,Nutrients!$EL$8,Nutrients!$EL$9)*AD$7)+(((IF($A$8=Nutrients!$B$79,Nutrients!$EL$79,(IF($A$8=Nutrients!$B$77,Nutrients!$EL$77,Nutrients!$EL$78)))))*AD$8))/2000*1000000</f>
        <v>110.11950000000002</v>
      </c>
      <c r="AE320" s="21">
        <f>(SUMPRODUCT(AE$9:AE$229,Nutrients!$EL$8:$EL$228)+(IF($A$7=Nutrients!$B$8,Nutrients!$EL$8,Nutrients!$EL$9)*AE$7)+(((IF($A$8=Nutrients!$B$79,Nutrients!$EL$79,(IF($A$8=Nutrients!$B$77,Nutrients!$EL$77,Nutrients!$EL$78)))))*AE$8))/2000*1000000</f>
        <v>110.11950000000002</v>
      </c>
      <c r="AF320" s="21">
        <f>(SUMPRODUCT(AF$9:AF$229,Nutrients!$EL$8:$EL$228)+(IF($A$7=Nutrients!$B$8,Nutrients!$EL$8,Nutrients!$EL$9)*AF$7)+(((IF($A$8=Nutrients!$B$79,Nutrients!$EL$79,(IF($A$8=Nutrients!$B$77,Nutrients!$EL$77,Nutrients!$EL$78)))))*AF$8))/2000*1000000</f>
        <v>91.766249999999999</v>
      </c>
      <c r="AG320" s="21">
        <f>(SUMPRODUCT(AG$9:AG$229,Nutrients!$EL$8:$EL$228)+(IF($A$7=Nutrients!$B$8,Nutrients!$EL$8,Nutrients!$EL$9)*AG$7)+(((IF($A$8=Nutrients!$B$79,Nutrients!$EL$79,(IF($A$8=Nutrients!$B$77,Nutrients!$EL$77,Nutrients!$EL$78)))))*AG$8))/2000*1000000</f>
        <v>73.413000000000011</v>
      </c>
      <c r="AH320" s="21">
        <f>(SUMPRODUCT(AH$9:AH$229,Nutrients!$EL$8:$EL$228)+(IF($A$7=Nutrients!$B$8,Nutrients!$EL$8,Nutrients!$EL$9)*AH$7)+(((IF($A$8=Nutrients!$B$79,Nutrients!$EL$79,(IF($A$8=Nutrients!$B$77,Nutrients!$EL$77,Nutrients!$EL$78)))))*AH$8))/2000*1000000</f>
        <v>55.059750000000008</v>
      </c>
      <c r="AI320" s="21">
        <f>(SUMPRODUCT(AI$9:AI$229,Nutrients!$EL$8:$EL$228)+(IF($A$7=Nutrients!$B$8,Nutrients!$EL$8,Nutrients!$EL$9)*AI$7)+(((IF($A$8=Nutrients!$B$79,Nutrients!$EL$79,(IF($A$8=Nutrients!$B$77,Nutrients!$EL$77,Nutrients!$EL$78)))))*AI$8))/2000*1000000</f>
        <v>55.059750000000008</v>
      </c>
      <c r="AK320" s="21">
        <f>(SUMPRODUCT(AK$9:AK$229,Nutrients!$EL$8:$EL$228)+(IF($A$7=Nutrients!$B$8,Nutrients!$EL$8,Nutrients!$EL$9)*AK$7)+(((IF($A$8=Nutrients!$B$79,Nutrients!$EL$79,(IF($A$8=Nutrients!$B$77,Nutrients!$EL$77,Nutrients!$EL$78)))))*AK$8))/2000*1000000</f>
        <v>110.11950000000002</v>
      </c>
      <c r="AL320" s="21">
        <f>(SUMPRODUCT(AL$9:AL$229,Nutrients!$EL$8:$EL$228)+(IF($A$7=Nutrients!$B$8,Nutrients!$EL$8,Nutrients!$EL$9)*AL$7)+(((IF($A$8=Nutrients!$B$79,Nutrients!$EL$79,(IF($A$8=Nutrients!$B$77,Nutrients!$EL$77,Nutrients!$EL$78)))))*AL$8))/2000*1000000</f>
        <v>110.11950000000002</v>
      </c>
      <c r="AM320" s="21">
        <f>(SUMPRODUCT(AM$9:AM$229,Nutrients!$EL$8:$EL$228)+(IF($A$7=Nutrients!$B$8,Nutrients!$EL$8,Nutrients!$EL$9)*AM$7)+(((IF($A$8=Nutrients!$B$79,Nutrients!$EL$79,(IF($A$8=Nutrients!$B$77,Nutrients!$EL$77,Nutrients!$EL$78)))))*AM$8))/2000*1000000</f>
        <v>91.766249999999999</v>
      </c>
      <c r="AN320" s="21">
        <f>(SUMPRODUCT(AN$9:AN$229,Nutrients!$EL$8:$EL$228)+(IF($A$7=Nutrients!$B$8,Nutrients!$EL$8,Nutrients!$EL$9)*AN$7)+(((IF($A$8=Nutrients!$B$79,Nutrients!$EL$79,(IF($A$8=Nutrients!$B$77,Nutrients!$EL$77,Nutrients!$EL$78)))))*AN$8))/2000*1000000</f>
        <v>73.413000000000011</v>
      </c>
      <c r="AO320" s="21">
        <f>(SUMPRODUCT(AO$9:AO$229,Nutrients!$EL$8:$EL$228)+(IF($A$7=Nutrients!$B$8,Nutrients!$EL$8,Nutrients!$EL$9)*AO$7)+(((IF($A$8=Nutrients!$B$79,Nutrients!$EL$79,(IF($A$8=Nutrients!$B$77,Nutrients!$EL$77,Nutrients!$EL$78)))))*AO$8))/2000*1000000</f>
        <v>55.059750000000008</v>
      </c>
      <c r="AP320" s="21">
        <f>(SUMPRODUCT(AP$9:AP$229,Nutrients!$EL$8:$EL$228)+(IF($A$7=Nutrients!$B$8,Nutrients!$EL$8,Nutrients!$EL$9)*AP$7)+(((IF($A$8=Nutrients!$B$79,Nutrients!$EL$79,(IF($A$8=Nutrients!$B$77,Nutrients!$EL$77,Nutrients!$EL$78)))))*AP$8))/2000*1000000</f>
        <v>55.059750000000008</v>
      </c>
      <c r="AR320" s="21">
        <f>(SUMPRODUCT(AR$9:AR$229,Nutrients!$EL$8:$EL$228)+(IF($A$7=Nutrients!$B$8,Nutrients!$EL$8,Nutrients!$EL$9)*AR$7)+(((IF($A$8=Nutrients!$B$79,Nutrients!$EL$79,(IF($A$8=Nutrients!$B$77,Nutrients!$EL$77,Nutrients!$EL$78)))))*AR$8))/2000*1000000</f>
        <v>110.11950000000002</v>
      </c>
      <c r="AS320" s="21">
        <f>(SUMPRODUCT(AS$9:AS$229,Nutrients!$EL$8:$EL$228)+(IF($A$7=Nutrients!$B$8,Nutrients!$EL$8,Nutrients!$EL$9)*AS$7)+(((IF($A$8=Nutrients!$B$79,Nutrients!$EL$79,(IF($A$8=Nutrients!$B$77,Nutrients!$EL$77,Nutrients!$EL$78)))))*AS$8))/2000*1000000</f>
        <v>110.11950000000002</v>
      </c>
      <c r="AT320" s="21">
        <f>(SUMPRODUCT(AT$9:AT$229,Nutrients!$EL$8:$EL$228)+(IF($A$7=Nutrients!$B$8,Nutrients!$EL$8,Nutrients!$EL$9)*AT$7)+(((IF($A$8=Nutrients!$B$79,Nutrients!$EL$79,(IF($A$8=Nutrients!$B$77,Nutrients!$EL$77,Nutrients!$EL$78)))))*AT$8))/2000*1000000</f>
        <v>91.766249999999999</v>
      </c>
      <c r="AU320" s="21">
        <f>(SUMPRODUCT(AU$9:AU$229,Nutrients!$EL$8:$EL$228)+(IF($A$7=Nutrients!$B$8,Nutrients!$EL$8,Nutrients!$EL$9)*AU$7)+(((IF($A$8=Nutrients!$B$79,Nutrients!$EL$79,(IF($A$8=Nutrients!$B$77,Nutrients!$EL$77,Nutrients!$EL$78)))))*AU$8))/2000*1000000</f>
        <v>73.413000000000011</v>
      </c>
      <c r="AV320" s="21">
        <f>(SUMPRODUCT(AV$9:AV$229,Nutrients!$EL$8:$EL$228)+(IF($A$7=Nutrients!$B$8,Nutrients!$EL$8,Nutrients!$EL$9)*AV$7)+(((IF($A$8=Nutrients!$B$79,Nutrients!$EL$79,(IF($A$8=Nutrients!$B$77,Nutrients!$EL$77,Nutrients!$EL$78)))))*AV$8))/2000*1000000</f>
        <v>55.059750000000008</v>
      </c>
      <c r="AW320" s="21">
        <f>(SUMPRODUCT(AW$9:AW$229,Nutrients!$EL$8:$EL$228)+(IF($A$7=Nutrients!$B$8,Nutrients!$EL$8,Nutrients!$EL$9)*AW$7)+(((IF($A$8=Nutrients!$B$79,Nutrients!$EL$79,(IF($A$8=Nutrients!$B$77,Nutrients!$EL$77,Nutrients!$EL$78)))))*AW$8))/2000*1000000</f>
        <v>55.059750000000008</v>
      </c>
    </row>
    <row r="321" spans="1:49" x14ac:dyDescent="0.25">
      <c r="A321" s="34" t="s">
        <v>114</v>
      </c>
      <c r="B321" s="21">
        <f>(SUMPRODUCT(B$9:B$229,Nutrients!$EM$8:$EM$228)+(IF($A$7=Nutrients!$B$8,Nutrients!$EM$8,Nutrients!$EM$9)*B$7)+(((IF($A$8=Nutrients!$B$79,Nutrients!$EM$79,(IF($A$8=Nutrients!$B$77,Nutrients!$EM$77,Nutrients!$EM$78)))))*B$8))/2000*1000000</f>
        <v>33.068999999999996</v>
      </c>
      <c r="C321" s="21">
        <f>(SUMPRODUCT(C$9:C$229,Nutrients!$EM$8:$EM$228)+(IF($A$7=Nutrients!$B$8,Nutrients!$EM$8,Nutrients!$EM$9)*C$7)+(((IF($A$8=Nutrients!$B$79,Nutrients!$EM$79,(IF($A$8=Nutrients!$B$77,Nutrients!$EM$77,Nutrients!$EM$78)))))*C$8))/2000*1000000</f>
        <v>33.068999999999996</v>
      </c>
      <c r="D321" s="21">
        <f>(SUMPRODUCT(D$9:D$229,Nutrients!$EM$8:$EM$228)+(IF($A$7=Nutrients!$B$8,Nutrients!$EM$8,Nutrients!$EM$9)*D$7)+(((IF($A$8=Nutrients!$B$79,Nutrients!$EM$79,(IF($A$8=Nutrients!$B$77,Nutrients!$EM$77,Nutrients!$EM$78)))))*D$8))/2000*1000000</f>
        <v>27.557499999999997</v>
      </c>
      <c r="E321" s="21">
        <f>(SUMPRODUCT(E$9:E$229,Nutrients!$EM$8:$EM$228)+(IF($A$7=Nutrients!$B$8,Nutrients!$EM$8,Nutrients!$EM$9)*E$7)+(((IF($A$8=Nutrients!$B$79,Nutrients!$EM$79,(IF($A$8=Nutrients!$B$77,Nutrients!$EM$77,Nutrients!$EM$78)))))*E$8))/2000*1000000</f>
        <v>22.045999999999999</v>
      </c>
      <c r="F321" s="21">
        <f>(SUMPRODUCT(F$9:F$229,Nutrients!$EM$8:$EM$228)+(IF($A$7=Nutrients!$B$8,Nutrients!$EM$8,Nutrients!$EM$9)*F$7)+(((IF($A$8=Nutrients!$B$79,Nutrients!$EM$79,(IF($A$8=Nutrients!$B$77,Nutrients!$EM$77,Nutrients!$EM$78)))))*F$8))/2000*1000000</f>
        <v>16.534499999999998</v>
      </c>
      <c r="G321" s="21">
        <f>(SUMPRODUCT(G$9:G$229,Nutrients!$EM$8:$EM$228)+(IF($A$7=Nutrients!$B$8,Nutrients!$EM$8,Nutrients!$EM$9)*G$7)+(((IF($A$8=Nutrients!$B$79,Nutrients!$EM$79,(IF($A$8=Nutrients!$B$77,Nutrients!$EM$77,Nutrients!$EM$78)))))*G$8))/2000*1000000</f>
        <v>16.534499999999998</v>
      </c>
      <c r="H321" s="226"/>
      <c r="I321" s="21">
        <f>(SUMPRODUCT(I$9:I$229,Nutrients!$EM$8:$EM$228)+(IF($A$7=Nutrients!$B$8,Nutrients!$EM$8,Nutrients!$EM$9)*I$7)+(((IF($A$8=Nutrients!$B$79,Nutrients!$EM$79,(IF($A$8=Nutrients!$B$77,Nutrients!$EM$77,Nutrients!$EM$78)))))*I$8))/2000*1000000</f>
        <v>33.068999999999996</v>
      </c>
      <c r="J321" s="21">
        <f>(SUMPRODUCT(J$9:J$229,Nutrients!$EM$8:$EM$228)+(IF($A$7=Nutrients!$B$8,Nutrients!$EM$8,Nutrients!$EM$9)*J$7)+(((IF($A$8=Nutrients!$B$79,Nutrients!$EM$79,(IF($A$8=Nutrients!$B$77,Nutrients!$EM$77,Nutrients!$EM$78)))))*J$8))/2000*1000000</f>
        <v>33.068999999999996</v>
      </c>
      <c r="K321" s="21">
        <f>(SUMPRODUCT(K$9:K$229,Nutrients!$EM$8:$EM$228)+(IF($A$7=Nutrients!$B$8,Nutrients!$EM$8,Nutrients!$EM$9)*K$7)+(((IF($A$8=Nutrients!$B$79,Nutrients!$EM$79,(IF($A$8=Nutrients!$B$77,Nutrients!$EM$77,Nutrients!$EM$78)))))*K$8))/2000*1000000</f>
        <v>27.557499999999997</v>
      </c>
      <c r="L321" s="21">
        <f>(SUMPRODUCT(L$9:L$229,Nutrients!$EM$8:$EM$228)+(IF($A$7=Nutrients!$B$8,Nutrients!$EM$8,Nutrients!$EM$9)*L$7)+(((IF($A$8=Nutrients!$B$79,Nutrients!$EM$79,(IF($A$8=Nutrients!$B$77,Nutrients!$EM$77,Nutrients!$EM$78)))))*L$8))/2000*1000000</f>
        <v>22.045999999999999</v>
      </c>
      <c r="M321" s="21">
        <f>(SUMPRODUCT(M$9:M$229,Nutrients!$EM$8:$EM$228)+(IF($A$7=Nutrients!$B$8,Nutrients!$EM$8,Nutrients!$EM$9)*M$7)+(((IF($A$8=Nutrients!$B$79,Nutrients!$EM$79,(IF($A$8=Nutrients!$B$77,Nutrients!$EM$77,Nutrients!$EM$78)))))*M$8))/2000*1000000</f>
        <v>16.534499999999998</v>
      </c>
      <c r="N321" s="21">
        <f>(SUMPRODUCT(N$9:N$229,Nutrients!$EM$8:$EM$228)+(IF($A$7=Nutrients!$B$8,Nutrients!$EM$8,Nutrients!$EM$9)*N$7)+(((IF($A$8=Nutrients!$B$79,Nutrients!$EM$79,(IF($A$8=Nutrients!$B$77,Nutrients!$EM$77,Nutrients!$EM$78)))))*N$8))/2000*1000000</f>
        <v>16.534499999999998</v>
      </c>
      <c r="O321" s="234"/>
      <c r="P321" s="21">
        <f>(SUMPRODUCT(P$9:P$229,Nutrients!$EM$8:$EM$228)+(IF($A$7=Nutrients!$B$8,Nutrients!$EM$8,Nutrients!$EM$9)*P$7)+(((IF($A$8=Nutrients!$B$79,Nutrients!$EM$79,(IF($A$8=Nutrients!$B$77,Nutrients!$EM$77,Nutrients!$EM$78)))))*P$8))/2000*1000000</f>
        <v>33.068999999999996</v>
      </c>
      <c r="Q321" s="21">
        <f>(SUMPRODUCT(Q$9:Q$229,Nutrients!$EM$8:$EM$228)+(IF($A$7=Nutrients!$B$8,Nutrients!$EM$8,Nutrients!$EM$9)*Q$7)+(((IF($A$8=Nutrients!$B$79,Nutrients!$EM$79,(IF($A$8=Nutrients!$B$77,Nutrients!$EM$77,Nutrients!$EM$78)))))*Q$8))/2000*1000000</f>
        <v>33.068999999999996</v>
      </c>
      <c r="R321" s="21">
        <f>(SUMPRODUCT(R$9:R$229,Nutrients!$EM$8:$EM$228)+(IF($A$7=Nutrients!$B$8,Nutrients!$EM$8,Nutrients!$EM$9)*R$7)+(((IF($A$8=Nutrients!$B$79,Nutrients!$EM$79,(IF($A$8=Nutrients!$B$77,Nutrients!$EM$77,Nutrients!$EM$78)))))*R$8))/2000*1000000</f>
        <v>27.557499999999997</v>
      </c>
      <c r="S321" s="21">
        <f>(SUMPRODUCT(S$9:S$229,Nutrients!$EM$8:$EM$228)+(IF($A$7=Nutrients!$B$8,Nutrients!$EM$8,Nutrients!$EM$9)*S$7)+(((IF($A$8=Nutrients!$B$79,Nutrients!$EM$79,(IF($A$8=Nutrients!$B$77,Nutrients!$EM$77,Nutrients!$EM$78)))))*S$8))/2000*1000000</f>
        <v>22.045999999999999</v>
      </c>
      <c r="T321" s="21">
        <f>(SUMPRODUCT(T$9:T$229,Nutrients!$EM$8:$EM$228)+(IF($A$7=Nutrients!$B$8,Nutrients!$EM$8,Nutrients!$EM$9)*T$7)+(((IF($A$8=Nutrients!$B$79,Nutrients!$EM$79,(IF($A$8=Nutrients!$B$77,Nutrients!$EM$77,Nutrients!$EM$78)))))*T$8))/2000*1000000</f>
        <v>16.534499999999998</v>
      </c>
      <c r="U321" s="21">
        <f>(SUMPRODUCT(U$9:U$229,Nutrients!$EM$8:$EM$228)+(IF($A$7=Nutrients!$B$8,Nutrients!$EM$8,Nutrients!$EM$9)*U$7)+(((IF($A$8=Nutrients!$B$79,Nutrients!$EM$79,(IF($A$8=Nutrients!$B$77,Nutrients!$EM$77,Nutrients!$EM$78)))))*U$8))/2000*1000000</f>
        <v>16.534499999999998</v>
      </c>
      <c r="W321" s="21">
        <f>(SUMPRODUCT(W$9:W$229,Nutrients!$EM$8:$EM$228)+(IF($A$7=Nutrients!$B$8,Nutrients!$EM$8,Nutrients!$EM$9)*W$7)+(((IF($A$8=Nutrients!$B$79,Nutrients!$EM$79,(IF($A$8=Nutrients!$B$77,Nutrients!$EM$77,Nutrients!$EM$78)))))*W$8))/2000*1000000</f>
        <v>33.068999999999996</v>
      </c>
      <c r="X321" s="21">
        <f>(SUMPRODUCT(X$9:X$229,Nutrients!$EM$8:$EM$228)+(IF($A$7=Nutrients!$B$8,Nutrients!$EM$8,Nutrients!$EM$9)*X$7)+(((IF($A$8=Nutrients!$B$79,Nutrients!$EM$79,(IF($A$8=Nutrients!$B$77,Nutrients!$EM$77,Nutrients!$EM$78)))))*X$8))/2000*1000000</f>
        <v>33.068999999999996</v>
      </c>
      <c r="Y321" s="21">
        <f>(SUMPRODUCT(Y$9:Y$229,Nutrients!$EM$8:$EM$228)+(IF($A$7=Nutrients!$B$8,Nutrients!$EM$8,Nutrients!$EM$9)*Y$7)+(((IF($A$8=Nutrients!$B$79,Nutrients!$EM$79,(IF($A$8=Nutrients!$B$77,Nutrients!$EM$77,Nutrients!$EM$78)))))*Y$8))/2000*1000000</f>
        <v>27.557499999999997</v>
      </c>
      <c r="Z321" s="21">
        <f>(SUMPRODUCT(Z$9:Z$229,Nutrients!$EM$8:$EM$228)+(IF($A$7=Nutrients!$B$8,Nutrients!$EM$8,Nutrients!$EM$9)*Z$7)+(((IF($A$8=Nutrients!$B$79,Nutrients!$EM$79,(IF($A$8=Nutrients!$B$77,Nutrients!$EM$77,Nutrients!$EM$78)))))*Z$8))/2000*1000000</f>
        <v>22.045999999999999</v>
      </c>
      <c r="AA321" s="21">
        <f>(SUMPRODUCT(AA$9:AA$229,Nutrients!$EM$8:$EM$228)+(IF($A$7=Nutrients!$B$8,Nutrients!$EM$8,Nutrients!$EM$9)*AA$7)+(((IF($A$8=Nutrients!$B$79,Nutrients!$EM$79,(IF($A$8=Nutrients!$B$77,Nutrients!$EM$77,Nutrients!$EM$78)))))*AA$8))/2000*1000000</f>
        <v>16.534499999999998</v>
      </c>
      <c r="AB321" s="21">
        <f>(SUMPRODUCT(AB$9:AB$229,Nutrients!$EM$8:$EM$228)+(IF($A$7=Nutrients!$B$8,Nutrients!$EM$8,Nutrients!$EM$9)*AB$7)+(((IF($A$8=Nutrients!$B$79,Nutrients!$EM$79,(IF($A$8=Nutrients!$B$77,Nutrients!$EM$77,Nutrients!$EM$78)))))*AB$8))/2000*1000000</f>
        <v>16.534499999999998</v>
      </c>
      <c r="AD321" s="21">
        <f>(SUMPRODUCT(AD$9:AD$229,Nutrients!$EM$8:$EM$228)+(IF($A$7=Nutrients!$B$8,Nutrients!$EM$8,Nutrients!$EM$9)*AD$7)+(((IF($A$8=Nutrients!$B$79,Nutrients!$EM$79,(IF($A$8=Nutrients!$B$77,Nutrients!$EM$77,Nutrients!$EM$78)))))*AD$8))/2000*1000000</f>
        <v>33.068999999999996</v>
      </c>
      <c r="AE321" s="21">
        <f>(SUMPRODUCT(AE$9:AE$229,Nutrients!$EM$8:$EM$228)+(IF($A$7=Nutrients!$B$8,Nutrients!$EM$8,Nutrients!$EM$9)*AE$7)+(((IF($A$8=Nutrients!$B$79,Nutrients!$EM$79,(IF($A$8=Nutrients!$B$77,Nutrients!$EM$77,Nutrients!$EM$78)))))*AE$8))/2000*1000000</f>
        <v>33.068999999999996</v>
      </c>
      <c r="AF321" s="21">
        <f>(SUMPRODUCT(AF$9:AF$229,Nutrients!$EM$8:$EM$228)+(IF($A$7=Nutrients!$B$8,Nutrients!$EM$8,Nutrients!$EM$9)*AF$7)+(((IF($A$8=Nutrients!$B$79,Nutrients!$EM$79,(IF($A$8=Nutrients!$B$77,Nutrients!$EM$77,Nutrients!$EM$78)))))*AF$8))/2000*1000000</f>
        <v>27.557499999999997</v>
      </c>
      <c r="AG321" s="21">
        <f>(SUMPRODUCT(AG$9:AG$229,Nutrients!$EM$8:$EM$228)+(IF($A$7=Nutrients!$B$8,Nutrients!$EM$8,Nutrients!$EM$9)*AG$7)+(((IF($A$8=Nutrients!$B$79,Nutrients!$EM$79,(IF($A$8=Nutrients!$B$77,Nutrients!$EM$77,Nutrients!$EM$78)))))*AG$8))/2000*1000000</f>
        <v>22.045999999999999</v>
      </c>
      <c r="AH321" s="21">
        <f>(SUMPRODUCT(AH$9:AH$229,Nutrients!$EM$8:$EM$228)+(IF($A$7=Nutrients!$B$8,Nutrients!$EM$8,Nutrients!$EM$9)*AH$7)+(((IF($A$8=Nutrients!$B$79,Nutrients!$EM$79,(IF($A$8=Nutrients!$B$77,Nutrients!$EM$77,Nutrients!$EM$78)))))*AH$8))/2000*1000000</f>
        <v>16.534499999999998</v>
      </c>
      <c r="AI321" s="21">
        <f>(SUMPRODUCT(AI$9:AI$229,Nutrients!$EM$8:$EM$228)+(IF($A$7=Nutrients!$B$8,Nutrients!$EM$8,Nutrients!$EM$9)*AI$7)+(((IF($A$8=Nutrients!$B$79,Nutrients!$EM$79,(IF($A$8=Nutrients!$B$77,Nutrients!$EM$77,Nutrients!$EM$78)))))*AI$8))/2000*1000000</f>
        <v>16.534499999999998</v>
      </c>
      <c r="AK321" s="21">
        <f>(SUMPRODUCT(AK$9:AK$229,Nutrients!$EM$8:$EM$228)+(IF($A$7=Nutrients!$B$8,Nutrients!$EM$8,Nutrients!$EM$9)*AK$7)+(((IF($A$8=Nutrients!$B$79,Nutrients!$EM$79,(IF($A$8=Nutrients!$B$77,Nutrients!$EM$77,Nutrients!$EM$78)))))*AK$8))/2000*1000000</f>
        <v>33.068999999999996</v>
      </c>
      <c r="AL321" s="21">
        <f>(SUMPRODUCT(AL$9:AL$229,Nutrients!$EM$8:$EM$228)+(IF($A$7=Nutrients!$B$8,Nutrients!$EM$8,Nutrients!$EM$9)*AL$7)+(((IF($A$8=Nutrients!$B$79,Nutrients!$EM$79,(IF($A$8=Nutrients!$B$77,Nutrients!$EM$77,Nutrients!$EM$78)))))*AL$8))/2000*1000000</f>
        <v>33.068999999999996</v>
      </c>
      <c r="AM321" s="21">
        <f>(SUMPRODUCT(AM$9:AM$229,Nutrients!$EM$8:$EM$228)+(IF($A$7=Nutrients!$B$8,Nutrients!$EM$8,Nutrients!$EM$9)*AM$7)+(((IF($A$8=Nutrients!$B$79,Nutrients!$EM$79,(IF($A$8=Nutrients!$B$77,Nutrients!$EM$77,Nutrients!$EM$78)))))*AM$8))/2000*1000000</f>
        <v>27.557499999999997</v>
      </c>
      <c r="AN321" s="21">
        <f>(SUMPRODUCT(AN$9:AN$229,Nutrients!$EM$8:$EM$228)+(IF($A$7=Nutrients!$B$8,Nutrients!$EM$8,Nutrients!$EM$9)*AN$7)+(((IF($A$8=Nutrients!$B$79,Nutrients!$EM$79,(IF($A$8=Nutrients!$B$77,Nutrients!$EM$77,Nutrients!$EM$78)))))*AN$8))/2000*1000000</f>
        <v>22.045999999999999</v>
      </c>
      <c r="AO321" s="21">
        <f>(SUMPRODUCT(AO$9:AO$229,Nutrients!$EM$8:$EM$228)+(IF($A$7=Nutrients!$B$8,Nutrients!$EM$8,Nutrients!$EM$9)*AO$7)+(((IF($A$8=Nutrients!$B$79,Nutrients!$EM$79,(IF($A$8=Nutrients!$B$77,Nutrients!$EM$77,Nutrients!$EM$78)))))*AO$8))/2000*1000000</f>
        <v>16.534499999999998</v>
      </c>
      <c r="AP321" s="21">
        <f>(SUMPRODUCT(AP$9:AP$229,Nutrients!$EM$8:$EM$228)+(IF($A$7=Nutrients!$B$8,Nutrients!$EM$8,Nutrients!$EM$9)*AP$7)+(((IF($A$8=Nutrients!$B$79,Nutrients!$EM$79,(IF($A$8=Nutrients!$B$77,Nutrients!$EM$77,Nutrients!$EM$78)))))*AP$8))/2000*1000000</f>
        <v>16.534499999999998</v>
      </c>
      <c r="AR321" s="21">
        <f>(SUMPRODUCT(AR$9:AR$229,Nutrients!$EM$8:$EM$228)+(IF($A$7=Nutrients!$B$8,Nutrients!$EM$8,Nutrients!$EM$9)*AR$7)+(((IF($A$8=Nutrients!$B$79,Nutrients!$EM$79,(IF($A$8=Nutrients!$B$77,Nutrients!$EM$77,Nutrients!$EM$78)))))*AR$8))/2000*1000000</f>
        <v>33.068999999999996</v>
      </c>
      <c r="AS321" s="21">
        <f>(SUMPRODUCT(AS$9:AS$229,Nutrients!$EM$8:$EM$228)+(IF($A$7=Nutrients!$B$8,Nutrients!$EM$8,Nutrients!$EM$9)*AS$7)+(((IF($A$8=Nutrients!$B$79,Nutrients!$EM$79,(IF($A$8=Nutrients!$B$77,Nutrients!$EM$77,Nutrients!$EM$78)))))*AS$8))/2000*1000000</f>
        <v>33.068999999999996</v>
      </c>
      <c r="AT321" s="21">
        <f>(SUMPRODUCT(AT$9:AT$229,Nutrients!$EM$8:$EM$228)+(IF($A$7=Nutrients!$B$8,Nutrients!$EM$8,Nutrients!$EM$9)*AT$7)+(((IF($A$8=Nutrients!$B$79,Nutrients!$EM$79,(IF($A$8=Nutrients!$B$77,Nutrients!$EM$77,Nutrients!$EM$78)))))*AT$8))/2000*1000000</f>
        <v>27.557499999999997</v>
      </c>
      <c r="AU321" s="21">
        <f>(SUMPRODUCT(AU$9:AU$229,Nutrients!$EM$8:$EM$228)+(IF($A$7=Nutrients!$B$8,Nutrients!$EM$8,Nutrients!$EM$9)*AU$7)+(((IF($A$8=Nutrients!$B$79,Nutrients!$EM$79,(IF($A$8=Nutrients!$B$77,Nutrients!$EM$77,Nutrients!$EM$78)))))*AU$8))/2000*1000000</f>
        <v>22.045999999999999</v>
      </c>
      <c r="AV321" s="21">
        <f>(SUMPRODUCT(AV$9:AV$229,Nutrients!$EM$8:$EM$228)+(IF($A$7=Nutrients!$B$8,Nutrients!$EM$8,Nutrients!$EM$9)*AV$7)+(((IF($A$8=Nutrients!$B$79,Nutrients!$EM$79,(IF($A$8=Nutrients!$B$77,Nutrients!$EM$77,Nutrients!$EM$78)))))*AV$8))/2000*1000000</f>
        <v>16.534499999999998</v>
      </c>
      <c r="AW321" s="21">
        <f>(SUMPRODUCT(AW$9:AW$229,Nutrients!$EM$8:$EM$228)+(IF($A$7=Nutrients!$B$8,Nutrients!$EM$8,Nutrients!$EM$9)*AW$7)+(((IF($A$8=Nutrients!$B$79,Nutrients!$EM$79,(IF($A$8=Nutrients!$B$77,Nutrients!$EM$77,Nutrients!$EM$78)))))*AW$8))/2000*1000000</f>
        <v>16.534499999999998</v>
      </c>
    </row>
    <row r="322" spans="1:49" x14ac:dyDescent="0.25">
      <c r="A322" s="34" t="s">
        <v>115</v>
      </c>
      <c r="B322" s="21">
        <f>(SUMPRODUCT(B$9:B$229,Nutrients!$EN$8:$EN$228)+(IF($A$7=Nutrients!$B$8,Nutrients!$EN$8,Nutrients!$EN$9)*B$7)+(((IF($A$8=Nutrients!$B$79,Nutrients!$EN$79,(IF($A$8=Nutrients!$B$77,Nutrients!$EN$77,Nutrients!$EN$78)))))*B$8))/2000*1000000</f>
        <v>16.5</v>
      </c>
      <c r="C322" s="21">
        <f>(SUMPRODUCT(C$9:C$229,Nutrients!$EN$8:$EN$228)+(IF($A$7=Nutrients!$B$8,Nutrients!$EN$8,Nutrients!$EN$9)*C$7)+(((IF($A$8=Nutrients!$B$79,Nutrients!$EN$79,(IF($A$8=Nutrients!$B$77,Nutrients!$EN$77,Nutrients!$EN$78)))))*C$8))/2000*1000000</f>
        <v>16.5</v>
      </c>
      <c r="D322" s="21">
        <f>(SUMPRODUCT(D$9:D$229,Nutrients!$EN$8:$EN$228)+(IF($A$7=Nutrients!$B$8,Nutrients!$EN$8,Nutrients!$EN$9)*D$7)+(((IF($A$8=Nutrients!$B$79,Nutrients!$EN$79,(IF($A$8=Nutrients!$B$77,Nutrients!$EN$77,Nutrients!$EN$78)))))*D$8))/2000*1000000</f>
        <v>13.749999999999998</v>
      </c>
      <c r="E322" s="21">
        <f>(SUMPRODUCT(E$9:E$229,Nutrients!$EN$8:$EN$228)+(IF($A$7=Nutrients!$B$8,Nutrients!$EN$8,Nutrients!$EN$9)*E$7)+(((IF($A$8=Nutrients!$B$79,Nutrients!$EN$79,(IF($A$8=Nutrients!$B$77,Nutrients!$EN$77,Nutrients!$EN$78)))))*E$8))/2000*1000000</f>
        <v>11</v>
      </c>
      <c r="F322" s="21">
        <f>(SUMPRODUCT(F$9:F$229,Nutrients!$EN$8:$EN$228)+(IF($A$7=Nutrients!$B$8,Nutrients!$EN$8,Nutrients!$EN$9)*F$7)+(((IF($A$8=Nutrients!$B$79,Nutrients!$EN$79,(IF($A$8=Nutrients!$B$77,Nutrients!$EN$77,Nutrients!$EN$78)))))*F$8))/2000*1000000</f>
        <v>8.25</v>
      </c>
      <c r="G322" s="21">
        <f>(SUMPRODUCT(G$9:G$229,Nutrients!$EN$8:$EN$228)+(IF($A$7=Nutrients!$B$8,Nutrients!$EN$8,Nutrients!$EN$9)*G$7)+(((IF($A$8=Nutrients!$B$79,Nutrients!$EN$79,(IF($A$8=Nutrients!$B$77,Nutrients!$EN$77,Nutrients!$EN$78)))))*G$8))/2000*1000000</f>
        <v>8.25</v>
      </c>
      <c r="H322" s="226"/>
      <c r="I322" s="21">
        <f>(SUMPRODUCT(I$9:I$229,Nutrients!$EN$8:$EN$228)+(IF($A$7=Nutrients!$B$8,Nutrients!$EN$8,Nutrients!$EN$9)*I$7)+(((IF($A$8=Nutrients!$B$79,Nutrients!$EN$79,(IF($A$8=Nutrients!$B$77,Nutrients!$EN$77,Nutrients!$EN$78)))))*I$8))/2000*1000000</f>
        <v>16.5</v>
      </c>
      <c r="J322" s="21">
        <f>(SUMPRODUCT(J$9:J$229,Nutrients!$EN$8:$EN$228)+(IF($A$7=Nutrients!$B$8,Nutrients!$EN$8,Nutrients!$EN$9)*J$7)+(((IF($A$8=Nutrients!$B$79,Nutrients!$EN$79,(IF($A$8=Nutrients!$B$77,Nutrients!$EN$77,Nutrients!$EN$78)))))*J$8))/2000*1000000</f>
        <v>16.5</v>
      </c>
      <c r="K322" s="21">
        <f>(SUMPRODUCT(K$9:K$229,Nutrients!$EN$8:$EN$228)+(IF($A$7=Nutrients!$B$8,Nutrients!$EN$8,Nutrients!$EN$9)*K$7)+(((IF($A$8=Nutrients!$B$79,Nutrients!$EN$79,(IF($A$8=Nutrients!$B$77,Nutrients!$EN$77,Nutrients!$EN$78)))))*K$8))/2000*1000000</f>
        <v>13.749999999999998</v>
      </c>
      <c r="L322" s="21">
        <f>(SUMPRODUCT(L$9:L$229,Nutrients!$EN$8:$EN$228)+(IF($A$7=Nutrients!$B$8,Nutrients!$EN$8,Nutrients!$EN$9)*L$7)+(((IF($A$8=Nutrients!$B$79,Nutrients!$EN$79,(IF($A$8=Nutrients!$B$77,Nutrients!$EN$77,Nutrients!$EN$78)))))*L$8))/2000*1000000</f>
        <v>11</v>
      </c>
      <c r="M322" s="21">
        <f>(SUMPRODUCT(M$9:M$229,Nutrients!$EN$8:$EN$228)+(IF($A$7=Nutrients!$B$8,Nutrients!$EN$8,Nutrients!$EN$9)*M$7)+(((IF($A$8=Nutrients!$B$79,Nutrients!$EN$79,(IF($A$8=Nutrients!$B$77,Nutrients!$EN$77,Nutrients!$EN$78)))))*M$8))/2000*1000000</f>
        <v>8.25</v>
      </c>
      <c r="N322" s="21">
        <f>(SUMPRODUCT(N$9:N$229,Nutrients!$EN$8:$EN$228)+(IF($A$7=Nutrients!$B$8,Nutrients!$EN$8,Nutrients!$EN$9)*N$7)+(((IF($A$8=Nutrients!$B$79,Nutrients!$EN$79,(IF($A$8=Nutrients!$B$77,Nutrients!$EN$77,Nutrients!$EN$78)))))*N$8))/2000*1000000</f>
        <v>8.25</v>
      </c>
      <c r="O322" s="234"/>
      <c r="P322" s="21">
        <f>(SUMPRODUCT(P$9:P$229,Nutrients!$EN$8:$EN$228)+(IF($A$7=Nutrients!$B$8,Nutrients!$EN$8,Nutrients!$EN$9)*P$7)+(((IF($A$8=Nutrients!$B$79,Nutrients!$EN$79,(IF($A$8=Nutrients!$B$77,Nutrients!$EN$77,Nutrients!$EN$78)))))*P$8))/2000*1000000</f>
        <v>16.5</v>
      </c>
      <c r="Q322" s="21">
        <f>(SUMPRODUCT(Q$9:Q$229,Nutrients!$EN$8:$EN$228)+(IF($A$7=Nutrients!$B$8,Nutrients!$EN$8,Nutrients!$EN$9)*Q$7)+(((IF($A$8=Nutrients!$B$79,Nutrients!$EN$79,(IF($A$8=Nutrients!$B$77,Nutrients!$EN$77,Nutrients!$EN$78)))))*Q$8))/2000*1000000</f>
        <v>16.5</v>
      </c>
      <c r="R322" s="21">
        <f>(SUMPRODUCT(R$9:R$229,Nutrients!$EN$8:$EN$228)+(IF($A$7=Nutrients!$B$8,Nutrients!$EN$8,Nutrients!$EN$9)*R$7)+(((IF($A$8=Nutrients!$B$79,Nutrients!$EN$79,(IF($A$8=Nutrients!$B$77,Nutrients!$EN$77,Nutrients!$EN$78)))))*R$8))/2000*1000000</f>
        <v>13.749999999999998</v>
      </c>
      <c r="S322" s="21">
        <f>(SUMPRODUCT(S$9:S$229,Nutrients!$EN$8:$EN$228)+(IF($A$7=Nutrients!$B$8,Nutrients!$EN$8,Nutrients!$EN$9)*S$7)+(((IF($A$8=Nutrients!$B$79,Nutrients!$EN$79,(IF($A$8=Nutrients!$B$77,Nutrients!$EN$77,Nutrients!$EN$78)))))*S$8))/2000*1000000</f>
        <v>11</v>
      </c>
      <c r="T322" s="21">
        <f>(SUMPRODUCT(T$9:T$229,Nutrients!$EN$8:$EN$228)+(IF($A$7=Nutrients!$B$8,Nutrients!$EN$8,Nutrients!$EN$9)*T$7)+(((IF($A$8=Nutrients!$B$79,Nutrients!$EN$79,(IF($A$8=Nutrients!$B$77,Nutrients!$EN$77,Nutrients!$EN$78)))))*T$8))/2000*1000000</f>
        <v>8.25</v>
      </c>
      <c r="U322" s="21">
        <f>(SUMPRODUCT(U$9:U$229,Nutrients!$EN$8:$EN$228)+(IF($A$7=Nutrients!$B$8,Nutrients!$EN$8,Nutrients!$EN$9)*U$7)+(((IF($A$8=Nutrients!$B$79,Nutrients!$EN$79,(IF($A$8=Nutrients!$B$77,Nutrients!$EN$77,Nutrients!$EN$78)))))*U$8))/2000*1000000</f>
        <v>8.25</v>
      </c>
      <c r="W322" s="21">
        <f>(SUMPRODUCT(W$9:W$229,Nutrients!$EN$8:$EN$228)+(IF($A$7=Nutrients!$B$8,Nutrients!$EN$8,Nutrients!$EN$9)*W$7)+(((IF($A$8=Nutrients!$B$79,Nutrients!$EN$79,(IF($A$8=Nutrients!$B$77,Nutrients!$EN$77,Nutrients!$EN$78)))))*W$8))/2000*1000000</f>
        <v>16.5</v>
      </c>
      <c r="X322" s="21">
        <f>(SUMPRODUCT(X$9:X$229,Nutrients!$EN$8:$EN$228)+(IF($A$7=Nutrients!$B$8,Nutrients!$EN$8,Nutrients!$EN$9)*X$7)+(((IF($A$8=Nutrients!$B$79,Nutrients!$EN$79,(IF($A$8=Nutrients!$B$77,Nutrients!$EN$77,Nutrients!$EN$78)))))*X$8))/2000*1000000</f>
        <v>16.5</v>
      </c>
      <c r="Y322" s="21">
        <f>(SUMPRODUCT(Y$9:Y$229,Nutrients!$EN$8:$EN$228)+(IF($A$7=Nutrients!$B$8,Nutrients!$EN$8,Nutrients!$EN$9)*Y$7)+(((IF($A$8=Nutrients!$B$79,Nutrients!$EN$79,(IF($A$8=Nutrients!$B$77,Nutrients!$EN$77,Nutrients!$EN$78)))))*Y$8))/2000*1000000</f>
        <v>13.749999999999998</v>
      </c>
      <c r="Z322" s="21">
        <f>(SUMPRODUCT(Z$9:Z$229,Nutrients!$EN$8:$EN$228)+(IF($A$7=Nutrients!$B$8,Nutrients!$EN$8,Nutrients!$EN$9)*Z$7)+(((IF($A$8=Nutrients!$B$79,Nutrients!$EN$79,(IF($A$8=Nutrients!$B$77,Nutrients!$EN$77,Nutrients!$EN$78)))))*Z$8))/2000*1000000</f>
        <v>11</v>
      </c>
      <c r="AA322" s="21">
        <f>(SUMPRODUCT(AA$9:AA$229,Nutrients!$EN$8:$EN$228)+(IF($A$7=Nutrients!$B$8,Nutrients!$EN$8,Nutrients!$EN$9)*AA$7)+(((IF($A$8=Nutrients!$B$79,Nutrients!$EN$79,(IF($A$8=Nutrients!$B$77,Nutrients!$EN$77,Nutrients!$EN$78)))))*AA$8))/2000*1000000</f>
        <v>8.25</v>
      </c>
      <c r="AB322" s="21">
        <f>(SUMPRODUCT(AB$9:AB$229,Nutrients!$EN$8:$EN$228)+(IF($A$7=Nutrients!$B$8,Nutrients!$EN$8,Nutrients!$EN$9)*AB$7)+(((IF($A$8=Nutrients!$B$79,Nutrients!$EN$79,(IF($A$8=Nutrients!$B$77,Nutrients!$EN$77,Nutrients!$EN$78)))))*AB$8))/2000*1000000</f>
        <v>8.25</v>
      </c>
      <c r="AD322" s="21">
        <f>(SUMPRODUCT(AD$9:AD$229,Nutrients!$EN$8:$EN$228)+(IF($A$7=Nutrients!$B$8,Nutrients!$EN$8,Nutrients!$EN$9)*AD$7)+(((IF($A$8=Nutrients!$B$79,Nutrients!$EN$79,(IF($A$8=Nutrients!$B$77,Nutrients!$EN$77,Nutrients!$EN$78)))))*AD$8))/2000*1000000</f>
        <v>16.5</v>
      </c>
      <c r="AE322" s="21">
        <f>(SUMPRODUCT(AE$9:AE$229,Nutrients!$EN$8:$EN$228)+(IF($A$7=Nutrients!$B$8,Nutrients!$EN$8,Nutrients!$EN$9)*AE$7)+(((IF($A$8=Nutrients!$B$79,Nutrients!$EN$79,(IF($A$8=Nutrients!$B$77,Nutrients!$EN$77,Nutrients!$EN$78)))))*AE$8))/2000*1000000</f>
        <v>16.5</v>
      </c>
      <c r="AF322" s="21">
        <f>(SUMPRODUCT(AF$9:AF$229,Nutrients!$EN$8:$EN$228)+(IF($A$7=Nutrients!$B$8,Nutrients!$EN$8,Nutrients!$EN$9)*AF$7)+(((IF($A$8=Nutrients!$B$79,Nutrients!$EN$79,(IF($A$8=Nutrients!$B$77,Nutrients!$EN$77,Nutrients!$EN$78)))))*AF$8))/2000*1000000</f>
        <v>13.749999999999998</v>
      </c>
      <c r="AG322" s="21">
        <f>(SUMPRODUCT(AG$9:AG$229,Nutrients!$EN$8:$EN$228)+(IF($A$7=Nutrients!$B$8,Nutrients!$EN$8,Nutrients!$EN$9)*AG$7)+(((IF($A$8=Nutrients!$B$79,Nutrients!$EN$79,(IF($A$8=Nutrients!$B$77,Nutrients!$EN$77,Nutrients!$EN$78)))))*AG$8))/2000*1000000</f>
        <v>11</v>
      </c>
      <c r="AH322" s="21">
        <f>(SUMPRODUCT(AH$9:AH$229,Nutrients!$EN$8:$EN$228)+(IF($A$7=Nutrients!$B$8,Nutrients!$EN$8,Nutrients!$EN$9)*AH$7)+(((IF($A$8=Nutrients!$B$79,Nutrients!$EN$79,(IF($A$8=Nutrients!$B$77,Nutrients!$EN$77,Nutrients!$EN$78)))))*AH$8))/2000*1000000</f>
        <v>8.25</v>
      </c>
      <c r="AI322" s="21">
        <f>(SUMPRODUCT(AI$9:AI$229,Nutrients!$EN$8:$EN$228)+(IF($A$7=Nutrients!$B$8,Nutrients!$EN$8,Nutrients!$EN$9)*AI$7)+(((IF($A$8=Nutrients!$B$79,Nutrients!$EN$79,(IF($A$8=Nutrients!$B$77,Nutrients!$EN$77,Nutrients!$EN$78)))))*AI$8))/2000*1000000</f>
        <v>8.25</v>
      </c>
      <c r="AK322" s="21">
        <f>(SUMPRODUCT(AK$9:AK$229,Nutrients!$EN$8:$EN$228)+(IF($A$7=Nutrients!$B$8,Nutrients!$EN$8,Nutrients!$EN$9)*AK$7)+(((IF($A$8=Nutrients!$B$79,Nutrients!$EN$79,(IF($A$8=Nutrients!$B$77,Nutrients!$EN$77,Nutrients!$EN$78)))))*AK$8))/2000*1000000</f>
        <v>16.5</v>
      </c>
      <c r="AL322" s="21">
        <f>(SUMPRODUCT(AL$9:AL$229,Nutrients!$EN$8:$EN$228)+(IF($A$7=Nutrients!$B$8,Nutrients!$EN$8,Nutrients!$EN$9)*AL$7)+(((IF($A$8=Nutrients!$B$79,Nutrients!$EN$79,(IF($A$8=Nutrients!$B$77,Nutrients!$EN$77,Nutrients!$EN$78)))))*AL$8))/2000*1000000</f>
        <v>16.5</v>
      </c>
      <c r="AM322" s="21">
        <f>(SUMPRODUCT(AM$9:AM$229,Nutrients!$EN$8:$EN$228)+(IF($A$7=Nutrients!$B$8,Nutrients!$EN$8,Nutrients!$EN$9)*AM$7)+(((IF($A$8=Nutrients!$B$79,Nutrients!$EN$79,(IF($A$8=Nutrients!$B$77,Nutrients!$EN$77,Nutrients!$EN$78)))))*AM$8))/2000*1000000</f>
        <v>13.749999999999998</v>
      </c>
      <c r="AN322" s="21">
        <f>(SUMPRODUCT(AN$9:AN$229,Nutrients!$EN$8:$EN$228)+(IF($A$7=Nutrients!$B$8,Nutrients!$EN$8,Nutrients!$EN$9)*AN$7)+(((IF($A$8=Nutrients!$B$79,Nutrients!$EN$79,(IF($A$8=Nutrients!$B$77,Nutrients!$EN$77,Nutrients!$EN$78)))))*AN$8))/2000*1000000</f>
        <v>11</v>
      </c>
      <c r="AO322" s="21">
        <f>(SUMPRODUCT(AO$9:AO$229,Nutrients!$EN$8:$EN$228)+(IF($A$7=Nutrients!$B$8,Nutrients!$EN$8,Nutrients!$EN$9)*AO$7)+(((IF($A$8=Nutrients!$B$79,Nutrients!$EN$79,(IF($A$8=Nutrients!$B$77,Nutrients!$EN$77,Nutrients!$EN$78)))))*AO$8))/2000*1000000</f>
        <v>8.25</v>
      </c>
      <c r="AP322" s="21">
        <f>(SUMPRODUCT(AP$9:AP$229,Nutrients!$EN$8:$EN$228)+(IF($A$7=Nutrients!$B$8,Nutrients!$EN$8,Nutrients!$EN$9)*AP$7)+(((IF($A$8=Nutrients!$B$79,Nutrients!$EN$79,(IF($A$8=Nutrients!$B$77,Nutrients!$EN$77,Nutrients!$EN$78)))))*AP$8))/2000*1000000</f>
        <v>8.25</v>
      </c>
      <c r="AR322" s="21">
        <f>(SUMPRODUCT(AR$9:AR$229,Nutrients!$EN$8:$EN$228)+(IF($A$7=Nutrients!$B$8,Nutrients!$EN$8,Nutrients!$EN$9)*AR$7)+(((IF($A$8=Nutrients!$B$79,Nutrients!$EN$79,(IF($A$8=Nutrients!$B$77,Nutrients!$EN$77,Nutrients!$EN$78)))))*AR$8))/2000*1000000</f>
        <v>16.5</v>
      </c>
      <c r="AS322" s="21">
        <f>(SUMPRODUCT(AS$9:AS$229,Nutrients!$EN$8:$EN$228)+(IF($A$7=Nutrients!$B$8,Nutrients!$EN$8,Nutrients!$EN$9)*AS$7)+(((IF($A$8=Nutrients!$B$79,Nutrients!$EN$79,(IF($A$8=Nutrients!$B$77,Nutrients!$EN$77,Nutrients!$EN$78)))))*AS$8))/2000*1000000</f>
        <v>16.5</v>
      </c>
      <c r="AT322" s="21">
        <f>(SUMPRODUCT(AT$9:AT$229,Nutrients!$EN$8:$EN$228)+(IF($A$7=Nutrients!$B$8,Nutrients!$EN$8,Nutrients!$EN$9)*AT$7)+(((IF($A$8=Nutrients!$B$79,Nutrients!$EN$79,(IF($A$8=Nutrients!$B$77,Nutrients!$EN$77,Nutrients!$EN$78)))))*AT$8))/2000*1000000</f>
        <v>13.749999999999998</v>
      </c>
      <c r="AU322" s="21">
        <f>(SUMPRODUCT(AU$9:AU$229,Nutrients!$EN$8:$EN$228)+(IF($A$7=Nutrients!$B$8,Nutrients!$EN$8,Nutrients!$EN$9)*AU$7)+(((IF($A$8=Nutrients!$B$79,Nutrients!$EN$79,(IF($A$8=Nutrients!$B$77,Nutrients!$EN$77,Nutrients!$EN$78)))))*AU$8))/2000*1000000</f>
        <v>11</v>
      </c>
      <c r="AV322" s="21">
        <f>(SUMPRODUCT(AV$9:AV$229,Nutrients!$EN$8:$EN$228)+(IF($A$7=Nutrients!$B$8,Nutrients!$EN$8,Nutrients!$EN$9)*AV$7)+(((IF($A$8=Nutrients!$B$79,Nutrients!$EN$79,(IF($A$8=Nutrients!$B$77,Nutrients!$EN$77,Nutrients!$EN$78)))))*AV$8))/2000*1000000</f>
        <v>8.25</v>
      </c>
      <c r="AW322" s="21">
        <f>(SUMPRODUCT(AW$9:AW$229,Nutrients!$EN$8:$EN$228)+(IF($A$7=Nutrients!$B$8,Nutrients!$EN$8,Nutrients!$EN$9)*AW$7)+(((IF($A$8=Nutrients!$B$79,Nutrients!$EN$79,(IF($A$8=Nutrients!$B$77,Nutrients!$EN$77,Nutrients!$EN$78)))))*AW$8))/2000*1000000</f>
        <v>8.25</v>
      </c>
    </row>
    <row r="323" spans="1:49" x14ac:dyDescent="0.25">
      <c r="A323" s="34" t="s">
        <v>116</v>
      </c>
      <c r="B323" s="23">
        <f>(SUMPRODUCT(B$9:B$229,Nutrients!$EO$8:$EO$228)+(IF($A$7=Nutrients!$B$8,Nutrients!$EO$8,Nutrients!$EO$9)*B$7)+(((IF($A$8=Nutrients!$B$79,Nutrients!$EO$79,(IF($A$8=Nutrients!$B$77,Nutrients!$EO$77,Nutrients!$EO$78)))))*B$8))/2000*1000000</f>
        <v>0.29699999999999999</v>
      </c>
      <c r="C323" s="23">
        <f>(SUMPRODUCT(C$9:C$229,Nutrients!$EO$8:$EO$228)+(IF($A$7=Nutrients!$B$8,Nutrients!$EO$8,Nutrients!$EO$9)*C$7)+(((IF($A$8=Nutrients!$B$79,Nutrients!$EO$79,(IF($A$8=Nutrients!$B$77,Nutrients!$EO$77,Nutrients!$EO$78)))))*C$8))/2000*1000000</f>
        <v>0.29699999999999999</v>
      </c>
      <c r="D323" s="23">
        <f>(SUMPRODUCT(D$9:D$229,Nutrients!$EO$8:$EO$228)+(IF($A$7=Nutrients!$B$8,Nutrients!$EO$8,Nutrients!$EO$9)*D$7)+(((IF($A$8=Nutrients!$B$79,Nutrients!$EO$79,(IF($A$8=Nutrients!$B$77,Nutrients!$EO$77,Nutrients!$EO$78)))))*D$8))/2000*1000000</f>
        <v>0.24750000000000003</v>
      </c>
      <c r="E323" s="23">
        <f>(SUMPRODUCT(E$9:E$229,Nutrients!$EO$8:$EO$228)+(IF($A$7=Nutrients!$B$8,Nutrients!$EO$8,Nutrients!$EO$9)*E$7)+(((IF($A$8=Nutrients!$B$79,Nutrients!$EO$79,(IF($A$8=Nutrients!$B$77,Nutrients!$EO$77,Nutrients!$EO$78)))))*E$8))/2000*1000000</f>
        <v>0.19800000000000001</v>
      </c>
      <c r="F323" s="23">
        <f>(SUMPRODUCT(F$9:F$229,Nutrients!$EO$8:$EO$228)+(IF($A$7=Nutrients!$B$8,Nutrients!$EO$8,Nutrients!$EO$9)*F$7)+(((IF($A$8=Nutrients!$B$79,Nutrients!$EO$79,(IF($A$8=Nutrients!$B$77,Nutrients!$EO$77,Nutrients!$EO$78)))))*F$8))/2000*1000000</f>
        <v>0.14849999999999999</v>
      </c>
      <c r="G323" s="23">
        <f>(SUMPRODUCT(G$9:G$229,Nutrients!$EO$8:$EO$228)+(IF($A$7=Nutrients!$B$8,Nutrients!$EO$8,Nutrients!$EO$9)*G$7)+(((IF($A$8=Nutrients!$B$79,Nutrients!$EO$79,(IF($A$8=Nutrients!$B$77,Nutrients!$EO$77,Nutrients!$EO$78)))))*G$8))/2000*1000000</f>
        <v>0.14849999999999999</v>
      </c>
      <c r="H323" s="227"/>
      <c r="I323" s="23">
        <f>(SUMPRODUCT(I$9:I$229,Nutrients!$EO$8:$EO$228)+(IF($A$7=Nutrients!$B$8,Nutrients!$EO$8,Nutrients!$EO$9)*I$7)+(((IF($A$8=Nutrients!$B$79,Nutrients!$EO$79,(IF($A$8=Nutrients!$B$77,Nutrients!$EO$77,Nutrients!$EO$78)))))*I$8))/2000*1000000</f>
        <v>0.29699999999999999</v>
      </c>
      <c r="J323" s="23">
        <f>(SUMPRODUCT(J$9:J$229,Nutrients!$EO$8:$EO$228)+(IF($A$7=Nutrients!$B$8,Nutrients!$EO$8,Nutrients!$EO$9)*J$7)+(((IF($A$8=Nutrients!$B$79,Nutrients!$EO$79,(IF($A$8=Nutrients!$B$77,Nutrients!$EO$77,Nutrients!$EO$78)))))*J$8))/2000*1000000</f>
        <v>0.29699999999999999</v>
      </c>
      <c r="K323" s="23">
        <f>(SUMPRODUCT(K$9:K$229,Nutrients!$EO$8:$EO$228)+(IF($A$7=Nutrients!$B$8,Nutrients!$EO$8,Nutrients!$EO$9)*K$7)+(((IF($A$8=Nutrients!$B$79,Nutrients!$EO$79,(IF($A$8=Nutrients!$B$77,Nutrients!$EO$77,Nutrients!$EO$78)))))*K$8))/2000*1000000</f>
        <v>0.24750000000000003</v>
      </c>
      <c r="L323" s="23">
        <f>(SUMPRODUCT(L$9:L$229,Nutrients!$EO$8:$EO$228)+(IF($A$7=Nutrients!$B$8,Nutrients!$EO$8,Nutrients!$EO$9)*L$7)+(((IF($A$8=Nutrients!$B$79,Nutrients!$EO$79,(IF($A$8=Nutrients!$B$77,Nutrients!$EO$77,Nutrients!$EO$78)))))*L$8))/2000*1000000</f>
        <v>0.19800000000000001</v>
      </c>
      <c r="M323" s="23">
        <f>(SUMPRODUCT(M$9:M$229,Nutrients!$EO$8:$EO$228)+(IF($A$7=Nutrients!$B$8,Nutrients!$EO$8,Nutrients!$EO$9)*M$7)+(((IF($A$8=Nutrients!$B$79,Nutrients!$EO$79,(IF($A$8=Nutrients!$B$77,Nutrients!$EO$77,Nutrients!$EO$78)))))*M$8))/2000*1000000</f>
        <v>0.14849999999999999</v>
      </c>
      <c r="N323" s="23">
        <f>(SUMPRODUCT(N$9:N$229,Nutrients!$EO$8:$EO$228)+(IF($A$7=Nutrients!$B$8,Nutrients!$EO$8,Nutrients!$EO$9)*N$7)+(((IF($A$8=Nutrients!$B$79,Nutrients!$EO$79,(IF($A$8=Nutrients!$B$77,Nutrients!$EO$77,Nutrients!$EO$78)))))*N$8))/2000*1000000</f>
        <v>0.14849999999999999</v>
      </c>
      <c r="O323" s="198"/>
      <c r="P323" s="23">
        <f>(SUMPRODUCT(P$9:P$229,Nutrients!$EO$8:$EO$228)+(IF($A$7=Nutrients!$B$8,Nutrients!$EO$8,Nutrients!$EO$9)*P$7)+(((IF($A$8=Nutrients!$B$79,Nutrients!$EO$79,(IF($A$8=Nutrients!$B$77,Nutrients!$EO$77,Nutrients!$EO$78)))))*P$8))/2000*1000000</f>
        <v>0.29699999999999999</v>
      </c>
      <c r="Q323" s="23">
        <f>(SUMPRODUCT(Q$9:Q$229,Nutrients!$EO$8:$EO$228)+(IF($A$7=Nutrients!$B$8,Nutrients!$EO$8,Nutrients!$EO$9)*Q$7)+(((IF($A$8=Nutrients!$B$79,Nutrients!$EO$79,(IF($A$8=Nutrients!$B$77,Nutrients!$EO$77,Nutrients!$EO$78)))))*Q$8))/2000*1000000</f>
        <v>0.29699999999999999</v>
      </c>
      <c r="R323" s="23">
        <f>(SUMPRODUCT(R$9:R$229,Nutrients!$EO$8:$EO$228)+(IF($A$7=Nutrients!$B$8,Nutrients!$EO$8,Nutrients!$EO$9)*R$7)+(((IF($A$8=Nutrients!$B$79,Nutrients!$EO$79,(IF($A$8=Nutrients!$B$77,Nutrients!$EO$77,Nutrients!$EO$78)))))*R$8))/2000*1000000</f>
        <v>0.24750000000000003</v>
      </c>
      <c r="S323" s="23">
        <f>(SUMPRODUCT(S$9:S$229,Nutrients!$EO$8:$EO$228)+(IF($A$7=Nutrients!$B$8,Nutrients!$EO$8,Nutrients!$EO$9)*S$7)+(((IF($A$8=Nutrients!$B$79,Nutrients!$EO$79,(IF($A$8=Nutrients!$B$77,Nutrients!$EO$77,Nutrients!$EO$78)))))*S$8))/2000*1000000</f>
        <v>0.19800000000000001</v>
      </c>
      <c r="T323" s="23">
        <f>(SUMPRODUCT(T$9:T$229,Nutrients!$EO$8:$EO$228)+(IF($A$7=Nutrients!$B$8,Nutrients!$EO$8,Nutrients!$EO$9)*T$7)+(((IF($A$8=Nutrients!$B$79,Nutrients!$EO$79,(IF($A$8=Nutrients!$B$77,Nutrients!$EO$77,Nutrients!$EO$78)))))*T$8))/2000*1000000</f>
        <v>0.14849999999999999</v>
      </c>
      <c r="U323" s="23">
        <f>(SUMPRODUCT(U$9:U$229,Nutrients!$EO$8:$EO$228)+(IF($A$7=Nutrients!$B$8,Nutrients!$EO$8,Nutrients!$EO$9)*U$7)+(((IF($A$8=Nutrients!$B$79,Nutrients!$EO$79,(IF($A$8=Nutrients!$B$77,Nutrients!$EO$77,Nutrients!$EO$78)))))*U$8))/2000*1000000</f>
        <v>0.14849999999999999</v>
      </c>
      <c r="W323" s="23">
        <f>(SUMPRODUCT(W$9:W$229,Nutrients!$EO$8:$EO$228)+(IF($A$7=Nutrients!$B$8,Nutrients!$EO$8,Nutrients!$EO$9)*W$7)+(((IF($A$8=Nutrients!$B$79,Nutrients!$EO$79,(IF($A$8=Nutrients!$B$77,Nutrients!$EO$77,Nutrients!$EO$78)))))*W$8))/2000*1000000</f>
        <v>0.29699999999999999</v>
      </c>
      <c r="X323" s="23">
        <f>(SUMPRODUCT(X$9:X$229,Nutrients!$EO$8:$EO$228)+(IF($A$7=Nutrients!$B$8,Nutrients!$EO$8,Nutrients!$EO$9)*X$7)+(((IF($A$8=Nutrients!$B$79,Nutrients!$EO$79,(IF($A$8=Nutrients!$B$77,Nutrients!$EO$77,Nutrients!$EO$78)))))*X$8))/2000*1000000</f>
        <v>0.29699999999999999</v>
      </c>
      <c r="Y323" s="23">
        <f>(SUMPRODUCT(Y$9:Y$229,Nutrients!$EO$8:$EO$228)+(IF($A$7=Nutrients!$B$8,Nutrients!$EO$8,Nutrients!$EO$9)*Y$7)+(((IF($A$8=Nutrients!$B$79,Nutrients!$EO$79,(IF($A$8=Nutrients!$B$77,Nutrients!$EO$77,Nutrients!$EO$78)))))*Y$8))/2000*1000000</f>
        <v>0.24750000000000003</v>
      </c>
      <c r="Z323" s="23">
        <f>(SUMPRODUCT(Z$9:Z$229,Nutrients!$EO$8:$EO$228)+(IF($A$7=Nutrients!$B$8,Nutrients!$EO$8,Nutrients!$EO$9)*Z$7)+(((IF($A$8=Nutrients!$B$79,Nutrients!$EO$79,(IF($A$8=Nutrients!$B$77,Nutrients!$EO$77,Nutrients!$EO$78)))))*Z$8))/2000*1000000</f>
        <v>0.19800000000000001</v>
      </c>
      <c r="AA323" s="23">
        <f>(SUMPRODUCT(AA$9:AA$229,Nutrients!$EO$8:$EO$228)+(IF($A$7=Nutrients!$B$8,Nutrients!$EO$8,Nutrients!$EO$9)*AA$7)+(((IF($A$8=Nutrients!$B$79,Nutrients!$EO$79,(IF($A$8=Nutrients!$B$77,Nutrients!$EO$77,Nutrients!$EO$78)))))*AA$8))/2000*1000000</f>
        <v>0.14849999999999999</v>
      </c>
      <c r="AB323" s="23">
        <f>(SUMPRODUCT(AB$9:AB$229,Nutrients!$EO$8:$EO$228)+(IF($A$7=Nutrients!$B$8,Nutrients!$EO$8,Nutrients!$EO$9)*AB$7)+(((IF($A$8=Nutrients!$B$79,Nutrients!$EO$79,(IF($A$8=Nutrients!$B$77,Nutrients!$EO$77,Nutrients!$EO$78)))))*AB$8))/2000*1000000</f>
        <v>0.14849999999999999</v>
      </c>
      <c r="AD323" s="23">
        <f>(SUMPRODUCT(AD$9:AD$229,Nutrients!$EO$8:$EO$228)+(IF($A$7=Nutrients!$B$8,Nutrients!$EO$8,Nutrients!$EO$9)*AD$7)+(((IF($A$8=Nutrients!$B$79,Nutrients!$EO$79,(IF($A$8=Nutrients!$B$77,Nutrients!$EO$77,Nutrients!$EO$78)))))*AD$8))/2000*1000000</f>
        <v>0.29699999999999999</v>
      </c>
      <c r="AE323" s="23">
        <f>(SUMPRODUCT(AE$9:AE$229,Nutrients!$EO$8:$EO$228)+(IF($A$7=Nutrients!$B$8,Nutrients!$EO$8,Nutrients!$EO$9)*AE$7)+(((IF($A$8=Nutrients!$B$79,Nutrients!$EO$79,(IF($A$8=Nutrients!$B$77,Nutrients!$EO$77,Nutrients!$EO$78)))))*AE$8))/2000*1000000</f>
        <v>0.29699999999999999</v>
      </c>
      <c r="AF323" s="23">
        <f>(SUMPRODUCT(AF$9:AF$229,Nutrients!$EO$8:$EO$228)+(IF($A$7=Nutrients!$B$8,Nutrients!$EO$8,Nutrients!$EO$9)*AF$7)+(((IF($A$8=Nutrients!$B$79,Nutrients!$EO$79,(IF($A$8=Nutrients!$B$77,Nutrients!$EO$77,Nutrients!$EO$78)))))*AF$8))/2000*1000000</f>
        <v>0.24750000000000003</v>
      </c>
      <c r="AG323" s="23">
        <f>(SUMPRODUCT(AG$9:AG$229,Nutrients!$EO$8:$EO$228)+(IF($A$7=Nutrients!$B$8,Nutrients!$EO$8,Nutrients!$EO$9)*AG$7)+(((IF($A$8=Nutrients!$B$79,Nutrients!$EO$79,(IF($A$8=Nutrients!$B$77,Nutrients!$EO$77,Nutrients!$EO$78)))))*AG$8))/2000*1000000</f>
        <v>0.19800000000000001</v>
      </c>
      <c r="AH323" s="23">
        <f>(SUMPRODUCT(AH$9:AH$229,Nutrients!$EO$8:$EO$228)+(IF($A$7=Nutrients!$B$8,Nutrients!$EO$8,Nutrients!$EO$9)*AH$7)+(((IF($A$8=Nutrients!$B$79,Nutrients!$EO$79,(IF($A$8=Nutrients!$B$77,Nutrients!$EO$77,Nutrients!$EO$78)))))*AH$8))/2000*1000000</f>
        <v>0.14849999999999999</v>
      </c>
      <c r="AI323" s="23">
        <f>(SUMPRODUCT(AI$9:AI$229,Nutrients!$EO$8:$EO$228)+(IF($A$7=Nutrients!$B$8,Nutrients!$EO$8,Nutrients!$EO$9)*AI$7)+(((IF($A$8=Nutrients!$B$79,Nutrients!$EO$79,(IF($A$8=Nutrients!$B$77,Nutrients!$EO$77,Nutrients!$EO$78)))))*AI$8))/2000*1000000</f>
        <v>0.14849999999999999</v>
      </c>
      <c r="AK323" s="23">
        <f>(SUMPRODUCT(AK$9:AK$229,Nutrients!$EO$8:$EO$228)+(IF($A$7=Nutrients!$B$8,Nutrients!$EO$8,Nutrients!$EO$9)*AK$7)+(((IF($A$8=Nutrients!$B$79,Nutrients!$EO$79,(IF($A$8=Nutrients!$B$77,Nutrients!$EO$77,Nutrients!$EO$78)))))*AK$8))/2000*1000000</f>
        <v>0.29699999999999999</v>
      </c>
      <c r="AL323" s="23">
        <f>(SUMPRODUCT(AL$9:AL$229,Nutrients!$EO$8:$EO$228)+(IF($A$7=Nutrients!$B$8,Nutrients!$EO$8,Nutrients!$EO$9)*AL$7)+(((IF($A$8=Nutrients!$B$79,Nutrients!$EO$79,(IF($A$8=Nutrients!$B$77,Nutrients!$EO$77,Nutrients!$EO$78)))))*AL$8))/2000*1000000</f>
        <v>0.29699999999999999</v>
      </c>
      <c r="AM323" s="23">
        <f>(SUMPRODUCT(AM$9:AM$229,Nutrients!$EO$8:$EO$228)+(IF($A$7=Nutrients!$B$8,Nutrients!$EO$8,Nutrients!$EO$9)*AM$7)+(((IF($A$8=Nutrients!$B$79,Nutrients!$EO$79,(IF($A$8=Nutrients!$B$77,Nutrients!$EO$77,Nutrients!$EO$78)))))*AM$8))/2000*1000000</f>
        <v>0.24750000000000003</v>
      </c>
      <c r="AN323" s="23">
        <f>(SUMPRODUCT(AN$9:AN$229,Nutrients!$EO$8:$EO$228)+(IF($A$7=Nutrients!$B$8,Nutrients!$EO$8,Nutrients!$EO$9)*AN$7)+(((IF($A$8=Nutrients!$B$79,Nutrients!$EO$79,(IF($A$8=Nutrients!$B$77,Nutrients!$EO$77,Nutrients!$EO$78)))))*AN$8))/2000*1000000</f>
        <v>0.19800000000000001</v>
      </c>
      <c r="AO323" s="23">
        <f>(SUMPRODUCT(AO$9:AO$229,Nutrients!$EO$8:$EO$228)+(IF($A$7=Nutrients!$B$8,Nutrients!$EO$8,Nutrients!$EO$9)*AO$7)+(((IF($A$8=Nutrients!$B$79,Nutrients!$EO$79,(IF($A$8=Nutrients!$B$77,Nutrients!$EO$77,Nutrients!$EO$78)))))*AO$8))/2000*1000000</f>
        <v>0.14849999999999999</v>
      </c>
      <c r="AP323" s="23">
        <f>(SUMPRODUCT(AP$9:AP$229,Nutrients!$EO$8:$EO$228)+(IF($A$7=Nutrients!$B$8,Nutrients!$EO$8,Nutrients!$EO$9)*AP$7)+(((IF($A$8=Nutrients!$B$79,Nutrients!$EO$79,(IF($A$8=Nutrients!$B$77,Nutrients!$EO$77,Nutrients!$EO$78)))))*AP$8))/2000*1000000</f>
        <v>0.14849999999999999</v>
      </c>
      <c r="AR323" s="23">
        <f>(SUMPRODUCT(AR$9:AR$229,Nutrients!$EO$8:$EO$228)+(IF($A$7=Nutrients!$B$8,Nutrients!$EO$8,Nutrients!$EO$9)*AR$7)+(((IF($A$8=Nutrients!$B$79,Nutrients!$EO$79,(IF($A$8=Nutrients!$B$77,Nutrients!$EO$77,Nutrients!$EO$78)))))*AR$8))/2000*1000000</f>
        <v>0.29699999999999999</v>
      </c>
      <c r="AS323" s="23">
        <f>(SUMPRODUCT(AS$9:AS$229,Nutrients!$EO$8:$EO$228)+(IF($A$7=Nutrients!$B$8,Nutrients!$EO$8,Nutrients!$EO$9)*AS$7)+(((IF($A$8=Nutrients!$B$79,Nutrients!$EO$79,(IF($A$8=Nutrients!$B$77,Nutrients!$EO$77,Nutrients!$EO$78)))))*AS$8))/2000*1000000</f>
        <v>0.29699999999999999</v>
      </c>
      <c r="AT323" s="23">
        <f>(SUMPRODUCT(AT$9:AT$229,Nutrients!$EO$8:$EO$228)+(IF($A$7=Nutrients!$B$8,Nutrients!$EO$8,Nutrients!$EO$9)*AT$7)+(((IF($A$8=Nutrients!$B$79,Nutrients!$EO$79,(IF($A$8=Nutrients!$B$77,Nutrients!$EO$77,Nutrients!$EO$78)))))*AT$8))/2000*1000000</f>
        <v>0.24750000000000003</v>
      </c>
      <c r="AU323" s="23">
        <f>(SUMPRODUCT(AU$9:AU$229,Nutrients!$EO$8:$EO$228)+(IF($A$7=Nutrients!$B$8,Nutrients!$EO$8,Nutrients!$EO$9)*AU$7)+(((IF($A$8=Nutrients!$B$79,Nutrients!$EO$79,(IF($A$8=Nutrients!$B$77,Nutrients!$EO$77,Nutrients!$EO$78)))))*AU$8))/2000*1000000</f>
        <v>0.19800000000000001</v>
      </c>
      <c r="AV323" s="23">
        <f>(SUMPRODUCT(AV$9:AV$229,Nutrients!$EO$8:$EO$228)+(IF($A$7=Nutrients!$B$8,Nutrients!$EO$8,Nutrients!$EO$9)*AV$7)+(((IF($A$8=Nutrients!$B$79,Nutrients!$EO$79,(IF($A$8=Nutrients!$B$77,Nutrients!$EO$77,Nutrients!$EO$78)))))*AV$8))/2000*1000000</f>
        <v>0.14849999999999999</v>
      </c>
      <c r="AW323" s="23">
        <f>(SUMPRODUCT(AW$9:AW$229,Nutrients!$EO$8:$EO$228)+(IF($A$7=Nutrients!$B$8,Nutrients!$EO$8,Nutrients!$EO$9)*AW$7)+(((IF($A$8=Nutrients!$B$79,Nutrients!$EO$79,(IF($A$8=Nutrients!$B$77,Nutrients!$EO$77,Nutrients!$EO$78)))))*AW$8))/2000*1000000</f>
        <v>0.14849999999999999</v>
      </c>
    </row>
    <row r="324" spans="1:49" x14ac:dyDescent="0.25">
      <c r="A324" s="34" t="s">
        <v>117</v>
      </c>
      <c r="B324" s="23">
        <f>(SUMPRODUCT(B$9:B$229,Nutrients!$EP$8:$EP$228)+(IF($A$7=Nutrients!$B$8,Nutrients!$EP$8,Nutrients!$EP$9)*B$7)+(((IF($A$8=Nutrients!$B$79,Nutrients!$EP$79,(IF($A$8=Nutrients!$B$77,Nutrients!$EP$77,Nutrients!$EP$78)))))*B$8))/2000*1000000</f>
        <v>0.29699999999999999</v>
      </c>
      <c r="C324" s="23">
        <f>(SUMPRODUCT(C$9:C$229,Nutrients!$EP$8:$EP$228)+(IF($A$7=Nutrients!$B$8,Nutrients!$EP$8,Nutrients!$EP$9)*C$7)+(((IF($A$8=Nutrients!$B$79,Nutrients!$EP$79,(IF($A$8=Nutrients!$B$77,Nutrients!$EP$77,Nutrients!$EP$78)))))*C$8))/2000*1000000</f>
        <v>0.29699999999999999</v>
      </c>
      <c r="D324" s="23">
        <f>(SUMPRODUCT(D$9:D$229,Nutrients!$EP$8:$EP$228)+(IF($A$7=Nutrients!$B$8,Nutrients!$EP$8,Nutrients!$EP$9)*D$7)+(((IF($A$8=Nutrients!$B$79,Nutrients!$EP$79,(IF($A$8=Nutrients!$B$77,Nutrients!$EP$77,Nutrients!$EP$78)))))*D$8))/2000*1000000</f>
        <v>0.24750000000000003</v>
      </c>
      <c r="E324" s="23">
        <f>(SUMPRODUCT(E$9:E$229,Nutrients!$EP$8:$EP$228)+(IF($A$7=Nutrients!$B$8,Nutrients!$EP$8,Nutrients!$EP$9)*E$7)+(((IF($A$8=Nutrients!$B$79,Nutrients!$EP$79,(IF($A$8=Nutrients!$B$77,Nutrients!$EP$77,Nutrients!$EP$78)))))*E$8))/2000*1000000</f>
        <v>0.19800000000000001</v>
      </c>
      <c r="F324" s="23">
        <f>(SUMPRODUCT(F$9:F$229,Nutrients!$EP$8:$EP$228)+(IF($A$7=Nutrients!$B$8,Nutrients!$EP$8,Nutrients!$EP$9)*F$7)+(((IF($A$8=Nutrients!$B$79,Nutrients!$EP$79,(IF($A$8=Nutrients!$B$77,Nutrients!$EP$77,Nutrients!$EP$78)))))*F$8))/2000*1000000</f>
        <v>0.14849999999999999</v>
      </c>
      <c r="G324" s="23">
        <f>(SUMPRODUCT(G$9:G$229,Nutrients!$EP$8:$EP$228)+(IF($A$7=Nutrients!$B$8,Nutrients!$EP$8,Nutrients!$EP$9)*G$7)+(((IF($A$8=Nutrients!$B$79,Nutrients!$EP$79,(IF($A$8=Nutrients!$B$77,Nutrients!$EP$77,Nutrients!$EP$78)))))*G$8))/2000*1000000</f>
        <v>0.14849999999999999</v>
      </c>
      <c r="H324" s="227"/>
      <c r="I324" s="23">
        <f>(SUMPRODUCT(I$9:I$229,Nutrients!$EP$8:$EP$228)+(IF($A$7=Nutrients!$B$8,Nutrients!$EP$8,Nutrients!$EP$9)*I$7)+(((IF($A$8=Nutrients!$B$79,Nutrients!$EP$79,(IF($A$8=Nutrients!$B$77,Nutrients!$EP$77,Nutrients!$EP$78)))))*I$8))/2000*1000000</f>
        <v>0.29699999999999999</v>
      </c>
      <c r="J324" s="23">
        <f>(SUMPRODUCT(J$9:J$229,Nutrients!$EP$8:$EP$228)+(IF($A$7=Nutrients!$B$8,Nutrients!$EP$8,Nutrients!$EP$9)*J$7)+(((IF($A$8=Nutrients!$B$79,Nutrients!$EP$79,(IF($A$8=Nutrients!$B$77,Nutrients!$EP$77,Nutrients!$EP$78)))))*J$8))/2000*1000000</f>
        <v>0.29699999999999999</v>
      </c>
      <c r="K324" s="23">
        <f>(SUMPRODUCT(K$9:K$229,Nutrients!$EP$8:$EP$228)+(IF($A$7=Nutrients!$B$8,Nutrients!$EP$8,Nutrients!$EP$9)*K$7)+(((IF($A$8=Nutrients!$B$79,Nutrients!$EP$79,(IF($A$8=Nutrients!$B$77,Nutrients!$EP$77,Nutrients!$EP$78)))))*K$8))/2000*1000000</f>
        <v>0.24750000000000003</v>
      </c>
      <c r="L324" s="23">
        <f>(SUMPRODUCT(L$9:L$229,Nutrients!$EP$8:$EP$228)+(IF($A$7=Nutrients!$B$8,Nutrients!$EP$8,Nutrients!$EP$9)*L$7)+(((IF($A$8=Nutrients!$B$79,Nutrients!$EP$79,(IF($A$8=Nutrients!$B$77,Nutrients!$EP$77,Nutrients!$EP$78)))))*L$8))/2000*1000000</f>
        <v>0.19800000000000001</v>
      </c>
      <c r="M324" s="23">
        <f>(SUMPRODUCT(M$9:M$229,Nutrients!$EP$8:$EP$228)+(IF($A$7=Nutrients!$B$8,Nutrients!$EP$8,Nutrients!$EP$9)*M$7)+(((IF($A$8=Nutrients!$B$79,Nutrients!$EP$79,(IF($A$8=Nutrients!$B$77,Nutrients!$EP$77,Nutrients!$EP$78)))))*M$8))/2000*1000000</f>
        <v>0.14849999999999999</v>
      </c>
      <c r="N324" s="23">
        <f>(SUMPRODUCT(N$9:N$229,Nutrients!$EP$8:$EP$228)+(IF($A$7=Nutrients!$B$8,Nutrients!$EP$8,Nutrients!$EP$9)*N$7)+(((IF($A$8=Nutrients!$B$79,Nutrients!$EP$79,(IF($A$8=Nutrients!$B$77,Nutrients!$EP$77,Nutrients!$EP$78)))))*N$8))/2000*1000000</f>
        <v>0.14849999999999999</v>
      </c>
      <c r="O324" s="198"/>
      <c r="P324" s="23">
        <f>(SUMPRODUCT(P$9:P$229,Nutrients!$EP$8:$EP$228)+(IF($A$7=Nutrients!$B$8,Nutrients!$EP$8,Nutrients!$EP$9)*P$7)+(((IF($A$8=Nutrients!$B$79,Nutrients!$EP$79,(IF($A$8=Nutrients!$B$77,Nutrients!$EP$77,Nutrients!$EP$78)))))*P$8))/2000*1000000</f>
        <v>0.29699999999999999</v>
      </c>
      <c r="Q324" s="23">
        <f>(SUMPRODUCT(Q$9:Q$229,Nutrients!$EP$8:$EP$228)+(IF($A$7=Nutrients!$B$8,Nutrients!$EP$8,Nutrients!$EP$9)*Q$7)+(((IF($A$8=Nutrients!$B$79,Nutrients!$EP$79,(IF($A$8=Nutrients!$B$77,Nutrients!$EP$77,Nutrients!$EP$78)))))*Q$8))/2000*1000000</f>
        <v>0.29699999999999999</v>
      </c>
      <c r="R324" s="23">
        <f>(SUMPRODUCT(R$9:R$229,Nutrients!$EP$8:$EP$228)+(IF($A$7=Nutrients!$B$8,Nutrients!$EP$8,Nutrients!$EP$9)*R$7)+(((IF($A$8=Nutrients!$B$79,Nutrients!$EP$79,(IF($A$8=Nutrients!$B$77,Nutrients!$EP$77,Nutrients!$EP$78)))))*R$8))/2000*1000000</f>
        <v>0.24750000000000003</v>
      </c>
      <c r="S324" s="23">
        <f>(SUMPRODUCT(S$9:S$229,Nutrients!$EP$8:$EP$228)+(IF($A$7=Nutrients!$B$8,Nutrients!$EP$8,Nutrients!$EP$9)*S$7)+(((IF($A$8=Nutrients!$B$79,Nutrients!$EP$79,(IF($A$8=Nutrients!$B$77,Nutrients!$EP$77,Nutrients!$EP$78)))))*S$8))/2000*1000000</f>
        <v>0.19800000000000001</v>
      </c>
      <c r="T324" s="23">
        <f>(SUMPRODUCT(T$9:T$229,Nutrients!$EP$8:$EP$228)+(IF($A$7=Nutrients!$B$8,Nutrients!$EP$8,Nutrients!$EP$9)*T$7)+(((IF($A$8=Nutrients!$B$79,Nutrients!$EP$79,(IF($A$8=Nutrients!$B$77,Nutrients!$EP$77,Nutrients!$EP$78)))))*T$8))/2000*1000000</f>
        <v>0.14849999999999999</v>
      </c>
      <c r="U324" s="23">
        <f>(SUMPRODUCT(U$9:U$229,Nutrients!$EP$8:$EP$228)+(IF($A$7=Nutrients!$B$8,Nutrients!$EP$8,Nutrients!$EP$9)*U$7)+(((IF($A$8=Nutrients!$B$79,Nutrients!$EP$79,(IF($A$8=Nutrients!$B$77,Nutrients!$EP$77,Nutrients!$EP$78)))))*U$8))/2000*1000000</f>
        <v>0.14849999999999999</v>
      </c>
      <c r="W324" s="23">
        <f>(SUMPRODUCT(W$9:W$229,Nutrients!$EP$8:$EP$228)+(IF($A$7=Nutrients!$B$8,Nutrients!$EP$8,Nutrients!$EP$9)*W$7)+(((IF($A$8=Nutrients!$B$79,Nutrients!$EP$79,(IF($A$8=Nutrients!$B$77,Nutrients!$EP$77,Nutrients!$EP$78)))))*W$8))/2000*1000000</f>
        <v>0.29699999999999999</v>
      </c>
      <c r="X324" s="23">
        <f>(SUMPRODUCT(X$9:X$229,Nutrients!$EP$8:$EP$228)+(IF($A$7=Nutrients!$B$8,Nutrients!$EP$8,Nutrients!$EP$9)*X$7)+(((IF($A$8=Nutrients!$B$79,Nutrients!$EP$79,(IF($A$8=Nutrients!$B$77,Nutrients!$EP$77,Nutrients!$EP$78)))))*X$8))/2000*1000000</f>
        <v>0.29699999999999999</v>
      </c>
      <c r="Y324" s="23">
        <f>(SUMPRODUCT(Y$9:Y$229,Nutrients!$EP$8:$EP$228)+(IF($A$7=Nutrients!$B$8,Nutrients!$EP$8,Nutrients!$EP$9)*Y$7)+(((IF($A$8=Nutrients!$B$79,Nutrients!$EP$79,(IF($A$8=Nutrients!$B$77,Nutrients!$EP$77,Nutrients!$EP$78)))))*Y$8))/2000*1000000</f>
        <v>0.24750000000000003</v>
      </c>
      <c r="Z324" s="23">
        <f>(SUMPRODUCT(Z$9:Z$229,Nutrients!$EP$8:$EP$228)+(IF($A$7=Nutrients!$B$8,Nutrients!$EP$8,Nutrients!$EP$9)*Z$7)+(((IF($A$8=Nutrients!$B$79,Nutrients!$EP$79,(IF($A$8=Nutrients!$B$77,Nutrients!$EP$77,Nutrients!$EP$78)))))*Z$8))/2000*1000000</f>
        <v>0.19800000000000001</v>
      </c>
      <c r="AA324" s="23">
        <f>(SUMPRODUCT(AA$9:AA$229,Nutrients!$EP$8:$EP$228)+(IF($A$7=Nutrients!$B$8,Nutrients!$EP$8,Nutrients!$EP$9)*AA$7)+(((IF($A$8=Nutrients!$B$79,Nutrients!$EP$79,(IF($A$8=Nutrients!$B$77,Nutrients!$EP$77,Nutrients!$EP$78)))))*AA$8))/2000*1000000</f>
        <v>0.14849999999999999</v>
      </c>
      <c r="AB324" s="23">
        <f>(SUMPRODUCT(AB$9:AB$229,Nutrients!$EP$8:$EP$228)+(IF($A$7=Nutrients!$B$8,Nutrients!$EP$8,Nutrients!$EP$9)*AB$7)+(((IF($A$8=Nutrients!$B$79,Nutrients!$EP$79,(IF($A$8=Nutrients!$B$77,Nutrients!$EP$77,Nutrients!$EP$78)))))*AB$8))/2000*1000000</f>
        <v>0.14849999999999999</v>
      </c>
      <c r="AD324" s="23">
        <f>(SUMPRODUCT(AD$9:AD$229,Nutrients!$EP$8:$EP$228)+(IF($A$7=Nutrients!$B$8,Nutrients!$EP$8,Nutrients!$EP$9)*AD$7)+(((IF($A$8=Nutrients!$B$79,Nutrients!$EP$79,(IF($A$8=Nutrients!$B$77,Nutrients!$EP$77,Nutrients!$EP$78)))))*AD$8))/2000*1000000</f>
        <v>0.29699999999999999</v>
      </c>
      <c r="AE324" s="23">
        <f>(SUMPRODUCT(AE$9:AE$229,Nutrients!$EP$8:$EP$228)+(IF($A$7=Nutrients!$B$8,Nutrients!$EP$8,Nutrients!$EP$9)*AE$7)+(((IF($A$8=Nutrients!$B$79,Nutrients!$EP$79,(IF($A$8=Nutrients!$B$77,Nutrients!$EP$77,Nutrients!$EP$78)))))*AE$8))/2000*1000000</f>
        <v>0.29699999999999999</v>
      </c>
      <c r="AF324" s="23">
        <f>(SUMPRODUCT(AF$9:AF$229,Nutrients!$EP$8:$EP$228)+(IF($A$7=Nutrients!$B$8,Nutrients!$EP$8,Nutrients!$EP$9)*AF$7)+(((IF($A$8=Nutrients!$B$79,Nutrients!$EP$79,(IF($A$8=Nutrients!$B$77,Nutrients!$EP$77,Nutrients!$EP$78)))))*AF$8))/2000*1000000</f>
        <v>0.24750000000000003</v>
      </c>
      <c r="AG324" s="23">
        <f>(SUMPRODUCT(AG$9:AG$229,Nutrients!$EP$8:$EP$228)+(IF($A$7=Nutrients!$B$8,Nutrients!$EP$8,Nutrients!$EP$9)*AG$7)+(((IF($A$8=Nutrients!$B$79,Nutrients!$EP$79,(IF($A$8=Nutrients!$B$77,Nutrients!$EP$77,Nutrients!$EP$78)))))*AG$8))/2000*1000000</f>
        <v>0.19800000000000001</v>
      </c>
      <c r="AH324" s="23">
        <f>(SUMPRODUCT(AH$9:AH$229,Nutrients!$EP$8:$EP$228)+(IF($A$7=Nutrients!$B$8,Nutrients!$EP$8,Nutrients!$EP$9)*AH$7)+(((IF($A$8=Nutrients!$B$79,Nutrients!$EP$79,(IF($A$8=Nutrients!$B$77,Nutrients!$EP$77,Nutrients!$EP$78)))))*AH$8))/2000*1000000</f>
        <v>0.14849999999999999</v>
      </c>
      <c r="AI324" s="23">
        <f>(SUMPRODUCT(AI$9:AI$229,Nutrients!$EP$8:$EP$228)+(IF($A$7=Nutrients!$B$8,Nutrients!$EP$8,Nutrients!$EP$9)*AI$7)+(((IF($A$8=Nutrients!$B$79,Nutrients!$EP$79,(IF($A$8=Nutrients!$B$77,Nutrients!$EP$77,Nutrients!$EP$78)))))*AI$8))/2000*1000000</f>
        <v>0.14849999999999999</v>
      </c>
      <c r="AK324" s="23">
        <f>(SUMPRODUCT(AK$9:AK$229,Nutrients!$EP$8:$EP$228)+(IF($A$7=Nutrients!$B$8,Nutrients!$EP$8,Nutrients!$EP$9)*AK$7)+(((IF($A$8=Nutrients!$B$79,Nutrients!$EP$79,(IF($A$8=Nutrients!$B$77,Nutrients!$EP$77,Nutrients!$EP$78)))))*AK$8))/2000*1000000</f>
        <v>0.29699999999999999</v>
      </c>
      <c r="AL324" s="23">
        <f>(SUMPRODUCT(AL$9:AL$229,Nutrients!$EP$8:$EP$228)+(IF($A$7=Nutrients!$B$8,Nutrients!$EP$8,Nutrients!$EP$9)*AL$7)+(((IF($A$8=Nutrients!$B$79,Nutrients!$EP$79,(IF($A$8=Nutrients!$B$77,Nutrients!$EP$77,Nutrients!$EP$78)))))*AL$8))/2000*1000000</f>
        <v>0.29699999999999999</v>
      </c>
      <c r="AM324" s="23">
        <f>(SUMPRODUCT(AM$9:AM$229,Nutrients!$EP$8:$EP$228)+(IF($A$7=Nutrients!$B$8,Nutrients!$EP$8,Nutrients!$EP$9)*AM$7)+(((IF($A$8=Nutrients!$B$79,Nutrients!$EP$79,(IF($A$8=Nutrients!$B$77,Nutrients!$EP$77,Nutrients!$EP$78)))))*AM$8))/2000*1000000</f>
        <v>0.24750000000000003</v>
      </c>
      <c r="AN324" s="23">
        <f>(SUMPRODUCT(AN$9:AN$229,Nutrients!$EP$8:$EP$228)+(IF($A$7=Nutrients!$B$8,Nutrients!$EP$8,Nutrients!$EP$9)*AN$7)+(((IF($A$8=Nutrients!$B$79,Nutrients!$EP$79,(IF($A$8=Nutrients!$B$77,Nutrients!$EP$77,Nutrients!$EP$78)))))*AN$8))/2000*1000000</f>
        <v>0.19800000000000001</v>
      </c>
      <c r="AO324" s="23">
        <f>(SUMPRODUCT(AO$9:AO$229,Nutrients!$EP$8:$EP$228)+(IF($A$7=Nutrients!$B$8,Nutrients!$EP$8,Nutrients!$EP$9)*AO$7)+(((IF($A$8=Nutrients!$B$79,Nutrients!$EP$79,(IF($A$8=Nutrients!$B$77,Nutrients!$EP$77,Nutrients!$EP$78)))))*AO$8))/2000*1000000</f>
        <v>0.14849999999999999</v>
      </c>
      <c r="AP324" s="23">
        <f>(SUMPRODUCT(AP$9:AP$229,Nutrients!$EP$8:$EP$228)+(IF($A$7=Nutrients!$B$8,Nutrients!$EP$8,Nutrients!$EP$9)*AP$7)+(((IF($A$8=Nutrients!$B$79,Nutrients!$EP$79,(IF($A$8=Nutrients!$B$77,Nutrients!$EP$77,Nutrients!$EP$78)))))*AP$8))/2000*1000000</f>
        <v>0.14849999999999999</v>
      </c>
      <c r="AR324" s="23">
        <f>(SUMPRODUCT(AR$9:AR$229,Nutrients!$EP$8:$EP$228)+(IF($A$7=Nutrients!$B$8,Nutrients!$EP$8,Nutrients!$EP$9)*AR$7)+(((IF($A$8=Nutrients!$B$79,Nutrients!$EP$79,(IF($A$8=Nutrients!$B$77,Nutrients!$EP$77,Nutrients!$EP$78)))))*AR$8))/2000*1000000</f>
        <v>0.29699999999999999</v>
      </c>
      <c r="AS324" s="23">
        <f>(SUMPRODUCT(AS$9:AS$229,Nutrients!$EP$8:$EP$228)+(IF($A$7=Nutrients!$B$8,Nutrients!$EP$8,Nutrients!$EP$9)*AS$7)+(((IF($A$8=Nutrients!$B$79,Nutrients!$EP$79,(IF($A$8=Nutrients!$B$77,Nutrients!$EP$77,Nutrients!$EP$78)))))*AS$8))/2000*1000000</f>
        <v>0.29699999999999999</v>
      </c>
      <c r="AT324" s="23">
        <f>(SUMPRODUCT(AT$9:AT$229,Nutrients!$EP$8:$EP$228)+(IF($A$7=Nutrients!$B$8,Nutrients!$EP$8,Nutrients!$EP$9)*AT$7)+(((IF($A$8=Nutrients!$B$79,Nutrients!$EP$79,(IF($A$8=Nutrients!$B$77,Nutrients!$EP$77,Nutrients!$EP$78)))))*AT$8))/2000*1000000</f>
        <v>0.24750000000000003</v>
      </c>
      <c r="AU324" s="23">
        <f>(SUMPRODUCT(AU$9:AU$229,Nutrients!$EP$8:$EP$228)+(IF($A$7=Nutrients!$B$8,Nutrients!$EP$8,Nutrients!$EP$9)*AU$7)+(((IF($A$8=Nutrients!$B$79,Nutrients!$EP$79,(IF($A$8=Nutrients!$B$77,Nutrients!$EP$77,Nutrients!$EP$78)))))*AU$8))/2000*1000000</f>
        <v>0.19800000000000001</v>
      </c>
      <c r="AV324" s="23">
        <f>(SUMPRODUCT(AV$9:AV$229,Nutrients!$EP$8:$EP$228)+(IF($A$7=Nutrients!$B$8,Nutrients!$EP$8,Nutrients!$EP$9)*AV$7)+(((IF($A$8=Nutrients!$B$79,Nutrients!$EP$79,(IF($A$8=Nutrients!$B$77,Nutrients!$EP$77,Nutrients!$EP$78)))))*AV$8))/2000*1000000</f>
        <v>0.14849999999999999</v>
      </c>
      <c r="AW324" s="23">
        <f>(SUMPRODUCT(AW$9:AW$229,Nutrients!$EP$8:$EP$228)+(IF($A$7=Nutrients!$B$8,Nutrients!$EP$8,Nutrients!$EP$9)*AW$7)+(((IF($A$8=Nutrients!$B$79,Nutrients!$EP$79,(IF($A$8=Nutrients!$B$77,Nutrients!$EP$77,Nutrients!$EP$78)))))*AW$8))/2000*1000000</f>
        <v>0.14849999999999999</v>
      </c>
    </row>
    <row r="325" spans="1:49" x14ac:dyDescent="0.25">
      <c r="A325" s="34" t="s">
        <v>118</v>
      </c>
      <c r="B325" s="21">
        <f>(SUMPRODUCT(B$9:B$229,Nutrients!$EQ$8:$EQ$228)+(IF($A$7=Nutrients!$B$8,Nutrients!$EQ$8,Nutrients!$EQ$9)*B$7)+(((IF($A$8=Nutrients!$B$79,Nutrients!$EQ$79,(IF($A$8=Nutrients!$B$77,Nutrients!$EQ$77,Nutrients!$EQ$78)))))*B$8))/2000*1000000000</f>
        <v>0</v>
      </c>
      <c r="C325" s="21">
        <f>(SUMPRODUCT(C$9:C$229,Nutrients!$EQ$8:$EQ$228)+(IF($A$7=Nutrients!$B$8,Nutrients!$EQ$8,Nutrients!$EQ$9)*C$7)+(((IF($A$8=Nutrients!$B$79,Nutrients!$EQ$79,(IF($A$8=Nutrients!$B$77,Nutrients!$EQ$77,Nutrients!$EQ$78)))))*C$8))/2000*1000000000</f>
        <v>0</v>
      </c>
      <c r="D325" s="21">
        <f>(SUMPRODUCT(D$9:D$229,Nutrients!$EQ$8:$EQ$228)+(IF($A$7=Nutrients!$B$8,Nutrients!$EQ$8,Nutrients!$EQ$9)*D$7)+(((IF($A$8=Nutrients!$B$79,Nutrients!$EQ$79,(IF($A$8=Nutrients!$B$77,Nutrients!$EQ$77,Nutrients!$EQ$78)))))*D$8))/2000*1000000000</f>
        <v>0</v>
      </c>
      <c r="E325" s="21">
        <f>(SUMPRODUCT(E$9:E$229,Nutrients!$EQ$8:$EQ$228)+(IF($A$7=Nutrients!$B$8,Nutrients!$EQ$8,Nutrients!$EQ$9)*E$7)+(((IF($A$8=Nutrients!$B$79,Nutrients!$EQ$79,(IF($A$8=Nutrients!$B$77,Nutrients!$EQ$77,Nutrients!$EQ$78)))))*E$8))/2000*1000000000</f>
        <v>0</v>
      </c>
      <c r="F325" s="21">
        <f>(SUMPRODUCT(F$9:F$229,Nutrients!$EQ$8:$EQ$228)+(IF($A$7=Nutrients!$B$8,Nutrients!$EQ$8,Nutrients!$EQ$9)*F$7)+(((IF($A$8=Nutrients!$B$79,Nutrients!$EQ$79,(IF($A$8=Nutrients!$B$77,Nutrients!$EQ$77,Nutrients!$EQ$78)))))*F$8))/2000*1000000000</f>
        <v>0</v>
      </c>
      <c r="G325" s="21">
        <f>(SUMPRODUCT(G$9:G$229,Nutrients!$EQ$8:$EQ$228)+(IF($A$7=Nutrients!$B$8,Nutrients!$EQ$8,Nutrients!$EQ$9)*G$7)+(((IF($A$8=Nutrients!$B$79,Nutrients!$EQ$79,(IF($A$8=Nutrients!$B$77,Nutrients!$EQ$77,Nutrients!$EQ$78)))))*G$8))/2000*1000000000</f>
        <v>0</v>
      </c>
      <c r="H325" s="226"/>
      <c r="I325" s="21">
        <f>(SUMPRODUCT(I$9:I$229,Nutrients!$EQ$8:$EQ$228)+(IF($A$7=Nutrients!$B$8,Nutrients!$EQ$8,Nutrients!$EQ$9)*I$7)+(((IF($A$8=Nutrients!$B$79,Nutrients!$EQ$79,(IF($A$8=Nutrients!$B$77,Nutrients!$EQ$77,Nutrients!$EQ$78)))))*I$8))/2000*1000000000</f>
        <v>0</v>
      </c>
      <c r="J325" s="21">
        <f>(SUMPRODUCT(J$9:J$229,Nutrients!$EQ$8:$EQ$228)+(IF($A$7=Nutrients!$B$8,Nutrients!$EQ$8,Nutrients!$EQ$9)*J$7)+(((IF($A$8=Nutrients!$B$79,Nutrients!$EQ$79,(IF($A$8=Nutrients!$B$77,Nutrients!$EQ$77,Nutrients!$EQ$78)))))*J$8))/2000*1000000000</f>
        <v>0</v>
      </c>
      <c r="K325" s="21">
        <f>(SUMPRODUCT(K$9:K$229,Nutrients!$EQ$8:$EQ$228)+(IF($A$7=Nutrients!$B$8,Nutrients!$EQ$8,Nutrients!$EQ$9)*K$7)+(((IF($A$8=Nutrients!$B$79,Nutrients!$EQ$79,(IF($A$8=Nutrients!$B$77,Nutrients!$EQ$77,Nutrients!$EQ$78)))))*K$8))/2000*1000000000</f>
        <v>0</v>
      </c>
      <c r="L325" s="21">
        <f>(SUMPRODUCT(L$9:L$229,Nutrients!$EQ$8:$EQ$228)+(IF($A$7=Nutrients!$B$8,Nutrients!$EQ$8,Nutrients!$EQ$9)*L$7)+(((IF($A$8=Nutrients!$B$79,Nutrients!$EQ$79,(IF($A$8=Nutrients!$B$77,Nutrients!$EQ$77,Nutrients!$EQ$78)))))*L$8))/2000*1000000000</f>
        <v>0</v>
      </c>
      <c r="M325" s="21">
        <f>(SUMPRODUCT(M$9:M$229,Nutrients!$EQ$8:$EQ$228)+(IF($A$7=Nutrients!$B$8,Nutrients!$EQ$8,Nutrients!$EQ$9)*M$7)+(((IF($A$8=Nutrients!$B$79,Nutrients!$EQ$79,(IF($A$8=Nutrients!$B$77,Nutrients!$EQ$77,Nutrients!$EQ$78)))))*M$8))/2000*1000000000</f>
        <v>0</v>
      </c>
      <c r="N325" s="21">
        <f>(SUMPRODUCT(N$9:N$229,Nutrients!$EQ$8:$EQ$228)+(IF($A$7=Nutrients!$B$8,Nutrients!$EQ$8,Nutrients!$EQ$9)*N$7)+(((IF($A$8=Nutrients!$B$79,Nutrients!$EQ$79,(IF($A$8=Nutrients!$B$77,Nutrients!$EQ$77,Nutrients!$EQ$78)))))*N$8))/2000*1000000000</f>
        <v>0</v>
      </c>
      <c r="O325" s="234"/>
      <c r="P325" s="21">
        <f>(SUMPRODUCT(P$9:P$229,Nutrients!$EQ$8:$EQ$228)+(IF($A$7=Nutrients!$B$8,Nutrients!$EQ$8,Nutrients!$EQ$9)*P$7)+(((IF($A$8=Nutrients!$B$79,Nutrients!$EQ$79,(IF($A$8=Nutrients!$B$77,Nutrients!$EQ$77,Nutrients!$EQ$78)))))*P$8))/2000*1000000000</f>
        <v>0</v>
      </c>
      <c r="Q325" s="21">
        <f>(SUMPRODUCT(Q$9:Q$229,Nutrients!$EQ$8:$EQ$228)+(IF($A$7=Nutrients!$B$8,Nutrients!$EQ$8,Nutrients!$EQ$9)*Q$7)+(((IF($A$8=Nutrients!$B$79,Nutrients!$EQ$79,(IF($A$8=Nutrients!$B$77,Nutrients!$EQ$77,Nutrients!$EQ$78)))))*Q$8))/2000*1000000000</f>
        <v>0</v>
      </c>
      <c r="R325" s="21">
        <f>(SUMPRODUCT(R$9:R$229,Nutrients!$EQ$8:$EQ$228)+(IF($A$7=Nutrients!$B$8,Nutrients!$EQ$8,Nutrients!$EQ$9)*R$7)+(((IF($A$8=Nutrients!$B$79,Nutrients!$EQ$79,(IF($A$8=Nutrients!$B$77,Nutrients!$EQ$77,Nutrients!$EQ$78)))))*R$8))/2000*1000000000</f>
        <v>0</v>
      </c>
      <c r="S325" s="21">
        <f>(SUMPRODUCT(S$9:S$229,Nutrients!$EQ$8:$EQ$228)+(IF($A$7=Nutrients!$B$8,Nutrients!$EQ$8,Nutrients!$EQ$9)*S$7)+(((IF($A$8=Nutrients!$B$79,Nutrients!$EQ$79,(IF($A$8=Nutrients!$B$77,Nutrients!$EQ$77,Nutrients!$EQ$78)))))*S$8))/2000*1000000000</f>
        <v>0</v>
      </c>
      <c r="T325" s="21">
        <f>(SUMPRODUCT(T$9:T$229,Nutrients!$EQ$8:$EQ$228)+(IF($A$7=Nutrients!$B$8,Nutrients!$EQ$8,Nutrients!$EQ$9)*T$7)+(((IF($A$8=Nutrients!$B$79,Nutrients!$EQ$79,(IF($A$8=Nutrients!$B$77,Nutrients!$EQ$77,Nutrients!$EQ$78)))))*T$8))/2000*1000000000</f>
        <v>0</v>
      </c>
      <c r="U325" s="21">
        <f>(SUMPRODUCT(U$9:U$229,Nutrients!$EQ$8:$EQ$228)+(IF($A$7=Nutrients!$B$8,Nutrients!$EQ$8,Nutrients!$EQ$9)*U$7)+(((IF($A$8=Nutrients!$B$79,Nutrients!$EQ$79,(IF($A$8=Nutrients!$B$77,Nutrients!$EQ$77,Nutrients!$EQ$78)))))*U$8))/2000*1000000000</f>
        <v>0</v>
      </c>
      <c r="W325" s="21">
        <f>(SUMPRODUCT(W$9:W$229,Nutrients!$EQ$8:$EQ$228)+(IF($A$7=Nutrients!$B$8,Nutrients!$EQ$8,Nutrients!$EQ$9)*W$7)+(((IF($A$8=Nutrients!$B$79,Nutrients!$EQ$79,(IF($A$8=Nutrients!$B$77,Nutrients!$EQ$77,Nutrients!$EQ$78)))))*W$8))/2000*1000000000</f>
        <v>0</v>
      </c>
      <c r="X325" s="21">
        <f>(SUMPRODUCT(X$9:X$229,Nutrients!$EQ$8:$EQ$228)+(IF($A$7=Nutrients!$B$8,Nutrients!$EQ$8,Nutrients!$EQ$9)*X$7)+(((IF($A$8=Nutrients!$B$79,Nutrients!$EQ$79,(IF($A$8=Nutrients!$B$77,Nutrients!$EQ$77,Nutrients!$EQ$78)))))*X$8))/2000*1000000000</f>
        <v>0</v>
      </c>
      <c r="Y325" s="21">
        <f>(SUMPRODUCT(Y$9:Y$229,Nutrients!$EQ$8:$EQ$228)+(IF($A$7=Nutrients!$B$8,Nutrients!$EQ$8,Nutrients!$EQ$9)*Y$7)+(((IF($A$8=Nutrients!$B$79,Nutrients!$EQ$79,(IF($A$8=Nutrients!$B$77,Nutrients!$EQ$77,Nutrients!$EQ$78)))))*Y$8))/2000*1000000000</f>
        <v>0</v>
      </c>
      <c r="Z325" s="21">
        <f>(SUMPRODUCT(Z$9:Z$229,Nutrients!$EQ$8:$EQ$228)+(IF($A$7=Nutrients!$B$8,Nutrients!$EQ$8,Nutrients!$EQ$9)*Z$7)+(((IF($A$8=Nutrients!$B$79,Nutrients!$EQ$79,(IF($A$8=Nutrients!$B$77,Nutrients!$EQ$77,Nutrients!$EQ$78)))))*Z$8))/2000*1000000000</f>
        <v>0</v>
      </c>
      <c r="AA325" s="21">
        <f>(SUMPRODUCT(AA$9:AA$229,Nutrients!$EQ$8:$EQ$228)+(IF($A$7=Nutrients!$B$8,Nutrients!$EQ$8,Nutrients!$EQ$9)*AA$7)+(((IF($A$8=Nutrients!$B$79,Nutrients!$EQ$79,(IF($A$8=Nutrients!$B$77,Nutrients!$EQ$77,Nutrients!$EQ$78)))))*AA$8))/2000*1000000000</f>
        <v>0</v>
      </c>
      <c r="AB325" s="21">
        <f>(SUMPRODUCT(AB$9:AB$229,Nutrients!$EQ$8:$EQ$228)+(IF($A$7=Nutrients!$B$8,Nutrients!$EQ$8,Nutrients!$EQ$9)*AB$7)+(((IF($A$8=Nutrients!$B$79,Nutrients!$EQ$79,(IF($A$8=Nutrients!$B$77,Nutrients!$EQ$77,Nutrients!$EQ$78)))))*AB$8))/2000*1000000000</f>
        <v>0</v>
      </c>
      <c r="AD325" s="21">
        <f>(SUMPRODUCT(AD$9:AD$229,Nutrients!$EQ$8:$EQ$228)+(IF($A$7=Nutrients!$B$8,Nutrients!$EQ$8,Nutrients!$EQ$9)*AD$7)+(((IF($A$8=Nutrients!$B$79,Nutrients!$EQ$79,(IF($A$8=Nutrients!$B$77,Nutrients!$EQ$77,Nutrients!$EQ$78)))))*AD$8))/2000*1000000000</f>
        <v>0</v>
      </c>
      <c r="AE325" s="21">
        <f>(SUMPRODUCT(AE$9:AE$229,Nutrients!$EQ$8:$EQ$228)+(IF($A$7=Nutrients!$B$8,Nutrients!$EQ$8,Nutrients!$EQ$9)*AE$7)+(((IF($A$8=Nutrients!$B$79,Nutrients!$EQ$79,(IF($A$8=Nutrients!$B$77,Nutrients!$EQ$77,Nutrients!$EQ$78)))))*AE$8))/2000*1000000000</f>
        <v>0</v>
      </c>
      <c r="AF325" s="21">
        <f>(SUMPRODUCT(AF$9:AF$229,Nutrients!$EQ$8:$EQ$228)+(IF($A$7=Nutrients!$B$8,Nutrients!$EQ$8,Nutrients!$EQ$9)*AF$7)+(((IF($A$8=Nutrients!$B$79,Nutrients!$EQ$79,(IF($A$8=Nutrients!$B$77,Nutrients!$EQ$77,Nutrients!$EQ$78)))))*AF$8))/2000*1000000000</f>
        <v>0</v>
      </c>
      <c r="AG325" s="21">
        <f>(SUMPRODUCT(AG$9:AG$229,Nutrients!$EQ$8:$EQ$228)+(IF($A$7=Nutrients!$B$8,Nutrients!$EQ$8,Nutrients!$EQ$9)*AG$7)+(((IF($A$8=Nutrients!$B$79,Nutrients!$EQ$79,(IF($A$8=Nutrients!$B$77,Nutrients!$EQ$77,Nutrients!$EQ$78)))))*AG$8))/2000*1000000000</f>
        <v>0</v>
      </c>
      <c r="AH325" s="21">
        <f>(SUMPRODUCT(AH$9:AH$229,Nutrients!$EQ$8:$EQ$228)+(IF($A$7=Nutrients!$B$8,Nutrients!$EQ$8,Nutrients!$EQ$9)*AH$7)+(((IF($A$8=Nutrients!$B$79,Nutrients!$EQ$79,(IF($A$8=Nutrients!$B$77,Nutrients!$EQ$77,Nutrients!$EQ$78)))))*AH$8))/2000*1000000000</f>
        <v>0</v>
      </c>
      <c r="AI325" s="21">
        <f>(SUMPRODUCT(AI$9:AI$229,Nutrients!$EQ$8:$EQ$228)+(IF($A$7=Nutrients!$B$8,Nutrients!$EQ$8,Nutrients!$EQ$9)*AI$7)+(((IF($A$8=Nutrients!$B$79,Nutrients!$EQ$79,(IF($A$8=Nutrients!$B$77,Nutrients!$EQ$77,Nutrients!$EQ$78)))))*AI$8))/2000*1000000000</f>
        <v>0</v>
      </c>
      <c r="AK325" s="21">
        <f>(SUMPRODUCT(AK$9:AK$229,Nutrients!$EQ$8:$EQ$228)+(IF($A$7=Nutrients!$B$8,Nutrients!$EQ$8,Nutrients!$EQ$9)*AK$7)+(((IF($A$8=Nutrients!$B$79,Nutrients!$EQ$79,(IF($A$8=Nutrients!$B$77,Nutrients!$EQ$77,Nutrients!$EQ$78)))))*AK$8))/2000*1000000000</f>
        <v>0</v>
      </c>
      <c r="AL325" s="21">
        <f>(SUMPRODUCT(AL$9:AL$229,Nutrients!$EQ$8:$EQ$228)+(IF($A$7=Nutrients!$B$8,Nutrients!$EQ$8,Nutrients!$EQ$9)*AL$7)+(((IF($A$8=Nutrients!$B$79,Nutrients!$EQ$79,(IF($A$8=Nutrients!$B$77,Nutrients!$EQ$77,Nutrients!$EQ$78)))))*AL$8))/2000*1000000000</f>
        <v>0</v>
      </c>
      <c r="AM325" s="21">
        <f>(SUMPRODUCT(AM$9:AM$229,Nutrients!$EQ$8:$EQ$228)+(IF($A$7=Nutrients!$B$8,Nutrients!$EQ$8,Nutrients!$EQ$9)*AM$7)+(((IF($A$8=Nutrients!$B$79,Nutrients!$EQ$79,(IF($A$8=Nutrients!$B$77,Nutrients!$EQ$77,Nutrients!$EQ$78)))))*AM$8))/2000*1000000000</f>
        <v>0</v>
      </c>
      <c r="AN325" s="21">
        <f>(SUMPRODUCT(AN$9:AN$229,Nutrients!$EQ$8:$EQ$228)+(IF($A$7=Nutrients!$B$8,Nutrients!$EQ$8,Nutrients!$EQ$9)*AN$7)+(((IF($A$8=Nutrients!$B$79,Nutrients!$EQ$79,(IF($A$8=Nutrients!$B$77,Nutrients!$EQ$77,Nutrients!$EQ$78)))))*AN$8))/2000*1000000000</f>
        <v>0</v>
      </c>
      <c r="AO325" s="21">
        <f>(SUMPRODUCT(AO$9:AO$229,Nutrients!$EQ$8:$EQ$228)+(IF($A$7=Nutrients!$B$8,Nutrients!$EQ$8,Nutrients!$EQ$9)*AO$7)+(((IF($A$8=Nutrients!$B$79,Nutrients!$EQ$79,(IF($A$8=Nutrients!$B$77,Nutrients!$EQ$77,Nutrients!$EQ$78)))))*AO$8))/2000*1000000000</f>
        <v>0</v>
      </c>
      <c r="AP325" s="21">
        <f>(SUMPRODUCT(AP$9:AP$229,Nutrients!$EQ$8:$EQ$228)+(IF($A$7=Nutrients!$B$8,Nutrients!$EQ$8,Nutrients!$EQ$9)*AP$7)+(((IF($A$8=Nutrients!$B$79,Nutrients!$EQ$79,(IF($A$8=Nutrients!$B$77,Nutrients!$EQ$77,Nutrients!$EQ$78)))))*AP$8))/2000*1000000000</f>
        <v>0</v>
      </c>
      <c r="AR325" s="21">
        <f>(SUMPRODUCT(AR$9:AR$229,Nutrients!$EQ$8:$EQ$228)+(IF($A$7=Nutrients!$B$8,Nutrients!$EQ$8,Nutrients!$EQ$9)*AR$7)+(((IF($A$8=Nutrients!$B$79,Nutrients!$EQ$79,(IF($A$8=Nutrients!$B$77,Nutrients!$EQ$77,Nutrients!$EQ$78)))))*AR$8))/2000*1000000000</f>
        <v>0</v>
      </c>
      <c r="AS325" s="21">
        <f>(SUMPRODUCT(AS$9:AS$229,Nutrients!$EQ$8:$EQ$228)+(IF($A$7=Nutrients!$B$8,Nutrients!$EQ$8,Nutrients!$EQ$9)*AS$7)+(((IF($A$8=Nutrients!$B$79,Nutrients!$EQ$79,(IF($A$8=Nutrients!$B$77,Nutrients!$EQ$77,Nutrients!$EQ$78)))))*AS$8))/2000*1000000000</f>
        <v>0</v>
      </c>
      <c r="AT325" s="21">
        <f>(SUMPRODUCT(AT$9:AT$229,Nutrients!$EQ$8:$EQ$228)+(IF($A$7=Nutrients!$B$8,Nutrients!$EQ$8,Nutrients!$EQ$9)*AT$7)+(((IF($A$8=Nutrients!$B$79,Nutrients!$EQ$79,(IF($A$8=Nutrients!$B$77,Nutrients!$EQ$77,Nutrients!$EQ$78)))))*AT$8))/2000*1000000000</f>
        <v>0</v>
      </c>
      <c r="AU325" s="21">
        <f>(SUMPRODUCT(AU$9:AU$229,Nutrients!$EQ$8:$EQ$228)+(IF($A$7=Nutrients!$B$8,Nutrients!$EQ$8,Nutrients!$EQ$9)*AU$7)+(((IF($A$8=Nutrients!$B$79,Nutrients!$EQ$79,(IF($A$8=Nutrients!$B$77,Nutrients!$EQ$77,Nutrients!$EQ$78)))))*AU$8))/2000*1000000000</f>
        <v>0</v>
      </c>
      <c r="AV325" s="21">
        <f>(SUMPRODUCT(AV$9:AV$229,Nutrients!$EQ$8:$EQ$228)+(IF($A$7=Nutrients!$B$8,Nutrients!$EQ$8,Nutrients!$EQ$9)*AV$7)+(((IF($A$8=Nutrients!$B$79,Nutrients!$EQ$79,(IF($A$8=Nutrients!$B$77,Nutrients!$EQ$77,Nutrients!$EQ$78)))))*AV$8))/2000*1000000000</f>
        <v>0</v>
      </c>
      <c r="AW325" s="21">
        <f>(SUMPRODUCT(AW$9:AW$229,Nutrients!$EQ$8:$EQ$228)+(IF($A$7=Nutrients!$B$8,Nutrients!$EQ$8,Nutrients!$EQ$9)*AW$7)+(((IF($A$8=Nutrients!$B$79,Nutrients!$EQ$79,(IF($A$8=Nutrients!$B$77,Nutrients!$EQ$77,Nutrients!$EQ$78)))))*AW$8))/2000*1000000000</f>
        <v>0</v>
      </c>
    </row>
    <row r="327" spans="1:49" x14ac:dyDescent="0.25">
      <c r="A327" s="34" t="s">
        <v>119</v>
      </c>
    </row>
    <row r="328" spans="1:49" x14ac:dyDescent="0.25">
      <c r="A328" s="34" t="s">
        <v>121</v>
      </c>
      <c r="B328" s="21">
        <f>(SUMPRODUCT(B$9:B$229,Nutrients!$ES$8:$ES$228)+(IF($A$7=Nutrients!$B$8,Nutrients!$ES$8,Nutrients!$ES$9)*B$7)+(((IF($A$8=Nutrients!$B$79,Nutrients!$ES$79,(IF($A$8=Nutrients!$B$77,Nutrients!$ES$77,Nutrients!$ES$78)))))*B$8))</f>
        <v>2250000</v>
      </c>
      <c r="C328" s="21">
        <f>(SUMPRODUCT(C$9:C$229,Nutrients!$ES$8:$ES$228)+(IF($A$7=Nutrients!$B$8,Nutrients!$ES$8,Nutrients!$ES$9)*C$7)+(((IF($A$8=Nutrients!$B$79,Nutrients!$ES$79,(IF($A$8=Nutrients!$B$77,Nutrients!$ES$77,Nutrients!$ES$78)))))*C$8))</f>
        <v>2250000</v>
      </c>
      <c r="D328" s="21">
        <f>(SUMPRODUCT(D$9:D$229,Nutrients!$ES$8:$ES$228)+(IF($A$7=Nutrients!$B$8,Nutrients!$ES$8,Nutrients!$ES$9)*D$7)+(((IF($A$8=Nutrients!$B$79,Nutrients!$ES$79,(IF($A$8=Nutrients!$B$77,Nutrients!$ES$77,Nutrients!$ES$78)))))*D$8))</f>
        <v>1875000</v>
      </c>
      <c r="E328" s="21">
        <f>(SUMPRODUCT(E$9:E$229,Nutrients!$ES$8:$ES$228)+(IF($A$7=Nutrients!$B$8,Nutrients!$ES$8,Nutrients!$ES$9)*E$7)+(((IF($A$8=Nutrients!$B$79,Nutrients!$ES$79,(IF($A$8=Nutrients!$B$77,Nutrients!$ES$77,Nutrients!$ES$78)))))*E$8))</f>
        <v>1500000</v>
      </c>
      <c r="F328" s="21">
        <f>(SUMPRODUCT(F$9:F$229,Nutrients!$ES$8:$ES$228)+(IF($A$7=Nutrients!$B$8,Nutrients!$ES$8,Nutrients!$ES$9)*F$7)+(((IF($A$8=Nutrients!$B$79,Nutrients!$ES$79,(IF($A$8=Nutrients!$B$77,Nutrients!$ES$77,Nutrients!$ES$78)))))*F$8))</f>
        <v>1125000</v>
      </c>
      <c r="G328" s="21">
        <f>(SUMPRODUCT(G$9:G$229,Nutrients!$ES$8:$ES$228)+(IF($A$7=Nutrients!$B$8,Nutrients!$ES$8,Nutrients!$ES$9)*G$7)+(((IF($A$8=Nutrients!$B$79,Nutrients!$ES$79,(IF($A$8=Nutrients!$B$77,Nutrients!$ES$77,Nutrients!$ES$78)))))*G$8))</f>
        <v>1125000</v>
      </c>
      <c r="H328" s="226"/>
      <c r="I328" s="21">
        <f>(SUMPRODUCT(I$9:I$229,Nutrients!$ES$8:$ES$228)+(IF($A$7=Nutrients!$B$8,Nutrients!$ES$8,Nutrients!$ES$9)*I$7)+(((IF($A$8=Nutrients!$B$79,Nutrients!$ES$79,(IF($A$8=Nutrients!$B$77,Nutrients!$ES$77,Nutrients!$ES$78)))))*I$8))</f>
        <v>2250000</v>
      </c>
      <c r="J328" s="21">
        <f>(SUMPRODUCT(J$9:J$229,Nutrients!$ES$8:$ES$228)+(IF($A$7=Nutrients!$B$8,Nutrients!$ES$8,Nutrients!$ES$9)*J$7)+(((IF($A$8=Nutrients!$B$79,Nutrients!$ES$79,(IF($A$8=Nutrients!$B$77,Nutrients!$ES$77,Nutrients!$ES$78)))))*J$8))</f>
        <v>2250000</v>
      </c>
      <c r="K328" s="21">
        <f>(SUMPRODUCT(K$9:K$229,Nutrients!$ES$8:$ES$228)+(IF($A$7=Nutrients!$B$8,Nutrients!$ES$8,Nutrients!$ES$9)*K$7)+(((IF($A$8=Nutrients!$B$79,Nutrients!$ES$79,(IF($A$8=Nutrients!$B$77,Nutrients!$ES$77,Nutrients!$ES$78)))))*K$8))</f>
        <v>1875000</v>
      </c>
      <c r="L328" s="21">
        <f>(SUMPRODUCT(L$9:L$229,Nutrients!$ES$8:$ES$228)+(IF($A$7=Nutrients!$B$8,Nutrients!$ES$8,Nutrients!$ES$9)*L$7)+(((IF($A$8=Nutrients!$B$79,Nutrients!$ES$79,(IF($A$8=Nutrients!$B$77,Nutrients!$ES$77,Nutrients!$ES$78)))))*L$8))</f>
        <v>1500000</v>
      </c>
      <c r="M328" s="21">
        <f>(SUMPRODUCT(M$9:M$229,Nutrients!$ES$8:$ES$228)+(IF($A$7=Nutrients!$B$8,Nutrients!$ES$8,Nutrients!$ES$9)*M$7)+(((IF($A$8=Nutrients!$B$79,Nutrients!$ES$79,(IF($A$8=Nutrients!$B$77,Nutrients!$ES$77,Nutrients!$ES$78)))))*M$8))</f>
        <v>1125000</v>
      </c>
      <c r="N328" s="21">
        <f>(SUMPRODUCT(N$9:N$229,Nutrients!$ES$8:$ES$228)+(IF($A$7=Nutrients!$B$8,Nutrients!$ES$8,Nutrients!$ES$9)*N$7)+(((IF($A$8=Nutrients!$B$79,Nutrients!$ES$79,(IF($A$8=Nutrients!$B$77,Nutrients!$ES$77,Nutrients!$ES$78)))))*N$8))</f>
        <v>1125000</v>
      </c>
      <c r="O328" s="234"/>
      <c r="P328" s="21">
        <f>(SUMPRODUCT(P$9:P$229,Nutrients!$ES$8:$ES$228)+(IF($A$7=Nutrients!$B$8,Nutrients!$ES$8,Nutrients!$ES$9)*P$7)+(((IF($A$8=Nutrients!$B$79,Nutrients!$ES$79,(IF($A$8=Nutrients!$B$77,Nutrients!$ES$77,Nutrients!$ES$78)))))*P$8))</f>
        <v>2250000</v>
      </c>
      <c r="Q328" s="21">
        <f>(SUMPRODUCT(Q$9:Q$229,Nutrients!$ES$8:$ES$228)+(IF($A$7=Nutrients!$B$8,Nutrients!$ES$8,Nutrients!$ES$9)*Q$7)+(((IF($A$8=Nutrients!$B$79,Nutrients!$ES$79,(IF($A$8=Nutrients!$B$77,Nutrients!$ES$77,Nutrients!$ES$78)))))*Q$8))</f>
        <v>2250000</v>
      </c>
      <c r="R328" s="21">
        <f>(SUMPRODUCT(R$9:R$229,Nutrients!$ES$8:$ES$228)+(IF($A$7=Nutrients!$B$8,Nutrients!$ES$8,Nutrients!$ES$9)*R$7)+(((IF($A$8=Nutrients!$B$79,Nutrients!$ES$79,(IF($A$8=Nutrients!$B$77,Nutrients!$ES$77,Nutrients!$ES$78)))))*R$8))</f>
        <v>1875000</v>
      </c>
      <c r="S328" s="21">
        <f>(SUMPRODUCT(S$9:S$229,Nutrients!$ES$8:$ES$228)+(IF($A$7=Nutrients!$B$8,Nutrients!$ES$8,Nutrients!$ES$9)*S$7)+(((IF($A$8=Nutrients!$B$79,Nutrients!$ES$79,(IF($A$8=Nutrients!$B$77,Nutrients!$ES$77,Nutrients!$ES$78)))))*S$8))</f>
        <v>1500000</v>
      </c>
      <c r="T328" s="21">
        <f>(SUMPRODUCT(T$9:T$229,Nutrients!$ES$8:$ES$228)+(IF($A$7=Nutrients!$B$8,Nutrients!$ES$8,Nutrients!$ES$9)*T$7)+(((IF($A$8=Nutrients!$B$79,Nutrients!$ES$79,(IF($A$8=Nutrients!$B$77,Nutrients!$ES$77,Nutrients!$ES$78)))))*T$8))</f>
        <v>1125000</v>
      </c>
      <c r="U328" s="21">
        <f>(SUMPRODUCT(U$9:U$229,Nutrients!$ES$8:$ES$228)+(IF($A$7=Nutrients!$B$8,Nutrients!$ES$8,Nutrients!$ES$9)*U$7)+(((IF($A$8=Nutrients!$B$79,Nutrients!$ES$79,(IF($A$8=Nutrients!$B$77,Nutrients!$ES$77,Nutrients!$ES$78)))))*U$8))</f>
        <v>1125000</v>
      </c>
      <c r="W328" s="21">
        <f>(SUMPRODUCT(W$9:W$229,Nutrients!$ES$8:$ES$228)+(IF($A$7=Nutrients!$B$8,Nutrients!$ES$8,Nutrients!$ES$9)*W$7)+(((IF($A$8=Nutrients!$B$79,Nutrients!$ES$79,(IF($A$8=Nutrients!$B$77,Nutrients!$ES$77,Nutrients!$ES$78)))))*W$8))</f>
        <v>2250000</v>
      </c>
      <c r="X328" s="21">
        <f>(SUMPRODUCT(X$9:X$229,Nutrients!$ES$8:$ES$228)+(IF($A$7=Nutrients!$B$8,Nutrients!$ES$8,Nutrients!$ES$9)*X$7)+(((IF($A$8=Nutrients!$B$79,Nutrients!$ES$79,(IF($A$8=Nutrients!$B$77,Nutrients!$ES$77,Nutrients!$ES$78)))))*X$8))</f>
        <v>2250000</v>
      </c>
      <c r="Y328" s="21">
        <f>(SUMPRODUCT(Y$9:Y$229,Nutrients!$ES$8:$ES$228)+(IF($A$7=Nutrients!$B$8,Nutrients!$ES$8,Nutrients!$ES$9)*Y$7)+(((IF($A$8=Nutrients!$B$79,Nutrients!$ES$79,(IF($A$8=Nutrients!$B$77,Nutrients!$ES$77,Nutrients!$ES$78)))))*Y$8))</f>
        <v>1875000</v>
      </c>
      <c r="Z328" s="21">
        <f>(SUMPRODUCT(Z$9:Z$229,Nutrients!$ES$8:$ES$228)+(IF($A$7=Nutrients!$B$8,Nutrients!$ES$8,Nutrients!$ES$9)*Z$7)+(((IF($A$8=Nutrients!$B$79,Nutrients!$ES$79,(IF($A$8=Nutrients!$B$77,Nutrients!$ES$77,Nutrients!$ES$78)))))*Z$8))</f>
        <v>1500000</v>
      </c>
      <c r="AA328" s="21">
        <f>(SUMPRODUCT(AA$9:AA$229,Nutrients!$ES$8:$ES$228)+(IF($A$7=Nutrients!$B$8,Nutrients!$ES$8,Nutrients!$ES$9)*AA$7)+(((IF($A$8=Nutrients!$B$79,Nutrients!$ES$79,(IF($A$8=Nutrients!$B$77,Nutrients!$ES$77,Nutrients!$ES$78)))))*AA$8))</f>
        <v>1125000</v>
      </c>
      <c r="AB328" s="21">
        <f>(SUMPRODUCT(AB$9:AB$229,Nutrients!$ES$8:$ES$228)+(IF($A$7=Nutrients!$B$8,Nutrients!$ES$8,Nutrients!$ES$9)*AB$7)+(((IF($A$8=Nutrients!$B$79,Nutrients!$ES$79,(IF($A$8=Nutrients!$B$77,Nutrients!$ES$77,Nutrients!$ES$78)))))*AB$8))</f>
        <v>1125000</v>
      </c>
      <c r="AD328" s="21">
        <f>(SUMPRODUCT(AD$9:AD$229,Nutrients!$ES$8:$ES$228)+(IF($A$7=Nutrients!$B$8,Nutrients!$ES$8,Nutrients!$ES$9)*AD$7)+(((IF($A$8=Nutrients!$B$79,Nutrients!$ES$79,(IF($A$8=Nutrients!$B$77,Nutrients!$ES$77,Nutrients!$ES$78)))))*AD$8))</f>
        <v>2250000</v>
      </c>
      <c r="AE328" s="21">
        <f>(SUMPRODUCT(AE$9:AE$229,Nutrients!$ES$8:$ES$228)+(IF($A$7=Nutrients!$B$8,Nutrients!$ES$8,Nutrients!$ES$9)*AE$7)+(((IF($A$8=Nutrients!$B$79,Nutrients!$ES$79,(IF($A$8=Nutrients!$B$77,Nutrients!$ES$77,Nutrients!$ES$78)))))*AE$8))</f>
        <v>2250000</v>
      </c>
      <c r="AF328" s="21">
        <f>(SUMPRODUCT(AF$9:AF$229,Nutrients!$ES$8:$ES$228)+(IF($A$7=Nutrients!$B$8,Nutrients!$ES$8,Nutrients!$ES$9)*AF$7)+(((IF($A$8=Nutrients!$B$79,Nutrients!$ES$79,(IF($A$8=Nutrients!$B$77,Nutrients!$ES$77,Nutrients!$ES$78)))))*AF$8))</f>
        <v>1875000</v>
      </c>
      <c r="AG328" s="21">
        <f>(SUMPRODUCT(AG$9:AG$229,Nutrients!$ES$8:$ES$228)+(IF($A$7=Nutrients!$B$8,Nutrients!$ES$8,Nutrients!$ES$9)*AG$7)+(((IF($A$8=Nutrients!$B$79,Nutrients!$ES$79,(IF($A$8=Nutrients!$B$77,Nutrients!$ES$77,Nutrients!$ES$78)))))*AG$8))</f>
        <v>1500000</v>
      </c>
      <c r="AH328" s="21">
        <f>(SUMPRODUCT(AH$9:AH$229,Nutrients!$ES$8:$ES$228)+(IF($A$7=Nutrients!$B$8,Nutrients!$ES$8,Nutrients!$ES$9)*AH$7)+(((IF($A$8=Nutrients!$B$79,Nutrients!$ES$79,(IF($A$8=Nutrients!$B$77,Nutrients!$ES$77,Nutrients!$ES$78)))))*AH$8))</f>
        <v>1125000</v>
      </c>
      <c r="AI328" s="21">
        <f>(SUMPRODUCT(AI$9:AI$229,Nutrients!$ES$8:$ES$228)+(IF($A$7=Nutrients!$B$8,Nutrients!$ES$8,Nutrients!$ES$9)*AI$7)+(((IF($A$8=Nutrients!$B$79,Nutrients!$ES$79,(IF($A$8=Nutrients!$B$77,Nutrients!$ES$77,Nutrients!$ES$78)))))*AI$8))</f>
        <v>1125000</v>
      </c>
      <c r="AK328" s="21">
        <f>(SUMPRODUCT(AK$9:AK$229,Nutrients!$ES$8:$ES$228)+(IF($A$7=Nutrients!$B$8,Nutrients!$ES$8,Nutrients!$ES$9)*AK$7)+(((IF($A$8=Nutrients!$B$79,Nutrients!$ES$79,(IF($A$8=Nutrients!$B$77,Nutrients!$ES$77,Nutrients!$ES$78)))))*AK$8))</f>
        <v>2250000</v>
      </c>
      <c r="AL328" s="21">
        <f>(SUMPRODUCT(AL$9:AL$229,Nutrients!$ES$8:$ES$228)+(IF($A$7=Nutrients!$B$8,Nutrients!$ES$8,Nutrients!$ES$9)*AL$7)+(((IF($A$8=Nutrients!$B$79,Nutrients!$ES$79,(IF($A$8=Nutrients!$B$77,Nutrients!$ES$77,Nutrients!$ES$78)))))*AL$8))</f>
        <v>2250000</v>
      </c>
      <c r="AM328" s="21">
        <f>(SUMPRODUCT(AM$9:AM$229,Nutrients!$ES$8:$ES$228)+(IF($A$7=Nutrients!$B$8,Nutrients!$ES$8,Nutrients!$ES$9)*AM$7)+(((IF($A$8=Nutrients!$B$79,Nutrients!$ES$79,(IF($A$8=Nutrients!$B$77,Nutrients!$ES$77,Nutrients!$ES$78)))))*AM$8))</f>
        <v>1875000</v>
      </c>
      <c r="AN328" s="21">
        <f>(SUMPRODUCT(AN$9:AN$229,Nutrients!$ES$8:$ES$228)+(IF($A$7=Nutrients!$B$8,Nutrients!$ES$8,Nutrients!$ES$9)*AN$7)+(((IF($A$8=Nutrients!$B$79,Nutrients!$ES$79,(IF($A$8=Nutrients!$B$77,Nutrients!$ES$77,Nutrients!$ES$78)))))*AN$8))</f>
        <v>1500000</v>
      </c>
      <c r="AO328" s="21">
        <f>(SUMPRODUCT(AO$9:AO$229,Nutrients!$ES$8:$ES$228)+(IF($A$7=Nutrients!$B$8,Nutrients!$ES$8,Nutrients!$ES$9)*AO$7)+(((IF($A$8=Nutrients!$B$79,Nutrients!$ES$79,(IF($A$8=Nutrients!$B$77,Nutrients!$ES$77,Nutrients!$ES$78)))))*AO$8))</f>
        <v>1125000</v>
      </c>
      <c r="AP328" s="21">
        <f>(SUMPRODUCT(AP$9:AP$229,Nutrients!$ES$8:$ES$228)+(IF($A$7=Nutrients!$B$8,Nutrients!$ES$8,Nutrients!$ES$9)*AP$7)+(((IF($A$8=Nutrients!$B$79,Nutrients!$ES$79,(IF($A$8=Nutrients!$B$77,Nutrients!$ES$77,Nutrients!$ES$78)))))*AP$8))</f>
        <v>1125000</v>
      </c>
      <c r="AR328" s="21">
        <f>(SUMPRODUCT(AR$9:AR$229,Nutrients!$ES$8:$ES$228)+(IF($A$7=Nutrients!$B$8,Nutrients!$ES$8,Nutrients!$ES$9)*AR$7)+(((IF($A$8=Nutrients!$B$79,Nutrients!$ES$79,(IF($A$8=Nutrients!$B$77,Nutrients!$ES$77,Nutrients!$ES$78)))))*AR$8))</f>
        <v>2250000</v>
      </c>
      <c r="AS328" s="21">
        <f>(SUMPRODUCT(AS$9:AS$229,Nutrients!$ES$8:$ES$228)+(IF($A$7=Nutrients!$B$8,Nutrients!$ES$8,Nutrients!$ES$9)*AS$7)+(((IF($A$8=Nutrients!$B$79,Nutrients!$ES$79,(IF($A$8=Nutrients!$B$77,Nutrients!$ES$77,Nutrients!$ES$78)))))*AS$8))</f>
        <v>2250000</v>
      </c>
      <c r="AT328" s="21">
        <f>(SUMPRODUCT(AT$9:AT$229,Nutrients!$ES$8:$ES$228)+(IF($A$7=Nutrients!$B$8,Nutrients!$ES$8,Nutrients!$ES$9)*AT$7)+(((IF($A$8=Nutrients!$B$79,Nutrients!$ES$79,(IF($A$8=Nutrients!$B$77,Nutrients!$ES$77,Nutrients!$ES$78)))))*AT$8))</f>
        <v>1875000</v>
      </c>
      <c r="AU328" s="21">
        <f>(SUMPRODUCT(AU$9:AU$229,Nutrients!$ES$8:$ES$228)+(IF($A$7=Nutrients!$B$8,Nutrients!$ES$8,Nutrients!$ES$9)*AU$7)+(((IF($A$8=Nutrients!$B$79,Nutrients!$ES$79,(IF($A$8=Nutrients!$B$77,Nutrients!$ES$77,Nutrients!$ES$78)))))*AU$8))</f>
        <v>1500000</v>
      </c>
      <c r="AV328" s="21">
        <f>(SUMPRODUCT(AV$9:AV$229,Nutrients!$ES$8:$ES$228)+(IF($A$7=Nutrients!$B$8,Nutrients!$ES$8,Nutrients!$ES$9)*AV$7)+(((IF($A$8=Nutrients!$B$79,Nutrients!$ES$79,(IF($A$8=Nutrients!$B$77,Nutrients!$ES$77,Nutrients!$ES$78)))))*AV$8))</f>
        <v>1125000</v>
      </c>
      <c r="AW328" s="21">
        <f>(SUMPRODUCT(AW$9:AW$229,Nutrients!$ES$8:$ES$228)+(IF($A$7=Nutrients!$B$8,Nutrients!$ES$8,Nutrients!$ES$9)*AW$7)+(((IF($A$8=Nutrients!$B$79,Nutrients!$ES$79,(IF($A$8=Nutrients!$B$77,Nutrients!$ES$77,Nutrients!$ES$78)))))*AW$8))</f>
        <v>1125000</v>
      </c>
    </row>
    <row r="329" spans="1:49" x14ac:dyDescent="0.25">
      <c r="A329" s="34" t="s">
        <v>122</v>
      </c>
      <c r="B329" s="21">
        <f>(SUMPRODUCT(B$9:B$229,Nutrients!$ET$8:$ET$228)+(IF($A$7=Nutrients!$B$8,Nutrients!$ET$8,Nutrients!$ET$9)*B$7)+(((IF($A$8=Nutrients!$B$79,Nutrients!$ET$79,(IF($A$8=Nutrients!$B$77,Nutrients!$ET$77,Nutrients!$ET$78)))))*B$8))</f>
        <v>900000</v>
      </c>
      <c r="C329" s="21">
        <f>(SUMPRODUCT(C$9:C$229,Nutrients!$ET$8:$ET$228)+(IF($A$7=Nutrients!$B$8,Nutrients!$ET$8,Nutrients!$ET$9)*C$7)+(((IF($A$8=Nutrients!$B$79,Nutrients!$ET$79,(IF($A$8=Nutrients!$B$77,Nutrients!$ET$77,Nutrients!$ET$78)))))*C$8))</f>
        <v>900000</v>
      </c>
      <c r="D329" s="21">
        <f>(SUMPRODUCT(D$9:D$229,Nutrients!$ET$8:$ET$228)+(IF($A$7=Nutrients!$B$8,Nutrients!$ET$8,Nutrients!$ET$9)*D$7)+(((IF($A$8=Nutrients!$B$79,Nutrients!$ET$79,(IF($A$8=Nutrients!$B$77,Nutrients!$ET$77,Nutrients!$ET$78)))))*D$8))</f>
        <v>750000</v>
      </c>
      <c r="E329" s="21">
        <f>(SUMPRODUCT(E$9:E$229,Nutrients!$ET$8:$ET$228)+(IF($A$7=Nutrients!$B$8,Nutrients!$ET$8,Nutrients!$ET$9)*E$7)+(((IF($A$8=Nutrients!$B$79,Nutrients!$ET$79,(IF($A$8=Nutrients!$B$77,Nutrients!$ET$77,Nutrients!$ET$78)))))*E$8))</f>
        <v>600000</v>
      </c>
      <c r="F329" s="21">
        <f>(SUMPRODUCT(F$9:F$229,Nutrients!$ET$8:$ET$228)+(IF($A$7=Nutrients!$B$8,Nutrients!$ET$8,Nutrients!$ET$9)*F$7)+(((IF($A$8=Nutrients!$B$79,Nutrients!$ET$79,(IF($A$8=Nutrients!$B$77,Nutrients!$ET$77,Nutrients!$ET$78)))))*F$8))</f>
        <v>450000</v>
      </c>
      <c r="G329" s="21">
        <f>(SUMPRODUCT(G$9:G$229,Nutrients!$ET$8:$ET$228)+(IF($A$7=Nutrients!$B$8,Nutrients!$ET$8,Nutrients!$ET$9)*G$7)+(((IF($A$8=Nutrients!$B$79,Nutrients!$ET$79,(IF($A$8=Nutrients!$B$77,Nutrients!$ET$77,Nutrients!$ET$78)))))*G$8))</f>
        <v>450000</v>
      </c>
      <c r="H329" s="226"/>
      <c r="I329" s="21">
        <f>(SUMPRODUCT(I$9:I$229,Nutrients!$ET$8:$ET$228)+(IF($A$7=Nutrients!$B$8,Nutrients!$ET$8,Nutrients!$ET$9)*I$7)+(((IF($A$8=Nutrients!$B$79,Nutrients!$ET$79,(IF($A$8=Nutrients!$B$77,Nutrients!$ET$77,Nutrients!$ET$78)))))*I$8))</f>
        <v>900000</v>
      </c>
      <c r="J329" s="21">
        <f>(SUMPRODUCT(J$9:J$229,Nutrients!$ET$8:$ET$228)+(IF($A$7=Nutrients!$B$8,Nutrients!$ET$8,Nutrients!$ET$9)*J$7)+(((IF($A$8=Nutrients!$B$79,Nutrients!$ET$79,(IF($A$8=Nutrients!$B$77,Nutrients!$ET$77,Nutrients!$ET$78)))))*J$8))</f>
        <v>900000</v>
      </c>
      <c r="K329" s="21">
        <f>(SUMPRODUCT(K$9:K$229,Nutrients!$ET$8:$ET$228)+(IF($A$7=Nutrients!$B$8,Nutrients!$ET$8,Nutrients!$ET$9)*K$7)+(((IF($A$8=Nutrients!$B$79,Nutrients!$ET$79,(IF($A$8=Nutrients!$B$77,Nutrients!$ET$77,Nutrients!$ET$78)))))*K$8))</f>
        <v>750000</v>
      </c>
      <c r="L329" s="21">
        <f>(SUMPRODUCT(L$9:L$229,Nutrients!$ET$8:$ET$228)+(IF($A$7=Nutrients!$B$8,Nutrients!$ET$8,Nutrients!$ET$9)*L$7)+(((IF($A$8=Nutrients!$B$79,Nutrients!$ET$79,(IF($A$8=Nutrients!$B$77,Nutrients!$ET$77,Nutrients!$ET$78)))))*L$8))</f>
        <v>600000</v>
      </c>
      <c r="M329" s="21">
        <f>(SUMPRODUCT(M$9:M$229,Nutrients!$ET$8:$ET$228)+(IF($A$7=Nutrients!$B$8,Nutrients!$ET$8,Nutrients!$ET$9)*M$7)+(((IF($A$8=Nutrients!$B$79,Nutrients!$ET$79,(IF($A$8=Nutrients!$B$77,Nutrients!$ET$77,Nutrients!$ET$78)))))*M$8))</f>
        <v>450000</v>
      </c>
      <c r="N329" s="21">
        <f>(SUMPRODUCT(N$9:N$229,Nutrients!$ET$8:$ET$228)+(IF($A$7=Nutrients!$B$8,Nutrients!$ET$8,Nutrients!$ET$9)*N$7)+(((IF($A$8=Nutrients!$B$79,Nutrients!$ET$79,(IF($A$8=Nutrients!$B$77,Nutrients!$ET$77,Nutrients!$ET$78)))))*N$8))</f>
        <v>450000</v>
      </c>
      <c r="O329" s="234"/>
      <c r="P329" s="21">
        <f>(SUMPRODUCT(P$9:P$229,Nutrients!$ET$8:$ET$228)+(IF($A$7=Nutrients!$B$8,Nutrients!$ET$8,Nutrients!$ET$9)*P$7)+(((IF($A$8=Nutrients!$B$79,Nutrients!$ET$79,(IF($A$8=Nutrients!$B$77,Nutrients!$ET$77,Nutrients!$ET$78)))))*P$8))</f>
        <v>900000</v>
      </c>
      <c r="Q329" s="21">
        <f>(SUMPRODUCT(Q$9:Q$229,Nutrients!$ET$8:$ET$228)+(IF($A$7=Nutrients!$B$8,Nutrients!$ET$8,Nutrients!$ET$9)*Q$7)+(((IF($A$8=Nutrients!$B$79,Nutrients!$ET$79,(IF($A$8=Nutrients!$B$77,Nutrients!$ET$77,Nutrients!$ET$78)))))*Q$8))</f>
        <v>900000</v>
      </c>
      <c r="R329" s="21">
        <f>(SUMPRODUCT(R$9:R$229,Nutrients!$ET$8:$ET$228)+(IF($A$7=Nutrients!$B$8,Nutrients!$ET$8,Nutrients!$ET$9)*R$7)+(((IF($A$8=Nutrients!$B$79,Nutrients!$ET$79,(IF($A$8=Nutrients!$B$77,Nutrients!$ET$77,Nutrients!$ET$78)))))*R$8))</f>
        <v>750000</v>
      </c>
      <c r="S329" s="21">
        <f>(SUMPRODUCT(S$9:S$229,Nutrients!$ET$8:$ET$228)+(IF($A$7=Nutrients!$B$8,Nutrients!$ET$8,Nutrients!$ET$9)*S$7)+(((IF($A$8=Nutrients!$B$79,Nutrients!$ET$79,(IF($A$8=Nutrients!$B$77,Nutrients!$ET$77,Nutrients!$ET$78)))))*S$8))</f>
        <v>600000</v>
      </c>
      <c r="T329" s="21">
        <f>(SUMPRODUCT(T$9:T$229,Nutrients!$ET$8:$ET$228)+(IF($A$7=Nutrients!$B$8,Nutrients!$ET$8,Nutrients!$ET$9)*T$7)+(((IF($A$8=Nutrients!$B$79,Nutrients!$ET$79,(IF($A$8=Nutrients!$B$77,Nutrients!$ET$77,Nutrients!$ET$78)))))*T$8))</f>
        <v>450000</v>
      </c>
      <c r="U329" s="21">
        <f>(SUMPRODUCT(U$9:U$229,Nutrients!$ET$8:$ET$228)+(IF($A$7=Nutrients!$B$8,Nutrients!$ET$8,Nutrients!$ET$9)*U$7)+(((IF($A$8=Nutrients!$B$79,Nutrients!$ET$79,(IF($A$8=Nutrients!$B$77,Nutrients!$ET$77,Nutrients!$ET$78)))))*U$8))</f>
        <v>450000</v>
      </c>
      <c r="W329" s="21">
        <f>(SUMPRODUCT(W$9:W$229,Nutrients!$ET$8:$ET$228)+(IF($A$7=Nutrients!$B$8,Nutrients!$ET$8,Nutrients!$ET$9)*W$7)+(((IF($A$8=Nutrients!$B$79,Nutrients!$ET$79,(IF($A$8=Nutrients!$B$77,Nutrients!$ET$77,Nutrients!$ET$78)))))*W$8))</f>
        <v>900000</v>
      </c>
      <c r="X329" s="21">
        <f>(SUMPRODUCT(X$9:X$229,Nutrients!$ET$8:$ET$228)+(IF($A$7=Nutrients!$B$8,Nutrients!$ET$8,Nutrients!$ET$9)*X$7)+(((IF($A$8=Nutrients!$B$79,Nutrients!$ET$79,(IF($A$8=Nutrients!$B$77,Nutrients!$ET$77,Nutrients!$ET$78)))))*X$8))</f>
        <v>900000</v>
      </c>
      <c r="Y329" s="21">
        <f>(SUMPRODUCT(Y$9:Y$229,Nutrients!$ET$8:$ET$228)+(IF($A$7=Nutrients!$B$8,Nutrients!$ET$8,Nutrients!$ET$9)*Y$7)+(((IF($A$8=Nutrients!$B$79,Nutrients!$ET$79,(IF($A$8=Nutrients!$B$77,Nutrients!$ET$77,Nutrients!$ET$78)))))*Y$8))</f>
        <v>750000</v>
      </c>
      <c r="Z329" s="21">
        <f>(SUMPRODUCT(Z$9:Z$229,Nutrients!$ET$8:$ET$228)+(IF($A$7=Nutrients!$B$8,Nutrients!$ET$8,Nutrients!$ET$9)*Z$7)+(((IF($A$8=Nutrients!$B$79,Nutrients!$ET$79,(IF($A$8=Nutrients!$B$77,Nutrients!$ET$77,Nutrients!$ET$78)))))*Z$8))</f>
        <v>600000</v>
      </c>
      <c r="AA329" s="21">
        <f>(SUMPRODUCT(AA$9:AA$229,Nutrients!$ET$8:$ET$228)+(IF($A$7=Nutrients!$B$8,Nutrients!$ET$8,Nutrients!$ET$9)*AA$7)+(((IF($A$8=Nutrients!$B$79,Nutrients!$ET$79,(IF($A$8=Nutrients!$B$77,Nutrients!$ET$77,Nutrients!$ET$78)))))*AA$8))</f>
        <v>450000</v>
      </c>
      <c r="AB329" s="21">
        <f>(SUMPRODUCT(AB$9:AB$229,Nutrients!$ET$8:$ET$228)+(IF($A$7=Nutrients!$B$8,Nutrients!$ET$8,Nutrients!$ET$9)*AB$7)+(((IF($A$8=Nutrients!$B$79,Nutrients!$ET$79,(IF($A$8=Nutrients!$B$77,Nutrients!$ET$77,Nutrients!$ET$78)))))*AB$8))</f>
        <v>450000</v>
      </c>
      <c r="AD329" s="21">
        <f>(SUMPRODUCT(AD$9:AD$229,Nutrients!$ET$8:$ET$228)+(IF($A$7=Nutrients!$B$8,Nutrients!$ET$8,Nutrients!$ET$9)*AD$7)+(((IF($A$8=Nutrients!$B$79,Nutrients!$ET$79,(IF($A$8=Nutrients!$B$77,Nutrients!$ET$77,Nutrients!$ET$78)))))*AD$8))</f>
        <v>900000</v>
      </c>
      <c r="AE329" s="21">
        <f>(SUMPRODUCT(AE$9:AE$229,Nutrients!$ET$8:$ET$228)+(IF($A$7=Nutrients!$B$8,Nutrients!$ET$8,Nutrients!$ET$9)*AE$7)+(((IF($A$8=Nutrients!$B$79,Nutrients!$ET$79,(IF($A$8=Nutrients!$B$77,Nutrients!$ET$77,Nutrients!$ET$78)))))*AE$8))</f>
        <v>900000</v>
      </c>
      <c r="AF329" s="21">
        <f>(SUMPRODUCT(AF$9:AF$229,Nutrients!$ET$8:$ET$228)+(IF($A$7=Nutrients!$B$8,Nutrients!$ET$8,Nutrients!$ET$9)*AF$7)+(((IF($A$8=Nutrients!$B$79,Nutrients!$ET$79,(IF($A$8=Nutrients!$B$77,Nutrients!$ET$77,Nutrients!$ET$78)))))*AF$8))</f>
        <v>750000</v>
      </c>
      <c r="AG329" s="21">
        <f>(SUMPRODUCT(AG$9:AG$229,Nutrients!$ET$8:$ET$228)+(IF($A$7=Nutrients!$B$8,Nutrients!$ET$8,Nutrients!$ET$9)*AG$7)+(((IF($A$8=Nutrients!$B$79,Nutrients!$ET$79,(IF($A$8=Nutrients!$B$77,Nutrients!$ET$77,Nutrients!$ET$78)))))*AG$8))</f>
        <v>600000</v>
      </c>
      <c r="AH329" s="21">
        <f>(SUMPRODUCT(AH$9:AH$229,Nutrients!$ET$8:$ET$228)+(IF($A$7=Nutrients!$B$8,Nutrients!$ET$8,Nutrients!$ET$9)*AH$7)+(((IF($A$8=Nutrients!$B$79,Nutrients!$ET$79,(IF($A$8=Nutrients!$B$77,Nutrients!$ET$77,Nutrients!$ET$78)))))*AH$8))</f>
        <v>450000</v>
      </c>
      <c r="AI329" s="21">
        <f>(SUMPRODUCT(AI$9:AI$229,Nutrients!$ET$8:$ET$228)+(IF($A$7=Nutrients!$B$8,Nutrients!$ET$8,Nutrients!$ET$9)*AI$7)+(((IF($A$8=Nutrients!$B$79,Nutrients!$ET$79,(IF($A$8=Nutrients!$B$77,Nutrients!$ET$77,Nutrients!$ET$78)))))*AI$8))</f>
        <v>450000</v>
      </c>
      <c r="AK329" s="21">
        <f>(SUMPRODUCT(AK$9:AK$229,Nutrients!$ET$8:$ET$228)+(IF($A$7=Nutrients!$B$8,Nutrients!$ET$8,Nutrients!$ET$9)*AK$7)+(((IF($A$8=Nutrients!$B$79,Nutrients!$ET$79,(IF($A$8=Nutrients!$B$77,Nutrients!$ET$77,Nutrients!$ET$78)))))*AK$8))</f>
        <v>900000</v>
      </c>
      <c r="AL329" s="21">
        <f>(SUMPRODUCT(AL$9:AL$229,Nutrients!$ET$8:$ET$228)+(IF($A$7=Nutrients!$B$8,Nutrients!$ET$8,Nutrients!$ET$9)*AL$7)+(((IF($A$8=Nutrients!$B$79,Nutrients!$ET$79,(IF($A$8=Nutrients!$B$77,Nutrients!$ET$77,Nutrients!$ET$78)))))*AL$8))</f>
        <v>900000</v>
      </c>
      <c r="AM329" s="21">
        <f>(SUMPRODUCT(AM$9:AM$229,Nutrients!$ET$8:$ET$228)+(IF($A$7=Nutrients!$B$8,Nutrients!$ET$8,Nutrients!$ET$9)*AM$7)+(((IF($A$8=Nutrients!$B$79,Nutrients!$ET$79,(IF($A$8=Nutrients!$B$77,Nutrients!$ET$77,Nutrients!$ET$78)))))*AM$8))</f>
        <v>750000</v>
      </c>
      <c r="AN329" s="21">
        <f>(SUMPRODUCT(AN$9:AN$229,Nutrients!$ET$8:$ET$228)+(IF($A$7=Nutrients!$B$8,Nutrients!$ET$8,Nutrients!$ET$9)*AN$7)+(((IF($A$8=Nutrients!$B$79,Nutrients!$ET$79,(IF($A$8=Nutrients!$B$77,Nutrients!$ET$77,Nutrients!$ET$78)))))*AN$8))</f>
        <v>600000</v>
      </c>
      <c r="AO329" s="21">
        <f>(SUMPRODUCT(AO$9:AO$229,Nutrients!$ET$8:$ET$228)+(IF($A$7=Nutrients!$B$8,Nutrients!$ET$8,Nutrients!$ET$9)*AO$7)+(((IF($A$8=Nutrients!$B$79,Nutrients!$ET$79,(IF($A$8=Nutrients!$B$77,Nutrients!$ET$77,Nutrients!$ET$78)))))*AO$8))</f>
        <v>450000</v>
      </c>
      <c r="AP329" s="21">
        <f>(SUMPRODUCT(AP$9:AP$229,Nutrients!$ET$8:$ET$228)+(IF($A$7=Nutrients!$B$8,Nutrients!$ET$8,Nutrients!$ET$9)*AP$7)+(((IF($A$8=Nutrients!$B$79,Nutrients!$ET$79,(IF($A$8=Nutrients!$B$77,Nutrients!$ET$77,Nutrients!$ET$78)))))*AP$8))</f>
        <v>450000</v>
      </c>
      <c r="AR329" s="21">
        <f>(SUMPRODUCT(AR$9:AR$229,Nutrients!$ET$8:$ET$228)+(IF($A$7=Nutrients!$B$8,Nutrients!$ET$8,Nutrients!$ET$9)*AR$7)+(((IF($A$8=Nutrients!$B$79,Nutrients!$ET$79,(IF($A$8=Nutrients!$B$77,Nutrients!$ET$77,Nutrients!$ET$78)))))*AR$8))</f>
        <v>900000</v>
      </c>
      <c r="AS329" s="21">
        <f>(SUMPRODUCT(AS$9:AS$229,Nutrients!$ET$8:$ET$228)+(IF($A$7=Nutrients!$B$8,Nutrients!$ET$8,Nutrients!$ET$9)*AS$7)+(((IF($A$8=Nutrients!$B$79,Nutrients!$ET$79,(IF($A$8=Nutrients!$B$77,Nutrients!$ET$77,Nutrients!$ET$78)))))*AS$8))</f>
        <v>900000</v>
      </c>
      <c r="AT329" s="21">
        <f>(SUMPRODUCT(AT$9:AT$229,Nutrients!$ET$8:$ET$228)+(IF($A$7=Nutrients!$B$8,Nutrients!$ET$8,Nutrients!$ET$9)*AT$7)+(((IF($A$8=Nutrients!$B$79,Nutrients!$ET$79,(IF($A$8=Nutrients!$B$77,Nutrients!$ET$77,Nutrients!$ET$78)))))*AT$8))</f>
        <v>750000</v>
      </c>
      <c r="AU329" s="21">
        <f>(SUMPRODUCT(AU$9:AU$229,Nutrients!$ET$8:$ET$228)+(IF($A$7=Nutrients!$B$8,Nutrients!$ET$8,Nutrients!$ET$9)*AU$7)+(((IF($A$8=Nutrients!$B$79,Nutrients!$ET$79,(IF($A$8=Nutrients!$B$77,Nutrients!$ET$77,Nutrients!$ET$78)))))*AU$8))</f>
        <v>600000</v>
      </c>
      <c r="AV329" s="21">
        <f>(SUMPRODUCT(AV$9:AV$229,Nutrients!$ET$8:$ET$228)+(IF($A$7=Nutrients!$B$8,Nutrients!$ET$8,Nutrients!$ET$9)*AV$7)+(((IF($A$8=Nutrients!$B$79,Nutrients!$ET$79,(IF($A$8=Nutrients!$B$77,Nutrients!$ET$77,Nutrients!$ET$78)))))*AV$8))</f>
        <v>450000</v>
      </c>
      <c r="AW329" s="21">
        <f>(SUMPRODUCT(AW$9:AW$229,Nutrients!$ET$8:$ET$228)+(IF($A$7=Nutrients!$B$8,Nutrients!$ET$8,Nutrients!$ET$9)*AW$7)+(((IF($A$8=Nutrients!$B$79,Nutrients!$ET$79,(IF($A$8=Nutrients!$B$77,Nutrients!$ET$77,Nutrients!$ET$78)))))*AW$8))</f>
        <v>450000</v>
      </c>
    </row>
    <row r="330" spans="1:49" x14ac:dyDescent="0.25">
      <c r="A330" s="34" t="s">
        <v>123</v>
      </c>
      <c r="B330" s="21">
        <f>(SUMPRODUCT(B$9:B$229,Nutrients!$EU$8:$EU$228)+(IF($A$7=Nutrients!$B$8,Nutrients!$EU$8,Nutrients!$EU$9)*B$7)+(((IF($A$8=Nutrients!$B$79,Nutrients!$EU$79,(IF($A$8=Nutrients!$B$77,Nutrients!$EU$77,Nutrients!$EU$78)))))*B$8))</f>
        <v>24000</v>
      </c>
      <c r="C330" s="21">
        <f>(SUMPRODUCT(C$9:C$229,Nutrients!$EU$8:$EU$228)+(IF($A$7=Nutrients!$B$8,Nutrients!$EU$8,Nutrients!$EU$9)*C$7)+(((IF($A$8=Nutrients!$B$79,Nutrients!$EU$79,(IF($A$8=Nutrients!$B$77,Nutrients!$EU$77,Nutrients!$EU$78)))))*C$8))</f>
        <v>24000</v>
      </c>
      <c r="D330" s="21">
        <f>(SUMPRODUCT(D$9:D$229,Nutrients!$EU$8:$EU$228)+(IF($A$7=Nutrients!$B$8,Nutrients!$EU$8,Nutrients!$EU$9)*D$7)+(((IF($A$8=Nutrients!$B$79,Nutrients!$EU$79,(IF($A$8=Nutrients!$B$77,Nutrients!$EU$77,Nutrients!$EU$78)))))*D$8))</f>
        <v>20000</v>
      </c>
      <c r="E330" s="21">
        <f>(SUMPRODUCT(E$9:E$229,Nutrients!$EU$8:$EU$228)+(IF($A$7=Nutrients!$B$8,Nutrients!$EU$8,Nutrients!$EU$9)*E$7)+(((IF($A$8=Nutrients!$B$79,Nutrients!$EU$79,(IF($A$8=Nutrients!$B$77,Nutrients!$EU$77,Nutrients!$EU$78)))))*E$8))</f>
        <v>16000</v>
      </c>
      <c r="F330" s="21">
        <f>(SUMPRODUCT(F$9:F$229,Nutrients!$EU$8:$EU$228)+(IF($A$7=Nutrients!$B$8,Nutrients!$EU$8,Nutrients!$EU$9)*F$7)+(((IF($A$8=Nutrients!$B$79,Nutrients!$EU$79,(IF($A$8=Nutrients!$B$77,Nutrients!$EU$77,Nutrients!$EU$78)))))*F$8))</f>
        <v>12000</v>
      </c>
      <c r="G330" s="21">
        <f>(SUMPRODUCT(G$9:G$229,Nutrients!$EU$8:$EU$228)+(IF($A$7=Nutrients!$B$8,Nutrients!$EU$8,Nutrients!$EU$9)*G$7)+(((IF($A$8=Nutrients!$B$79,Nutrients!$EU$79,(IF($A$8=Nutrients!$B$77,Nutrients!$EU$77,Nutrients!$EU$78)))))*G$8))</f>
        <v>12000</v>
      </c>
      <c r="H330" s="226"/>
      <c r="I330" s="21">
        <f>(SUMPRODUCT(I$9:I$229,Nutrients!$EU$8:$EU$228)+(IF($A$7=Nutrients!$B$8,Nutrients!$EU$8,Nutrients!$EU$9)*I$7)+(((IF($A$8=Nutrients!$B$79,Nutrients!$EU$79,(IF($A$8=Nutrients!$B$77,Nutrients!$EU$77,Nutrients!$EU$78)))))*I$8))</f>
        <v>24000</v>
      </c>
      <c r="J330" s="21">
        <f>(SUMPRODUCT(J$9:J$229,Nutrients!$EU$8:$EU$228)+(IF($A$7=Nutrients!$B$8,Nutrients!$EU$8,Nutrients!$EU$9)*J$7)+(((IF($A$8=Nutrients!$B$79,Nutrients!$EU$79,(IF($A$8=Nutrients!$B$77,Nutrients!$EU$77,Nutrients!$EU$78)))))*J$8))</f>
        <v>24000</v>
      </c>
      <c r="K330" s="21">
        <f>(SUMPRODUCT(K$9:K$229,Nutrients!$EU$8:$EU$228)+(IF($A$7=Nutrients!$B$8,Nutrients!$EU$8,Nutrients!$EU$9)*K$7)+(((IF($A$8=Nutrients!$B$79,Nutrients!$EU$79,(IF($A$8=Nutrients!$B$77,Nutrients!$EU$77,Nutrients!$EU$78)))))*K$8))</f>
        <v>20000</v>
      </c>
      <c r="L330" s="21">
        <f>(SUMPRODUCT(L$9:L$229,Nutrients!$EU$8:$EU$228)+(IF($A$7=Nutrients!$B$8,Nutrients!$EU$8,Nutrients!$EU$9)*L$7)+(((IF($A$8=Nutrients!$B$79,Nutrients!$EU$79,(IF($A$8=Nutrients!$B$77,Nutrients!$EU$77,Nutrients!$EU$78)))))*L$8))</f>
        <v>16000</v>
      </c>
      <c r="M330" s="21">
        <f>(SUMPRODUCT(M$9:M$229,Nutrients!$EU$8:$EU$228)+(IF($A$7=Nutrients!$B$8,Nutrients!$EU$8,Nutrients!$EU$9)*M$7)+(((IF($A$8=Nutrients!$B$79,Nutrients!$EU$79,(IF($A$8=Nutrients!$B$77,Nutrients!$EU$77,Nutrients!$EU$78)))))*M$8))</f>
        <v>12000</v>
      </c>
      <c r="N330" s="21">
        <f>(SUMPRODUCT(N$9:N$229,Nutrients!$EU$8:$EU$228)+(IF($A$7=Nutrients!$B$8,Nutrients!$EU$8,Nutrients!$EU$9)*N$7)+(((IF($A$8=Nutrients!$B$79,Nutrients!$EU$79,(IF($A$8=Nutrients!$B$77,Nutrients!$EU$77,Nutrients!$EU$78)))))*N$8))</f>
        <v>12000</v>
      </c>
      <c r="O330" s="234"/>
      <c r="P330" s="21">
        <f>(SUMPRODUCT(P$9:P$229,Nutrients!$EU$8:$EU$228)+(IF($A$7=Nutrients!$B$8,Nutrients!$EU$8,Nutrients!$EU$9)*P$7)+(((IF($A$8=Nutrients!$B$79,Nutrients!$EU$79,(IF($A$8=Nutrients!$B$77,Nutrients!$EU$77,Nutrients!$EU$78)))))*P$8))</f>
        <v>24000</v>
      </c>
      <c r="Q330" s="21">
        <f>(SUMPRODUCT(Q$9:Q$229,Nutrients!$EU$8:$EU$228)+(IF($A$7=Nutrients!$B$8,Nutrients!$EU$8,Nutrients!$EU$9)*Q$7)+(((IF($A$8=Nutrients!$B$79,Nutrients!$EU$79,(IF($A$8=Nutrients!$B$77,Nutrients!$EU$77,Nutrients!$EU$78)))))*Q$8))</f>
        <v>24000</v>
      </c>
      <c r="R330" s="21">
        <f>(SUMPRODUCT(R$9:R$229,Nutrients!$EU$8:$EU$228)+(IF($A$7=Nutrients!$B$8,Nutrients!$EU$8,Nutrients!$EU$9)*R$7)+(((IF($A$8=Nutrients!$B$79,Nutrients!$EU$79,(IF($A$8=Nutrients!$B$77,Nutrients!$EU$77,Nutrients!$EU$78)))))*R$8))</f>
        <v>20000</v>
      </c>
      <c r="S330" s="21">
        <f>(SUMPRODUCT(S$9:S$229,Nutrients!$EU$8:$EU$228)+(IF($A$7=Nutrients!$B$8,Nutrients!$EU$8,Nutrients!$EU$9)*S$7)+(((IF($A$8=Nutrients!$B$79,Nutrients!$EU$79,(IF($A$8=Nutrients!$B$77,Nutrients!$EU$77,Nutrients!$EU$78)))))*S$8))</f>
        <v>16000</v>
      </c>
      <c r="T330" s="21">
        <f>(SUMPRODUCT(T$9:T$229,Nutrients!$EU$8:$EU$228)+(IF($A$7=Nutrients!$B$8,Nutrients!$EU$8,Nutrients!$EU$9)*T$7)+(((IF($A$8=Nutrients!$B$79,Nutrients!$EU$79,(IF($A$8=Nutrients!$B$77,Nutrients!$EU$77,Nutrients!$EU$78)))))*T$8))</f>
        <v>12000</v>
      </c>
      <c r="U330" s="21">
        <f>(SUMPRODUCT(U$9:U$229,Nutrients!$EU$8:$EU$228)+(IF($A$7=Nutrients!$B$8,Nutrients!$EU$8,Nutrients!$EU$9)*U$7)+(((IF($A$8=Nutrients!$B$79,Nutrients!$EU$79,(IF($A$8=Nutrients!$B$77,Nutrients!$EU$77,Nutrients!$EU$78)))))*U$8))</f>
        <v>12000</v>
      </c>
      <c r="W330" s="21">
        <f>(SUMPRODUCT(W$9:W$229,Nutrients!$EU$8:$EU$228)+(IF($A$7=Nutrients!$B$8,Nutrients!$EU$8,Nutrients!$EU$9)*W$7)+(((IF($A$8=Nutrients!$B$79,Nutrients!$EU$79,(IF($A$8=Nutrients!$B$77,Nutrients!$EU$77,Nutrients!$EU$78)))))*W$8))</f>
        <v>24000</v>
      </c>
      <c r="X330" s="21">
        <f>(SUMPRODUCT(X$9:X$229,Nutrients!$EU$8:$EU$228)+(IF($A$7=Nutrients!$B$8,Nutrients!$EU$8,Nutrients!$EU$9)*X$7)+(((IF($A$8=Nutrients!$B$79,Nutrients!$EU$79,(IF($A$8=Nutrients!$B$77,Nutrients!$EU$77,Nutrients!$EU$78)))))*X$8))</f>
        <v>24000</v>
      </c>
      <c r="Y330" s="21">
        <f>(SUMPRODUCT(Y$9:Y$229,Nutrients!$EU$8:$EU$228)+(IF($A$7=Nutrients!$B$8,Nutrients!$EU$8,Nutrients!$EU$9)*Y$7)+(((IF($A$8=Nutrients!$B$79,Nutrients!$EU$79,(IF($A$8=Nutrients!$B$77,Nutrients!$EU$77,Nutrients!$EU$78)))))*Y$8))</f>
        <v>20000</v>
      </c>
      <c r="Z330" s="21">
        <f>(SUMPRODUCT(Z$9:Z$229,Nutrients!$EU$8:$EU$228)+(IF($A$7=Nutrients!$B$8,Nutrients!$EU$8,Nutrients!$EU$9)*Z$7)+(((IF($A$8=Nutrients!$B$79,Nutrients!$EU$79,(IF($A$8=Nutrients!$B$77,Nutrients!$EU$77,Nutrients!$EU$78)))))*Z$8))</f>
        <v>16000</v>
      </c>
      <c r="AA330" s="21">
        <f>(SUMPRODUCT(AA$9:AA$229,Nutrients!$EU$8:$EU$228)+(IF($A$7=Nutrients!$B$8,Nutrients!$EU$8,Nutrients!$EU$9)*AA$7)+(((IF($A$8=Nutrients!$B$79,Nutrients!$EU$79,(IF($A$8=Nutrients!$B$77,Nutrients!$EU$77,Nutrients!$EU$78)))))*AA$8))</f>
        <v>12000</v>
      </c>
      <c r="AB330" s="21">
        <f>(SUMPRODUCT(AB$9:AB$229,Nutrients!$EU$8:$EU$228)+(IF($A$7=Nutrients!$B$8,Nutrients!$EU$8,Nutrients!$EU$9)*AB$7)+(((IF($A$8=Nutrients!$B$79,Nutrients!$EU$79,(IF($A$8=Nutrients!$B$77,Nutrients!$EU$77,Nutrients!$EU$78)))))*AB$8))</f>
        <v>12000</v>
      </c>
      <c r="AD330" s="21">
        <f>(SUMPRODUCT(AD$9:AD$229,Nutrients!$EU$8:$EU$228)+(IF($A$7=Nutrients!$B$8,Nutrients!$EU$8,Nutrients!$EU$9)*AD$7)+(((IF($A$8=Nutrients!$B$79,Nutrients!$EU$79,(IF($A$8=Nutrients!$B$77,Nutrients!$EU$77,Nutrients!$EU$78)))))*AD$8))</f>
        <v>24000</v>
      </c>
      <c r="AE330" s="21">
        <f>(SUMPRODUCT(AE$9:AE$229,Nutrients!$EU$8:$EU$228)+(IF($A$7=Nutrients!$B$8,Nutrients!$EU$8,Nutrients!$EU$9)*AE$7)+(((IF($A$8=Nutrients!$B$79,Nutrients!$EU$79,(IF($A$8=Nutrients!$B$77,Nutrients!$EU$77,Nutrients!$EU$78)))))*AE$8))</f>
        <v>24000</v>
      </c>
      <c r="AF330" s="21">
        <f>(SUMPRODUCT(AF$9:AF$229,Nutrients!$EU$8:$EU$228)+(IF($A$7=Nutrients!$B$8,Nutrients!$EU$8,Nutrients!$EU$9)*AF$7)+(((IF($A$8=Nutrients!$B$79,Nutrients!$EU$79,(IF($A$8=Nutrients!$B$77,Nutrients!$EU$77,Nutrients!$EU$78)))))*AF$8))</f>
        <v>20000</v>
      </c>
      <c r="AG330" s="21">
        <f>(SUMPRODUCT(AG$9:AG$229,Nutrients!$EU$8:$EU$228)+(IF($A$7=Nutrients!$B$8,Nutrients!$EU$8,Nutrients!$EU$9)*AG$7)+(((IF($A$8=Nutrients!$B$79,Nutrients!$EU$79,(IF($A$8=Nutrients!$B$77,Nutrients!$EU$77,Nutrients!$EU$78)))))*AG$8))</f>
        <v>16000</v>
      </c>
      <c r="AH330" s="21">
        <f>(SUMPRODUCT(AH$9:AH$229,Nutrients!$EU$8:$EU$228)+(IF($A$7=Nutrients!$B$8,Nutrients!$EU$8,Nutrients!$EU$9)*AH$7)+(((IF($A$8=Nutrients!$B$79,Nutrients!$EU$79,(IF($A$8=Nutrients!$B$77,Nutrients!$EU$77,Nutrients!$EU$78)))))*AH$8))</f>
        <v>12000</v>
      </c>
      <c r="AI330" s="21">
        <f>(SUMPRODUCT(AI$9:AI$229,Nutrients!$EU$8:$EU$228)+(IF($A$7=Nutrients!$B$8,Nutrients!$EU$8,Nutrients!$EU$9)*AI$7)+(((IF($A$8=Nutrients!$B$79,Nutrients!$EU$79,(IF($A$8=Nutrients!$B$77,Nutrients!$EU$77,Nutrients!$EU$78)))))*AI$8))</f>
        <v>12000</v>
      </c>
      <c r="AK330" s="21">
        <f>(SUMPRODUCT(AK$9:AK$229,Nutrients!$EU$8:$EU$228)+(IF($A$7=Nutrients!$B$8,Nutrients!$EU$8,Nutrients!$EU$9)*AK$7)+(((IF($A$8=Nutrients!$B$79,Nutrients!$EU$79,(IF($A$8=Nutrients!$B$77,Nutrients!$EU$77,Nutrients!$EU$78)))))*AK$8))</f>
        <v>24000</v>
      </c>
      <c r="AL330" s="21">
        <f>(SUMPRODUCT(AL$9:AL$229,Nutrients!$EU$8:$EU$228)+(IF($A$7=Nutrients!$B$8,Nutrients!$EU$8,Nutrients!$EU$9)*AL$7)+(((IF($A$8=Nutrients!$B$79,Nutrients!$EU$79,(IF($A$8=Nutrients!$B$77,Nutrients!$EU$77,Nutrients!$EU$78)))))*AL$8))</f>
        <v>24000</v>
      </c>
      <c r="AM330" s="21">
        <f>(SUMPRODUCT(AM$9:AM$229,Nutrients!$EU$8:$EU$228)+(IF($A$7=Nutrients!$B$8,Nutrients!$EU$8,Nutrients!$EU$9)*AM$7)+(((IF($A$8=Nutrients!$B$79,Nutrients!$EU$79,(IF($A$8=Nutrients!$B$77,Nutrients!$EU$77,Nutrients!$EU$78)))))*AM$8))</f>
        <v>20000</v>
      </c>
      <c r="AN330" s="21">
        <f>(SUMPRODUCT(AN$9:AN$229,Nutrients!$EU$8:$EU$228)+(IF($A$7=Nutrients!$B$8,Nutrients!$EU$8,Nutrients!$EU$9)*AN$7)+(((IF($A$8=Nutrients!$B$79,Nutrients!$EU$79,(IF($A$8=Nutrients!$B$77,Nutrients!$EU$77,Nutrients!$EU$78)))))*AN$8))</f>
        <v>16000</v>
      </c>
      <c r="AO330" s="21">
        <f>(SUMPRODUCT(AO$9:AO$229,Nutrients!$EU$8:$EU$228)+(IF($A$7=Nutrients!$B$8,Nutrients!$EU$8,Nutrients!$EU$9)*AO$7)+(((IF($A$8=Nutrients!$B$79,Nutrients!$EU$79,(IF($A$8=Nutrients!$B$77,Nutrients!$EU$77,Nutrients!$EU$78)))))*AO$8))</f>
        <v>12000</v>
      </c>
      <c r="AP330" s="21">
        <f>(SUMPRODUCT(AP$9:AP$229,Nutrients!$EU$8:$EU$228)+(IF($A$7=Nutrients!$B$8,Nutrients!$EU$8,Nutrients!$EU$9)*AP$7)+(((IF($A$8=Nutrients!$B$79,Nutrients!$EU$79,(IF($A$8=Nutrients!$B$77,Nutrients!$EU$77,Nutrients!$EU$78)))))*AP$8))</f>
        <v>12000</v>
      </c>
      <c r="AR330" s="21">
        <f>(SUMPRODUCT(AR$9:AR$229,Nutrients!$EU$8:$EU$228)+(IF($A$7=Nutrients!$B$8,Nutrients!$EU$8,Nutrients!$EU$9)*AR$7)+(((IF($A$8=Nutrients!$B$79,Nutrients!$EU$79,(IF($A$8=Nutrients!$B$77,Nutrients!$EU$77,Nutrients!$EU$78)))))*AR$8))</f>
        <v>24000</v>
      </c>
      <c r="AS330" s="21">
        <f>(SUMPRODUCT(AS$9:AS$229,Nutrients!$EU$8:$EU$228)+(IF($A$7=Nutrients!$B$8,Nutrients!$EU$8,Nutrients!$EU$9)*AS$7)+(((IF($A$8=Nutrients!$B$79,Nutrients!$EU$79,(IF($A$8=Nutrients!$B$77,Nutrients!$EU$77,Nutrients!$EU$78)))))*AS$8))</f>
        <v>24000</v>
      </c>
      <c r="AT330" s="21">
        <f>(SUMPRODUCT(AT$9:AT$229,Nutrients!$EU$8:$EU$228)+(IF($A$7=Nutrients!$B$8,Nutrients!$EU$8,Nutrients!$EU$9)*AT$7)+(((IF($A$8=Nutrients!$B$79,Nutrients!$EU$79,(IF($A$8=Nutrients!$B$77,Nutrients!$EU$77,Nutrients!$EU$78)))))*AT$8))</f>
        <v>20000</v>
      </c>
      <c r="AU330" s="21">
        <f>(SUMPRODUCT(AU$9:AU$229,Nutrients!$EU$8:$EU$228)+(IF($A$7=Nutrients!$B$8,Nutrients!$EU$8,Nutrients!$EU$9)*AU$7)+(((IF($A$8=Nutrients!$B$79,Nutrients!$EU$79,(IF($A$8=Nutrients!$B$77,Nutrients!$EU$77,Nutrients!$EU$78)))))*AU$8))</f>
        <v>16000</v>
      </c>
      <c r="AV330" s="21">
        <f>(SUMPRODUCT(AV$9:AV$229,Nutrients!$EU$8:$EU$228)+(IF($A$7=Nutrients!$B$8,Nutrients!$EU$8,Nutrients!$EU$9)*AV$7)+(((IF($A$8=Nutrients!$B$79,Nutrients!$EU$79,(IF($A$8=Nutrients!$B$77,Nutrients!$EU$77,Nutrients!$EU$78)))))*AV$8))</f>
        <v>12000</v>
      </c>
      <c r="AW330" s="21">
        <f>(SUMPRODUCT(AW$9:AW$229,Nutrients!$EU$8:$EU$228)+(IF($A$7=Nutrients!$B$8,Nutrients!$EU$8,Nutrients!$EU$9)*AW$7)+(((IF($A$8=Nutrients!$B$79,Nutrients!$EU$79,(IF($A$8=Nutrients!$B$77,Nutrients!$EU$77,Nutrients!$EU$78)))))*AW$8))</f>
        <v>12000</v>
      </c>
    </row>
    <row r="331" spans="1:49" x14ac:dyDescent="0.25">
      <c r="A331" s="34" t="s">
        <v>124</v>
      </c>
      <c r="B331" s="21">
        <f>(SUMPRODUCT(B$9:B$229,Nutrients!$EV$8:$EV$228)+(IF($A$7=Nutrients!$B$8,Nutrients!$EV$8,Nutrients!$EV$9)*B$7)+(((IF($A$8=Nutrients!$B$79,Nutrients!$EV$79,(IF($A$8=Nutrients!$B$77,Nutrients!$EV$77,Nutrients!$EV$78)))))*B$8))</f>
        <v>1800</v>
      </c>
      <c r="C331" s="21">
        <f>(SUMPRODUCT(C$9:C$229,Nutrients!$EV$8:$EV$228)+(IF($A$7=Nutrients!$B$8,Nutrients!$EV$8,Nutrients!$EV$9)*C$7)+(((IF($A$8=Nutrients!$B$79,Nutrients!$EV$79,(IF($A$8=Nutrients!$B$77,Nutrients!$EV$77,Nutrients!$EV$78)))))*C$8))</f>
        <v>1800</v>
      </c>
      <c r="D331" s="21">
        <f>(SUMPRODUCT(D$9:D$229,Nutrients!$EV$8:$EV$228)+(IF($A$7=Nutrients!$B$8,Nutrients!$EV$8,Nutrients!$EV$9)*D$7)+(((IF($A$8=Nutrients!$B$79,Nutrients!$EV$79,(IF($A$8=Nutrients!$B$77,Nutrients!$EV$77,Nutrients!$EV$78)))))*D$8))</f>
        <v>1500</v>
      </c>
      <c r="E331" s="21">
        <f>(SUMPRODUCT(E$9:E$229,Nutrients!$EV$8:$EV$228)+(IF($A$7=Nutrients!$B$8,Nutrients!$EV$8,Nutrients!$EV$9)*E$7)+(((IF($A$8=Nutrients!$B$79,Nutrients!$EV$79,(IF($A$8=Nutrients!$B$77,Nutrients!$EV$77,Nutrients!$EV$78)))))*E$8))</f>
        <v>1200</v>
      </c>
      <c r="F331" s="21">
        <f>(SUMPRODUCT(F$9:F$229,Nutrients!$EV$8:$EV$228)+(IF($A$7=Nutrients!$B$8,Nutrients!$EV$8,Nutrients!$EV$9)*F$7)+(((IF($A$8=Nutrients!$B$79,Nutrients!$EV$79,(IF($A$8=Nutrients!$B$77,Nutrients!$EV$77,Nutrients!$EV$78)))))*F$8))</f>
        <v>900</v>
      </c>
      <c r="G331" s="21">
        <f>(SUMPRODUCT(G$9:G$229,Nutrients!$EV$8:$EV$228)+(IF($A$7=Nutrients!$B$8,Nutrients!$EV$8,Nutrients!$EV$9)*G$7)+(((IF($A$8=Nutrients!$B$79,Nutrients!$EV$79,(IF($A$8=Nutrients!$B$77,Nutrients!$EV$77,Nutrients!$EV$78)))))*G$8))</f>
        <v>900</v>
      </c>
      <c r="H331" s="226"/>
      <c r="I331" s="21">
        <f>(SUMPRODUCT(I$9:I$229,Nutrients!$EV$8:$EV$228)+(IF($A$7=Nutrients!$B$8,Nutrients!$EV$8,Nutrients!$EV$9)*I$7)+(((IF($A$8=Nutrients!$B$79,Nutrients!$EV$79,(IF($A$8=Nutrients!$B$77,Nutrients!$EV$77,Nutrients!$EV$78)))))*I$8))</f>
        <v>1800</v>
      </c>
      <c r="J331" s="21">
        <f>(SUMPRODUCT(J$9:J$229,Nutrients!$EV$8:$EV$228)+(IF($A$7=Nutrients!$B$8,Nutrients!$EV$8,Nutrients!$EV$9)*J$7)+(((IF($A$8=Nutrients!$B$79,Nutrients!$EV$79,(IF($A$8=Nutrients!$B$77,Nutrients!$EV$77,Nutrients!$EV$78)))))*J$8))</f>
        <v>1800</v>
      </c>
      <c r="K331" s="21">
        <f>(SUMPRODUCT(K$9:K$229,Nutrients!$EV$8:$EV$228)+(IF($A$7=Nutrients!$B$8,Nutrients!$EV$8,Nutrients!$EV$9)*K$7)+(((IF($A$8=Nutrients!$B$79,Nutrients!$EV$79,(IF($A$8=Nutrients!$B$77,Nutrients!$EV$77,Nutrients!$EV$78)))))*K$8))</f>
        <v>1500</v>
      </c>
      <c r="L331" s="21">
        <f>(SUMPRODUCT(L$9:L$229,Nutrients!$EV$8:$EV$228)+(IF($A$7=Nutrients!$B$8,Nutrients!$EV$8,Nutrients!$EV$9)*L$7)+(((IF($A$8=Nutrients!$B$79,Nutrients!$EV$79,(IF($A$8=Nutrients!$B$77,Nutrients!$EV$77,Nutrients!$EV$78)))))*L$8))</f>
        <v>1200</v>
      </c>
      <c r="M331" s="21">
        <f>(SUMPRODUCT(M$9:M$229,Nutrients!$EV$8:$EV$228)+(IF($A$7=Nutrients!$B$8,Nutrients!$EV$8,Nutrients!$EV$9)*M$7)+(((IF($A$8=Nutrients!$B$79,Nutrients!$EV$79,(IF($A$8=Nutrients!$B$77,Nutrients!$EV$77,Nutrients!$EV$78)))))*M$8))</f>
        <v>900</v>
      </c>
      <c r="N331" s="21">
        <f>(SUMPRODUCT(N$9:N$229,Nutrients!$EV$8:$EV$228)+(IF($A$7=Nutrients!$B$8,Nutrients!$EV$8,Nutrients!$EV$9)*N$7)+(((IF($A$8=Nutrients!$B$79,Nutrients!$EV$79,(IF($A$8=Nutrients!$B$77,Nutrients!$EV$77,Nutrients!$EV$78)))))*N$8))</f>
        <v>900</v>
      </c>
      <c r="O331" s="234"/>
      <c r="P331" s="21">
        <f>(SUMPRODUCT(P$9:P$229,Nutrients!$EV$8:$EV$228)+(IF($A$7=Nutrients!$B$8,Nutrients!$EV$8,Nutrients!$EV$9)*P$7)+(((IF($A$8=Nutrients!$B$79,Nutrients!$EV$79,(IF($A$8=Nutrients!$B$77,Nutrients!$EV$77,Nutrients!$EV$78)))))*P$8))</f>
        <v>1800</v>
      </c>
      <c r="Q331" s="21">
        <f>(SUMPRODUCT(Q$9:Q$229,Nutrients!$EV$8:$EV$228)+(IF($A$7=Nutrients!$B$8,Nutrients!$EV$8,Nutrients!$EV$9)*Q$7)+(((IF($A$8=Nutrients!$B$79,Nutrients!$EV$79,(IF($A$8=Nutrients!$B$77,Nutrients!$EV$77,Nutrients!$EV$78)))))*Q$8))</f>
        <v>1800</v>
      </c>
      <c r="R331" s="21">
        <f>(SUMPRODUCT(R$9:R$229,Nutrients!$EV$8:$EV$228)+(IF($A$7=Nutrients!$B$8,Nutrients!$EV$8,Nutrients!$EV$9)*R$7)+(((IF($A$8=Nutrients!$B$79,Nutrients!$EV$79,(IF($A$8=Nutrients!$B$77,Nutrients!$EV$77,Nutrients!$EV$78)))))*R$8))</f>
        <v>1500</v>
      </c>
      <c r="S331" s="21">
        <f>(SUMPRODUCT(S$9:S$229,Nutrients!$EV$8:$EV$228)+(IF($A$7=Nutrients!$B$8,Nutrients!$EV$8,Nutrients!$EV$9)*S$7)+(((IF($A$8=Nutrients!$B$79,Nutrients!$EV$79,(IF($A$8=Nutrients!$B$77,Nutrients!$EV$77,Nutrients!$EV$78)))))*S$8))</f>
        <v>1200</v>
      </c>
      <c r="T331" s="21">
        <f>(SUMPRODUCT(T$9:T$229,Nutrients!$EV$8:$EV$228)+(IF($A$7=Nutrients!$B$8,Nutrients!$EV$8,Nutrients!$EV$9)*T$7)+(((IF($A$8=Nutrients!$B$79,Nutrients!$EV$79,(IF($A$8=Nutrients!$B$77,Nutrients!$EV$77,Nutrients!$EV$78)))))*T$8))</f>
        <v>900</v>
      </c>
      <c r="U331" s="21">
        <f>(SUMPRODUCT(U$9:U$229,Nutrients!$EV$8:$EV$228)+(IF($A$7=Nutrients!$B$8,Nutrients!$EV$8,Nutrients!$EV$9)*U$7)+(((IF($A$8=Nutrients!$B$79,Nutrients!$EV$79,(IF($A$8=Nutrients!$B$77,Nutrients!$EV$77,Nutrients!$EV$78)))))*U$8))</f>
        <v>900</v>
      </c>
      <c r="W331" s="21">
        <f>(SUMPRODUCT(W$9:W$229,Nutrients!$EV$8:$EV$228)+(IF($A$7=Nutrients!$B$8,Nutrients!$EV$8,Nutrients!$EV$9)*W$7)+(((IF($A$8=Nutrients!$B$79,Nutrients!$EV$79,(IF($A$8=Nutrients!$B$77,Nutrients!$EV$77,Nutrients!$EV$78)))))*W$8))</f>
        <v>1800</v>
      </c>
      <c r="X331" s="21">
        <f>(SUMPRODUCT(X$9:X$229,Nutrients!$EV$8:$EV$228)+(IF($A$7=Nutrients!$B$8,Nutrients!$EV$8,Nutrients!$EV$9)*X$7)+(((IF($A$8=Nutrients!$B$79,Nutrients!$EV$79,(IF($A$8=Nutrients!$B$77,Nutrients!$EV$77,Nutrients!$EV$78)))))*X$8))</f>
        <v>1800</v>
      </c>
      <c r="Y331" s="21">
        <f>(SUMPRODUCT(Y$9:Y$229,Nutrients!$EV$8:$EV$228)+(IF($A$7=Nutrients!$B$8,Nutrients!$EV$8,Nutrients!$EV$9)*Y$7)+(((IF($A$8=Nutrients!$B$79,Nutrients!$EV$79,(IF($A$8=Nutrients!$B$77,Nutrients!$EV$77,Nutrients!$EV$78)))))*Y$8))</f>
        <v>1500</v>
      </c>
      <c r="Z331" s="21">
        <f>(SUMPRODUCT(Z$9:Z$229,Nutrients!$EV$8:$EV$228)+(IF($A$7=Nutrients!$B$8,Nutrients!$EV$8,Nutrients!$EV$9)*Z$7)+(((IF($A$8=Nutrients!$B$79,Nutrients!$EV$79,(IF($A$8=Nutrients!$B$77,Nutrients!$EV$77,Nutrients!$EV$78)))))*Z$8))</f>
        <v>1200</v>
      </c>
      <c r="AA331" s="21">
        <f>(SUMPRODUCT(AA$9:AA$229,Nutrients!$EV$8:$EV$228)+(IF($A$7=Nutrients!$B$8,Nutrients!$EV$8,Nutrients!$EV$9)*AA$7)+(((IF($A$8=Nutrients!$B$79,Nutrients!$EV$79,(IF($A$8=Nutrients!$B$77,Nutrients!$EV$77,Nutrients!$EV$78)))))*AA$8))</f>
        <v>900</v>
      </c>
      <c r="AB331" s="21">
        <f>(SUMPRODUCT(AB$9:AB$229,Nutrients!$EV$8:$EV$228)+(IF($A$7=Nutrients!$B$8,Nutrients!$EV$8,Nutrients!$EV$9)*AB$7)+(((IF($A$8=Nutrients!$B$79,Nutrients!$EV$79,(IF($A$8=Nutrients!$B$77,Nutrients!$EV$77,Nutrients!$EV$78)))))*AB$8))</f>
        <v>900</v>
      </c>
      <c r="AD331" s="21">
        <f>(SUMPRODUCT(AD$9:AD$229,Nutrients!$EV$8:$EV$228)+(IF($A$7=Nutrients!$B$8,Nutrients!$EV$8,Nutrients!$EV$9)*AD$7)+(((IF($A$8=Nutrients!$B$79,Nutrients!$EV$79,(IF($A$8=Nutrients!$B$77,Nutrients!$EV$77,Nutrients!$EV$78)))))*AD$8))</f>
        <v>1800</v>
      </c>
      <c r="AE331" s="21">
        <f>(SUMPRODUCT(AE$9:AE$229,Nutrients!$EV$8:$EV$228)+(IF($A$7=Nutrients!$B$8,Nutrients!$EV$8,Nutrients!$EV$9)*AE$7)+(((IF($A$8=Nutrients!$B$79,Nutrients!$EV$79,(IF($A$8=Nutrients!$B$77,Nutrients!$EV$77,Nutrients!$EV$78)))))*AE$8))</f>
        <v>1800</v>
      </c>
      <c r="AF331" s="21">
        <f>(SUMPRODUCT(AF$9:AF$229,Nutrients!$EV$8:$EV$228)+(IF($A$7=Nutrients!$B$8,Nutrients!$EV$8,Nutrients!$EV$9)*AF$7)+(((IF($A$8=Nutrients!$B$79,Nutrients!$EV$79,(IF($A$8=Nutrients!$B$77,Nutrients!$EV$77,Nutrients!$EV$78)))))*AF$8))</f>
        <v>1500</v>
      </c>
      <c r="AG331" s="21">
        <f>(SUMPRODUCT(AG$9:AG$229,Nutrients!$EV$8:$EV$228)+(IF($A$7=Nutrients!$B$8,Nutrients!$EV$8,Nutrients!$EV$9)*AG$7)+(((IF($A$8=Nutrients!$B$79,Nutrients!$EV$79,(IF($A$8=Nutrients!$B$77,Nutrients!$EV$77,Nutrients!$EV$78)))))*AG$8))</f>
        <v>1200</v>
      </c>
      <c r="AH331" s="21">
        <f>(SUMPRODUCT(AH$9:AH$229,Nutrients!$EV$8:$EV$228)+(IF($A$7=Nutrients!$B$8,Nutrients!$EV$8,Nutrients!$EV$9)*AH$7)+(((IF($A$8=Nutrients!$B$79,Nutrients!$EV$79,(IF($A$8=Nutrients!$B$77,Nutrients!$EV$77,Nutrients!$EV$78)))))*AH$8))</f>
        <v>900</v>
      </c>
      <c r="AI331" s="21">
        <f>(SUMPRODUCT(AI$9:AI$229,Nutrients!$EV$8:$EV$228)+(IF($A$7=Nutrients!$B$8,Nutrients!$EV$8,Nutrients!$EV$9)*AI$7)+(((IF($A$8=Nutrients!$B$79,Nutrients!$EV$79,(IF($A$8=Nutrients!$B$77,Nutrients!$EV$77,Nutrients!$EV$78)))))*AI$8))</f>
        <v>900</v>
      </c>
      <c r="AK331" s="21">
        <f>(SUMPRODUCT(AK$9:AK$229,Nutrients!$EV$8:$EV$228)+(IF($A$7=Nutrients!$B$8,Nutrients!$EV$8,Nutrients!$EV$9)*AK$7)+(((IF($A$8=Nutrients!$B$79,Nutrients!$EV$79,(IF($A$8=Nutrients!$B$77,Nutrients!$EV$77,Nutrients!$EV$78)))))*AK$8))</f>
        <v>1800</v>
      </c>
      <c r="AL331" s="21">
        <f>(SUMPRODUCT(AL$9:AL$229,Nutrients!$EV$8:$EV$228)+(IF($A$7=Nutrients!$B$8,Nutrients!$EV$8,Nutrients!$EV$9)*AL$7)+(((IF($A$8=Nutrients!$B$79,Nutrients!$EV$79,(IF($A$8=Nutrients!$B$77,Nutrients!$EV$77,Nutrients!$EV$78)))))*AL$8))</f>
        <v>1800</v>
      </c>
      <c r="AM331" s="21">
        <f>(SUMPRODUCT(AM$9:AM$229,Nutrients!$EV$8:$EV$228)+(IF($A$7=Nutrients!$B$8,Nutrients!$EV$8,Nutrients!$EV$9)*AM$7)+(((IF($A$8=Nutrients!$B$79,Nutrients!$EV$79,(IF($A$8=Nutrients!$B$77,Nutrients!$EV$77,Nutrients!$EV$78)))))*AM$8))</f>
        <v>1500</v>
      </c>
      <c r="AN331" s="21">
        <f>(SUMPRODUCT(AN$9:AN$229,Nutrients!$EV$8:$EV$228)+(IF($A$7=Nutrients!$B$8,Nutrients!$EV$8,Nutrients!$EV$9)*AN$7)+(((IF($A$8=Nutrients!$B$79,Nutrients!$EV$79,(IF($A$8=Nutrients!$B$77,Nutrients!$EV$77,Nutrients!$EV$78)))))*AN$8))</f>
        <v>1200</v>
      </c>
      <c r="AO331" s="21">
        <f>(SUMPRODUCT(AO$9:AO$229,Nutrients!$EV$8:$EV$228)+(IF($A$7=Nutrients!$B$8,Nutrients!$EV$8,Nutrients!$EV$9)*AO$7)+(((IF($A$8=Nutrients!$B$79,Nutrients!$EV$79,(IF($A$8=Nutrients!$B$77,Nutrients!$EV$77,Nutrients!$EV$78)))))*AO$8))</f>
        <v>900</v>
      </c>
      <c r="AP331" s="21">
        <f>(SUMPRODUCT(AP$9:AP$229,Nutrients!$EV$8:$EV$228)+(IF($A$7=Nutrients!$B$8,Nutrients!$EV$8,Nutrients!$EV$9)*AP$7)+(((IF($A$8=Nutrients!$B$79,Nutrients!$EV$79,(IF($A$8=Nutrients!$B$77,Nutrients!$EV$77,Nutrients!$EV$78)))))*AP$8))</f>
        <v>900</v>
      </c>
      <c r="AR331" s="21">
        <f>(SUMPRODUCT(AR$9:AR$229,Nutrients!$EV$8:$EV$228)+(IF($A$7=Nutrients!$B$8,Nutrients!$EV$8,Nutrients!$EV$9)*AR$7)+(((IF($A$8=Nutrients!$B$79,Nutrients!$EV$79,(IF($A$8=Nutrients!$B$77,Nutrients!$EV$77,Nutrients!$EV$78)))))*AR$8))</f>
        <v>1800</v>
      </c>
      <c r="AS331" s="21">
        <f>(SUMPRODUCT(AS$9:AS$229,Nutrients!$EV$8:$EV$228)+(IF($A$7=Nutrients!$B$8,Nutrients!$EV$8,Nutrients!$EV$9)*AS$7)+(((IF($A$8=Nutrients!$B$79,Nutrients!$EV$79,(IF($A$8=Nutrients!$B$77,Nutrients!$EV$77,Nutrients!$EV$78)))))*AS$8))</f>
        <v>1800</v>
      </c>
      <c r="AT331" s="21">
        <f>(SUMPRODUCT(AT$9:AT$229,Nutrients!$EV$8:$EV$228)+(IF($A$7=Nutrients!$B$8,Nutrients!$EV$8,Nutrients!$EV$9)*AT$7)+(((IF($A$8=Nutrients!$B$79,Nutrients!$EV$79,(IF($A$8=Nutrients!$B$77,Nutrients!$EV$77,Nutrients!$EV$78)))))*AT$8))</f>
        <v>1500</v>
      </c>
      <c r="AU331" s="21">
        <f>(SUMPRODUCT(AU$9:AU$229,Nutrients!$EV$8:$EV$228)+(IF($A$7=Nutrients!$B$8,Nutrients!$EV$8,Nutrients!$EV$9)*AU$7)+(((IF($A$8=Nutrients!$B$79,Nutrients!$EV$79,(IF($A$8=Nutrients!$B$77,Nutrients!$EV$77,Nutrients!$EV$78)))))*AU$8))</f>
        <v>1200</v>
      </c>
      <c r="AV331" s="21">
        <f>(SUMPRODUCT(AV$9:AV$229,Nutrients!$EV$8:$EV$228)+(IF($A$7=Nutrients!$B$8,Nutrients!$EV$8,Nutrients!$EV$9)*AV$7)+(((IF($A$8=Nutrients!$B$79,Nutrients!$EV$79,(IF($A$8=Nutrients!$B$77,Nutrients!$EV$77,Nutrients!$EV$78)))))*AV$8))</f>
        <v>900</v>
      </c>
      <c r="AW331" s="21">
        <f>(SUMPRODUCT(AW$9:AW$229,Nutrients!$EV$8:$EV$228)+(IF($A$7=Nutrients!$B$8,Nutrients!$EV$8,Nutrients!$EV$9)*AW$7)+(((IF($A$8=Nutrients!$B$79,Nutrients!$EV$79,(IF($A$8=Nutrients!$B$77,Nutrients!$EV$77,Nutrients!$EV$78)))))*AW$8))</f>
        <v>900</v>
      </c>
    </row>
    <row r="332" spans="1:49" x14ac:dyDescent="0.25">
      <c r="A332" s="34" t="s">
        <v>125</v>
      </c>
      <c r="B332" s="21">
        <f>(SUMPRODUCT(B$9:B$229,Nutrients!$EW$8:$EW$228)+(IF($A$7=Nutrients!$B$8,Nutrients!$EW$8,Nutrients!$EW$9)*B$7)+(((IF($A$8=Nutrients!$B$79,Nutrients!$EW$79,(IF($A$8=Nutrients!$B$77,Nutrients!$EW$77,Nutrients!$EW$78)))))*B$8))</f>
        <v>18</v>
      </c>
      <c r="C332" s="21">
        <f>(SUMPRODUCT(C$9:C$229,Nutrients!$EW$8:$EW$228)+(IF($A$7=Nutrients!$B$8,Nutrients!$EW$8,Nutrients!$EW$9)*C$7)+(((IF($A$8=Nutrients!$B$79,Nutrients!$EW$79,(IF($A$8=Nutrients!$B$77,Nutrients!$EW$77,Nutrients!$EW$78)))))*C$8))</f>
        <v>18</v>
      </c>
      <c r="D332" s="21">
        <f>(SUMPRODUCT(D$9:D$229,Nutrients!$EW$8:$EW$228)+(IF($A$7=Nutrients!$B$8,Nutrients!$EW$8,Nutrients!$EW$9)*D$7)+(((IF($A$8=Nutrients!$B$79,Nutrients!$EW$79,(IF($A$8=Nutrients!$B$77,Nutrients!$EW$77,Nutrients!$EW$78)))))*D$8))</f>
        <v>15</v>
      </c>
      <c r="E332" s="21">
        <f>(SUMPRODUCT(E$9:E$229,Nutrients!$EW$8:$EW$228)+(IF($A$7=Nutrients!$B$8,Nutrients!$EW$8,Nutrients!$EW$9)*E$7)+(((IF($A$8=Nutrients!$B$79,Nutrients!$EW$79,(IF($A$8=Nutrients!$B$77,Nutrients!$EW$77,Nutrients!$EW$78)))))*E$8))</f>
        <v>12</v>
      </c>
      <c r="F332" s="21">
        <f>(SUMPRODUCT(F$9:F$229,Nutrients!$EW$8:$EW$228)+(IF($A$7=Nutrients!$B$8,Nutrients!$EW$8,Nutrients!$EW$9)*F$7)+(((IF($A$8=Nutrients!$B$79,Nutrients!$EW$79,(IF($A$8=Nutrients!$B$77,Nutrients!$EW$77,Nutrients!$EW$78)))))*F$8))</f>
        <v>9</v>
      </c>
      <c r="G332" s="21">
        <f>(SUMPRODUCT(G$9:G$229,Nutrients!$EW$8:$EW$228)+(IF($A$7=Nutrients!$B$8,Nutrients!$EW$8,Nutrients!$EW$9)*G$7)+(((IF($A$8=Nutrients!$B$79,Nutrients!$EW$79,(IF($A$8=Nutrients!$B$77,Nutrients!$EW$77,Nutrients!$EW$78)))))*G$8))</f>
        <v>9</v>
      </c>
      <c r="H332" s="226"/>
      <c r="I332" s="21">
        <f>(SUMPRODUCT(I$9:I$229,Nutrients!$EW$8:$EW$228)+(IF($A$7=Nutrients!$B$8,Nutrients!$EW$8,Nutrients!$EW$9)*I$7)+(((IF($A$8=Nutrients!$B$79,Nutrients!$EW$79,(IF($A$8=Nutrients!$B$77,Nutrients!$EW$77,Nutrients!$EW$78)))))*I$8))</f>
        <v>18</v>
      </c>
      <c r="J332" s="21">
        <f>(SUMPRODUCT(J$9:J$229,Nutrients!$EW$8:$EW$228)+(IF($A$7=Nutrients!$B$8,Nutrients!$EW$8,Nutrients!$EW$9)*J$7)+(((IF($A$8=Nutrients!$B$79,Nutrients!$EW$79,(IF($A$8=Nutrients!$B$77,Nutrients!$EW$77,Nutrients!$EW$78)))))*J$8))</f>
        <v>18</v>
      </c>
      <c r="K332" s="21">
        <f>(SUMPRODUCT(K$9:K$229,Nutrients!$EW$8:$EW$228)+(IF($A$7=Nutrients!$B$8,Nutrients!$EW$8,Nutrients!$EW$9)*K$7)+(((IF($A$8=Nutrients!$B$79,Nutrients!$EW$79,(IF($A$8=Nutrients!$B$77,Nutrients!$EW$77,Nutrients!$EW$78)))))*K$8))</f>
        <v>15</v>
      </c>
      <c r="L332" s="21">
        <f>(SUMPRODUCT(L$9:L$229,Nutrients!$EW$8:$EW$228)+(IF($A$7=Nutrients!$B$8,Nutrients!$EW$8,Nutrients!$EW$9)*L$7)+(((IF($A$8=Nutrients!$B$79,Nutrients!$EW$79,(IF($A$8=Nutrients!$B$77,Nutrients!$EW$77,Nutrients!$EW$78)))))*L$8))</f>
        <v>12</v>
      </c>
      <c r="M332" s="21">
        <f>(SUMPRODUCT(M$9:M$229,Nutrients!$EW$8:$EW$228)+(IF($A$7=Nutrients!$B$8,Nutrients!$EW$8,Nutrients!$EW$9)*M$7)+(((IF($A$8=Nutrients!$B$79,Nutrients!$EW$79,(IF($A$8=Nutrients!$B$77,Nutrients!$EW$77,Nutrients!$EW$78)))))*M$8))</f>
        <v>9</v>
      </c>
      <c r="N332" s="21">
        <f>(SUMPRODUCT(N$9:N$229,Nutrients!$EW$8:$EW$228)+(IF($A$7=Nutrients!$B$8,Nutrients!$EW$8,Nutrients!$EW$9)*N$7)+(((IF($A$8=Nutrients!$B$79,Nutrients!$EW$79,(IF($A$8=Nutrients!$B$77,Nutrients!$EW$77,Nutrients!$EW$78)))))*N$8))</f>
        <v>9</v>
      </c>
      <c r="O332" s="234"/>
      <c r="P332" s="21">
        <f>(SUMPRODUCT(P$9:P$229,Nutrients!$EW$8:$EW$228)+(IF($A$7=Nutrients!$B$8,Nutrients!$EW$8,Nutrients!$EW$9)*P$7)+(((IF($A$8=Nutrients!$B$79,Nutrients!$EW$79,(IF($A$8=Nutrients!$B$77,Nutrients!$EW$77,Nutrients!$EW$78)))))*P$8))</f>
        <v>18</v>
      </c>
      <c r="Q332" s="21">
        <f>(SUMPRODUCT(Q$9:Q$229,Nutrients!$EW$8:$EW$228)+(IF($A$7=Nutrients!$B$8,Nutrients!$EW$8,Nutrients!$EW$9)*Q$7)+(((IF($A$8=Nutrients!$B$79,Nutrients!$EW$79,(IF($A$8=Nutrients!$B$77,Nutrients!$EW$77,Nutrients!$EW$78)))))*Q$8))</f>
        <v>18</v>
      </c>
      <c r="R332" s="21">
        <f>(SUMPRODUCT(R$9:R$229,Nutrients!$EW$8:$EW$228)+(IF($A$7=Nutrients!$B$8,Nutrients!$EW$8,Nutrients!$EW$9)*R$7)+(((IF($A$8=Nutrients!$B$79,Nutrients!$EW$79,(IF($A$8=Nutrients!$B$77,Nutrients!$EW$77,Nutrients!$EW$78)))))*R$8))</f>
        <v>15</v>
      </c>
      <c r="S332" s="21">
        <f>(SUMPRODUCT(S$9:S$229,Nutrients!$EW$8:$EW$228)+(IF($A$7=Nutrients!$B$8,Nutrients!$EW$8,Nutrients!$EW$9)*S$7)+(((IF($A$8=Nutrients!$B$79,Nutrients!$EW$79,(IF($A$8=Nutrients!$B$77,Nutrients!$EW$77,Nutrients!$EW$78)))))*S$8))</f>
        <v>12</v>
      </c>
      <c r="T332" s="21">
        <f>(SUMPRODUCT(T$9:T$229,Nutrients!$EW$8:$EW$228)+(IF($A$7=Nutrients!$B$8,Nutrients!$EW$8,Nutrients!$EW$9)*T$7)+(((IF($A$8=Nutrients!$B$79,Nutrients!$EW$79,(IF($A$8=Nutrients!$B$77,Nutrients!$EW$77,Nutrients!$EW$78)))))*T$8))</f>
        <v>9</v>
      </c>
      <c r="U332" s="21">
        <f>(SUMPRODUCT(U$9:U$229,Nutrients!$EW$8:$EW$228)+(IF($A$7=Nutrients!$B$8,Nutrients!$EW$8,Nutrients!$EW$9)*U$7)+(((IF($A$8=Nutrients!$B$79,Nutrients!$EW$79,(IF($A$8=Nutrients!$B$77,Nutrients!$EW$77,Nutrients!$EW$78)))))*U$8))</f>
        <v>9</v>
      </c>
      <c r="W332" s="21">
        <f>(SUMPRODUCT(W$9:W$229,Nutrients!$EW$8:$EW$228)+(IF($A$7=Nutrients!$B$8,Nutrients!$EW$8,Nutrients!$EW$9)*W$7)+(((IF($A$8=Nutrients!$B$79,Nutrients!$EW$79,(IF($A$8=Nutrients!$B$77,Nutrients!$EW$77,Nutrients!$EW$78)))))*W$8))</f>
        <v>18</v>
      </c>
      <c r="X332" s="21">
        <f>(SUMPRODUCT(X$9:X$229,Nutrients!$EW$8:$EW$228)+(IF($A$7=Nutrients!$B$8,Nutrients!$EW$8,Nutrients!$EW$9)*X$7)+(((IF($A$8=Nutrients!$B$79,Nutrients!$EW$79,(IF($A$8=Nutrients!$B$77,Nutrients!$EW$77,Nutrients!$EW$78)))))*X$8))</f>
        <v>18</v>
      </c>
      <c r="Y332" s="21">
        <f>(SUMPRODUCT(Y$9:Y$229,Nutrients!$EW$8:$EW$228)+(IF($A$7=Nutrients!$B$8,Nutrients!$EW$8,Nutrients!$EW$9)*Y$7)+(((IF($A$8=Nutrients!$B$79,Nutrients!$EW$79,(IF($A$8=Nutrients!$B$77,Nutrients!$EW$77,Nutrients!$EW$78)))))*Y$8))</f>
        <v>15</v>
      </c>
      <c r="Z332" s="21">
        <f>(SUMPRODUCT(Z$9:Z$229,Nutrients!$EW$8:$EW$228)+(IF($A$7=Nutrients!$B$8,Nutrients!$EW$8,Nutrients!$EW$9)*Z$7)+(((IF($A$8=Nutrients!$B$79,Nutrients!$EW$79,(IF($A$8=Nutrients!$B$77,Nutrients!$EW$77,Nutrients!$EW$78)))))*Z$8))</f>
        <v>12</v>
      </c>
      <c r="AA332" s="21">
        <f>(SUMPRODUCT(AA$9:AA$229,Nutrients!$EW$8:$EW$228)+(IF($A$7=Nutrients!$B$8,Nutrients!$EW$8,Nutrients!$EW$9)*AA$7)+(((IF($A$8=Nutrients!$B$79,Nutrients!$EW$79,(IF($A$8=Nutrients!$B$77,Nutrients!$EW$77,Nutrients!$EW$78)))))*AA$8))</f>
        <v>9</v>
      </c>
      <c r="AB332" s="21">
        <f>(SUMPRODUCT(AB$9:AB$229,Nutrients!$EW$8:$EW$228)+(IF($A$7=Nutrients!$B$8,Nutrients!$EW$8,Nutrients!$EW$9)*AB$7)+(((IF($A$8=Nutrients!$B$79,Nutrients!$EW$79,(IF($A$8=Nutrients!$B$77,Nutrients!$EW$77,Nutrients!$EW$78)))))*AB$8))</f>
        <v>9</v>
      </c>
      <c r="AD332" s="21">
        <f>(SUMPRODUCT(AD$9:AD$229,Nutrients!$EW$8:$EW$228)+(IF($A$7=Nutrients!$B$8,Nutrients!$EW$8,Nutrients!$EW$9)*AD$7)+(((IF($A$8=Nutrients!$B$79,Nutrients!$EW$79,(IF($A$8=Nutrients!$B$77,Nutrients!$EW$77,Nutrients!$EW$78)))))*AD$8))</f>
        <v>18</v>
      </c>
      <c r="AE332" s="21">
        <f>(SUMPRODUCT(AE$9:AE$229,Nutrients!$EW$8:$EW$228)+(IF($A$7=Nutrients!$B$8,Nutrients!$EW$8,Nutrients!$EW$9)*AE$7)+(((IF($A$8=Nutrients!$B$79,Nutrients!$EW$79,(IF($A$8=Nutrients!$B$77,Nutrients!$EW$77,Nutrients!$EW$78)))))*AE$8))</f>
        <v>18</v>
      </c>
      <c r="AF332" s="21">
        <f>(SUMPRODUCT(AF$9:AF$229,Nutrients!$EW$8:$EW$228)+(IF($A$7=Nutrients!$B$8,Nutrients!$EW$8,Nutrients!$EW$9)*AF$7)+(((IF($A$8=Nutrients!$B$79,Nutrients!$EW$79,(IF($A$8=Nutrients!$B$77,Nutrients!$EW$77,Nutrients!$EW$78)))))*AF$8))</f>
        <v>15</v>
      </c>
      <c r="AG332" s="21">
        <f>(SUMPRODUCT(AG$9:AG$229,Nutrients!$EW$8:$EW$228)+(IF($A$7=Nutrients!$B$8,Nutrients!$EW$8,Nutrients!$EW$9)*AG$7)+(((IF($A$8=Nutrients!$B$79,Nutrients!$EW$79,(IF($A$8=Nutrients!$B$77,Nutrients!$EW$77,Nutrients!$EW$78)))))*AG$8))</f>
        <v>12</v>
      </c>
      <c r="AH332" s="21">
        <f>(SUMPRODUCT(AH$9:AH$229,Nutrients!$EW$8:$EW$228)+(IF($A$7=Nutrients!$B$8,Nutrients!$EW$8,Nutrients!$EW$9)*AH$7)+(((IF($A$8=Nutrients!$B$79,Nutrients!$EW$79,(IF($A$8=Nutrients!$B$77,Nutrients!$EW$77,Nutrients!$EW$78)))))*AH$8))</f>
        <v>9</v>
      </c>
      <c r="AI332" s="21">
        <f>(SUMPRODUCT(AI$9:AI$229,Nutrients!$EW$8:$EW$228)+(IF($A$7=Nutrients!$B$8,Nutrients!$EW$8,Nutrients!$EW$9)*AI$7)+(((IF($A$8=Nutrients!$B$79,Nutrients!$EW$79,(IF($A$8=Nutrients!$B$77,Nutrients!$EW$77,Nutrients!$EW$78)))))*AI$8))</f>
        <v>9</v>
      </c>
      <c r="AK332" s="21">
        <f>(SUMPRODUCT(AK$9:AK$229,Nutrients!$EW$8:$EW$228)+(IF($A$7=Nutrients!$B$8,Nutrients!$EW$8,Nutrients!$EW$9)*AK$7)+(((IF($A$8=Nutrients!$B$79,Nutrients!$EW$79,(IF($A$8=Nutrients!$B$77,Nutrients!$EW$77,Nutrients!$EW$78)))))*AK$8))</f>
        <v>18</v>
      </c>
      <c r="AL332" s="21">
        <f>(SUMPRODUCT(AL$9:AL$229,Nutrients!$EW$8:$EW$228)+(IF($A$7=Nutrients!$B$8,Nutrients!$EW$8,Nutrients!$EW$9)*AL$7)+(((IF($A$8=Nutrients!$B$79,Nutrients!$EW$79,(IF($A$8=Nutrients!$B$77,Nutrients!$EW$77,Nutrients!$EW$78)))))*AL$8))</f>
        <v>18</v>
      </c>
      <c r="AM332" s="21">
        <f>(SUMPRODUCT(AM$9:AM$229,Nutrients!$EW$8:$EW$228)+(IF($A$7=Nutrients!$B$8,Nutrients!$EW$8,Nutrients!$EW$9)*AM$7)+(((IF($A$8=Nutrients!$B$79,Nutrients!$EW$79,(IF($A$8=Nutrients!$B$77,Nutrients!$EW$77,Nutrients!$EW$78)))))*AM$8))</f>
        <v>15</v>
      </c>
      <c r="AN332" s="21">
        <f>(SUMPRODUCT(AN$9:AN$229,Nutrients!$EW$8:$EW$228)+(IF($A$7=Nutrients!$B$8,Nutrients!$EW$8,Nutrients!$EW$9)*AN$7)+(((IF($A$8=Nutrients!$B$79,Nutrients!$EW$79,(IF($A$8=Nutrients!$B$77,Nutrients!$EW$77,Nutrients!$EW$78)))))*AN$8))</f>
        <v>12</v>
      </c>
      <c r="AO332" s="21">
        <f>(SUMPRODUCT(AO$9:AO$229,Nutrients!$EW$8:$EW$228)+(IF($A$7=Nutrients!$B$8,Nutrients!$EW$8,Nutrients!$EW$9)*AO$7)+(((IF($A$8=Nutrients!$B$79,Nutrients!$EW$79,(IF($A$8=Nutrients!$B$77,Nutrients!$EW$77,Nutrients!$EW$78)))))*AO$8))</f>
        <v>9</v>
      </c>
      <c r="AP332" s="21">
        <f>(SUMPRODUCT(AP$9:AP$229,Nutrients!$EW$8:$EW$228)+(IF($A$7=Nutrients!$B$8,Nutrients!$EW$8,Nutrients!$EW$9)*AP$7)+(((IF($A$8=Nutrients!$B$79,Nutrients!$EW$79,(IF($A$8=Nutrients!$B$77,Nutrients!$EW$77,Nutrients!$EW$78)))))*AP$8))</f>
        <v>9</v>
      </c>
      <c r="AR332" s="21">
        <f>(SUMPRODUCT(AR$9:AR$229,Nutrients!$EW$8:$EW$228)+(IF($A$7=Nutrients!$B$8,Nutrients!$EW$8,Nutrients!$EW$9)*AR$7)+(((IF($A$8=Nutrients!$B$79,Nutrients!$EW$79,(IF($A$8=Nutrients!$B$77,Nutrients!$EW$77,Nutrients!$EW$78)))))*AR$8))</f>
        <v>18</v>
      </c>
      <c r="AS332" s="21">
        <f>(SUMPRODUCT(AS$9:AS$229,Nutrients!$EW$8:$EW$228)+(IF($A$7=Nutrients!$B$8,Nutrients!$EW$8,Nutrients!$EW$9)*AS$7)+(((IF($A$8=Nutrients!$B$79,Nutrients!$EW$79,(IF($A$8=Nutrients!$B$77,Nutrients!$EW$77,Nutrients!$EW$78)))))*AS$8))</f>
        <v>18</v>
      </c>
      <c r="AT332" s="21">
        <f>(SUMPRODUCT(AT$9:AT$229,Nutrients!$EW$8:$EW$228)+(IF($A$7=Nutrients!$B$8,Nutrients!$EW$8,Nutrients!$EW$9)*AT$7)+(((IF($A$8=Nutrients!$B$79,Nutrients!$EW$79,(IF($A$8=Nutrients!$B$77,Nutrients!$EW$77,Nutrients!$EW$78)))))*AT$8))</f>
        <v>15</v>
      </c>
      <c r="AU332" s="21">
        <f>(SUMPRODUCT(AU$9:AU$229,Nutrients!$EW$8:$EW$228)+(IF($A$7=Nutrients!$B$8,Nutrients!$EW$8,Nutrients!$EW$9)*AU$7)+(((IF($A$8=Nutrients!$B$79,Nutrients!$EW$79,(IF($A$8=Nutrients!$B$77,Nutrients!$EW$77,Nutrients!$EW$78)))))*AU$8))</f>
        <v>12</v>
      </c>
      <c r="AV332" s="21">
        <f>(SUMPRODUCT(AV$9:AV$229,Nutrients!$EW$8:$EW$228)+(IF($A$7=Nutrients!$B$8,Nutrients!$EW$8,Nutrients!$EW$9)*AV$7)+(((IF($A$8=Nutrients!$B$79,Nutrients!$EW$79,(IF($A$8=Nutrients!$B$77,Nutrients!$EW$77,Nutrients!$EW$78)))))*AV$8))</f>
        <v>9</v>
      </c>
      <c r="AW332" s="21">
        <f>(SUMPRODUCT(AW$9:AW$229,Nutrients!$EW$8:$EW$228)+(IF($A$7=Nutrients!$B$8,Nutrients!$EW$8,Nutrients!$EW$9)*AW$7)+(((IF($A$8=Nutrients!$B$79,Nutrients!$EW$79,(IF($A$8=Nutrients!$B$77,Nutrients!$EW$77,Nutrients!$EW$78)))))*AW$8))</f>
        <v>9</v>
      </c>
    </row>
    <row r="333" spans="1:49" x14ac:dyDescent="0.25">
      <c r="A333" s="34" t="s">
        <v>126</v>
      </c>
      <c r="B333" s="21">
        <f>(SUMPRODUCT(B$9:B$229,Nutrients!$EX$8:$EX$228)+(IF($A$7=Nutrients!$B$8,Nutrients!$EX$8,Nutrients!$EX$9)*B$7)+(((IF($A$8=Nutrients!$B$79,Nutrients!$EX$79,(IF($A$8=Nutrients!$B$77,Nutrients!$EX$77,Nutrients!$EX$78)))))*B$8))</f>
        <v>27000</v>
      </c>
      <c r="C333" s="21">
        <f>(SUMPRODUCT(C$9:C$229,Nutrients!$EX$8:$EX$228)+(IF($A$7=Nutrients!$B$8,Nutrients!$EX$8,Nutrients!$EX$9)*C$7)+(((IF($A$8=Nutrients!$B$79,Nutrients!$EX$79,(IF($A$8=Nutrients!$B$77,Nutrients!$EX$77,Nutrients!$EX$78)))))*C$8))</f>
        <v>27000</v>
      </c>
      <c r="D333" s="21">
        <f>(SUMPRODUCT(D$9:D$229,Nutrients!$EX$8:$EX$228)+(IF($A$7=Nutrients!$B$8,Nutrients!$EX$8,Nutrients!$EX$9)*D$7)+(((IF($A$8=Nutrients!$B$79,Nutrients!$EX$79,(IF($A$8=Nutrients!$B$77,Nutrients!$EX$77,Nutrients!$EX$78)))))*D$8))</f>
        <v>22500</v>
      </c>
      <c r="E333" s="21">
        <f>(SUMPRODUCT(E$9:E$229,Nutrients!$EX$8:$EX$228)+(IF($A$7=Nutrients!$B$8,Nutrients!$EX$8,Nutrients!$EX$9)*E$7)+(((IF($A$8=Nutrients!$B$79,Nutrients!$EX$79,(IF($A$8=Nutrients!$B$77,Nutrients!$EX$77,Nutrients!$EX$78)))))*E$8))</f>
        <v>18000</v>
      </c>
      <c r="F333" s="21">
        <f>(SUMPRODUCT(F$9:F$229,Nutrients!$EX$8:$EX$228)+(IF($A$7=Nutrients!$B$8,Nutrients!$EX$8,Nutrients!$EX$9)*F$7)+(((IF($A$8=Nutrients!$B$79,Nutrients!$EX$79,(IF($A$8=Nutrients!$B$77,Nutrients!$EX$77,Nutrients!$EX$78)))))*F$8))</f>
        <v>13500</v>
      </c>
      <c r="G333" s="21">
        <f>(SUMPRODUCT(G$9:G$229,Nutrients!$EX$8:$EX$228)+(IF($A$7=Nutrients!$B$8,Nutrients!$EX$8,Nutrients!$EX$9)*G$7)+(((IF($A$8=Nutrients!$B$79,Nutrients!$EX$79,(IF($A$8=Nutrients!$B$77,Nutrients!$EX$77,Nutrients!$EX$78)))))*G$8))</f>
        <v>13500</v>
      </c>
      <c r="H333" s="226"/>
      <c r="I333" s="21">
        <f>(SUMPRODUCT(I$9:I$229,Nutrients!$EX$8:$EX$228)+(IF($A$7=Nutrients!$B$8,Nutrients!$EX$8,Nutrients!$EX$9)*I$7)+(((IF($A$8=Nutrients!$B$79,Nutrients!$EX$79,(IF($A$8=Nutrients!$B$77,Nutrients!$EX$77,Nutrients!$EX$78)))))*I$8))</f>
        <v>27000</v>
      </c>
      <c r="J333" s="21">
        <f>(SUMPRODUCT(J$9:J$229,Nutrients!$EX$8:$EX$228)+(IF($A$7=Nutrients!$B$8,Nutrients!$EX$8,Nutrients!$EX$9)*J$7)+(((IF($A$8=Nutrients!$B$79,Nutrients!$EX$79,(IF($A$8=Nutrients!$B$77,Nutrients!$EX$77,Nutrients!$EX$78)))))*J$8))</f>
        <v>27000</v>
      </c>
      <c r="K333" s="21">
        <f>(SUMPRODUCT(K$9:K$229,Nutrients!$EX$8:$EX$228)+(IF($A$7=Nutrients!$B$8,Nutrients!$EX$8,Nutrients!$EX$9)*K$7)+(((IF($A$8=Nutrients!$B$79,Nutrients!$EX$79,(IF($A$8=Nutrients!$B$77,Nutrients!$EX$77,Nutrients!$EX$78)))))*K$8))</f>
        <v>22500</v>
      </c>
      <c r="L333" s="21">
        <f>(SUMPRODUCT(L$9:L$229,Nutrients!$EX$8:$EX$228)+(IF($A$7=Nutrients!$B$8,Nutrients!$EX$8,Nutrients!$EX$9)*L$7)+(((IF($A$8=Nutrients!$B$79,Nutrients!$EX$79,(IF($A$8=Nutrients!$B$77,Nutrients!$EX$77,Nutrients!$EX$78)))))*L$8))</f>
        <v>18000</v>
      </c>
      <c r="M333" s="21">
        <f>(SUMPRODUCT(M$9:M$229,Nutrients!$EX$8:$EX$228)+(IF($A$7=Nutrients!$B$8,Nutrients!$EX$8,Nutrients!$EX$9)*M$7)+(((IF($A$8=Nutrients!$B$79,Nutrients!$EX$79,(IF($A$8=Nutrients!$B$77,Nutrients!$EX$77,Nutrients!$EX$78)))))*M$8))</f>
        <v>13500</v>
      </c>
      <c r="N333" s="21">
        <f>(SUMPRODUCT(N$9:N$229,Nutrients!$EX$8:$EX$228)+(IF($A$7=Nutrients!$B$8,Nutrients!$EX$8,Nutrients!$EX$9)*N$7)+(((IF($A$8=Nutrients!$B$79,Nutrients!$EX$79,(IF($A$8=Nutrients!$B$77,Nutrients!$EX$77,Nutrients!$EX$78)))))*N$8))</f>
        <v>13500</v>
      </c>
      <c r="O333" s="234"/>
      <c r="P333" s="21">
        <f>(SUMPRODUCT(P$9:P$229,Nutrients!$EX$8:$EX$228)+(IF($A$7=Nutrients!$B$8,Nutrients!$EX$8,Nutrients!$EX$9)*P$7)+(((IF($A$8=Nutrients!$B$79,Nutrients!$EX$79,(IF($A$8=Nutrients!$B$77,Nutrients!$EX$77,Nutrients!$EX$78)))))*P$8))</f>
        <v>27000</v>
      </c>
      <c r="Q333" s="21">
        <f>(SUMPRODUCT(Q$9:Q$229,Nutrients!$EX$8:$EX$228)+(IF($A$7=Nutrients!$B$8,Nutrients!$EX$8,Nutrients!$EX$9)*Q$7)+(((IF($A$8=Nutrients!$B$79,Nutrients!$EX$79,(IF($A$8=Nutrients!$B$77,Nutrients!$EX$77,Nutrients!$EX$78)))))*Q$8))</f>
        <v>27000</v>
      </c>
      <c r="R333" s="21">
        <f>(SUMPRODUCT(R$9:R$229,Nutrients!$EX$8:$EX$228)+(IF($A$7=Nutrients!$B$8,Nutrients!$EX$8,Nutrients!$EX$9)*R$7)+(((IF($A$8=Nutrients!$B$79,Nutrients!$EX$79,(IF($A$8=Nutrients!$B$77,Nutrients!$EX$77,Nutrients!$EX$78)))))*R$8))</f>
        <v>22500</v>
      </c>
      <c r="S333" s="21">
        <f>(SUMPRODUCT(S$9:S$229,Nutrients!$EX$8:$EX$228)+(IF($A$7=Nutrients!$B$8,Nutrients!$EX$8,Nutrients!$EX$9)*S$7)+(((IF($A$8=Nutrients!$B$79,Nutrients!$EX$79,(IF($A$8=Nutrients!$B$77,Nutrients!$EX$77,Nutrients!$EX$78)))))*S$8))</f>
        <v>18000</v>
      </c>
      <c r="T333" s="21">
        <f>(SUMPRODUCT(T$9:T$229,Nutrients!$EX$8:$EX$228)+(IF($A$7=Nutrients!$B$8,Nutrients!$EX$8,Nutrients!$EX$9)*T$7)+(((IF($A$8=Nutrients!$B$79,Nutrients!$EX$79,(IF($A$8=Nutrients!$B$77,Nutrients!$EX$77,Nutrients!$EX$78)))))*T$8))</f>
        <v>13500</v>
      </c>
      <c r="U333" s="21">
        <f>(SUMPRODUCT(U$9:U$229,Nutrients!$EX$8:$EX$228)+(IF($A$7=Nutrients!$B$8,Nutrients!$EX$8,Nutrients!$EX$9)*U$7)+(((IF($A$8=Nutrients!$B$79,Nutrients!$EX$79,(IF($A$8=Nutrients!$B$77,Nutrients!$EX$77,Nutrients!$EX$78)))))*U$8))</f>
        <v>13500</v>
      </c>
      <c r="W333" s="21">
        <f>(SUMPRODUCT(W$9:W$229,Nutrients!$EX$8:$EX$228)+(IF($A$7=Nutrients!$B$8,Nutrients!$EX$8,Nutrients!$EX$9)*W$7)+(((IF($A$8=Nutrients!$B$79,Nutrients!$EX$79,(IF($A$8=Nutrients!$B$77,Nutrients!$EX$77,Nutrients!$EX$78)))))*W$8))</f>
        <v>27000</v>
      </c>
      <c r="X333" s="21">
        <f>(SUMPRODUCT(X$9:X$229,Nutrients!$EX$8:$EX$228)+(IF($A$7=Nutrients!$B$8,Nutrients!$EX$8,Nutrients!$EX$9)*X$7)+(((IF($A$8=Nutrients!$B$79,Nutrients!$EX$79,(IF($A$8=Nutrients!$B$77,Nutrients!$EX$77,Nutrients!$EX$78)))))*X$8))</f>
        <v>27000</v>
      </c>
      <c r="Y333" s="21">
        <f>(SUMPRODUCT(Y$9:Y$229,Nutrients!$EX$8:$EX$228)+(IF($A$7=Nutrients!$B$8,Nutrients!$EX$8,Nutrients!$EX$9)*Y$7)+(((IF($A$8=Nutrients!$B$79,Nutrients!$EX$79,(IF($A$8=Nutrients!$B$77,Nutrients!$EX$77,Nutrients!$EX$78)))))*Y$8))</f>
        <v>22500</v>
      </c>
      <c r="Z333" s="21">
        <f>(SUMPRODUCT(Z$9:Z$229,Nutrients!$EX$8:$EX$228)+(IF($A$7=Nutrients!$B$8,Nutrients!$EX$8,Nutrients!$EX$9)*Z$7)+(((IF($A$8=Nutrients!$B$79,Nutrients!$EX$79,(IF($A$8=Nutrients!$B$77,Nutrients!$EX$77,Nutrients!$EX$78)))))*Z$8))</f>
        <v>18000</v>
      </c>
      <c r="AA333" s="21">
        <f>(SUMPRODUCT(AA$9:AA$229,Nutrients!$EX$8:$EX$228)+(IF($A$7=Nutrients!$B$8,Nutrients!$EX$8,Nutrients!$EX$9)*AA$7)+(((IF($A$8=Nutrients!$B$79,Nutrients!$EX$79,(IF($A$8=Nutrients!$B$77,Nutrients!$EX$77,Nutrients!$EX$78)))))*AA$8))</f>
        <v>13500</v>
      </c>
      <c r="AB333" s="21">
        <f>(SUMPRODUCT(AB$9:AB$229,Nutrients!$EX$8:$EX$228)+(IF($A$7=Nutrients!$B$8,Nutrients!$EX$8,Nutrients!$EX$9)*AB$7)+(((IF($A$8=Nutrients!$B$79,Nutrients!$EX$79,(IF($A$8=Nutrients!$B$77,Nutrients!$EX$77,Nutrients!$EX$78)))))*AB$8))</f>
        <v>13500</v>
      </c>
      <c r="AD333" s="21">
        <f>(SUMPRODUCT(AD$9:AD$229,Nutrients!$EX$8:$EX$228)+(IF($A$7=Nutrients!$B$8,Nutrients!$EX$8,Nutrients!$EX$9)*AD$7)+(((IF($A$8=Nutrients!$B$79,Nutrients!$EX$79,(IF($A$8=Nutrients!$B$77,Nutrients!$EX$77,Nutrients!$EX$78)))))*AD$8))</f>
        <v>27000</v>
      </c>
      <c r="AE333" s="21">
        <f>(SUMPRODUCT(AE$9:AE$229,Nutrients!$EX$8:$EX$228)+(IF($A$7=Nutrients!$B$8,Nutrients!$EX$8,Nutrients!$EX$9)*AE$7)+(((IF($A$8=Nutrients!$B$79,Nutrients!$EX$79,(IF($A$8=Nutrients!$B$77,Nutrients!$EX$77,Nutrients!$EX$78)))))*AE$8))</f>
        <v>27000</v>
      </c>
      <c r="AF333" s="21">
        <f>(SUMPRODUCT(AF$9:AF$229,Nutrients!$EX$8:$EX$228)+(IF($A$7=Nutrients!$B$8,Nutrients!$EX$8,Nutrients!$EX$9)*AF$7)+(((IF($A$8=Nutrients!$B$79,Nutrients!$EX$79,(IF($A$8=Nutrients!$B$77,Nutrients!$EX$77,Nutrients!$EX$78)))))*AF$8))</f>
        <v>22500</v>
      </c>
      <c r="AG333" s="21">
        <f>(SUMPRODUCT(AG$9:AG$229,Nutrients!$EX$8:$EX$228)+(IF($A$7=Nutrients!$B$8,Nutrients!$EX$8,Nutrients!$EX$9)*AG$7)+(((IF($A$8=Nutrients!$B$79,Nutrients!$EX$79,(IF($A$8=Nutrients!$B$77,Nutrients!$EX$77,Nutrients!$EX$78)))))*AG$8))</f>
        <v>18000</v>
      </c>
      <c r="AH333" s="21">
        <f>(SUMPRODUCT(AH$9:AH$229,Nutrients!$EX$8:$EX$228)+(IF($A$7=Nutrients!$B$8,Nutrients!$EX$8,Nutrients!$EX$9)*AH$7)+(((IF($A$8=Nutrients!$B$79,Nutrients!$EX$79,(IF($A$8=Nutrients!$B$77,Nutrients!$EX$77,Nutrients!$EX$78)))))*AH$8))</f>
        <v>13500</v>
      </c>
      <c r="AI333" s="21">
        <f>(SUMPRODUCT(AI$9:AI$229,Nutrients!$EX$8:$EX$228)+(IF($A$7=Nutrients!$B$8,Nutrients!$EX$8,Nutrients!$EX$9)*AI$7)+(((IF($A$8=Nutrients!$B$79,Nutrients!$EX$79,(IF($A$8=Nutrients!$B$77,Nutrients!$EX$77,Nutrients!$EX$78)))))*AI$8))</f>
        <v>13500</v>
      </c>
      <c r="AK333" s="21">
        <f>(SUMPRODUCT(AK$9:AK$229,Nutrients!$EX$8:$EX$228)+(IF($A$7=Nutrients!$B$8,Nutrients!$EX$8,Nutrients!$EX$9)*AK$7)+(((IF($A$8=Nutrients!$B$79,Nutrients!$EX$79,(IF($A$8=Nutrients!$B$77,Nutrients!$EX$77,Nutrients!$EX$78)))))*AK$8))</f>
        <v>27000</v>
      </c>
      <c r="AL333" s="21">
        <f>(SUMPRODUCT(AL$9:AL$229,Nutrients!$EX$8:$EX$228)+(IF($A$7=Nutrients!$B$8,Nutrients!$EX$8,Nutrients!$EX$9)*AL$7)+(((IF($A$8=Nutrients!$B$79,Nutrients!$EX$79,(IF($A$8=Nutrients!$B$77,Nutrients!$EX$77,Nutrients!$EX$78)))))*AL$8))</f>
        <v>27000</v>
      </c>
      <c r="AM333" s="21">
        <f>(SUMPRODUCT(AM$9:AM$229,Nutrients!$EX$8:$EX$228)+(IF($A$7=Nutrients!$B$8,Nutrients!$EX$8,Nutrients!$EX$9)*AM$7)+(((IF($A$8=Nutrients!$B$79,Nutrients!$EX$79,(IF($A$8=Nutrients!$B$77,Nutrients!$EX$77,Nutrients!$EX$78)))))*AM$8))</f>
        <v>22500</v>
      </c>
      <c r="AN333" s="21">
        <f>(SUMPRODUCT(AN$9:AN$229,Nutrients!$EX$8:$EX$228)+(IF($A$7=Nutrients!$B$8,Nutrients!$EX$8,Nutrients!$EX$9)*AN$7)+(((IF($A$8=Nutrients!$B$79,Nutrients!$EX$79,(IF($A$8=Nutrients!$B$77,Nutrients!$EX$77,Nutrients!$EX$78)))))*AN$8))</f>
        <v>18000</v>
      </c>
      <c r="AO333" s="21">
        <f>(SUMPRODUCT(AO$9:AO$229,Nutrients!$EX$8:$EX$228)+(IF($A$7=Nutrients!$B$8,Nutrients!$EX$8,Nutrients!$EX$9)*AO$7)+(((IF($A$8=Nutrients!$B$79,Nutrients!$EX$79,(IF($A$8=Nutrients!$B$77,Nutrients!$EX$77,Nutrients!$EX$78)))))*AO$8))</f>
        <v>13500</v>
      </c>
      <c r="AP333" s="21">
        <f>(SUMPRODUCT(AP$9:AP$229,Nutrients!$EX$8:$EX$228)+(IF($A$7=Nutrients!$B$8,Nutrients!$EX$8,Nutrients!$EX$9)*AP$7)+(((IF($A$8=Nutrients!$B$79,Nutrients!$EX$79,(IF($A$8=Nutrients!$B$77,Nutrients!$EX$77,Nutrients!$EX$78)))))*AP$8))</f>
        <v>13500</v>
      </c>
      <c r="AR333" s="21">
        <f>(SUMPRODUCT(AR$9:AR$229,Nutrients!$EX$8:$EX$228)+(IF($A$7=Nutrients!$B$8,Nutrients!$EX$8,Nutrients!$EX$9)*AR$7)+(((IF($A$8=Nutrients!$B$79,Nutrients!$EX$79,(IF($A$8=Nutrients!$B$77,Nutrients!$EX$77,Nutrients!$EX$78)))))*AR$8))</f>
        <v>27000</v>
      </c>
      <c r="AS333" s="21">
        <f>(SUMPRODUCT(AS$9:AS$229,Nutrients!$EX$8:$EX$228)+(IF($A$7=Nutrients!$B$8,Nutrients!$EX$8,Nutrients!$EX$9)*AS$7)+(((IF($A$8=Nutrients!$B$79,Nutrients!$EX$79,(IF($A$8=Nutrients!$B$77,Nutrients!$EX$77,Nutrients!$EX$78)))))*AS$8))</f>
        <v>27000</v>
      </c>
      <c r="AT333" s="21">
        <f>(SUMPRODUCT(AT$9:AT$229,Nutrients!$EX$8:$EX$228)+(IF($A$7=Nutrients!$B$8,Nutrients!$EX$8,Nutrients!$EX$9)*AT$7)+(((IF($A$8=Nutrients!$B$79,Nutrients!$EX$79,(IF($A$8=Nutrients!$B$77,Nutrients!$EX$77,Nutrients!$EX$78)))))*AT$8))</f>
        <v>22500</v>
      </c>
      <c r="AU333" s="21">
        <f>(SUMPRODUCT(AU$9:AU$229,Nutrients!$EX$8:$EX$228)+(IF($A$7=Nutrients!$B$8,Nutrients!$EX$8,Nutrients!$EX$9)*AU$7)+(((IF($A$8=Nutrients!$B$79,Nutrients!$EX$79,(IF($A$8=Nutrients!$B$77,Nutrients!$EX$77,Nutrients!$EX$78)))))*AU$8))</f>
        <v>18000</v>
      </c>
      <c r="AV333" s="21">
        <f>(SUMPRODUCT(AV$9:AV$229,Nutrients!$EX$8:$EX$228)+(IF($A$7=Nutrients!$B$8,Nutrients!$EX$8,Nutrients!$EX$9)*AV$7)+(((IF($A$8=Nutrients!$B$79,Nutrients!$EX$79,(IF($A$8=Nutrients!$B$77,Nutrients!$EX$77,Nutrients!$EX$78)))))*AV$8))</f>
        <v>13500</v>
      </c>
      <c r="AW333" s="21">
        <f>(SUMPRODUCT(AW$9:AW$229,Nutrients!$EX$8:$EX$228)+(IF($A$7=Nutrients!$B$8,Nutrients!$EX$8,Nutrients!$EX$9)*AW$7)+(((IF($A$8=Nutrients!$B$79,Nutrients!$EX$79,(IF($A$8=Nutrients!$B$77,Nutrients!$EX$77,Nutrients!$EX$78)))))*AW$8))</f>
        <v>13500</v>
      </c>
    </row>
    <row r="334" spans="1:49" x14ac:dyDescent="0.25">
      <c r="A334" s="34" t="s">
        <v>127</v>
      </c>
      <c r="B334" s="21">
        <f>(SUMPRODUCT(B$9:B$229,Nutrients!$EY$8:$EY$228)+(IF($A$7=Nutrients!$B$8,Nutrients!$EY$8,Nutrients!$EY$9)*B$7)+(((IF($A$8=Nutrients!$B$79,Nutrients!$EY$79,(IF($A$8=Nutrients!$B$77,Nutrients!$EY$77,Nutrients!$EY$78)))))*B$8))</f>
        <v>15000</v>
      </c>
      <c r="C334" s="21">
        <f>(SUMPRODUCT(C$9:C$229,Nutrients!$EY$8:$EY$228)+(IF($A$7=Nutrients!$B$8,Nutrients!$EY$8,Nutrients!$EY$9)*C$7)+(((IF($A$8=Nutrients!$B$79,Nutrients!$EY$79,(IF($A$8=Nutrients!$B$77,Nutrients!$EY$77,Nutrients!$EY$78)))))*C$8))</f>
        <v>15000</v>
      </c>
      <c r="D334" s="21">
        <f>(SUMPRODUCT(D$9:D$229,Nutrients!$EY$8:$EY$228)+(IF($A$7=Nutrients!$B$8,Nutrients!$EY$8,Nutrients!$EY$9)*D$7)+(((IF($A$8=Nutrients!$B$79,Nutrients!$EY$79,(IF($A$8=Nutrients!$B$77,Nutrients!$EY$77,Nutrients!$EY$78)))))*D$8))</f>
        <v>12500</v>
      </c>
      <c r="E334" s="21">
        <f>(SUMPRODUCT(E$9:E$229,Nutrients!$EY$8:$EY$228)+(IF($A$7=Nutrients!$B$8,Nutrients!$EY$8,Nutrients!$EY$9)*E$7)+(((IF($A$8=Nutrients!$B$79,Nutrients!$EY$79,(IF($A$8=Nutrients!$B$77,Nutrients!$EY$77,Nutrients!$EY$78)))))*E$8))</f>
        <v>10000</v>
      </c>
      <c r="F334" s="21">
        <f>(SUMPRODUCT(F$9:F$229,Nutrients!$EY$8:$EY$228)+(IF($A$7=Nutrients!$B$8,Nutrients!$EY$8,Nutrients!$EY$9)*F$7)+(((IF($A$8=Nutrients!$B$79,Nutrients!$EY$79,(IF($A$8=Nutrients!$B$77,Nutrients!$EY$77,Nutrients!$EY$78)))))*F$8))</f>
        <v>7500</v>
      </c>
      <c r="G334" s="21">
        <f>(SUMPRODUCT(G$9:G$229,Nutrients!$EY$8:$EY$228)+(IF($A$7=Nutrients!$B$8,Nutrients!$EY$8,Nutrients!$EY$9)*G$7)+(((IF($A$8=Nutrients!$B$79,Nutrients!$EY$79,(IF($A$8=Nutrients!$B$77,Nutrients!$EY$77,Nutrients!$EY$78)))))*G$8))</f>
        <v>7500</v>
      </c>
      <c r="H334" s="226"/>
      <c r="I334" s="21">
        <f>(SUMPRODUCT(I$9:I$229,Nutrients!$EY$8:$EY$228)+(IF($A$7=Nutrients!$B$8,Nutrients!$EY$8,Nutrients!$EY$9)*I$7)+(((IF($A$8=Nutrients!$B$79,Nutrients!$EY$79,(IF($A$8=Nutrients!$B$77,Nutrients!$EY$77,Nutrients!$EY$78)))))*I$8))</f>
        <v>15000</v>
      </c>
      <c r="J334" s="21">
        <f>(SUMPRODUCT(J$9:J$229,Nutrients!$EY$8:$EY$228)+(IF($A$7=Nutrients!$B$8,Nutrients!$EY$8,Nutrients!$EY$9)*J$7)+(((IF($A$8=Nutrients!$B$79,Nutrients!$EY$79,(IF($A$8=Nutrients!$B$77,Nutrients!$EY$77,Nutrients!$EY$78)))))*J$8))</f>
        <v>15000</v>
      </c>
      <c r="K334" s="21">
        <f>(SUMPRODUCT(K$9:K$229,Nutrients!$EY$8:$EY$228)+(IF($A$7=Nutrients!$B$8,Nutrients!$EY$8,Nutrients!$EY$9)*K$7)+(((IF($A$8=Nutrients!$B$79,Nutrients!$EY$79,(IF($A$8=Nutrients!$B$77,Nutrients!$EY$77,Nutrients!$EY$78)))))*K$8))</f>
        <v>12500</v>
      </c>
      <c r="L334" s="21">
        <f>(SUMPRODUCT(L$9:L$229,Nutrients!$EY$8:$EY$228)+(IF($A$7=Nutrients!$B$8,Nutrients!$EY$8,Nutrients!$EY$9)*L$7)+(((IF($A$8=Nutrients!$B$79,Nutrients!$EY$79,(IF($A$8=Nutrients!$B$77,Nutrients!$EY$77,Nutrients!$EY$78)))))*L$8))</f>
        <v>10000</v>
      </c>
      <c r="M334" s="21">
        <f>(SUMPRODUCT(M$9:M$229,Nutrients!$EY$8:$EY$228)+(IF($A$7=Nutrients!$B$8,Nutrients!$EY$8,Nutrients!$EY$9)*M$7)+(((IF($A$8=Nutrients!$B$79,Nutrients!$EY$79,(IF($A$8=Nutrients!$B$77,Nutrients!$EY$77,Nutrients!$EY$78)))))*M$8))</f>
        <v>7500</v>
      </c>
      <c r="N334" s="21">
        <f>(SUMPRODUCT(N$9:N$229,Nutrients!$EY$8:$EY$228)+(IF($A$7=Nutrients!$B$8,Nutrients!$EY$8,Nutrients!$EY$9)*N$7)+(((IF($A$8=Nutrients!$B$79,Nutrients!$EY$79,(IF($A$8=Nutrients!$B$77,Nutrients!$EY$77,Nutrients!$EY$78)))))*N$8))</f>
        <v>7500</v>
      </c>
      <c r="O334" s="234"/>
      <c r="P334" s="21">
        <f>(SUMPRODUCT(P$9:P$229,Nutrients!$EY$8:$EY$228)+(IF($A$7=Nutrients!$B$8,Nutrients!$EY$8,Nutrients!$EY$9)*P$7)+(((IF($A$8=Nutrients!$B$79,Nutrients!$EY$79,(IF($A$8=Nutrients!$B$77,Nutrients!$EY$77,Nutrients!$EY$78)))))*P$8))</f>
        <v>15000</v>
      </c>
      <c r="Q334" s="21">
        <f>(SUMPRODUCT(Q$9:Q$229,Nutrients!$EY$8:$EY$228)+(IF($A$7=Nutrients!$B$8,Nutrients!$EY$8,Nutrients!$EY$9)*Q$7)+(((IF($A$8=Nutrients!$B$79,Nutrients!$EY$79,(IF($A$8=Nutrients!$B$77,Nutrients!$EY$77,Nutrients!$EY$78)))))*Q$8))</f>
        <v>15000</v>
      </c>
      <c r="R334" s="21">
        <f>(SUMPRODUCT(R$9:R$229,Nutrients!$EY$8:$EY$228)+(IF($A$7=Nutrients!$B$8,Nutrients!$EY$8,Nutrients!$EY$9)*R$7)+(((IF($A$8=Nutrients!$B$79,Nutrients!$EY$79,(IF($A$8=Nutrients!$B$77,Nutrients!$EY$77,Nutrients!$EY$78)))))*R$8))</f>
        <v>12500</v>
      </c>
      <c r="S334" s="21">
        <f>(SUMPRODUCT(S$9:S$229,Nutrients!$EY$8:$EY$228)+(IF($A$7=Nutrients!$B$8,Nutrients!$EY$8,Nutrients!$EY$9)*S$7)+(((IF($A$8=Nutrients!$B$79,Nutrients!$EY$79,(IF($A$8=Nutrients!$B$77,Nutrients!$EY$77,Nutrients!$EY$78)))))*S$8))</f>
        <v>10000</v>
      </c>
      <c r="T334" s="21">
        <f>(SUMPRODUCT(T$9:T$229,Nutrients!$EY$8:$EY$228)+(IF($A$7=Nutrients!$B$8,Nutrients!$EY$8,Nutrients!$EY$9)*T$7)+(((IF($A$8=Nutrients!$B$79,Nutrients!$EY$79,(IF($A$8=Nutrients!$B$77,Nutrients!$EY$77,Nutrients!$EY$78)))))*T$8))</f>
        <v>7500</v>
      </c>
      <c r="U334" s="21">
        <f>(SUMPRODUCT(U$9:U$229,Nutrients!$EY$8:$EY$228)+(IF($A$7=Nutrients!$B$8,Nutrients!$EY$8,Nutrients!$EY$9)*U$7)+(((IF($A$8=Nutrients!$B$79,Nutrients!$EY$79,(IF($A$8=Nutrients!$B$77,Nutrients!$EY$77,Nutrients!$EY$78)))))*U$8))</f>
        <v>7500</v>
      </c>
      <c r="W334" s="21">
        <f>(SUMPRODUCT(W$9:W$229,Nutrients!$EY$8:$EY$228)+(IF($A$7=Nutrients!$B$8,Nutrients!$EY$8,Nutrients!$EY$9)*W$7)+(((IF($A$8=Nutrients!$B$79,Nutrients!$EY$79,(IF($A$8=Nutrients!$B$77,Nutrients!$EY$77,Nutrients!$EY$78)))))*W$8))</f>
        <v>15000</v>
      </c>
      <c r="X334" s="21">
        <f>(SUMPRODUCT(X$9:X$229,Nutrients!$EY$8:$EY$228)+(IF($A$7=Nutrients!$B$8,Nutrients!$EY$8,Nutrients!$EY$9)*X$7)+(((IF($A$8=Nutrients!$B$79,Nutrients!$EY$79,(IF($A$8=Nutrients!$B$77,Nutrients!$EY$77,Nutrients!$EY$78)))))*X$8))</f>
        <v>15000</v>
      </c>
      <c r="Y334" s="21">
        <f>(SUMPRODUCT(Y$9:Y$229,Nutrients!$EY$8:$EY$228)+(IF($A$7=Nutrients!$B$8,Nutrients!$EY$8,Nutrients!$EY$9)*Y$7)+(((IF($A$8=Nutrients!$B$79,Nutrients!$EY$79,(IF($A$8=Nutrients!$B$77,Nutrients!$EY$77,Nutrients!$EY$78)))))*Y$8))</f>
        <v>12500</v>
      </c>
      <c r="Z334" s="21">
        <f>(SUMPRODUCT(Z$9:Z$229,Nutrients!$EY$8:$EY$228)+(IF($A$7=Nutrients!$B$8,Nutrients!$EY$8,Nutrients!$EY$9)*Z$7)+(((IF($A$8=Nutrients!$B$79,Nutrients!$EY$79,(IF($A$8=Nutrients!$B$77,Nutrients!$EY$77,Nutrients!$EY$78)))))*Z$8))</f>
        <v>10000</v>
      </c>
      <c r="AA334" s="21">
        <f>(SUMPRODUCT(AA$9:AA$229,Nutrients!$EY$8:$EY$228)+(IF($A$7=Nutrients!$B$8,Nutrients!$EY$8,Nutrients!$EY$9)*AA$7)+(((IF($A$8=Nutrients!$B$79,Nutrients!$EY$79,(IF($A$8=Nutrients!$B$77,Nutrients!$EY$77,Nutrients!$EY$78)))))*AA$8))</f>
        <v>7500</v>
      </c>
      <c r="AB334" s="21">
        <f>(SUMPRODUCT(AB$9:AB$229,Nutrients!$EY$8:$EY$228)+(IF($A$7=Nutrients!$B$8,Nutrients!$EY$8,Nutrients!$EY$9)*AB$7)+(((IF($A$8=Nutrients!$B$79,Nutrients!$EY$79,(IF($A$8=Nutrients!$B$77,Nutrients!$EY$77,Nutrients!$EY$78)))))*AB$8))</f>
        <v>7500</v>
      </c>
      <c r="AD334" s="21">
        <f>(SUMPRODUCT(AD$9:AD$229,Nutrients!$EY$8:$EY$228)+(IF($A$7=Nutrients!$B$8,Nutrients!$EY$8,Nutrients!$EY$9)*AD$7)+(((IF($A$8=Nutrients!$B$79,Nutrients!$EY$79,(IF($A$8=Nutrients!$B$77,Nutrients!$EY$77,Nutrients!$EY$78)))))*AD$8))</f>
        <v>15000</v>
      </c>
      <c r="AE334" s="21">
        <f>(SUMPRODUCT(AE$9:AE$229,Nutrients!$EY$8:$EY$228)+(IF($A$7=Nutrients!$B$8,Nutrients!$EY$8,Nutrients!$EY$9)*AE$7)+(((IF($A$8=Nutrients!$B$79,Nutrients!$EY$79,(IF($A$8=Nutrients!$B$77,Nutrients!$EY$77,Nutrients!$EY$78)))))*AE$8))</f>
        <v>15000</v>
      </c>
      <c r="AF334" s="21">
        <f>(SUMPRODUCT(AF$9:AF$229,Nutrients!$EY$8:$EY$228)+(IF($A$7=Nutrients!$B$8,Nutrients!$EY$8,Nutrients!$EY$9)*AF$7)+(((IF($A$8=Nutrients!$B$79,Nutrients!$EY$79,(IF($A$8=Nutrients!$B$77,Nutrients!$EY$77,Nutrients!$EY$78)))))*AF$8))</f>
        <v>12500</v>
      </c>
      <c r="AG334" s="21">
        <f>(SUMPRODUCT(AG$9:AG$229,Nutrients!$EY$8:$EY$228)+(IF($A$7=Nutrients!$B$8,Nutrients!$EY$8,Nutrients!$EY$9)*AG$7)+(((IF($A$8=Nutrients!$B$79,Nutrients!$EY$79,(IF($A$8=Nutrients!$B$77,Nutrients!$EY$77,Nutrients!$EY$78)))))*AG$8))</f>
        <v>10000</v>
      </c>
      <c r="AH334" s="21">
        <f>(SUMPRODUCT(AH$9:AH$229,Nutrients!$EY$8:$EY$228)+(IF($A$7=Nutrients!$B$8,Nutrients!$EY$8,Nutrients!$EY$9)*AH$7)+(((IF($A$8=Nutrients!$B$79,Nutrients!$EY$79,(IF($A$8=Nutrients!$B$77,Nutrients!$EY$77,Nutrients!$EY$78)))))*AH$8))</f>
        <v>7500</v>
      </c>
      <c r="AI334" s="21">
        <f>(SUMPRODUCT(AI$9:AI$229,Nutrients!$EY$8:$EY$228)+(IF($A$7=Nutrients!$B$8,Nutrients!$EY$8,Nutrients!$EY$9)*AI$7)+(((IF($A$8=Nutrients!$B$79,Nutrients!$EY$79,(IF($A$8=Nutrients!$B$77,Nutrients!$EY$77,Nutrients!$EY$78)))))*AI$8))</f>
        <v>7500</v>
      </c>
      <c r="AK334" s="21">
        <f>(SUMPRODUCT(AK$9:AK$229,Nutrients!$EY$8:$EY$228)+(IF($A$7=Nutrients!$B$8,Nutrients!$EY$8,Nutrients!$EY$9)*AK$7)+(((IF($A$8=Nutrients!$B$79,Nutrients!$EY$79,(IF($A$8=Nutrients!$B$77,Nutrients!$EY$77,Nutrients!$EY$78)))))*AK$8))</f>
        <v>15000</v>
      </c>
      <c r="AL334" s="21">
        <f>(SUMPRODUCT(AL$9:AL$229,Nutrients!$EY$8:$EY$228)+(IF($A$7=Nutrients!$B$8,Nutrients!$EY$8,Nutrients!$EY$9)*AL$7)+(((IF($A$8=Nutrients!$B$79,Nutrients!$EY$79,(IF($A$8=Nutrients!$B$77,Nutrients!$EY$77,Nutrients!$EY$78)))))*AL$8))</f>
        <v>15000</v>
      </c>
      <c r="AM334" s="21">
        <f>(SUMPRODUCT(AM$9:AM$229,Nutrients!$EY$8:$EY$228)+(IF($A$7=Nutrients!$B$8,Nutrients!$EY$8,Nutrients!$EY$9)*AM$7)+(((IF($A$8=Nutrients!$B$79,Nutrients!$EY$79,(IF($A$8=Nutrients!$B$77,Nutrients!$EY$77,Nutrients!$EY$78)))))*AM$8))</f>
        <v>12500</v>
      </c>
      <c r="AN334" s="21">
        <f>(SUMPRODUCT(AN$9:AN$229,Nutrients!$EY$8:$EY$228)+(IF($A$7=Nutrients!$B$8,Nutrients!$EY$8,Nutrients!$EY$9)*AN$7)+(((IF($A$8=Nutrients!$B$79,Nutrients!$EY$79,(IF($A$8=Nutrients!$B$77,Nutrients!$EY$77,Nutrients!$EY$78)))))*AN$8))</f>
        <v>10000</v>
      </c>
      <c r="AO334" s="21">
        <f>(SUMPRODUCT(AO$9:AO$229,Nutrients!$EY$8:$EY$228)+(IF($A$7=Nutrients!$B$8,Nutrients!$EY$8,Nutrients!$EY$9)*AO$7)+(((IF($A$8=Nutrients!$B$79,Nutrients!$EY$79,(IF($A$8=Nutrients!$B$77,Nutrients!$EY$77,Nutrients!$EY$78)))))*AO$8))</f>
        <v>7500</v>
      </c>
      <c r="AP334" s="21">
        <f>(SUMPRODUCT(AP$9:AP$229,Nutrients!$EY$8:$EY$228)+(IF($A$7=Nutrients!$B$8,Nutrients!$EY$8,Nutrients!$EY$9)*AP$7)+(((IF($A$8=Nutrients!$B$79,Nutrients!$EY$79,(IF($A$8=Nutrients!$B$77,Nutrients!$EY$77,Nutrients!$EY$78)))))*AP$8))</f>
        <v>7500</v>
      </c>
      <c r="AR334" s="21">
        <f>(SUMPRODUCT(AR$9:AR$229,Nutrients!$EY$8:$EY$228)+(IF($A$7=Nutrients!$B$8,Nutrients!$EY$8,Nutrients!$EY$9)*AR$7)+(((IF($A$8=Nutrients!$B$79,Nutrients!$EY$79,(IF($A$8=Nutrients!$B$77,Nutrients!$EY$77,Nutrients!$EY$78)))))*AR$8))</f>
        <v>15000</v>
      </c>
      <c r="AS334" s="21">
        <f>(SUMPRODUCT(AS$9:AS$229,Nutrients!$EY$8:$EY$228)+(IF($A$7=Nutrients!$B$8,Nutrients!$EY$8,Nutrients!$EY$9)*AS$7)+(((IF($A$8=Nutrients!$B$79,Nutrients!$EY$79,(IF($A$8=Nutrients!$B$77,Nutrients!$EY$77,Nutrients!$EY$78)))))*AS$8))</f>
        <v>15000</v>
      </c>
      <c r="AT334" s="21">
        <f>(SUMPRODUCT(AT$9:AT$229,Nutrients!$EY$8:$EY$228)+(IF($A$7=Nutrients!$B$8,Nutrients!$EY$8,Nutrients!$EY$9)*AT$7)+(((IF($A$8=Nutrients!$B$79,Nutrients!$EY$79,(IF($A$8=Nutrients!$B$77,Nutrients!$EY$77,Nutrients!$EY$78)))))*AT$8))</f>
        <v>12500</v>
      </c>
      <c r="AU334" s="21">
        <f>(SUMPRODUCT(AU$9:AU$229,Nutrients!$EY$8:$EY$228)+(IF($A$7=Nutrients!$B$8,Nutrients!$EY$8,Nutrients!$EY$9)*AU$7)+(((IF($A$8=Nutrients!$B$79,Nutrients!$EY$79,(IF($A$8=Nutrients!$B$77,Nutrients!$EY$77,Nutrients!$EY$78)))))*AU$8))</f>
        <v>10000</v>
      </c>
      <c r="AV334" s="21">
        <f>(SUMPRODUCT(AV$9:AV$229,Nutrients!$EY$8:$EY$228)+(IF($A$7=Nutrients!$B$8,Nutrients!$EY$8,Nutrients!$EY$9)*AV$7)+(((IF($A$8=Nutrients!$B$79,Nutrients!$EY$79,(IF($A$8=Nutrients!$B$77,Nutrients!$EY$77,Nutrients!$EY$78)))))*AV$8))</f>
        <v>7500</v>
      </c>
      <c r="AW334" s="21">
        <f>(SUMPRODUCT(AW$9:AW$229,Nutrients!$EY$8:$EY$228)+(IF($A$7=Nutrients!$B$8,Nutrients!$EY$8,Nutrients!$EY$9)*AW$7)+(((IF($A$8=Nutrients!$B$79,Nutrients!$EY$79,(IF($A$8=Nutrients!$B$77,Nutrients!$EY$77,Nutrients!$EY$78)))))*AW$8))</f>
        <v>7500</v>
      </c>
    </row>
    <row r="335" spans="1:49" x14ac:dyDescent="0.25">
      <c r="A335" s="34" t="s">
        <v>128</v>
      </c>
      <c r="B335" s="21">
        <f>(SUMPRODUCT(B$9:B$229,Nutrients!$EZ$8:$EZ$228)+(IF($A$7=Nutrients!$B$8,Nutrients!$EZ$8,Nutrients!$EZ$9)*B$7)+(((IF($A$8=Nutrients!$B$79,Nutrients!$EZ$79,(IF($A$8=Nutrients!$B$77,Nutrients!$EZ$77,Nutrients!$EZ$78)))))*B$8))</f>
        <v>4500</v>
      </c>
      <c r="C335" s="21">
        <f>(SUMPRODUCT(C$9:C$229,Nutrients!$EZ$8:$EZ$228)+(IF($A$7=Nutrients!$B$8,Nutrients!$EZ$8,Nutrients!$EZ$9)*C$7)+(((IF($A$8=Nutrients!$B$79,Nutrients!$EZ$79,(IF($A$8=Nutrients!$B$77,Nutrients!$EZ$77,Nutrients!$EZ$78)))))*C$8))</f>
        <v>4500</v>
      </c>
      <c r="D335" s="21">
        <f>(SUMPRODUCT(D$9:D$229,Nutrients!$EZ$8:$EZ$228)+(IF($A$7=Nutrients!$B$8,Nutrients!$EZ$8,Nutrients!$EZ$9)*D$7)+(((IF($A$8=Nutrients!$B$79,Nutrients!$EZ$79,(IF($A$8=Nutrients!$B$77,Nutrients!$EZ$77,Nutrients!$EZ$78)))))*D$8))</f>
        <v>3750</v>
      </c>
      <c r="E335" s="21">
        <f>(SUMPRODUCT(E$9:E$229,Nutrients!$EZ$8:$EZ$228)+(IF($A$7=Nutrients!$B$8,Nutrients!$EZ$8,Nutrients!$EZ$9)*E$7)+(((IF($A$8=Nutrients!$B$79,Nutrients!$EZ$79,(IF($A$8=Nutrients!$B$77,Nutrients!$EZ$77,Nutrients!$EZ$78)))))*E$8))</f>
        <v>3000</v>
      </c>
      <c r="F335" s="21">
        <f>(SUMPRODUCT(F$9:F$229,Nutrients!$EZ$8:$EZ$228)+(IF($A$7=Nutrients!$B$8,Nutrients!$EZ$8,Nutrients!$EZ$9)*F$7)+(((IF($A$8=Nutrients!$B$79,Nutrients!$EZ$79,(IF($A$8=Nutrients!$B$77,Nutrients!$EZ$77,Nutrients!$EZ$78)))))*F$8))</f>
        <v>2250</v>
      </c>
      <c r="G335" s="21">
        <f>(SUMPRODUCT(G$9:G$229,Nutrients!$EZ$8:$EZ$228)+(IF($A$7=Nutrients!$B$8,Nutrients!$EZ$8,Nutrients!$EZ$9)*G$7)+(((IF($A$8=Nutrients!$B$79,Nutrients!$EZ$79,(IF($A$8=Nutrients!$B$77,Nutrients!$EZ$77,Nutrients!$EZ$78)))))*G$8))</f>
        <v>2250</v>
      </c>
      <c r="H335" s="226"/>
      <c r="I335" s="21">
        <f>(SUMPRODUCT(I$9:I$229,Nutrients!$EZ$8:$EZ$228)+(IF($A$7=Nutrients!$B$8,Nutrients!$EZ$8,Nutrients!$EZ$9)*I$7)+(((IF($A$8=Nutrients!$B$79,Nutrients!$EZ$79,(IF($A$8=Nutrients!$B$77,Nutrients!$EZ$77,Nutrients!$EZ$78)))))*I$8))</f>
        <v>4500</v>
      </c>
      <c r="J335" s="21">
        <f>(SUMPRODUCT(J$9:J$229,Nutrients!$EZ$8:$EZ$228)+(IF($A$7=Nutrients!$B$8,Nutrients!$EZ$8,Nutrients!$EZ$9)*J$7)+(((IF($A$8=Nutrients!$B$79,Nutrients!$EZ$79,(IF($A$8=Nutrients!$B$77,Nutrients!$EZ$77,Nutrients!$EZ$78)))))*J$8))</f>
        <v>4500</v>
      </c>
      <c r="K335" s="21">
        <f>(SUMPRODUCT(K$9:K$229,Nutrients!$EZ$8:$EZ$228)+(IF($A$7=Nutrients!$B$8,Nutrients!$EZ$8,Nutrients!$EZ$9)*K$7)+(((IF($A$8=Nutrients!$B$79,Nutrients!$EZ$79,(IF($A$8=Nutrients!$B$77,Nutrients!$EZ$77,Nutrients!$EZ$78)))))*K$8))</f>
        <v>3750</v>
      </c>
      <c r="L335" s="21">
        <f>(SUMPRODUCT(L$9:L$229,Nutrients!$EZ$8:$EZ$228)+(IF($A$7=Nutrients!$B$8,Nutrients!$EZ$8,Nutrients!$EZ$9)*L$7)+(((IF($A$8=Nutrients!$B$79,Nutrients!$EZ$79,(IF($A$8=Nutrients!$B$77,Nutrients!$EZ$77,Nutrients!$EZ$78)))))*L$8))</f>
        <v>3000</v>
      </c>
      <c r="M335" s="21">
        <f>(SUMPRODUCT(M$9:M$229,Nutrients!$EZ$8:$EZ$228)+(IF($A$7=Nutrients!$B$8,Nutrients!$EZ$8,Nutrients!$EZ$9)*M$7)+(((IF($A$8=Nutrients!$B$79,Nutrients!$EZ$79,(IF($A$8=Nutrients!$B$77,Nutrients!$EZ$77,Nutrients!$EZ$78)))))*M$8))</f>
        <v>2250</v>
      </c>
      <c r="N335" s="21">
        <f>(SUMPRODUCT(N$9:N$229,Nutrients!$EZ$8:$EZ$228)+(IF($A$7=Nutrients!$B$8,Nutrients!$EZ$8,Nutrients!$EZ$9)*N$7)+(((IF($A$8=Nutrients!$B$79,Nutrients!$EZ$79,(IF($A$8=Nutrients!$B$77,Nutrients!$EZ$77,Nutrients!$EZ$78)))))*N$8))</f>
        <v>2250</v>
      </c>
      <c r="O335" s="234"/>
      <c r="P335" s="21">
        <f>(SUMPRODUCT(P$9:P$229,Nutrients!$EZ$8:$EZ$228)+(IF($A$7=Nutrients!$B$8,Nutrients!$EZ$8,Nutrients!$EZ$9)*P$7)+(((IF($A$8=Nutrients!$B$79,Nutrients!$EZ$79,(IF($A$8=Nutrients!$B$77,Nutrients!$EZ$77,Nutrients!$EZ$78)))))*P$8))</f>
        <v>4500</v>
      </c>
      <c r="Q335" s="21">
        <f>(SUMPRODUCT(Q$9:Q$229,Nutrients!$EZ$8:$EZ$228)+(IF($A$7=Nutrients!$B$8,Nutrients!$EZ$8,Nutrients!$EZ$9)*Q$7)+(((IF($A$8=Nutrients!$B$79,Nutrients!$EZ$79,(IF($A$8=Nutrients!$B$77,Nutrients!$EZ$77,Nutrients!$EZ$78)))))*Q$8))</f>
        <v>4500</v>
      </c>
      <c r="R335" s="21">
        <f>(SUMPRODUCT(R$9:R$229,Nutrients!$EZ$8:$EZ$228)+(IF($A$7=Nutrients!$B$8,Nutrients!$EZ$8,Nutrients!$EZ$9)*R$7)+(((IF($A$8=Nutrients!$B$79,Nutrients!$EZ$79,(IF($A$8=Nutrients!$B$77,Nutrients!$EZ$77,Nutrients!$EZ$78)))))*R$8))</f>
        <v>3750</v>
      </c>
      <c r="S335" s="21">
        <f>(SUMPRODUCT(S$9:S$229,Nutrients!$EZ$8:$EZ$228)+(IF($A$7=Nutrients!$B$8,Nutrients!$EZ$8,Nutrients!$EZ$9)*S$7)+(((IF($A$8=Nutrients!$B$79,Nutrients!$EZ$79,(IF($A$8=Nutrients!$B$77,Nutrients!$EZ$77,Nutrients!$EZ$78)))))*S$8))</f>
        <v>3000</v>
      </c>
      <c r="T335" s="21">
        <f>(SUMPRODUCT(T$9:T$229,Nutrients!$EZ$8:$EZ$228)+(IF($A$7=Nutrients!$B$8,Nutrients!$EZ$8,Nutrients!$EZ$9)*T$7)+(((IF($A$8=Nutrients!$B$79,Nutrients!$EZ$79,(IF($A$8=Nutrients!$B$77,Nutrients!$EZ$77,Nutrients!$EZ$78)))))*T$8))</f>
        <v>2250</v>
      </c>
      <c r="U335" s="21">
        <f>(SUMPRODUCT(U$9:U$229,Nutrients!$EZ$8:$EZ$228)+(IF($A$7=Nutrients!$B$8,Nutrients!$EZ$8,Nutrients!$EZ$9)*U$7)+(((IF($A$8=Nutrients!$B$79,Nutrients!$EZ$79,(IF($A$8=Nutrients!$B$77,Nutrients!$EZ$77,Nutrients!$EZ$78)))))*U$8))</f>
        <v>2250</v>
      </c>
      <c r="W335" s="21">
        <f>(SUMPRODUCT(W$9:W$229,Nutrients!$EZ$8:$EZ$228)+(IF($A$7=Nutrients!$B$8,Nutrients!$EZ$8,Nutrients!$EZ$9)*W$7)+(((IF($A$8=Nutrients!$B$79,Nutrients!$EZ$79,(IF($A$8=Nutrients!$B$77,Nutrients!$EZ$77,Nutrients!$EZ$78)))))*W$8))</f>
        <v>4500</v>
      </c>
      <c r="X335" s="21">
        <f>(SUMPRODUCT(X$9:X$229,Nutrients!$EZ$8:$EZ$228)+(IF($A$7=Nutrients!$B$8,Nutrients!$EZ$8,Nutrients!$EZ$9)*X$7)+(((IF($A$8=Nutrients!$B$79,Nutrients!$EZ$79,(IF($A$8=Nutrients!$B$77,Nutrients!$EZ$77,Nutrients!$EZ$78)))))*X$8))</f>
        <v>4500</v>
      </c>
      <c r="Y335" s="21">
        <f>(SUMPRODUCT(Y$9:Y$229,Nutrients!$EZ$8:$EZ$228)+(IF($A$7=Nutrients!$B$8,Nutrients!$EZ$8,Nutrients!$EZ$9)*Y$7)+(((IF($A$8=Nutrients!$B$79,Nutrients!$EZ$79,(IF($A$8=Nutrients!$B$77,Nutrients!$EZ$77,Nutrients!$EZ$78)))))*Y$8))</f>
        <v>3750</v>
      </c>
      <c r="Z335" s="21">
        <f>(SUMPRODUCT(Z$9:Z$229,Nutrients!$EZ$8:$EZ$228)+(IF($A$7=Nutrients!$B$8,Nutrients!$EZ$8,Nutrients!$EZ$9)*Z$7)+(((IF($A$8=Nutrients!$B$79,Nutrients!$EZ$79,(IF($A$8=Nutrients!$B$77,Nutrients!$EZ$77,Nutrients!$EZ$78)))))*Z$8))</f>
        <v>3000</v>
      </c>
      <c r="AA335" s="21">
        <f>(SUMPRODUCT(AA$9:AA$229,Nutrients!$EZ$8:$EZ$228)+(IF($A$7=Nutrients!$B$8,Nutrients!$EZ$8,Nutrients!$EZ$9)*AA$7)+(((IF($A$8=Nutrients!$B$79,Nutrients!$EZ$79,(IF($A$8=Nutrients!$B$77,Nutrients!$EZ$77,Nutrients!$EZ$78)))))*AA$8))</f>
        <v>2250</v>
      </c>
      <c r="AB335" s="21">
        <f>(SUMPRODUCT(AB$9:AB$229,Nutrients!$EZ$8:$EZ$228)+(IF($A$7=Nutrients!$B$8,Nutrients!$EZ$8,Nutrients!$EZ$9)*AB$7)+(((IF($A$8=Nutrients!$B$79,Nutrients!$EZ$79,(IF($A$8=Nutrients!$B$77,Nutrients!$EZ$77,Nutrients!$EZ$78)))))*AB$8))</f>
        <v>2250</v>
      </c>
      <c r="AD335" s="21">
        <f>(SUMPRODUCT(AD$9:AD$229,Nutrients!$EZ$8:$EZ$228)+(IF($A$7=Nutrients!$B$8,Nutrients!$EZ$8,Nutrients!$EZ$9)*AD$7)+(((IF($A$8=Nutrients!$B$79,Nutrients!$EZ$79,(IF($A$8=Nutrients!$B$77,Nutrients!$EZ$77,Nutrients!$EZ$78)))))*AD$8))</f>
        <v>4500</v>
      </c>
      <c r="AE335" s="21">
        <f>(SUMPRODUCT(AE$9:AE$229,Nutrients!$EZ$8:$EZ$228)+(IF($A$7=Nutrients!$B$8,Nutrients!$EZ$8,Nutrients!$EZ$9)*AE$7)+(((IF($A$8=Nutrients!$B$79,Nutrients!$EZ$79,(IF($A$8=Nutrients!$B$77,Nutrients!$EZ$77,Nutrients!$EZ$78)))))*AE$8))</f>
        <v>4500</v>
      </c>
      <c r="AF335" s="21">
        <f>(SUMPRODUCT(AF$9:AF$229,Nutrients!$EZ$8:$EZ$228)+(IF($A$7=Nutrients!$B$8,Nutrients!$EZ$8,Nutrients!$EZ$9)*AF$7)+(((IF($A$8=Nutrients!$B$79,Nutrients!$EZ$79,(IF($A$8=Nutrients!$B$77,Nutrients!$EZ$77,Nutrients!$EZ$78)))))*AF$8))</f>
        <v>3750</v>
      </c>
      <c r="AG335" s="21">
        <f>(SUMPRODUCT(AG$9:AG$229,Nutrients!$EZ$8:$EZ$228)+(IF($A$7=Nutrients!$B$8,Nutrients!$EZ$8,Nutrients!$EZ$9)*AG$7)+(((IF($A$8=Nutrients!$B$79,Nutrients!$EZ$79,(IF($A$8=Nutrients!$B$77,Nutrients!$EZ$77,Nutrients!$EZ$78)))))*AG$8))</f>
        <v>3000</v>
      </c>
      <c r="AH335" s="21">
        <f>(SUMPRODUCT(AH$9:AH$229,Nutrients!$EZ$8:$EZ$228)+(IF($A$7=Nutrients!$B$8,Nutrients!$EZ$8,Nutrients!$EZ$9)*AH$7)+(((IF($A$8=Nutrients!$B$79,Nutrients!$EZ$79,(IF($A$8=Nutrients!$B$77,Nutrients!$EZ$77,Nutrients!$EZ$78)))))*AH$8))</f>
        <v>2250</v>
      </c>
      <c r="AI335" s="21">
        <f>(SUMPRODUCT(AI$9:AI$229,Nutrients!$EZ$8:$EZ$228)+(IF($A$7=Nutrients!$B$8,Nutrients!$EZ$8,Nutrients!$EZ$9)*AI$7)+(((IF($A$8=Nutrients!$B$79,Nutrients!$EZ$79,(IF($A$8=Nutrients!$B$77,Nutrients!$EZ$77,Nutrients!$EZ$78)))))*AI$8))</f>
        <v>2250</v>
      </c>
      <c r="AK335" s="21">
        <f>(SUMPRODUCT(AK$9:AK$229,Nutrients!$EZ$8:$EZ$228)+(IF($A$7=Nutrients!$B$8,Nutrients!$EZ$8,Nutrients!$EZ$9)*AK$7)+(((IF($A$8=Nutrients!$B$79,Nutrients!$EZ$79,(IF($A$8=Nutrients!$B$77,Nutrients!$EZ$77,Nutrients!$EZ$78)))))*AK$8))</f>
        <v>4500</v>
      </c>
      <c r="AL335" s="21">
        <f>(SUMPRODUCT(AL$9:AL$229,Nutrients!$EZ$8:$EZ$228)+(IF($A$7=Nutrients!$B$8,Nutrients!$EZ$8,Nutrients!$EZ$9)*AL$7)+(((IF($A$8=Nutrients!$B$79,Nutrients!$EZ$79,(IF($A$8=Nutrients!$B$77,Nutrients!$EZ$77,Nutrients!$EZ$78)))))*AL$8))</f>
        <v>4500</v>
      </c>
      <c r="AM335" s="21">
        <f>(SUMPRODUCT(AM$9:AM$229,Nutrients!$EZ$8:$EZ$228)+(IF($A$7=Nutrients!$B$8,Nutrients!$EZ$8,Nutrients!$EZ$9)*AM$7)+(((IF($A$8=Nutrients!$B$79,Nutrients!$EZ$79,(IF($A$8=Nutrients!$B$77,Nutrients!$EZ$77,Nutrients!$EZ$78)))))*AM$8))</f>
        <v>3750</v>
      </c>
      <c r="AN335" s="21">
        <f>(SUMPRODUCT(AN$9:AN$229,Nutrients!$EZ$8:$EZ$228)+(IF($A$7=Nutrients!$B$8,Nutrients!$EZ$8,Nutrients!$EZ$9)*AN$7)+(((IF($A$8=Nutrients!$B$79,Nutrients!$EZ$79,(IF($A$8=Nutrients!$B$77,Nutrients!$EZ$77,Nutrients!$EZ$78)))))*AN$8))</f>
        <v>3000</v>
      </c>
      <c r="AO335" s="21">
        <f>(SUMPRODUCT(AO$9:AO$229,Nutrients!$EZ$8:$EZ$228)+(IF($A$7=Nutrients!$B$8,Nutrients!$EZ$8,Nutrients!$EZ$9)*AO$7)+(((IF($A$8=Nutrients!$B$79,Nutrients!$EZ$79,(IF($A$8=Nutrients!$B$77,Nutrients!$EZ$77,Nutrients!$EZ$78)))))*AO$8))</f>
        <v>2250</v>
      </c>
      <c r="AP335" s="21">
        <f>(SUMPRODUCT(AP$9:AP$229,Nutrients!$EZ$8:$EZ$228)+(IF($A$7=Nutrients!$B$8,Nutrients!$EZ$8,Nutrients!$EZ$9)*AP$7)+(((IF($A$8=Nutrients!$B$79,Nutrients!$EZ$79,(IF($A$8=Nutrients!$B$77,Nutrients!$EZ$77,Nutrients!$EZ$78)))))*AP$8))</f>
        <v>2250</v>
      </c>
      <c r="AR335" s="21">
        <f>(SUMPRODUCT(AR$9:AR$229,Nutrients!$EZ$8:$EZ$228)+(IF($A$7=Nutrients!$B$8,Nutrients!$EZ$8,Nutrients!$EZ$9)*AR$7)+(((IF($A$8=Nutrients!$B$79,Nutrients!$EZ$79,(IF($A$8=Nutrients!$B$77,Nutrients!$EZ$77,Nutrients!$EZ$78)))))*AR$8))</f>
        <v>4500</v>
      </c>
      <c r="AS335" s="21">
        <f>(SUMPRODUCT(AS$9:AS$229,Nutrients!$EZ$8:$EZ$228)+(IF($A$7=Nutrients!$B$8,Nutrients!$EZ$8,Nutrients!$EZ$9)*AS$7)+(((IF($A$8=Nutrients!$B$79,Nutrients!$EZ$79,(IF($A$8=Nutrients!$B$77,Nutrients!$EZ$77,Nutrients!$EZ$78)))))*AS$8))</f>
        <v>4500</v>
      </c>
      <c r="AT335" s="21">
        <f>(SUMPRODUCT(AT$9:AT$229,Nutrients!$EZ$8:$EZ$228)+(IF($A$7=Nutrients!$B$8,Nutrients!$EZ$8,Nutrients!$EZ$9)*AT$7)+(((IF($A$8=Nutrients!$B$79,Nutrients!$EZ$79,(IF($A$8=Nutrients!$B$77,Nutrients!$EZ$77,Nutrients!$EZ$78)))))*AT$8))</f>
        <v>3750</v>
      </c>
      <c r="AU335" s="21">
        <f>(SUMPRODUCT(AU$9:AU$229,Nutrients!$EZ$8:$EZ$228)+(IF($A$7=Nutrients!$B$8,Nutrients!$EZ$8,Nutrients!$EZ$9)*AU$7)+(((IF($A$8=Nutrients!$B$79,Nutrients!$EZ$79,(IF($A$8=Nutrients!$B$77,Nutrients!$EZ$77,Nutrients!$EZ$78)))))*AU$8))</f>
        <v>3000</v>
      </c>
      <c r="AV335" s="21">
        <f>(SUMPRODUCT(AV$9:AV$229,Nutrients!$EZ$8:$EZ$228)+(IF($A$7=Nutrients!$B$8,Nutrients!$EZ$8,Nutrients!$EZ$9)*AV$7)+(((IF($A$8=Nutrients!$B$79,Nutrients!$EZ$79,(IF($A$8=Nutrients!$B$77,Nutrients!$EZ$77,Nutrients!$EZ$78)))))*AV$8))</f>
        <v>2250</v>
      </c>
      <c r="AW335" s="21">
        <f>(SUMPRODUCT(AW$9:AW$229,Nutrients!$EZ$8:$EZ$228)+(IF($A$7=Nutrients!$B$8,Nutrients!$EZ$8,Nutrients!$EZ$9)*AW$7)+(((IF($A$8=Nutrients!$B$79,Nutrients!$EZ$79,(IF($A$8=Nutrients!$B$77,Nutrients!$EZ$77,Nutrients!$EZ$78)))))*AW$8))</f>
        <v>2250</v>
      </c>
    </row>
    <row r="336" spans="1:49" x14ac:dyDescent="0.25">
      <c r="A336" s="34" t="s">
        <v>129</v>
      </c>
      <c r="B336" s="21">
        <f>(SUMPRODUCT(B$9:B$229,Nutrients!$FA$8:$FA$228)+(IF($A$7=Nutrients!$B$8,Nutrients!$FA$8,Nutrients!$FA$9)*B$7)+(((IF($A$8=Nutrients!$B$79,Nutrients!$FA$79,(IF($A$8=Nutrients!$B$77,Nutrients!$FA$77,Nutrients!$FA$78)))))*B$8))</f>
        <v>0</v>
      </c>
      <c r="C336" s="21">
        <f>(SUMPRODUCT(C$9:C$229,Nutrients!$FA$8:$FA$228)+(IF($A$7=Nutrients!$B$8,Nutrients!$FA$8,Nutrients!$FA$9)*C$7)+(((IF($A$8=Nutrients!$B$79,Nutrients!$FA$79,(IF($A$8=Nutrients!$B$77,Nutrients!$FA$77,Nutrients!$FA$78)))))*C$8))</f>
        <v>0</v>
      </c>
      <c r="D336" s="21">
        <f>(SUMPRODUCT(D$9:D$229,Nutrients!$FA$8:$FA$228)+(IF($A$7=Nutrients!$B$8,Nutrients!$FA$8,Nutrients!$FA$9)*D$7)+(((IF($A$8=Nutrients!$B$79,Nutrients!$FA$79,(IF($A$8=Nutrients!$B$77,Nutrients!$FA$77,Nutrients!$FA$78)))))*D$8))</f>
        <v>0</v>
      </c>
      <c r="E336" s="21">
        <f>(SUMPRODUCT(E$9:E$229,Nutrients!$FA$8:$FA$228)+(IF($A$7=Nutrients!$B$8,Nutrients!$FA$8,Nutrients!$FA$9)*E$7)+(((IF($A$8=Nutrients!$B$79,Nutrients!$FA$79,(IF($A$8=Nutrients!$B$77,Nutrients!$FA$77,Nutrients!$FA$78)))))*E$8))</f>
        <v>0</v>
      </c>
      <c r="F336" s="21">
        <f>(SUMPRODUCT(F$9:F$229,Nutrients!$FA$8:$FA$228)+(IF($A$7=Nutrients!$B$8,Nutrients!$FA$8,Nutrients!$FA$9)*F$7)+(((IF($A$8=Nutrients!$B$79,Nutrients!$FA$79,(IF($A$8=Nutrients!$B$77,Nutrients!$FA$77,Nutrients!$FA$78)))))*F$8))</f>
        <v>0</v>
      </c>
      <c r="G336" s="21">
        <f>(SUMPRODUCT(G$9:G$229,Nutrients!$FA$8:$FA$228)+(IF($A$7=Nutrients!$B$8,Nutrients!$FA$8,Nutrients!$FA$9)*G$7)+(((IF($A$8=Nutrients!$B$79,Nutrients!$FA$79,(IF($A$8=Nutrients!$B$77,Nutrients!$FA$77,Nutrients!$FA$78)))))*G$8))</f>
        <v>0</v>
      </c>
      <c r="H336" s="226"/>
      <c r="I336" s="21">
        <f>(SUMPRODUCT(I$9:I$229,Nutrients!$FA$8:$FA$228)+(IF($A$7=Nutrients!$B$8,Nutrients!$FA$8,Nutrients!$FA$9)*I$7)+(((IF($A$8=Nutrients!$B$79,Nutrients!$FA$79,(IF($A$8=Nutrients!$B$77,Nutrients!$FA$77,Nutrients!$FA$78)))))*I$8))</f>
        <v>0</v>
      </c>
      <c r="J336" s="21">
        <f>(SUMPRODUCT(J$9:J$229,Nutrients!$FA$8:$FA$228)+(IF($A$7=Nutrients!$B$8,Nutrients!$FA$8,Nutrients!$FA$9)*J$7)+(((IF($A$8=Nutrients!$B$79,Nutrients!$FA$79,(IF($A$8=Nutrients!$B$77,Nutrients!$FA$77,Nutrients!$FA$78)))))*J$8))</f>
        <v>0</v>
      </c>
      <c r="K336" s="21">
        <f>(SUMPRODUCT(K$9:K$229,Nutrients!$FA$8:$FA$228)+(IF($A$7=Nutrients!$B$8,Nutrients!$FA$8,Nutrients!$FA$9)*K$7)+(((IF($A$8=Nutrients!$B$79,Nutrients!$FA$79,(IF($A$8=Nutrients!$B$77,Nutrients!$FA$77,Nutrients!$FA$78)))))*K$8))</f>
        <v>0</v>
      </c>
      <c r="L336" s="21">
        <f>(SUMPRODUCT(L$9:L$229,Nutrients!$FA$8:$FA$228)+(IF($A$7=Nutrients!$B$8,Nutrients!$FA$8,Nutrients!$FA$9)*L$7)+(((IF($A$8=Nutrients!$B$79,Nutrients!$FA$79,(IF($A$8=Nutrients!$B$77,Nutrients!$FA$77,Nutrients!$FA$78)))))*L$8))</f>
        <v>0</v>
      </c>
      <c r="M336" s="21">
        <f>(SUMPRODUCT(M$9:M$229,Nutrients!$FA$8:$FA$228)+(IF($A$7=Nutrients!$B$8,Nutrients!$FA$8,Nutrients!$FA$9)*M$7)+(((IF($A$8=Nutrients!$B$79,Nutrients!$FA$79,(IF($A$8=Nutrients!$B$77,Nutrients!$FA$77,Nutrients!$FA$78)))))*M$8))</f>
        <v>0</v>
      </c>
      <c r="N336" s="21">
        <f>(SUMPRODUCT(N$9:N$229,Nutrients!$FA$8:$FA$228)+(IF($A$7=Nutrients!$B$8,Nutrients!$FA$8,Nutrients!$FA$9)*N$7)+(((IF($A$8=Nutrients!$B$79,Nutrients!$FA$79,(IF($A$8=Nutrients!$B$77,Nutrients!$FA$77,Nutrients!$FA$78)))))*N$8))</f>
        <v>0</v>
      </c>
      <c r="O336" s="234"/>
      <c r="P336" s="21">
        <f>(SUMPRODUCT(P$9:P$229,Nutrients!$FA$8:$FA$228)+(IF($A$7=Nutrients!$B$8,Nutrients!$FA$8,Nutrients!$FA$9)*P$7)+(((IF($A$8=Nutrients!$B$79,Nutrients!$FA$79,(IF($A$8=Nutrients!$B$77,Nutrients!$FA$77,Nutrients!$FA$78)))))*P$8))</f>
        <v>0</v>
      </c>
      <c r="Q336" s="21">
        <f>(SUMPRODUCT(Q$9:Q$229,Nutrients!$FA$8:$FA$228)+(IF($A$7=Nutrients!$B$8,Nutrients!$FA$8,Nutrients!$FA$9)*Q$7)+(((IF($A$8=Nutrients!$B$79,Nutrients!$FA$79,(IF($A$8=Nutrients!$B$77,Nutrients!$FA$77,Nutrients!$FA$78)))))*Q$8))</f>
        <v>0</v>
      </c>
      <c r="R336" s="21">
        <f>(SUMPRODUCT(R$9:R$229,Nutrients!$FA$8:$FA$228)+(IF($A$7=Nutrients!$B$8,Nutrients!$FA$8,Nutrients!$FA$9)*R$7)+(((IF($A$8=Nutrients!$B$79,Nutrients!$FA$79,(IF($A$8=Nutrients!$B$77,Nutrients!$FA$77,Nutrients!$FA$78)))))*R$8))</f>
        <v>0</v>
      </c>
      <c r="S336" s="21">
        <f>(SUMPRODUCT(S$9:S$229,Nutrients!$FA$8:$FA$228)+(IF($A$7=Nutrients!$B$8,Nutrients!$FA$8,Nutrients!$FA$9)*S$7)+(((IF($A$8=Nutrients!$B$79,Nutrients!$FA$79,(IF($A$8=Nutrients!$B$77,Nutrients!$FA$77,Nutrients!$FA$78)))))*S$8))</f>
        <v>0</v>
      </c>
      <c r="T336" s="21">
        <f>(SUMPRODUCT(T$9:T$229,Nutrients!$FA$8:$FA$228)+(IF($A$7=Nutrients!$B$8,Nutrients!$FA$8,Nutrients!$FA$9)*T$7)+(((IF($A$8=Nutrients!$B$79,Nutrients!$FA$79,(IF($A$8=Nutrients!$B$77,Nutrients!$FA$77,Nutrients!$FA$78)))))*T$8))</f>
        <v>0</v>
      </c>
      <c r="U336" s="21">
        <f>(SUMPRODUCT(U$9:U$229,Nutrients!$FA$8:$FA$228)+(IF($A$7=Nutrients!$B$8,Nutrients!$FA$8,Nutrients!$FA$9)*U$7)+(((IF($A$8=Nutrients!$B$79,Nutrients!$FA$79,(IF($A$8=Nutrients!$B$77,Nutrients!$FA$77,Nutrients!$FA$78)))))*U$8))</f>
        <v>0</v>
      </c>
      <c r="W336" s="21">
        <f>(SUMPRODUCT(W$9:W$229,Nutrients!$FA$8:$FA$228)+(IF($A$7=Nutrients!$B$8,Nutrients!$FA$8,Nutrients!$FA$9)*W$7)+(((IF($A$8=Nutrients!$B$79,Nutrients!$FA$79,(IF($A$8=Nutrients!$B$77,Nutrients!$FA$77,Nutrients!$FA$78)))))*W$8))</f>
        <v>0</v>
      </c>
      <c r="X336" s="21">
        <f>(SUMPRODUCT(X$9:X$229,Nutrients!$FA$8:$FA$228)+(IF($A$7=Nutrients!$B$8,Nutrients!$FA$8,Nutrients!$FA$9)*X$7)+(((IF($A$8=Nutrients!$B$79,Nutrients!$FA$79,(IF($A$8=Nutrients!$B$77,Nutrients!$FA$77,Nutrients!$FA$78)))))*X$8))</f>
        <v>0</v>
      </c>
      <c r="Y336" s="21">
        <f>(SUMPRODUCT(Y$9:Y$229,Nutrients!$FA$8:$FA$228)+(IF($A$7=Nutrients!$B$8,Nutrients!$FA$8,Nutrients!$FA$9)*Y$7)+(((IF($A$8=Nutrients!$B$79,Nutrients!$FA$79,(IF($A$8=Nutrients!$B$77,Nutrients!$FA$77,Nutrients!$FA$78)))))*Y$8))</f>
        <v>0</v>
      </c>
      <c r="Z336" s="21">
        <f>(SUMPRODUCT(Z$9:Z$229,Nutrients!$FA$8:$FA$228)+(IF($A$7=Nutrients!$B$8,Nutrients!$FA$8,Nutrients!$FA$9)*Z$7)+(((IF($A$8=Nutrients!$B$79,Nutrients!$FA$79,(IF($A$8=Nutrients!$B$77,Nutrients!$FA$77,Nutrients!$FA$78)))))*Z$8))</f>
        <v>0</v>
      </c>
      <c r="AA336" s="21">
        <f>(SUMPRODUCT(AA$9:AA$229,Nutrients!$FA$8:$FA$228)+(IF($A$7=Nutrients!$B$8,Nutrients!$FA$8,Nutrients!$FA$9)*AA$7)+(((IF($A$8=Nutrients!$B$79,Nutrients!$FA$79,(IF($A$8=Nutrients!$B$77,Nutrients!$FA$77,Nutrients!$FA$78)))))*AA$8))</f>
        <v>0</v>
      </c>
      <c r="AB336" s="21">
        <f>(SUMPRODUCT(AB$9:AB$229,Nutrients!$FA$8:$FA$228)+(IF($A$7=Nutrients!$B$8,Nutrients!$FA$8,Nutrients!$FA$9)*AB$7)+(((IF($A$8=Nutrients!$B$79,Nutrients!$FA$79,(IF($A$8=Nutrients!$B$77,Nutrients!$FA$77,Nutrients!$FA$78)))))*AB$8))</f>
        <v>0</v>
      </c>
      <c r="AD336" s="21">
        <f>(SUMPRODUCT(AD$9:AD$229,Nutrients!$FA$8:$FA$228)+(IF($A$7=Nutrients!$B$8,Nutrients!$FA$8,Nutrients!$FA$9)*AD$7)+(((IF($A$8=Nutrients!$B$79,Nutrients!$FA$79,(IF($A$8=Nutrients!$B$77,Nutrients!$FA$77,Nutrients!$FA$78)))))*AD$8))</f>
        <v>0</v>
      </c>
      <c r="AE336" s="21">
        <f>(SUMPRODUCT(AE$9:AE$229,Nutrients!$FA$8:$FA$228)+(IF($A$7=Nutrients!$B$8,Nutrients!$FA$8,Nutrients!$FA$9)*AE$7)+(((IF($A$8=Nutrients!$B$79,Nutrients!$FA$79,(IF($A$8=Nutrients!$B$77,Nutrients!$FA$77,Nutrients!$FA$78)))))*AE$8))</f>
        <v>0</v>
      </c>
      <c r="AF336" s="21">
        <f>(SUMPRODUCT(AF$9:AF$229,Nutrients!$FA$8:$FA$228)+(IF($A$7=Nutrients!$B$8,Nutrients!$FA$8,Nutrients!$FA$9)*AF$7)+(((IF($A$8=Nutrients!$B$79,Nutrients!$FA$79,(IF($A$8=Nutrients!$B$77,Nutrients!$FA$77,Nutrients!$FA$78)))))*AF$8))</f>
        <v>0</v>
      </c>
      <c r="AG336" s="21">
        <f>(SUMPRODUCT(AG$9:AG$229,Nutrients!$FA$8:$FA$228)+(IF($A$7=Nutrients!$B$8,Nutrients!$FA$8,Nutrients!$FA$9)*AG$7)+(((IF($A$8=Nutrients!$B$79,Nutrients!$FA$79,(IF($A$8=Nutrients!$B$77,Nutrients!$FA$77,Nutrients!$FA$78)))))*AG$8))</f>
        <v>0</v>
      </c>
      <c r="AH336" s="21">
        <f>(SUMPRODUCT(AH$9:AH$229,Nutrients!$FA$8:$FA$228)+(IF($A$7=Nutrients!$B$8,Nutrients!$FA$8,Nutrients!$FA$9)*AH$7)+(((IF($A$8=Nutrients!$B$79,Nutrients!$FA$79,(IF($A$8=Nutrients!$B$77,Nutrients!$FA$77,Nutrients!$FA$78)))))*AH$8))</f>
        <v>0</v>
      </c>
      <c r="AI336" s="21">
        <f>(SUMPRODUCT(AI$9:AI$229,Nutrients!$FA$8:$FA$228)+(IF($A$7=Nutrients!$B$8,Nutrients!$FA$8,Nutrients!$FA$9)*AI$7)+(((IF($A$8=Nutrients!$B$79,Nutrients!$FA$79,(IF($A$8=Nutrients!$B$77,Nutrients!$FA$77,Nutrients!$FA$78)))))*AI$8))</f>
        <v>0</v>
      </c>
      <c r="AK336" s="21">
        <f>(SUMPRODUCT(AK$9:AK$229,Nutrients!$FA$8:$FA$228)+(IF($A$7=Nutrients!$B$8,Nutrients!$FA$8,Nutrients!$FA$9)*AK$7)+(((IF($A$8=Nutrients!$B$79,Nutrients!$FA$79,(IF($A$8=Nutrients!$B$77,Nutrients!$FA$77,Nutrients!$FA$78)))))*AK$8))</f>
        <v>0</v>
      </c>
      <c r="AL336" s="21">
        <f>(SUMPRODUCT(AL$9:AL$229,Nutrients!$FA$8:$FA$228)+(IF($A$7=Nutrients!$B$8,Nutrients!$FA$8,Nutrients!$FA$9)*AL$7)+(((IF($A$8=Nutrients!$B$79,Nutrients!$FA$79,(IF($A$8=Nutrients!$B$77,Nutrients!$FA$77,Nutrients!$FA$78)))))*AL$8))</f>
        <v>0</v>
      </c>
      <c r="AM336" s="21">
        <f>(SUMPRODUCT(AM$9:AM$229,Nutrients!$FA$8:$FA$228)+(IF($A$7=Nutrients!$B$8,Nutrients!$FA$8,Nutrients!$FA$9)*AM$7)+(((IF($A$8=Nutrients!$B$79,Nutrients!$FA$79,(IF($A$8=Nutrients!$B$77,Nutrients!$FA$77,Nutrients!$FA$78)))))*AM$8))</f>
        <v>0</v>
      </c>
      <c r="AN336" s="21">
        <f>(SUMPRODUCT(AN$9:AN$229,Nutrients!$FA$8:$FA$228)+(IF($A$7=Nutrients!$B$8,Nutrients!$FA$8,Nutrients!$FA$9)*AN$7)+(((IF($A$8=Nutrients!$B$79,Nutrients!$FA$79,(IF($A$8=Nutrients!$B$77,Nutrients!$FA$77,Nutrients!$FA$78)))))*AN$8))</f>
        <v>0</v>
      </c>
      <c r="AO336" s="21">
        <f>(SUMPRODUCT(AO$9:AO$229,Nutrients!$FA$8:$FA$228)+(IF($A$7=Nutrients!$B$8,Nutrients!$FA$8,Nutrients!$FA$9)*AO$7)+(((IF($A$8=Nutrients!$B$79,Nutrients!$FA$79,(IF($A$8=Nutrients!$B$77,Nutrients!$FA$77,Nutrients!$FA$78)))))*AO$8))</f>
        <v>0</v>
      </c>
      <c r="AP336" s="21">
        <f>(SUMPRODUCT(AP$9:AP$229,Nutrients!$FA$8:$FA$228)+(IF($A$7=Nutrients!$B$8,Nutrients!$FA$8,Nutrients!$FA$9)*AP$7)+(((IF($A$8=Nutrients!$B$79,Nutrients!$FA$79,(IF($A$8=Nutrients!$B$77,Nutrients!$FA$77,Nutrients!$FA$78)))))*AP$8))</f>
        <v>0</v>
      </c>
      <c r="AR336" s="21">
        <f>(SUMPRODUCT(AR$9:AR$229,Nutrients!$FA$8:$FA$228)+(IF($A$7=Nutrients!$B$8,Nutrients!$FA$8,Nutrients!$FA$9)*AR$7)+(((IF($A$8=Nutrients!$B$79,Nutrients!$FA$79,(IF($A$8=Nutrients!$B$77,Nutrients!$FA$77,Nutrients!$FA$78)))))*AR$8))</f>
        <v>0</v>
      </c>
      <c r="AS336" s="21">
        <f>(SUMPRODUCT(AS$9:AS$229,Nutrients!$FA$8:$FA$228)+(IF($A$7=Nutrients!$B$8,Nutrients!$FA$8,Nutrients!$FA$9)*AS$7)+(((IF($A$8=Nutrients!$B$79,Nutrients!$FA$79,(IF($A$8=Nutrients!$B$77,Nutrients!$FA$77,Nutrients!$FA$78)))))*AS$8))</f>
        <v>0</v>
      </c>
      <c r="AT336" s="21">
        <f>(SUMPRODUCT(AT$9:AT$229,Nutrients!$FA$8:$FA$228)+(IF($A$7=Nutrients!$B$8,Nutrients!$FA$8,Nutrients!$FA$9)*AT$7)+(((IF($A$8=Nutrients!$B$79,Nutrients!$FA$79,(IF($A$8=Nutrients!$B$77,Nutrients!$FA$77,Nutrients!$FA$78)))))*AT$8))</f>
        <v>0</v>
      </c>
      <c r="AU336" s="21">
        <f>(SUMPRODUCT(AU$9:AU$229,Nutrients!$FA$8:$FA$228)+(IF($A$7=Nutrients!$B$8,Nutrients!$FA$8,Nutrients!$FA$9)*AU$7)+(((IF($A$8=Nutrients!$B$79,Nutrients!$FA$79,(IF($A$8=Nutrients!$B$77,Nutrients!$FA$77,Nutrients!$FA$78)))))*AU$8))</f>
        <v>0</v>
      </c>
      <c r="AV336" s="21">
        <f>(SUMPRODUCT(AV$9:AV$229,Nutrients!$FA$8:$FA$228)+(IF($A$7=Nutrients!$B$8,Nutrients!$FA$8,Nutrients!$FA$9)*AV$7)+(((IF($A$8=Nutrients!$B$79,Nutrients!$FA$79,(IF($A$8=Nutrients!$B$77,Nutrients!$FA$77,Nutrients!$FA$78)))))*AV$8))</f>
        <v>0</v>
      </c>
      <c r="AW336" s="21">
        <f>(SUMPRODUCT(AW$9:AW$229,Nutrients!$FA$8:$FA$228)+(IF($A$7=Nutrients!$B$8,Nutrients!$FA$8,Nutrients!$FA$9)*AW$7)+(((IF($A$8=Nutrients!$B$79,Nutrients!$FA$79,(IF($A$8=Nutrients!$B$77,Nutrients!$FA$77,Nutrients!$FA$78)))))*AW$8))</f>
        <v>0</v>
      </c>
    </row>
    <row r="337" spans="1:58" x14ac:dyDescent="0.25">
      <c r="A337" s="34" t="s">
        <v>130</v>
      </c>
      <c r="B337" s="21">
        <f>(SUMPRODUCT(B$9:B$229,Nutrients!$FB$8:$FB$228)+(IF($A$7=Nutrients!$B$8,Nutrients!$FB$8,Nutrients!$FB$9)*B$7)+(((IF($A$8=Nutrients!$B$79,Nutrients!$FB$79,(IF($A$8=Nutrients!$B$77,Nutrients!$FB$77,Nutrients!$FB$78)))))*B$8))</f>
        <v>0</v>
      </c>
      <c r="C337" s="21">
        <f>(SUMPRODUCT(C$9:C$229,Nutrients!$FB$8:$FB$228)+(IF($A$7=Nutrients!$B$8,Nutrients!$FB$8,Nutrients!$FB$9)*C$7)+(((IF($A$8=Nutrients!$B$79,Nutrients!$FB$79,(IF($A$8=Nutrients!$B$77,Nutrients!$FB$77,Nutrients!$FB$78)))))*C$8))</f>
        <v>0</v>
      </c>
      <c r="D337" s="21">
        <f>(SUMPRODUCT(D$9:D$229,Nutrients!$FB$8:$FB$228)+(IF($A$7=Nutrients!$B$8,Nutrients!$FB$8,Nutrients!$FB$9)*D$7)+(((IF($A$8=Nutrients!$B$79,Nutrients!$FB$79,(IF($A$8=Nutrients!$B$77,Nutrients!$FB$77,Nutrients!$FB$78)))))*D$8))</f>
        <v>0</v>
      </c>
      <c r="E337" s="21">
        <f>(SUMPRODUCT(E$9:E$229,Nutrients!$FB$8:$FB$228)+(IF($A$7=Nutrients!$B$8,Nutrients!$FB$8,Nutrients!$FB$9)*E$7)+(((IF($A$8=Nutrients!$B$79,Nutrients!$FB$79,(IF($A$8=Nutrients!$B$77,Nutrients!$FB$77,Nutrients!$FB$78)))))*E$8))</f>
        <v>0</v>
      </c>
      <c r="F337" s="21">
        <f>(SUMPRODUCT(F$9:F$229,Nutrients!$FB$8:$FB$228)+(IF($A$7=Nutrients!$B$8,Nutrients!$FB$8,Nutrients!$FB$9)*F$7)+(((IF($A$8=Nutrients!$B$79,Nutrients!$FB$79,(IF($A$8=Nutrients!$B$77,Nutrients!$FB$77,Nutrients!$FB$78)))))*F$8))</f>
        <v>0</v>
      </c>
      <c r="G337" s="21">
        <f>(SUMPRODUCT(G$9:G$229,Nutrients!$FB$8:$FB$228)+(IF($A$7=Nutrients!$B$8,Nutrients!$FB$8,Nutrients!$FB$9)*G$7)+(((IF($A$8=Nutrients!$B$79,Nutrients!$FB$79,(IF($A$8=Nutrients!$B$77,Nutrients!$FB$77,Nutrients!$FB$78)))))*G$8))</f>
        <v>0</v>
      </c>
      <c r="H337" s="226"/>
      <c r="I337" s="21">
        <f>(SUMPRODUCT(I$9:I$229,Nutrients!$FB$8:$FB$228)+(IF($A$7=Nutrients!$B$8,Nutrients!$FB$8,Nutrients!$FB$9)*I$7)+(((IF($A$8=Nutrients!$B$79,Nutrients!$FB$79,(IF($A$8=Nutrients!$B$77,Nutrients!$FB$77,Nutrients!$FB$78)))))*I$8))</f>
        <v>0</v>
      </c>
      <c r="J337" s="21">
        <f>(SUMPRODUCT(J$9:J$229,Nutrients!$FB$8:$FB$228)+(IF($A$7=Nutrients!$B$8,Nutrients!$FB$8,Nutrients!$FB$9)*J$7)+(((IF($A$8=Nutrients!$B$79,Nutrients!$FB$79,(IF($A$8=Nutrients!$B$77,Nutrients!$FB$77,Nutrients!$FB$78)))))*J$8))</f>
        <v>0</v>
      </c>
      <c r="K337" s="21">
        <f>(SUMPRODUCT(K$9:K$229,Nutrients!$FB$8:$FB$228)+(IF($A$7=Nutrients!$B$8,Nutrients!$FB$8,Nutrients!$FB$9)*K$7)+(((IF($A$8=Nutrients!$B$79,Nutrients!$FB$79,(IF($A$8=Nutrients!$B$77,Nutrients!$FB$77,Nutrients!$FB$78)))))*K$8))</f>
        <v>0</v>
      </c>
      <c r="L337" s="21">
        <f>(SUMPRODUCT(L$9:L$229,Nutrients!$FB$8:$FB$228)+(IF($A$7=Nutrients!$B$8,Nutrients!$FB$8,Nutrients!$FB$9)*L$7)+(((IF($A$8=Nutrients!$B$79,Nutrients!$FB$79,(IF($A$8=Nutrients!$B$77,Nutrients!$FB$77,Nutrients!$FB$78)))))*L$8))</f>
        <v>0</v>
      </c>
      <c r="M337" s="21">
        <f>(SUMPRODUCT(M$9:M$229,Nutrients!$FB$8:$FB$228)+(IF($A$7=Nutrients!$B$8,Nutrients!$FB$8,Nutrients!$FB$9)*M$7)+(((IF($A$8=Nutrients!$B$79,Nutrients!$FB$79,(IF($A$8=Nutrients!$B$77,Nutrients!$FB$77,Nutrients!$FB$78)))))*M$8))</f>
        <v>0</v>
      </c>
      <c r="N337" s="21">
        <f>(SUMPRODUCT(N$9:N$229,Nutrients!$FB$8:$FB$228)+(IF($A$7=Nutrients!$B$8,Nutrients!$FB$8,Nutrients!$FB$9)*N$7)+(((IF($A$8=Nutrients!$B$79,Nutrients!$FB$79,(IF($A$8=Nutrients!$B$77,Nutrients!$FB$77,Nutrients!$FB$78)))))*N$8))</f>
        <v>0</v>
      </c>
      <c r="O337" s="234"/>
      <c r="P337" s="21">
        <f>(SUMPRODUCT(P$9:P$229,Nutrients!$FB$8:$FB$228)+(IF($A$7=Nutrients!$B$8,Nutrients!$FB$8,Nutrients!$FB$9)*P$7)+(((IF($A$8=Nutrients!$B$79,Nutrients!$FB$79,(IF($A$8=Nutrients!$B$77,Nutrients!$FB$77,Nutrients!$FB$78)))))*P$8))</f>
        <v>0</v>
      </c>
      <c r="Q337" s="21">
        <f>(SUMPRODUCT(Q$9:Q$229,Nutrients!$FB$8:$FB$228)+(IF($A$7=Nutrients!$B$8,Nutrients!$FB$8,Nutrients!$FB$9)*Q$7)+(((IF($A$8=Nutrients!$B$79,Nutrients!$FB$79,(IF($A$8=Nutrients!$B$77,Nutrients!$FB$77,Nutrients!$FB$78)))))*Q$8))</f>
        <v>0</v>
      </c>
      <c r="R337" s="21">
        <f>(SUMPRODUCT(R$9:R$229,Nutrients!$FB$8:$FB$228)+(IF($A$7=Nutrients!$B$8,Nutrients!$FB$8,Nutrients!$FB$9)*R$7)+(((IF($A$8=Nutrients!$B$79,Nutrients!$FB$79,(IF($A$8=Nutrients!$B$77,Nutrients!$FB$77,Nutrients!$FB$78)))))*R$8))</f>
        <v>0</v>
      </c>
      <c r="S337" s="21">
        <f>(SUMPRODUCT(S$9:S$229,Nutrients!$FB$8:$FB$228)+(IF($A$7=Nutrients!$B$8,Nutrients!$FB$8,Nutrients!$FB$9)*S$7)+(((IF($A$8=Nutrients!$B$79,Nutrients!$FB$79,(IF($A$8=Nutrients!$B$77,Nutrients!$FB$77,Nutrients!$FB$78)))))*S$8))</f>
        <v>0</v>
      </c>
      <c r="T337" s="21">
        <f>(SUMPRODUCT(T$9:T$229,Nutrients!$FB$8:$FB$228)+(IF($A$7=Nutrients!$B$8,Nutrients!$FB$8,Nutrients!$FB$9)*T$7)+(((IF($A$8=Nutrients!$B$79,Nutrients!$FB$79,(IF($A$8=Nutrients!$B$77,Nutrients!$FB$77,Nutrients!$FB$78)))))*T$8))</f>
        <v>0</v>
      </c>
      <c r="U337" s="21">
        <f>(SUMPRODUCT(U$9:U$229,Nutrients!$FB$8:$FB$228)+(IF($A$7=Nutrients!$B$8,Nutrients!$FB$8,Nutrients!$FB$9)*U$7)+(((IF($A$8=Nutrients!$B$79,Nutrients!$FB$79,(IF($A$8=Nutrients!$B$77,Nutrients!$FB$77,Nutrients!$FB$78)))))*U$8))</f>
        <v>0</v>
      </c>
      <c r="W337" s="21">
        <f>(SUMPRODUCT(W$9:W$229,Nutrients!$FB$8:$FB$228)+(IF($A$7=Nutrients!$B$8,Nutrients!$FB$8,Nutrients!$FB$9)*W$7)+(((IF($A$8=Nutrients!$B$79,Nutrients!$FB$79,(IF($A$8=Nutrients!$B$77,Nutrients!$FB$77,Nutrients!$FB$78)))))*W$8))</f>
        <v>0</v>
      </c>
      <c r="X337" s="21">
        <f>(SUMPRODUCT(X$9:X$229,Nutrients!$FB$8:$FB$228)+(IF($A$7=Nutrients!$B$8,Nutrients!$FB$8,Nutrients!$FB$9)*X$7)+(((IF($A$8=Nutrients!$B$79,Nutrients!$FB$79,(IF($A$8=Nutrients!$B$77,Nutrients!$FB$77,Nutrients!$FB$78)))))*X$8))</f>
        <v>0</v>
      </c>
      <c r="Y337" s="21">
        <f>(SUMPRODUCT(Y$9:Y$229,Nutrients!$FB$8:$FB$228)+(IF($A$7=Nutrients!$B$8,Nutrients!$FB$8,Nutrients!$FB$9)*Y$7)+(((IF($A$8=Nutrients!$B$79,Nutrients!$FB$79,(IF($A$8=Nutrients!$B$77,Nutrients!$FB$77,Nutrients!$FB$78)))))*Y$8))</f>
        <v>0</v>
      </c>
      <c r="Z337" s="21">
        <f>(SUMPRODUCT(Z$9:Z$229,Nutrients!$FB$8:$FB$228)+(IF($A$7=Nutrients!$B$8,Nutrients!$FB$8,Nutrients!$FB$9)*Z$7)+(((IF($A$8=Nutrients!$B$79,Nutrients!$FB$79,(IF($A$8=Nutrients!$B$77,Nutrients!$FB$77,Nutrients!$FB$78)))))*Z$8))</f>
        <v>0</v>
      </c>
      <c r="AA337" s="21">
        <f>(SUMPRODUCT(AA$9:AA$229,Nutrients!$FB$8:$FB$228)+(IF($A$7=Nutrients!$B$8,Nutrients!$FB$8,Nutrients!$FB$9)*AA$7)+(((IF($A$8=Nutrients!$B$79,Nutrients!$FB$79,(IF($A$8=Nutrients!$B$77,Nutrients!$FB$77,Nutrients!$FB$78)))))*AA$8))</f>
        <v>0</v>
      </c>
      <c r="AB337" s="21">
        <f>(SUMPRODUCT(AB$9:AB$229,Nutrients!$FB$8:$FB$228)+(IF($A$7=Nutrients!$B$8,Nutrients!$FB$8,Nutrients!$FB$9)*AB$7)+(((IF($A$8=Nutrients!$B$79,Nutrients!$FB$79,(IF($A$8=Nutrients!$B$77,Nutrients!$FB$77,Nutrients!$FB$78)))))*AB$8))</f>
        <v>0</v>
      </c>
      <c r="AD337" s="21">
        <f>(SUMPRODUCT(AD$9:AD$229,Nutrients!$FB$8:$FB$228)+(IF($A$7=Nutrients!$B$8,Nutrients!$FB$8,Nutrients!$FB$9)*AD$7)+(((IF($A$8=Nutrients!$B$79,Nutrients!$FB$79,(IF($A$8=Nutrients!$B$77,Nutrients!$FB$77,Nutrients!$FB$78)))))*AD$8))</f>
        <v>0</v>
      </c>
      <c r="AE337" s="21">
        <f>(SUMPRODUCT(AE$9:AE$229,Nutrients!$FB$8:$FB$228)+(IF($A$7=Nutrients!$B$8,Nutrients!$FB$8,Nutrients!$FB$9)*AE$7)+(((IF($A$8=Nutrients!$B$79,Nutrients!$FB$79,(IF($A$8=Nutrients!$B$77,Nutrients!$FB$77,Nutrients!$FB$78)))))*AE$8))</f>
        <v>0</v>
      </c>
      <c r="AF337" s="21">
        <f>(SUMPRODUCT(AF$9:AF$229,Nutrients!$FB$8:$FB$228)+(IF($A$7=Nutrients!$B$8,Nutrients!$FB$8,Nutrients!$FB$9)*AF$7)+(((IF($A$8=Nutrients!$B$79,Nutrients!$FB$79,(IF($A$8=Nutrients!$B$77,Nutrients!$FB$77,Nutrients!$FB$78)))))*AF$8))</f>
        <v>0</v>
      </c>
      <c r="AG337" s="21">
        <f>(SUMPRODUCT(AG$9:AG$229,Nutrients!$FB$8:$FB$228)+(IF($A$7=Nutrients!$B$8,Nutrients!$FB$8,Nutrients!$FB$9)*AG$7)+(((IF($A$8=Nutrients!$B$79,Nutrients!$FB$79,(IF($A$8=Nutrients!$B$77,Nutrients!$FB$77,Nutrients!$FB$78)))))*AG$8))</f>
        <v>0</v>
      </c>
      <c r="AH337" s="21">
        <f>(SUMPRODUCT(AH$9:AH$229,Nutrients!$FB$8:$FB$228)+(IF($A$7=Nutrients!$B$8,Nutrients!$FB$8,Nutrients!$FB$9)*AH$7)+(((IF($A$8=Nutrients!$B$79,Nutrients!$FB$79,(IF($A$8=Nutrients!$B$77,Nutrients!$FB$77,Nutrients!$FB$78)))))*AH$8))</f>
        <v>0</v>
      </c>
      <c r="AI337" s="21">
        <f>(SUMPRODUCT(AI$9:AI$229,Nutrients!$FB$8:$FB$228)+(IF($A$7=Nutrients!$B$8,Nutrients!$FB$8,Nutrients!$FB$9)*AI$7)+(((IF($A$8=Nutrients!$B$79,Nutrients!$FB$79,(IF($A$8=Nutrients!$B$77,Nutrients!$FB$77,Nutrients!$FB$78)))))*AI$8))</f>
        <v>0</v>
      </c>
      <c r="AK337" s="21">
        <f>(SUMPRODUCT(AK$9:AK$229,Nutrients!$FB$8:$FB$228)+(IF($A$7=Nutrients!$B$8,Nutrients!$FB$8,Nutrients!$FB$9)*AK$7)+(((IF($A$8=Nutrients!$B$79,Nutrients!$FB$79,(IF($A$8=Nutrients!$B$77,Nutrients!$FB$77,Nutrients!$FB$78)))))*AK$8))</f>
        <v>0</v>
      </c>
      <c r="AL337" s="21">
        <f>(SUMPRODUCT(AL$9:AL$229,Nutrients!$FB$8:$FB$228)+(IF($A$7=Nutrients!$B$8,Nutrients!$FB$8,Nutrients!$FB$9)*AL$7)+(((IF($A$8=Nutrients!$B$79,Nutrients!$FB$79,(IF($A$8=Nutrients!$B$77,Nutrients!$FB$77,Nutrients!$FB$78)))))*AL$8))</f>
        <v>0</v>
      </c>
      <c r="AM337" s="21">
        <f>(SUMPRODUCT(AM$9:AM$229,Nutrients!$FB$8:$FB$228)+(IF($A$7=Nutrients!$B$8,Nutrients!$FB$8,Nutrients!$FB$9)*AM$7)+(((IF($A$8=Nutrients!$B$79,Nutrients!$FB$79,(IF($A$8=Nutrients!$B$77,Nutrients!$FB$77,Nutrients!$FB$78)))))*AM$8))</f>
        <v>0</v>
      </c>
      <c r="AN337" s="21">
        <f>(SUMPRODUCT(AN$9:AN$229,Nutrients!$FB$8:$FB$228)+(IF($A$7=Nutrients!$B$8,Nutrients!$FB$8,Nutrients!$FB$9)*AN$7)+(((IF($A$8=Nutrients!$B$79,Nutrients!$FB$79,(IF($A$8=Nutrients!$B$77,Nutrients!$FB$77,Nutrients!$FB$78)))))*AN$8))</f>
        <v>0</v>
      </c>
      <c r="AO337" s="21">
        <f>(SUMPRODUCT(AO$9:AO$229,Nutrients!$FB$8:$FB$228)+(IF($A$7=Nutrients!$B$8,Nutrients!$FB$8,Nutrients!$FB$9)*AO$7)+(((IF($A$8=Nutrients!$B$79,Nutrients!$FB$79,(IF($A$8=Nutrients!$B$77,Nutrients!$FB$77,Nutrients!$FB$78)))))*AO$8))</f>
        <v>0</v>
      </c>
      <c r="AP337" s="21">
        <f>(SUMPRODUCT(AP$9:AP$229,Nutrients!$FB$8:$FB$228)+(IF($A$7=Nutrients!$B$8,Nutrients!$FB$8,Nutrients!$FB$9)*AP$7)+(((IF($A$8=Nutrients!$B$79,Nutrients!$FB$79,(IF($A$8=Nutrients!$B$77,Nutrients!$FB$77,Nutrients!$FB$78)))))*AP$8))</f>
        <v>0</v>
      </c>
      <c r="AR337" s="21">
        <f>(SUMPRODUCT(AR$9:AR$229,Nutrients!$FB$8:$FB$228)+(IF($A$7=Nutrients!$B$8,Nutrients!$FB$8,Nutrients!$FB$9)*AR$7)+(((IF($A$8=Nutrients!$B$79,Nutrients!$FB$79,(IF($A$8=Nutrients!$B$77,Nutrients!$FB$77,Nutrients!$FB$78)))))*AR$8))</f>
        <v>0</v>
      </c>
      <c r="AS337" s="21">
        <f>(SUMPRODUCT(AS$9:AS$229,Nutrients!$FB$8:$FB$228)+(IF($A$7=Nutrients!$B$8,Nutrients!$FB$8,Nutrients!$FB$9)*AS$7)+(((IF($A$8=Nutrients!$B$79,Nutrients!$FB$79,(IF($A$8=Nutrients!$B$77,Nutrients!$FB$77,Nutrients!$FB$78)))))*AS$8))</f>
        <v>0</v>
      </c>
      <c r="AT337" s="21">
        <f>(SUMPRODUCT(AT$9:AT$229,Nutrients!$FB$8:$FB$228)+(IF($A$7=Nutrients!$B$8,Nutrients!$FB$8,Nutrients!$FB$9)*AT$7)+(((IF($A$8=Nutrients!$B$79,Nutrients!$FB$79,(IF($A$8=Nutrients!$B$77,Nutrients!$FB$77,Nutrients!$FB$78)))))*AT$8))</f>
        <v>0</v>
      </c>
      <c r="AU337" s="21">
        <f>(SUMPRODUCT(AU$9:AU$229,Nutrients!$FB$8:$FB$228)+(IF($A$7=Nutrients!$B$8,Nutrients!$FB$8,Nutrients!$FB$9)*AU$7)+(((IF($A$8=Nutrients!$B$79,Nutrients!$FB$79,(IF($A$8=Nutrients!$B$77,Nutrients!$FB$77,Nutrients!$FB$78)))))*AU$8))</f>
        <v>0</v>
      </c>
      <c r="AV337" s="21">
        <f>(SUMPRODUCT(AV$9:AV$229,Nutrients!$FB$8:$FB$228)+(IF($A$7=Nutrients!$B$8,Nutrients!$FB$8,Nutrients!$FB$9)*AV$7)+(((IF($A$8=Nutrients!$B$79,Nutrients!$FB$79,(IF($A$8=Nutrients!$B$77,Nutrients!$FB$77,Nutrients!$FB$78)))))*AV$8))</f>
        <v>0</v>
      </c>
      <c r="AW337" s="21">
        <f>(SUMPRODUCT(AW$9:AW$229,Nutrients!$FB$8:$FB$228)+(IF($A$7=Nutrients!$B$8,Nutrients!$FB$8,Nutrients!$FB$9)*AW$7)+(((IF($A$8=Nutrients!$B$79,Nutrients!$FB$79,(IF($A$8=Nutrients!$B$77,Nutrients!$FB$77,Nutrients!$FB$78)))))*AW$8))</f>
        <v>0</v>
      </c>
    </row>
    <row r="338" spans="1:58" x14ac:dyDescent="0.25">
      <c r="A338" s="34" t="s">
        <v>131</v>
      </c>
      <c r="B338" s="21">
        <f>(SUMPRODUCT(B$9:B$229,Nutrients!$FC$8:$FC$228)+(IF($A$7=Nutrients!$B$8,Nutrients!$FC$8,Nutrients!$FC$9)*B$7)+(((IF($A$8=Nutrients!$B$79,Nutrients!$FC$79,(IF($A$8=Nutrients!$B$77,Nutrients!$FC$77,Nutrients!$FC$78)))))*B$8))</f>
        <v>0</v>
      </c>
      <c r="C338" s="21">
        <f>(SUMPRODUCT(C$9:C$229,Nutrients!$FC$8:$FC$228)+(IF($A$7=Nutrients!$B$8,Nutrients!$FC$8,Nutrients!$FC$9)*C$7)+(((IF($A$8=Nutrients!$B$79,Nutrients!$FC$79,(IF($A$8=Nutrients!$B$77,Nutrients!$FC$77,Nutrients!$FC$78)))))*C$8))</f>
        <v>0</v>
      </c>
      <c r="D338" s="21">
        <f>(SUMPRODUCT(D$9:D$229,Nutrients!$FC$8:$FC$228)+(IF($A$7=Nutrients!$B$8,Nutrients!$FC$8,Nutrients!$FC$9)*D$7)+(((IF($A$8=Nutrients!$B$79,Nutrients!$FC$79,(IF($A$8=Nutrients!$B$77,Nutrients!$FC$77,Nutrients!$FC$78)))))*D$8))</f>
        <v>0</v>
      </c>
      <c r="E338" s="21">
        <f>(SUMPRODUCT(E$9:E$229,Nutrients!$FC$8:$FC$228)+(IF($A$7=Nutrients!$B$8,Nutrients!$FC$8,Nutrients!$FC$9)*E$7)+(((IF($A$8=Nutrients!$B$79,Nutrients!$FC$79,(IF($A$8=Nutrients!$B$77,Nutrients!$FC$77,Nutrients!$FC$78)))))*E$8))</f>
        <v>0</v>
      </c>
      <c r="F338" s="21">
        <f>(SUMPRODUCT(F$9:F$229,Nutrients!$FC$8:$FC$228)+(IF($A$7=Nutrients!$B$8,Nutrients!$FC$8,Nutrients!$FC$9)*F$7)+(((IF($A$8=Nutrients!$B$79,Nutrients!$FC$79,(IF($A$8=Nutrients!$B$77,Nutrients!$FC$77,Nutrients!$FC$78)))))*F$8))</f>
        <v>0</v>
      </c>
      <c r="G338" s="21">
        <f>(SUMPRODUCT(G$9:G$229,Nutrients!$FC$8:$FC$228)+(IF($A$7=Nutrients!$B$8,Nutrients!$FC$8,Nutrients!$FC$9)*G$7)+(((IF($A$8=Nutrients!$B$79,Nutrients!$FC$79,(IF($A$8=Nutrients!$B$77,Nutrients!$FC$77,Nutrients!$FC$78)))))*G$8))</f>
        <v>0</v>
      </c>
      <c r="H338" s="226"/>
      <c r="I338" s="21">
        <f>(SUMPRODUCT(I$9:I$229,Nutrients!$FC$8:$FC$228)+(IF($A$7=Nutrients!$B$8,Nutrients!$FC$8,Nutrients!$FC$9)*I$7)+(((IF($A$8=Nutrients!$B$79,Nutrients!$FC$79,(IF($A$8=Nutrients!$B$77,Nutrients!$FC$77,Nutrients!$FC$78)))))*I$8))</f>
        <v>0</v>
      </c>
      <c r="J338" s="21">
        <f>(SUMPRODUCT(J$9:J$229,Nutrients!$FC$8:$FC$228)+(IF($A$7=Nutrients!$B$8,Nutrients!$FC$8,Nutrients!$FC$9)*J$7)+(((IF($A$8=Nutrients!$B$79,Nutrients!$FC$79,(IF($A$8=Nutrients!$B$77,Nutrients!$FC$77,Nutrients!$FC$78)))))*J$8))</f>
        <v>0</v>
      </c>
      <c r="K338" s="21">
        <f>(SUMPRODUCT(K$9:K$229,Nutrients!$FC$8:$FC$228)+(IF($A$7=Nutrients!$B$8,Nutrients!$FC$8,Nutrients!$FC$9)*K$7)+(((IF($A$8=Nutrients!$B$79,Nutrients!$FC$79,(IF($A$8=Nutrients!$B$77,Nutrients!$FC$77,Nutrients!$FC$78)))))*K$8))</f>
        <v>0</v>
      </c>
      <c r="L338" s="21">
        <f>(SUMPRODUCT(L$9:L$229,Nutrients!$FC$8:$FC$228)+(IF($A$7=Nutrients!$B$8,Nutrients!$FC$8,Nutrients!$FC$9)*L$7)+(((IF($A$8=Nutrients!$B$79,Nutrients!$FC$79,(IF($A$8=Nutrients!$B$77,Nutrients!$FC$77,Nutrients!$FC$78)))))*L$8))</f>
        <v>0</v>
      </c>
      <c r="M338" s="21">
        <f>(SUMPRODUCT(M$9:M$229,Nutrients!$FC$8:$FC$228)+(IF($A$7=Nutrients!$B$8,Nutrients!$FC$8,Nutrients!$FC$9)*M$7)+(((IF($A$8=Nutrients!$B$79,Nutrients!$FC$79,(IF($A$8=Nutrients!$B$77,Nutrients!$FC$77,Nutrients!$FC$78)))))*M$8))</f>
        <v>0</v>
      </c>
      <c r="N338" s="21">
        <f>(SUMPRODUCT(N$9:N$229,Nutrients!$FC$8:$FC$228)+(IF($A$7=Nutrients!$B$8,Nutrients!$FC$8,Nutrients!$FC$9)*N$7)+(((IF($A$8=Nutrients!$B$79,Nutrients!$FC$79,(IF($A$8=Nutrients!$B$77,Nutrients!$FC$77,Nutrients!$FC$78)))))*N$8))</f>
        <v>0</v>
      </c>
      <c r="O338" s="234"/>
      <c r="P338" s="21">
        <f>(SUMPRODUCT(P$9:P$229,Nutrients!$FC$8:$FC$228)+(IF($A$7=Nutrients!$B$8,Nutrients!$FC$8,Nutrients!$FC$9)*P$7)+(((IF($A$8=Nutrients!$B$79,Nutrients!$FC$79,(IF($A$8=Nutrients!$B$77,Nutrients!$FC$77,Nutrients!$FC$78)))))*P$8))</f>
        <v>0</v>
      </c>
      <c r="Q338" s="21">
        <f>(SUMPRODUCT(Q$9:Q$229,Nutrients!$FC$8:$FC$228)+(IF($A$7=Nutrients!$B$8,Nutrients!$FC$8,Nutrients!$FC$9)*Q$7)+(((IF($A$8=Nutrients!$B$79,Nutrients!$FC$79,(IF($A$8=Nutrients!$B$77,Nutrients!$FC$77,Nutrients!$FC$78)))))*Q$8))</f>
        <v>0</v>
      </c>
      <c r="R338" s="21">
        <f>(SUMPRODUCT(R$9:R$229,Nutrients!$FC$8:$FC$228)+(IF($A$7=Nutrients!$B$8,Nutrients!$FC$8,Nutrients!$FC$9)*R$7)+(((IF($A$8=Nutrients!$B$79,Nutrients!$FC$79,(IF($A$8=Nutrients!$B$77,Nutrients!$FC$77,Nutrients!$FC$78)))))*R$8))</f>
        <v>0</v>
      </c>
      <c r="S338" s="21">
        <f>(SUMPRODUCT(S$9:S$229,Nutrients!$FC$8:$FC$228)+(IF($A$7=Nutrients!$B$8,Nutrients!$FC$8,Nutrients!$FC$9)*S$7)+(((IF($A$8=Nutrients!$B$79,Nutrients!$FC$79,(IF($A$8=Nutrients!$B$77,Nutrients!$FC$77,Nutrients!$FC$78)))))*S$8))</f>
        <v>0</v>
      </c>
      <c r="T338" s="21">
        <f>(SUMPRODUCT(T$9:T$229,Nutrients!$FC$8:$FC$228)+(IF($A$7=Nutrients!$B$8,Nutrients!$FC$8,Nutrients!$FC$9)*T$7)+(((IF($A$8=Nutrients!$B$79,Nutrients!$FC$79,(IF($A$8=Nutrients!$B$77,Nutrients!$FC$77,Nutrients!$FC$78)))))*T$8))</f>
        <v>0</v>
      </c>
      <c r="U338" s="21">
        <f>(SUMPRODUCT(U$9:U$229,Nutrients!$FC$8:$FC$228)+(IF($A$7=Nutrients!$B$8,Nutrients!$FC$8,Nutrients!$FC$9)*U$7)+(((IF($A$8=Nutrients!$B$79,Nutrients!$FC$79,(IF($A$8=Nutrients!$B$77,Nutrients!$FC$77,Nutrients!$FC$78)))))*U$8))</f>
        <v>0</v>
      </c>
      <c r="W338" s="21">
        <f>(SUMPRODUCT(W$9:W$229,Nutrients!$FC$8:$FC$228)+(IF($A$7=Nutrients!$B$8,Nutrients!$FC$8,Nutrients!$FC$9)*W$7)+(((IF($A$8=Nutrients!$B$79,Nutrients!$FC$79,(IF($A$8=Nutrients!$B$77,Nutrients!$FC$77,Nutrients!$FC$78)))))*W$8))</f>
        <v>0</v>
      </c>
      <c r="X338" s="21">
        <f>(SUMPRODUCT(X$9:X$229,Nutrients!$FC$8:$FC$228)+(IF($A$7=Nutrients!$B$8,Nutrients!$FC$8,Nutrients!$FC$9)*X$7)+(((IF($A$8=Nutrients!$B$79,Nutrients!$FC$79,(IF($A$8=Nutrients!$B$77,Nutrients!$FC$77,Nutrients!$FC$78)))))*X$8))</f>
        <v>0</v>
      </c>
      <c r="Y338" s="21">
        <f>(SUMPRODUCT(Y$9:Y$229,Nutrients!$FC$8:$FC$228)+(IF($A$7=Nutrients!$B$8,Nutrients!$FC$8,Nutrients!$FC$9)*Y$7)+(((IF($A$8=Nutrients!$B$79,Nutrients!$FC$79,(IF($A$8=Nutrients!$B$77,Nutrients!$FC$77,Nutrients!$FC$78)))))*Y$8))</f>
        <v>0</v>
      </c>
      <c r="Z338" s="21">
        <f>(SUMPRODUCT(Z$9:Z$229,Nutrients!$FC$8:$FC$228)+(IF($A$7=Nutrients!$B$8,Nutrients!$FC$8,Nutrients!$FC$9)*Z$7)+(((IF($A$8=Nutrients!$B$79,Nutrients!$FC$79,(IF($A$8=Nutrients!$B$77,Nutrients!$FC$77,Nutrients!$FC$78)))))*Z$8))</f>
        <v>0</v>
      </c>
      <c r="AA338" s="21">
        <f>(SUMPRODUCT(AA$9:AA$229,Nutrients!$FC$8:$FC$228)+(IF($A$7=Nutrients!$B$8,Nutrients!$FC$8,Nutrients!$FC$9)*AA$7)+(((IF($A$8=Nutrients!$B$79,Nutrients!$FC$79,(IF($A$8=Nutrients!$B$77,Nutrients!$FC$77,Nutrients!$FC$78)))))*AA$8))</f>
        <v>0</v>
      </c>
      <c r="AB338" s="21">
        <f>(SUMPRODUCT(AB$9:AB$229,Nutrients!$FC$8:$FC$228)+(IF($A$7=Nutrients!$B$8,Nutrients!$FC$8,Nutrients!$FC$9)*AB$7)+(((IF($A$8=Nutrients!$B$79,Nutrients!$FC$79,(IF($A$8=Nutrients!$B$77,Nutrients!$FC$77,Nutrients!$FC$78)))))*AB$8))</f>
        <v>0</v>
      </c>
      <c r="AD338" s="21">
        <f>(SUMPRODUCT(AD$9:AD$229,Nutrients!$FC$8:$FC$228)+(IF($A$7=Nutrients!$B$8,Nutrients!$FC$8,Nutrients!$FC$9)*AD$7)+(((IF($A$8=Nutrients!$B$79,Nutrients!$FC$79,(IF($A$8=Nutrients!$B$77,Nutrients!$FC$77,Nutrients!$FC$78)))))*AD$8))</f>
        <v>0</v>
      </c>
      <c r="AE338" s="21">
        <f>(SUMPRODUCT(AE$9:AE$229,Nutrients!$FC$8:$FC$228)+(IF($A$7=Nutrients!$B$8,Nutrients!$FC$8,Nutrients!$FC$9)*AE$7)+(((IF($A$8=Nutrients!$B$79,Nutrients!$FC$79,(IF($A$8=Nutrients!$B$77,Nutrients!$FC$77,Nutrients!$FC$78)))))*AE$8))</f>
        <v>0</v>
      </c>
      <c r="AF338" s="21">
        <f>(SUMPRODUCT(AF$9:AF$229,Nutrients!$FC$8:$FC$228)+(IF($A$7=Nutrients!$B$8,Nutrients!$FC$8,Nutrients!$FC$9)*AF$7)+(((IF($A$8=Nutrients!$B$79,Nutrients!$FC$79,(IF($A$8=Nutrients!$B$77,Nutrients!$FC$77,Nutrients!$FC$78)))))*AF$8))</f>
        <v>0</v>
      </c>
      <c r="AG338" s="21">
        <f>(SUMPRODUCT(AG$9:AG$229,Nutrients!$FC$8:$FC$228)+(IF($A$7=Nutrients!$B$8,Nutrients!$FC$8,Nutrients!$FC$9)*AG$7)+(((IF($A$8=Nutrients!$B$79,Nutrients!$FC$79,(IF($A$8=Nutrients!$B$77,Nutrients!$FC$77,Nutrients!$FC$78)))))*AG$8))</f>
        <v>0</v>
      </c>
      <c r="AH338" s="21">
        <f>(SUMPRODUCT(AH$9:AH$229,Nutrients!$FC$8:$FC$228)+(IF($A$7=Nutrients!$B$8,Nutrients!$FC$8,Nutrients!$FC$9)*AH$7)+(((IF($A$8=Nutrients!$B$79,Nutrients!$FC$79,(IF($A$8=Nutrients!$B$77,Nutrients!$FC$77,Nutrients!$FC$78)))))*AH$8))</f>
        <v>0</v>
      </c>
      <c r="AI338" s="21">
        <f>(SUMPRODUCT(AI$9:AI$229,Nutrients!$FC$8:$FC$228)+(IF($A$7=Nutrients!$B$8,Nutrients!$FC$8,Nutrients!$FC$9)*AI$7)+(((IF($A$8=Nutrients!$B$79,Nutrients!$FC$79,(IF($A$8=Nutrients!$B$77,Nutrients!$FC$77,Nutrients!$FC$78)))))*AI$8))</f>
        <v>0</v>
      </c>
      <c r="AK338" s="21">
        <f>(SUMPRODUCT(AK$9:AK$229,Nutrients!$FC$8:$FC$228)+(IF($A$7=Nutrients!$B$8,Nutrients!$FC$8,Nutrients!$FC$9)*AK$7)+(((IF($A$8=Nutrients!$B$79,Nutrients!$FC$79,(IF($A$8=Nutrients!$B$77,Nutrients!$FC$77,Nutrients!$FC$78)))))*AK$8))</f>
        <v>0</v>
      </c>
      <c r="AL338" s="21">
        <f>(SUMPRODUCT(AL$9:AL$229,Nutrients!$FC$8:$FC$228)+(IF($A$7=Nutrients!$B$8,Nutrients!$FC$8,Nutrients!$FC$9)*AL$7)+(((IF($A$8=Nutrients!$B$79,Nutrients!$FC$79,(IF($A$8=Nutrients!$B$77,Nutrients!$FC$77,Nutrients!$FC$78)))))*AL$8))</f>
        <v>0</v>
      </c>
      <c r="AM338" s="21">
        <f>(SUMPRODUCT(AM$9:AM$229,Nutrients!$FC$8:$FC$228)+(IF($A$7=Nutrients!$B$8,Nutrients!$FC$8,Nutrients!$FC$9)*AM$7)+(((IF($A$8=Nutrients!$B$79,Nutrients!$FC$79,(IF($A$8=Nutrients!$B$77,Nutrients!$FC$77,Nutrients!$FC$78)))))*AM$8))</f>
        <v>0</v>
      </c>
      <c r="AN338" s="21">
        <f>(SUMPRODUCT(AN$9:AN$229,Nutrients!$FC$8:$FC$228)+(IF($A$7=Nutrients!$B$8,Nutrients!$FC$8,Nutrients!$FC$9)*AN$7)+(((IF($A$8=Nutrients!$B$79,Nutrients!$FC$79,(IF($A$8=Nutrients!$B$77,Nutrients!$FC$77,Nutrients!$FC$78)))))*AN$8))</f>
        <v>0</v>
      </c>
      <c r="AO338" s="21">
        <f>(SUMPRODUCT(AO$9:AO$229,Nutrients!$FC$8:$FC$228)+(IF($A$7=Nutrients!$B$8,Nutrients!$FC$8,Nutrients!$FC$9)*AO$7)+(((IF($A$8=Nutrients!$B$79,Nutrients!$FC$79,(IF($A$8=Nutrients!$B$77,Nutrients!$FC$77,Nutrients!$FC$78)))))*AO$8))</f>
        <v>0</v>
      </c>
      <c r="AP338" s="21">
        <f>(SUMPRODUCT(AP$9:AP$229,Nutrients!$FC$8:$FC$228)+(IF($A$7=Nutrients!$B$8,Nutrients!$FC$8,Nutrients!$FC$9)*AP$7)+(((IF($A$8=Nutrients!$B$79,Nutrients!$FC$79,(IF($A$8=Nutrients!$B$77,Nutrients!$FC$77,Nutrients!$FC$78)))))*AP$8))</f>
        <v>0</v>
      </c>
      <c r="AR338" s="21">
        <f>(SUMPRODUCT(AR$9:AR$229,Nutrients!$FC$8:$FC$228)+(IF($A$7=Nutrients!$B$8,Nutrients!$FC$8,Nutrients!$FC$9)*AR$7)+(((IF($A$8=Nutrients!$B$79,Nutrients!$FC$79,(IF($A$8=Nutrients!$B$77,Nutrients!$FC$77,Nutrients!$FC$78)))))*AR$8))</f>
        <v>0</v>
      </c>
      <c r="AS338" s="21">
        <f>(SUMPRODUCT(AS$9:AS$229,Nutrients!$FC$8:$FC$228)+(IF($A$7=Nutrients!$B$8,Nutrients!$FC$8,Nutrients!$FC$9)*AS$7)+(((IF($A$8=Nutrients!$B$79,Nutrients!$FC$79,(IF($A$8=Nutrients!$B$77,Nutrients!$FC$77,Nutrients!$FC$78)))))*AS$8))</f>
        <v>0</v>
      </c>
      <c r="AT338" s="21">
        <f>(SUMPRODUCT(AT$9:AT$229,Nutrients!$FC$8:$FC$228)+(IF($A$7=Nutrients!$B$8,Nutrients!$FC$8,Nutrients!$FC$9)*AT$7)+(((IF($A$8=Nutrients!$B$79,Nutrients!$FC$79,(IF($A$8=Nutrients!$B$77,Nutrients!$FC$77,Nutrients!$FC$78)))))*AT$8))</f>
        <v>0</v>
      </c>
      <c r="AU338" s="21">
        <f>(SUMPRODUCT(AU$9:AU$229,Nutrients!$FC$8:$FC$228)+(IF($A$7=Nutrients!$B$8,Nutrients!$FC$8,Nutrients!$FC$9)*AU$7)+(((IF($A$8=Nutrients!$B$79,Nutrients!$FC$79,(IF($A$8=Nutrients!$B$77,Nutrients!$FC$77,Nutrients!$FC$78)))))*AU$8))</f>
        <v>0</v>
      </c>
      <c r="AV338" s="21">
        <f>(SUMPRODUCT(AV$9:AV$229,Nutrients!$FC$8:$FC$228)+(IF($A$7=Nutrients!$B$8,Nutrients!$FC$8,Nutrients!$FC$9)*AV$7)+(((IF($A$8=Nutrients!$B$79,Nutrients!$FC$79,(IF($A$8=Nutrients!$B$77,Nutrients!$FC$77,Nutrients!$FC$78)))))*AV$8))</f>
        <v>0</v>
      </c>
      <c r="AW338" s="21">
        <f>(SUMPRODUCT(AW$9:AW$229,Nutrients!$FC$8:$FC$228)+(IF($A$7=Nutrients!$B$8,Nutrients!$FC$8,Nutrients!$FC$9)*AW$7)+(((IF($A$8=Nutrients!$B$79,Nutrients!$FC$79,(IF($A$8=Nutrients!$B$77,Nutrients!$FC$77,Nutrients!$FC$78)))))*AW$8))</f>
        <v>0</v>
      </c>
    </row>
    <row r="339" spans="1:58" x14ac:dyDescent="0.25">
      <c r="A339" s="34" t="s">
        <v>132</v>
      </c>
      <c r="B339" s="21">
        <f>(SUMPRODUCT(B$9:B$229,Nutrients!$FD$8:$FD$228)+(IF($A$7=Nutrients!$B$8,Nutrients!$FD$8,Nutrients!$FD$9)*B$7)+(((IF($A$8=Nutrients!$B$79,Nutrients!$FD$79,(IF($A$8=Nutrients!$B$77,Nutrients!$FD$77,Nutrients!$FD$78)))))*B$8))</f>
        <v>0</v>
      </c>
      <c r="C339" s="21">
        <f>(SUMPRODUCT(C$9:C$229,Nutrients!$FD$8:$FD$228)+(IF($A$7=Nutrients!$B$8,Nutrients!$FD$8,Nutrients!$FD$9)*C$7)+(((IF($A$8=Nutrients!$B$79,Nutrients!$FD$79,(IF($A$8=Nutrients!$B$77,Nutrients!$FD$77,Nutrients!$FD$78)))))*C$8))</f>
        <v>0</v>
      </c>
      <c r="D339" s="21">
        <f>(SUMPRODUCT(D$9:D$229,Nutrients!$FD$8:$FD$228)+(IF($A$7=Nutrients!$B$8,Nutrients!$FD$8,Nutrients!$FD$9)*D$7)+(((IF($A$8=Nutrients!$B$79,Nutrients!$FD$79,(IF($A$8=Nutrients!$B$77,Nutrients!$FD$77,Nutrients!$FD$78)))))*D$8))</f>
        <v>0</v>
      </c>
      <c r="E339" s="21">
        <f>(SUMPRODUCT(E$9:E$229,Nutrients!$FD$8:$FD$228)+(IF($A$7=Nutrients!$B$8,Nutrients!$FD$8,Nutrients!$FD$9)*E$7)+(((IF($A$8=Nutrients!$B$79,Nutrients!$FD$79,(IF($A$8=Nutrients!$B$77,Nutrients!$FD$77,Nutrients!$FD$78)))))*E$8))</f>
        <v>0</v>
      </c>
      <c r="F339" s="21">
        <f>(SUMPRODUCT(F$9:F$229,Nutrients!$FD$8:$FD$228)+(IF($A$7=Nutrients!$B$8,Nutrients!$FD$8,Nutrients!$FD$9)*F$7)+(((IF($A$8=Nutrients!$B$79,Nutrients!$FD$79,(IF($A$8=Nutrients!$B$77,Nutrients!$FD$77,Nutrients!$FD$78)))))*F$8))</f>
        <v>0</v>
      </c>
      <c r="G339" s="21">
        <f>(SUMPRODUCT(G$9:G$229,Nutrients!$FD$8:$FD$228)+(IF($A$7=Nutrients!$B$8,Nutrients!$FD$8,Nutrients!$FD$9)*G$7)+(((IF($A$8=Nutrients!$B$79,Nutrients!$FD$79,(IF($A$8=Nutrients!$B$77,Nutrients!$FD$77,Nutrients!$FD$78)))))*G$8))</f>
        <v>0</v>
      </c>
      <c r="H339" s="226"/>
      <c r="I339" s="21">
        <f>(SUMPRODUCT(I$9:I$229,Nutrients!$FD$8:$FD$228)+(IF($A$7=Nutrients!$B$8,Nutrients!$FD$8,Nutrients!$FD$9)*I$7)+(((IF($A$8=Nutrients!$B$79,Nutrients!$FD$79,(IF($A$8=Nutrients!$B$77,Nutrients!$FD$77,Nutrients!$FD$78)))))*I$8))</f>
        <v>0</v>
      </c>
      <c r="J339" s="21">
        <f>(SUMPRODUCT(J$9:J$229,Nutrients!$FD$8:$FD$228)+(IF($A$7=Nutrients!$B$8,Nutrients!$FD$8,Nutrients!$FD$9)*J$7)+(((IF($A$8=Nutrients!$B$79,Nutrients!$FD$79,(IF($A$8=Nutrients!$B$77,Nutrients!$FD$77,Nutrients!$FD$78)))))*J$8))</f>
        <v>0</v>
      </c>
      <c r="K339" s="21">
        <f>(SUMPRODUCT(K$9:K$229,Nutrients!$FD$8:$FD$228)+(IF($A$7=Nutrients!$B$8,Nutrients!$FD$8,Nutrients!$FD$9)*K$7)+(((IF($A$8=Nutrients!$B$79,Nutrients!$FD$79,(IF($A$8=Nutrients!$B$77,Nutrients!$FD$77,Nutrients!$FD$78)))))*K$8))</f>
        <v>0</v>
      </c>
      <c r="L339" s="21">
        <f>(SUMPRODUCT(L$9:L$229,Nutrients!$FD$8:$FD$228)+(IF($A$7=Nutrients!$B$8,Nutrients!$FD$8,Nutrients!$FD$9)*L$7)+(((IF($A$8=Nutrients!$B$79,Nutrients!$FD$79,(IF($A$8=Nutrients!$B$77,Nutrients!$FD$77,Nutrients!$FD$78)))))*L$8))</f>
        <v>0</v>
      </c>
      <c r="M339" s="21">
        <f>(SUMPRODUCT(M$9:M$229,Nutrients!$FD$8:$FD$228)+(IF($A$7=Nutrients!$B$8,Nutrients!$FD$8,Nutrients!$FD$9)*M$7)+(((IF($A$8=Nutrients!$B$79,Nutrients!$FD$79,(IF($A$8=Nutrients!$B$77,Nutrients!$FD$77,Nutrients!$FD$78)))))*M$8))</f>
        <v>0</v>
      </c>
      <c r="N339" s="21">
        <f>(SUMPRODUCT(N$9:N$229,Nutrients!$FD$8:$FD$228)+(IF($A$7=Nutrients!$B$8,Nutrients!$FD$8,Nutrients!$FD$9)*N$7)+(((IF($A$8=Nutrients!$B$79,Nutrients!$FD$79,(IF($A$8=Nutrients!$B$77,Nutrients!$FD$77,Nutrients!$FD$78)))))*N$8))</f>
        <v>0</v>
      </c>
      <c r="O339" s="234"/>
      <c r="P339" s="21">
        <f>(SUMPRODUCT(P$9:P$229,Nutrients!$FD$8:$FD$228)+(IF($A$7=Nutrients!$B$8,Nutrients!$FD$8,Nutrients!$FD$9)*P$7)+(((IF($A$8=Nutrients!$B$79,Nutrients!$FD$79,(IF($A$8=Nutrients!$B$77,Nutrients!$FD$77,Nutrients!$FD$78)))))*P$8))</f>
        <v>0</v>
      </c>
      <c r="Q339" s="21">
        <f>(SUMPRODUCT(Q$9:Q$229,Nutrients!$FD$8:$FD$228)+(IF($A$7=Nutrients!$B$8,Nutrients!$FD$8,Nutrients!$FD$9)*Q$7)+(((IF($A$8=Nutrients!$B$79,Nutrients!$FD$79,(IF($A$8=Nutrients!$B$77,Nutrients!$FD$77,Nutrients!$FD$78)))))*Q$8))</f>
        <v>0</v>
      </c>
      <c r="R339" s="21">
        <f>(SUMPRODUCT(R$9:R$229,Nutrients!$FD$8:$FD$228)+(IF($A$7=Nutrients!$B$8,Nutrients!$FD$8,Nutrients!$FD$9)*R$7)+(((IF($A$8=Nutrients!$B$79,Nutrients!$FD$79,(IF($A$8=Nutrients!$B$77,Nutrients!$FD$77,Nutrients!$FD$78)))))*R$8))</f>
        <v>0</v>
      </c>
      <c r="S339" s="21">
        <f>(SUMPRODUCT(S$9:S$229,Nutrients!$FD$8:$FD$228)+(IF($A$7=Nutrients!$B$8,Nutrients!$FD$8,Nutrients!$FD$9)*S$7)+(((IF($A$8=Nutrients!$B$79,Nutrients!$FD$79,(IF($A$8=Nutrients!$B$77,Nutrients!$FD$77,Nutrients!$FD$78)))))*S$8))</f>
        <v>0</v>
      </c>
      <c r="T339" s="21">
        <f>(SUMPRODUCT(T$9:T$229,Nutrients!$FD$8:$FD$228)+(IF($A$7=Nutrients!$B$8,Nutrients!$FD$8,Nutrients!$FD$9)*T$7)+(((IF($A$8=Nutrients!$B$79,Nutrients!$FD$79,(IF($A$8=Nutrients!$B$77,Nutrients!$FD$77,Nutrients!$FD$78)))))*T$8))</f>
        <v>0</v>
      </c>
      <c r="U339" s="21">
        <f>(SUMPRODUCT(U$9:U$229,Nutrients!$FD$8:$FD$228)+(IF($A$7=Nutrients!$B$8,Nutrients!$FD$8,Nutrients!$FD$9)*U$7)+(((IF($A$8=Nutrients!$B$79,Nutrients!$FD$79,(IF($A$8=Nutrients!$B$77,Nutrients!$FD$77,Nutrients!$FD$78)))))*U$8))</f>
        <v>0</v>
      </c>
      <c r="W339" s="21">
        <f>(SUMPRODUCT(W$9:W$229,Nutrients!$FD$8:$FD$228)+(IF($A$7=Nutrients!$B$8,Nutrients!$FD$8,Nutrients!$FD$9)*W$7)+(((IF($A$8=Nutrients!$B$79,Nutrients!$FD$79,(IF($A$8=Nutrients!$B$77,Nutrients!$FD$77,Nutrients!$FD$78)))))*W$8))</f>
        <v>0</v>
      </c>
      <c r="X339" s="21">
        <f>(SUMPRODUCT(X$9:X$229,Nutrients!$FD$8:$FD$228)+(IF($A$7=Nutrients!$B$8,Nutrients!$FD$8,Nutrients!$FD$9)*X$7)+(((IF($A$8=Nutrients!$B$79,Nutrients!$FD$79,(IF($A$8=Nutrients!$B$77,Nutrients!$FD$77,Nutrients!$FD$78)))))*X$8))</f>
        <v>0</v>
      </c>
      <c r="Y339" s="21">
        <f>(SUMPRODUCT(Y$9:Y$229,Nutrients!$FD$8:$FD$228)+(IF($A$7=Nutrients!$B$8,Nutrients!$FD$8,Nutrients!$FD$9)*Y$7)+(((IF($A$8=Nutrients!$B$79,Nutrients!$FD$79,(IF($A$8=Nutrients!$B$77,Nutrients!$FD$77,Nutrients!$FD$78)))))*Y$8))</f>
        <v>0</v>
      </c>
      <c r="Z339" s="21">
        <f>(SUMPRODUCT(Z$9:Z$229,Nutrients!$FD$8:$FD$228)+(IF($A$7=Nutrients!$B$8,Nutrients!$FD$8,Nutrients!$FD$9)*Z$7)+(((IF($A$8=Nutrients!$B$79,Nutrients!$FD$79,(IF($A$8=Nutrients!$B$77,Nutrients!$FD$77,Nutrients!$FD$78)))))*Z$8))</f>
        <v>0</v>
      </c>
      <c r="AA339" s="21">
        <f>(SUMPRODUCT(AA$9:AA$229,Nutrients!$FD$8:$FD$228)+(IF($A$7=Nutrients!$B$8,Nutrients!$FD$8,Nutrients!$FD$9)*AA$7)+(((IF($A$8=Nutrients!$B$79,Nutrients!$FD$79,(IF($A$8=Nutrients!$B$77,Nutrients!$FD$77,Nutrients!$FD$78)))))*AA$8))</f>
        <v>0</v>
      </c>
      <c r="AB339" s="21">
        <f>(SUMPRODUCT(AB$9:AB$229,Nutrients!$FD$8:$FD$228)+(IF($A$7=Nutrients!$B$8,Nutrients!$FD$8,Nutrients!$FD$9)*AB$7)+(((IF($A$8=Nutrients!$B$79,Nutrients!$FD$79,(IF($A$8=Nutrients!$B$77,Nutrients!$FD$77,Nutrients!$FD$78)))))*AB$8))</f>
        <v>0</v>
      </c>
      <c r="AD339" s="21">
        <f>(SUMPRODUCT(AD$9:AD$229,Nutrients!$FD$8:$FD$228)+(IF($A$7=Nutrients!$B$8,Nutrients!$FD$8,Nutrients!$FD$9)*AD$7)+(((IF($A$8=Nutrients!$B$79,Nutrients!$FD$79,(IF($A$8=Nutrients!$B$77,Nutrients!$FD$77,Nutrients!$FD$78)))))*AD$8))</f>
        <v>0</v>
      </c>
      <c r="AE339" s="21">
        <f>(SUMPRODUCT(AE$9:AE$229,Nutrients!$FD$8:$FD$228)+(IF($A$7=Nutrients!$B$8,Nutrients!$FD$8,Nutrients!$FD$9)*AE$7)+(((IF($A$8=Nutrients!$B$79,Nutrients!$FD$79,(IF($A$8=Nutrients!$B$77,Nutrients!$FD$77,Nutrients!$FD$78)))))*AE$8))</f>
        <v>0</v>
      </c>
      <c r="AF339" s="21">
        <f>(SUMPRODUCT(AF$9:AF$229,Nutrients!$FD$8:$FD$228)+(IF($A$7=Nutrients!$B$8,Nutrients!$FD$8,Nutrients!$FD$9)*AF$7)+(((IF($A$8=Nutrients!$B$79,Nutrients!$FD$79,(IF($A$8=Nutrients!$B$77,Nutrients!$FD$77,Nutrients!$FD$78)))))*AF$8))</f>
        <v>0</v>
      </c>
      <c r="AG339" s="21">
        <f>(SUMPRODUCT(AG$9:AG$229,Nutrients!$FD$8:$FD$228)+(IF($A$7=Nutrients!$B$8,Nutrients!$FD$8,Nutrients!$FD$9)*AG$7)+(((IF($A$8=Nutrients!$B$79,Nutrients!$FD$79,(IF($A$8=Nutrients!$B$77,Nutrients!$FD$77,Nutrients!$FD$78)))))*AG$8))</f>
        <v>0</v>
      </c>
      <c r="AH339" s="21">
        <f>(SUMPRODUCT(AH$9:AH$229,Nutrients!$FD$8:$FD$228)+(IF($A$7=Nutrients!$B$8,Nutrients!$FD$8,Nutrients!$FD$9)*AH$7)+(((IF($A$8=Nutrients!$B$79,Nutrients!$FD$79,(IF($A$8=Nutrients!$B$77,Nutrients!$FD$77,Nutrients!$FD$78)))))*AH$8))</f>
        <v>0</v>
      </c>
      <c r="AI339" s="21">
        <f>(SUMPRODUCT(AI$9:AI$229,Nutrients!$FD$8:$FD$228)+(IF($A$7=Nutrients!$B$8,Nutrients!$FD$8,Nutrients!$FD$9)*AI$7)+(((IF($A$8=Nutrients!$B$79,Nutrients!$FD$79,(IF($A$8=Nutrients!$B$77,Nutrients!$FD$77,Nutrients!$FD$78)))))*AI$8))</f>
        <v>0</v>
      </c>
      <c r="AK339" s="21">
        <f>(SUMPRODUCT(AK$9:AK$229,Nutrients!$FD$8:$FD$228)+(IF($A$7=Nutrients!$B$8,Nutrients!$FD$8,Nutrients!$FD$9)*AK$7)+(((IF($A$8=Nutrients!$B$79,Nutrients!$FD$79,(IF($A$8=Nutrients!$B$77,Nutrients!$FD$77,Nutrients!$FD$78)))))*AK$8))</f>
        <v>0</v>
      </c>
      <c r="AL339" s="21">
        <f>(SUMPRODUCT(AL$9:AL$229,Nutrients!$FD$8:$FD$228)+(IF($A$7=Nutrients!$B$8,Nutrients!$FD$8,Nutrients!$FD$9)*AL$7)+(((IF($A$8=Nutrients!$B$79,Nutrients!$FD$79,(IF($A$8=Nutrients!$B$77,Nutrients!$FD$77,Nutrients!$FD$78)))))*AL$8))</f>
        <v>0</v>
      </c>
      <c r="AM339" s="21">
        <f>(SUMPRODUCT(AM$9:AM$229,Nutrients!$FD$8:$FD$228)+(IF($A$7=Nutrients!$B$8,Nutrients!$FD$8,Nutrients!$FD$9)*AM$7)+(((IF($A$8=Nutrients!$B$79,Nutrients!$FD$79,(IF($A$8=Nutrients!$B$77,Nutrients!$FD$77,Nutrients!$FD$78)))))*AM$8))</f>
        <v>0</v>
      </c>
      <c r="AN339" s="21">
        <f>(SUMPRODUCT(AN$9:AN$229,Nutrients!$FD$8:$FD$228)+(IF($A$7=Nutrients!$B$8,Nutrients!$FD$8,Nutrients!$FD$9)*AN$7)+(((IF($A$8=Nutrients!$B$79,Nutrients!$FD$79,(IF($A$8=Nutrients!$B$77,Nutrients!$FD$77,Nutrients!$FD$78)))))*AN$8))</f>
        <v>0</v>
      </c>
      <c r="AO339" s="21">
        <f>(SUMPRODUCT(AO$9:AO$229,Nutrients!$FD$8:$FD$228)+(IF($A$7=Nutrients!$B$8,Nutrients!$FD$8,Nutrients!$FD$9)*AO$7)+(((IF($A$8=Nutrients!$B$79,Nutrients!$FD$79,(IF($A$8=Nutrients!$B$77,Nutrients!$FD$77,Nutrients!$FD$78)))))*AO$8))</f>
        <v>0</v>
      </c>
      <c r="AP339" s="21">
        <f>(SUMPRODUCT(AP$9:AP$229,Nutrients!$FD$8:$FD$228)+(IF($A$7=Nutrients!$B$8,Nutrients!$FD$8,Nutrients!$FD$9)*AP$7)+(((IF($A$8=Nutrients!$B$79,Nutrients!$FD$79,(IF($A$8=Nutrients!$B$77,Nutrients!$FD$77,Nutrients!$FD$78)))))*AP$8))</f>
        <v>0</v>
      </c>
      <c r="AR339" s="21">
        <f>(SUMPRODUCT(AR$9:AR$229,Nutrients!$FD$8:$FD$228)+(IF($A$7=Nutrients!$B$8,Nutrients!$FD$8,Nutrients!$FD$9)*AR$7)+(((IF($A$8=Nutrients!$B$79,Nutrients!$FD$79,(IF($A$8=Nutrients!$B$77,Nutrients!$FD$77,Nutrients!$FD$78)))))*AR$8))</f>
        <v>0</v>
      </c>
      <c r="AS339" s="21">
        <f>(SUMPRODUCT(AS$9:AS$229,Nutrients!$FD$8:$FD$228)+(IF($A$7=Nutrients!$B$8,Nutrients!$FD$8,Nutrients!$FD$9)*AS$7)+(((IF($A$8=Nutrients!$B$79,Nutrients!$FD$79,(IF($A$8=Nutrients!$B$77,Nutrients!$FD$77,Nutrients!$FD$78)))))*AS$8))</f>
        <v>0</v>
      </c>
      <c r="AT339" s="21">
        <f>(SUMPRODUCT(AT$9:AT$229,Nutrients!$FD$8:$FD$228)+(IF($A$7=Nutrients!$B$8,Nutrients!$FD$8,Nutrients!$FD$9)*AT$7)+(((IF($A$8=Nutrients!$B$79,Nutrients!$FD$79,(IF($A$8=Nutrients!$B$77,Nutrients!$FD$77,Nutrients!$FD$78)))))*AT$8))</f>
        <v>0</v>
      </c>
      <c r="AU339" s="21">
        <f>(SUMPRODUCT(AU$9:AU$229,Nutrients!$FD$8:$FD$228)+(IF($A$7=Nutrients!$B$8,Nutrients!$FD$8,Nutrients!$FD$9)*AU$7)+(((IF($A$8=Nutrients!$B$79,Nutrients!$FD$79,(IF($A$8=Nutrients!$B$77,Nutrients!$FD$77,Nutrients!$FD$78)))))*AU$8))</f>
        <v>0</v>
      </c>
      <c r="AV339" s="21">
        <f>(SUMPRODUCT(AV$9:AV$229,Nutrients!$FD$8:$FD$228)+(IF($A$7=Nutrients!$B$8,Nutrients!$FD$8,Nutrients!$FD$9)*AV$7)+(((IF($A$8=Nutrients!$B$79,Nutrients!$FD$79,(IF($A$8=Nutrients!$B$77,Nutrients!$FD$77,Nutrients!$FD$78)))))*AV$8))</f>
        <v>0</v>
      </c>
      <c r="AW339" s="21">
        <f>(SUMPRODUCT(AW$9:AW$229,Nutrients!$FD$8:$FD$228)+(IF($A$7=Nutrients!$B$8,Nutrients!$FD$8,Nutrients!$FD$9)*AW$7)+(((IF($A$8=Nutrients!$B$79,Nutrients!$FD$79,(IF($A$8=Nutrients!$B$77,Nutrients!$FD$77,Nutrients!$FD$78)))))*AW$8))</f>
        <v>0</v>
      </c>
    </row>
    <row r="340" spans="1:58" x14ac:dyDescent="0.25">
      <c r="A340" s="34" t="s">
        <v>133</v>
      </c>
      <c r="B340" s="21">
        <f>(SUMPRODUCT(B$9:B$229,Nutrients!$FE$8:$FE$228)+(IF($A$7=Nutrients!$B$8,Nutrients!$FE$8,Nutrients!$FE$9)*B$7)+(((IF($A$8=Nutrients!$B$79,Nutrients!$FE$79,(IF($A$8=Nutrients!$B$77,Nutrients!$FE$77,Nutrients!$FE$78)))))*B$8))</f>
        <v>0</v>
      </c>
      <c r="C340" s="21">
        <f>(SUMPRODUCT(C$9:C$229,Nutrients!$FE$8:$FE$228)+(IF($A$7=Nutrients!$B$8,Nutrients!$FE$8,Nutrients!$FE$9)*C$7)+(((IF($A$8=Nutrients!$B$79,Nutrients!$FE$79,(IF($A$8=Nutrients!$B$77,Nutrients!$FE$77,Nutrients!$FE$78)))))*C$8))</f>
        <v>0</v>
      </c>
      <c r="D340" s="21">
        <f>(SUMPRODUCT(D$9:D$229,Nutrients!$FE$8:$FE$228)+(IF($A$7=Nutrients!$B$8,Nutrients!$FE$8,Nutrients!$FE$9)*D$7)+(((IF($A$8=Nutrients!$B$79,Nutrients!$FE$79,(IF($A$8=Nutrients!$B$77,Nutrients!$FE$77,Nutrients!$FE$78)))))*D$8))</f>
        <v>0</v>
      </c>
      <c r="E340" s="21">
        <f>(SUMPRODUCT(E$9:E$229,Nutrients!$FE$8:$FE$228)+(IF($A$7=Nutrients!$B$8,Nutrients!$FE$8,Nutrients!$FE$9)*E$7)+(((IF($A$8=Nutrients!$B$79,Nutrients!$FE$79,(IF($A$8=Nutrients!$B$77,Nutrients!$FE$77,Nutrients!$FE$78)))))*E$8))</f>
        <v>0</v>
      </c>
      <c r="F340" s="21">
        <f>(SUMPRODUCT(F$9:F$229,Nutrients!$FE$8:$FE$228)+(IF($A$7=Nutrients!$B$8,Nutrients!$FE$8,Nutrients!$FE$9)*F$7)+(((IF($A$8=Nutrients!$B$79,Nutrients!$FE$79,(IF($A$8=Nutrients!$B$77,Nutrients!$FE$77,Nutrients!$FE$78)))))*F$8))</f>
        <v>0</v>
      </c>
      <c r="G340" s="21">
        <f>(SUMPRODUCT(G$9:G$229,Nutrients!$FE$8:$FE$228)+(IF($A$7=Nutrients!$B$8,Nutrients!$FE$8,Nutrients!$FE$9)*G$7)+(((IF($A$8=Nutrients!$B$79,Nutrients!$FE$79,(IF($A$8=Nutrients!$B$77,Nutrients!$FE$77,Nutrients!$FE$78)))))*G$8))</f>
        <v>0</v>
      </c>
      <c r="H340" s="226"/>
      <c r="I340" s="21">
        <f>(SUMPRODUCT(I$9:I$229,Nutrients!$FE$8:$FE$228)+(IF($A$7=Nutrients!$B$8,Nutrients!$FE$8,Nutrients!$FE$9)*I$7)+(((IF($A$8=Nutrients!$B$79,Nutrients!$FE$79,(IF($A$8=Nutrients!$B$77,Nutrients!$FE$77,Nutrients!$FE$78)))))*I$8))</f>
        <v>0</v>
      </c>
      <c r="J340" s="21">
        <f>(SUMPRODUCT(J$9:J$229,Nutrients!$FE$8:$FE$228)+(IF($A$7=Nutrients!$B$8,Nutrients!$FE$8,Nutrients!$FE$9)*J$7)+(((IF($A$8=Nutrients!$B$79,Nutrients!$FE$79,(IF($A$8=Nutrients!$B$77,Nutrients!$FE$77,Nutrients!$FE$78)))))*J$8))</f>
        <v>0</v>
      </c>
      <c r="K340" s="21">
        <f>(SUMPRODUCT(K$9:K$229,Nutrients!$FE$8:$FE$228)+(IF($A$7=Nutrients!$B$8,Nutrients!$FE$8,Nutrients!$FE$9)*K$7)+(((IF($A$8=Nutrients!$B$79,Nutrients!$FE$79,(IF($A$8=Nutrients!$B$77,Nutrients!$FE$77,Nutrients!$FE$78)))))*K$8))</f>
        <v>0</v>
      </c>
      <c r="L340" s="21">
        <f>(SUMPRODUCT(L$9:L$229,Nutrients!$FE$8:$FE$228)+(IF($A$7=Nutrients!$B$8,Nutrients!$FE$8,Nutrients!$FE$9)*L$7)+(((IF($A$8=Nutrients!$B$79,Nutrients!$FE$79,(IF($A$8=Nutrients!$B$77,Nutrients!$FE$77,Nutrients!$FE$78)))))*L$8))</f>
        <v>0</v>
      </c>
      <c r="M340" s="21">
        <f>(SUMPRODUCT(M$9:M$229,Nutrients!$FE$8:$FE$228)+(IF($A$7=Nutrients!$B$8,Nutrients!$FE$8,Nutrients!$FE$9)*M$7)+(((IF($A$8=Nutrients!$B$79,Nutrients!$FE$79,(IF($A$8=Nutrients!$B$77,Nutrients!$FE$77,Nutrients!$FE$78)))))*M$8))</f>
        <v>0</v>
      </c>
      <c r="N340" s="21">
        <f>(SUMPRODUCT(N$9:N$229,Nutrients!$FE$8:$FE$228)+(IF($A$7=Nutrients!$B$8,Nutrients!$FE$8,Nutrients!$FE$9)*N$7)+(((IF($A$8=Nutrients!$B$79,Nutrients!$FE$79,(IF($A$8=Nutrients!$B$77,Nutrients!$FE$77,Nutrients!$FE$78)))))*N$8))</f>
        <v>0</v>
      </c>
      <c r="O340" s="234"/>
      <c r="P340" s="21">
        <f>(SUMPRODUCT(P$9:P$229,Nutrients!$FE$8:$FE$228)+(IF($A$7=Nutrients!$B$8,Nutrients!$FE$8,Nutrients!$FE$9)*P$7)+(((IF($A$8=Nutrients!$B$79,Nutrients!$FE$79,(IF($A$8=Nutrients!$B$77,Nutrients!$FE$77,Nutrients!$FE$78)))))*P$8))</f>
        <v>0</v>
      </c>
      <c r="Q340" s="21">
        <f>(SUMPRODUCT(Q$9:Q$229,Nutrients!$FE$8:$FE$228)+(IF($A$7=Nutrients!$B$8,Nutrients!$FE$8,Nutrients!$FE$9)*Q$7)+(((IF($A$8=Nutrients!$B$79,Nutrients!$FE$79,(IF($A$8=Nutrients!$B$77,Nutrients!$FE$77,Nutrients!$FE$78)))))*Q$8))</f>
        <v>0</v>
      </c>
      <c r="R340" s="21">
        <f>(SUMPRODUCT(R$9:R$229,Nutrients!$FE$8:$FE$228)+(IF($A$7=Nutrients!$B$8,Nutrients!$FE$8,Nutrients!$FE$9)*R$7)+(((IF($A$8=Nutrients!$B$79,Nutrients!$FE$79,(IF($A$8=Nutrients!$B$77,Nutrients!$FE$77,Nutrients!$FE$78)))))*R$8))</f>
        <v>0</v>
      </c>
      <c r="S340" s="21">
        <f>(SUMPRODUCT(S$9:S$229,Nutrients!$FE$8:$FE$228)+(IF($A$7=Nutrients!$B$8,Nutrients!$FE$8,Nutrients!$FE$9)*S$7)+(((IF($A$8=Nutrients!$B$79,Nutrients!$FE$79,(IF($A$8=Nutrients!$B$77,Nutrients!$FE$77,Nutrients!$FE$78)))))*S$8))</f>
        <v>0</v>
      </c>
      <c r="T340" s="21">
        <f>(SUMPRODUCT(T$9:T$229,Nutrients!$FE$8:$FE$228)+(IF($A$7=Nutrients!$B$8,Nutrients!$FE$8,Nutrients!$FE$9)*T$7)+(((IF($A$8=Nutrients!$B$79,Nutrients!$FE$79,(IF($A$8=Nutrients!$B$77,Nutrients!$FE$77,Nutrients!$FE$78)))))*T$8))</f>
        <v>0</v>
      </c>
      <c r="U340" s="21">
        <f>(SUMPRODUCT(U$9:U$229,Nutrients!$FE$8:$FE$228)+(IF($A$7=Nutrients!$B$8,Nutrients!$FE$8,Nutrients!$FE$9)*U$7)+(((IF($A$8=Nutrients!$B$79,Nutrients!$FE$79,(IF($A$8=Nutrients!$B$77,Nutrients!$FE$77,Nutrients!$FE$78)))))*U$8))</f>
        <v>0</v>
      </c>
      <c r="W340" s="21">
        <f>(SUMPRODUCT(W$9:W$229,Nutrients!$FE$8:$FE$228)+(IF($A$7=Nutrients!$B$8,Nutrients!$FE$8,Nutrients!$FE$9)*W$7)+(((IF($A$8=Nutrients!$B$79,Nutrients!$FE$79,(IF($A$8=Nutrients!$B$77,Nutrients!$FE$77,Nutrients!$FE$78)))))*W$8))</f>
        <v>0</v>
      </c>
      <c r="X340" s="21">
        <f>(SUMPRODUCT(X$9:X$229,Nutrients!$FE$8:$FE$228)+(IF($A$7=Nutrients!$B$8,Nutrients!$FE$8,Nutrients!$FE$9)*X$7)+(((IF($A$8=Nutrients!$B$79,Nutrients!$FE$79,(IF($A$8=Nutrients!$B$77,Nutrients!$FE$77,Nutrients!$FE$78)))))*X$8))</f>
        <v>0</v>
      </c>
      <c r="Y340" s="21">
        <f>(SUMPRODUCT(Y$9:Y$229,Nutrients!$FE$8:$FE$228)+(IF($A$7=Nutrients!$B$8,Nutrients!$FE$8,Nutrients!$FE$9)*Y$7)+(((IF($A$8=Nutrients!$B$79,Nutrients!$FE$79,(IF($A$8=Nutrients!$B$77,Nutrients!$FE$77,Nutrients!$FE$78)))))*Y$8))</f>
        <v>0</v>
      </c>
      <c r="Z340" s="21">
        <f>(SUMPRODUCT(Z$9:Z$229,Nutrients!$FE$8:$FE$228)+(IF($A$7=Nutrients!$B$8,Nutrients!$FE$8,Nutrients!$FE$9)*Z$7)+(((IF($A$8=Nutrients!$B$79,Nutrients!$FE$79,(IF($A$8=Nutrients!$B$77,Nutrients!$FE$77,Nutrients!$FE$78)))))*Z$8))</f>
        <v>0</v>
      </c>
      <c r="AA340" s="21">
        <f>(SUMPRODUCT(AA$9:AA$229,Nutrients!$FE$8:$FE$228)+(IF($A$7=Nutrients!$B$8,Nutrients!$FE$8,Nutrients!$FE$9)*AA$7)+(((IF($A$8=Nutrients!$B$79,Nutrients!$FE$79,(IF($A$8=Nutrients!$B$77,Nutrients!$FE$77,Nutrients!$FE$78)))))*AA$8))</f>
        <v>0</v>
      </c>
      <c r="AB340" s="21">
        <f>(SUMPRODUCT(AB$9:AB$229,Nutrients!$FE$8:$FE$228)+(IF($A$7=Nutrients!$B$8,Nutrients!$FE$8,Nutrients!$FE$9)*AB$7)+(((IF($A$8=Nutrients!$B$79,Nutrients!$FE$79,(IF($A$8=Nutrients!$B$77,Nutrients!$FE$77,Nutrients!$FE$78)))))*AB$8))</f>
        <v>0</v>
      </c>
      <c r="AD340" s="21">
        <f>(SUMPRODUCT(AD$9:AD$229,Nutrients!$FE$8:$FE$228)+(IF($A$7=Nutrients!$B$8,Nutrients!$FE$8,Nutrients!$FE$9)*AD$7)+(((IF($A$8=Nutrients!$B$79,Nutrients!$FE$79,(IF($A$8=Nutrients!$B$77,Nutrients!$FE$77,Nutrients!$FE$78)))))*AD$8))</f>
        <v>0</v>
      </c>
      <c r="AE340" s="21">
        <f>(SUMPRODUCT(AE$9:AE$229,Nutrients!$FE$8:$FE$228)+(IF($A$7=Nutrients!$B$8,Nutrients!$FE$8,Nutrients!$FE$9)*AE$7)+(((IF($A$8=Nutrients!$B$79,Nutrients!$FE$79,(IF($A$8=Nutrients!$B$77,Nutrients!$FE$77,Nutrients!$FE$78)))))*AE$8))</f>
        <v>0</v>
      </c>
      <c r="AF340" s="21">
        <f>(SUMPRODUCT(AF$9:AF$229,Nutrients!$FE$8:$FE$228)+(IF($A$7=Nutrients!$B$8,Nutrients!$FE$8,Nutrients!$FE$9)*AF$7)+(((IF($A$8=Nutrients!$B$79,Nutrients!$FE$79,(IF($A$8=Nutrients!$B$77,Nutrients!$FE$77,Nutrients!$FE$78)))))*AF$8))</f>
        <v>0</v>
      </c>
      <c r="AG340" s="21">
        <f>(SUMPRODUCT(AG$9:AG$229,Nutrients!$FE$8:$FE$228)+(IF($A$7=Nutrients!$B$8,Nutrients!$FE$8,Nutrients!$FE$9)*AG$7)+(((IF($A$8=Nutrients!$B$79,Nutrients!$FE$79,(IF($A$8=Nutrients!$B$77,Nutrients!$FE$77,Nutrients!$FE$78)))))*AG$8))</f>
        <v>0</v>
      </c>
      <c r="AH340" s="21">
        <f>(SUMPRODUCT(AH$9:AH$229,Nutrients!$FE$8:$FE$228)+(IF($A$7=Nutrients!$B$8,Nutrients!$FE$8,Nutrients!$FE$9)*AH$7)+(((IF($A$8=Nutrients!$B$79,Nutrients!$FE$79,(IF($A$8=Nutrients!$B$77,Nutrients!$FE$77,Nutrients!$FE$78)))))*AH$8))</f>
        <v>0</v>
      </c>
      <c r="AI340" s="21">
        <f>(SUMPRODUCT(AI$9:AI$229,Nutrients!$FE$8:$FE$228)+(IF($A$7=Nutrients!$B$8,Nutrients!$FE$8,Nutrients!$FE$9)*AI$7)+(((IF($A$8=Nutrients!$B$79,Nutrients!$FE$79,(IF($A$8=Nutrients!$B$77,Nutrients!$FE$77,Nutrients!$FE$78)))))*AI$8))</f>
        <v>0</v>
      </c>
      <c r="AK340" s="21">
        <f>(SUMPRODUCT(AK$9:AK$229,Nutrients!$FE$8:$FE$228)+(IF($A$7=Nutrients!$B$8,Nutrients!$FE$8,Nutrients!$FE$9)*AK$7)+(((IF($A$8=Nutrients!$B$79,Nutrients!$FE$79,(IF($A$8=Nutrients!$B$77,Nutrients!$FE$77,Nutrients!$FE$78)))))*AK$8))</f>
        <v>0</v>
      </c>
      <c r="AL340" s="21">
        <f>(SUMPRODUCT(AL$9:AL$229,Nutrients!$FE$8:$FE$228)+(IF($A$7=Nutrients!$B$8,Nutrients!$FE$8,Nutrients!$FE$9)*AL$7)+(((IF($A$8=Nutrients!$B$79,Nutrients!$FE$79,(IF($A$8=Nutrients!$B$77,Nutrients!$FE$77,Nutrients!$FE$78)))))*AL$8))</f>
        <v>0</v>
      </c>
      <c r="AM340" s="21">
        <f>(SUMPRODUCT(AM$9:AM$229,Nutrients!$FE$8:$FE$228)+(IF($A$7=Nutrients!$B$8,Nutrients!$FE$8,Nutrients!$FE$9)*AM$7)+(((IF($A$8=Nutrients!$B$79,Nutrients!$FE$79,(IF($A$8=Nutrients!$B$77,Nutrients!$FE$77,Nutrients!$FE$78)))))*AM$8))</f>
        <v>0</v>
      </c>
      <c r="AN340" s="21">
        <f>(SUMPRODUCT(AN$9:AN$229,Nutrients!$FE$8:$FE$228)+(IF($A$7=Nutrients!$B$8,Nutrients!$FE$8,Nutrients!$FE$9)*AN$7)+(((IF($A$8=Nutrients!$B$79,Nutrients!$FE$79,(IF($A$8=Nutrients!$B$77,Nutrients!$FE$77,Nutrients!$FE$78)))))*AN$8))</f>
        <v>0</v>
      </c>
      <c r="AO340" s="21">
        <f>(SUMPRODUCT(AO$9:AO$229,Nutrients!$FE$8:$FE$228)+(IF($A$7=Nutrients!$B$8,Nutrients!$FE$8,Nutrients!$FE$9)*AO$7)+(((IF($A$8=Nutrients!$B$79,Nutrients!$FE$79,(IF($A$8=Nutrients!$B$77,Nutrients!$FE$77,Nutrients!$FE$78)))))*AO$8))</f>
        <v>0</v>
      </c>
      <c r="AP340" s="21">
        <f>(SUMPRODUCT(AP$9:AP$229,Nutrients!$FE$8:$FE$228)+(IF($A$7=Nutrients!$B$8,Nutrients!$FE$8,Nutrients!$FE$9)*AP$7)+(((IF($A$8=Nutrients!$B$79,Nutrients!$FE$79,(IF($A$8=Nutrients!$B$77,Nutrients!$FE$77,Nutrients!$FE$78)))))*AP$8))</f>
        <v>0</v>
      </c>
      <c r="AR340" s="21">
        <f>(SUMPRODUCT(AR$9:AR$229,Nutrients!$FE$8:$FE$228)+(IF($A$7=Nutrients!$B$8,Nutrients!$FE$8,Nutrients!$FE$9)*AR$7)+(((IF($A$8=Nutrients!$B$79,Nutrients!$FE$79,(IF($A$8=Nutrients!$B$77,Nutrients!$FE$77,Nutrients!$FE$78)))))*AR$8))</f>
        <v>0</v>
      </c>
      <c r="AS340" s="21">
        <f>(SUMPRODUCT(AS$9:AS$229,Nutrients!$FE$8:$FE$228)+(IF($A$7=Nutrients!$B$8,Nutrients!$FE$8,Nutrients!$FE$9)*AS$7)+(((IF($A$8=Nutrients!$B$79,Nutrients!$FE$79,(IF($A$8=Nutrients!$B$77,Nutrients!$FE$77,Nutrients!$FE$78)))))*AS$8))</f>
        <v>0</v>
      </c>
      <c r="AT340" s="21">
        <f>(SUMPRODUCT(AT$9:AT$229,Nutrients!$FE$8:$FE$228)+(IF($A$7=Nutrients!$B$8,Nutrients!$FE$8,Nutrients!$FE$9)*AT$7)+(((IF($A$8=Nutrients!$B$79,Nutrients!$FE$79,(IF($A$8=Nutrients!$B$77,Nutrients!$FE$77,Nutrients!$FE$78)))))*AT$8))</f>
        <v>0</v>
      </c>
      <c r="AU340" s="21">
        <f>(SUMPRODUCT(AU$9:AU$229,Nutrients!$FE$8:$FE$228)+(IF($A$7=Nutrients!$B$8,Nutrients!$FE$8,Nutrients!$FE$9)*AU$7)+(((IF($A$8=Nutrients!$B$79,Nutrients!$FE$79,(IF($A$8=Nutrients!$B$77,Nutrients!$FE$77,Nutrients!$FE$78)))))*AU$8))</f>
        <v>0</v>
      </c>
      <c r="AV340" s="21">
        <f>(SUMPRODUCT(AV$9:AV$229,Nutrients!$FE$8:$FE$228)+(IF($A$7=Nutrients!$B$8,Nutrients!$FE$8,Nutrients!$FE$9)*AV$7)+(((IF($A$8=Nutrients!$B$79,Nutrients!$FE$79,(IF($A$8=Nutrients!$B$77,Nutrients!$FE$77,Nutrients!$FE$78)))))*AV$8))</f>
        <v>0</v>
      </c>
      <c r="AW340" s="21">
        <f>(SUMPRODUCT(AW$9:AW$229,Nutrients!$FE$8:$FE$228)+(IF($A$7=Nutrients!$B$8,Nutrients!$FE$8,Nutrients!$FE$9)*AW$7)+(((IF($A$8=Nutrients!$B$79,Nutrients!$FE$79,(IF($A$8=Nutrients!$B$77,Nutrients!$FE$77,Nutrients!$FE$78)))))*AW$8))</f>
        <v>0</v>
      </c>
    </row>
    <row r="341" spans="1:58" x14ac:dyDescent="0.25">
      <c r="I341" s="380"/>
      <c r="J341" s="380"/>
      <c r="K341" s="380"/>
      <c r="L341" s="380"/>
      <c r="M341" s="380"/>
      <c r="N341" s="380"/>
      <c r="P341" s="380"/>
      <c r="Q341" s="380"/>
      <c r="R341" s="380"/>
      <c r="S341" s="380"/>
      <c r="T341" s="380"/>
      <c r="U341" s="380"/>
      <c r="W341" s="380"/>
      <c r="X341" s="380"/>
      <c r="Y341" s="380"/>
      <c r="Z341" s="380"/>
      <c r="AA341" s="380"/>
      <c r="AB341" s="380"/>
      <c r="AD341" s="380"/>
      <c r="AE341" s="380"/>
      <c r="AF341" s="380"/>
      <c r="AG341" s="380"/>
      <c r="AH341" s="380"/>
      <c r="AI341" s="380"/>
      <c r="AK341" s="380"/>
      <c r="AL341" s="380"/>
      <c r="AM341" s="380"/>
      <c r="AN341" s="380"/>
      <c r="AO341" s="380"/>
      <c r="AP341" s="380"/>
      <c r="AR341" s="380"/>
      <c r="AS341" s="380"/>
      <c r="AT341" s="380"/>
      <c r="AU341" s="380"/>
      <c r="AV341" s="380"/>
      <c r="AW341" s="380"/>
    </row>
    <row r="342" spans="1:58" x14ac:dyDescent="0.25">
      <c r="A342" s="298" t="s">
        <v>478</v>
      </c>
      <c r="B342" s="299">
        <f xml:space="preserve"> (-1619.2980797296 + 25.9248064834 * (B251/1000) - 2657.6209162609 * B236 +
123.0469725298 * B253 - 9.2854579989 * B316 + 872.0182830582 * B252 + 26.664395965 * (AVERAGE(B5:B6)*0.453592) +
2599.7646012325 * B236 * B236- 0.1016237102 *  (AVERAGE(B5:B6)*0.453592) *  (AVERAGE(B5:B6)*0.453592) - 71.8618465276 * B236 * B253 -
607.1294449572 * B236 * B252 + 25.6463076451 * B236 * (AVERAGE(B5:B6)*0.453592) - 0.8399854508 * B253 * (AVERAGE(B5:B6)*0.453592) +
0.0967347393 * B316 * (AVERAGE(B5:B6)*0.453592) - 5.2553838048 * B252 * (AVERAGE(B5:B6)*0.453592))</f>
        <v>757.46635553023782</v>
      </c>
      <c r="C342" s="299">
        <f xml:space="preserve"> -1619.2980797296 + 25.9248064834 * (C251/1000) - 2657.6209162609 * C236 +
123.0469725298 * C253 - 9.2854579989 * C316 + 872.0182830582 * C252 + 26.664395965 * (AVERAGE(C5:C6)*0.453592) +
2599.7646012325 * C236 * C236- 0.1016237102 *  (AVERAGE(C5:C6)*0.453592) *  (AVERAGE(C5:C6)*0.453592) - 71.8618465276 * C236 * C253 -
607.1294449572 * C236 * C252 + 25.6463076451 * C236 * (AVERAGE(C5:C6)*0.453592) - 0.8399854508 * C253 * (AVERAGE(C5:C6)*0.453592) +
0.0967347393 * C316 * (AVERAGE(C5:C6)*0.453592) - 5.2553838048 * C252 * (AVERAGE(C5:C6)*0.453592)</f>
        <v>870.42326519783569</v>
      </c>
      <c r="D342" s="299">
        <f xml:space="preserve"> -1619.2980797296 + 25.9248064834 * (D251/1000) - 2657.6209162609 * D236 +
123.0469725298 * D253 - 9.2854579989 * D316 + 872.0182830582 * D252 + 26.664395965 * (AVERAGE(D5:D6)*0.453592) +
2599.7646012325 * D236 * D236- 0.1016237102 *  (AVERAGE(D5:D6)*0.453592) *  (AVERAGE(D5:D6)*0.453592) - 71.8618465276 * D236 * D253 -
607.1294449572 * D236 * D252 + 25.6463076451 * D236 * (AVERAGE(D5:D6)*0.453592) - 0.8399854508 * D253 * (AVERAGE(D5:D6)*0.453592) +
0.0967347393 * D316 * (AVERAGE(D5:D6)*0.453592) - 5.2553838048 * D252 * (AVERAGE(D5:D6)*0.453592)</f>
        <v>946.21888727648684</v>
      </c>
      <c r="E342" s="299">
        <f xml:space="preserve"> -1619.2980797296 + 25.9248064834 * (E251/1000) - 2657.6209162609 * E236 +
123.0469725298 * E253 - 9.2854579989 * E316 + 872.0182830582 * E252 + 26.664395965 * (AVERAGE(E5:E6)*0.453592) +
2599.7646012325 * E236 * E236- 0.1016237102 *  (AVERAGE(E5:E6)*0.453592) *  (AVERAGE(E5:E6)*0.453592) - 71.8618465276 * E236 * E253 -
607.1294449572 * E236 * E252 + 25.6463076451 * E236 * (AVERAGE(E5:E6)*0.453592) - 0.8399854508 * E253 * (AVERAGE(E5:E6)*0.453592) +
0.0967347393 * E316 * (AVERAGE(E5:E6)*0.453592) - 5.2553838048 * E252 * (AVERAGE(E5:E6)*0.453592)</f>
        <v>982.61557306834152</v>
      </c>
      <c r="F342" s="299">
        <f xml:space="preserve"> -1619.2980797296 + 25.9248064834 * (F251/1000) - 2657.6209162609 * F236 +
123.0469725298 * F253 - 9.2854579989 * F316 + 872.0182830582 * F252 + 26.664395965 * (AVERAGE(F5:F6)*0.453592) +
2599.7646012325 * F236 * F236- 0.1016237102 *  (AVERAGE(F5:F6)*0.453592) *  (AVERAGE(F5:F6)*0.453592) - 71.8618465276 * F236 * F253 -
607.1294449572 * F236 * F252 + 25.6463076451 * F236 * (AVERAGE(F5:F6)*0.453592) - 0.8399854508 * F253 * (AVERAGE(F5:F6)*0.453592) +
0.0967347393 * F316 * (AVERAGE(F5:F6)*0.453592) - 5.2553838048 * F252 * (AVERAGE(F5:F6)*0.453592)</f>
        <v>976.63637619430801</v>
      </c>
      <c r="G342" s="299">
        <f xml:space="preserve"> -1619.2980797296 + 25.9248064834 * (G251/1000) - 2657.6209162609 * G236 +
123.0469725298 * G253 - 9.2854579989 * G316 + 872.0182830582 * G252 + 26.664395965 * (AVERAGE(G5:G6)*0.453592) +
2599.7646012325 * G236 * G236- 0.1016237102 *  (AVERAGE(G5:G6)*0.453592) *  (AVERAGE(G5:G6)*0.453592) - 71.8618465276 * G236 * G253 -
607.1294449572 * G236 * G252 + 25.6463076451 * G236 * (AVERAGE(G5:G6)*0.453592) - 0.8399854508 * G253 * (AVERAGE(G5:G6)*0.453592) +
0.0967347393 * G316 * (AVERAGE(G5:G6)*0.453592) - 5.2553838048 * G252 * (AVERAGE(G5:G6)*0.453592)</f>
        <v>919.74779687896194</v>
      </c>
      <c r="I342" s="299">
        <f xml:space="preserve"> (-1619.2980797296 + 25.9248064834 * (I251/1000) - 2657.6209162609 * I236 +
123.0469725298 * I253 - 9.2854579989 * I316 + 872.0182830582 * I252 + 26.664395965 * (AVERAGE(I5:I6)*0.453592) +
2599.7646012325 * I236 * I236- 0.1016237102 *  (AVERAGE(I5:I6)*0.453592) *  (AVERAGE(I5:I6)*0.453592) - 71.8618465276 * I236 * I253 -
607.1294449572 * I236 * I252 + 25.6463076451 * I236 * (AVERAGE(I5:I6)*0.453592) - 0.8399854508 * I253 * (AVERAGE(I5:I6)*0.453592) +
0.0967347393 * I316 * (AVERAGE(I5:I6)*0.453592) - 5.2553838048 * I252 * (AVERAGE(I5:I6)*0.453592))</f>
        <v>752.59141313154385</v>
      </c>
      <c r="J342" s="299">
        <f xml:space="preserve"> -1619.2980797296 + 25.9248064834 * (J251/1000) - 2657.6209162609 * J236 +
123.0469725298 * J253 - 9.2854579989 * J316 + 872.0182830582 * J252 + 26.664395965 * (AVERAGE(J5:J6)*0.453592) +
2599.7646012325 * J236 * J236- 0.1016237102 *  (AVERAGE(J5:J6)*0.453592) *  (AVERAGE(J5:J6)*0.453592) - 71.8618465276 * J236 * J253 -
607.1294449572 * J236 * J252 + 25.6463076451 * J236 * (AVERAGE(J5:J6)*0.453592) - 0.8399854508 * J253 * (AVERAGE(J5:J6)*0.453592) +
0.0967347393 * J316 * (AVERAGE(J5:J6)*0.453592) - 5.2553838048 * J252 * (AVERAGE(J5:J6)*0.453592)</f>
        <v>865.08750767091408</v>
      </c>
      <c r="K342" s="299">
        <f xml:space="preserve"> -1619.2980797296 + 25.9248064834 * (K251/1000) - 2657.6209162609 * K236 +
123.0469725298 * K253 - 9.2854579989 * K316 + 872.0182830582 * K252 + 26.664395965 * (AVERAGE(K5:K6)*0.453592) +
2599.7646012325 * K236 * K236- 0.1016237102 *  (AVERAGE(K5:K6)*0.453592) *  (AVERAGE(K5:K6)*0.453592) - 71.8618465276 * K236 * K253 -
607.1294449572 * K236 * K252 + 25.6463076451 * K236 * (AVERAGE(K5:K6)*0.453592) - 0.8399854508 * K253 * (AVERAGE(K5:K6)*0.453592) +
0.0967347393 * K316 * (AVERAGE(K5:K6)*0.453592) - 5.2553838048 * K252 * (AVERAGE(K5:K6)*0.453592)</f>
        <v>940.00942055353994</v>
      </c>
      <c r="L342" s="299">
        <f xml:space="preserve"> -1619.2980797296 + 25.9248064834 * (L251/1000) - 2657.6209162609 * L236 +
123.0469725298 * L253 - 9.2854579989 * L316 + 872.0182830582 * L252 + 26.664395965 * (AVERAGE(L5:L6)*0.453592) +
2599.7646012325 * L236 * L236- 0.1016237102 *  (AVERAGE(L5:L6)*0.453592) *  (AVERAGE(L5:L6)*0.453592) - 71.8618465276 * L236 * L253 -
607.1294449572 * L236 * L252 + 25.6463076451 * L236 * (AVERAGE(L5:L6)*0.453592) - 0.8399854508 * L253 * (AVERAGE(L5:L6)*0.453592) +
0.0967347393 * L316 * (AVERAGE(L5:L6)*0.453592) - 5.2553838048 * L252 * (AVERAGE(L5:L6)*0.453592)</f>
        <v>974.79583887856711</v>
      </c>
      <c r="M342" s="299">
        <f xml:space="preserve"> -1619.2980797296 + 25.9248064834 * (M251/1000) - 2657.6209162609 * M236 +
123.0469725298 * M253 - 9.2854579989 * M316 + 872.0182830582 * M252 + 26.664395965 * (AVERAGE(M5:M6)*0.453592) +
2599.7646012325 * M236 * M236- 0.1016237102 *  (AVERAGE(M5:M6)*0.453592) *  (AVERAGE(M5:M6)*0.453592) - 71.8618465276 * M236 * M253 -
607.1294449572 * M236 * M252 + 25.6463076451 * M236 * (AVERAGE(M5:M6)*0.453592) - 0.8399854508 * M253 * (AVERAGE(M5:M6)*0.453592) +
0.0967347393 * M316 * (AVERAGE(M5:M6)*0.453592) - 5.2553838048 * M252 * (AVERAGE(M5:M6)*0.453592)</f>
        <v>966.1311541434236</v>
      </c>
      <c r="N342" s="299">
        <f xml:space="preserve"> -1619.2980797296 + 25.9248064834 * (N251/1000) - 2657.6209162609 * N236 +
123.0469725298 * N253 - 9.2854579989 * N316 + 872.0182830582 * N252 + 26.664395965 * (AVERAGE(N5:N6)*0.453592) +
2599.7646012325 * N236 * N236- 0.1016237102 *  (AVERAGE(N5:N6)*0.453592) *  (AVERAGE(N5:N6)*0.453592) - 71.8618465276 * N236 * N253 -
607.1294449572 * N236 * N252 + 25.6463076451 * N236 * (AVERAGE(N5:N6)*0.453592) - 0.8399854508 * N253 * (AVERAGE(N5:N6)*0.453592) +
0.0967347393 * N316 * (AVERAGE(N5:N6)*0.453592) - 5.2553838048 * N252 * (AVERAGE(N5:N6)*0.453592)</f>
        <v>905.65736560185064</v>
      </c>
      <c r="P342" s="299">
        <f xml:space="preserve"> (-1619.2980797296 + 25.9248064834 * (P251/1000) - 2657.6209162609 * P236 +
123.0469725298 * P253 - 9.2854579989 * P316 + 872.0182830582 * P252 + 26.664395965 * (AVERAGE(P5:P6)*0.453592) +
2599.7646012325 * P236 * P236- 0.1016237102 *  (AVERAGE(P5:P6)*0.453592) *  (AVERAGE(P5:P6)*0.453592) - 71.8618465276 * P236 * P253 -
607.1294449572 * P236 * P252 + 25.6463076451 * P236 * (AVERAGE(P5:P6)*0.453592) - 0.8399854508 * P253 * (AVERAGE(P5:P6)*0.453592) +
0.0967347393 * P316 * (AVERAGE(P5:P6)*0.453592) - 5.2553838048 * P252 * (AVERAGE(P5:P6)*0.453592))</f>
        <v>748.62113056984265</v>
      </c>
      <c r="Q342" s="299">
        <f xml:space="preserve"> -1619.2980797296 + 25.9248064834 * (Q251/1000) - 2657.6209162609 * Q236 +
123.0469725298 * Q253 - 9.2854579989 * Q316 + 872.0182830582 * Q252 + 26.664395965 * (AVERAGE(Q5:Q6)*0.453592) +
2599.7646012325 * Q236 * Q236- 0.1016237102 *  (AVERAGE(Q5:Q6)*0.453592) *  (AVERAGE(Q5:Q6)*0.453592) - 71.8618465276 * Q236 * Q253 -
607.1294449572 * Q236 * Q252 + 25.6463076451 * Q236 * (AVERAGE(Q5:Q6)*0.453592) - 0.8399854508 * Q253 * (AVERAGE(Q5:Q6)*0.453592) +
0.0967347393 * Q316 * (AVERAGE(Q5:Q6)*0.453592) - 5.2553838048 * Q252 * (AVERAGE(Q5:Q6)*0.453592)</f>
        <v>860.67248275182237</v>
      </c>
      <c r="R342" s="299">
        <f xml:space="preserve"> -1619.2980797296 + 25.9248064834 * (R251/1000) - 2657.6209162609 * R236 +
123.0469725298 * R253 - 9.2854579989 * R316 + 872.0182830582 * R252 + 26.664395965 * (AVERAGE(R5:R6)*0.453592) +
2599.7646012325 * R236 * R236- 0.1016237102 *  (AVERAGE(R5:R6)*0.453592) *  (AVERAGE(R5:R6)*0.453592) - 71.8618465276 * R236 * R253 -
607.1294449572 * R236 * R252 + 25.6463076451 * R236 * (AVERAGE(R5:R6)*0.453592) - 0.8399854508 * R253 * (AVERAGE(R5:R6)*0.453592) +
0.0967347393 * R316 * (AVERAGE(R5:R6)*0.453592) - 5.2553838048 * R252 * (AVERAGE(R5:R6)*0.453592)</f>
        <v>934.64211304565606</v>
      </c>
      <c r="S342" s="299">
        <f xml:space="preserve"> -1619.2980797296 + 25.9248064834 * (S251/1000) - 2657.6209162609 * S236 +
123.0469725298 * S253 - 9.2854579989 * S316 + 872.0182830582 * S252 + 26.664395965 * (AVERAGE(S5:S6)*0.453592) +
2599.7646012325 * S236 * S236- 0.1016237102 *  (AVERAGE(S5:S6)*0.453592) *  (AVERAGE(S5:S6)*0.453592) - 71.8618465276 * S236 * S253 -
607.1294449572 * S236 * S252 + 25.6463076451 * S236 * (AVERAGE(S5:S6)*0.453592) - 0.8399854508 * S253 * (AVERAGE(S5:S6)*0.453592) +
0.0967347393 * S316 * (AVERAGE(S5:S6)*0.453592) - 5.2553838048 * S252 * (AVERAGE(S5:S6)*0.453592)</f>
        <v>967.32292311801757</v>
      </c>
      <c r="T342" s="299">
        <f xml:space="preserve"> -1619.2980797296 + 25.9248064834 * (T251/1000) - 2657.6209162609 * T236 +
123.0469725298 * T253 - 9.2854579989 * T316 + 872.0182830582 * T252 + 26.664395965 * (AVERAGE(T5:T6)*0.453592) +
2599.7646012325 * T236 * T236- 0.1016237102 *  (AVERAGE(T5:T6)*0.453592) *  (AVERAGE(T5:T6)*0.453592) - 71.8618465276 * T236 * T253 -
607.1294449572 * T236 * T252 + 25.6463076451 * T236 * (AVERAGE(T5:T6)*0.453592) - 0.8399854508 * T253 * (AVERAGE(T5:T6)*0.453592) +
0.0967347393 * T316 * (AVERAGE(T5:T6)*0.453592) - 5.2553838048 * T252 * (AVERAGE(T5:T6)*0.453592)</f>
        <v>956.16918565871811</v>
      </c>
      <c r="U342" s="299">
        <f xml:space="preserve"> -1619.2980797296 + 25.9248064834 * (U251/1000) - 2657.6209162609 * U236 +
123.0469725298 * U253 - 9.2854579989 * U316 + 872.0182830582 * U252 + 26.664395965 * (AVERAGE(U5:U6)*0.453592) +
2599.7646012325 * U236 * U236- 0.1016237102 *  (AVERAGE(U5:U6)*0.453592) *  (AVERAGE(U5:U6)*0.453592) - 71.8618465276 * U236 * U253 -
607.1294449572 * U236 * U252 + 25.6463076451 * U236 * (AVERAGE(U5:U6)*0.453592) - 0.8399854508 * U253 * (AVERAGE(U5:U6)*0.453592) +
0.0967347393 * U316 * (AVERAGE(U5:U6)*0.453592) - 5.2553838048 * U252 * (AVERAGE(U5:U6)*0.453592)</f>
        <v>891.86247402029335</v>
      </c>
      <c r="W342" s="299">
        <f xml:space="preserve"> (-1619.2980797296 + 25.9248064834 * (W251/1000) - 2657.6209162609 * W236 +
123.0469725298 * W253 - 9.2854579989 * W316 + 872.0182830582 * W252 + 26.664395965 * (AVERAGE(W5:W6)*0.453592) +
2599.7646012325 * W236 * W236- 0.1016237102 *  (AVERAGE(W5:W6)*0.453592) *  (AVERAGE(W5:W6)*0.453592) - 71.8618465276 * W236 * W253 -
607.1294449572 * W236 * W252 + 25.6463076451 * W236 * (AVERAGE(W5:W6)*0.453592) - 0.8399854508 * W253 * (AVERAGE(W5:W6)*0.453592) +
0.0967347393 * W316 * (AVERAGE(W5:W6)*0.453592) - 5.2553838048 * W252 * (AVERAGE(W5:W6)*0.453592))</f>
        <v>745.32048522697846</v>
      </c>
      <c r="X342" s="299">
        <f xml:space="preserve"> -1619.2980797296 + 25.9248064834 * (X251/1000) - 2657.6209162609 * X236 +
123.0469725298 * X253 - 9.2854579989 * X316 + 872.0182830582 * X252 + 26.664395965 * (AVERAGE(X5:X6)*0.453592) +
2599.7646012325 * X236 * X236- 0.1016237102 *  (AVERAGE(X5:X6)*0.453592) *  (AVERAGE(X5:X6)*0.453592) - 71.8618465276 * X236 * X253 -
607.1294449572 * X236 * X252 + 25.6463076451 * X236 * (AVERAGE(X5:X6)*0.453592) - 0.8399854508 * X253 * (AVERAGE(X5:X6)*0.453592) +
0.0967347393 * X316 * (AVERAGE(X5:X6)*0.453592) - 5.2553838048 * X252 * (AVERAGE(X5:X6)*0.453592)</f>
        <v>856.82099481867851</v>
      </c>
      <c r="Y342" s="299">
        <f xml:space="preserve"> -1619.2980797296 + 25.9248064834 * (Y251/1000) - 2657.6209162609 * Y236 +
123.0469725298 * Y253 - 9.2854579989 * Y316 + 872.0182830582 * Y252 + 26.664395965 * (AVERAGE(Y5:Y6)*0.453592) +
2599.7646012325 * Y236 * Y236- 0.1016237102 *  (AVERAGE(Y5:Y6)*0.453592) *  (AVERAGE(Y5:Y6)*0.453592) - 71.8618465276 * Y236 * Y253 -
607.1294449572 * Y236 * Y252 + 25.6463076451 * Y236 * (AVERAGE(Y5:Y6)*0.453592) - 0.8399854508 * Y253 * (AVERAGE(Y5:Y6)*0.453592) +
0.0967347393 * Y316 * (AVERAGE(Y5:Y6)*0.453592) - 5.2553838048 * Y252 * (AVERAGE(Y5:Y6)*0.453592)</f>
        <v>929.39325528346376</v>
      </c>
      <c r="Z342" s="299">
        <f xml:space="preserve"> -1619.2980797296 + 25.9248064834 * (Z251/1000) - 2657.6209162609 * Z236 +
123.0469725298 * Z253 - 9.2854579989 * Z316 + 872.0182830582 * Z252 + 26.664395965 * (AVERAGE(Z5:Z6)*0.453592) +
2599.7646012325 * Z236 * Z236- 0.1016237102 *  (AVERAGE(Z5:Z6)*0.453592) *  (AVERAGE(Z5:Z6)*0.453592) - 71.8618465276 * Z236 * Z253 -
607.1294449572 * Z236 * Z252 + 25.6463076451 * Z236 * (AVERAGE(Z5:Z6)*0.453592) - 0.8399854508 * Z253 * (AVERAGE(Z5:Z6)*0.453592) +
0.0967347393 * Z316 * (AVERAGE(Z5:Z6)*0.453592) - 5.2553838048 * Z252 * (AVERAGE(Z5:Z6)*0.453592)</f>
        <v>960.42772548353014</v>
      </c>
      <c r="AA342" s="299">
        <f xml:space="preserve"> -1619.2980797296 + 25.9248064834 * (AA251/1000) - 2657.6209162609 * AA236 +
123.0469725298 * AA253 - 9.2854579989 * AA316 + 872.0182830582 * AA252 + 26.664395965 * (AVERAGE(AA5:AA6)*0.453592) +
2599.7646012325 * AA236 * AA236- 0.1016237102 *  (AVERAGE(AA5:AA6)*0.453592) *  (AVERAGE(AA5:AA6)*0.453592) - 71.8618465276 * AA236 * AA253 -
607.1294449572 * AA236 * AA252 + 25.6463076451 * AA236 * (AVERAGE(AA5:AA6)*0.453592) - 0.8399854508 * AA253 * (AVERAGE(AA5:AA6)*0.453592) +
0.0967347393 * AA316 * (AVERAGE(AA5:AA6)*0.453592) - 5.2553838048 * AA252 * (AVERAGE(AA5:AA6)*0.453592)</f>
        <v>946.63313524160253</v>
      </c>
      <c r="AB342" s="299">
        <f xml:space="preserve"> -1619.2980797296 + 25.9248064834 * (AB251/1000) - 2657.6209162609 * AB236 +
123.0469725298 * AB253 - 9.2854579989 * AB316 + 872.0182830582 * AB252 + 26.664395965 * (AVERAGE(AB5:AB6)*0.453592) +
2599.7646012325 * AB236 * AB236- 0.1016237102 *  (AVERAGE(AB5:AB6)*0.453592) *  (AVERAGE(AB5:AB6)*0.453592) - 71.8618465276 * AB236 * AB253 -
607.1294449572 * AB236 * AB252 + 25.6463076451 * AB236 * (AVERAGE(AB5:AB6)*0.453592) - 0.8399854508 * AB253 * (AVERAGE(AB5:AB6)*0.453592) +
0.0967347393 * AB316 * (AVERAGE(AB5:AB6)*0.453592) - 5.2553838048 * AB252 * (AVERAGE(AB5:AB6)*0.453592)</f>
        <v>878.33099550410861</v>
      </c>
      <c r="AD342" s="299">
        <f xml:space="preserve"> (-1619.2980797296 + 25.9248064834 * (AD251/1000) - 2657.6209162609 * AD236 +
123.0469725298 * AD253 - 9.2854579989 * AD316 + 872.0182830582 * AD252 + 26.664395965 * (AVERAGE(AD5:AD6)*0.453592) +
2599.7646012325 * AD236 * AD236- 0.1016237102 *  (AVERAGE(AD5:AD6)*0.453592) *  (AVERAGE(AD5:AD6)*0.453592) - 71.8618465276 * AD236 * AD253 -
607.1294449572 * AD236 * AD252 + 25.6463076451 * AD236 * (AVERAGE(AD5:AD6)*0.453592) - 0.8399854508 * AD253 * (AVERAGE(AD5:AD6)*0.453592) +
0.0967347393 * AD316 * (AVERAGE(AD5:AD6)*0.453592) - 5.2553838048 * AD252 * (AVERAGE(AD5:AD6)*0.453592))</f>
        <v>742.69055046940025</v>
      </c>
      <c r="AE342" s="299">
        <f xml:space="preserve"> -1619.2980797296 + 25.9248064834 * (AE251/1000) - 2657.6209162609 * AE236 +
123.0469725298 * AE253 - 9.2854579989 * AE316 + 872.0182830582 * AE252 + 26.664395965 * (AVERAGE(AE5:AE6)*0.453592) +
2599.7646012325 * AE236 * AE236- 0.1016237102 *  (AVERAGE(AE5:AE6)*0.453592) *  (AVERAGE(AE5:AE6)*0.453592) - 71.8618465276 * AE236 * AE253 -
607.1294449572 * AE236 * AE252 + 25.6463076451 * AE236 * (AVERAGE(AE5:AE6)*0.453592) - 0.8399854508 * AE253 * (AVERAGE(AE5:AE6)*0.453592) +
0.0967347393 * AE316 * (AVERAGE(AE5:AE6)*0.453592) - 5.2553838048 * AE252 * (AVERAGE(AE5:AE6)*0.453592)</f>
        <v>853.35182138732102</v>
      </c>
      <c r="AF342" s="299">
        <f xml:space="preserve"> -1619.2980797296 + 25.9248064834 * (AF251/1000) - 2657.6209162609 * AF236 +
123.0469725298 * AF253 - 9.2854579989 * AF316 + 872.0182830582 * AF252 + 26.664395965 * (AVERAGE(AF5:AF6)*0.453592) +
2599.7646012325 * AF236 * AF236- 0.1016237102 *  (AVERAGE(AF5:AF6)*0.453592) *  (AVERAGE(AF5:AF6)*0.453592) - 71.8618465276 * AF236 * AF253 -
607.1294449572 * AF236 * AF252 + 25.6463076451 * AF236 * (AVERAGE(AF5:AF6)*0.453592) - 0.8399854508 * AF253 * (AVERAGE(AF5:AF6)*0.453592) +
0.0967347393 * AF316 * (AVERAGE(AF5:AF6)*0.453592) - 5.2553838048 * AF252 * (AVERAGE(AF5:AF6)*0.453592)</f>
        <v>924.76743851556557</v>
      </c>
      <c r="AG342" s="299">
        <f xml:space="preserve"> -1619.2980797296 + 25.9248064834 * (AG251/1000) - 2657.6209162609 * AG236 +
123.0469725298 * AG253 - 9.2854579989 * AG316 + 872.0182830582 * AG252 + 26.664395965 * (AVERAGE(AG5:AG6)*0.453592) +
2599.7646012325 * AG236 * AG236- 0.1016237102 *  (AVERAGE(AG5:AG6)*0.453592) *  (AVERAGE(AG5:AG6)*0.453592) - 71.8618465276 * AG236 * AG253 -
607.1294449572 * AG236 * AG252 + 25.6463076451 * AG236 * (AVERAGE(AG5:AG6)*0.453592) - 0.8399854508 * AG253 * (AVERAGE(AG5:AG6)*0.453592) +
0.0967347393 * AG316 * (AVERAGE(AG5:AG6)*0.453592) - 5.2553838048 * AG252 * (AVERAGE(AG5:AG6)*0.453592)</f>
        <v>953.97017769775789</v>
      </c>
      <c r="AH342" s="299">
        <f xml:space="preserve"> -1619.2980797296 + 25.9248064834 * (AH251/1000) - 2657.6209162609 * AH236 +
123.0469725298 * AH253 - 9.2854579989 * AH316 + 872.0182830582 * AH252 + 26.664395965 * (AVERAGE(AH5:AH6)*0.453592) +
2599.7646012325 * AH236 * AH236- 0.1016237102 *  (AVERAGE(AH5:AH6)*0.453592) *  (AVERAGE(AH5:AH6)*0.453592) - 71.8618465276 * AH236 * AH253 -
607.1294449572 * AH236 * AH252 + 25.6463076451 * AH236 * (AVERAGE(AH5:AH6)*0.453592) - 0.8399854508 * AH253 * (AVERAGE(AH5:AH6)*0.453592) +
0.0967347393 * AH316 * (AVERAGE(AH5:AH6)*0.453592) - 5.2553838048 * AH252 * (AVERAGE(AH5:AH6)*0.453592)</f>
        <v>937.20083374915134</v>
      </c>
      <c r="AI342" s="299">
        <f xml:space="preserve"> -1619.2980797296 + 25.9248064834 * (AI251/1000) - 2657.6209162609 * AI236 +
123.0469725298 * AI253 - 9.2854579989 * AI316 + 872.0182830582 * AI252 + 26.664395965 * (AVERAGE(AI5:AI6)*0.453592) +
2599.7646012325 * AI236 * AI236- 0.1016237102 *  (AVERAGE(AI5:AI6)*0.453592) *  (AVERAGE(AI5:AI6)*0.453592) - 71.8618465276 * AI236 * AI253 -
607.1294449572 * AI236 * AI252 + 25.6463076451 * AI236 * (AVERAGE(AI5:AI6)*0.453592) - 0.8399854508 * AI253 * (AVERAGE(AI5:AI6)*0.453592) +
0.0967347393 * AI316 * (AVERAGE(AI5:AI6)*0.453592) - 5.2553838048 * AI252 * (AVERAGE(AI5:AI6)*0.453592)</f>
        <v>864.83743802506024</v>
      </c>
      <c r="AK342" s="299">
        <f xml:space="preserve"> (-1619.2980797296 + 25.9248064834 * (AK251/1000) - 2657.6209162609 * AK236 +
123.0469725298 * AK253 - 9.2854579989 * AK316 + 872.0182830582 * AK252 + 26.664395965 * (AVERAGE(AK5:AK6)*0.453592) +
2599.7646012325 * AK236 * AK236- 0.1016237102 *  (AVERAGE(AK5:AK6)*0.453592) *  (AVERAGE(AK5:AK6)*0.453592) - 71.8618465276 * AK236 * AK253 -
607.1294449572 * AK236 * AK252 + 25.6463076451 * AK236 * (AVERAGE(AK5:AK6)*0.453592) - 0.8399854508 * AK253 * (AVERAGE(AK5:AK6)*0.453592) +
0.0967347393 * AK316 * (AVERAGE(AK5:AK6)*0.453592) - 5.2553838048 * AK252 * (AVERAGE(AK5:AK6)*0.453592))</f>
        <v>740.485091285458</v>
      </c>
      <c r="AL342" s="299">
        <f xml:space="preserve"> -1619.2980797296 + 25.9248064834 * (AL251/1000) - 2657.6209162609 * AL236 +
123.0469725298 * AL253 - 9.2854579989 * AL316 + 872.0182830582 * AL252 + 26.664395965 * (AVERAGE(AL5:AL6)*0.453592) +
2599.7646012325 * AL236 * AL236- 0.1016237102 *  (AVERAGE(AL5:AL6)*0.453592) *  (AVERAGE(AL5:AL6)*0.453592) - 71.8618465276 * AL236 * AL253 -
607.1294449572 * AL236 * AL252 + 25.6463076451 * AL236 * (AVERAGE(AL5:AL6)*0.453592) - 0.8399854508 * AL253 * (AVERAGE(AL5:AL6)*0.453592) +
0.0967347393 * AL316 * (AVERAGE(AL5:AL6)*0.453592) - 5.2553838048 * AL252 * (AVERAGE(AL5:AL6)*0.453592)</f>
        <v>850.57562438691457</v>
      </c>
      <c r="AM342" s="299">
        <f xml:space="preserve"> -1619.2980797296 + 25.9248064834 * (AM251/1000) - 2657.6209162609 * AM236 +
123.0469725298 * AM253 - 9.2854579989 * AM316 + 872.0182830582 * AM252 + 26.664395965 * (AVERAGE(AM5:AM6)*0.453592) +
2599.7646012325 * AM236 * AM236- 0.1016237102 *  (AVERAGE(AM5:AM6)*0.453592) *  (AVERAGE(AM5:AM6)*0.453592) - 71.8618465276 * AM236 * AM253 -
607.1294449572 * AM236 * AM252 + 25.6463076451 * AM236 * (AVERAGE(AM5:AM6)*0.453592) - 0.8399854508 * AM253 * (AVERAGE(AM5:AM6)*0.453592) +
0.0967347393 * AM316 * (AVERAGE(AM5:AM6)*0.453592) - 5.2553838048 * AM252 * (AVERAGE(AM5:AM6)*0.453592)</f>
        <v>920.75457010940886</v>
      </c>
      <c r="AN342" s="299">
        <f xml:space="preserve"> -1619.2980797296 + 25.9248064834 * (AN251/1000) - 2657.6209162609 * AN236 +
123.0469725298 * AN253 - 9.2854579989 * AN316 + 872.0182830582 * AN252 + 26.664395965 * (AVERAGE(AN5:AN6)*0.453592) +
2599.7646012325 * AN236 * AN236- 0.1016237102 *  (AVERAGE(AN5:AN6)*0.453592) *  (AVERAGE(AN5:AN6)*0.453592) - 71.8618465276 * AN236 * AN253 -
607.1294449572 * AN236 * AN252 + 25.6463076451 * AN236 * (AVERAGE(AN5:AN6)*0.453592) - 0.8399854508 * AN253 * (AVERAGE(AN5:AN6)*0.453592) +
0.0967347393 * AN316 * (AVERAGE(AN5:AN6)*0.453592) - 5.2553838048 * AN252 * (AVERAGE(AN5:AN6)*0.453592)</f>
        <v>947.79441678421176</v>
      </c>
      <c r="AO342" s="299">
        <f xml:space="preserve"> -1619.2980797296 + 25.9248064834 * (AO251/1000) - 2657.6209162609 * AO236 +
123.0469725298 * AO253 - 9.2854579989 * AO316 + 872.0182830582 * AO252 + 26.664395965 * (AVERAGE(AO5:AO6)*0.453592) +
2599.7646012325 * AO236 * AO236- 0.1016237102 *  (AVERAGE(AO5:AO6)*0.453592) *  (AVERAGE(AO5:AO6)*0.453592) - 71.8618465276 * AO236 * AO253 -
607.1294449572 * AO236 * AO252 + 25.6463076451 * AO236 * (AVERAGE(AO5:AO6)*0.453592) - 0.8399854508 * AO253 * (AVERAGE(AO5:AO6)*0.453592) +
0.0967347393 * AO316 * (AVERAGE(AO5:AO6)*0.453592) - 5.2553838048 * AO252 * (AVERAGE(AO5:AO6)*0.453592)</f>
        <v>928.08975082836355</v>
      </c>
      <c r="AP342" s="299">
        <f xml:space="preserve"> -1619.2980797296 + 25.9248064834 * (AP251/1000) - 2657.6209162609 * AP236 +
123.0469725298 * AP253 - 9.2854579989 * AP316 + 872.0182830582 * AP252 + 26.664395965 * (AVERAGE(AP5:AP6)*0.453592) +
2599.7646012325 * AP236 * AP236- 0.1016237102 *  (AVERAGE(AP5:AP6)*0.453592) *  (AVERAGE(AP5:AP6)*0.453592) - 71.8618465276 * AP236 * AP253 -
607.1294449572 * AP236 * AP252 + 25.6463076451 * AP236 * (AVERAGE(AP5:AP6)*0.453592) - 0.8399854508 * AP253 * (AVERAGE(AP5:AP6)*0.453592) +
0.0967347393 * AP316 * (AVERAGE(AP5:AP6)*0.453592) - 5.2553838048 * AP252 * (AVERAGE(AP5:AP6)*0.453592)</f>
        <v>851.76338880639946</v>
      </c>
      <c r="AR342" s="299">
        <f xml:space="preserve"> (-1619.2980797296 + 25.9248064834 * (AR251/1000) - 2657.6209162609 * AR236 +
123.0469725298 * AR253 - 9.2854579989 * AR316 + 872.0182830582 * AR252 + 26.664395965 * (AVERAGE(AR5:AR6)*0.453592) +
2599.7646012325 * AR236 * AR236- 0.1016237102 *  (AVERAGE(AR5:AR6)*0.453592) *  (AVERAGE(AR5:AR6)*0.453592) - 71.8618465276 * AR236 * AR253 -
607.1294449572 * AR236 * AR252 + 25.6463076451 * AR236 * (AVERAGE(AR5:AR6)*0.453592) - 0.8399854508 * AR253 * (AVERAGE(AR5:AR6)*0.453592) +
0.0967347393 * AR316 * (AVERAGE(AR5:AR6)*0.453592) - 5.2553838048 * AR252 * (AVERAGE(AR5:AR6)*0.453592))</f>
        <v>739.21219320971636</v>
      </c>
      <c r="AS342" s="299">
        <f xml:space="preserve"> -1619.2980797296 + 25.9248064834 * (AS251/1000) - 2657.6209162609 * AS236 +
123.0469725298 * AS253 - 9.2854579989 * AS316 + 872.0182830582 * AS252 + 26.664395965 * (AVERAGE(AS5:AS6)*0.453592) +
2599.7646012325 * AS236 * AS236- 0.1016237102 *  (AVERAGE(AS5:AS6)*0.453592) *  (AVERAGE(AS5:AS6)*0.453592) - 71.8618465276 * AS236 * AS253 -
607.1294449572 * AS236 * AS252 + 25.6463076451 * AS236 * (AVERAGE(AS5:AS6)*0.453592) - 0.8399854508 * AS253 * (AVERAGE(AS5:AS6)*0.453592) +
0.0967347393 * AS316 * (AVERAGE(AS5:AS6)*0.453592) - 5.2553838048 * AS252 * (AVERAGE(AS5:AS6)*0.453592)</f>
        <v>848.42796213456415</v>
      </c>
      <c r="AT342" s="299">
        <f xml:space="preserve"> -1619.2980797296 + 25.9248064834 * (AT251/1000) - 2657.6209162609 * AT236 +
123.0469725298 * AT253 - 9.2854579989 * AT316 + 872.0182830582 * AT252 + 26.664395965 * (AVERAGE(AT5:AT6)*0.453592) +
2599.7646012325 * AT236 * AT236- 0.1016237102 *  (AVERAGE(AT5:AT6)*0.453592) *  (AVERAGE(AT5:AT6)*0.453592) - 71.8618465276 * AT236 * AT253 -
607.1294449572 * AT236 * AT252 + 25.6463076451 * AT236 * (AVERAGE(AT5:AT6)*0.453592) - 0.8399854508 * AT253 * (AVERAGE(AT5:AT6)*0.453592) +
0.0967347393 * AT316 * (AVERAGE(AT5:AT6)*0.453592) - 5.2553838048 * AT252 * (AVERAGE(AT5:AT6)*0.453592)</f>
        <v>917.31575363788306</v>
      </c>
      <c r="AU342" s="299">
        <f xml:space="preserve"> -1619.2980797296 + 25.9248064834 * (AU251/1000) - 2657.6209162609 * AU236 +
123.0469725298 * AU253 - 9.2854579989 * AU316 + 872.0182830582 * AU252 + 26.664395965 * (AVERAGE(AU5:AU6)*0.453592) +
2599.7646012325 * AU236 * AU236- 0.1016237102 *  (AVERAGE(AU5:AU6)*0.453592) *  (AVERAGE(AU5:AU6)*0.453592) - 71.8618465276 * AU236 * AU253 -
607.1294449572 * AU236 * AU252 + 25.6463076451 * AU236 * (AVERAGE(AU5:AU6)*0.453592) - 0.8399854508 * AU253 * (AVERAGE(AU5:AU6)*0.453592) +
0.0967347393 * AU316 * (AVERAGE(AU5:AU6)*0.453592) - 5.2553838048 * AU252 * (AVERAGE(AU5:AU6)*0.453592)</f>
        <v>941.99410601919431</v>
      </c>
      <c r="AV342" s="299">
        <f xml:space="preserve"> -1619.2980797296 + 25.9248064834 * (AV251/1000) - 2657.6209162609 * AV236 +
123.0469725298 * AV253 - 9.2854579989 * AV316 + 872.0182830582 * AV252 + 26.664395965 * (AVERAGE(AV5:AV6)*0.453592) +
2599.7646012325 * AV236 * AV236- 0.1016237102 *  (AVERAGE(AV5:AV6)*0.453592) *  (AVERAGE(AV5:AV6)*0.453592) - 71.8618465276 * AV236 * AV253 -
607.1294449572 * AV236 * AV252 + 25.6463076451 * AV236 * (AVERAGE(AV5:AV6)*0.453592) - 0.8399854508 * AV253 * (AVERAGE(AV5:AV6)*0.453592) +
0.0967347393 * AV316 * (AVERAGE(AV5:AV6)*0.453592) - 5.2553838048 * AV252 * (AVERAGE(AV5:AV6)*0.453592)</f>
        <v>919.44377030358305</v>
      </c>
      <c r="AW342" s="299">
        <f xml:space="preserve"> -1619.2980797296 + 25.9248064834 * (AW251/1000) - 2657.6209162609 * AW236 +
123.0469725298 * AW253 - 9.2854579989 * AW316 + 872.0182830582 * AW252 + 26.664395965 * (AVERAGE(AW5:AW6)*0.453592) +
2599.7646012325 * AW236 * AW236- 0.1016237102 *  (AVERAGE(AW5:AW6)*0.453592) *  (AVERAGE(AW5:AW6)*0.453592) - 71.8618465276 * AW236 * AW253 -
607.1294449572 * AW236 * AW252 + 25.6463076451 * AW236 * (AVERAGE(AW5:AW6)*0.453592) - 0.8399854508 * AW253 * (AVERAGE(AW5:AW6)*0.453592) +
0.0967347393 * AW316 * (AVERAGE(AW5:AW6)*0.453592) - 5.2553838048 * AW252 * (AVERAGE(AW5:AW6)*0.453592)</f>
        <v>839.12535820686685</v>
      </c>
    </row>
    <row r="343" spans="1:58" x14ac:dyDescent="0.25">
      <c r="A343" s="298" t="s">
        <v>479</v>
      </c>
      <c r="B343" s="300">
        <f t="shared" ref="B343:G343" si="217">B342/B344*1000</f>
        <v>1398.8783014207611</v>
      </c>
      <c r="C343" s="300">
        <f t="shared" si="217"/>
        <v>1847.8320572748494</v>
      </c>
      <c r="D343" s="300">
        <f t="shared" si="217"/>
        <v>2307.7192145327367</v>
      </c>
      <c r="E343" s="300">
        <f t="shared" si="217"/>
        <v>2723.4676222335261</v>
      </c>
      <c r="F343" s="300">
        <f t="shared" si="217"/>
        <v>2993.2160501056624</v>
      </c>
      <c r="G343" s="300">
        <f t="shared" si="217"/>
        <v>3054.344258459666</v>
      </c>
      <c r="I343" s="300">
        <f t="shared" ref="I343:N343" si="218">I342/I344*1000</f>
        <v>1389.0024681618436</v>
      </c>
      <c r="J343" s="300">
        <f t="shared" si="218"/>
        <v>1835.7297163413807</v>
      </c>
      <c r="K343" s="300">
        <f t="shared" si="218"/>
        <v>2293.0161296074825</v>
      </c>
      <c r="L343" s="300">
        <f t="shared" si="218"/>
        <v>2707.0649160735961</v>
      </c>
      <c r="M343" s="300">
        <f t="shared" si="218"/>
        <v>2979.6503897026291</v>
      </c>
      <c r="N343" s="300">
        <f t="shared" si="218"/>
        <v>3048.7051110585203</v>
      </c>
      <c r="P343" s="300">
        <f t="shared" ref="P343:U343" si="219">P342/P344*1000</f>
        <v>1382.0838310526742</v>
      </c>
      <c r="Q343" s="300">
        <f t="shared" si="219"/>
        <v>1827.0793350244305</v>
      </c>
      <c r="R343" s="300">
        <f t="shared" si="219"/>
        <v>2281.8539108127361</v>
      </c>
      <c r="S343" s="300">
        <f t="shared" si="219"/>
        <v>2694.0613907702627</v>
      </c>
      <c r="T343" s="300">
        <f t="shared" si="219"/>
        <v>2968.6383980672913</v>
      </c>
      <c r="U343" s="300">
        <f t="shared" si="219"/>
        <v>3045.1378623346677</v>
      </c>
      <c r="W343" s="300">
        <f t="shared" ref="W343:AB343" si="220">W342/W344*1000</f>
        <v>1378.2753373390838</v>
      </c>
      <c r="X343" s="300">
        <f t="shared" si="220"/>
        <v>1821.8416003019208</v>
      </c>
      <c r="Y343" s="300">
        <f t="shared" si="220"/>
        <v>2274.0019521611794</v>
      </c>
      <c r="Z343" s="300">
        <f t="shared" si="220"/>
        <v>2684.1316189505246</v>
      </c>
      <c r="AA343" s="300">
        <f t="shared" si="220"/>
        <v>2960.1296853008007</v>
      </c>
      <c r="AB343" s="300">
        <f t="shared" si="220"/>
        <v>3043.8887033040423</v>
      </c>
      <c r="AD343" s="300">
        <f t="shared" ref="AD343:AI343" si="221">AD342/AD344*1000</f>
        <v>1377.6340144513379</v>
      </c>
      <c r="AE343" s="300">
        <f t="shared" si="221"/>
        <v>1820.0883648751139</v>
      </c>
      <c r="AF343" s="300">
        <f t="shared" si="221"/>
        <v>2269.6679884188111</v>
      </c>
      <c r="AG343" s="300">
        <f t="shared" si="221"/>
        <v>2677.2160527946958</v>
      </c>
      <c r="AH343" s="300">
        <f t="shared" si="221"/>
        <v>2955.040714864369</v>
      </c>
      <c r="AI343" s="300">
        <f t="shared" si="221"/>
        <v>3045.2385669440164</v>
      </c>
      <c r="AK343" s="300">
        <f t="shared" ref="AK343:AP343" si="222">AK342/AK344*1000</f>
        <v>1378.9748645318275</v>
      </c>
      <c r="AL343" s="300">
        <f t="shared" si="222"/>
        <v>1821.8064174474123</v>
      </c>
      <c r="AM343" s="300">
        <f t="shared" si="222"/>
        <v>2268.7754808471641</v>
      </c>
      <c r="AN343" s="300">
        <f t="shared" si="222"/>
        <v>2674.3516294236761</v>
      </c>
      <c r="AO343" s="300">
        <f t="shared" si="222"/>
        <v>2953.107463417391</v>
      </c>
      <c r="AP343" s="300">
        <f t="shared" si="222"/>
        <v>3049.1369317467584</v>
      </c>
      <c r="AR343" s="300">
        <f t="shared" ref="AR343:AW343" si="223">AR342/AR344*1000</f>
        <v>1385.2113044296577</v>
      </c>
      <c r="AS343" s="300">
        <f t="shared" si="223"/>
        <v>1827.0958848698046</v>
      </c>
      <c r="AT343" s="300">
        <f t="shared" si="223"/>
        <v>2271.5494684878845</v>
      </c>
      <c r="AU343" s="300">
        <f t="shared" si="223"/>
        <v>2675.7622608000383</v>
      </c>
      <c r="AV343" s="300">
        <f t="shared" si="223"/>
        <v>2954.0964179039579</v>
      </c>
      <c r="AW343" s="300">
        <f t="shared" si="223"/>
        <v>3055.8345714218176</v>
      </c>
      <c r="AZ343" s="373"/>
      <c r="BA343" s="373"/>
      <c r="BB343" s="373"/>
      <c r="BC343" s="373"/>
      <c r="BD343" s="373"/>
      <c r="BE343" s="373"/>
      <c r="BF343" s="373"/>
    </row>
    <row r="344" spans="1:58" x14ac:dyDescent="0.25">
      <c r="A344" s="298" t="s">
        <v>480</v>
      </c>
      <c r="B344" s="299">
        <f t="shared" ref="B344:G344" si="224" xml:space="preserve"> -232.8670000513 - (102.0339177026 * (B251/1000)) + (1386.8135453223 * B236) - (3.1583174866 * B253) + (80.3303777865 * B316) - (115.1570451563 * B252) + (4.1836503117 * (AVERAGE(B5:B6)*0.453592)) + (2553.6417073224 * B236 * B236) + (228.757399518 * B252 * B252) + (12.736240264 *  (B251/1000) * B253) - (24.4502664605 *  (B251/1000) * B316) - (23.0415882284 * B236 * B253) + (101.5847297779 * B236 * B316) - (1559.9331198689 * B236 *B252) - (3.9239483753 * B236 * (AVERAGE(B5:B6)*0.453592)) - (0.1078600966 * B253 * (AVERAGE(B5:B6)*0.453592)) - (28.1879330488 * B316 * B252) - (0.1153929924 * B316 * (AVERAGE(B5:B6)*0.453592))</f>
        <v>541.48123876174384</v>
      </c>
      <c r="C344" s="299">
        <f t="shared" si="224"/>
        <v>471.05106861362759</v>
      </c>
      <c r="D344" s="299">
        <f t="shared" si="224"/>
        <v>410.02340376494885</v>
      </c>
      <c r="E344" s="299">
        <f t="shared" si="224"/>
        <v>360.7957609066396</v>
      </c>
      <c r="F344" s="299">
        <f t="shared" si="224"/>
        <v>326.28328855841602</v>
      </c>
      <c r="G344" s="299">
        <f t="shared" si="224"/>
        <v>301.12774430436968</v>
      </c>
      <c r="H344" s="7"/>
      <c r="I344" s="299">
        <f t="shared" ref="I344:N344" si="225" xml:space="preserve"> -232.8670000513 - (102.0339177026 * (I251/1000)) + (1386.8135453223 * I236) - (3.1583174866 * I253) + (80.3303777865 * I316) - (115.1570451563 * I252) + (4.1836503117 * (AVERAGE(I5:I6)*0.453592)) + (2553.6417073224 * I236 * I236) + (228.757399518 * I252 * I252) + (12.736240264 *  (I251/1000) * I253) - (24.4502664605 *  (I251/1000) * I316) - (23.0415882284 * I236 * I253) + (101.5847297779 * I236 * I316) - (1559.9331198689 * I236 *I252) - (3.9239483753 * I236 * (AVERAGE(I5:I6)*0.453592)) - (0.1078600966 * I253 * (AVERAGE(I5:I6)*0.453592)) - (28.1879330488 * I316 * I252) - (0.1153929924 * I316 * (AVERAGE(I5:I6)*0.453592))</f>
        <v>541.82150887571606</v>
      </c>
      <c r="J344" s="299">
        <f t="shared" si="225"/>
        <v>471.24993400174304</v>
      </c>
      <c r="K344" s="299">
        <f t="shared" si="225"/>
        <v>409.94453044447192</v>
      </c>
      <c r="L344" s="299">
        <f t="shared" si="225"/>
        <v>360.09326303576006</v>
      </c>
      <c r="M344" s="299">
        <f t="shared" si="225"/>
        <v>324.24312512712072</v>
      </c>
      <c r="N344" s="299">
        <f t="shared" si="225"/>
        <v>297.06296037513562</v>
      </c>
      <c r="P344" s="299">
        <f t="shared" ref="P344:U344" si="226" xml:space="preserve"> -232.8670000513 - (102.0339177026 * (P251/1000)) + (1386.8135453223 * P236) - (3.1583174866 * P253) + (80.3303777865 * P316) - (115.1570451563 * P252) + (4.1836503117 * (AVERAGE(P5:P6)*0.453592)) + (2553.6417073224 * P236 * P236) + (228.757399518 * P252 * P252) + (12.736240264 *  (P251/1000) * P253) - (24.4502664605 *  (P251/1000) * P316) - (23.0415882284 * P236 * P253) + (101.5847297779 * P236 * P316) - (1559.9331198689 * P236 *P252) - (3.9239483753 * P236 * (AVERAGE(P5:P6)*0.453592)) - (0.1078600966 * P253 * (AVERAGE(P5:P6)*0.453592)) - (28.1879330488 * P316 * P252) - (0.1153929924 * P316 * (AVERAGE(P5:P6)*0.453592))</f>
        <v>541.66115958367732</v>
      </c>
      <c r="Q344" s="299">
        <f t="shared" si="226"/>
        <v>471.06464741462037</v>
      </c>
      <c r="R344" s="299">
        <f t="shared" si="226"/>
        <v>409.59769975491599</v>
      </c>
      <c r="S344" s="299">
        <f t="shared" si="226"/>
        <v>359.05749083225191</v>
      </c>
      <c r="T344" s="299">
        <f t="shared" si="226"/>
        <v>322.09014957201407</v>
      </c>
      <c r="U344" s="299">
        <f t="shared" si="226"/>
        <v>292.88081996278288</v>
      </c>
      <c r="V344" s="7"/>
      <c r="W344" s="299">
        <f t="shared" ref="W344:AB344" si="227" xml:space="preserve"> -232.8670000513 - (102.0339177026 * (W251/1000)) + (1386.8135453223 * W236) - (3.1583174866 * W253) + (80.3303777865 * W316) - (115.1570451563 * W252) + (4.1836503117 * (AVERAGE(W5:W6)*0.453592)) + (2553.6417073224 * W236 * W236) + (228.757399518 * W252 * W252) + (12.736240264 *  (W251/1000) * W253) - (24.4502664605 *  (W251/1000) * W316) - (23.0415882284 * W236 * W253) + (101.5847297779 * W236 * W316) - (1559.9331198689 * W236 *W252) - (3.9239483753 * W236 * (AVERAGE(W5:W6)*0.453592)) - (0.1078600966 * W253 * (AVERAGE(W5:W6)*0.453592)) - (28.1879330488 * W316 * W252) - (0.1153929924 * W316 * (AVERAGE(W5:W6)*0.453592))</f>
        <v>540.76312985901927</v>
      </c>
      <c r="X344" s="299">
        <f t="shared" si="227"/>
        <v>470.30487978575286</v>
      </c>
      <c r="Y344" s="299">
        <f t="shared" si="227"/>
        <v>408.70380713621705</v>
      </c>
      <c r="Z344" s="299">
        <f t="shared" si="227"/>
        <v>357.81692622772732</v>
      </c>
      <c r="AA344" s="299">
        <f t="shared" si="227"/>
        <v>319.79448060749678</v>
      </c>
      <c r="AB344" s="299">
        <f t="shared" si="227"/>
        <v>288.55555544810454</v>
      </c>
      <c r="AD344" s="299">
        <f t="shared" ref="AD344:AI344" si="228" xml:space="preserve"> -232.8670000513 - (102.0339177026 * (AD251/1000)) + (1386.8135453223 * AD236) - (3.1583174866 * AD253) + (80.3303777865 * AD316) - (115.1570451563 * AD252) + (4.1836503117 * (AVERAGE(AD5:AD6)*0.453592)) + (2553.6417073224 * AD236 * AD236) + (228.757399518 * AD252 * AD252) + (12.736240264 *  (AD251/1000) * AD253) - (24.4502664605 *  (AD251/1000) * AD316) - (23.0415882284 * AD236 * AD253) + (101.5847297779 * AD236 * AD316) - (1559.9331198689 * AD236 *AD252) - (3.9239483753 * AD236 * (AVERAGE(AD5:AD6)*0.453592)) - (0.1078600966 * AD253 * (AVERAGE(AD5:AD6)*0.453592)) - (28.1879330488 * AD316 * AD252) - (0.1153929924 * AD316 * (AVERAGE(AD5:AD6)*0.453592))</f>
        <v>539.10584573159451</v>
      </c>
      <c r="AE344" s="299">
        <f t="shared" si="228"/>
        <v>468.85186337965195</v>
      </c>
      <c r="AF344" s="299">
        <f t="shared" si="228"/>
        <v>407.44613010989991</v>
      </c>
      <c r="AG344" s="299">
        <f t="shared" si="228"/>
        <v>356.32917138007082</v>
      </c>
      <c r="AH344" s="299">
        <f t="shared" si="228"/>
        <v>317.15327272306877</v>
      </c>
      <c r="AI344" s="299">
        <f t="shared" si="228"/>
        <v>283.99661274911188</v>
      </c>
      <c r="AK344" s="299">
        <f t="shared" ref="AK344:AP344" si="229" xml:space="preserve"> -232.8670000513 - (102.0339177026 * (AK251/1000)) + (1386.8135453223 * AK236) - (3.1583174866 * AK253) + (80.3303777865 * AK316) - (115.1570451563 * AK252) + (4.1836503117 * (AVERAGE(AK5:AK6)*0.453592)) + (2553.6417073224 * AK236 * AK236) + (228.757399518 * AK252 * AK252) + (12.736240264 *  (AK251/1000) * AK253) - (24.4502664605 *  (AK251/1000) * AK316) - (23.0415882284 * AK236 * AK253) + (101.5847297779 * AK236 * AK316) - (1559.9331198689 * AK236 *AK252) - (3.9239483753 * AK236 * (AVERAGE(AK5:AK6)*0.453592)) - (0.1078600966 * AK253 * (AVERAGE(AK5:AK6)*0.453592)) - (28.1879330488 * AK316 * AK252) - (0.1153929924 * AK316 * (AVERAGE(AK5:AK6)*0.453592))</f>
        <v>536.98229774250331</v>
      </c>
      <c r="AL344" s="299">
        <f t="shared" si="229"/>
        <v>466.88584266745625</v>
      </c>
      <c r="AM344" s="299">
        <f t="shared" si="229"/>
        <v>405.83767670373345</v>
      </c>
      <c r="AN344" s="299">
        <f t="shared" si="229"/>
        <v>354.40157021852133</v>
      </c>
      <c r="AO344" s="299">
        <f t="shared" si="229"/>
        <v>314.27564432564225</v>
      </c>
      <c r="AP344" s="299">
        <f t="shared" si="229"/>
        <v>279.34573220968792</v>
      </c>
      <c r="AR344" s="299">
        <f t="shared" ref="AR344:AW344" si="230" xml:space="preserve"> -232.8670000513 - (102.0339177026 * (AR251/1000)) + (1386.8135453223 * AR236) - (3.1583174866 * AR253) + (80.3303777865 * AR316) - (115.1570451563 * AR252) + (4.1836503117 * (AVERAGE(AR5:AR6)*0.453592)) + (2553.6417073224 * AR236 * AR236) + (228.757399518 * AR252 * AR252) + (12.736240264 *  (AR251/1000) * AR253) - (24.4502664605 *  (AR251/1000) * AR316) - (23.0415882284 * AR236 * AR253) + (101.5847297779 * AR236 * AR316) - (1559.9331198689 * AR236 *AR252) - (3.9239483753 * AR236 * (AVERAGE(AR5:AR6)*0.453592)) - (0.1078600966 * AR253 * (AVERAGE(AR5:AR6)*0.453592)) - (28.1879330488 * AR316 * AR252) - (0.1153929924 * AR316 * (AVERAGE(AR5:AR6)*0.453592))</f>
        <v>533.6457989086922</v>
      </c>
      <c r="AS344" s="299">
        <f t="shared" si="230"/>
        <v>464.35875049602089</v>
      </c>
      <c r="AT344" s="299">
        <f t="shared" si="230"/>
        <v>403.82820905437643</v>
      </c>
      <c r="AU344" s="299">
        <f t="shared" si="230"/>
        <v>352.04701098428052</v>
      </c>
      <c r="AV344" s="299">
        <f t="shared" si="230"/>
        <v>311.24365634482672</v>
      </c>
      <c r="AW344" s="299">
        <f t="shared" si="230"/>
        <v>274.59776980546394</v>
      </c>
      <c r="AY344" s="2"/>
    </row>
    <row r="345" spans="1:58" x14ac:dyDescent="0.25">
      <c r="A345" s="298" t="s">
        <v>134</v>
      </c>
      <c r="B345" s="301">
        <f t="shared" ref="B345:G345" si="231">IF(B323="","0",1/B344*1000)</f>
        <v>1.846786053542306</v>
      </c>
      <c r="C345" s="301">
        <f t="shared" si="231"/>
        <v>2.1229120718123973</v>
      </c>
      <c r="D345" s="301">
        <f t="shared" si="231"/>
        <v>2.4388851729382321</v>
      </c>
      <c r="E345" s="301">
        <f t="shared" si="231"/>
        <v>2.7716511898230491</v>
      </c>
      <c r="F345" s="301">
        <f t="shared" si="231"/>
        <v>3.0648213839519558</v>
      </c>
      <c r="G345" s="301">
        <f t="shared" si="231"/>
        <v>3.3208497686258824</v>
      </c>
      <c r="I345" s="301">
        <f t="shared" ref="I345:N345" si="232">IF(I323="","0",1/I344*1000)</f>
        <v>1.8456262507463166</v>
      </c>
      <c r="J345" s="301">
        <f t="shared" si="232"/>
        <v>2.1220162123063582</v>
      </c>
      <c r="K345" s="301">
        <f t="shared" si="232"/>
        <v>2.4393544144027861</v>
      </c>
      <c r="L345" s="301">
        <f t="shared" si="232"/>
        <v>2.7770583419681816</v>
      </c>
      <c r="M345" s="301">
        <f t="shared" si="232"/>
        <v>3.0841054829086856</v>
      </c>
      <c r="N345" s="301">
        <f t="shared" si="232"/>
        <v>3.3662897546607118</v>
      </c>
      <c r="P345" s="301">
        <f t="shared" ref="P345:U345" si="233">IF(P323="","0",1/P344*1000)</f>
        <v>1.8461726160476479</v>
      </c>
      <c r="Q345" s="301">
        <f t="shared" si="233"/>
        <v>2.1228508772381356</v>
      </c>
      <c r="R345" s="301">
        <f t="shared" si="233"/>
        <v>2.4414199606061091</v>
      </c>
      <c r="S345" s="301">
        <f t="shared" si="233"/>
        <v>2.7850693148947281</v>
      </c>
      <c r="T345" s="301">
        <f t="shared" si="233"/>
        <v>3.1047208408229086</v>
      </c>
      <c r="U345" s="301">
        <f t="shared" si="233"/>
        <v>3.4143581000868291</v>
      </c>
      <c r="W345" s="301">
        <f t="shared" ref="W345:AB345" si="234">IF(W323="","0",1/W344*1000)</f>
        <v>1.8492385016351005</v>
      </c>
      <c r="X345" s="301">
        <f t="shared" si="234"/>
        <v>2.1262802981239521</v>
      </c>
      <c r="Y345" s="301">
        <f t="shared" si="234"/>
        <v>2.4467596888979055</v>
      </c>
      <c r="Z345" s="301">
        <f t="shared" si="234"/>
        <v>2.7947252538958001</v>
      </c>
      <c r="AA345" s="301">
        <f t="shared" si="234"/>
        <v>3.1270083151540096</v>
      </c>
      <c r="AB345" s="301">
        <f t="shared" si="234"/>
        <v>3.4655371595500113</v>
      </c>
      <c r="AD345" s="301">
        <f t="shared" ref="AD345:AI345" si="235">IF(AD323="","0",1/AD344*1000)</f>
        <v>1.8549233103620835</v>
      </c>
      <c r="AE345" s="301">
        <f t="shared" si="235"/>
        <v>2.1328698424949026</v>
      </c>
      <c r="AF345" s="301">
        <f t="shared" si="235"/>
        <v>2.4543121804354144</v>
      </c>
      <c r="AG345" s="301">
        <f t="shared" si="235"/>
        <v>2.8063938636485406</v>
      </c>
      <c r="AH345" s="301">
        <f t="shared" si="235"/>
        <v>3.1530496009517073</v>
      </c>
      <c r="AI345" s="301">
        <f t="shared" si="235"/>
        <v>3.5211687573309876</v>
      </c>
      <c r="AK345" s="301">
        <f t="shared" ref="AK345:AP345" si="236">IF(AK323="","0",1/AK344*1000)</f>
        <v>1.8622587824664669</v>
      </c>
      <c r="AL345" s="301">
        <f t="shared" si="236"/>
        <v>2.1418511949017462</v>
      </c>
      <c r="AM345" s="301">
        <f t="shared" si="236"/>
        <v>2.4640393374073359</v>
      </c>
      <c r="AN345" s="301">
        <f t="shared" si="236"/>
        <v>2.8216579271457727</v>
      </c>
      <c r="AO345" s="301">
        <f t="shared" si="236"/>
        <v>3.1819201330276567</v>
      </c>
      <c r="AP345" s="301">
        <f t="shared" si="236"/>
        <v>3.5797933696347313</v>
      </c>
      <c r="AR345" s="301">
        <f t="shared" ref="AR345:AW345" si="237">IF(AR323="","0",1/AR344*1000)</f>
        <v>1.873902131423135</v>
      </c>
      <c r="AS345" s="301">
        <f t="shared" si="237"/>
        <v>2.1535073882678328</v>
      </c>
      <c r="AT345" s="301">
        <f t="shared" si="237"/>
        <v>2.4763005099164523</v>
      </c>
      <c r="AU345" s="301">
        <f t="shared" si="237"/>
        <v>2.8405297269933412</v>
      </c>
      <c r="AV345" s="301">
        <f t="shared" si="237"/>
        <v>3.2129168887930697</v>
      </c>
      <c r="AW345" s="301">
        <f t="shared" si="237"/>
        <v>3.6416901736253724</v>
      </c>
      <c r="AZ345" s="180"/>
    </row>
    <row r="346" spans="1:58" x14ac:dyDescent="0.25">
      <c r="A346" s="298" t="s">
        <v>481</v>
      </c>
      <c r="B346" s="301">
        <f>(B6-B5)*0.453592/(B342/1000)</f>
        <v>20.958977100556179</v>
      </c>
      <c r="C346" s="301">
        <f t="shared" ref="C346:F346" si="238">(C6-C5)*0.453592/(C342/1000)</f>
        <v>18.239080496534822</v>
      </c>
      <c r="D346" s="301">
        <f t="shared" si="238"/>
        <v>19.17492901903826</v>
      </c>
      <c r="E346" s="301">
        <f t="shared" si="238"/>
        <v>18.464677842774325</v>
      </c>
      <c r="F346" s="301">
        <f t="shared" si="238"/>
        <v>18.577722929695792</v>
      </c>
      <c r="G346" s="301">
        <f>(G6-G5)*0.453592/(G342/1000)</f>
        <v>22.192648973190369</v>
      </c>
      <c r="I346" s="301">
        <f>(I351-I5)*0.453592/(I342/1000)</f>
        <v>20.95893480644677</v>
      </c>
      <c r="J346" s="301">
        <f>(J351-I351)*0.453592/(J342/1000)</f>
        <v>18.35718855519335</v>
      </c>
      <c r="K346" s="301">
        <f>(K351-J351)*0.453592/(K342/1000)</f>
        <v>19.278454326068832</v>
      </c>
      <c r="L346" s="301">
        <f>(L351-K351)*0.453592/(L342/1000)</f>
        <v>18.586822479538029</v>
      </c>
      <c r="M346" s="301">
        <f>(M351-L351)*0.453592/(M342/1000)</f>
        <v>18.727173521378983</v>
      </c>
      <c r="N346" s="301">
        <f>(N351-M351)*0.453592/(N342/1000)</f>
        <v>22.408137263596412</v>
      </c>
      <c r="P346" s="301">
        <f>(P351-P5)*0.453592/(P342/1000)</f>
        <v>20.95893458214163</v>
      </c>
      <c r="Q346" s="301">
        <f>(Q351-P351)*0.453592/(Q342/1000)</f>
        <v>18.454478189744961</v>
      </c>
      <c r="R346" s="301">
        <f>(R351-Q351)*0.453592/(R342/1000)</f>
        <v>19.36520587077186</v>
      </c>
      <c r="S346" s="301">
        <f>(S351-R351)*0.453592/(S342/1000)</f>
        <v>18.694160488993525</v>
      </c>
      <c r="T346" s="301">
        <f>(T351-S351)*0.453592/(T342/1000)</f>
        <v>18.873040807462903</v>
      </c>
      <c r="U346" s="301">
        <f>(U351-T351)*0.453592/(U342/1000)</f>
        <v>22.618980676593477</v>
      </c>
      <c r="W346" s="301">
        <f>(W351-W5)*0.453592/(W342/1000)</f>
        <v>20.958934393849194</v>
      </c>
      <c r="X346" s="301">
        <f>(X351-W351)*0.453592/(X342/1000)</f>
        <v>18.536184581392376</v>
      </c>
      <c r="Y346" s="301">
        <f>(Y351-X351)*0.453592/(Y342/1000)</f>
        <v>19.441864846043302</v>
      </c>
      <c r="Z346" s="301">
        <f>(Z351-Y351)*0.453592/(Z342/1000)</f>
        <v>18.800601401212049</v>
      </c>
      <c r="AA346" s="301">
        <f>(AA351-Z351)*0.453592/(AA342/1000)</f>
        <v>19.010510925832818</v>
      </c>
      <c r="AB346" s="301">
        <f>(AB351-AA351)*0.453592/(AB342/1000)</f>
        <v>22.827247265970943</v>
      </c>
      <c r="AD346" s="301">
        <f>(AD351-AD5)*0.453592/(AD342/1000)</f>
        <v>20.958934242620867</v>
      </c>
      <c r="AE346" s="301">
        <f>(AE351-AD351)*0.453592/(AE342/1000)</f>
        <v>18.60198563384256</v>
      </c>
      <c r="AF346" s="301">
        <f>(AF351-AE351)*0.453592/(AF342/1000)</f>
        <v>19.511622200172283</v>
      </c>
      <c r="AG346" s="301">
        <f>(AG351-AF351)*0.453592/(AG342/1000)</f>
        <v>18.895854851199129</v>
      </c>
      <c r="AH346" s="301">
        <f>(AH351-AG351)*0.453592/(AH342/1000)</f>
        <v>19.142092889847042</v>
      </c>
      <c r="AI346" s="301">
        <f>(AI351-AH351)*0.453592/(AI342/1000)</f>
        <v>23.039765438953339</v>
      </c>
      <c r="AK346" s="301">
        <f>(AK351-AK5)*0.453592/(AK342/1000)</f>
        <v>20.958934114972884</v>
      </c>
      <c r="AL346" s="301">
        <f>(AL351-AK351)*0.453592/(AL342/1000)</f>
        <v>18.657514693613265</v>
      </c>
      <c r="AM346" s="301">
        <f>(AM351-AL351)*0.453592/(AM342/1000)</f>
        <v>19.568082833311045</v>
      </c>
      <c r="AN346" s="301">
        <f>(AN351-AM351)*0.453592/(AN342/1000)</f>
        <v>18.979849134723569</v>
      </c>
      <c r="AO346" s="301">
        <f>(AO351-AN351)*0.453592/(AO342/1000)</f>
        <v>19.270502299714131</v>
      </c>
      <c r="AP346" s="301">
        <f>(AP351-AO351)*0.453592/(AP342/1000)</f>
        <v>23.251489045331773</v>
      </c>
      <c r="AR346" s="301">
        <f>(AR351-AR5)*0.453592/(AR342/1000)</f>
        <v>20.958934040953189</v>
      </c>
      <c r="AS346" s="301">
        <f>(AS351-AR351)*0.453592/(AS342/1000)</f>
        <v>18.690018687095019</v>
      </c>
      <c r="AT346" s="301">
        <f>(AT351-AS351)*0.453592/(AT342/1000)</f>
        <v>19.612258863594686</v>
      </c>
      <c r="AU346" s="301">
        <f>(AU351-AT351)*0.453592/(AU342/1000)</f>
        <v>19.053020734100979</v>
      </c>
      <c r="AV346" s="301">
        <f>(AV351-AU351)*0.453592/(AV342/1000)</f>
        <v>19.393501258712828</v>
      </c>
      <c r="AW346" s="301">
        <f>(AW351-AV351)*0.453592/(AW342/1000)</f>
        <v>23.458852917934163</v>
      </c>
      <c r="AX346" s="6"/>
      <c r="AY346" s="180"/>
    </row>
    <row r="347" spans="1:58" x14ac:dyDescent="0.25">
      <c r="A347" s="298" t="s">
        <v>482</v>
      </c>
      <c r="B347" s="299">
        <f t="shared" ref="B347:G347" si="239" xml:space="preserve"> 51.6684755267 + 7.1030096064 * (B251/1000) + 54.0870565413 * B236 + 1.6439820046 * B253 + 0.4039153805 * B316 - 20.5375389219 * B252 + 0.2869358688 *(AVERAGE(B5:B6)*0.453592) - 0.016597667 * B316 * B316 - 0.1531408962 * (B251/1000) * (AVERAGE(B5:B6)*0.453592) - 4.8153797375 * B236 * B253 + 0.5304361357 * B236 * (AVERAGE(B5:B6)*0.453592) + 0.9830652207 * B253 * B252 - 0.0127129553 * B253 *(AVERAGE(B5:B6)*0.453592)</f>
        <v>59.07643336708562</v>
      </c>
      <c r="C347" s="299">
        <f t="shared" si="239"/>
        <v>66.187005535002854</v>
      </c>
      <c r="D347" s="299">
        <f t="shared" si="239"/>
        <v>71.339528706858943</v>
      </c>
      <c r="E347" s="299">
        <f t="shared" si="239"/>
        <v>74.764464309798441</v>
      </c>
      <c r="F347" s="299">
        <f t="shared" si="239"/>
        <v>76.836980679644768</v>
      </c>
      <c r="G347" s="299">
        <f t="shared" si="239"/>
        <v>78.432360226639787</v>
      </c>
      <c r="I347" s="299">
        <f t="shared" ref="I347:N347" si="240" xml:space="preserve"> 51.6684755267 + 7.1030096064 * (I251/1000) + 54.0870565413 * I236 + 1.6439820046 * I253 + 0.4039153805 * I316 - 20.5375389219 * I252 + 0.2869358688 *(AVERAGE(I5:I6)*0.453592) - 0.016597667 * I316 * I316 - 0.1531408962 * (I251/1000) * (AVERAGE(I5:I6)*0.453592) - 4.8153797375 * I236 * I253 + 0.5304361357 * I236 * (AVERAGE(I5:I6)*0.453592) + 0.9830652207 * I253 * I252 - 0.0127129553 * I253 *(AVERAGE(I5:I6)*0.453592)</f>
        <v>59.47245710133177</v>
      </c>
      <c r="J347" s="299">
        <f t="shared" si="240"/>
        <v>66.406606050511769</v>
      </c>
      <c r="K347" s="299">
        <f t="shared" si="240"/>
        <v>71.434223172565837</v>
      </c>
      <c r="L347" s="299">
        <f t="shared" si="240"/>
        <v>74.771084931125017</v>
      </c>
      <c r="M347" s="299">
        <f t="shared" si="240"/>
        <v>76.773615449152217</v>
      </c>
      <c r="N347" s="299">
        <f t="shared" si="240"/>
        <v>78.306462789387865</v>
      </c>
      <c r="P347" s="299">
        <f t="shared" ref="P347:U347" si="241" xml:space="preserve"> 51.6684755267 + 7.1030096064 * (P251/1000) + 54.0870565413 * P236 + 1.6439820046 * P253 + 0.4039153805 * P316 - 20.5375389219 * P252 + 0.2869358688 *(AVERAGE(P5:P6)*0.453592) - 0.016597667 * P316 * P316 - 0.1531408962 * (P251/1000) * (AVERAGE(P5:P6)*0.453592) - 4.8153797375 * P236 * P253 + 0.5304361357 * P236 * (AVERAGE(P5:P6)*0.453592) + 0.9830652207 * P253 * P252 - 0.0127129553 * P253 *(AVERAGE(P5:P6)*0.453592)</f>
        <v>59.789620750365181</v>
      </c>
      <c r="Q347" s="299">
        <f t="shared" si="241"/>
        <v>66.573337019981963</v>
      </c>
      <c r="R347" s="299">
        <f t="shared" si="241"/>
        <v>71.488741758387278</v>
      </c>
      <c r="S347" s="299">
        <f t="shared" si="241"/>
        <v>74.745679049484494</v>
      </c>
      <c r="T347" s="299">
        <f t="shared" si="241"/>
        <v>76.681162735633336</v>
      </c>
      <c r="U347" s="299">
        <f t="shared" si="241"/>
        <v>78.154319916262239</v>
      </c>
      <c r="W347" s="299">
        <f t="shared" ref="W347:AB347" si="242" xml:space="preserve"> 51.6684755267 + 7.1030096064 * (W251/1000) + 54.0870565413 * W236 + 1.6439820046 * W253 + 0.4039153805 * W316 - 20.5375389219 * W252 + 0.2869358688 *(AVERAGE(W5:W6)*0.453592) - 0.016597667 * W316 * W316 - 0.1531408962 * (W251/1000) * (AVERAGE(W5:W6)*0.453592) - 4.8153797375 * W236 * W253 + 0.5304361357 * W236 * (AVERAGE(W5:W6)*0.453592) + 0.9830652207 * W253 * W252 - 0.0127129553 * W253 *(AVERAGE(W5:W6)*0.453592)</f>
        <v>60.080724196546477</v>
      </c>
      <c r="X347" s="299">
        <f t="shared" si="242"/>
        <v>66.712215707842489</v>
      </c>
      <c r="Y347" s="299">
        <f t="shared" si="242"/>
        <v>71.526948031071086</v>
      </c>
      <c r="Z347" s="299">
        <f t="shared" si="242"/>
        <v>74.688645814596498</v>
      </c>
      <c r="AA347" s="299">
        <f t="shared" si="242"/>
        <v>76.556964851279844</v>
      </c>
      <c r="AB347" s="299">
        <f t="shared" si="242"/>
        <v>77.970188978786425</v>
      </c>
      <c r="AD347" s="299">
        <f t="shared" ref="AD347:AI347" si="243" xml:space="preserve"> 51.6684755267 + 7.1030096064 * (AD251/1000) + 54.0870565413 * AD236 + 1.6439820046 * AD253 + 0.4039153805 * AD316 - 20.5375389219 * AD252 + 0.2869358688 *(AVERAGE(AD5:AD6)*0.453592) - 0.016597667 * AD316 * AD316 - 0.1531408962 * (AD251/1000) * (AVERAGE(AD5:AD6)*0.453592) - 4.8153797375 * AD236 * AD253 + 0.5304361357 * AD236 * (AVERAGE(AD5:AD6)*0.453592) + 0.9830652207 * AD253 * AD252 - 0.0127129553 * AD253 *(AVERAGE(AD5:AD6)*0.453592)</f>
        <v>60.348386565208067</v>
      </c>
      <c r="AE347" s="299">
        <f t="shared" si="243"/>
        <v>66.846743344333788</v>
      </c>
      <c r="AF347" s="299">
        <f t="shared" si="243"/>
        <v>71.531884823598858</v>
      </c>
      <c r="AG347" s="299">
        <f t="shared" si="243"/>
        <v>74.60024550215411</v>
      </c>
      <c r="AH347" s="299">
        <f t="shared" si="243"/>
        <v>76.400777675178659</v>
      </c>
      <c r="AI347" s="299">
        <f t="shared" si="243"/>
        <v>77.757226504782111</v>
      </c>
      <c r="AK347" s="299">
        <f t="shared" ref="AK347:AP347" si="244" xml:space="preserve"> 51.6684755267 + 7.1030096064 * (AK251/1000) + 54.0870565413 * AK236 + 1.6439820046 * AK253 + 0.4039153805 * AK316 - 20.5375389219 * AK252 + 0.2869358688 *(AVERAGE(AK5:AK6)*0.453592) - 0.016597667 * AK316 * AK316 - 0.1531408962 * (AK251/1000) * (AVERAGE(AK5:AK6)*0.453592) - 4.8153797375 * AK236 * AK253 + 0.5304361357 * AK236 * (AVERAGE(AK5:AK6)*0.453592) + 0.9830652207 * AK253 * AK252 - 0.0127129553 * AK253 *(AVERAGE(AK5:AK6)*0.453592)</f>
        <v>60.4564667682032</v>
      </c>
      <c r="AL347" s="299">
        <f t="shared" si="244"/>
        <v>66.945780828267516</v>
      </c>
      <c r="AM347" s="299">
        <f t="shared" si="244"/>
        <v>71.506597511494405</v>
      </c>
      <c r="AN347" s="299">
        <f t="shared" si="244"/>
        <v>74.481378714821872</v>
      </c>
      <c r="AO347" s="299">
        <f t="shared" si="244"/>
        <v>76.214244529721142</v>
      </c>
      <c r="AP347" s="299">
        <f t="shared" si="244"/>
        <v>77.513041383302891</v>
      </c>
      <c r="AR347" s="299">
        <f t="shared" ref="AR347:AW347" si="245" xml:space="preserve"> 51.6684755267 + 7.1030096064 * (AR251/1000) + 54.0870565413 * AR236 + 1.6439820046 * AR253 + 0.4039153805 * AR316 - 20.5375389219 * AR252 + 0.2869358688 *(AVERAGE(AR5:AR6)*0.453592) - 0.016597667 * AR316 * AR316 - 0.1531408962 * (AR251/1000) * (AVERAGE(AR5:AR6)*0.453592) - 4.8153797375 * AR236 * AR253 + 0.5304361357 * AR236 * (AVERAGE(AR5:AR6)*0.453592) + 0.9830652207 * AR253 * AR252 - 0.0127129553 * AR253 *(AVERAGE(AR5:AR6)*0.453592)</f>
        <v>60.724547040232338</v>
      </c>
      <c r="AS347" s="299">
        <f t="shared" si="245"/>
        <v>67.016048303677977</v>
      </c>
      <c r="AT347" s="299">
        <f t="shared" si="245"/>
        <v>71.449619839784489</v>
      </c>
      <c r="AU347" s="299">
        <f t="shared" si="245"/>
        <v>74.332934406185672</v>
      </c>
      <c r="AV347" s="299">
        <f t="shared" si="245"/>
        <v>75.997502287216861</v>
      </c>
      <c r="AW347" s="299">
        <f t="shared" si="245"/>
        <v>77.238187489789453</v>
      </c>
    </row>
    <row r="348" spans="1:58" x14ac:dyDescent="0.25">
      <c r="A348" s="298" t="s">
        <v>474</v>
      </c>
      <c r="B348" s="299">
        <f t="shared" ref="B348:G348" si="246" xml:space="preserve"> 41.4410513954 + (14.8656283053 * B236) - (0.6326892081 * B253) - (12.1380129342 * B252) -
(0.0133880688 * (B253^2)) + (1.1112817574 * (B252^2))</f>
        <v>7.8081201670684095</v>
      </c>
      <c r="C348" s="299">
        <f t="shared" si="246"/>
        <v>9.6497372018873726</v>
      </c>
      <c r="D348" s="299">
        <f t="shared" si="246"/>
        <v>11.707280587456946</v>
      </c>
      <c r="E348" s="299">
        <f t="shared" si="246"/>
        <v>13.756142379711502</v>
      </c>
      <c r="F348" s="299">
        <f t="shared" si="246"/>
        <v>15.307913140289045</v>
      </c>
      <c r="G348" s="299">
        <f t="shared" si="246"/>
        <v>16.16672623849167</v>
      </c>
      <c r="I348" s="299">
        <f t="shared" ref="I348:N348" si="247" xml:space="preserve"> 41.4410513954 + (14.8656283053 * I236) - (0.6326892081 * I253) - (12.1380129342 * I252) -
(0.0133880688 * (I253^2)) + (1.1112817574 * (I252^2))</f>
        <v>7.4147514908089143</v>
      </c>
      <c r="J348" s="299">
        <f t="shared" si="247"/>
        <v>9.2599130022793421</v>
      </c>
      <c r="K348" s="299">
        <f t="shared" si="247"/>
        <v>11.321266884587033</v>
      </c>
      <c r="L348" s="299">
        <f t="shared" si="247"/>
        <v>13.380712236867044</v>
      </c>
      <c r="M348" s="299">
        <f t="shared" si="247"/>
        <v>14.952674520236904</v>
      </c>
      <c r="N348" s="299">
        <f t="shared" si="247"/>
        <v>15.813438953226704</v>
      </c>
      <c r="P348" s="299">
        <f t="shared" ref="P348:U348" si="248" xml:space="preserve"> 41.4410513954 + (14.8656283053 * P236) - (0.6326892081 * P253) - (12.1380129342 * P252) -
(0.0133880688 * (P253^2)) + (1.1112817574 * (P252^2))</f>
        <v>6.9974935187495859</v>
      </c>
      <c r="Q348" s="299">
        <f t="shared" si="248"/>
        <v>8.8467311315054395</v>
      </c>
      <c r="R348" s="299">
        <f t="shared" si="248"/>
        <v>10.912643204174914</v>
      </c>
      <c r="S348" s="299">
        <f t="shared" si="248"/>
        <v>13.004932197286927</v>
      </c>
      <c r="T348" s="299">
        <f t="shared" si="248"/>
        <v>14.574236886172834</v>
      </c>
      <c r="U348" s="299">
        <f t="shared" si="248"/>
        <v>15.436928184705375</v>
      </c>
      <c r="W348" s="299">
        <f t="shared" ref="W348:AB348" si="249" xml:space="preserve"> 41.4410513954 + (14.8656283053 * W236) - (0.6326892081 * W253) - (12.1380129342 * W252) -
(0.0133880688 * (W253^2)) + (1.1112817574 * (W252^2))</f>
        <v>6.5786516451840882</v>
      </c>
      <c r="X348" s="299">
        <f t="shared" si="249"/>
        <v>8.431987586660723</v>
      </c>
      <c r="Y348" s="299">
        <f t="shared" si="249"/>
        <v>10.528675612605181</v>
      </c>
      <c r="Z348" s="299">
        <f t="shared" si="249"/>
        <v>12.618149516634537</v>
      </c>
      <c r="AA348" s="299">
        <f t="shared" si="249"/>
        <v>14.190429392847689</v>
      </c>
      <c r="AB348" s="299">
        <f t="shared" si="249"/>
        <v>15.059667339152139</v>
      </c>
      <c r="AD348" s="299">
        <f t="shared" ref="AD348:AI348" si="250" xml:space="preserve"> 41.4410513954 + (14.8656283053 * AD236) - (0.6326892081 * AD253) - (12.1380129342 * AD252) -
(0.0133880688 * (AD253^2)) + (1.1112817574 * (AD252^2))</f>
        <v>6.1594195084221681</v>
      </c>
      <c r="AE348" s="299">
        <f t="shared" si="250"/>
        <v>8.0369965516408968</v>
      </c>
      <c r="AF348" s="299">
        <f t="shared" si="250"/>
        <v>10.137233831790711</v>
      </c>
      <c r="AG348" s="299">
        <f t="shared" si="250"/>
        <v>12.225731685963469</v>
      </c>
      <c r="AH348" s="299">
        <f t="shared" si="250"/>
        <v>13.810460753032491</v>
      </c>
      <c r="AI348" s="299">
        <f t="shared" si="250"/>
        <v>14.683754866179338</v>
      </c>
      <c r="AK348" s="299">
        <f t="shared" ref="AK348:AP348" si="251" xml:space="preserve"> 41.4410513954 + (14.8656283053 * AK236) - (0.6326892081 * AK253) - (12.1380129342 * AK252) -
(0.0133880688 * (AK253^2)) + (1.1112817574 * (AK252^2))</f>
        <v>5.67527983610265</v>
      </c>
      <c r="AL348" s="299">
        <f t="shared" si="251"/>
        <v>7.6342088721097277</v>
      </c>
      <c r="AM348" s="299">
        <f t="shared" si="251"/>
        <v>9.7347832349186767</v>
      </c>
      <c r="AN348" s="299">
        <f t="shared" si="251"/>
        <v>11.835941043558405</v>
      </c>
      <c r="AO348" s="299">
        <f t="shared" si="251"/>
        <v>13.429118649663488</v>
      </c>
      <c r="AP348" s="299">
        <f t="shared" si="251"/>
        <v>14.305494572829645</v>
      </c>
      <c r="AR348" s="299">
        <f t="shared" ref="AR348:AW348" si="252" xml:space="preserve"> 41.4410513954 + (14.8656283053 * AR236) - (0.6326892081 * AR253) - (12.1380129342 * AR252) -
(0.0133880688 * (AR253^2)) + (1.1112817574 * (AR252^2))</f>
        <v>5.2762904384761597</v>
      </c>
      <c r="AS348" s="299">
        <f t="shared" si="252"/>
        <v>7.2295574542125678</v>
      </c>
      <c r="AT348" s="299">
        <f t="shared" si="252"/>
        <v>9.3248656225295328</v>
      </c>
      <c r="AU348" s="299">
        <f t="shared" si="252"/>
        <v>11.443318689820181</v>
      </c>
      <c r="AV348" s="299">
        <f t="shared" si="252"/>
        <v>13.045811477094851</v>
      </c>
      <c r="AW348" s="299">
        <f t="shared" si="252"/>
        <v>13.925307440420738</v>
      </c>
    </row>
    <row r="349" spans="1:58" x14ac:dyDescent="0.25">
      <c r="A349" s="298" t="s">
        <v>483</v>
      </c>
      <c r="B349" s="299">
        <f t="shared" ref="B349:G349" si="253" xml:space="preserve"> -16.7992454106 + 17.2658536059 * (B251/1000) - 106.6634904715 * B236 + 0.1550376119 * B253 - 0.0727312562 * B316 + 48.6541457906 * B252 - 0.1535643762 * B253 * B253 - 0.0358142801 * B316 * B316 - 5.4618633046 * B252 * B252 + 4.2267870055 * B236 * B253 - 2.0313848595 * B236 * B316 + 0.1484978883 * B253 * B316</f>
        <v>52.048652387826927</v>
      </c>
      <c r="C349" s="299">
        <f t="shared" si="253"/>
        <v>57.424545894850155</v>
      </c>
      <c r="D349" s="299">
        <f t="shared" si="253"/>
        <v>60.138112629899155</v>
      </c>
      <c r="E349" s="299">
        <f t="shared" si="253"/>
        <v>61.003481994612869</v>
      </c>
      <c r="F349" s="299">
        <f t="shared" si="253"/>
        <v>60.913721975717699</v>
      </c>
      <c r="G349" s="299">
        <f t="shared" si="253"/>
        <v>60.653455485036048</v>
      </c>
      <c r="I349" s="299">
        <f t="shared" ref="I349:N349" si="254" xml:space="preserve"> -16.7992454106 + 17.2658536059 * (I251/1000) - 106.6634904715 * I236 + 0.1550376119 * I253 - 0.0727312562 * I316 + 48.6541457906 * I252 - 0.1535643762 * I253 * I253 - 0.0358142801 * I316 * I316 - 5.4618633046 * I252 * I252 + 4.2267870055 * I236 * I253 - 2.0313848595 * I236 * I316 + 0.1484978883 * I253 * I316</f>
        <v>52.031811571600912</v>
      </c>
      <c r="J349" s="299">
        <f t="shared" si="254"/>
        <v>57.396057781422968</v>
      </c>
      <c r="K349" s="299">
        <f t="shared" si="254"/>
        <v>60.099958738241526</v>
      </c>
      <c r="L349" s="299">
        <f t="shared" si="254"/>
        <v>60.950686793849755</v>
      </c>
      <c r="M349" s="299">
        <f t="shared" si="254"/>
        <v>60.841871946377623</v>
      </c>
      <c r="N349" s="299">
        <f t="shared" si="254"/>
        <v>60.572946281726111</v>
      </c>
      <c r="P349" s="299">
        <f t="shared" ref="P349:U349" si="255" xml:space="preserve"> -16.7992454106 + 17.2658536059 * (P251/1000) - 106.6634904715 * P236 + 0.1550376119 * P253 - 0.0727312562 * P316 + 48.6541457906 * P252 - 0.1535643762 * P253 * P253 - 0.0358142801 * P316 * P316 - 5.4618633046 * P252 * P252 + 4.2267870055 * P236 * P253 - 2.0313848595 * P236 * P316 + 0.1484978883 * P253 * P316</f>
        <v>51.910494751854898</v>
      </c>
      <c r="Q349" s="299">
        <f t="shared" si="255"/>
        <v>57.316055471372891</v>
      </c>
      <c r="R349" s="299">
        <f t="shared" si="255"/>
        <v>60.033576783753801</v>
      </c>
      <c r="S349" s="299">
        <f t="shared" si="255"/>
        <v>60.884690125334174</v>
      </c>
      <c r="T349" s="299">
        <f t="shared" si="255"/>
        <v>60.762954113199143</v>
      </c>
      <c r="U349" s="299">
        <f t="shared" si="255"/>
        <v>60.488243730038462</v>
      </c>
      <c r="W349" s="299">
        <f t="shared" ref="W349:AB349" si="256" xml:space="preserve"> -16.7992454106 + 17.2658536059 * (W251/1000) - 106.6634904715 * W236 + 0.1550376119 * W253 - 0.0727312562 * W316 + 48.6541457906 * W252 - 0.1535643762 * W253 * W253 - 0.0358142801 * W316 * W316 - 5.4618633046 * W252 * W252 + 4.2267870055 * W236 * W253 - 2.0313848595 * W236 * W316 + 0.1484978883 * W253 * W316</f>
        <v>51.776108797873775</v>
      </c>
      <c r="X349" s="299">
        <f t="shared" si="256"/>
        <v>57.222596572706266</v>
      </c>
      <c r="Y349" s="299">
        <f t="shared" si="256"/>
        <v>59.97407832913791</v>
      </c>
      <c r="Z349" s="299">
        <f t="shared" si="256"/>
        <v>60.805476982723917</v>
      </c>
      <c r="AA349" s="299">
        <f t="shared" si="256"/>
        <v>60.672412376385019</v>
      </c>
      <c r="AB349" s="299">
        <f t="shared" si="256"/>
        <v>60.390498394925089</v>
      </c>
      <c r="AD349" s="299">
        <f t="shared" ref="AD349:AI349" si="257" xml:space="preserve"> -16.7992454106 + 17.2658536059 * (AD251/1000) - 106.6634904715 * AD236 + 0.1550376119 * AD253 - 0.0727312562 * AD316 + 48.6541457906 * AD252 - 0.1535643762 * AD253 * AD253 - 0.0358142801 * AD316 * AD316 - 5.4618633046 * AD252 * AD252 + 4.2267870055 * AD236 * AD253 - 2.0313848595 * AD236 * AD316 + 0.1484978883 * AD253 * AD316</f>
        <v>51.632362876788818</v>
      </c>
      <c r="AE349" s="299">
        <f t="shared" si="257"/>
        <v>57.156475609405739</v>
      </c>
      <c r="AF349" s="299">
        <f t="shared" si="257"/>
        <v>59.895975049279301</v>
      </c>
      <c r="AG349" s="299">
        <f t="shared" si="257"/>
        <v>60.716018787690459</v>
      </c>
      <c r="AH349" s="299">
        <f t="shared" si="257"/>
        <v>60.568561014713026</v>
      </c>
      <c r="AI349" s="299">
        <f t="shared" si="257"/>
        <v>60.279731251009281</v>
      </c>
      <c r="AK349" s="299">
        <f t="shared" ref="AK349:AP349" si="258" xml:space="preserve"> -16.7992454106 + 17.2658536059 * (AK251/1000) - 106.6634904715 * AK236 + 0.1550376119 * AK253 - 0.0727312562 * AK316 + 48.6541457906 * AK252 - 0.1535643762 * AK253 * AK253 - 0.0358142801 * AK316 * AK316 - 5.4618633046 * AK252 * AK252 + 4.2267870055 * AK236 * AK253 - 2.0313848595 * AK236 * AK316 + 0.1484978883 * AK253 * AK316</f>
        <v>51.199243638821358</v>
      </c>
      <c r="AL349" s="299">
        <f t="shared" si="258"/>
        <v>57.065913145247642</v>
      </c>
      <c r="AM349" s="299">
        <f t="shared" si="258"/>
        <v>59.807489999539072</v>
      </c>
      <c r="AN349" s="299">
        <f t="shared" si="258"/>
        <v>60.614388859987457</v>
      </c>
      <c r="AO349" s="299">
        <f t="shared" si="258"/>
        <v>60.452646432680879</v>
      </c>
      <c r="AP349" s="299">
        <f t="shared" si="258"/>
        <v>60.156551736575622</v>
      </c>
      <c r="AR349" s="299">
        <f t="shared" ref="AR349:AW349" si="259" xml:space="preserve"> -16.7992454106 + 17.2658536059 * (AR251/1000) - 106.6634904715 * AR236 + 0.1550376119 * AR253 - 0.0727312562 * AR316 + 48.6541457906 * AR252 - 0.1535643762 * AR253 * AR253 - 0.0358142801 * AR316 * AR316 - 5.4618633046 * AR252 * AR252 + 4.2267870055 * AR236 * AR253 - 2.0313848595 * AR236 * AR316 + 0.1484978883 * AR253 * AR316</f>
        <v>51.129627436266425</v>
      </c>
      <c r="AS349" s="299">
        <f t="shared" si="259"/>
        <v>56.961797580322376</v>
      </c>
      <c r="AT349" s="299">
        <f t="shared" si="259"/>
        <v>59.702742213448772</v>
      </c>
      <c r="AU349" s="299">
        <f t="shared" si="259"/>
        <v>60.501137157705614</v>
      </c>
      <c r="AV349" s="299">
        <f t="shared" si="259"/>
        <v>60.324057631038869</v>
      </c>
      <c r="AW349" s="299">
        <f t="shared" si="259"/>
        <v>60.020590422447796</v>
      </c>
    </row>
    <row r="350" spans="1:58" x14ac:dyDescent="0.25">
      <c r="A350" s="298" t="s">
        <v>484</v>
      </c>
      <c r="B350" s="299">
        <f t="shared" ref="B350:G350" si="260" xml:space="preserve"> 49.3215904687 - 4.5564383267 * (B251/1000) + 31.3355706686 * B236 + 0.0864922401 * B253 - 16.201377828 * B236 * B236</f>
        <v>53.954378874327247</v>
      </c>
      <c r="C350" s="299">
        <f t="shared" si="260"/>
        <v>54.343913736532443</v>
      </c>
      <c r="D350" s="299">
        <f t="shared" si="260"/>
        <v>54.182582260957595</v>
      </c>
      <c r="E350" s="299">
        <f t="shared" si="260"/>
        <v>53.680906160604707</v>
      </c>
      <c r="F350" s="299">
        <f t="shared" si="260"/>
        <v>53.144530833046296</v>
      </c>
      <c r="G350" s="299">
        <f t="shared" si="260"/>
        <v>52.790842861934969</v>
      </c>
      <c r="I350" s="299">
        <f t="shared" ref="I350:N350" si="261" xml:space="preserve"> 49.3215904687 - 4.5564383267 * (I251/1000) + 31.3355706686 * I236 + 0.0864922401 * I253 - 16.201377828 * I236 * I236</f>
        <v>54.134196000750507</v>
      </c>
      <c r="J350" s="299">
        <f t="shared" si="261"/>
        <v>54.479866835130245</v>
      </c>
      <c r="K350" s="299">
        <f t="shared" si="261"/>
        <v>54.290014477434966</v>
      </c>
      <c r="L350" s="299">
        <f t="shared" si="261"/>
        <v>53.768016043127062</v>
      </c>
      <c r="M350" s="299">
        <f t="shared" si="261"/>
        <v>53.217775330799931</v>
      </c>
      <c r="N350" s="299">
        <f t="shared" si="261"/>
        <v>52.859573640694691</v>
      </c>
      <c r="P350" s="299">
        <f t="shared" ref="P350:U350" si="262" xml:space="preserve"> 49.3215904687 - 4.5564383267 * (P251/1000) + 31.3355706686 * P236 + 0.0864922401 * P253 - 16.201377828 * P236 * P236</f>
        <v>54.302560308235627</v>
      </c>
      <c r="Q350" s="299">
        <f t="shared" si="262"/>
        <v>54.613307917389932</v>
      </c>
      <c r="R350" s="299">
        <f t="shared" si="262"/>
        <v>54.399633726203731</v>
      </c>
      <c r="S350" s="299">
        <f t="shared" si="262"/>
        <v>53.855002320003138</v>
      </c>
      <c r="T350" s="299">
        <f t="shared" si="262"/>
        <v>53.297040940809822</v>
      </c>
      <c r="U350" s="299">
        <f t="shared" si="262"/>
        <v>52.93498943827236</v>
      </c>
      <c r="W350" s="299">
        <f t="shared" ref="W350:AB350" si="263" xml:space="preserve"> 49.3215904687 - 4.5564383267 * (W251/1000) + 31.3355706686 * W236 + 0.0864922401 * W253 - 16.201377828 * W236 * W236</f>
        <v>54.468726236896515</v>
      </c>
      <c r="X350" s="299">
        <f t="shared" si="263"/>
        <v>54.744997920004913</v>
      </c>
      <c r="Y350" s="299">
        <f t="shared" si="263"/>
        <v>54.502586730778503</v>
      </c>
      <c r="Z350" s="299">
        <f t="shared" si="263"/>
        <v>53.942803426459712</v>
      </c>
      <c r="AA350" s="299">
        <f t="shared" si="263"/>
        <v>53.375812537131495</v>
      </c>
      <c r="AB350" s="299">
        <f t="shared" si="263"/>
        <v>53.010123081629899</v>
      </c>
      <c r="AD350" s="299">
        <f t="shared" ref="AD350:AI350" si="264" xml:space="preserve"> 49.3215904687 - 4.5564383267 * (AD251/1000) + 31.3355706686 * AD236 + 0.0864922401 * AD253 - 16.201377828 * AD236 * AD236</f>
        <v>54.633440320365807</v>
      </c>
      <c r="AE350" s="299">
        <f t="shared" si="264"/>
        <v>54.874942445672175</v>
      </c>
      <c r="AF350" s="299">
        <f t="shared" si="264"/>
        <v>54.605255626300988</v>
      </c>
      <c r="AG350" s="299">
        <f t="shared" si="264"/>
        <v>54.0292369152954</v>
      </c>
      <c r="AH350" s="299">
        <f t="shared" si="264"/>
        <v>53.455535587722743</v>
      </c>
      <c r="AI350" s="299">
        <f t="shared" si="264"/>
        <v>53.087294639427043</v>
      </c>
      <c r="AK350" s="299">
        <f t="shared" ref="AK350:AP350" si="265" xml:space="preserve"> 49.3215904687 - 4.5564383267 * (AK251/1000) + 31.3355706686 * AK236 + 0.0864922401 * AK253 - 16.201377828 * AK236 * AK236</f>
        <v>54.774976861337635</v>
      </c>
      <c r="AL350" s="299">
        <f t="shared" si="265"/>
        <v>55.002708452905729</v>
      </c>
      <c r="AM350" s="299">
        <f t="shared" si="265"/>
        <v>54.706589350232555</v>
      </c>
      <c r="AN350" s="299">
        <f t="shared" si="265"/>
        <v>54.116479284340883</v>
      </c>
      <c r="AO350" s="299">
        <f t="shared" si="265"/>
        <v>53.535605941033964</v>
      </c>
      <c r="AP350" s="299">
        <f t="shared" si="265"/>
        <v>53.163239957976437</v>
      </c>
      <c r="AR350" s="299">
        <f t="shared" ref="AR350:AW350" si="266" xml:space="preserve"> 49.3215904687 - 4.5564383267 * (AR251/1000) + 31.3355706686 * AR236 + 0.0864922401 * AR253 - 16.201377828 * AR236 * AR236</f>
        <v>54.944412353300216</v>
      </c>
      <c r="AS350" s="299">
        <f t="shared" si="266"/>
        <v>55.128553478632149</v>
      </c>
      <c r="AT350" s="299">
        <f t="shared" si="266"/>
        <v>54.807699095852193</v>
      </c>
      <c r="AU350" s="299">
        <f t="shared" si="266"/>
        <v>54.205783247306584</v>
      </c>
      <c r="AV350" s="299">
        <f t="shared" si="266"/>
        <v>53.6144601987735</v>
      </c>
      <c r="AW350" s="299">
        <f t="shared" si="266"/>
        <v>53.238060387460081</v>
      </c>
    </row>
    <row r="351" spans="1:58" x14ac:dyDescent="0.25">
      <c r="A351" s="298" t="s">
        <v>513</v>
      </c>
      <c r="B351" s="364">
        <f>B5+(B342*0.00220462*B346)</f>
        <v>84.999929826400006</v>
      </c>
      <c r="C351" s="364">
        <f t="shared" ref="C351:G351" si="267">C5+(C342*0.00220462*C346)</f>
        <v>119.99992982640001</v>
      </c>
      <c r="D351" s="364">
        <f>D5+(D342*0.00220462*D346)</f>
        <v>159.99991980160002</v>
      </c>
      <c r="E351" s="364">
        <f t="shared" si="267"/>
        <v>199.99991980160002</v>
      </c>
      <c r="F351" s="364">
        <f t="shared" si="267"/>
        <v>239.99991980160002</v>
      </c>
      <c r="G351" s="364">
        <f t="shared" si="267"/>
        <v>284.9999097768</v>
      </c>
      <c r="H351" s="7"/>
      <c r="I351" s="364">
        <f>$B$351-I268</f>
        <v>84.774674958367157</v>
      </c>
      <c r="J351" s="364">
        <f>$C$351-J268</f>
        <v>119.78537729671801</v>
      </c>
      <c r="K351" s="364">
        <f>$D$351-K268</f>
        <v>159.73742380595064</v>
      </c>
      <c r="L351" s="364">
        <f>$E$351-L268</f>
        <v>199.68159656699643</v>
      </c>
      <c r="M351" s="364">
        <f>$F$351-M268</f>
        <v>239.5696584553323</v>
      </c>
      <c r="N351" s="364">
        <f>$G$351-N268</f>
        <v>284.31051491266265</v>
      </c>
      <c r="O351" s="2"/>
      <c r="P351" s="364">
        <f>$B$351-P268</f>
        <v>84.591221411361403</v>
      </c>
      <c r="Q351" s="364">
        <f>$C$351-Q268</f>
        <v>119.60784772191616</v>
      </c>
      <c r="R351" s="364">
        <f>$D$351-R268</f>
        <v>159.51052884200283</v>
      </c>
      <c r="S351" s="364">
        <f>$E$351-S268</f>
        <v>199.3773915059179</v>
      </c>
      <c r="T351" s="364">
        <f>$F$351-T268</f>
        <v>239.16164709194138</v>
      </c>
      <c r="U351" s="364">
        <f>$G$351-U268</f>
        <v>283.63557975839905</v>
      </c>
      <c r="V351" s="2"/>
      <c r="W351" s="364">
        <f>$B$351-W268</f>
        <v>84.438709572179604</v>
      </c>
      <c r="X351" s="364">
        <f>$C$351-X268</f>
        <v>119.45297815092717</v>
      </c>
      <c r="Y351" s="364">
        <f>$D$351-Y268</f>
        <v>159.28864116536596</v>
      </c>
      <c r="Z351" s="364">
        <f>$E$351-Z268</f>
        <v>199.09670400926214</v>
      </c>
      <c r="AA351" s="364">
        <f>$F$351-AA268</f>
        <v>238.77108001295238</v>
      </c>
      <c r="AB351" s="364">
        <f>$G$351-AB268</f>
        <v>282.97353247185532</v>
      </c>
      <c r="AC351" s="2"/>
      <c r="AD351" s="364">
        <f>$B$351-AD268</f>
        <v>84.317189037514012</v>
      </c>
      <c r="AE351" s="364">
        <f>$C$351-AE268</f>
        <v>119.31348156926133</v>
      </c>
      <c r="AF351" s="364">
        <f>$D$351-AF268</f>
        <v>159.09309162265021</v>
      </c>
      <c r="AG351" s="364">
        <f>$E$351-AG268</f>
        <v>198.83383222246121</v>
      </c>
      <c r="AH351" s="364">
        <f>$F$351-AH268</f>
        <v>238.38476216846632</v>
      </c>
      <c r="AI351" s="364">
        <f>$G$351-AI268</f>
        <v>282.31334052726174</v>
      </c>
      <c r="AJ351" s="2"/>
      <c r="AK351" s="364">
        <f>$B$351-AK268</f>
        <v>84.215282106764661</v>
      </c>
      <c r="AL351" s="364">
        <f>$C$351-AL268</f>
        <v>119.20184979320564</v>
      </c>
      <c r="AM351" s="364">
        <f>$D$351-AM268</f>
        <v>158.92345356278406</v>
      </c>
      <c r="AN351" s="364">
        <f>$E$351-AN268</f>
        <v>198.58243132539374</v>
      </c>
      <c r="AO351" s="364">
        <f>$F$351-AO268</f>
        <v>238.01160044142554</v>
      </c>
      <c r="AP351" s="364">
        <f>$G$351-AP268</f>
        <v>281.67367363505917</v>
      </c>
      <c r="AQ351" s="2"/>
      <c r="AR351" s="364">
        <f>$B$351-AR268</f>
        <v>84.156465721950099</v>
      </c>
      <c r="AS351" s="364">
        <f>$C$351-AS268</f>
        <v>119.11549160192362</v>
      </c>
      <c r="AT351" s="364">
        <f>$D$351-AT268</f>
        <v>158.77808269700381</v>
      </c>
      <c r="AU351" s="364">
        <f>$E$351-AU268</f>
        <v>198.34631413270952</v>
      </c>
      <c r="AV351" s="364">
        <f>$F$351-AV268</f>
        <v>237.65748786747162</v>
      </c>
      <c r="AW351" s="364">
        <f>$G$351-AW268</f>
        <v>281.05533958858598</v>
      </c>
      <c r="AX351" s="2"/>
      <c r="AY351" s="7"/>
      <c r="AZ351" s="2"/>
    </row>
    <row r="352" spans="1:58" x14ac:dyDescent="0.25">
      <c r="A352" s="298" t="s">
        <v>514</v>
      </c>
      <c r="B352" s="364">
        <v>0</v>
      </c>
      <c r="C352" s="364">
        <v>0</v>
      </c>
      <c r="D352" s="364">
        <v>0</v>
      </c>
      <c r="E352" s="364">
        <v>0</v>
      </c>
      <c r="F352" s="364">
        <v>0</v>
      </c>
      <c r="G352" s="364">
        <v>0</v>
      </c>
      <c r="H352" s="7"/>
      <c r="I352" s="364">
        <v>0</v>
      </c>
      <c r="J352" s="364">
        <v>0</v>
      </c>
      <c r="K352" s="364">
        <v>0</v>
      </c>
      <c r="L352" s="364">
        <v>0</v>
      </c>
      <c r="M352" s="364">
        <v>0</v>
      </c>
      <c r="N352" s="364">
        <v>0</v>
      </c>
      <c r="O352" s="2"/>
      <c r="P352" s="364">
        <v>0</v>
      </c>
      <c r="Q352" s="364">
        <v>0</v>
      </c>
      <c r="R352" s="364">
        <v>0</v>
      </c>
      <c r="S352" s="364">
        <v>0</v>
      </c>
      <c r="T352" s="364">
        <v>0</v>
      </c>
      <c r="U352" s="364">
        <v>0</v>
      </c>
      <c r="V352" s="2"/>
      <c r="W352" s="364">
        <v>0</v>
      </c>
      <c r="X352" s="364">
        <v>0</v>
      </c>
      <c r="Y352" s="364">
        <v>0</v>
      </c>
      <c r="Z352" s="364">
        <v>0</v>
      </c>
      <c r="AA352" s="364">
        <v>0</v>
      </c>
      <c r="AB352" s="364">
        <v>0</v>
      </c>
      <c r="AC352" s="2"/>
      <c r="AD352" s="364">
        <v>0</v>
      </c>
      <c r="AE352" s="364">
        <v>0</v>
      </c>
      <c r="AF352" s="364">
        <v>0</v>
      </c>
      <c r="AG352" s="364">
        <v>0</v>
      </c>
      <c r="AH352" s="364">
        <v>0</v>
      </c>
      <c r="AI352" s="364">
        <v>0</v>
      </c>
      <c r="AJ352" s="2"/>
      <c r="AK352" s="364">
        <v>0</v>
      </c>
      <c r="AL352" s="364">
        <v>0</v>
      </c>
      <c r="AM352" s="364">
        <v>0</v>
      </c>
      <c r="AN352" s="364">
        <v>0</v>
      </c>
      <c r="AO352" s="364">
        <v>0</v>
      </c>
      <c r="AP352" s="364">
        <v>0</v>
      </c>
      <c r="AQ352" s="2"/>
      <c r="AR352" s="364">
        <v>0</v>
      </c>
      <c r="AS352" s="364">
        <v>0</v>
      </c>
      <c r="AT352" s="364">
        <v>0</v>
      </c>
      <c r="AU352" s="364">
        <v>0</v>
      </c>
      <c r="AV352" s="364">
        <v>0</v>
      </c>
      <c r="AW352" s="364">
        <v>0</v>
      </c>
      <c r="AX352" s="2"/>
    </row>
    <row r="353" spans="1:51" ht="14.4" x14ac:dyDescent="0.3">
      <c r="A353" s="365" t="s">
        <v>515</v>
      </c>
      <c r="B353" s="462">
        <f xml:space="preserve"> 0.03492* B352 - 0.05092 * B316 - 0.06897 * B316 - 0.00289 * (B316 * B352) + 'DDGS Calculator'!$G$9</f>
        <v>73.97283598564384</v>
      </c>
      <c r="C353" s="462">
        <f xml:space="preserve"> 0.03492* C352 - 0.05092 * B316- 0.06897 * C316 - 0.00289 * (C316 * C352) + 'DDGS Calculator'!$G$9</f>
        <v>73.967856887824908</v>
      </c>
      <c r="D353" s="462">
        <f xml:space="preserve"> 0.03492* D352 - 0.05092 * C316- 0.06897 * D316 - 0.00289 * (D316 * D352) + 'DDGS Calculator'!$G$9</f>
        <v>73.959733111485349</v>
      </c>
      <c r="E353" s="462">
        <f xml:space="preserve"> 0.03492* E352 - 0.05092 * D316- 0.06897 * E316 - 0.00289 * (E316 * E352) + 'DDGS Calculator'!$G$9</f>
        <v>73.952776279957178</v>
      </c>
      <c r="F353" s="462">
        <f xml:space="preserve"> 0.03492* F352 - 0.05092 * E316- 0.06897 * F316 - 0.00289 * (F316 * F352) + 'DDGS Calculator'!$G$9</f>
        <v>73.947268075350891</v>
      </c>
      <c r="G353" s="462">
        <f xml:space="preserve"> 0.03492* G352 - 0.05092 * F316- 0.06897 * G316 - 0.00289 * (G316 * G352) + 'DDGS Calculator'!$G$9</f>
        <v>73.944010160900064</v>
      </c>
      <c r="H353" s="7"/>
      <c r="I353" s="462">
        <f xml:space="preserve"> 0.03492* I352 - 0.05092 * I316 - 0.06897 * I316 - 0.00289 * (I316 * I352) + 'DDGS Calculator'!$G$9</f>
        <v>73.828399741686923</v>
      </c>
      <c r="J353" s="462">
        <f xml:space="preserve"> 0.03492* J352 - 0.05092 * I316- 0.06897 * J316 - 0.00289 * (J316 * J352) + 'DDGS Calculator'!$G$9</f>
        <v>73.823469685187504</v>
      </c>
      <c r="K353" s="462">
        <f xml:space="preserve"> 0.03492* K352 - 0.05092 * J316- 0.06897 * K316 - 0.00289 * (K316 * K352) + 'DDGS Calculator'!$G$9</f>
        <v>73.815421891542698</v>
      </c>
      <c r="L353" s="462">
        <f xml:space="preserve"> 0.03492* L352 - 0.05092 * K316- 0.06897 * L316 - 0.00289 * (L316 * L352) + 'DDGS Calculator'!$G$9</f>
        <v>73.808383225998156</v>
      </c>
      <c r="M353" s="462">
        <f xml:space="preserve"> 0.03492* M352 - 0.05092 * L316- 0.06897 * M316 - 0.00289 * (M316 * M352) + 'DDGS Calculator'!$G$9</f>
        <v>73.802833685574498</v>
      </c>
      <c r="N353" s="462">
        <f xml:space="preserve"> 0.03492* N352 - 0.05092 * M316- 0.06897 * N316 - 0.00289 * (N316 * N352) + 'DDGS Calculator'!$G$9</f>
        <v>73.799581358208187</v>
      </c>
      <c r="O353" s="7"/>
      <c r="P353" s="462">
        <f xml:space="preserve"> 0.03492* P352 - 0.05092 * P316 - 0.06897 * P316 - 0.00289 * (P316 * P352) + 'DDGS Calculator'!$G$9</f>
        <v>73.684085265028074</v>
      </c>
      <c r="Q353" s="462">
        <f xml:space="preserve"> 0.03492* Q352 - 0.05092 * P316- 0.06897 * Q316 - 0.00289 * (Q316 * Q352) + 'DDGS Calculator'!$G$9</f>
        <v>73.679181079333631</v>
      </c>
      <c r="R353" s="462">
        <f xml:space="preserve"> 0.03492* R352 - 0.05092 * Q316- 0.06897 * R316 - 0.00289 * (R316 * R352) + 'DDGS Calculator'!$G$9</f>
        <v>73.671175292758278</v>
      </c>
      <c r="S353" s="462">
        <f xml:space="preserve"> 0.03492* S352 - 0.05092 * R316- 0.06897 * S316 - 0.00289 * (S316 * S352) + 'DDGS Calculator'!$G$9</f>
        <v>73.664142001094334</v>
      </c>
      <c r="T353" s="462">
        <f xml:space="preserve"> 0.03492* T352 - 0.05092 * S316- 0.06897 * T316 - 0.00289 * (T316 * T352) + 'DDGS Calculator'!$G$9</f>
        <v>73.658657830837186</v>
      </c>
      <c r="U353" s="462">
        <f xml:space="preserve"> 0.03492* U352 - 0.05092 * T316- 0.06897 * U316 - 0.00289 * (U316 * U352) + 'DDGS Calculator'!$G$9</f>
        <v>73.655483645307555</v>
      </c>
      <c r="V353" s="7"/>
      <c r="W353" s="462">
        <f xml:space="preserve"> 0.03492* W352 - 0.05092 * W316 - 0.06897 * W316 - 0.00289 * (W316 * W352) + 'DDGS Calculator'!$G$9</f>
        <v>73.539752700505488</v>
      </c>
      <c r="X353" s="462">
        <f xml:space="preserve"> 0.03492* X352 - 0.05092 * W316- 0.06897 * X316 - 0.00289 * (X316 * X352) + 'DDGS Calculator'!$G$9</f>
        <v>73.534871009615941</v>
      </c>
      <c r="Y353" s="462">
        <f xml:space="preserve"> 0.03492* Y352 - 0.05092 * X316- 0.06897 * Y316 - 0.00289 * (Y316 * Y352) + 'DDGS Calculator'!$G$9</f>
        <v>73.526874325262895</v>
      </c>
      <c r="Z353" s="462">
        <f xml:space="preserve"> 0.03492* Z352 - 0.05092 * Y316- 0.06897 * Z316 - 0.00289 * (Z316 * Z352) + 'DDGS Calculator'!$G$9</f>
        <v>73.519882794159642</v>
      </c>
      <c r="AA353" s="462">
        <f xml:space="preserve"> 0.03492* AA352 - 0.05092 * Z316- 0.06897 * AA316 - 0.00289 * (AA316 * AA352) + 'DDGS Calculator'!$G$9</f>
        <v>73.5144979168589</v>
      </c>
      <c r="AB353" s="462">
        <f xml:space="preserve"> 0.03492* AB352 - 0.05092 * AA316- 0.06897 * AB316 - 0.00289 * (AB316 * AB352) + 'DDGS Calculator'!$G$9</f>
        <v>73.511507306384601</v>
      </c>
      <c r="AC353" s="7"/>
      <c r="AD353" s="462">
        <f xml:space="preserve"> 0.03492* AD352 - 0.05092 * AD316 - 0.06897 * AD316 - 0.00289 * (AD316 * AD352) + 'DDGS Calculator'!$G$9</f>
        <v>73.395426256137313</v>
      </c>
      <c r="AE353" s="462">
        <f xml:space="preserve"> 0.03492* AE352 - 0.05092 * AD316- 0.06897 * AE316 - 0.00289 * (AE316 * AE352) + 'DDGS Calculator'!$G$9</f>
        <v>73.390536279064307</v>
      </c>
      <c r="AF353" s="462">
        <f xml:space="preserve"> 0.03492* AF352 - 0.05092 * AE316- 0.06897 * AF316 - 0.00289 * (AF316 * AF352) + 'DDGS Calculator'!$G$9</f>
        <v>73.382560952889435</v>
      </c>
      <c r="AG353" s="462">
        <f xml:space="preserve"> 0.03492* AG352 - 0.05092 * AF316- 0.06897 * AG316 - 0.00289 * (AG316 * AG352) + 'DDGS Calculator'!$G$9</f>
        <v>73.375689612562525</v>
      </c>
      <c r="AH353" s="462">
        <f xml:space="preserve"> 0.03492* AH352 - 0.05092 * AG316- 0.06897 * AH316 - 0.00289 * (AH316 * AH352) + 'DDGS Calculator'!$G$9</f>
        <v>73.370735227410734</v>
      </c>
      <c r="AI353" s="462">
        <f xml:space="preserve"> 0.03492* AI352 - 0.05092 * AH316- 0.06897 * AI316 - 0.00289 * (AI316 * AI352) + 'DDGS Calculator'!$G$9</f>
        <v>73.368188737265811</v>
      </c>
      <c r="AJ353" s="7"/>
      <c r="AK353" s="462">
        <f xml:space="preserve"> 0.03492* AK352 - 0.05092 * AK316 - 0.06897 * AK316 - 0.00289 * (AK316 * AK352) + 'DDGS Calculator'!$G$9</f>
        <v>73.251338161470329</v>
      </c>
      <c r="AL353" s="462">
        <f xml:space="preserve"> 0.03492* AL352 - 0.05092 * AK316- 0.06897 * AL316 - 0.00289 * (AL316 * AL352) + 'DDGS Calculator'!$G$9</f>
        <v>73.246305874624596</v>
      </c>
      <c r="AM353" s="462">
        <f xml:space="preserve"> 0.03492* AM352 - 0.05092 * AL316- 0.06897 * AM316 - 0.00289 * (AM316 * AM352) + 'DDGS Calculator'!$G$9</f>
        <v>73.238320644142092</v>
      </c>
      <c r="AN353" s="462">
        <f xml:space="preserve"> 0.03492* AN352 - 0.05092 * AM316- 0.06897 * AN316 - 0.00289 * (AN316 * AN352) + 'DDGS Calculator'!$G$9</f>
        <v>73.231805407736175</v>
      </c>
      <c r="AO353" s="462">
        <f xml:space="preserve"> 0.03492* AO352 - 0.05092 * AN316- 0.06897 * AO316 - 0.00289 * (AO316 * AO352) + 'DDGS Calculator'!$G$9</f>
        <v>73.227337036573971</v>
      </c>
      <c r="AP353" s="462">
        <f xml:space="preserve"> 0.03492* AP352 - 0.05092 * AO316- 0.06897 * AP316 - 0.00289 * (AP316 * AP352) + 'DDGS Calculator'!$G$9</f>
        <v>73.22500206393174</v>
      </c>
      <c r="AQ353" s="7"/>
      <c r="AR353" s="462">
        <f xml:space="preserve"> 0.03492* AR352 - 0.05092 * AR316 - 0.06897 * AR316 - 0.00289 * (AR316 * AR352) + 'DDGS Calculator'!$G$9</f>
        <v>73.106914285373577</v>
      </c>
      <c r="AS353" s="462">
        <f xml:space="preserve"> 0.03492* AS352 - 0.05092 * AR316- 0.06897 * AS316 - 0.00289 * (AS316 * AS352) + 'DDGS Calculator'!$G$9</f>
        <v>73.10193928363806</v>
      </c>
      <c r="AT353" s="462">
        <f xml:space="preserve"> 0.03492* AT352 - 0.05092 * AS316- 0.06897 * AT316 - 0.00289 * (AT316 * AT352) + 'DDGS Calculator'!$G$9</f>
        <v>73.094099851998521</v>
      </c>
      <c r="AU353" s="462">
        <f xml:space="preserve"> 0.03492* AU352 - 0.05092 * AT316- 0.06897 * AU316 - 0.00289 * (AU316 * AU352) + 'DDGS Calculator'!$G$9</f>
        <v>73.088199256539951</v>
      </c>
      <c r="AV353" s="462">
        <f xml:space="preserve"> 0.03492* AV352 - 0.05092 * AU316- 0.06897 * AV316 - 0.00289 * (AV316 * AV352) + 'DDGS Calculator'!$G$9</f>
        <v>73.084133600109567</v>
      </c>
      <c r="AW353" s="462">
        <f xml:space="preserve"> 0.03492* AW352 - 0.05092 * AV316- 0.06897 * AW316 - 0.00289 * (AW316 * AW352) + 'DDGS Calculator'!$G$9</f>
        <v>73.081810804134918</v>
      </c>
      <c r="AX353" s="7"/>
    </row>
    <row r="354" spans="1:51" ht="14.4" x14ac:dyDescent="0.3">
      <c r="A354" s="452"/>
      <c r="B354" s="470"/>
      <c r="C354" s="470"/>
      <c r="D354" s="470"/>
      <c r="E354" s="470"/>
      <c r="F354" s="470"/>
      <c r="G354" s="470"/>
      <c r="H354" s="7"/>
      <c r="I354" s="470"/>
      <c r="J354" s="470"/>
      <c r="K354" s="470"/>
      <c r="L354" s="470"/>
      <c r="M354" s="470"/>
      <c r="N354" s="470"/>
      <c r="O354" s="7"/>
      <c r="P354" s="470"/>
      <c r="Q354" s="470"/>
      <c r="R354" s="470"/>
      <c r="S354" s="470"/>
      <c r="T354" s="470"/>
      <c r="U354" s="470"/>
      <c r="V354" s="7"/>
      <c r="W354" s="470"/>
      <c r="X354" s="470"/>
      <c r="Y354" s="470"/>
      <c r="Z354" s="470"/>
      <c r="AA354" s="470"/>
      <c r="AB354" s="470"/>
      <c r="AC354" s="7"/>
      <c r="AD354" s="470"/>
      <c r="AE354" s="470"/>
      <c r="AF354" s="470"/>
      <c r="AG354" s="470"/>
      <c r="AH354" s="470"/>
      <c r="AI354" s="470"/>
      <c r="AJ354" s="7"/>
      <c r="AK354" s="470"/>
      <c r="AL354" s="470"/>
      <c r="AM354" s="470"/>
      <c r="AN354" s="470"/>
      <c r="AO354" s="470"/>
      <c r="AP354" s="470"/>
      <c r="AQ354" s="7"/>
      <c r="AR354" s="470"/>
      <c r="AS354" s="470"/>
      <c r="AT354" s="470"/>
      <c r="AU354" s="470"/>
      <c r="AV354" s="470"/>
      <c r="AW354" s="470"/>
      <c r="AX354" s="7"/>
    </row>
    <row r="355" spans="1:51" x14ac:dyDescent="0.25">
      <c r="I355"/>
      <c r="J355" s="52"/>
      <c r="K355" s="7"/>
      <c r="L355" s="7"/>
      <c r="M355" s="7"/>
      <c r="N355"/>
      <c r="O355" s="6"/>
      <c r="T355" s="7"/>
      <c r="U355"/>
      <c r="V355" s="6"/>
      <c r="AA355" s="7"/>
      <c r="AB355"/>
      <c r="AC355" s="6"/>
      <c r="AH355" s="7"/>
      <c r="AI355"/>
      <c r="AJ355" s="6"/>
      <c r="AO355" s="7"/>
      <c r="AP355"/>
      <c r="AQ355" s="6"/>
      <c r="AV355" s="7"/>
      <c r="AW355"/>
      <c r="AX355" s="6"/>
    </row>
    <row r="356" spans="1:51" x14ac:dyDescent="0.25">
      <c r="A356" s="71"/>
      <c r="B356" s="7"/>
      <c r="C356" s="7"/>
      <c r="D356" s="7"/>
      <c r="E356" s="7"/>
      <c r="F356" s="7"/>
      <c r="G356" s="7"/>
      <c r="I356" s="71"/>
      <c r="J356" s="7"/>
      <c r="K356" s="7"/>
      <c r="L356" s="7"/>
      <c r="M356" s="7"/>
      <c r="N356"/>
      <c r="O356" s="7"/>
      <c r="P356" s="7"/>
      <c r="Q356" s="7"/>
      <c r="R356" s="7"/>
      <c r="S356" s="7"/>
      <c r="T356" s="7"/>
      <c r="U356"/>
      <c r="V356" s="7"/>
      <c r="W356" s="7"/>
      <c r="X356" s="7"/>
      <c r="Y356" s="7"/>
      <c r="Z356" s="7"/>
      <c r="AA356" s="7"/>
      <c r="AC356" s="7"/>
      <c r="AD356" s="7"/>
      <c r="AE356" s="7"/>
      <c r="AF356" s="7"/>
      <c r="AG356" s="7"/>
      <c r="AH356" s="7"/>
      <c r="AI356"/>
      <c r="AJ356" s="7"/>
      <c r="AK356" s="7"/>
      <c r="AL356" s="7"/>
      <c r="AM356" s="7"/>
      <c r="AN356" s="7"/>
      <c r="AO356" s="7"/>
      <c r="AP356"/>
      <c r="AQ356" s="7"/>
      <c r="AR356" s="7"/>
      <c r="AS356" s="7"/>
      <c r="AT356" s="7"/>
      <c r="AU356" s="7"/>
      <c r="AV356" s="7"/>
      <c r="AX356" s="7"/>
    </row>
    <row r="357" spans="1:51" x14ac:dyDescent="0.25">
      <c r="A357" s="71"/>
      <c r="B357" s="7"/>
      <c r="C357" s="7"/>
      <c r="D357" s="7"/>
      <c r="E357" s="7"/>
      <c r="F357" s="7"/>
      <c r="G357" s="7"/>
      <c r="I357" s="71"/>
      <c r="J357" s="7"/>
      <c r="K357" s="7"/>
      <c r="L357" s="380"/>
      <c r="M357" s="380"/>
      <c r="N357" s="7"/>
      <c r="O357" s="7"/>
      <c r="P357" s="7"/>
      <c r="Q357" s="7"/>
      <c r="R357" s="7"/>
      <c r="S357" s="7"/>
      <c r="T357" s="7"/>
      <c r="U357"/>
      <c r="V357" s="7"/>
      <c r="W357" s="7"/>
      <c r="X357" s="7"/>
      <c r="Y357" s="7"/>
      <c r="Z357" s="7"/>
      <c r="AA357" s="7"/>
      <c r="AC357" s="7"/>
      <c r="AD357" s="7"/>
      <c r="AE357" s="7"/>
      <c r="AF357" s="7"/>
      <c r="AG357" s="7"/>
      <c r="AH357" s="7"/>
      <c r="AI357"/>
      <c r="AJ357" s="7"/>
      <c r="AK357" s="7"/>
      <c r="AL357" s="7"/>
      <c r="AM357" s="7"/>
      <c r="AN357" s="7"/>
      <c r="AO357" s="7"/>
      <c r="AP357"/>
      <c r="AQ357" s="7"/>
      <c r="AR357" s="7"/>
      <c r="AS357" s="7"/>
      <c r="AT357" s="7"/>
      <c r="AU357" s="7"/>
      <c r="AV357" s="7"/>
      <c r="AX357" s="7"/>
    </row>
    <row r="358" spans="1:51" x14ac:dyDescent="0.25">
      <c r="A358" s="34"/>
      <c r="B358" s="7"/>
      <c r="C358" s="7"/>
      <c r="D358" s="7"/>
      <c r="E358" s="7"/>
      <c r="F358" s="7"/>
      <c r="G358" s="7"/>
      <c r="I358" s="34"/>
      <c r="J358" s="7"/>
      <c r="K358" s="7"/>
      <c r="L358" s="380"/>
      <c r="M358" s="380"/>
      <c r="N358" s="7"/>
      <c r="O358" s="7"/>
      <c r="P358" s="7"/>
      <c r="Q358" s="7"/>
      <c r="R358" s="7"/>
      <c r="S358" s="7"/>
      <c r="T358" s="7"/>
      <c r="U358"/>
      <c r="V358" s="7"/>
      <c r="W358" s="7"/>
      <c r="X358" s="7"/>
      <c r="Y358" s="7"/>
      <c r="Z358" s="7"/>
      <c r="AA358" s="7"/>
      <c r="AC358" s="7"/>
      <c r="AD358" s="7"/>
      <c r="AE358" s="7"/>
      <c r="AF358" s="7"/>
      <c r="AG358" s="7"/>
      <c r="AH358" s="7"/>
      <c r="AI358"/>
      <c r="AJ358" s="7"/>
      <c r="AK358" s="7"/>
      <c r="AL358" s="7"/>
      <c r="AM358" s="7"/>
      <c r="AN358" s="7"/>
      <c r="AO358" s="7"/>
      <c r="AP358"/>
      <c r="AQ358" s="7"/>
      <c r="AR358" s="7"/>
      <c r="AS358" s="7"/>
      <c r="AT358" s="7"/>
      <c r="AU358" s="7"/>
      <c r="AV358" s="7"/>
      <c r="AX358" s="7"/>
    </row>
    <row r="359" spans="1:51" x14ac:dyDescent="0.25">
      <c r="A359" s="71"/>
      <c r="B359" s="7"/>
      <c r="C359" s="7"/>
      <c r="D359" s="7"/>
      <c r="E359" s="7"/>
      <c r="F359" s="7"/>
      <c r="G359" s="7"/>
      <c r="I359" s="71"/>
      <c r="J359" s="7"/>
      <c r="K359" s="7"/>
      <c r="L359" s="380"/>
      <c r="M359" s="380"/>
      <c r="N359" s="7"/>
      <c r="O359" s="7"/>
      <c r="P359" s="7"/>
      <c r="Q359" s="7"/>
      <c r="R359" s="7"/>
      <c r="S359" s="7"/>
      <c r="T359" s="7"/>
      <c r="U359"/>
      <c r="V359" s="7"/>
      <c r="W359" s="7"/>
      <c r="X359" s="7"/>
      <c r="Y359" s="7"/>
      <c r="Z359" s="7"/>
      <c r="AA359" s="7"/>
      <c r="AC359" s="7"/>
      <c r="AD359" s="7"/>
      <c r="AE359" s="7"/>
      <c r="AF359" s="7"/>
      <c r="AG359" s="7"/>
      <c r="AH359" s="7"/>
      <c r="AI359"/>
      <c r="AJ359" s="7"/>
      <c r="AK359" s="7"/>
      <c r="AL359" s="7"/>
      <c r="AM359" s="7"/>
      <c r="AN359" s="7"/>
      <c r="AO359" s="7"/>
      <c r="AP359"/>
      <c r="AQ359" s="7"/>
      <c r="AR359" s="7"/>
      <c r="AS359" s="7"/>
      <c r="AT359" s="7"/>
      <c r="AU359" s="7"/>
      <c r="AV359" s="7"/>
      <c r="AX359" s="7"/>
    </row>
    <row r="360" spans="1:51" x14ac:dyDescent="0.25">
      <c r="A360" s="71"/>
      <c r="B360" s="7"/>
      <c r="C360" s="7"/>
      <c r="D360" s="7"/>
      <c r="E360" s="7"/>
      <c r="F360" s="7"/>
      <c r="G360" s="7"/>
      <c r="I360" s="71"/>
      <c r="J360" s="7"/>
      <c r="K360" s="7"/>
      <c r="L360" s="380"/>
      <c r="M360" s="380"/>
      <c r="N360" s="7"/>
      <c r="O360" s="366"/>
      <c r="U360"/>
      <c r="V360" s="6"/>
      <c r="AB360"/>
      <c r="AC360" s="6"/>
      <c r="AI360"/>
      <c r="AJ360" s="366"/>
      <c r="AP360"/>
      <c r="AQ360" s="6"/>
      <c r="AW360"/>
      <c r="AX360" s="6"/>
    </row>
    <row r="361" spans="1:51" x14ac:dyDescent="0.25">
      <c r="A361" s="34"/>
      <c r="B361" s="7"/>
      <c r="C361" s="7"/>
      <c r="D361" s="7"/>
      <c r="E361" s="7"/>
      <c r="F361" s="7"/>
      <c r="G361" s="7"/>
      <c r="I361" s="34"/>
      <c r="J361" s="7"/>
      <c r="K361" s="7"/>
      <c r="L361" s="380"/>
      <c r="M361" s="380"/>
      <c r="N361" s="7"/>
      <c r="O361" s="7"/>
      <c r="P361" s="7"/>
      <c r="Q361" s="7"/>
      <c r="R361" s="7"/>
      <c r="S361" s="7"/>
      <c r="T361" s="7"/>
      <c r="U361"/>
      <c r="V361" s="7"/>
      <c r="W361" s="7"/>
      <c r="X361" s="7"/>
      <c r="Y361" s="7"/>
      <c r="Z361" s="7"/>
      <c r="AA361" s="7"/>
      <c r="AB361"/>
      <c r="AC361" s="7"/>
      <c r="AD361" s="7"/>
      <c r="AE361" s="7"/>
      <c r="AF361" s="7"/>
      <c r="AG361" s="7"/>
      <c r="AH361" s="7"/>
      <c r="AI361"/>
      <c r="AJ361" s="7"/>
      <c r="AK361" s="7"/>
      <c r="AL361" s="7"/>
      <c r="AM361" s="7"/>
      <c r="AN361" s="7"/>
      <c r="AO361" s="7"/>
      <c r="AP361"/>
      <c r="AQ361" s="7"/>
      <c r="AR361" s="7"/>
      <c r="AS361" s="7"/>
      <c r="AT361" s="7"/>
      <c r="AU361" s="7"/>
      <c r="AV361" s="7"/>
      <c r="AW361"/>
      <c r="AX361" s="7"/>
    </row>
    <row r="362" spans="1:51" x14ac:dyDescent="0.25">
      <c r="A362" s="71"/>
      <c r="B362" s="7"/>
      <c r="C362" s="7"/>
      <c r="D362" s="7"/>
      <c r="E362" s="7"/>
      <c r="F362" s="7"/>
      <c r="G362" s="7"/>
      <c r="I362" s="71"/>
      <c r="J362" s="7"/>
      <c r="K362" s="7"/>
      <c r="L362" s="380"/>
      <c r="M362" s="380"/>
      <c r="N362" s="7"/>
      <c r="O362" s="7"/>
      <c r="P362" s="7"/>
      <c r="Q362" s="7"/>
      <c r="R362" s="7"/>
      <c r="S362" s="7"/>
      <c r="T362" s="7"/>
      <c r="U362"/>
      <c r="V362" s="7"/>
      <c r="W362" s="7"/>
      <c r="X362" s="7"/>
      <c r="Y362" s="7"/>
      <c r="Z362" s="7"/>
      <c r="AA362" s="7"/>
      <c r="AB362"/>
      <c r="AC362" s="7"/>
      <c r="AD362" s="7"/>
      <c r="AE362" s="7"/>
      <c r="AF362" s="7"/>
      <c r="AG362" s="7"/>
      <c r="AH362" s="7"/>
      <c r="AI362"/>
      <c r="AJ362" s="7"/>
      <c r="AK362" s="7"/>
      <c r="AL362" s="7"/>
      <c r="AM362" s="7"/>
      <c r="AN362" s="7"/>
      <c r="AO362" s="7"/>
      <c r="AP362"/>
      <c r="AQ362" s="7"/>
      <c r="AR362" s="7"/>
      <c r="AS362" s="7"/>
      <c r="AT362" s="7"/>
      <c r="AU362" s="7"/>
      <c r="AV362" s="7"/>
      <c r="AW362"/>
      <c r="AX362" s="7"/>
    </row>
    <row r="363" spans="1:51" x14ac:dyDescent="0.25">
      <c r="B363" s="7"/>
      <c r="C363" s="7"/>
      <c r="D363" s="7"/>
      <c r="E363" s="7"/>
      <c r="F363" s="7"/>
      <c r="G363" s="7"/>
      <c r="I363" s="7"/>
      <c r="J363" s="7"/>
      <c r="K363" s="7"/>
      <c r="L363" s="7"/>
      <c r="M363" s="7"/>
      <c r="N363" s="7"/>
      <c r="P363" s="7"/>
      <c r="Q363" s="7"/>
      <c r="R363" s="7"/>
      <c r="S363" s="7"/>
      <c r="T363" s="7"/>
      <c r="U363" s="7"/>
      <c r="W363" s="7"/>
      <c r="X363" s="7"/>
      <c r="Y363" s="7"/>
      <c r="Z363" s="7"/>
      <c r="AA363" s="7"/>
      <c r="AB363" s="7"/>
      <c r="AD363" s="7"/>
      <c r="AE363" s="7"/>
      <c r="AF363" s="7"/>
      <c r="AG363" s="7"/>
      <c r="AH363" s="7"/>
      <c r="AI363" s="7"/>
      <c r="AK363" s="7"/>
      <c r="AL363" s="7"/>
      <c r="AM363" s="7"/>
      <c r="AN363" s="7"/>
      <c r="AO363" s="7"/>
      <c r="AP363" s="7"/>
      <c r="AR363" s="7"/>
      <c r="AS363" s="7"/>
      <c r="AT363" s="7"/>
      <c r="AU363" s="7"/>
      <c r="AV363" s="7"/>
      <c r="AW363" s="7"/>
    </row>
    <row r="364" spans="1:51" x14ac:dyDescent="0.25">
      <c r="A364" s="71"/>
    </row>
    <row r="365" spans="1:51" x14ac:dyDescent="0.25">
      <c r="A365" s="71"/>
      <c r="B365" s="7"/>
      <c r="C365" s="7"/>
      <c r="D365" s="7"/>
      <c r="E365" s="7"/>
      <c r="F365" s="7"/>
      <c r="G365" s="7"/>
      <c r="H365" s="7"/>
      <c r="I365" s="416"/>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x14ac:dyDescent="0.25">
      <c r="A366" s="34"/>
      <c r="B366" s="7"/>
      <c r="C366" s="7"/>
      <c r="D366" s="7"/>
      <c r="E366" s="7"/>
      <c r="F366" s="7"/>
      <c r="G366" s="7"/>
      <c r="I366" s="416"/>
      <c r="J366" s="416"/>
      <c r="K366" s="416"/>
      <c r="L366" s="416"/>
      <c r="M366" s="416"/>
      <c r="N366" s="416"/>
    </row>
    <row r="367" spans="1:51" x14ac:dyDescent="0.25">
      <c r="A367" s="71"/>
      <c r="B367" s="7"/>
      <c r="C367" s="7"/>
      <c r="D367" s="7"/>
      <c r="E367" s="7"/>
      <c r="F367" s="7"/>
      <c r="G367" s="7"/>
      <c r="I367" s="416"/>
      <c r="J367" s="416"/>
      <c r="K367" s="416"/>
      <c r="L367" s="416"/>
      <c r="M367" s="416"/>
      <c r="N367" s="416"/>
    </row>
    <row r="368" spans="1:51" x14ac:dyDescent="0.25">
      <c r="A368" s="71"/>
      <c r="B368" s="7"/>
      <c r="C368" s="7"/>
      <c r="D368" s="7"/>
      <c r="E368" s="7"/>
      <c r="F368" s="7"/>
      <c r="G368" s="7"/>
      <c r="I368" s="416"/>
      <c r="J368" s="416"/>
      <c r="K368" s="416"/>
      <c r="L368" s="416"/>
      <c r="M368" s="416"/>
      <c r="N368" s="416"/>
    </row>
    <row r="369" spans="1:14" x14ac:dyDescent="0.25">
      <c r="A369" s="34"/>
      <c r="B369" s="7"/>
      <c r="C369" s="7"/>
      <c r="D369" s="7"/>
      <c r="E369" s="7"/>
      <c r="F369" s="7"/>
      <c r="G369" s="7"/>
      <c r="I369" s="416"/>
      <c r="J369" s="416"/>
      <c r="K369" s="416"/>
      <c r="L369" s="416"/>
      <c r="M369" s="416"/>
      <c r="N369" s="416"/>
    </row>
    <row r="370" spans="1:14" x14ac:dyDescent="0.25">
      <c r="A370" s="71"/>
      <c r="B370" s="7"/>
      <c r="C370" s="7"/>
      <c r="D370" s="7"/>
      <c r="E370" s="7"/>
      <c r="F370" s="7"/>
      <c r="G370" s="7"/>
      <c r="I370" s="416"/>
      <c r="J370" s="416"/>
      <c r="K370" s="416"/>
      <c r="L370" s="416"/>
      <c r="M370" s="416"/>
      <c r="N370" s="416"/>
    </row>
    <row r="373" spans="1:14" x14ac:dyDescent="0.25">
      <c r="B373" s="7"/>
      <c r="C373" s="7"/>
      <c r="D373" s="7"/>
      <c r="E373" s="7"/>
      <c r="F373" s="7"/>
      <c r="G373" s="7"/>
    </row>
    <row r="374" spans="1:14" x14ac:dyDescent="0.25">
      <c r="B374" s="7"/>
      <c r="C374" s="7"/>
      <c r="D374" s="7"/>
      <c r="E374" s="7"/>
      <c r="F374" s="7"/>
      <c r="G374" s="7"/>
    </row>
    <row r="375" spans="1:14" x14ac:dyDescent="0.25">
      <c r="B375" s="7"/>
      <c r="C375" s="7"/>
      <c r="D375" s="7"/>
      <c r="E375" s="7"/>
      <c r="F375" s="7"/>
      <c r="G375" s="7"/>
    </row>
    <row r="376" spans="1:14" x14ac:dyDescent="0.25">
      <c r="B376" s="7"/>
      <c r="C376" s="7"/>
      <c r="D376" s="7"/>
      <c r="E376" s="7"/>
      <c r="F376" s="7"/>
      <c r="G376" s="7"/>
    </row>
    <row r="377" spans="1:14" x14ac:dyDescent="0.25">
      <c r="B377" s="7"/>
      <c r="C377" s="7"/>
      <c r="D377" s="7"/>
      <c r="E377" s="7"/>
      <c r="F377" s="7"/>
      <c r="G377" s="7"/>
    </row>
    <row r="378" spans="1:14" x14ac:dyDescent="0.25">
      <c r="B378" s="7"/>
      <c r="C378" s="7"/>
      <c r="D378" s="7"/>
      <c r="E378" s="7"/>
      <c r="F378" s="7"/>
      <c r="G378" s="7"/>
    </row>
  </sheetData>
  <dataConsolidate link="1"/>
  <mergeCells count="7">
    <mergeCell ref="AR4:AV4"/>
    <mergeCell ref="I4:M4"/>
    <mergeCell ref="C4:F4"/>
    <mergeCell ref="P4:T4"/>
    <mergeCell ref="W4:AA4"/>
    <mergeCell ref="AD4:AH4"/>
    <mergeCell ref="AK4:AO4"/>
  </mergeCells>
  <phoneticPr fontId="45" type="noConversion"/>
  <conditionalFormatting sqref="B273:N280 P273:U280 W273:AB280 AD273:AI280 AK273:AP280 AR273:AW280 O274:O281">
    <cfRule type="cellIs" dxfId="247" priority="31" stopIfTrue="1" operator="greaterThan">
      <formula>B237/100</formula>
    </cfRule>
  </conditionalFormatting>
  <conditionalFormatting sqref="B281:N281 P281:U281 O282">
    <cfRule type="cellIs" dxfId="246" priority="30" stopIfTrue="1" operator="greaterThan">
      <formula>B258</formula>
    </cfRule>
  </conditionalFormatting>
  <conditionalFormatting sqref="B283:N283 P283:U283 O284">
    <cfRule type="cellIs" dxfId="245" priority="29" stopIfTrue="1" operator="greaterThan">
      <formula>B257</formula>
    </cfRule>
  </conditionalFormatting>
  <conditionalFormatting sqref="B284:N284 P284:U284 O285">
    <cfRule type="cellIs" dxfId="244" priority="25" stopIfTrue="1" operator="greaterThan">
      <formula>B254</formula>
    </cfRule>
  </conditionalFormatting>
  <conditionalFormatting sqref="B285:N285 P285:U285 O286">
    <cfRule type="cellIs" dxfId="243" priority="28" stopIfTrue="1" operator="greaterThan">
      <formula>B254/B255</formula>
    </cfRule>
  </conditionalFormatting>
  <conditionalFormatting sqref="B286:N286 P286:U286 O287">
    <cfRule type="cellIs" dxfId="242" priority="27" stopIfTrue="1" operator="lessThan">
      <formula>B254/B255</formula>
    </cfRule>
  </conditionalFormatting>
  <conditionalFormatting sqref="B290:N290 P290:U290">
    <cfRule type="cellIs" dxfId="241" priority="26" stopIfTrue="1" operator="lessThan">
      <formula>B300</formula>
    </cfRule>
  </conditionalFormatting>
  <conditionalFormatting sqref="W281:AB281">
    <cfRule type="cellIs" dxfId="240" priority="23" stopIfTrue="1" operator="greaterThan">
      <formula>W258</formula>
    </cfRule>
  </conditionalFormatting>
  <conditionalFormatting sqref="W283:AB283">
    <cfRule type="cellIs" dxfId="239" priority="22" stopIfTrue="1" operator="greaterThan">
      <formula>W257</formula>
    </cfRule>
  </conditionalFormatting>
  <conditionalFormatting sqref="W284:AB284">
    <cfRule type="cellIs" dxfId="238" priority="19" stopIfTrue="1" operator="greaterThan">
      <formula>W254</formula>
    </cfRule>
  </conditionalFormatting>
  <conditionalFormatting sqref="W285:AB285">
    <cfRule type="cellIs" dxfId="237" priority="21" stopIfTrue="1" operator="greaterThan">
      <formula>W254/W255</formula>
    </cfRule>
  </conditionalFormatting>
  <conditionalFormatting sqref="W286:AB286">
    <cfRule type="cellIs" dxfId="236" priority="20" stopIfTrue="1" operator="lessThan">
      <formula>W254/W255</formula>
    </cfRule>
  </conditionalFormatting>
  <conditionalFormatting sqref="W290:AB290">
    <cfRule type="cellIs" dxfId="235" priority="24" stopIfTrue="1" operator="lessThan">
      <formula>W300</formula>
    </cfRule>
  </conditionalFormatting>
  <conditionalFormatting sqref="AD281:AI281">
    <cfRule type="cellIs" dxfId="234" priority="17" stopIfTrue="1" operator="greaterThan">
      <formula>AD258</formula>
    </cfRule>
  </conditionalFormatting>
  <conditionalFormatting sqref="AD283:AI283">
    <cfRule type="cellIs" dxfId="233" priority="16" stopIfTrue="1" operator="greaterThan">
      <formula>AD257</formula>
    </cfRule>
  </conditionalFormatting>
  <conditionalFormatting sqref="AD284:AI284">
    <cfRule type="cellIs" dxfId="232" priority="13" stopIfTrue="1" operator="greaterThan">
      <formula>AD254</formula>
    </cfRule>
  </conditionalFormatting>
  <conditionalFormatting sqref="AD285:AI285">
    <cfRule type="cellIs" dxfId="231" priority="15" stopIfTrue="1" operator="greaterThan">
      <formula>AD254/AD255</formula>
    </cfRule>
  </conditionalFormatting>
  <conditionalFormatting sqref="AD286:AI286">
    <cfRule type="cellIs" dxfId="230" priority="14" stopIfTrue="1" operator="lessThan">
      <formula>AD254/AD255</formula>
    </cfRule>
  </conditionalFormatting>
  <conditionalFormatting sqref="AD290:AI290">
    <cfRule type="cellIs" dxfId="229" priority="18" stopIfTrue="1" operator="lessThan">
      <formula>AD300</formula>
    </cfRule>
  </conditionalFormatting>
  <conditionalFormatting sqref="AK281:AP281">
    <cfRule type="cellIs" dxfId="228" priority="11" stopIfTrue="1" operator="greaterThan">
      <formula>AK258</formula>
    </cfRule>
  </conditionalFormatting>
  <conditionalFormatting sqref="AK283:AP283">
    <cfRule type="cellIs" dxfId="227" priority="10" stopIfTrue="1" operator="greaterThan">
      <formula>AK257</formula>
    </cfRule>
  </conditionalFormatting>
  <conditionalFormatting sqref="AK284:AP284">
    <cfRule type="cellIs" dxfId="226" priority="7" stopIfTrue="1" operator="greaterThan">
      <formula>AK254</formula>
    </cfRule>
  </conditionalFormatting>
  <conditionalFormatting sqref="AK285:AP285">
    <cfRule type="cellIs" dxfId="225" priority="9" stopIfTrue="1" operator="greaterThan">
      <formula>AK254/AK255</formula>
    </cfRule>
  </conditionalFormatting>
  <conditionalFormatting sqref="AK286:AP286">
    <cfRule type="cellIs" dxfId="224" priority="8" stopIfTrue="1" operator="lessThan">
      <formula>AK254/AK255</formula>
    </cfRule>
  </conditionalFormatting>
  <conditionalFormatting sqref="AK290:AP290">
    <cfRule type="cellIs" dxfId="223" priority="12" stopIfTrue="1" operator="lessThan">
      <formula>AK300</formula>
    </cfRule>
  </conditionalFormatting>
  <conditionalFormatting sqref="AR281:AW281">
    <cfRule type="cellIs" dxfId="222" priority="5" stopIfTrue="1" operator="greaterThan">
      <formula>AR258</formula>
    </cfRule>
  </conditionalFormatting>
  <conditionalFormatting sqref="AR283:AW283">
    <cfRule type="cellIs" dxfId="221" priority="4" stopIfTrue="1" operator="greaterThan">
      <formula>AR257</formula>
    </cfRule>
  </conditionalFormatting>
  <conditionalFormatting sqref="AR284:AW284">
    <cfRule type="cellIs" dxfId="220" priority="1" stopIfTrue="1" operator="greaterThan">
      <formula>AR254</formula>
    </cfRule>
  </conditionalFormatting>
  <conditionalFormatting sqref="AR285:AW285">
    <cfRule type="cellIs" dxfId="219" priority="3" stopIfTrue="1" operator="greaterThan">
      <formula>AR254/AR255</formula>
    </cfRule>
  </conditionalFormatting>
  <conditionalFormatting sqref="AR286:AW286">
    <cfRule type="cellIs" dxfId="218" priority="2" stopIfTrue="1" operator="lessThan">
      <formula>AR254/AR255</formula>
    </cfRule>
  </conditionalFormatting>
  <conditionalFormatting sqref="AR290:AW290">
    <cfRule type="cellIs" dxfId="217" priority="6" stopIfTrue="1" operator="lessThan">
      <formula>AR300</formula>
    </cfRule>
  </conditionalFormatting>
  <dataValidations count="2">
    <dataValidation type="list" allowBlank="1" showInputMessage="1" showErrorMessage="1" sqref="A7" xr:uid="{07139093-21A7-4B21-8D92-10AFC212D262}">
      <formula1>$A$9:$A$10</formula1>
    </dataValidation>
    <dataValidation type="list" allowBlank="1" showInputMessage="1" showErrorMessage="1" sqref="A8" xr:uid="{88633654-88B6-4352-B148-2F43A1ADA43E}">
      <formula1>$A$78:$A$80</formula1>
    </dataValidation>
  </dataValidations>
  <pageMargins left="0.41" right="0.28999999999999998" top="0.89" bottom="0.83" header="0.5" footer="0.5"/>
  <pageSetup pageOrder="overThenDown" orientation="landscape" r:id="rId1"/>
  <headerFooter alignWithMargins="0">
    <oddHeader>&amp;A</oddHeader>
    <oddFooter>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3DA97-A708-184D-B0B9-E76C0EBE5C08}">
  <sheetPr codeName="Sheet3">
    <tabColor theme="3" tint="0.79998168889431442"/>
  </sheetPr>
  <dimension ref="A1:BG378"/>
  <sheetViews>
    <sheetView zoomScaleNormal="100" workbookViewId="0">
      <pane xSplit="1" ySplit="6" topLeftCell="B7" activePane="bottomRight" state="frozen"/>
      <selection activeCell="A273" sqref="A273:XFD273"/>
      <selection pane="topRight" activeCell="A273" sqref="A273:XFD273"/>
      <selection pane="bottomLeft" activeCell="A273" sqref="A273:XFD273"/>
      <selection pane="bottomRight" activeCell="J374" sqref="J374"/>
    </sheetView>
  </sheetViews>
  <sheetFormatPr defaultColWidth="8.77734375" defaultRowHeight="13.2" x14ac:dyDescent="0.25"/>
  <cols>
    <col min="1" max="1" width="41" bestFit="1" customWidth="1"/>
    <col min="2" max="14" width="10.109375" style="6" customWidth="1"/>
    <col min="15" max="15" width="10.109375" customWidth="1"/>
    <col min="16" max="21" width="10.109375" style="6" customWidth="1"/>
    <col min="23" max="28" width="10.109375" style="6" customWidth="1"/>
    <col min="30" max="35" width="10.109375" style="6" customWidth="1"/>
    <col min="37" max="42" width="10.109375" style="6" customWidth="1"/>
    <col min="44" max="49" width="10.109375" style="6" customWidth="1"/>
  </cols>
  <sheetData>
    <row r="1" spans="1:49" x14ac:dyDescent="0.25">
      <c r="A1" t="s">
        <v>1</v>
      </c>
      <c r="I1" s="8">
        <f>B7-I7</f>
        <v>78.847932538945088</v>
      </c>
      <c r="J1" s="8">
        <f t="shared" ref="J1:N2" si="0">C7-J7</f>
        <v>78.990904656930297</v>
      </c>
      <c r="K1" s="8">
        <f t="shared" si="0"/>
        <v>78.732847708260579</v>
      </c>
      <c r="L1" s="8">
        <f t="shared" si="0"/>
        <v>78.350814532472214</v>
      </c>
      <c r="M1" s="8">
        <f t="shared" si="0"/>
        <v>78.625314003523499</v>
      </c>
      <c r="N1" s="8">
        <f t="shared" si="0"/>
        <v>78.437274248473614</v>
      </c>
      <c r="P1" s="8">
        <f>I7-P7</f>
        <v>78.869446714110154</v>
      </c>
      <c r="Q1" s="8">
        <f t="shared" ref="Q1:U2" si="1">J7-Q7</f>
        <v>78.910241852682702</v>
      </c>
      <c r="R1" s="8">
        <f t="shared" si="1"/>
        <v>78.971817812852578</v>
      </c>
      <c r="S1" s="8">
        <f t="shared" si="1"/>
        <v>78.947597993782438</v>
      </c>
      <c r="T1" s="8">
        <f t="shared" si="1"/>
        <v>79.007989930308668</v>
      </c>
      <c r="U1" s="8">
        <f t="shared" si="1"/>
        <v>79.07070378697199</v>
      </c>
      <c r="W1" s="8">
        <f>P7-W7</f>
        <v>78.901632467544005</v>
      </c>
      <c r="X1" s="8">
        <f t="shared" ref="X1:AB2" si="2">Q7-X7</f>
        <v>78.948872278436511</v>
      </c>
      <c r="Y1" s="8">
        <f t="shared" si="2"/>
        <v>78.879611969325424</v>
      </c>
      <c r="Z1" s="8">
        <f t="shared" si="2"/>
        <v>78.834660770078244</v>
      </c>
      <c r="AA1" s="8">
        <f t="shared" si="2"/>
        <v>79.083790296524739</v>
      </c>
      <c r="AB1" s="8">
        <f t="shared" si="2"/>
        <v>79.937689057569969</v>
      </c>
      <c r="AD1" s="8">
        <f>W7-AD7</f>
        <v>78.941135212754148</v>
      </c>
      <c r="AE1" s="8">
        <f t="shared" ref="AE1:AI2" si="3">X7-AE7</f>
        <v>78.923722167716278</v>
      </c>
      <c r="AF1" s="8">
        <f t="shared" si="3"/>
        <v>78.778889522292275</v>
      </c>
      <c r="AG1" s="8">
        <f t="shared" si="3"/>
        <v>79.150340635518887</v>
      </c>
      <c r="AH1" s="8">
        <f t="shared" si="3"/>
        <v>81.585366228283192</v>
      </c>
      <c r="AI1" s="8">
        <f t="shared" si="3"/>
        <v>82.443243658264919</v>
      </c>
      <c r="AK1" s="8">
        <f>AD7-AK7</f>
        <v>79.21829355550733</v>
      </c>
      <c r="AL1" s="8">
        <f t="shared" ref="AL1:AP2" si="4">AE7-AL7</f>
        <v>78.919632197342935</v>
      </c>
      <c r="AM1" s="8">
        <f t="shared" si="4"/>
        <v>79.078660894961104</v>
      </c>
      <c r="AN1" s="8">
        <f t="shared" si="4"/>
        <v>81.302066593328163</v>
      </c>
      <c r="AO1" s="8">
        <f t="shared" si="4"/>
        <v>82.216761385820291</v>
      </c>
      <c r="AP1" s="8">
        <f t="shared" si="4"/>
        <v>82.235291328483981</v>
      </c>
      <c r="AR1" s="8">
        <f>AK7-AR7</f>
        <v>78.801706942857095</v>
      </c>
      <c r="AS1" s="8">
        <f t="shared" ref="AS1:AW2" si="5">AL7-AS7</f>
        <v>78.921885944682913</v>
      </c>
      <c r="AT1" s="8">
        <f t="shared" si="5"/>
        <v>79.64106076521557</v>
      </c>
      <c r="AU1" s="8">
        <f t="shared" si="5"/>
        <v>82.20833215019411</v>
      </c>
      <c r="AV1" s="8">
        <f t="shared" si="5"/>
        <v>82.262159022385049</v>
      </c>
      <c r="AW1" s="8">
        <f t="shared" si="5"/>
        <v>82.278653501357439</v>
      </c>
    </row>
    <row r="2" spans="1:49" x14ac:dyDescent="0.25">
      <c r="A2" t="s">
        <v>569</v>
      </c>
      <c r="I2" s="8">
        <f>B8-I8</f>
        <v>30.448349711621177</v>
      </c>
      <c r="J2" s="8">
        <f t="shared" si="0"/>
        <v>30.438309534796645</v>
      </c>
      <c r="K2" s="8">
        <f t="shared" si="0"/>
        <v>30.45643151152899</v>
      </c>
      <c r="L2" s="8">
        <f t="shared" si="0"/>
        <v>30.483259683986034</v>
      </c>
      <c r="M2" s="8">
        <f t="shared" si="0"/>
        <v>30.463983035737783</v>
      </c>
      <c r="N2" s="8">
        <f t="shared" si="0"/>
        <v>30.477188074716196</v>
      </c>
      <c r="P2" s="8">
        <f>I8-P8</f>
        <v>30.44683888471377</v>
      </c>
      <c r="Q2" s="8">
        <f t="shared" si="1"/>
        <v>30.44397405756672</v>
      </c>
      <c r="R2" s="8">
        <f t="shared" si="1"/>
        <v>30.439649903060399</v>
      </c>
      <c r="S2" s="8">
        <f t="shared" si="1"/>
        <v>30.441350733051195</v>
      </c>
      <c r="T2" s="8">
        <f t="shared" si="1"/>
        <v>30.437109726272865</v>
      </c>
      <c r="U2" s="8">
        <f t="shared" si="1"/>
        <v>30.432705663304887</v>
      </c>
      <c r="W2" s="8">
        <f>P8-W8</f>
        <v>30.444578649219693</v>
      </c>
      <c r="X2" s="8">
        <f t="shared" si="2"/>
        <v>30.4412612467695</v>
      </c>
      <c r="Y2" s="8">
        <f t="shared" si="2"/>
        <v>30.44612503252165</v>
      </c>
      <c r="Z2" s="8">
        <f t="shared" si="2"/>
        <v>30.449281717861595</v>
      </c>
      <c r="AA2" s="8">
        <f t="shared" si="2"/>
        <v>30.431786666847302</v>
      </c>
      <c r="AB2" s="8">
        <f t="shared" si="2"/>
        <v>30.371821866212031</v>
      </c>
      <c r="AD2" s="8">
        <f>W8-AD8</f>
        <v>30.44180458003359</v>
      </c>
      <c r="AE2" s="8">
        <f t="shared" si="3"/>
        <v>30.44302740622993</v>
      </c>
      <c r="AF2" s="8">
        <f t="shared" si="3"/>
        <v>30.453198238071764</v>
      </c>
      <c r="AG2" s="8">
        <f t="shared" si="3"/>
        <v>30.427113187985697</v>
      </c>
      <c r="AH2" s="8">
        <f t="shared" si="3"/>
        <v>30.256114199729609</v>
      </c>
      <c r="AI2" s="8">
        <f t="shared" si="3"/>
        <v>30.195869998186254</v>
      </c>
      <c r="AK2" s="8">
        <f>AD8-AK8</f>
        <v>30.422341213267259</v>
      </c>
      <c r="AL2" s="8">
        <f t="shared" si="4"/>
        <v>30.443314623250672</v>
      </c>
      <c r="AM2" s="8">
        <f t="shared" si="4"/>
        <v>30.43214687763134</v>
      </c>
      <c r="AN2" s="8">
        <f t="shared" si="4"/>
        <v>30.276008837015979</v>
      </c>
      <c r="AO2" s="8">
        <f t="shared" si="4"/>
        <v>30.211774652149643</v>
      </c>
      <c r="AP2" s="8">
        <f t="shared" si="4"/>
        <v>30.210473392131007</v>
      </c>
      <c r="AR2" s="8">
        <f>AK8-AR8</f>
        <v>30.451595891121883</v>
      </c>
      <c r="AS2" s="8">
        <f>AL8-AS8</f>
        <v>30.443156354476855</v>
      </c>
      <c r="AT2" s="8">
        <f>AM8-AT8</f>
        <v>30.392652504720218</v>
      </c>
      <c r="AU2" s="8">
        <f t="shared" si="5"/>
        <v>30.212366592853868</v>
      </c>
      <c r="AV2" s="8">
        <f t="shared" si="5"/>
        <v>30.208586615874083</v>
      </c>
      <c r="AW2" s="8">
        <f t="shared" si="5"/>
        <v>30.207428295721684</v>
      </c>
    </row>
    <row r="3" spans="1:49" ht="15.6" x14ac:dyDescent="0.3">
      <c r="A3" s="4"/>
      <c r="B3" s="196" t="s">
        <v>37</v>
      </c>
      <c r="C3" s="196" t="s">
        <v>38</v>
      </c>
      <c r="D3" s="196" t="s">
        <v>39</v>
      </c>
      <c r="E3" s="196" t="s">
        <v>40</v>
      </c>
      <c r="F3" s="196" t="s">
        <v>41</v>
      </c>
      <c r="G3" s="196" t="s">
        <v>141</v>
      </c>
      <c r="H3" s="196"/>
      <c r="I3" s="196" t="s">
        <v>37</v>
      </c>
      <c r="J3" s="196" t="s">
        <v>38</v>
      </c>
      <c r="K3" s="196" t="s">
        <v>39</v>
      </c>
      <c r="L3" s="196" t="s">
        <v>40</v>
      </c>
      <c r="M3" s="196" t="s">
        <v>41</v>
      </c>
      <c r="N3" s="196" t="s">
        <v>141</v>
      </c>
      <c r="O3" s="196"/>
      <c r="P3" s="196" t="s">
        <v>37</v>
      </c>
      <c r="Q3" s="196" t="s">
        <v>38</v>
      </c>
      <c r="R3" s="196" t="s">
        <v>39</v>
      </c>
      <c r="S3" s="196" t="s">
        <v>40</v>
      </c>
      <c r="T3" s="196" t="s">
        <v>41</v>
      </c>
      <c r="U3" s="196" t="s">
        <v>141</v>
      </c>
      <c r="W3" s="297" t="s">
        <v>37</v>
      </c>
      <c r="X3" s="196" t="s">
        <v>38</v>
      </c>
      <c r="Y3" s="196" t="s">
        <v>39</v>
      </c>
      <c r="Z3" s="196" t="s">
        <v>40</v>
      </c>
      <c r="AA3" s="196" t="s">
        <v>41</v>
      </c>
      <c r="AB3" s="196" t="s">
        <v>141</v>
      </c>
      <c r="AD3" s="196" t="s">
        <v>37</v>
      </c>
      <c r="AE3" s="196" t="s">
        <v>38</v>
      </c>
      <c r="AF3" s="196" t="s">
        <v>39</v>
      </c>
      <c r="AG3" s="196" t="s">
        <v>40</v>
      </c>
      <c r="AH3" s="196" t="s">
        <v>41</v>
      </c>
      <c r="AI3" s="196" t="s">
        <v>141</v>
      </c>
      <c r="AK3" s="196" t="s">
        <v>37</v>
      </c>
      <c r="AL3" s="196" t="s">
        <v>38</v>
      </c>
      <c r="AM3" s="196" t="s">
        <v>39</v>
      </c>
      <c r="AN3" s="196" t="s">
        <v>40</v>
      </c>
      <c r="AO3" s="196" t="s">
        <v>41</v>
      </c>
      <c r="AP3" s="196" t="s">
        <v>141</v>
      </c>
      <c r="AR3" s="196" t="s">
        <v>37</v>
      </c>
      <c r="AS3" s="196" t="s">
        <v>38</v>
      </c>
      <c r="AT3" s="196" t="s">
        <v>39</v>
      </c>
      <c r="AU3" s="196" t="s">
        <v>40</v>
      </c>
      <c r="AV3" s="196" t="s">
        <v>41</v>
      </c>
      <c r="AW3" s="196" t="s">
        <v>141</v>
      </c>
    </row>
    <row r="4" spans="1:49" ht="12.75" customHeight="1" x14ac:dyDescent="0.25">
      <c r="B4" s="565" t="s">
        <v>72</v>
      </c>
      <c r="C4" s="565"/>
      <c r="D4" s="565"/>
      <c r="E4" s="565"/>
      <c r="F4" s="565"/>
      <c r="G4" s="75"/>
      <c r="I4" s="565" t="s">
        <v>72</v>
      </c>
      <c r="J4" s="565"/>
      <c r="K4" s="565"/>
      <c r="L4" s="565"/>
      <c r="M4" s="565"/>
      <c r="N4" s="75"/>
      <c r="O4" s="6"/>
      <c r="P4" s="565" t="s">
        <v>72</v>
      </c>
      <c r="Q4" s="565"/>
      <c r="R4" s="565"/>
      <c r="S4" s="565"/>
      <c r="T4" s="565"/>
      <c r="U4" s="75"/>
      <c r="W4" s="565" t="s">
        <v>72</v>
      </c>
      <c r="X4" s="565"/>
      <c r="Y4" s="565"/>
      <c r="Z4" s="565"/>
      <c r="AA4" s="565"/>
      <c r="AB4" s="75"/>
      <c r="AD4" s="565" t="s">
        <v>72</v>
      </c>
      <c r="AE4" s="565"/>
      <c r="AF4" s="565"/>
      <c r="AG4" s="565"/>
      <c r="AH4" s="565"/>
      <c r="AI4" s="75"/>
      <c r="AK4" s="565" t="s">
        <v>72</v>
      </c>
      <c r="AL4" s="565"/>
      <c r="AM4" s="565"/>
      <c r="AN4" s="565"/>
      <c r="AO4" s="565"/>
      <c r="AP4" s="75"/>
      <c r="AR4" s="565" t="s">
        <v>72</v>
      </c>
      <c r="AS4" s="565"/>
      <c r="AT4" s="565"/>
      <c r="AU4" s="565"/>
      <c r="AV4" s="565"/>
      <c r="AW4" s="75"/>
    </row>
    <row r="5" spans="1:49" x14ac:dyDescent="0.25">
      <c r="B5" s="376">
        <v>50</v>
      </c>
      <c r="C5" s="376">
        <v>85</v>
      </c>
      <c r="D5" s="376">
        <v>120</v>
      </c>
      <c r="E5" s="376">
        <v>160</v>
      </c>
      <c r="F5" s="376">
        <v>200</v>
      </c>
      <c r="G5" s="376">
        <v>240</v>
      </c>
      <c r="H5" s="99"/>
      <c r="I5" s="376">
        <v>50</v>
      </c>
      <c r="J5" s="376">
        <v>85</v>
      </c>
      <c r="K5" s="376">
        <v>120</v>
      </c>
      <c r="L5" s="376">
        <v>160</v>
      </c>
      <c r="M5" s="376">
        <v>200</v>
      </c>
      <c r="N5" s="376">
        <v>240</v>
      </c>
      <c r="O5" s="99"/>
      <c r="P5" s="376">
        <v>50</v>
      </c>
      <c r="Q5" s="376">
        <v>85</v>
      </c>
      <c r="R5" s="376">
        <v>120</v>
      </c>
      <c r="S5" s="376">
        <v>160</v>
      </c>
      <c r="T5" s="376">
        <v>200</v>
      </c>
      <c r="U5" s="376">
        <v>240</v>
      </c>
      <c r="W5" s="376">
        <v>50</v>
      </c>
      <c r="X5" s="376">
        <v>85</v>
      </c>
      <c r="Y5" s="376">
        <v>120</v>
      </c>
      <c r="Z5" s="376">
        <v>160</v>
      </c>
      <c r="AA5" s="376">
        <v>200</v>
      </c>
      <c r="AB5" s="376">
        <v>240</v>
      </c>
      <c r="AD5" s="376">
        <v>50</v>
      </c>
      <c r="AE5" s="376">
        <v>85</v>
      </c>
      <c r="AF5" s="376">
        <v>120</v>
      </c>
      <c r="AG5" s="376">
        <v>160</v>
      </c>
      <c r="AH5" s="376">
        <v>200</v>
      </c>
      <c r="AI5" s="376">
        <v>240</v>
      </c>
      <c r="AK5" s="376">
        <v>50</v>
      </c>
      <c r="AL5" s="376">
        <v>85</v>
      </c>
      <c r="AM5" s="376">
        <v>120</v>
      </c>
      <c r="AN5" s="376">
        <v>160</v>
      </c>
      <c r="AO5" s="376">
        <v>200</v>
      </c>
      <c r="AP5" s="376">
        <v>240</v>
      </c>
      <c r="AR5" s="376">
        <v>50</v>
      </c>
      <c r="AS5" s="376">
        <v>85</v>
      </c>
      <c r="AT5" s="376">
        <v>120</v>
      </c>
      <c r="AU5" s="376">
        <v>160</v>
      </c>
      <c r="AV5" s="376">
        <v>200</v>
      </c>
      <c r="AW5" s="376">
        <v>240</v>
      </c>
    </row>
    <row r="6" spans="1:49" ht="13.8" thickBot="1" x14ac:dyDescent="0.3">
      <c r="A6" s="306" t="s">
        <v>15</v>
      </c>
      <c r="B6" s="11">
        <v>85</v>
      </c>
      <c r="C6" s="11">
        <v>120</v>
      </c>
      <c r="D6" s="11">
        <v>160</v>
      </c>
      <c r="E6" s="11">
        <v>200</v>
      </c>
      <c r="F6" s="11">
        <v>240</v>
      </c>
      <c r="G6" s="11">
        <v>285</v>
      </c>
      <c r="H6" s="222"/>
      <c r="I6" s="11">
        <v>85</v>
      </c>
      <c r="J6" s="11">
        <v>120</v>
      </c>
      <c r="K6" s="11">
        <v>160</v>
      </c>
      <c r="L6" s="11">
        <v>200</v>
      </c>
      <c r="M6" s="11">
        <v>240</v>
      </c>
      <c r="N6" s="11">
        <v>285</v>
      </c>
      <c r="O6" s="94"/>
      <c r="P6" s="11">
        <v>85</v>
      </c>
      <c r="Q6" s="11">
        <v>120</v>
      </c>
      <c r="R6" s="11">
        <v>160</v>
      </c>
      <c r="S6" s="11">
        <v>200</v>
      </c>
      <c r="T6" s="11">
        <v>240</v>
      </c>
      <c r="U6" s="11">
        <v>285</v>
      </c>
      <c r="W6" s="11">
        <v>85</v>
      </c>
      <c r="X6" s="11">
        <v>120</v>
      </c>
      <c r="Y6" s="11">
        <v>160</v>
      </c>
      <c r="Z6" s="11">
        <v>200</v>
      </c>
      <c r="AA6" s="11">
        <v>240</v>
      </c>
      <c r="AB6" s="11">
        <v>285</v>
      </c>
      <c r="AD6" s="11">
        <v>85</v>
      </c>
      <c r="AE6" s="11">
        <v>120</v>
      </c>
      <c r="AF6" s="11">
        <v>160</v>
      </c>
      <c r="AG6" s="11">
        <v>200</v>
      </c>
      <c r="AH6" s="11">
        <v>240</v>
      </c>
      <c r="AI6" s="11">
        <v>285</v>
      </c>
      <c r="AK6" s="11">
        <v>85</v>
      </c>
      <c r="AL6" s="11">
        <v>120</v>
      </c>
      <c r="AM6" s="11">
        <v>160</v>
      </c>
      <c r="AN6" s="11">
        <v>200</v>
      </c>
      <c r="AO6" s="11">
        <v>240</v>
      </c>
      <c r="AP6" s="11">
        <v>285</v>
      </c>
      <c r="AR6" s="11">
        <v>85</v>
      </c>
      <c r="AS6" s="11">
        <v>120</v>
      </c>
      <c r="AT6" s="11">
        <v>160</v>
      </c>
      <c r="AU6" s="11">
        <v>200</v>
      </c>
      <c r="AV6" s="11">
        <v>240</v>
      </c>
      <c r="AW6" s="11">
        <v>285</v>
      </c>
    </row>
    <row r="7" spans="1:49" x14ac:dyDescent="0.25">
      <c r="A7" t="s">
        <v>1</v>
      </c>
      <c r="B7" s="291">
        <f>IF(B5="","",((((B236-B297)*2000)+((SUM(B9:B229)-2000)*((IF($A8=Nutrients!$B$79,Nutrients!$DA$79,(IF($A8=Nutrients!$B$77,Nutrients!$DA$77,Nutrients!$DA$78)))))))/((IF($A7=Nutrients!$B$8,Nutrients!$DA$8,Nutrients!$DA$9))-((IF($A8=Nutrients!$B$79,Nutrients!$DA$79,(IF($A8=Nutrients!$B$77,Nutrients!$DA$77,Nutrients!$DA$78))))))))</f>
        <v>1323.1904784197848</v>
      </c>
      <c r="C7" s="291">
        <f>IF(C5="","",((((C236-C297)*2000)+((SUM(C9:C229)-2000)*((IF($A8=Nutrients!$B$79,Nutrients!$DA$79,(IF($A8=Nutrients!$B$77,Nutrients!$DA$77,Nutrients!$DA$78)))))))/((IF($A7=Nutrients!$B$8,Nutrients!$DA$8,Nutrients!$DA$9))-((IF($A8=Nutrients!$B$79,Nutrients!$DA$79,(IF($A8=Nutrients!$B$77,Nutrients!$DA$77,Nutrients!$DA$78))))))))</f>
        <v>1438.5863426264264</v>
      </c>
      <c r="D7" s="291">
        <f>IF(D5="","",((((D236-D297)*2000)+((SUM(D9:D229)-2000)*((IF($A8=Nutrients!$B$79,Nutrients!$DA$79,(IF($A8=Nutrients!$B$77,Nutrients!$DA$77,Nutrients!$DA$78)))))))/((IF($A7=Nutrients!$B$8,Nutrients!$DA$8,Nutrients!$DA$9))-((IF($A8=Nutrients!$B$79,Nutrients!$DA$79,(IF($A8=Nutrients!$B$77,Nutrients!$DA$77,Nutrients!$DA$78))))))))</f>
        <v>1538.5624561307404</v>
      </c>
      <c r="E7" s="291">
        <f>IF(E5="","",((((E236-E297)*2000)+((SUM(E9:E229)-2000)*((IF($A8=Nutrients!$B$79,Nutrients!$DA$79,(IF($A8=Nutrients!$B$77,Nutrients!$DA$77,Nutrients!$DA$78)))))))/((IF($A7=Nutrients!$B$8,Nutrients!$DA$8,Nutrients!$DA$9))-((IF($A8=Nutrients!$B$79,Nutrients!$DA$79,(IF($A8=Nutrients!$B$77,Nutrients!$DA$77,Nutrients!$DA$78))))))))</f>
        <v>1622.5648380110952</v>
      </c>
      <c r="F7" s="291">
        <f>IF(F5="","",((((F236-F297)*2000)+((SUM(F9:F229)-2000)*((IF($A8=Nutrients!$B$79,Nutrients!$DA$79,(IF($A8=Nutrients!$B$77,Nutrients!$DA$77,Nutrients!$DA$78)))))))/((IF($A7=Nutrients!$B$8,Nutrients!$DA$8,Nutrients!$DA$9))-((IF($A8=Nutrients!$B$79,Nutrients!$DA$79,(IF($A8=Nutrients!$B$77,Nutrients!$DA$77,Nutrients!$DA$78))))))))</f>
        <v>1679.6960832539069</v>
      </c>
      <c r="G7" s="291">
        <f>IF(G5="","",((((G236-G297)*2000)+((SUM(G9:G229)-2000)*((IF($A8=Nutrients!$B$79,Nutrients!$DA$79,(IF($A8=Nutrients!$B$77,Nutrients!$DA$77,Nutrients!$DA$78)))))))/((IF($A7=Nutrients!$B$8,Nutrients!$DA$8,Nutrients!$DA$9))-((IF($A8=Nutrients!$B$79,Nutrients!$DA$79,(IF($A8=Nutrients!$B$77,Nutrients!$DA$77,Nutrients!$DA$78))))))))</f>
        <v>1707.9835561942639</v>
      </c>
      <c r="H7" s="291"/>
      <c r="I7" s="291">
        <f>IF(I5="","",((((I236-I297)*2000)+((SUM(I9:I229)-2000)*((IF($A8=Nutrients!$B$79,Nutrients!$DA$79,(IF($A8=Nutrients!$B$77,Nutrients!$DA$77,Nutrients!$DA$78)))))))/((IF($A7=Nutrients!$B$8,Nutrients!$DA$8,Nutrients!$DA$9))-((IF($A8=Nutrients!$B$79,Nutrients!$DA$79,(IF($A8=Nutrients!$B$77,Nutrients!$DA$77,Nutrients!$DA$78))))))))</f>
        <v>1244.3425458808397</v>
      </c>
      <c r="J7" s="291">
        <f>IF(J5="","",((((J236-J297)*2000)+((SUM(J9:J229)-2000)*((IF($A8=Nutrients!$B$79,Nutrients!$DA$79,(IF($A8=Nutrients!$B$77,Nutrients!$DA$77,Nutrients!$DA$78)))))))/((IF($A7=Nutrients!$B$8,Nutrients!$DA$8,Nutrients!$DA$9))-((IF($A8=Nutrients!$B$79,Nutrients!$DA$79,(IF($A8=Nutrients!$B$77,Nutrients!$DA$77,Nutrients!$DA$78))))))))</f>
        <v>1359.5954379694961</v>
      </c>
      <c r="K7" s="291">
        <f>IF(K5="","",((((K236-K297)*2000)+((SUM(K9:K229)-2000)*((IF($A8=Nutrients!$B$79,Nutrients!$DA$79,(IF($A8=Nutrients!$B$77,Nutrients!$DA$77,Nutrients!$DA$78)))))))/((IF($A7=Nutrients!$B$8,Nutrients!$DA$8,Nutrients!$DA$9))-((IF($A8=Nutrients!$B$79,Nutrients!$DA$79,(IF($A8=Nutrients!$B$77,Nutrients!$DA$77,Nutrients!$DA$78))))))))</f>
        <v>1459.8296084224799</v>
      </c>
      <c r="L7" s="291">
        <f>IF(L5="","",((((L236-L297)*2000)+((SUM(L9:L229)-2000)*((IF($A8=Nutrients!$B$79,Nutrients!$DA$79,(IF($A8=Nutrients!$B$77,Nutrients!$DA$77,Nutrients!$DA$78)))))))/((IF($A7=Nutrients!$B$8,Nutrients!$DA$8,Nutrients!$DA$9))-((IF($A8=Nutrients!$B$79,Nutrients!$DA$79,(IF($A8=Nutrients!$B$77,Nutrients!$DA$77,Nutrients!$DA$78))))))))</f>
        <v>1544.2140234786229</v>
      </c>
      <c r="M7" s="291">
        <f>IF(M5="","",((((M236-M297)*2000)+((SUM(M9:M229)-2000)*((IF($A8=Nutrients!$B$79,Nutrients!$DA$79,(IF($A8=Nutrients!$B$77,Nutrients!$DA$77,Nutrients!$DA$78)))))))/((IF($A7=Nutrients!$B$8,Nutrients!$DA$8,Nutrients!$DA$9))-((IF($A8=Nutrients!$B$79,Nutrients!$DA$79,(IF($A8=Nutrients!$B$77,Nutrients!$DA$77,Nutrients!$DA$78))))))))</f>
        <v>1601.0707692503834</v>
      </c>
      <c r="N7" s="291">
        <f>IF(N5="","",((((N236-N297)*2000)+((SUM(N9:N229)-2000)*((IF($A8=Nutrients!$B$79,Nutrients!$DA$79,(IF($A8=Nutrients!$B$77,Nutrients!$DA$77,Nutrients!$DA$78)))))))/((IF($A7=Nutrients!$B$8,Nutrients!$DA$8,Nutrients!$DA$9))-((IF($A8=Nutrients!$B$79,Nutrients!$DA$79,(IF($A8=Nutrients!$B$77,Nutrients!$DA$77,Nutrients!$DA$78))))))))</f>
        <v>1629.5462819457903</v>
      </c>
      <c r="O7" s="30"/>
      <c r="P7" s="291">
        <f>IF(P5="","",((((P236-P297)*2000)+((SUM(P9:P229)-2000)*((IF($A8=Nutrients!$B$79,Nutrients!$DA$79,(IF($A8=Nutrients!$B$77,Nutrients!$DA$77,Nutrients!$DA$78)))))))/((IF($A7=Nutrients!$B$8,Nutrients!$DA$8,Nutrients!$DA$9))-((IF($A8=Nutrients!$B$79,Nutrients!$DA$79,(IF($A8=Nutrients!$B$77,Nutrients!$DA$77,Nutrients!$DA$78))))))))</f>
        <v>1165.4730991667295</v>
      </c>
      <c r="Q7" s="291">
        <f>IF(Q5="","",((((Q236-Q297)*2000)+((SUM(Q9:Q229)-2000)*((IF($A8=Nutrients!$B$79,Nutrients!$DA$79,(IF($A8=Nutrients!$B$77,Nutrients!$DA$77,Nutrients!$DA$78)))))))/((IF($A7=Nutrients!$B$8,Nutrients!$DA$8,Nutrients!$DA$9))-((IF($A8=Nutrients!$B$79,Nutrients!$DA$79,(IF($A8=Nutrients!$B$77,Nutrients!$DA$77,Nutrients!$DA$78))))))))</f>
        <v>1280.6851961168134</v>
      </c>
      <c r="R7" s="291">
        <f>IF(R5="","",((((R236-R297)*2000)+((SUM(R9:R229)-2000)*((IF($A8=Nutrients!$B$79,Nutrients!$DA$79,(IF($A8=Nutrients!$B$77,Nutrients!$DA$77,Nutrients!$DA$78)))))))/((IF($A7=Nutrients!$B$8,Nutrients!$DA$8,Nutrients!$DA$9))-((IF($A8=Nutrients!$B$79,Nutrients!$DA$79,(IF($A8=Nutrients!$B$77,Nutrients!$DA$77,Nutrients!$DA$78))))))))</f>
        <v>1380.8577906096273</v>
      </c>
      <c r="S7" s="291">
        <f>IF(S5="","",((((S236-S297)*2000)+((SUM(S9:S229)-2000)*((IF($A8=Nutrients!$B$79,Nutrients!$DA$79,(IF($A8=Nutrients!$B$77,Nutrients!$DA$77,Nutrients!$DA$78)))))))/((IF($A7=Nutrients!$B$8,Nutrients!$DA$8,Nutrients!$DA$9))-((IF($A8=Nutrients!$B$79,Nutrients!$DA$79,(IF($A8=Nutrients!$B$77,Nutrients!$DA$77,Nutrients!$DA$78))))))))</f>
        <v>1465.2664254848405</v>
      </c>
      <c r="T7" s="291">
        <f>IF(T5="","",((((T236-T297)*2000)+((SUM(T9:T229)-2000)*((IF($A8=Nutrients!$B$79,Nutrients!$DA$79,(IF($A8=Nutrients!$B$77,Nutrients!$DA$77,Nutrients!$DA$78)))))))/((IF($A7=Nutrients!$B$8,Nutrients!$DA$8,Nutrients!$DA$9))-((IF($A8=Nutrients!$B$79,Nutrients!$DA$79,(IF($A8=Nutrients!$B$77,Nutrients!$DA$77,Nutrients!$DA$78))))))))</f>
        <v>1522.0627793200747</v>
      </c>
      <c r="U7" s="291">
        <f>IF(U5="","",((((U236-U297)*2000)+((SUM(U9:U229)-2000)*((IF($A8=Nutrients!$B$79,Nutrients!$DA$79,(IF($A8=Nutrients!$B$77,Nutrients!$DA$77,Nutrients!$DA$78)))))))/((IF($A7=Nutrients!$B$8,Nutrients!$DA$8,Nutrients!$DA$9))-((IF($A8=Nutrients!$B$79,Nutrients!$DA$79,(IF($A8=Nutrients!$B$77,Nutrients!$DA$77,Nutrients!$DA$78))))))))</f>
        <v>1550.4755781588183</v>
      </c>
      <c r="W7" s="291">
        <f>IF(W5="","",((((W236-W297)*2000)+((SUM(W9:W229)-2000)*((IF($A8=Nutrients!$B$79,Nutrients!$DA$79,(IF($A8=Nutrients!$B$77,Nutrients!$DA$77,Nutrients!$DA$78)))))))/((IF($A7=Nutrients!$B$8,Nutrients!$DA$8,Nutrients!$DA$9))-((IF($A8=Nutrients!$B$79,Nutrients!$DA$79,(IF($A8=Nutrients!$B$77,Nutrients!$DA$77,Nutrients!$DA$78))))))))</f>
        <v>1086.5714666991855</v>
      </c>
      <c r="X7" s="291">
        <f>IF(X5="","",((((X236-X297)*2000)+((SUM(X9:X229)-2000)*((IF($A8=Nutrients!$B$79,Nutrients!$DA$79,(IF($A8=Nutrients!$B$77,Nutrients!$DA$77,Nutrients!$DA$78)))))))/((IF($A7=Nutrients!$B$8,Nutrients!$DA$8,Nutrients!$DA$9))-((IF($A8=Nutrients!$B$79,Nutrients!$DA$79,(IF($A8=Nutrients!$B$77,Nutrients!$DA$77,Nutrients!$DA$78))))))))</f>
        <v>1201.7363238383768</v>
      </c>
      <c r="Y7" s="291">
        <f>IF(Y5="","",((((Y236-Y297)*2000)+((SUM(Y9:Y229)-2000)*((IF($A8=Nutrients!$B$79,Nutrients!$DA$79,(IF($A8=Nutrients!$B$77,Nutrients!$DA$77,Nutrients!$DA$78)))))))/((IF($A7=Nutrients!$B$8,Nutrients!$DA$8,Nutrients!$DA$9))-((IF($A8=Nutrients!$B$79,Nutrients!$DA$79,(IF($A8=Nutrients!$B$77,Nutrients!$DA$77,Nutrients!$DA$78))))))))</f>
        <v>1301.9781786403018</v>
      </c>
      <c r="Z7" s="291">
        <f>IF(Z5="","",((((Z236-Z297)*2000)+((SUM(Z9:Z229)-2000)*((IF($A8=Nutrients!$B$79,Nutrients!$DA$79,(IF($A8=Nutrients!$B$77,Nutrients!$DA$77,Nutrients!$DA$78)))))))/((IF($A7=Nutrients!$B$8,Nutrients!$DA$8,Nutrients!$DA$9))-((IF($A8=Nutrients!$B$79,Nutrients!$DA$79,(IF($A8=Nutrients!$B$77,Nutrients!$DA$77,Nutrients!$DA$78))))))))</f>
        <v>1386.4317647147623</v>
      </c>
      <c r="AA7" s="291">
        <f>IF(AA5="","",((((AA236-AA297)*2000)+((SUM(AA9:AA229)-2000)*((IF($A8=Nutrients!$B$79,Nutrients!$DA$79,(IF($A8=Nutrients!$B$77,Nutrients!$DA$77,Nutrients!$DA$78)))))))/((IF($A7=Nutrients!$B$8,Nutrients!$DA$8,Nutrients!$DA$9))-((IF($A8=Nutrients!$B$79,Nutrients!$DA$79,(IF($A8=Nutrients!$B$77,Nutrients!$DA$77,Nutrients!$DA$78))))))))</f>
        <v>1442.97898902355</v>
      </c>
      <c r="AB7" s="291">
        <f>IF(AB5="","",((((AB236-AB297)*2000)+((SUM(AB9:AB229)-2000)*((IF($A8=Nutrients!$B$79,Nutrients!$DA$79,(IF($A8=Nutrients!$B$77,Nutrients!$DA$77,Nutrients!$DA$78)))))))/((IF($A7=Nutrients!$B$8,Nutrients!$DA$8,Nutrients!$DA$9))-((IF($A8=Nutrients!$B$79,Nutrients!$DA$79,(IF($A8=Nutrients!$B$77,Nutrients!$DA$77,Nutrients!$DA$78))))))))</f>
        <v>1470.5378891012483</v>
      </c>
      <c r="AD7" s="291">
        <f>IF(AD5="","",((((AD236-AD297)*2000)+((SUM(AD9:AD229)-2000)*((IF($A8=Nutrients!$B$79,Nutrients!$DA$79,(IF($A8=Nutrients!$B$77,Nutrients!$DA$77,Nutrients!$DA$78)))))))/((IF($A7=Nutrients!$B$8,Nutrients!$DA$8,Nutrients!$DA$9))-((IF($A8=Nutrients!$B$79,Nutrients!$DA$79,(IF($A8=Nutrients!$B$77,Nutrients!$DA$77,Nutrients!$DA$78))))))))</f>
        <v>1007.6303314864314</v>
      </c>
      <c r="AE7" s="291">
        <f>IF(AE5="","",((((AE236-AE297)*2000)+((SUM(AE9:AE229)-2000)*((IF($A8=Nutrients!$B$79,Nutrients!$DA$79,(IF($A8=Nutrients!$B$77,Nutrients!$DA$77,Nutrients!$DA$78)))))))/((IF($A7=Nutrients!$B$8,Nutrients!$DA$8,Nutrients!$DA$9))-((IF($A8=Nutrients!$B$79,Nutrients!$DA$79,(IF($A8=Nutrients!$B$77,Nutrients!$DA$77,Nutrients!$DA$78))))))))</f>
        <v>1122.8126016706606</v>
      </c>
      <c r="AF7" s="291">
        <f>IF(AF5="","",((((AF236-AF297)*2000)+((SUM(AF9:AF229)-2000)*((IF($A8=Nutrients!$B$79,Nutrients!$DA$79,(IF($A8=Nutrients!$B$77,Nutrients!$DA$77,Nutrients!$DA$78)))))))/((IF($A7=Nutrients!$B$8,Nutrients!$DA$8,Nutrients!$DA$9))-((IF($A8=Nutrients!$B$79,Nutrients!$DA$79,(IF($A8=Nutrients!$B$77,Nutrients!$DA$77,Nutrients!$DA$78))))))))</f>
        <v>1223.1992891180096</v>
      </c>
      <c r="AG7" s="291">
        <f>IF(AG5="","",((((AG236-AG297)*2000)+((SUM(AG9:AG229)-2000)*((IF($A8=Nutrients!$B$79,Nutrients!$DA$79,(IF($A8=Nutrients!$B$77,Nutrients!$DA$77,Nutrients!$DA$78)))))))/((IF($A7=Nutrients!$B$8,Nutrients!$DA$8,Nutrients!$DA$9))-((IF($A8=Nutrients!$B$79,Nutrients!$DA$79,(IF($A8=Nutrients!$B$77,Nutrients!$DA$77,Nutrients!$DA$78))))))))</f>
        <v>1307.2814240792434</v>
      </c>
      <c r="AH7" s="291">
        <f>IF(AH5="","",((((AH236-AH297)*2000)+((SUM(AH9:AH229)-2000)*((IF($A8=Nutrients!$B$79,Nutrients!$DA$79,(IF($A8=Nutrients!$B$77,Nutrients!$DA$77,Nutrients!$DA$78)))))))/((IF($A7=Nutrients!$B$8,Nutrients!$DA$8,Nutrients!$DA$9))-((IF($A8=Nutrients!$B$79,Nutrients!$DA$79,(IF($A8=Nutrients!$B$77,Nutrients!$DA$77,Nutrients!$DA$78))))))))</f>
        <v>1361.3936227952668</v>
      </c>
      <c r="AI7" s="291">
        <f>IF(AI5="","",((((AI236-AI297)*2000)+((SUM(AI9:AI229)-2000)*((IF($A8=Nutrients!$B$79,Nutrients!$DA$79,(IF($A8=Nutrients!$B$77,Nutrients!$DA$77,Nutrients!$DA$78)))))))/((IF($A7=Nutrients!$B$8,Nutrients!$DA$8,Nutrients!$DA$9))-((IF($A8=Nutrients!$B$79,Nutrients!$DA$79,(IF($A8=Nutrients!$B$77,Nutrients!$DA$77,Nutrients!$DA$78))))))))</f>
        <v>1388.0946454429834</v>
      </c>
      <c r="AK7" s="291">
        <f>IF(AK5="","",((((AK236-AK297)*2000)+((SUM(AK9:AK229)-2000)*((IF($A8=Nutrients!$B$79,Nutrients!$DA$79,(IF($A8=Nutrients!$B$77,Nutrients!$DA$77,Nutrients!$DA$78)))))))/((IF($A7=Nutrients!$B$8,Nutrients!$DA$8,Nutrients!$DA$9))-((IF($A8=Nutrients!$B$79,Nutrients!$DA$79,(IF($A8=Nutrients!$B$77,Nutrients!$DA$77,Nutrients!$DA$78))))))))</f>
        <v>928.41203793092404</v>
      </c>
      <c r="AL7" s="291">
        <f>IF(AL5="","",((((AL236-AL297)*2000)+((SUM(AL9:AL229)-2000)*((IF($A8=Nutrients!$B$79,Nutrients!$DA$79,(IF($A8=Nutrients!$B$77,Nutrients!$DA$77,Nutrients!$DA$78)))))))/((IF($A7=Nutrients!$B$8,Nutrients!$DA$8,Nutrients!$DA$9))-((IF($A8=Nutrients!$B$79,Nutrients!$DA$79,(IF($A8=Nutrients!$B$77,Nutrients!$DA$77,Nutrients!$DA$78))))))))</f>
        <v>1043.8929694733176</v>
      </c>
      <c r="AM7" s="291">
        <f>IF(AM5="","",((((AM236-AM297)*2000)+((SUM(AM9:AM229)-2000)*((IF($A8=Nutrients!$B$79,Nutrients!$DA$79,(IF($A8=Nutrients!$B$77,Nutrients!$DA$77,Nutrients!$DA$78)))))))/((IF($A7=Nutrients!$B$8,Nutrients!$DA$8,Nutrients!$DA$9))-((IF($A8=Nutrients!$B$79,Nutrients!$DA$79,(IF($A8=Nutrients!$B$77,Nutrients!$DA$77,Nutrients!$DA$78))))))))</f>
        <v>1144.1206282230485</v>
      </c>
      <c r="AN7" s="291">
        <f>IF(AN5="","",((((AN236-AN297)*2000)+((SUM(AN9:AN229)-2000)*((IF($A8=Nutrients!$B$79,Nutrients!$DA$79,(IF($A8=Nutrients!$B$77,Nutrients!$DA$77,Nutrients!$DA$78)))))))/((IF($A7=Nutrients!$B$8,Nutrients!$DA$8,Nutrients!$DA$9))-((IF($A8=Nutrients!$B$79,Nutrients!$DA$79,(IF($A8=Nutrients!$B$77,Nutrients!$DA$77,Nutrients!$DA$78))))))))</f>
        <v>1225.9793574859152</v>
      </c>
      <c r="AO7" s="291">
        <f>IF(AO5="","",((((AO236-AO297)*2000)+((SUM(AO9:AO229)-2000)*((IF($A8=Nutrients!$B$79,Nutrients!$DA$79,(IF($A8=Nutrients!$B$77,Nutrients!$DA$77,Nutrients!$DA$78)))))))/((IF($A7=Nutrients!$B$8,Nutrients!$DA$8,Nutrients!$DA$9))-((IF($A8=Nutrients!$B$79,Nutrients!$DA$79,(IF($A8=Nutrients!$B$77,Nutrients!$DA$77,Nutrients!$DA$78))))))))</f>
        <v>1279.1768614094465</v>
      </c>
      <c r="AP7" s="291">
        <f>IF(AP5="","",((((AP236-AP297)*2000)+((SUM(AP9:AP229)-2000)*((IF($A8=Nutrients!$B$79,Nutrients!$DA$79,(IF($A8=Nutrients!$B$77,Nutrients!$DA$77,Nutrients!$DA$78)))))))/((IF($A7=Nutrients!$B$8,Nutrients!$DA$8,Nutrients!$DA$9))-((IF($A8=Nutrients!$B$79,Nutrients!$DA$79,(IF($A8=Nutrients!$B$77,Nutrients!$DA$77,Nutrients!$DA$78))))))))</f>
        <v>1305.8593541144994</v>
      </c>
      <c r="AR7" s="291">
        <f>IF(AR5="","",((((AR236-AR297)*2000)+((SUM(AR9:AR229)-2000)*((IF($A8=Nutrients!$B$79,Nutrients!$DA$79,(IF($A8=Nutrients!$B$77,Nutrients!$DA$77,Nutrients!$DA$78)))))))/((IF($A7=Nutrients!$B$8,Nutrients!$DA$8,Nutrients!$DA$9))-((IF($A8=Nutrients!$B$79,Nutrients!$DA$79,(IF($A8=Nutrients!$B$77,Nutrients!$DA$77,Nutrients!$DA$78))))))))</f>
        <v>849.61033098806695</v>
      </c>
      <c r="AS7" s="291">
        <f>IF(AS5="","",((((AS236-AS297)*2000)+((SUM(AS9:AS229)-2000)*((IF($A8=Nutrients!$B$79,Nutrients!$DA$79,(IF($A8=Nutrients!$B$77,Nutrients!$DA$77,Nutrients!$DA$78)))))))/((IF($A7=Nutrients!$B$8,Nutrients!$DA$8,Nutrients!$DA$9))-((IF($A8=Nutrients!$B$79,Nutrients!$DA$79,(IF($A8=Nutrients!$B$77,Nutrients!$DA$77,Nutrients!$DA$78))))))))</f>
        <v>964.97108352863472</v>
      </c>
      <c r="AT7" s="291">
        <f>IF(AT5="","",((((AT236-AT297)*2000)+((SUM(AT9:AT229)-2000)*((IF($A8=Nutrients!$B$79,Nutrients!$DA$79,(IF($A8=Nutrients!$B$77,Nutrients!$DA$77,Nutrients!$DA$78)))))))/((IF($A7=Nutrients!$B$8,Nutrients!$DA$8,Nutrients!$DA$9))-((IF($A8=Nutrients!$B$79,Nutrients!$DA$79,(IF($A8=Nutrients!$B$77,Nutrients!$DA$77,Nutrients!$DA$78))))))))</f>
        <v>1064.4795674578329</v>
      </c>
      <c r="AU7" s="291">
        <f>IF(AU5="","",((((AU236-AU297)*2000)+((SUM(AU9:AU229)-2000)*((IF($A8=Nutrients!$B$79,Nutrients!$DA$79,(IF($A8=Nutrients!$B$77,Nutrients!$DA$77,Nutrients!$DA$78)))))))/((IF($A7=Nutrients!$B$8,Nutrients!$DA$8,Nutrients!$DA$9))-((IF($A8=Nutrients!$B$79,Nutrients!$DA$79,(IF($A8=Nutrients!$B$77,Nutrients!$DA$77,Nutrients!$DA$78))))))))</f>
        <v>1143.7710253357211</v>
      </c>
      <c r="AV7" s="291">
        <f>IF(AV5="","",((((AV236-AV297)*2000)+((SUM(AV9:AV229)-2000)*((IF($A8=Nutrients!$B$79,Nutrients!$DA$79,(IF($A8=Nutrients!$B$77,Nutrients!$DA$77,Nutrients!$DA$78)))))))/((IF($A7=Nutrients!$B$8,Nutrients!$DA$8,Nutrients!$DA$9))-((IF($A8=Nutrients!$B$79,Nutrients!$DA$79,(IF($A8=Nutrients!$B$77,Nutrients!$DA$77,Nutrients!$DA$78))))))))</f>
        <v>1196.9147023870614</v>
      </c>
      <c r="AW7" s="291">
        <f>IF(AW5="","",((((AW236-AW297)*2000)+((SUM(AW9:AW229)-2000)*((IF($A8=Nutrients!$B$79,Nutrients!$DA$79,(IF($A8=Nutrients!$B$77,Nutrients!$DA$77,Nutrients!$DA$78)))))))/((IF($A7=Nutrients!$B$8,Nutrients!$DA$8,Nutrients!$DA$9))-((IF($A8=Nutrients!$B$79,Nutrients!$DA$79,(IF($A8=Nutrients!$B$77,Nutrients!$DA$77,Nutrients!$DA$78))))))))</f>
        <v>1223.580700613142</v>
      </c>
    </row>
    <row r="8" spans="1:49" x14ac:dyDescent="0.25">
      <c r="A8" t="s">
        <v>295</v>
      </c>
      <c r="B8" s="291">
        <f t="shared" ref="B8:G8" si="6">IF(B5="","",2000-SUM(B9:B218)-B7)</f>
        <v>618.86019033712819</v>
      </c>
      <c r="C8" s="291">
        <f t="shared" si="6"/>
        <v>508.40076632216437</v>
      </c>
      <c r="D8" s="291">
        <f t="shared" si="6"/>
        <v>413.17469083498395</v>
      </c>
      <c r="E8" s="291">
        <f t="shared" si="6"/>
        <v>332.93731204963137</v>
      </c>
      <c r="F8" s="291">
        <f t="shared" si="6"/>
        <v>279.42017973722363</v>
      </c>
      <c r="G8" s="291">
        <f t="shared" si="6"/>
        <v>252.24678261106305</v>
      </c>
      <c r="H8" s="291"/>
      <c r="I8" s="291">
        <f t="shared" ref="I8:N8" si="7">IF(I5="","",2000-SUM(I9:I220)-I7)</f>
        <v>588.41184062550701</v>
      </c>
      <c r="J8" s="291">
        <f t="shared" si="7"/>
        <v>477.96245678736773</v>
      </c>
      <c r="K8" s="291">
        <f t="shared" si="7"/>
        <v>382.71825932345496</v>
      </c>
      <c r="L8" s="291">
        <f t="shared" si="7"/>
        <v>302.45405236564534</v>
      </c>
      <c r="M8" s="291">
        <f t="shared" si="7"/>
        <v>248.95619670148585</v>
      </c>
      <c r="N8" s="291">
        <f t="shared" si="7"/>
        <v>221.76959453634686</v>
      </c>
      <c r="O8" s="30"/>
      <c r="P8" s="291">
        <f t="shared" ref="P8:U8" si="8">IF(P5="","",2000-SUM(P9:P220)-P7)</f>
        <v>557.96500174079324</v>
      </c>
      <c r="Q8" s="291">
        <f t="shared" si="8"/>
        <v>447.51848272980101</v>
      </c>
      <c r="R8" s="291">
        <f t="shared" si="8"/>
        <v>352.27860942039456</v>
      </c>
      <c r="S8" s="291">
        <f t="shared" si="8"/>
        <v>272.01270163259414</v>
      </c>
      <c r="T8" s="291">
        <f t="shared" si="8"/>
        <v>218.51908697521299</v>
      </c>
      <c r="U8" s="291">
        <f t="shared" si="8"/>
        <v>191.33688887304197</v>
      </c>
      <c r="W8" s="291">
        <f t="shared" ref="W8:AB8" si="9">IF(W5="","",2000-SUM(W9:W220)-W7)</f>
        <v>527.52042309157355</v>
      </c>
      <c r="X8" s="291">
        <f t="shared" si="9"/>
        <v>417.07722148303151</v>
      </c>
      <c r="Y8" s="291">
        <f t="shared" si="9"/>
        <v>321.83248438787291</v>
      </c>
      <c r="Z8" s="291">
        <f t="shared" si="9"/>
        <v>241.56341991473255</v>
      </c>
      <c r="AA8" s="291">
        <f t="shared" si="9"/>
        <v>188.08730030836568</v>
      </c>
      <c r="AB8" s="291">
        <f t="shared" si="9"/>
        <v>160.96506700682994</v>
      </c>
      <c r="AD8" s="291">
        <f t="shared" ref="AD8:AI8" si="10">IF(AD5="","",2000-SUM(AD9:AD220)-AD7)</f>
        <v>497.07861851153996</v>
      </c>
      <c r="AE8" s="291">
        <f t="shared" si="10"/>
        <v>386.63419407680158</v>
      </c>
      <c r="AF8" s="291">
        <f t="shared" si="10"/>
        <v>291.37928614980115</v>
      </c>
      <c r="AG8" s="291">
        <f t="shared" si="10"/>
        <v>211.13630672674685</v>
      </c>
      <c r="AH8" s="291">
        <f t="shared" si="10"/>
        <v>157.83118610863608</v>
      </c>
      <c r="AI8" s="291">
        <f t="shared" si="10"/>
        <v>130.76919700864369</v>
      </c>
      <c r="AK8" s="291">
        <f t="shared" ref="AK8:AP8" si="11">IF(AK5="","",2000-SUM(AK9:AK220)-AK7)</f>
        <v>466.6562772982727</v>
      </c>
      <c r="AL8" s="291">
        <f t="shared" si="11"/>
        <v>356.19087945355091</v>
      </c>
      <c r="AM8" s="291">
        <f t="shared" si="11"/>
        <v>260.94713927216981</v>
      </c>
      <c r="AN8" s="291">
        <f t="shared" si="11"/>
        <v>180.86029788973087</v>
      </c>
      <c r="AO8" s="291">
        <f t="shared" si="11"/>
        <v>127.61941145648643</v>
      </c>
      <c r="AP8" s="291">
        <f t="shared" si="11"/>
        <v>100.55872361651268</v>
      </c>
      <c r="AR8" s="291">
        <f t="shared" ref="AR8:AW8" si="12">IF(AR5="","",2000-SUM(AR9:AR220)-AR7)</f>
        <v>436.20468140715082</v>
      </c>
      <c r="AS8" s="291">
        <f t="shared" si="12"/>
        <v>325.74772309907405</v>
      </c>
      <c r="AT8" s="291">
        <f t="shared" si="12"/>
        <v>230.55448676744959</v>
      </c>
      <c r="AU8" s="291">
        <f t="shared" si="12"/>
        <v>150.647931296877</v>
      </c>
      <c r="AV8" s="291">
        <f t="shared" si="12"/>
        <v>97.410824840612349</v>
      </c>
      <c r="AW8" s="291">
        <f t="shared" si="12"/>
        <v>70.351295320790996</v>
      </c>
    </row>
    <row r="9" spans="1:49" ht="13.05" hidden="1" customHeight="1" x14ac:dyDescent="0.25">
      <c r="A9" t="str">
        <f>Nutrients!B8</f>
        <v>Corn</v>
      </c>
      <c r="B9" s="99"/>
      <c r="C9" s="99"/>
      <c r="D9" s="99"/>
      <c r="E9" s="99"/>
      <c r="F9" s="99"/>
      <c r="G9" s="99"/>
      <c r="H9" s="99"/>
      <c r="I9" s="99"/>
      <c r="J9" s="99"/>
      <c r="K9" s="99"/>
      <c r="L9" s="99"/>
      <c r="M9" s="99"/>
      <c r="N9" s="99"/>
      <c r="O9" s="10"/>
      <c r="P9" s="99"/>
      <c r="Q9" s="99"/>
      <c r="R9" s="99"/>
      <c r="S9" s="99"/>
      <c r="T9" s="99"/>
      <c r="U9" s="99"/>
      <c r="W9" s="99"/>
      <c r="X9" s="99"/>
      <c r="Y9" s="99"/>
      <c r="Z9" s="99"/>
      <c r="AA9" s="99"/>
      <c r="AB9" s="99"/>
      <c r="AD9" s="99"/>
      <c r="AE9" s="99"/>
      <c r="AF9" s="99"/>
      <c r="AG9" s="99"/>
      <c r="AH9" s="99"/>
      <c r="AI9" s="99"/>
      <c r="AK9" s="99"/>
      <c r="AL9" s="99"/>
      <c r="AM9" s="99"/>
      <c r="AN9" s="99"/>
      <c r="AO9" s="99"/>
      <c r="AP9" s="99"/>
      <c r="AR9" s="99"/>
      <c r="AS9" s="99"/>
      <c r="AT9" s="99"/>
      <c r="AU9" s="99"/>
      <c r="AV9" s="99"/>
      <c r="AW9" s="99"/>
    </row>
    <row r="10" spans="1:49" ht="13.05" hidden="1" customHeight="1" x14ac:dyDescent="0.25">
      <c r="A10" t="str">
        <f>Nutrients!B9</f>
        <v>Milo</v>
      </c>
      <c r="B10" s="99"/>
      <c r="C10" s="99"/>
      <c r="D10" s="99"/>
      <c r="E10" s="99"/>
      <c r="F10" s="99"/>
      <c r="G10" s="99"/>
      <c r="H10" s="99"/>
      <c r="I10" s="99"/>
      <c r="J10" s="99"/>
      <c r="K10" s="99"/>
      <c r="L10" s="99"/>
      <c r="M10" s="99"/>
      <c r="N10" s="99"/>
      <c r="O10" s="10"/>
      <c r="P10" s="99"/>
      <c r="Q10" s="99"/>
      <c r="R10" s="99"/>
      <c r="S10" s="99"/>
      <c r="T10" s="99"/>
      <c r="U10" s="99"/>
      <c r="W10" s="99"/>
      <c r="X10" s="99"/>
      <c r="Y10" s="99"/>
      <c r="Z10" s="99"/>
      <c r="AA10" s="99"/>
      <c r="AB10" s="99"/>
      <c r="AD10" s="99"/>
      <c r="AE10" s="99"/>
      <c r="AF10" s="99"/>
      <c r="AG10" s="99"/>
      <c r="AH10" s="99"/>
      <c r="AI10" s="99"/>
      <c r="AK10" s="99"/>
      <c r="AL10" s="99"/>
      <c r="AM10" s="99"/>
      <c r="AN10" s="99"/>
      <c r="AO10" s="99"/>
      <c r="AP10" s="99"/>
      <c r="AR10" s="99"/>
      <c r="AS10" s="99"/>
      <c r="AT10" s="99"/>
      <c r="AU10" s="99"/>
      <c r="AV10" s="99"/>
      <c r="AW10" s="99"/>
    </row>
    <row r="11" spans="1:49" ht="13.05" hidden="1" customHeight="1" x14ac:dyDescent="0.25">
      <c r="A11" t="str">
        <f>Nutrients!B10</f>
        <v>Alfalfa Meal</v>
      </c>
      <c r="B11" s="106"/>
      <c r="C11" s="106"/>
      <c r="D11" s="106"/>
      <c r="E11" s="106"/>
      <c r="F11" s="106"/>
      <c r="G11" s="106"/>
      <c r="H11" s="106"/>
      <c r="I11" s="106"/>
      <c r="J11" s="106"/>
      <c r="K11" s="106"/>
      <c r="L11" s="106"/>
      <c r="M11" s="106"/>
      <c r="N11" s="106"/>
      <c r="O11" s="29"/>
      <c r="P11" s="106"/>
      <c r="Q11" s="106"/>
      <c r="R11" s="106"/>
      <c r="S11" s="106"/>
      <c r="T11" s="106"/>
      <c r="U11" s="106"/>
      <c r="W11" s="106"/>
      <c r="X11" s="106"/>
      <c r="Y11" s="106"/>
      <c r="Z11" s="106"/>
      <c r="AA11" s="106"/>
      <c r="AB11" s="106"/>
      <c r="AD11" s="106"/>
      <c r="AE11" s="106"/>
      <c r="AF11" s="106"/>
      <c r="AG11" s="106"/>
      <c r="AH11" s="106"/>
      <c r="AI11" s="106"/>
      <c r="AK11" s="106"/>
      <c r="AL11" s="106"/>
      <c r="AM11" s="106"/>
      <c r="AN11" s="106"/>
      <c r="AO11" s="106"/>
      <c r="AP11" s="106"/>
      <c r="AR11" s="106"/>
      <c r="AS11" s="106"/>
      <c r="AT11" s="106"/>
      <c r="AU11" s="106"/>
      <c r="AV11" s="106"/>
      <c r="AW11" s="106"/>
    </row>
    <row r="12" spans="1:49" ht="13.05" hidden="1" customHeight="1" x14ac:dyDescent="0.25">
      <c r="A12" t="str">
        <f>Nutrients!B11</f>
        <v>Bakery Meal</v>
      </c>
      <c r="B12" s="106"/>
      <c r="C12" s="106"/>
      <c r="D12" s="106"/>
      <c r="E12" s="106"/>
      <c r="F12" s="106"/>
      <c r="G12" s="106"/>
      <c r="H12" s="106"/>
      <c r="I12" s="106"/>
      <c r="J12" s="106"/>
      <c r="K12" s="106"/>
      <c r="L12" s="106"/>
      <c r="M12" s="106"/>
      <c r="N12" s="106"/>
      <c r="O12" s="29"/>
      <c r="P12" s="106"/>
      <c r="Q12" s="106"/>
      <c r="R12" s="106"/>
      <c r="S12" s="106"/>
      <c r="T12" s="106"/>
      <c r="U12" s="106"/>
      <c r="W12" s="106"/>
      <c r="X12" s="106"/>
      <c r="Y12" s="106"/>
      <c r="Z12" s="106"/>
      <c r="AA12" s="106"/>
      <c r="AB12" s="106"/>
      <c r="AD12" s="106"/>
      <c r="AE12" s="106"/>
      <c r="AF12" s="106"/>
      <c r="AG12" s="106"/>
      <c r="AH12" s="106"/>
      <c r="AI12" s="106"/>
      <c r="AK12" s="106"/>
      <c r="AL12" s="106"/>
      <c r="AM12" s="106"/>
      <c r="AN12" s="106"/>
      <c r="AO12" s="106"/>
      <c r="AP12" s="106"/>
      <c r="AR12" s="106"/>
      <c r="AS12" s="106"/>
      <c r="AT12" s="106"/>
      <c r="AU12" s="106"/>
      <c r="AV12" s="106"/>
      <c r="AW12" s="106"/>
    </row>
    <row r="13" spans="1:49" ht="13.05" hidden="1" customHeight="1" x14ac:dyDescent="0.25">
      <c r="A13" t="str">
        <f>Nutrients!B12</f>
        <v>Barley</v>
      </c>
      <c r="B13" s="99"/>
      <c r="C13" s="99"/>
      <c r="D13" s="99"/>
      <c r="E13" s="99"/>
      <c r="F13" s="99"/>
      <c r="G13" s="99"/>
      <c r="H13" s="99"/>
      <c r="I13" s="99"/>
      <c r="J13" s="99"/>
      <c r="K13" s="99"/>
      <c r="L13" s="99"/>
      <c r="M13" s="99"/>
      <c r="N13" s="99"/>
      <c r="O13" s="10"/>
      <c r="P13" s="99"/>
      <c r="Q13" s="99"/>
      <c r="R13" s="99"/>
      <c r="S13" s="99"/>
      <c r="T13" s="99"/>
      <c r="U13" s="99"/>
      <c r="W13" s="99"/>
      <c r="X13" s="99"/>
      <c r="Y13" s="99"/>
      <c r="Z13" s="99"/>
      <c r="AA13" s="99"/>
      <c r="AB13" s="99"/>
      <c r="AD13" s="99"/>
      <c r="AE13" s="99"/>
      <c r="AF13" s="99"/>
      <c r="AG13" s="99"/>
      <c r="AH13" s="99"/>
      <c r="AI13" s="99"/>
      <c r="AK13" s="99"/>
      <c r="AL13" s="99"/>
      <c r="AM13" s="99"/>
      <c r="AN13" s="99"/>
      <c r="AO13" s="99"/>
      <c r="AP13" s="99"/>
      <c r="AR13" s="99"/>
      <c r="AS13" s="99"/>
      <c r="AT13" s="99"/>
      <c r="AU13" s="99"/>
      <c r="AV13" s="99"/>
      <c r="AW13" s="99"/>
    </row>
    <row r="14" spans="1:49" ht="13.05" hidden="1" customHeight="1" x14ac:dyDescent="0.25">
      <c r="A14" t="str">
        <f>Nutrients!B13</f>
        <v>Barley, Hulless</v>
      </c>
      <c r="B14" s="99"/>
      <c r="C14" s="99"/>
      <c r="D14" s="99"/>
      <c r="E14" s="99"/>
      <c r="F14" s="99"/>
      <c r="G14" s="99"/>
      <c r="H14" s="99"/>
      <c r="I14" s="99"/>
      <c r="J14" s="99"/>
      <c r="K14" s="99"/>
      <c r="L14" s="99"/>
      <c r="M14" s="99"/>
      <c r="N14" s="99"/>
      <c r="O14" s="10"/>
      <c r="P14" s="99"/>
      <c r="Q14" s="99"/>
      <c r="R14" s="99"/>
      <c r="S14" s="99"/>
      <c r="T14" s="99"/>
      <c r="U14" s="99"/>
      <c r="W14" s="99"/>
      <c r="X14" s="99"/>
      <c r="Y14" s="99"/>
      <c r="Z14" s="99"/>
      <c r="AA14" s="99"/>
      <c r="AB14" s="99"/>
      <c r="AD14" s="99"/>
      <c r="AE14" s="99"/>
      <c r="AF14" s="99"/>
      <c r="AG14" s="99"/>
      <c r="AH14" s="99"/>
      <c r="AI14" s="99"/>
      <c r="AK14" s="99"/>
      <c r="AL14" s="99"/>
      <c r="AM14" s="99"/>
      <c r="AN14" s="99"/>
      <c r="AO14" s="99"/>
      <c r="AP14" s="99"/>
      <c r="AR14" s="99"/>
      <c r="AS14" s="99"/>
      <c r="AT14" s="99"/>
      <c r="AU14" s="99"/>
      <c r="AV14" s="99"/>
      <c r="AW14" s="99"/>
    </row>
    <row r="15" spans="1:49" ht="13.05" hidden="1" customHeight="1" x14ac:dyDescent="0.25">
      <c r="A15" t="str">
        <f>Nutrients!B14</f>
        <v>Beans, Faba</v>
      </c>
      <c r="B15" s="99"/>
      <c r="C15" s="99"/>
      <c r="D15" s="99"/>
      <c r="E15" s="99"/>
      <c r="F15" s="99"/>
      <c r="G15" s="99"/>
      <c r="H15" s="99"/>
      <c r="I15" s="99"/>
      <c r="J15" s="99"/>
      <c r="K15" s="99"/>
      <c r="L15" s="99"/>
      <c r="M15" s="99"/>
      <c r="N15" s="99"/>
      <c r="O15" s="10"/>
      <c r="P15" s="99"/>
      <c r="Q15" s="99"/>
      <c r="R15" s="99"/>
      <c r="S15" s="99"/>
      <c r="T15" s="99"/>
      <c r="U15" s="99"/>
      <c r="W15" s="99"/>
      <c r="X15" s="99"/>
      <c r="Y15" s="99"/>
      <c r="Z15" s="99"/>
      <c r="AA15" s="99"/>
      <c r="AB15" s="99"/>
      <c r="AD15" s="99"/>
      <c r="AE15" s="99"/>
      <c r="AF15" s="99"/>
      <c r="AG15" s="99"/>
      <c r="AH15" s="99"/>
      <c r="AI15" s="99"/>
      <c r="AK15" s="99"/>
      <c r="AL15" s="99"/>
      <c r="AM15" s="99"/>
      <c r="AN15" s="99"/>
      <c r="AO15" s="99"/>
      <c r="AP15" s="99"/>
      <c r="AR15" s="99"/>
      <c r="AS15" s="99"/>
      <c r="AT15" s="99"/>
      <c r="AU15" s="99"/>
      <c r="AV15" s="99"/>
      <c r="AW15" s="99"/>
    </row>
    <row r="16" spans="1:49" ht="13.05" hidden="1" customHeight="1" x14ac:dyDescent="0.25">
      <c r="A16" t="str">
        <f>Nutrients!B15</f>
        <v>Blood Meal</v>
      </c>
      <c r="B16" s="99"/>
      <c r="C16" s="99"/>
      <c r="D16" s="99"/>
      <c r="E16" s="99"/>
      <c r="F16" s="99"/>
      <c r="G16" s="99"/>
      <c r="H16" s="99"/>
      <c r="I16" s="99"/>
      <c r="J16" s="99"/>
      <c r="K16" s="99"/>
      <c r="L16" s="99"/>
      <c r="M16" s="99"/>
      <c r="N16" s="99"/>
      <c r="O16" s="10"/>
      <c r="P16" s="99"/>
      <c r="Q16" s="99"/>
      <c r="R16" s="99"/>
      <c r="S16" s="99"/>
      <c r="T16" s="99"/>
      <c r="U16" s="99"/>
      <c r="W16" s="99"/>
      <c r="X16" s="99"/>
      <c r="Y16" s="99"/>
      <c r="Z16" s="99"/>
      <c r="AA16" s="99"/>
      <c r="AB16" s="99"/>
      <c r="AD16" s="99"/>
      <c r="AE16" s="99"/>
      <c r="AF16" s="99"/>
      <c r="AG16" s="99"/>
      <c r="AH16" s="99"/>
      <c r="AI16" s="99"/>
      <c r="AK16" s="99"/>
      <c r="AL16" s="99"/>
      <c r="AM16" s="99"/>
      <c r="AN16" s="99"/>
      <c r="AO16" s="99"/>
      <c r="AP16" s="99"/>
      <c r="AR16" s="99"/>
      <c r="AS16" s="99"/>
      <c r="AT16" s="99"/>
      <c r="AU16" s="99"/>
      <c r="AV16" s="99"/>
      <c r="AW16" s="99"/>
    </row>
    <row r="17" spans="1:49" ht="13.05" hidden="1" customHeight="1" x14ac:dyDescent="0.25">
      <c r="A17" t="str">
        <f>Nutrients!B16</f>
        <v>Blood Plasma</v>
      </c>
      <c r="B17" s="99"/>
      <c r="C17" s="99"/>
      <c r="D17" s="99"/>
      <c r="E17" s="99"/>
      <c r="F17" s="99"/>
      <c r="G17" s="99"/>
      <c r="H17" s="99"/>
      <c r="I17" s="99"/>
      <c r="J17" s="99"/>
      <c r="K17" s="99"/>
      <c r="L17" s="99"/>
      <c r="M17" s="99"/>
      <c r="N17" s="99"/>
      <c r="O17" s="10"/>
      <c r="P17" s="99"/>
      <c r="Q17" s="99"/>
      <c r="R17" s="99"/>
      <c r="S17" s="99"/>
      <c r="T17" s="99"/>
      <c r="U17" s="99"/>
      <c r="W17" s="99"/>
      <c r="X17" s="99"/>
      <c r="Y17" s="99"/>
      <c r="Z17" s="99"/>
      <c r="AA17" s="99"/>
      <c r="AB17" s="99"/>
      <c r="AD17" s="99"/>
      <c r="AE17" s="99"/>
      <c r="AF17" s="99"/>
      <c r="AG17" s="99"/>
      <c r="AH17" s="99"/>
      <c r="AI17" s="99"/>
      <c r="AK17" s="99"/>
      <c r="AL17" s="99"/>
      <c r="AM17" s="99"/>
      <c r="AN17" s="99"/>
      <c r="AO17" s="99"/>
      <c r="AP17" s="99"/>
      <c r="AR17" s="99"/>
      <c r="AS17" s="99"/>
      <c r="AT17" s="99"/>
      <c r="AU17" s="99"/>
      <c r="AV17" s="99"/>
      <c r="AW17" s="99"/>
    </row>
    <row r="18" spans="1:49" ht="13.05" hidden="1" customHeight="1" x14ac:dyDescent="0.25">
      <c r="A18" t="str">
        <f>Nutrients!B17</f>
        <v>Brewers Grain</v>
      </c>
      <c r="B18" s="99"/>
      <c r="C18" s="99"/>
      <c r="D18" s="99"/>
      <c r="E18" s="99"/>
      <c r="F18" s="99"/>
      <c r="G18" s="99"/>
      <c r="H18" s="99"/>
      <c r="I18" s="99"/>
      <c r="J18" s="99"/>
      <c r="K18" s="99"/>
      <c r="L18" s="99"/>
      <c r="M18" s="99"/>
      <c r="N18" s="99"/>
      <c r="O18" s="10"/>
      <c r="P18" s="99"/>
      <c r="Q18" s="99"/>
      <c r="R18" s="99"/>
      <c r="S18" s="99"/>
      <c r="T18" s="99"/>
      <c r="U18" s="99"/>
      <c r="W18" s="99"/>
      <c r="X18" s="99"/>
      <c r="Y18" s="99"/>
      <c r="Z18" s="99"/>
      <c r="AA18" s="99"/>
      <c r="AB18" s="99"/>
      <c r="AD18" s="99"/>
      <c r="AE18" s="99"/>
      <c r="AF18" s="99"/>
      <c r="AG18" s="99"/>
      <c r="AH18" s="99"/>
      <c r="AI18" s="99"/>
      <c r="AK18" s="99"/>
      <c r="AL18" s="99"/>
      <c r="AM18" s="99"/>
      <c r="AN18" s="99"/>
      <c r="AO18" s="99"/>
      <c r="AP18" s="99"/>
      <c r="AR18" s="99"/>
      <c r="AS18" s="99"/>
      <c r="AT18" s="99"/>
      <c r="AU18" s="99"/>
      <c r="AV18" s="99"/>
      <c r="AW18" s="99"/>
    </row>
    <row r="19" spans="1:49" ht="13.05" hidden="1" customHeight="1" x14ac:dyDescent="0.25">
      <c r="A19" t="str">
        <f>Nutrients!B18</f>
        <v>Canola, Full Fat</v>
      </c>
      <c r="B19" s="99"/>
      <c r="C19" s="99"/>
      <c r="D19" s="99"/>
      <c r="E19" s="99"/>
      <c r="F19" s="99"/>
      <c r="G19" s="99"/>
      <c r="H19" s="99"/>
      <c r="I19" s="99"/>
      <c r="J19" s="99"/>
      <c r="K19" s="99"/>
      <c r="L19" s="99"/>
      <c r="M19" s="99"/>
      <c r="N19" s="99"/>
      <c r="O19" s="10"/>
      <c r="P19" s="99"/>
      <c r="Q19" s="99"/>
      <c r="R19" s="99"/>
      <c r="S19" s="99"/>
      <c r="T19" s="99"/>
      <c r="U19" s="99"/>
      <c r="W19" s="99"/>
      <c r="X19" s="99"/>
      <c r="Y19" s="99"/>
      <c r="Z19" s="99"/>
      <c r="AA19" s="99"/>
      <c r="AB19" s="99"/>
      <c r="AD19" s="99"/>
      <c r="AE19" s="99"/>
      <c r="AF19" s="99"/>
      <c r="AG19" s="99"/>
      <c r="AH19" s="99"/>
      <c r="AI19" s="99"/>
      <c r="AK19" s="99"/>
      <c r="AL19" s="99"/>
      <c r="AM19" s="99"/>
      <c r="AN19" s="99"/>
      <c r="AO19" s="99"/>
      <c r="AP19" s="99"/>
      <c r="AR19" s="99"/>
      <c r="AS19" s="99"/>
      <c r="AT19" s="99"/>
      <c r="AU19" s="99"/>
      <c r="AV19" s="99"/>
      <c r="AW19" s="99"/>
    </row>
    <row r="20" spans="1:49" ht="13.05" hidden="1" customHeight="1" x14ac:dyDescent="0.25">
      <c r="A20" t="str">
        <f>Nutrients!B19</f>
        <v>Canola Meal, Expelled</v>
      </c>
      <c r="B20" s="99"/>
      <c r="C20" s="99"/>
      <c r="D20" s="99"/>
      <c r="E20" s="99"/>
      <c r="F20" s="99"/>
      <c r="G20" s="99"/>
      <c r="H20" s="99"/>
      <c r="I20" s="99"/>
      <c r="J20" s="99"/>
      <c r="K20" s="99"/>
      <c r="L20" s="99"/>
      <c r="M20" s="99"/>
      <c r="N20" s="99"/>
      <c r="O20" s="10"/>
      <c r="P20" s="99"/>
      <c r="Q20" s="99"/>
      <c r="R20" s="99"/>
      <c r="S20" s="99"/>
      <c r="T20" s="99"/>
      <c r="U20" s="99"/>
      <c r="W20" s="99"/>
      <c r="X20" s="99"/>
      <c r="Y20" s="99"/>
      <c r="Z20" s="99"/>
      <c r="AA20" s="99"/>
      <c r="AB20" s="99"/>
      <c r="AD20" s="99"/>
      <c r="AE20" s="99"/>
      <c r="AF20" s="99"/>
      <c r="AG20" s="99"/>
      <c r="AH20" s="99"/>
      <c r="AI20" s="99"/>
      <c r="AK20" s="99"/>
      <c r="AL20" s="99"/>
      <c r="AM20" s="99"/>
      <c r="AN20" s="99"/>
      <c r="AO20" s="99"/>
      <c r="AP20" s="99"/>
      <c r="AR20" s="99"/>
      <c r="AS20" s="99"/>
      <c r="AT20" s="99"/>
      <c r="AU20" s="99"/>
      <c r="AV20" s="99"/>
      <c r="AW20" s="99"/>
    </row>
    <row r="21" spans="1:49" ht="13.05" hidden="1" customHeight="1" x14ac:dyDescent="0.25">
      <c r="A21" t="str">
        <f>Nutrients!B20</f>
        <v>Canola Meal, Solvent Extracted</v>
      </c>
      <c r="B21" s="99"/>
      <c r="C21" s="99"/>
      <c r="D21" s="99"/>
      <c r="E21" s="99"/>
      <c r="F21" s="99"/>
      <c r="G21" s="99"/>
      <c r="H21" s="99"/>
      <c r="I21" s="99"/>
      <c r="J21" s="99"/>
      <c r="K21" s="99"/>
      <c r="L21" s="99"/>
      <c r="M21" s="99"/>
      <c r="N21" s="99"/>
      <c r="O21" s="10"/>
      <c r="P21" s="99"/>
      <c r="Q21" s="99"/>
      <c r="R21" s="99"/>
      <c r="S21" s="99"/>
      <c r="T21" s="99"/>
      <c r="U21" s="99"/>
      <c r="W21" s="99"/>
      <c r="X21" s="99"/>
      <c r="Y21" s="99"/>
      <c r="Z21" s="99"/>
      <c r="AA21" s="99"/>
      <c r="AB21" s="99"/>
      <c r="AD21" s="99"/>
      <c r="AE21" s="99"/>
      <c r="AF21" s="99"/>
      <c r="AG21" s="99"/>
      <c r="AH21" s="99"/>
      <c r="AI21" s="99"/>
      <c r="AK21" s="99"/>
      <c r="AL21" s="99"/>
      <c r="AM21" s="99"/>
      <c r="AN21" s="99"/>
      <c r="AO21" s="99"/>
      <c r="AP21" s="99"/>
      <c r="AR21" s="99"/>
      <c r="AS21" s="99"/>
      <c r="AT21" s="99"/>
      <c r="AU21" s="99"/>
      <c r="AV21" s="99"/>
      <c r="AW21" s="99"/>
    </row>
    <row r="22" spans="1:49" ht="13.05" hidden="1" customHeight="1" x14ac:dyDescent="0.25">
      <c r="A22" t="str">
        <f>Nutrients!B21</f>
        <v>Casava Meal</v>
      </c>
      <c r="B22" s="99"/>
      <c r="C22" s="99"/>
      <c r="D22" s="99"/>
      <c r="E22" s="99"/>
      <c r="F22" s="99"/>
      <c r="G22" s="99"/>
      <c r="H22" s="99"/>
      <c r="I22" s="99"/>
      <c r="J22" s="99"/>
      <c r="K22" s="99"/>
      <c r="L22" s="99"/>
      <c r="M22" s="99"/>
      <c r="N22" s="99"/>
      <c r="O22" s="10"/>
      <c r="P22" s="99"/>
      <c r="Q22" s="99"/>
      <c r="R22" s="99"/>
      <c r="S22" s="99"/>
      <c r="T22" s="99"/>
      <c r="U22" s="99"/>
      <c r="W22" s="99"/>
      <c r="X22" s="99"/>
      <c r="Y22" s="99"/>
      <c r="Z22" s="99"/>
      <c r="AA22" s="99"/>
      <c r="AB22" s="99"/>
      <c r="AD22" s="99"/>
      <c r="AE22" s="99"/>
      <c r="AF22" s="99"/>
      <c r="AG22" s="99"/>
      <c r="AH22" s="99"/>
      <c r="AI22" s="99"/>
      <c r="AK22" s="99"/>
      <c r="AL22" s="99"/>
      <c r="AM22" s="99"/>
      <c r="AN22" s="99"/>
      <c r="AO22" s="99"/>
      <c r="AP22" s="99"/>
      <c r="AR22" s="99"/>
      <c r="AS22" s="99"/>
      <c r="AT22" s="99"/>
      <c r="AU22" s="99"/>
      <c r="AV22" s="99"/>
      <c r="AW22" s="99"/>
    </row>
    <row r="23" spans="1:49" ht="13.05" hidden="1" customHeight="1" x14ac:dyDescent="0.25">
      <c r="A23" t="str">
        <f>Nutrients!B22</f>
        <v>Citrus Pulp</v>
      </c>
      <c r="B23" s="99"/>
      <c r="C23" s="99"/>
      <c r="D23" s="99"/>
      <c r="E23" s="99"/>
      <c r="F23" s="99"/>
      <c r="G23" s="99"/>
      <c r="H23" s="99"/>
      <c r="I23" s="99"/>
      <c r="J23" s="99"/>
      <c r="K23" s="99"/>
      <c r="L23" s="99"/>
      <c r="M23" s="99"/>
      <c r="N23" s="99"/>
      <c r="O23" s="10"/>
      <c r="P23" s="99"/>
      <c r="Q23" s="99"/>
      <c r="R23" s="99"/>
      <c r="S23" s="99"/>
      <c r="T23" s="99"/>
      <c r="U23" s="99"/>
      <c r="W23" s="99"/>
      <c r="X23" s="99"/>
      <c r="Y23" s="99"/>
      <c r="Z23" s="99"/>
      <c r="AA23" s="99"/>
      <c r="AB23" s="99"/>
      <c r="AD23" s="99"/>
      <c r="AE23" s="99"/>
      <c r="AF23" s="99"/>
      <c r="AG23" s="99"/>
      <c r="AH23" s="99"/>
      <c r="AI23" s="99"/>
      <c r="AK23" s="99"/>
      <c r="AL23" s="99"/>
      <c r="AM23" s="99"/>
      <c r="AN23" s="99"/>
      <c r="AO23" s="99"/>
      <c r="AP23" s="99"/>
      <c r="AR23" s="99"/>
      <c r="AS23" s="99"/>
      <c r="AT23" s="99"/>
      <c r="AU23" s="99"/>
      <c r="AV23" s="99"/>
      <c r="AW23" s="99"/>
    </row>
    <row r="24" spans="1:49" ht="13.05" hidden="1" customHeight="1" x14ac:dyDescent="0.25">
      <c r="A24" t="str">
        <f>Nutrients!B23</f>
        <v>Copra Meal</v>
      </c>
      <c r="B24" s="99"/>
      <c r="C24" s="99"/>
      <c r="D24" s="99"/>
      <c r="E24" s="99"/>
      <c r="F24" s="99"/>
      <c r="G24" s="99"/>
      <c r="H24" s="99"/>
      <c r="I24" s="99"/>
      <c r="J24" s="99"/>
      <c r="K24" s="99"/>
      <c r="L24" s="99"/>
      <c r="M24" s="99"/>
      <c r="N24" s="99"/>
      <c r="O24" s="10"/>
      <c r="P24" s="99"/>
      <c r="Q24" s="99"/>
      <c r="R24" s="99"/>
      <c r="S24" s="99"/>
      <c r="T24" s="99"/>
      <c r="U24" s="99"/>
      <c r="W24" s="99"/>
      <c r="X24" s="99"/>
      <c r="Y24" s="99"/>
      <c r="Z24" s="99"/>
      <c r="AA24" s="99"/>
      <c r="AB24" s="99"/>
      <c r="AD24" s="99"/>
      <c r="AE24" s="99"/>
      <c r="AF24" s="99"/>
      <c r="AG24" s="99"/>
      <c r="AH24" s="99"/>
      <c r="AI24" s="99"/>
      <c r="AK24" s="99"/>
      <c r="AL24" s="99"/>
      <c r="AM24" s="99"/>
      <c r="AN24" s="99"/>
      <c r="AO24" s="99"/>
      <c r="AP24" s="99"/>
      <c r="AR24" s="99"/>
      <c r="AS24" s="99"/>
      <c r="AT24" s="99"/>
      <c r="AU24" s="99"/>
      <c r="AV24" s="99"/>
      <c r="AW24" s="99"/>
    </row>
    <row r="25" spans="1:49" ht="13.05" hidden="1" customHeight="1" x14ac:dyDescent="0.25">
      <c r="A25" t="str">
        <f>Nutrients!B24</f>
        <v>Corn, Yellow Dent</v>
      </c>
      <c r="B25" s="99"/>
      <c r="C25" s="99"/>
      <c r="D25" s="99"/>
      <c r="E25" s="99"/>
      <c r="F25" s="99"/>
      <c r="G25" s="99"/>
      <c r="H25" s="99"/>
      <c r="I25" s="99"/>
      <c r="J25" s="99"/>
      <c r="K25" s="99"/>
      <c r="L25" s="99"/>
      <c r="M25" s="99"/>
      <c r="N25" s="99"/>
      <c r="O25" s="10"/>
      <c r="P25" s="99"/>
      <c r="Q25" s="99"/>
      <c r="R25" s="99"/>
      <c r="S25" s="99"/>
      <c r="T25" s="99"/>
      <c r="U25" s="99"/>
      <c r="W25" s="99"/>
      <c r="X25" s="99"/>
      <c r="Y25" s="99"/>
      <c r="Z25" s="99"/>
      <c r="AA25" s="99"/>
      <c r="AB25" s="99"/>
      <c r="AD25" s="99"/>
      <c r="AE25" s="99"/>
      <c r="AF25" s="99"/>
      <c r="AG25" s="99"/>
      <c r="AH25" s="99"/>
      <c r="AI25" s="99"/>
      <c r="AK25" s="99"/>
      <c r="AL25" s="99"/>
      <c r="AM25" s="99"/>
      <c r="AN25" s="99"/>
      <c r="AO25" s="99"/>
      <c r="AP25" s="99"/>
      <c r="AR25" s="99"/>
      <c r="AS25" s="99"/>
      <c r="AT25" s="99"/>
      <c r="AU25" s="99"/>
      <c r="AV25" s="99"/>
      <c r="AW25" s="99"/>
    </row>
    <row r="26" spans="1:49" ht="13.05" hidden="1" customHeight="1" x14ac:dyDescent="0.25">
      <c r="A26" t="str">
        <f>Nutrients!B25</f>
        <v>Corn, Nutridense</v>
      </c>
      <c r="B26" s="99"/>
      <c r="C26" s="99"/>
      <c r="D26" s="99"/>
      <c r="E26" s="99"/>
      <c r="F26" s="99"/>
      <c r="G26" s="99"/>
      <c r="H26" s="99"/>
      <c r="I26" s="99"/>
      <c r="J26" s="99"/>
      <c r="K26" s="99"/>
      <c r="L26" s="99"/>
      <c r="M26" s="99"/>
      <c r="N26" s="99"/>
      <c r="O26" s="10"/>
      <c r="P26" s="99"/>
      <c r="Q26" s="99"/>
      <c r="R26" s="99"/>
      <c r="S26" s="99"/>
      <c r="T26" s="99"/>
      <c r="U26" s="99"/>
      <c r="W26" s="99"/>
      <c r="X26" s="99"/>
      <c r="Y26" s="99"/>
      <c r="Z26" s="99"/>
      <c r="AA26" s="99"/>
      <c r="AB26" s="99"/>
      <c r="AD26" s="99"/>
      <c r="AE26" s="99"/>
      <c r="AF26" s="99"/>
      <c r="AG26" s="99"/>
      <c r="AH26" s="99"/>
      <c r="AI26" s="99"/>
      <c r="AK26" s="99"/>
      <c r="AL26" s="99"/>
      <c r="AM26" s="99"/>
      <c r="AN26" s="99"/>
      <c r="AO26" s="99"/>
      <c r="AP26" s="99"/>
      <c r="AR26" s="99"/>
      <c r="AS26" s="99"/>
      <c r="AT26" s="99"/>
      <c r="AU26" s="99"/>
      <c r="AV26" s="99"/>
      <c r="AW26" s="99"/>
    </row>
    <row r="27" spans="1:49" ht="13.05" hidden="1" customHeight="1" x14ac:dyDescent="0.25">
      <c r="A27" t="str">
        <f>Nutrients!B26</f>
        <v>Corn Bran</v>
      </c>
      <c r="B27" s="99"/>
      <c r="C27" s="99"/>
      <c r="D27" s="99"/>
      <c r="E27" s="99"/>
      <c r="F27" s="99"/>
      <c r="G27" s="99"/>
      <c r="H27" s="99"/>
      <c r="I27" s="99"/>
      <c r="J27" s="99"/>
      <c r="K27" s="99"/>
      <c r="L27" s="99"/>
      <c r="M27" s="99"/>
      <c r="N27" s="99"/>
      <c r="O27" s="10"/>
      <c r="P27" s="99"/>
      <c r="Q27" s="99"/>
      <c r="R27" s="99"/>
      <c r="S27" s="99"/>
      <c r="T27" s="99"/>
      <c r="U27" s="99"/>
      <c r="W27" s="99"/>
      <c r="X27" s="99"/>
      <c r="Y27" s="99"/>
      <c r="Z27" s="99"/>
      <c r="AA27" s="99"/>
      <c r="AB27" s="99"/>
      <c r="AD27" s="99"/>
      <c r="AE27" s="99"/>
      <c r="AF27" s="99"/>
      <c r="AG27" s="99"/>
      <c r="AH27" s="99"/>
      <c r="AI27" s="99"/>
      <c r="AK27" s="99"/>
      <c r="AL27" s="99"/>
      <c r="AM27" s="99"/>
      <c r="AN27" s="99"/>
      <c r="AO27" s="99"/>
      <c r="AP27" s="99"/>
      <c r="AR27" s="99"/>
      <c r="AS27" s="99"/>
      <c r="AT27" s="99"/>
      <c r="AU27" s="99"/>
      <c r="AV27" s="99"/>
      <c r="AW27" s="99"/>
    </row>
    <row r="28" spans="1:49" ht="13.05" hidden="1" customHeight="1" x14ac:dyDescent="0.25">
      <c r="A28" t="str">
        <f>Nutrients!B27</f>
        <v>Corn DDG</v>
      </c>
      <c r="B28" s="99"/>
      <c r="C28" s="99"/>
      <c r="D28" s="99"/>
      <c r="E28" s="99"/>
      <c r="F28" s="99"/>
      <c r="G28" s="99"/>
      <c r="H28" s="99"/>
      <c r="I28" s="99"/>
      <c r="J28" s="99"/>
      <c r="K28" s="99"/>
      <c r="L28" s="99"/>
      <c r="M28" s="99"/>
      <c r="N28" s="99"/>
      <c r="O28" s="10"/>
      <c r="P28" s="99"/>
      <c r="Q28" s="99"/>
      <c r="R28" s="99"/>
      <c r="S28" s="99"/>
      <c r="T28" s="99"/>
      <c r="U28" s="99"/>
      <c r="W28" s="99"/>
      <c r="X28" s="99"/>
      <c r="Y28" s="99"/>
      <c r="Z28" s="99"/>
      <c r="AA28" s="99"/>
      <c r="AB28" s="99"/>
      <c r="AD28" s="99"/>
      <c r="AE28" s="99"/>
      <c r="AF28" s="99"/>
      <c r="AG28" s="99"/>
      <c r="AH28" s="99"/>
      <c r="AI28" s="99"/>
      <c r="AK28" s="99"/>
      <c r="AL28" s="99"/>
      <c r="AM28" s="99"/>
      <c r="AN28" s="99"/>
      <c r="AO28" s="99"/>
      <c r="AP28" s="99"/>
      <c r="AR28" s="99"/>
      <c r="AS28" s="99"/>
      <c r="AT28" s="99"/>
      <c r="AU28" s="99"/>
      <c r="AV28" s="99"/>
      <c r="AW28" s="99"/>
    </row>
    <row r="29" spans="1:49" ht="13.05" hidden="1" customHeight="1" x14ac:dyDescent="0.25">
      <c r="A29" t="str">
        <f>Nutrients!B28</f>
        <v>Corn DDGS, &gt;10% Oil</v>
      </c>
      <c r="B29" s="99"/>
      <c r="C29" s="99"/>
      <c r="D29" s="99"/>
      <c r="E29" s="99"/>
      <c r="F29" s="99"/>
      <c r="G29" s="99"/>
      <c r="H29" s="99"/>
      <c r="I29" s="99"/>
      <c r="J29" s="99"/>
      <c r="K29" s="99"/>
      <c r="L29" s="99"/>
      <c r="M29" s="99"/>
      <c r="N29" s="99"/>
      <c r="O29" s="10"/>
      <c r="P29" s="99"/>
      <c r="Q29" s="99"/>
      <c r="R29" s="99"/>
      <c r="S29" s="99"/>
      <c r="T29" s="99"/>
      <c r="U29" s="99"/>
      <c r="W29" s="99"/>
      <c r="X29" s="99"/>
      <c r="Y29" s="99"/>
      <c r="Z29" s="99"/>
      <c r="AA29" s="99"/>
      <c r="AB29" s="99"/>
      <c r="AD29" s="99"/>
      <c r="AE29" s="99"/>
      <c r="AF29" s="99"/>
      <c r="AG29" s="99"/>
      <c r="AH29" s="99"/>
      <c r="AI29" s="99"/>
      <c r="AK29" s="99"/>
      <c r="AL29" s="99"/>
      <c r="AM29" s="99"/>
      <c r="AN29" s="99"/>
      <c r="AO29" s="99"/>
      <c r="AP29" s="99"/>
      <c r="AR29" s="99"/>
      <c r="AS29" s="99"/>
      <c r="AT29" s="99"/>
      <c r="AU29" s="99"/>
      <c r="AV29" s="99"/>
      <c r="AW29" s="99"/>
    </row>
    <row r="30" spans="1:49" ht="13.05" hidden="1" customHeight="1" x14ac:dyDescent="0.25">
      <c r="A30" t="str">
        <f>Nutrients!B29</f>
        <v>Corn DDGS, &gt;6 and &lt;9% Oil</v>
      </c>
      <c r="B30" s="99"/>
      <c r="C30" s="99"/>
      <c r="D30" s="99"/>
      <c r="E30" s="99"/>
      <c r="F30" s="99"/>
      <c r="G30" s="99"/>
      <c r="H30" s="99"/>
      <c r="I30" s="99"/>
      <c r="J30" s="99"/>
      <c r="K30" s="99"/>
      <c r="L30" s="99"/>
      <c r="M30" s="99"/>
      <c r="N30" s="99"/>
      <c r="O30" s="10"/>
      <c r="P30" s="99"/>
      <c r="Q30" s="99"/>
      <c r="R30" s="99"/>
      <c r="S30" s="99"/>
      <c r="T30" s="99"/>
      <c r="U30" s="99"/>
      <c r="W30" s="99"/>
      <c r="X30" s="99"/>
      <c r="Y30" s="99"/>
      <c r="Z30" s="99"/>
      <c r="AA30" s="99"/>
      <c r="AB30" s="99"/>
      <c r="AD30" s="99"/>
      <c r="AE30" s="99"/>
      <c r="AF30" s="99"/>
      <c r="AG30" s="99"/>
      <c r="AH30" s="99"/>
      <c r="AI30" s="99"/>
      <c r="AK30" s="99"/>
      <c r="AL30" s="99"/>
      <c r="AM30" s="99"/>
      <c r="AN30" s="99"/>
      <c r="AO30" s="99"/>
      <c r="AP30" s="99"/>
      <c r="AR30" s="99"/>
      <c r="AS30" s="99"/>
      <c r="AT30" s="99"/>
      <c r="AU30" s="99"/>
      <c r="AV30" s="99"/>
      <c r="AW30" s="99"/>
    </row>
    <row r="31" spans="1:49" ht="13.05" hidden="1" customHeight="1" x14ac:dyDescent="0.25">
      <c r="A31" t="str">
        <f>Nutrients!B30</f>
        <v>Corn DDGS, &lt;4% Oil</v>
      </c>
      <c r="B31" s="99"/>
      <c r="C31" s="99"/>
      <c r="D31" s="99"/>
      <c r="E31" s="99"/>
      <c r="F31" s="99"/>
      <c r="G31" s="99"/>
      <c r="H31" s="99"/>
      <c r="I31" s="99"/>
      <c r="J31" s="99"/>
      <c r="K31" s="99"/>
      <c r="L31" s="99"/>
      <c r="M31" s="99"/>
      <c r="N31" s="99"/>
      <c r="O31" s="10"/>
      <c r="P31" s="99"/>
      <c r="Q31" s="99"/>
      <c r="R31" s="99"/>
      <c r="S31" s="99"/>
      <c r="T31" s="99"/>
      <c r="U31" s="99"/>
      <c r="W31" s="99"/>
      <c r="X31" s="99"/>
      <c r="Y31" s="99"/>
      <c r="Z31" s="99"/>
      <c r="AA31" s="99"/>
      <c r="AB31" s="99"/>
      <c r="AD31" s="99"/>
      <c r="AE31" s="99"/>
      <c r="AF31" s="99"/>
      <c r="AG31" s="99"/>
      <c r="AH31" s="99"/>
      <c r="AI31" s="99"/>
      <c r="AK31" s="99"/>
      <c r="AL31" s="99"/>
      <c r="AM31" s="99"/>
      <c r="AN31" s="99"/>
      <c r="AO31" s="99"/>
      <c r="AP31" s="99"/>
      <c r="AR31" s="99"/>
      <c r="AS31" s="99"/>
      <c r="AT31" s="99"/>
      <c r="AU31" s="99"/>
      <c r="AV31" s="99"/>
      <c r="AW31" s="99"/>
    </row>
    <row r="32" spans="1:49" ht="13.05" hidden="1" customHeight="1" x14ac:dyDescent="0.25">
      <c r="A32" t="str">
        <f>Nutrients!B31</f>
        <v>Corn HP DDG</v>
      </c>
      <c r="B32" s="99"/>
      <c r="C32" s="99"/>
      <c r="D32" s="99"/>
      <c r="E32" s="99"/>
      <c r="F32" s="99"/>
      <c r="G32" s="99"/>
      <c r="H32" s="99"/>
      <c r="I32" s="99"/>
      <c r="J32" s="99"/>
      <c r="K32" s="99"/>
      <c r="L32" s="99"/>
      <c r="M32" s="99"/>
      <c r="N32" s="99"/>
      <c r="O32" s="10"/>
      <c r="P32" s="99"/>
      <c r="Q32" s="99"/>
      <c r="R32" s="99"/>
      <c r="S32" s="99"/>
      <c r="T32" s="99"/>
      <c r="U32" s="99"/>
      <c r="W32" s="99"/>
      <c r="X32" s="99"/>
      <c r="Y32" s="99"/>
      <c r="Z32" s="99"/>
      <c r="AA32" s="99"/>
      <c r="AB32" s="99"/>
      <c r="AD32" s="99"/>
      <c r="AE32" s="99"/>
      <c r="AF32" s="99"/>
      <c r="AG32" s="99"/>
      <c r="AH32" s="99"/>
      <c r="AI32" s="99"/>
      <c r="AK32" s="99"/>
      <c r="AL32" s="99"/>
      <c r="AM32" s="99"/>
      <c r="AN32" s="99"/>
      <c r="AO32" s="99"/>
      <c r="AP32" s="99"/>
      <c r="AR32" s="99"/>
      <c r="AS32" s="99"/>
      <c r="AT32" s="99"/>
      <c r="AU32" s="99"/>
      <c r="AV32" s="99"/>
      <c r="AW32" s="99"/>
    </row>
    <row r="33" spans="1:49" ht="13.05" hidden="1" customHeight="1" x14ac:dyDescent="0.25">
      <c r="A33" t="str">
        <f>Nutrients!B32</f>
        <v>Corn Germ</v>
      </c>
      <c r="B33" s="99"/>
      <c r="C33" s="99"/>
      <c r="D33" s="99"/>
      <c r="E33" s="99"/>
      <c r="F33" s="99"/>
      <c r="G33" s="99"/>
      <c r="H33" s="99"/>
      <c r="I33" s="99"/>
      <c r="J33" s="99"/>
      <c r="K33" s="99"/>
      <c r="L33" s="99"/>
      <c r="M33" s="99"/>
      <c r="N33" s="99"/>
      <c r="O33" s="10"/>
      <c r="P33" s="99"/>
      <c r="Q33" s="99"/>
      <c r="R33" s="99"/>
      <c r="S33" s="99"/>
      <c r="T33" s="99"/>
      <c r="U33" s="99"/>
      <c r="W33" s="99"/>
      <c r="X33" s="99"/>
      <c r="Y33" s="99"/>
      <c r="Z33" s="99"/>
      <c r="AA33" s="99"/>
      <c r="AB33" s="99"/>
      <c r="AD33" s="99"/>
      <c r="AE33" s="99"/>
      <c r="AF33" s="99"/>
      <c r="AG33" s="99"/>
      <c r="AH33" s="99"/>
      <c r="AI33" s="99"/>
      <c r="AK33" s="99"/>
      <c r="AL33" s="99"/>
      <c r="AM33" s="99"/>
      <c r="AN33" s="99"/>
      <c r="AO33" s="99"/>
      <c r="AP33" s="99"/>
      <c r="AR33" s="99"/>
      <c r="AS33" s="99"/>
      <c r="AT33" s="99"/>
      <c r="AU33" s="99"/>
      <c r="AV33" s="99"/>
      <c r="AW33" s="99"/>
    </row>
    <row r="34" spans="1:49" ht="13.05" hidden="1" customHeight="1" x14ac:dyDescent="0.25">
      <c r="A34" t="str">
        <f>Nutrients!B33</f>
        <v>Corn Germ Meal</v>
      </c>
      <c r="B34" s="99"/>
      <c r="C34" s="99"/>
      <c r="D34" s="99"/>
      <c r="E34" s="99"/>
      <c r="F34" s="99"/>
      <c r="G34" s="99"/>
      <c r="H34" s="99"/>
      <c r="I34" s="99"/>
      <c r="J34" s="99"/>
      <c r="K34" s="99"/>
      <c r="L34" s="99"/>
      <c r="M34" s="99"/>
      <c r="N34" s="99"/>
      <c r="O34" s="10"/>
      <c r="P34" s="99"/>
      <c r="Q34" s="99"/>
      <c r="R34" s="99"/>
      <c r="S34" s="99"/>
      <c r="T34" s="99"/>
      <c r="U34" s="99"/>
      <c r="W34" s="99"/>
      <c r="X34" s="99"/>
      <c r="Y34" s="99"/>
      <c r="Z34" s="99"/>
      <c r="AA34" s="99"/>
      <c r="AB34" s="99"/>
      <c r="AD34" s="99"/>
      <c r="AE34" s="99"/>
      <c r="AF34" s="99"/>
      <c r="AG34" s="99"/>
      <c r="AH34" s="99"/>
      <c r="AI34" s="99"/>
      <c r="AK34" s="99"/>
      <c r="AL34" s="99"/>
      <c r="AM34" s="99"/>
      <c r="AN34" s="99"/>
      <c r="AO34" s="99"/>
      <c r="AP34" s="99"/>
      <c r="AR34" s="99"/>
      <c r="AS34" s="99"/>
      <c r="AT34" s="99"/>
      <c r="AU34" s="99"/>
      <c r="AV34" s="99"/>
      <c r="AW34" s="99"/>
    </row>
    <row r="35" spans="1:49" ht="13.05" hidden="1" customHeight="1" x14ac:dyDescent="0.25">
      <c r="A35" t="str">
        <f>Nutrients!B34</f>
        <v>Corn Gluten Feed</v>
      </c>
      <c r="B35" s="99"/>
      <c r="C35" s="99"/>
      <c r="D35" s="99"/>
      <c r="E35" s="99"/>
      <c r="F35" s="99"/>
      <c r="G35" s="99"/>
      <c r="H35" s="99"/>
      <c r="I35" s="99"/>
      <c r="J35" s="99"/>
      <c r="K35" s="99"/>
      <c r="L35" s="99"/>
      <c r="M35" s="99"/>
      <c r="N35" s="99"/>
      <c r="O35" s="10"/>
      <c r="P35" s="99"/>
      <c r="Q35" s="99"/>
      <c r="R35" s="99"/>
      <c r="S35" s="99"/>
      <c r="T35" s="99"/>
      <c r="U35" s="99"/>
      <c r="W35" s="99"/>
      <c r="X35" s="99"/>
      <c r="Y35" s="99"/>
      <c r="Z35" s="99"/>
      <c r="AA35" s="99"/>
      <c r="AB35" s="99"/>
      <c r="AD35" s="99"/>
      <c r="AE35" s="99"/>
      <c r="AF35" s="99"/>
      <c r="AG35" s="99"/>
      <c r="AH35" s="99"/>
      <c r="AI35" s="99"/>
      <c r="AK35" s="99"/>
      <c r="AL35" s="99"/>
      <c r="AM35" s="99"/>
      <c r="AN35" s="99"/>
      <c r="AO35" s="99"/>
      <c r="AP35" s="99"/>
      <c r="AR35" s="99"/>
      <c r="AS35" s="99"/>
      <c r="AT35" s="99"/>
      <c r="AU35" s="99"/>
      <c r="AV35" s="99"/>
      <c r="AW35" s="99"/>
    </row>
    <row r="36" spans="1:49" ht="13.05" hidden="1" customHeight="1" x14ac:dyDescent="0.25">
      <c r="A36" t="str">
        <f>Nutrients!B35</f>
        <v>Corn Gluten Meal</v>
      </c>
      <c r="B36" s="99"/>
      <c r="C36" s="99"/>
      <c r="D36" s="99"/>
      <c r="E36" s="99"/>
      <c r="F36" s="99"/>
      <c r="G36" s="99"/>
      <c r="H36" s="99"/>
      <c r="I36" s="99"/>
      <c r="J36" s="99"/>
      <c r="K36" s="99"/>
      <c r="L36" s="99"/>
      <c r="M36" s="99"/>
      <c r="N36" s="99"/>
      <c r="O36" s="10"/>
      <c r="P36" s="99"/>
      <c r="Q36" s="99"/>
      <c r="R36" s="99"/>
      <c r="S36" s="99"/>
      <c r="T36" s="99"/>
      <c r="U36" s="99"/>
      <c r="W36" s="99"/>
      <c r="X36" s="99"/>
      <c r="Y36" s="99"/>
      <c r="Z36" s="99"/>
      <c r="AA36" s="99"/>
      <c r="AB36" s="99"/>
      <c r="AD36" s="99"/>
      <c r="AE36" s="99"/>
      <c r="AF36" s="99"/>
      <c r="AG36" s="99"/>
      <c r="AH36" s="99"/>
      <c r="AI36" s="99"/>
      <c r="AK36" s="99"/>
      <c r="AL36" s="99"/>
      <c r="AM36" s="99"/>
      <c r="AN36" s="99"/>
      <c r="AO36" s="99"/>
      <c r="AP36" s="99"/>
      <c r="AR36" s="99"/>
      <c r="AS36" s="99"/>
      <c r="AT36" s="99"/>
      <c r="AU36" s="99"/>
      <c r="AV36" s="99"/>
      <c r="AW36" s="99"/>
    </row>
    <row r="37" spans="1:49" ht="13.05" hidden="1" customHeight="1" x14ac:dyDescent="0.25">
      <c r="A37" t="str">
        <f>Nutrients!B36</f>
        <v>Corn Grits, Hominy Feed</v>
      </c>
      <c r="B37" s="99"/>
      <c r="C37" s="99"/>
      <c r="D37" s="99"/>
      <c r="E37" s="99"/>
      <c r="F37" s="99"/>
      <c r="G37" s="99"/>
      <c r="H37" s="99"/>
      <c r="I37" s="99"/>
      <c r="J37" s="99"/>
      <c r="K37" s="99"/>
      <c r="L37" s="99"/>
      <c r="M37" s="99"/>
      <c r="N37" s="99"/>
      <c r="O37" s="10"/>
      <c r="P37" s="99"/>
      <c r="Q37" s="99"/>
      <c r="R37" s="99"/>
      <c r="S37" s="99"/>
      <c r="T37" s="99"/>
      <c r="U37" s="99"/>
      <c r="W37" s="99"/>
      <c r="X37" s="99"/>
      <c r="Y37" s="99"/>
      <c r="Z37" s="99"/>
      <c r="AA37" s="99"/>
      <c r="AB37" s="99"/>
      <c r="AD37" s="99"/>
      <c r="AE37" s="99"/>
      <c r="AF37" s="99"/>
      <c r="AG37" s="99"/>
      <c r="AH37" s="99"/>
      <c r="AI37" s="99"/>
      <c r="AK37" s="99"/>
      <c r="AL37" s="99"/>
      <c r="AM37" s="99"/>
      <c r="AN37" s="99"/>
      <c r="AO37" s="99"/>
      <c r="AP37" s="99"/>
      <c r="AR37" s="99"/>
      <c r="AS37" s="99"/>
      <c r="AT37" s="99"/>
      <c r="AU37" s="99"/>
      <c r="AV37" s="99"/>
      <c r="AW37" s="99"/>
    </row>
    <row r="38" spans="1:49" ht="13.05" hidden="1" customHeight="1" x14ac:dyDescent="0.25">
      <c r="A38" t="str">
        <f>Nutrients!B37</f>
        <v>Cotton Seeds, Fullfat</v>
      </c>
      <c r="B38" s="99"/>
      <c r="C38" s="99"/>
      <c r="D38" s="99"/>
      <c r="E38" s="99"/>
      <c r="F38" s="99"/>
      <c r="G38" s="99"/>
      <c r="H38" s="99"/>
      <c r="I38" s="99"/>
      <c r="J38" s="99"/>
      <c r="K38" s="99"/>
      <c r="L38" s="99"/>
      <c r="M38" s="99"/>
      <c r="N38" s="99"/>
      <c r="O38" s="10"/>
      <c r="P38" s="99"/>
      <c r="Q38" s="99"/>
      <c r="R38" s="99"/>
      <c r="S38" s="99"/>
      <c r="T38" s="99"/>
      <c r="U38" s="99"/>
      <c r="W38" s="99"/>
      <c r="X38" s="99"/>
      <c r="Y38" s="99"/>
      <c r="Z38" s="99"/>
      <c r="AA38" s="99"/>
      <c r="AB38" s="99"/>
      <c r="AD38" s="99"/>
      <c r="AE38" s="99"/>
      <c r="AF38" s="99"/>
      <c r="AG38" s="99"/>
      <c r="AH38" s="99"/>
      <c r="AI38" s="99"/>
      <c r="AK38" s="99"/>
      <c r="AL38" s="99"/>
      <c r="AM38" s="99"/>
      <c r="AN38" s="99"/>
      <c r="AO38" s="99"/>
      <c r="AP38" s="99"/>
      <c r="AR38" s="99"/>
      <c r="AS38" s="99"/>
      <c r="AT38" s="99"/>
      <c r="AU38" s="99"/>
      <c r="AV38" s="99"/>
      <c r="AW38" s="99"/>
    </row>
    <row r="39" spans="1:49" ht="13.05" hidden="1" customHeight="1" x14ac:dyDescent="0.25">
      <c r="A39" t="str">
        <f>Nutrients!B38</f>
        <v>Cotton Seed Meal</v>
      </c>
      <c r="B39" s="99"/>
      <c r="C39" s="99"/>
      <c r="D39" s="99"/>
      <c r="E39" s="99"/>
      <c r="F39" s="99"/>
      <c r="G39" s="99"/>
      <c r="H39" s="99"/>
      <c r="I39" s="99"/>
      <c r="J39" s="99"/>
      <c r="K39" s="99"/>
      <c r="L39" s="99"/>
      <c r="M39" s="99"/>
      <c r="N39" s="99"/>
      <c r="O39" s="10"/>
      <c r="P39" s="99"/>
      <c r="Q39" s="99"/>
      <c r="R39" s="99"/>
      <c r="S39" s="99"/>
      <c r="T39" s="99"/>
      <c r="U39" s="99"/>
      <c r="W39" s="99"/>
      <c r="X39" s="99"/>
      <c r="Y39" s="99"/>
      <c r="Z39" s="99"/>
      <c r="AA39" s="99"/>
      <c r="AB39" s="99"/>
      <c r="AD39" s="99"/>
      <c r="AE39" s="99"/>
      <c r="AF39" s="99"/>
      <c r="AG39" s="99"/>
      <c r="AH39" s="99"/>
      <c r="AI39" s="99"/>
      <c r="AK39" s="99"/>
      <c r="AL39" s="99"/>
      <c r="AM39" s="99"/>
      <c r="AN39" s="99"/>
      <c r="AO39" s="99"/>
      <c r="AP39" s="99"/>
      <c r="AR39" s="99"/>
      <c r="AS39" s="99"/>
      <c r="AT39" s="99"/>
      <c r="AU39" s="99"/>
      <c r="AV39" s="99"/>
      <c r="AW39" s="99"/>
    </row>
    <row r="40" spans="1:49" ht="13.05" hidden="1" customHeight="1" x14ac:dyDescent="0.25">
      <c r="A40" t="str">
        <f>Nutrients!B39</f>
        <v>Feather Meal</v>
      </c>
      <c r="B40" s="99"/>
      <c r="C40" s="99"/>
      <c r="D40" s="99"/>
      <c r="E40" s="99"/>
      <c r="F40" s="99"/>
      <c r="G40" s="99"/>
      <c r="H40" s="99"/>
      <c r="I40" s="99"/>
      <c r="J40" s="99"/>
      <c r="K40" s="99"/>
      <c r="L40" s="99"/>
      <c r="M40" s="99"/>
      <c r="N40" s="99"/>
      <c r="O40" s="10"/>
      <c r="P40" s="99"/>
      <c r="Q40" s="99"/>
      <c r="R40" s="99"/>
      <c r="S40" s="99"/>
      <c r="T40" s="99"/>
      <c r="U40" s="99"/>
      <c r="W40" s="99"/>
      <c r="X40" s="99"/>
      <c r="Y40" s="99"/>
      <c r="Z40" s="99"/>
      <c r="AA40" s="99"/>
      <c r="AB40" s="99"/>
      <c r="AD40" s="99"/>
      <c r="AE40" s="99"/>
      <c r="AF40" s="99"/>
      <c r="AG40" s="99"/>
      <c r="AH40" s="99"/>
      <c r="AI40" s="99"/>
      <c r="AK40" s="99"/>
      <c r="AL40" s="99"/>
      <c r="AM40" s="99"/>
      <c r="AN40" s="99"/>
      <c r="AO40" s="99"/>
      <c r="AP40" s="99"/>
      <c r="AR40" s="99"/>
      <c r="AS40" s="99"/>
      <c r="AT40" s="99"/>
      <c r="AU40" s="99"/>
      <c r="AV40" s="99"/>
      <c r="AW40" s="99"/>
    </row>
    <row r="41" spans="1:49" ht="13.05" hidden="1" customHeight="1" x14ac:dyDescent="0.25">
      <c r="A41" t="str">
        <f>Nutrients!B40</f>
        <v>Fish Meal Combined</v>
      </c>
      <c r="B41" s="99"/>
      <c r="C41" s="99"/>
      <c r="D41" s="99"/>
      <c r="E41" s="99"/>
      <c r="F41" s="99"/>
      <c r="G41" s="99"/>
      <c r="H41" s="99"/>
      <c r="I41" s="99"/>
      <c r="J41" s="99"/>
      <c r="K41" s="99"/>
      <c r="L41" s="99"/>
      <c r="M41" s="99"/>
      <c r="N41" s="99"/>
      <c r="O41" s="10"/>
      <c r="P41" s="99"/>
      <c r="Q41" s="99"/>
      <c r="R41" s="99"/>
      <c r="S41" s="99"/>
      <c r="T41" s="99"/>
      <c r="U41" s="99"/>
      <c r="W41" s="99"/>
      <c r="X41" s="99"/>
      <c r="Y41" s="99"/>
      <c r="Z41" s="99"/>
      <c r="AA41" s="99"/>
      <c r="AB41" s="99"/>
      <c r="AD41" s="99"/>
      <c r="AE41" s="99"/>
      <c r="AF41" s="99"/>
      <c r="AG41" s="99"/>
      <c r="AH41" s="99"/>
      <c r="AI41" s="99"/>
      <c r="AK41" s="99"/>
      <c r="AL41" s="99"/>
      <c r="AM41" s="99"/>
      <c r="AN41" s="99"/>
      <c r="AO41" s="99"/>
      <c r="AP41" s="99"/>
      <c r="AR41" s="99"/>
      <c r="AS41" s="99"/>
      <c r="AT41" s="99"/>
      <c r="AU41" s="99"/>
      <c r="AV41" s="99"/>
      <c r="AW41" s="99"/>
    </row>
    <row r="42" spans="1:49" ht="13.05" hidden="1" customHeight="1" x14ac:dyDescent="0.25">
      <c r="A42" t="str">
        <f>Nutrients!B41</f>
        <v>Flaxseed</v>
      </c>
      <c r="B42" s="99"/>
      <c r="C42" s="99"/>
      <c r="D42" s="99"/>
      <c r="E42" s="99"/>
      <c r="F42" s="99"/>
      <c r="G42" s="99"/>
      <c r="H42" s="99"/>
      <c r="I42" s="99"/>
      <c r="J42" s="99"/>
      <c r="K42" s="99"/>
      <c r="L42" s="99"/>
      <c r="M42" s="99"/>
      <c r="N42" s="99"/>
      <c r="O42" s="10"/>
      <c r="P42" s="99"/>
      <c r="Q42" s="99"/>
      <c r="R42" s="99"/>
      <c r="S42" s="99"/>
      <c r="T42" s="99"/>
      <c r="U42" s="99"/>
      <c r="W42" s="99"/>
      <c r="X42" s="99"/>
      <c r="Y42" s="99"/>
      <c r="Z42" s="99"/>
      <c r="AA42" s="99"/>
      <c r="AB42" s="99"/>
      <c r="AD42" s="99"/>
      <c r="AE42" s="99"/>
      <c r="AF42" s="99"/>
      <c r="AG42" s="99"/>
      <c r="AH42" s="99"/>
      <c r="AI42" s="99"/>
      <c r="AK42" s="99"/>
      <c r="AL42" s="99"/>
      <c r="AM42" s="99"/>
      <c r="AN42" s="99"/>
      <c r="AO42" s="99"/>
      <c r="AP42" s="99"/>
      <c r="AR42" s="99"/>
      <c r="AS42" s="99"/>
      <c r="AT42" s="99"/>
      <c r="AU42" s="99"/>
      <c r="AV42" s="99"/>
      <c r="AW42" s="99"/>
    </row>
    <row r="43" spans="1:49" ht="13.05" hidden="1" customHeight="1" x14ac:dyDescent="0.25">
      <c r="A43" t="str">
        <f>Nutrients!B42</f>
        <v>Flaxseed Meal</v>
      </c>
      <c r="B43" s="99"/>
      <c r="C43" s="99"/>
      <c r="D43" s="99"/>
      <c r="E43" s="99"/>
      <c r="F43" s="99"/>
      <c r="G43" s="99"/>
      <c r="H43" s="99"/>
      <c r="I43" s="99"/>
      <c r="J43" s="99"/>
      <c r="K43" s="99"/>
      <c r="L43" s="99"/>
      <c r="M43" s="99"/>
      <c r="N43" s="99"/>
      <c r="O43" s="10"/>
      <c r="P43" s="99"/>
      <c r="Q43" s="99"/>
      <c r="R43" s="99"/>
      <c r="S43" s="99"/>
      <c r="T43" s="99"/>
      <c r="U43" s="99"/>
      <c r="W43" s="99"/>
      <c r="X43" s="99"/>
      <c r="Y43" s="99"/>
      <c r="Z43" s="99"/>
      <c r="AA43" s="99"/>
      <c r="AB43" s="99"/>
      <c r="AD43" s="99"/>
      <c r="AE43" s="99"/>
      <c r="AF43" s="99"/>
      <c r="AG43" s="99"/>
      <c r="AH43" s="99"/>
      <c r="AI43" s="99"/>
      <c r="AK43" s="99"/>
      <c r="AL43" s="99"/>
      <c r="AM43" s="99"/>
      <c r="AN43" s="99"/>
      <c r="AO43" s="99"/>
      <c r="AP43" s="99"/>
      <c r="AR43" s="99"/>
      <c r="AS43" s="99"/>
      <c r="AT43" s="99"/>
      <c r="AU43" s="99"/>
      <c r="AV43" s="99"/>
      <c r="AW43" s="99"/>
    </row>
    <row r="44" spans="1:49" ht="13.05" hidden="1" customHeight="1" x14ac:dyDescent="0.25">
      <c r="A44" t="str">
        <f>Nutrients!B43</f>
        <v>Lupins</v>
      </c>
      <c r="B44" s="99"/>
      <c r="C44" s="99"/>
      <c r="D44" s="99"/>
      <c r="E44" s="99"/>
      <c r="F44" s="99"/>
      <c r="G44" s="99"/>
      <c r="H44" s="99"/>
      <c r="I44" s="99"/>
      <c r="J44" s="99"/>
      <c r="K44" s="99"/>
      <c r="L44" s="99"/>
      <c r="M44" s="99"/>
      <c r="N44" s="99"/>
      <c r="O44" s="10"/>
      <c r="P44" s="99"/>
      <c r="Q44" s="99"/>
      <c r="R44" s="99"/>
      <c r="S44" s="99"/>
      <c r="T44" s="99"/>
      <c r="U44" s="99"/>
      <c r="W44" s="99"/>
      <c r="X44" s="99"/>
      <c r="Y44" s="99"/>
      <c r="Z44" s="99"/>
      <c r="AA44" s="99"/>
      <c r="AB44" s="99"/>
      <c r="AD44" s="99"/>
      <c r="AE44" s="99"/>
      <c r="AF44" s="99"/>
      <c r="AG44" s="99"/>
      <c r="AH44" s="99"/>
      <c r="AI44" s="99"/>
      <c r="AK44" s="99"/>
      <c r="AL44" s="99"/>
      <c r="AM44" s="99"/>
      <c r="AN44" s="99"/>
      <c r="AO44" s="99"/>
      <c r="AP44" s="99"/>
      <c r="AR44" s="99"/>
      <c r="AS44" s="99"/>
      <c r="AT44" s="99"/>
      <c r="AU44" s="99"/>
      <c r="AV44" s="99"/>
      <c r="AW44" s="99"/>
    </row>
    <row r="45" spans="1:49" ht="13.05" hidden="1" customHeight="1" x14ac:dyDescent="0.25">
      <c r="A45" t="str">
        <f>Nutrients!B44</f>
        <v>Meat Meal</v>
      </c>
      <c r="B45" s="99"/>
      <c r="C45" s="99"/>
      <c r="D45" s="99"/>
      <c r="E45" s="99"/>
      <c r="F45" s="99"/>
      <c r="G45" s="99"/>
      <c r="H45" s="99"/>
      <c r="I45" s="99"/>
      <c r="J45" s="99"/>
      <c r="K45" s="99"/>
      <c r="L45" s="99"/>
      <c r="M45" s="99"/>
      <c r="N45" s="99"/>
      <c r="O45" s="10"/>
      <c r="P45" s="99"/>
      <c r="Q45" s="99"/>
      <c r="R45" s="99"/>
      <c r="S45" s="99"/>
      <c r="T45" s="99"/>
      <c r="U45" s="99"/>
      <c r="W45" s="99"/>
      <c r="X45" s="99"/>
      <c r="Y45" s="99"/>
      <c r="Z45" s="99"/>
      <c r="AA45" s="99"/>
      <c r="AB45" s="99"/>
      <c r="AD45" s="99"/>
      <c r="AE45" s="99"/>
      <c r="AF45" s="99"/>
      <c r="AG45" s="99"/>
      <c r="AH45" s="99"/>
      <c r="AI45" s="99"/>
      <c r="AK45" s="99"/>
      <c r="AL45" s="99"/>
      <c r="AM45" s="99"/>
      <c r="AN45" s="99"/>
      <c r="AO45" s="99"/>
      <c r="AP45" s="99"/>
      <c r="AR45" s="99"/>
      <c r="AS45" s="99"/>
      <c r="AT45" s="99"/>
      <c r="AU45" s="99"/>
      <c r="AV45" s="99"/>
      <c r="AW45" s="99"/>
    </row>
    <row r="46" spans="1:49" ht="13.05" hidden="1" customHeight="1" x14ac:dyDescent="0.25">
      <c r="A46" t="str">
        <f>Nutrients!B45</f>
        <v>Meat and Bone Meal, P &gt;4%</v>
      </c>
      <c r="B46" s="99"/>
      <c r="C46" s="99"/>
      <c r="D46" s="99"/>
      <c r="E46" s="99"/>
      <c r="F46" s="99"/>
      <c r="G46" s="99"/>
      <c r="H46" s="99"/>
      <c r="I46" s="99"/>
      <c r="J46" s="99"/>
      <c r="K46" s="99"/>
      <c r="L46" s="99"/>
      <c r="M46" s="99"/>
      <c r="N46" s="99"/>
      <c r="O46" s="10"/>
      <c r="P46" s="99"/>
      <c r="Q46" s="99"/>
      <c r="R46" s="99"/>
      <c r="S46" s="99"/>
      <c r="T46" s="99"/>
      <c r="U46" s="99"/>
      <c r="W46" s="99"/>
      <c r="X46" s="99"/>
      <c r="Y46" s="99"/>
      <c r="Z46" s="99"/>
      <c r="AA46" s="99"/>
      <c r="AB46" s="99"/>
      <c r="AD46" s="99"/>
      <c r="AE46" s="99"/>
      <c r="AF46" s="99"/>
      <c r="AG46" s="99"/>
      <c r="AH46" s="99"/>
      <c r="AI46" s="99"/>
      <c r="AK46" s="99"/>
      <c r="AL46" s="99"/>
      <c r="AM46" s="99"/>
      <c r="AN46" s="99"/>
      <c r="AO46" s="99"/>
      <c r="AP46" s="99"/>
      <c r="AR46" s="99"/>
      <c r="AS46" s="99"/>
      <c r="AT46" s="99"/>
      <c r="AU46" s="99"/>
      <c r="AV46" s="99"/>
      <c r="AW46" s="99"/>
    </row>
    <row r="47" spans="1:49" ht="13.05" hidden="1" customHeight="1" x14ac:dyDescent="0.25">
      <c r="A47" t="str">
        <f>Nutrients!B46</f>
        <v>Milk, Casein</v>
      </c>
      <c r="B47" s="99"/>
      <c r="C47" s="99"/>
      <c r="D47" s="99"/>
      <c r="E47" s="99"/>
      <c r="F47" s="99"/>
      <c r="G47" s="99"/>
      <c r="H47" s="99"/>
      <c r="I47" s="99"/>
      <c r="J47" s="99"/>
      <c r="K47" s="99"/>
      <c r="L47" s="99"/>
      <c r="M47" s="99"/>
      <c r="N47" s="99"/>
      <c r="O47" s="10"/>
      <c r="P47" s="99"/>
      <c r="Q47" s="99"/>
      <c r="R47" s="99"/>
      <c r="S47" s="99"/>
      <c r="T47" s="99"/>
      <c r="U47" s="99"/>
      <c r="W47" s="99"/>
      <c r="X47" s="99"/>
      <c r="Y47" s="99"/>
      <c r="Z47" s="99"/>
      <c r="AA47" s="99"/>
      <c r="AB47" s="99"/>
      <c r="AD47" s="99"/>
      <c r="AE47" s="99"/>
      <c r="AF47" s="99"/>
      <c r="AG47" s="99"/>
      <c r="AH47" s="99"/>
      <c r="AI47" s="99"/>
      <c r="AK47" s="99"/>
      <c r="AL47" s="99"/>
      <c r="AM47" s="99"/>
      <c r="AN47" s="99"/>
      <c r="AO47" s="99"/>
      <c r="AP47" s="99"/>
      <c r="AR47" s="99"/>
      <c r="AS47" s="99"/>
      <c r="AT47" s="99"/>
      <c r="AU47" s="99"/>
      <c r="AV47" s="99"/>
      <c r="AW47" s="99"/>
    </row>
    <row r="48" spans="1:49" ht="13.05" hidden="1" customHeight="1" x14ac:dyDescent="0.25">
      <c r="A48" t="str">
        <f>Nutrients!B47</f>
        <v>Milk, Lactose</v>
      </c>
      <c r="B48" s="99"/>
      <c r="C48" s="99"/>
      <c r="D48" s="99"/>
      <c r="E48" s="99"/>
      <c r="F48" s="99"/>
      <c r="G48" s="99"/>
      <c r="H48" s="99"/>
      <c r="I48" s="99"/>
      <c r="J48" s="99"/>
      <c r="K48" s="99"/>
      <c r="L48" s="99"/>
      <c r="M48" s="99"/>
      <c r="N48" s="99"/>
      <c r="O48" s="10"/>
      <c r="P48" s="99"/>
      <c r="Q48" s="99"/>
      <c r="R48" s="99"/>
      <c r="S48" s="99"/>
      <c r="T48" s="99"/>
      <c r="U48" s="99"/>
      <c r="W48" s="99"/>
      <c r="X48" s="99"/>
      <c r="Y48" s="99"/>
      <c r="Z48" s="99"/>
      <c r="AA48" s="99"/>
      <c r="AB48" s="99"/>
      <c r="AD48" s="99"/>
      <c r="AE48" s="99"/>
      <c r="AF48" s="99"/>
      <c r="AG48" s="99"/>
      <c r="AH48" s="99"/>
      <c r="AI48" s="99"/>
      <c r="AK48" s="99"/>
      <c r="AL48" s="99"/>
      <c r="AM48" s="99"/>
      <c r="AN48" s="99"/>
      <c r="AO48" s="99"/>
      <c r="AP48" s="99"/>
      <c r="AR48" s="99"/>
      <c r="AS48" s="99"/>
      <c r="AT48" s="99"/>
      <c r="AU48" s="99"/>
      <c r="AV48" s="99"/>
      <c r="AW48" s="99"/>
    </row>
    <row r="49" spans="1:49" ht="13.05" hidden="1" customHeight="1" x14ac:dyDescent="0.25">
      <c r="A49" t="str">
        <f>Nutrients!B48</f>
        <v>Milk, Skim Milk Powder</v>
      </c>
      <c r="B49" s="99"/>
      <c r="C49" s="99"/>
      <c r="D49" s="99"/>
      <c r="E49" s="99"/>
      <c r="F49" s="99"/>
      <c r="G49" s="99"/>
      <c r="H49" s="99"/>
      <c r="I49" s="99"/>
      <c r="J49" s="99"/>
      <c r="K49" s="99"/>
      <c r="L49" s="99"/>
      <c r="M49" s="99"/>
      <c r="N49" s="99"/>
      <c r="O49" s="10"/>
      <c r="P49" s="99"/>
      <c r="Q49" s="99"/>
      <c r="R49" s="99"/>
      <c r="S49" s="99"/>
      <c r="T49" s="99"/>
      <c r="U49" s="99"/>
      <c r="W49" s="99"/>
      <c r="X49" s="99"/>
      <c r="Y49" s="99"/>
      <c r="Z49" s="99"/>
      <c r="AA49" s="99"/>
      <c r="AB49" s="99"/>
      <c r="AD49" s="99"/>
      <c r="AE49" s="99"/>
      <c r="AF49" s="99"/>
      <c r="AG49" s="99"/>
      <c r="AH49" s="99"/>
      <c r="AI49" s="99"/>
      <c r="AK49" s="99"/>
      <c r="AL49" s="99"/>
      <c r="AM49" s="99"/>
      <c r="AN49" s="99"/>
      <c r="AO49" s="99"/>
      <c r="AP49" s="99"/>
      <c r="AR49" s="99"/>
      <c r="AS49" s="99"/>
      <c r="AT49" s="99"/>
      <c r="AU49" s="99"/>
      <c r="AV49" s="99"/>
      <c r="AW49" s="99"/>
    </row>
    <row r="50" spans="1:49" ht="13.05" hidden="1" customHeight="1" x14ac:dyDescent="0.25">
      <c r="A50" t="str">
        <f>Nutrients!B49</f>
        <v>Milk, Whey Powder</v>
      </c>
      <c r="B50" s="99"/>
      <c r="C50" s="99"/>
      <c r="D50" s="99"/>
      <c r="E50" s="99"/>
      <c r="F50" s="99"/>
      <c r="G50" s="99"/>
      <c r="H50" s="99"/>
      <c r="I50" s="99"/>
      <c r="J50" s="99"/>
      <c r="K50" s="99"/>
      <c r="L50" s="99"/>
      <c r="M50" s="99"/>
      <c r="N50" s="99"/>
      <c r="O50" s="10"/>
      <c r="P50" s="99"/>
      <c r="Q50" s="99"/>
      <c r="R50" s="99"/>
      <c r="S50" s="99"/>
      <c r="T50" s="99"/>
      <c r="U50" s="99"/>
      <c r="W50" s="99"/>
      <c r="X50" s="99"/>
      <c r="Y50" s="99"/>
      <c r="Z50" s="99"/>
      <c r="AA50" s="99"/>
      <c r="AB50" s="99"/>
      <c r="AD50" s="99"/>
      <c r="AE50" s="99"/>
      <c r="AF50" s="99"/>
      <c r="AG50" s="99"/>
      <c r="AH50" s="99"/>
      <c r="AI50" s="99"/>
      <c r="AK50" s="99"/>
      <c r="AL50" s="99"/>
      <c r="AM50" s="99"/>
      <c r="AN50" s="99"/>
      <c r="AO50" s="99"/>
      <c r="AP50" s="99"/>
      <c r="AR50" s="99"/>
      <c r="AS50" s="99"/>
      <c r="AT50" s="99"/>
      <c r="AU50" s="99"/>
      <c r="AV50" s="99"/>
      <c r="AW50" s="99"/>
    </row>
    <row r="51" spans="1:49" ht="13.05" hidden="1" customHeight="1" x14ac:dyDescent="0.25">
      <c r="A51" t="str">
        <f>Nutrients!B50</f>
        <v>Milk, Whey Permeate, 80% lactose</v>
      </c>
      <c r="B51" s="99"/>
      <c r="C51" s="99"/>
      <c r="D51" s="99"/>
      <c r="E51" s="99"/>
      <c r="F51" s="99"/>
      <c r="G51" s="99"/>
      <c r="H51" s="99"/>
      <c r="I51" s="99"/>
      <c r="J51" s="99"/>
      <c r="K51" s="99"/>
      <c r="L51" s="99"/>
      <c r="M51" s="99"/>
      <c r="N51" s="99"/>
      <c r="O51" s="10"/>
      <c r="P51" s="99"/>
      <c r="Q51" s="99"/>
      <c r="R51" s="99"/>
      <c r="S51" s="99"/>
      <c r="T51" s="99"/>
      <c r="U51" s="99"/>
      <c r="W51" s="99"/>
      <c r="X51" s="99"/>
      <c r="Y51" s="99"/>
      <c r="Z51" s="99"/>
      <c r="AA51" s="99"/>
      <c r="AB51" s="99"/>
      <c r="AD51" s="99"/>
      <c r="AE51" s="99"/>
      <c r="AF51" s="99"/>
      <c r="AG51" s="99"/>
      <c r="AH51" s="99"/>
      <c r="AI51" s="99"/>
      <c r="AK51" s="99"/>
      <c r="AL51" s="99"/>
      <c r="AM51" s="99"/>
      <c r="AN51" s="99"/>
      <c r="AO51" s="99"/>
      <c r="AP51" s="99"/>
      <c r="AR51" s="99"/>
      <c r="AS51" s="99"/>
      <c r="AT51" s="99"/>
      <c r="AU51" s="99"/>
      <c r="AV51" s="99"/>
      <c r="AW51" s="99"/>
    </row>
    <row r="52" spans="1:49" ht="12.75" hidden="1" customHeight="1" x14ac:dyDescent="0.25">
      <c r="A52" t="str">
        <f>Nutrients!B51</f>
        <v>Milk, Whey Protein Concentrate</v>
      </c>
      <c r="B52" s="99"/>
      <c r="C52" s="99"/>
      <c r="D52" s="99"/>
      <c r="E52" s="99"/>
      <c r="F52" s="99"/>
      <c r="G52" s="99"/>
      <c r="H52" s="99"/>
      <c r="I52" s="99"/>
      <c r="J52" s="99"/>
      <c r="K52" s="99"/>
      <c r="L52" s="99"/>
      <c r="M52" s="99"/>
      <c r="N52" s="99"/>
      <c r="O52" s="10"/>
      <c r="P52" s="99"/>
      <c r="Q52" s="99"/>
      <c r="R52" s="99"/>
      <c r="S52" s="99"/>
      <c r="T52" s="99"/>
      <c r="U52" s="99"/>
      <c r="W52" s="99"/>
      <c r="X52" s="99"/>
      <c r="Y52" s="99"/>
      <c r="Z52" s="99"/>
      <c r="AA52" s="99"/>
      <c r="AB52" s="99"/>
      <c r="AD52" s="99"/>
      <c r="AE52" s="99"/>
      <c r="AF52" s="99"/>
      <c r="AG52" s="99"/>
      <c r="AH52" s="99"/>
      <c r="AI52" s="99"/>
      <c r="AK52" s="99"/>
      <c r="AL52" s="99"/>
      <c r="AM52" s="99"/>
      <c r="AN52" s="99"/>
      <c r="AO52" s="99"/>
      <c r="AP52" s="99"/>
      <c r="AR52" s="99"/>
      <c r="AS52" s="99"/>
      <c r="AT52" s="99"/>
      <c r="AU52" s="99"/>
      <c r="AV52" s="99"/>
      <c r="AW52" s="99"/>
    </row>
    <row r="53" spans="1:49" ht="12.75" hidden="1" customHeight="1" x14ac:dyDescent="0.25">
      <c r="A53" t="str">
        <f>Nutrients!B52</f>
        <v>Millet</v>
      </c>
      <c r="B53" s="99"/>
      <c r="C53" s="99"/>
      <c r="D53" s="99"/>
      <c r="E53" s="99"/>
      <c r="F53" s="99"/>
      <c r="G53" s="99"/>
      <c r="H53" s="99"/>
      <c r="I53" s="99"/>
      <c r="J53" s="99"/>
      <c r="K53" s="99"/>
      <c r="L53" s="99"/>
      <c r="M53" s="99"/>
      <c r="N53" s="99"/>
      <c r="O53" s="10"/>
      <c r="P53" s="99"/>
      <c r="Q53" s="99"/>
      <c r="R53" s="99"/>
      <c r="S53" s="99"/>
      <c r="T53" s="99"/>
      <c r="U53" s="99"/>
      <c r="W53" s="99"/>
      <c r="X53" s="99"/>
      <c r="Y53" s="99"/>
      <c r="Z53" s="99"/>
      <c r="AA53" s="99"/>
      <c r="AB53" s="99"/>
      <c r="AD53" s="99"/>
      <c r="AE53" s="99"/>
      <c r="AF53" s="99"/>
      <c r="AG53" s="99"/>
      <c r="AH53" s="99"/>
      <c r="AI53" s="99"/>
      <c r="AK53" s="99"/>
      <c r="AL53" s="99"/>
      <c r="AM53" s="99"/>
      <c r="AN53" s="99"/>
      <c r="AO53" s="99"/>
      <c r="AP53" s="99"/>
      <c r="AR53" s="99"/>
      <c r="AS53" s="99"/>
      <c r="AT53" s="99"/>
      <c r="AU53" s="99"/>
      <c r="AV53" s="99"/>
      <c r="AW53" s="99"/>
    </row>
    <row r="54" spans="1:49" ht="12.75" hidden="1" customHeight="1" x14ac:dyDescent="0.25">
      <c r="A54" t="str">
        <f>Nutrients!B53</f>
        <v>Molasses, Sugarbeet</v>
      </c>
      <c r="B54" s="99"/>
      <c r="C54" s="99"/>
      <c r="D54" s="99"/>
      <c r="E54" s="99"/>
      <c r="F54" s="99"/>
      <c r="G54" s="99"/>
      <c r="H54" s="99"/>
      <c r="I54" s="99"/>
      <c r="J54" s="99"/>
      <c r="K54" s="99"/>
      <c r="L54" s="99"/>
      <c r="M54" s="99"/>
      <c r="N54" s="99"/>
      <c r="O54" s="10"/>
      <c r="P54" s="99"/>
      <c r="Q54" s="99"/>
      <c r="R54" s="99"/>
      <c r="S54" s="99"/>
      <c r="T54" s="99"/>
      <c r="U54" s="99"/>
      <c r="W54" s="99"/>
      <c r="X54" s="99"/>
      <c r="Y54" s="99"/>
      <c r="Z54" s="99"/>
      <c r="AA54" s="99"/>
      <c r="AB54" s="99"/>
      <c r="AD54" s="99"/>
      <c r="AE54" s="99"/>
      <c r="AF54" s="99"/>
      <c r="AG54" s="99"/>
      <c r="AH54" s="99"/>
      <c r="AI54" s="99"/>
      <c r="AK54" s="99"/>
      <c r="AL54" s="99"/>
      <c r="AM54" s="99"/>
      <c r="AN54" s="99"/>
      <c r="AO54" s="99"/>
      <c r="AP54" s="99"/>
      <c r="AR54" s="99"/>
      <c r="AS54" s="99"/>
      <c r="AT54" s="99"/>
      <c r="AU54" s="99"/>
      <c r="AV54" s="99"/>
      <c r="AW54" s="99"/>
    </row>
    <row r="55" spans="1:49" ht="12.75" hidden="1" customHeight="1" x14ac:dyDescent="0.25">
      <c r="A55" t="str">
        <f>Nutrients!B54</f>
        <v>Molasses, Sugarcane</v>
      </c>
      <c r="B55" s="99"/>
      <c r="C55" s="99"/>
      <c r="D55" s="99"/>
      <c r="E55" s="99"/>
      <c r="F55" s="99"/>
      <c r="G55" s="99"/>
      <c r="H55" s="99"/>
      <c r="I55" s="99"/>
      <c r="J55" s="99"/>
      <c r="K55" s="99"/>
      <c r="L55" s="99"/>
      <c r="M55" s="99"/>
      <c r="N55" s="99"/>
      <c r="O55" s="10"/>
      <c r="P55" s="99"/>
      <c r="Q55" s="99"/>
      <c r="R55" s="99"/>
      <c r="S55" s="99"/>
      <c r="T55" s="99"/>
      <c r="U55" s="99"/>
      <c r="W55" s="99"/>
      <c r="X55" s="99"/>
      <c r="Y55" s="99"/>
      <c r="Z55" s="99"/>
      <c r="AA55" s="99"/>
      <c r="AB55" s="99"/>
      <c r="AD55" s="99"/>
      <c r="AE55" s="99"/>
      <c r="AF55" s="99"/>
      <c r="AG55" s="99"/>
      <c r="AH55" s="99"/>
      <c r="AI55" s="99"/>
      <c r="AK55" s="99"/>
      <c r="AL55" s="99"/>
      <c r="AM55" s="99"/>
      <c r="AN55" s="99"/>
      <c r="AO55" s="99"/>
      <c r="AP55" s="99"/>
      <c r="AR55" s="99"/>
      <c r="AS55" s="99"/>
      <c r="AT55" s="99"/>
      <c r="AU55" s="99"/>
      <c r="AV55" s="99"/>
      <c r="AW55" s="99"/>
    </row>
    <row r="56" spans="1:49" ht="12.75" hidden="1" customHeight="1" x14ac:dyDescent="0.25">
      <c r="A56" t="str">
        <f>Nutrients!B55</f>
        <v>Oats</v>
      </c>
      <c r="B56" s="99"/>
      <c r="C56" s="99"/>
      <c r="D56" s="99"/>
      <c r="E56" s="99"/>
      <c r="F56" s="99"/>
      <c r="G56" s="99"/>
      <c r="H56" s="99"/>
      <c r="I56" s="99"/>
      <c r="J56" s="99"/>
      <c r="K56" s="99"/>
      <c r="L56" s="99"/>
      <c r="M56" s="99"/>
      <c r="N56" s="99"/>
      <c r="O56" s="10"/>
      <c r="P56" s="99"/>
      <c r="Q56" s="99"/>
      <c r="R56" s="99"/>
      <c r="S56" s="99"/>
      <c r="T56" s="99"/>
      <c r="U56" s="99"/>
      <c r="W56" s="99"/>
      <c r="X56" s="99"/>
      <c r="Y56" s="99"/>
      <c r="Z56" s="99"/>
      <c r="AA56" s="99"/>
      <c r="AB56" s="99"/>
      <c r="AD56" s="99"/>
      <c r="AE56" s="99"/>
      <c r="AF56" s="99"/>
      <c r="AG56" s="99"/>
      <c r="AH56" s="99"/>
      <c r="AI56" s="99"/>
      <c r="AK56" s="99"/>
      <c r="AL56" s="99"/>
      <c r="AM56" s="99"/>
      <c r="AN56" s="99"/>
      <c r="AO56" s="99"/>
      <c r="AP56" s="99"/>
      <c r="AR56" s="99"/>
      <c r="AS56" s="99"/>
      <c r="AT56" s="99"/>
      <c r="AU56" s="99"/>
      <c r="AV56" s="99"/>
      <c r="AW56" s="99"/>
    </row>
    <row r="57" spans="1:49" ht="12.75" hidden="1" customHeight="1" x14ac:dyDescent="0.25">
      <c r="A57" t="str">
        <f>Nutrients!B56</f>
        <v>Oats, Naked</v>
      </c>
      <c r="B57" s="99"/>
      <c r="C57" s="99"/>
      <c r="D57" s="99"/>
      <c r="E57" s="99"/>
      <c r="F57" s="99"/>
      <c r="G57" s="99"/>
      <c r="H57" s="99"/>
      <c r="I57" s="99"/>
      <c r="J57" s="99"/>
      <c r="K57" s="99"/>
      <c r="L57" s="99"/>
      <c r="M57" s="99"/>
      <c r="N57" s="99"/>
      <c r="O57" s="10"/>
      <c r="P57" s="99"/>
      <c r="Q57" s="99"/>
      <c r="R57" s="99"/>
      <c r="S57" s="99"/>
      <c r="T57" s="99"/>
      <c r="U57" s="99"/>
      <c r="W57" s="99"/>
      <c r="X57" s="99"/>
      <c r="Y57" s="99"/>
      <c r="Z57" s="99"/>
      <c r="AA57" s="99"/>
      <c r="AB57" s="99"/>
      <c r="AD57" s="99"/>
      <c r="AE57" s="99"/>
      <c r="AF57" s="99"/>
      <c r="AG57" s="99"/>
      <c r="AH57" s="99"/>
      <c r="AI57" s="99"/>
      <c r="AK57" s="99"/>
      <c r="AL57" s="99"/>
      <c r="AM57" s="99"/>
      <c r="AN57" s="99"/>
      <c r="AO57" s="99"/>
      <c r="AP57" s="99"/>
      <c r="AR57" s="99"/>
      <c r="AS57" s="99"/>
      <c r="AT57" s="99"/>
      <c r="AU57" s="99"/>
      <c r="AV57" s="99"/>
      <c r="AW57" s="99"/>
    </row>
    <row r="58" spans="1:49" ht="12.75" hidden="1" customHeight="1" x14ac:dyDescent="0.25">
      <c r="A58" t="str">
        <f>Nutrients!B57</f>
        <v>Oat Groats</v>
      </c>
      <c r="B58" s="99"/>
      <c r="C58" s="99"/>
      <c r="D58" s="99"/>
      <c r="E58" s="99"/>
      <c r="F58" s="99"/>
      <c r="G58" s="99"/>
      <c r="H58" s="99"/>
      <c r="I58" s="99"/>
      <c r="J58" s="99"/>
      <c r="K58" s="99"/>
      <c r="L58" s="99"/>
      <c r="M58" s="99"/>
      <c r="N58" s="99"/>
      <c r="O58" s="10"/>
      <c r="P58" s="99"/>
      <c r="Q58" s="99"/>
      <c r="R58" s="99"/>
      <c r="S58" s="99"/>
      <c r="T58" s="99"/>
      <c r="U58" s="99"/>
      <c r="W58" s="99"/>
      <c r="X58" s="99"/>
      <c r="Y58" s="99"/>
      <c r="Z58" s="99"/>
      <c r="AA58" s="99"/>
      <c r="AB58" s="99"/>
      <c r="AD58" s="99"/>
      <c r="AE58" s="99"/>
      <c r="AF58" s="99"/>
      <c r="AG58" s="99"/>
      <c r="AH58" s="99"/>
      <c r="AI58" s="99"/>
      <c r="AK58" s="99"/>
      <c r="AL58" s="99"/>
      <c r="AM58" s="99"/>
      <c r="AN58" s="99"/>
      <c r="AO58" s="99"/>
      <c r="AP58" s="99"/>
      <c r="AR58" s="99"/>
      <c r="AS58" s="99"/>
      <c r="AT58" s="99"/>
      <c r="AU58" s="99"/>
      <c r="AV58" s="99"/>
      <c r="AW58" s="99"/>
    </row>
    <row r="59" spans="1:49" ht="12.75" hidden="1" customHeight="1" x14ac:dyDescent="0.25">
      <c r="A59" t="str">
        <f>Nutrients!B58</f>
        <v>Peanut Meal, Expelled</v>
      </c>
      <c r="B59" s="99"/>
      <c r="C59" s="99"/>
      <c r="D59" s="99"/>
      <c r="E59" s="99"/>
      <c r="F59" s="99"/>
      <c r="G59" s="99"/>
      <c r="H59" s="99"/>
      <c r="I59" s="99"/>
      <c r="J59" s="99"/>
      <c r="K59" s="99"/>
      <c r="L59" s="99"/>
      <c r="M59" s="99"/>
      <c r="N59" s="99"/>
      <c r="O59" s="10"/>
      <c r="P59" s="99"/>
      <c r="Q59" s="99"/>
      <c r="R59" s="99"/>
      <c r="S59" s="99"/>
      <c r="T59" s="99"/>
      <c r="U59" s="99"/>
      <c r="W59" s="99"/>
      <c r="X59" s="99"/>
      <c r="Y59" s="99"/>
      <c r="Z59" s="99"/>
      <c r="AA59" s="99"/>
      <c r="AB59" s="99"/>
      <c r="AD59" s="99"/>
      <c r="AE59" s="99"/>
      <c r="AF59" s="99"/>
      <c r="AG59" s="99"/>
      <c r="AH59" s="99"/>
      <c r="AI59" s="99"/>
      <c r="AK59" s="99"/>
      <c r="AL59" s="99"/>
      <c r="AM59" s="99"/>
      <c r="AN59" s="99"/>
      <c r="AO59" s="99"/>
      <c r="AP59" s="99"/>
      <c r="AR59" s="99"/>
      <c r="AS59" s="99"/>
      <c r="AT59" s="99"/>
      <c r="AU59" s="99"/>
      <c r="AV59" s="99"/>
      <c r="AW59" s="99"/>
    </row>
    <row r="60" spans="1:49" ht="12.75" hidden="1" customHeight="1" x14ac:dyDescent="0.25">
      <c r="A60" t="str">
        <f>Nutrients!B59</f>
        <v>Peanut Meal, Extracted</v>
      </c>
      <c r="B60" s="99"/>
      <c r="C60" s="99"/>
      <c r="D60" s="99"/>
      <c r="E60" s="99"/>
      <c r="F60" s="99"/>
      <c r="G60" s="99"/>
      <c r="H60" s="99"/>
      <c r="I60" s="99"/>
      <c r="J60" s="99"/>
      <c r="K60" s="99"/>
      <c r="L60" s="99"/>
      <c r="M60" s="99"/>
      <c r="N60" s="99"/>
      <c r="O60" s="10"/>
      <c r="P60" s="99"/>
      <c r="Q60" s="99"/>
      <c r="R60" s="99"/>
      <c r="S60" s="99"/>
      <c r="T60" s="99"/>
      <c r="U60" s="99"/>
      <c r="W60" s="99"/>
      <c r="X60" s="99"/>
      <c r="Y60" s="99"/>
      <c r="Z60" s="99"/>
      <c r="AA60" s="99"/>
      <c r="AB60" s="99"/>
      <c r="AD60" s="99"/>
      <c r="AE60" s="99"/>
      <c r="AF60" s="99"/>
      <c r="AG60" s="99"/>
      <c r="AH60" s="99"/>
      <c r="AI60" s="99"/>
      <c r="AK60" s="99"/>
      <c r="AL60" s="99"/>
      <c r="AM60" s="99"/>
      <c r="AN60" s="99"/>
      <c r="AO60" s="99"/>
      <c r="AP60" s="99"/>
      <c r="AR60" s="99"/>
      <c r="AS60" s="99"/>
      <c r="AT60" s="99"/>
      <c r="AU60" s="99"/>
      <c r="AV60" s="99"/>
      <c r="AW60" s="99"/>
    </row>
    <row r="61" spans="1:49" ht="12.75" hidden="1" customHeight="1" x14ac:dyDescent="0.25">
      <c r="A61" t="str">
        <f>Nutrients!B60</f>
        <v>Peas, Field Peas</v>
      </c>
      <c r="B61" s="99"/>
      <c r="C61" s="99"/>
      <c r="D61" s="99"/>
      <c r="E61" s="99"/>
      <c r="F61" s="99"/>
      <c r="G61" s="99"/>
      <c r="H61" s="99"/>
      <c r="I61" s="99"/>
      <c r="J61" s="99"/>
      <c r="K61" s="99"/>
      <c r="L61" s="99"/>
      <c r="M61" s="99"/>
      <c r="N61" s="99"/>
      <c r="O61" s="10"/>
      <c r="P61" s="99"/>
      <c r="Q61" s="99"/>
      <c r="R61" s="99"/>
      <c r="S61" s="99"/>
      <c r="T61" s="99"/>
      <c r="U61" s="99"/>
      <c r="W61" s="99"/>
      <c r="X61" s="99"/>
      <c r="Y61" s="99"/>
      <c r="Z61" s="99"/>
      <c r="AA61" s="99"/>
      <c r="AB61" s="99"/>
      <c r="AD61" s="99"/>
      <c r="AE61" s="99"/>
      <c r="AF61" s="99"/>
      <c r="AG61" s="99"/>
      <c r="AH61" s="99"/>
      <c r="AI61" s="99"/>
      <c r="AK61" s="99"/>
      <c r="AL61" s="99"/>
      <c r="AM61" s="99"/>
      <c r="AN61" s="99"/>
      <c r="AO61" s="99"/>
      <c r="AP61" s="99"/>
      <c r="AR61" s="99"/>
      <c r="AS61" s="99"/>
      <c r="AT61" s="99"/>
      <c r="AU61" s="99"/>
      <c r="AV61" s="99"/>
      <c r="AW61" s="99"/>
    </row>
    <row r="62" spans="1:49" ht="12.75" hidden="1" customHeight="1" x14ac:dyDescent="0.25">
      <c r="A62" t="str">
        <f>Nutrients!B61</f>
        <v>Pea Protein Concentrate</v>
      </c>
      <c r="B62" s="99"/>
      <c r="C62" s="99"/>
      <c r="D62" s="99"/>
      <c r="E62" s="99"/>
      <c r="F62" s="99"/>
      <c r="G62" s="99"/>
      <c r="H62" s="99"/>
      <c r="I62" s="99"/>
      <c r="J62" s="99"/>
      <c r="K62" s="99"/>
      <c r="L62" s="99"/>
      <c r="M62" s="99"/>
      <c r="N62" s="99"/>
      <c r="O62" s="10"/>
      <c r="P62" s="99"/>
      <c r="Q62" s="99"/>
      <c r="R62" s="99"/>
      <c r="S62" s="99"/>
      <c r="T62" s="99"/>
      <c r="U62" s="99"/>
      <c r="W62" s="99"/>
      <c r="X62" s="99"/>
      <c r="Y62" s="99"/>
      <c r="Z62" s="99"/>
      <c r="AA62" s="99"/>
      <c r="AB62" s="99"/>
      <c r="AD62" s="99"/>
      <c r="AE62" s="99"/>
      <c r="AF62" s="99"/>
      <c r="AG62" s="99"/>
      <c r="AH62" s="99"/>
      <c r="AI62" s="99"/>
      <c r="AK62" s="99"/>
      <c r="AL62" s="99"/>
      <c r="AM62" s="99"/>
      <c r="AN62" s="99"/>
      <c r="AO62" s="99"/>
      <c r="AP62" s="99"/>
      <c r="AR62" s="99"/>
      <c r="AS62" s="99"/>
      <c r="AT62" s="99"/>
      <c r="AU62" s="99"/>
      <c r="AV62" s="99"/>
      <c r="AW62" s="99"/>
    </row>
    <row r="63" spans="1:49" ht="12.75" hidden="1" customHeight="1" x14ac:dyDescent="0.25">
      <c r="A63" t="str">
        <f>Nutrients!B62</f>
        <v>Potato Protein Concentrate</v>
      </c>
      <c r="B63" s="99"/>
      <c r="C63" s="99"/>
      <c r="D63" s="99"/>
      <c r="E63" s="99"/>
      <c r="F63" s="99"/>
      <c r="G63" s="99"/>
      <c r="H63" s="99"/>
      <c r="I63" s="99"/>
      <c r="J63" s="99"/>
      <c r="K63" s="99"/>
      <c r="L63" s="99"/>
      <c r="M63" s="99"/>
      <c r="N63" s="99"/>
      <c r="O63" s="10"/>
      <c r="P63" s="99"/>
      <c r="Q63" s="99"/>
      <c r="R63" s="99"/>
      <c r="S63" s="99"/>
      <c r="T63" s="99"/>
      <c r="U63" s="99"/>
      <c r="W63" s="99"/>
      <c r="X63" s="99"/>
      <c r="Y63" s="99"/>
      <c r="Z63" s="99"/>
      <c r="AA63" s="99"/>
      <c r="AB63" s="99"/>
      <c r="AD63" s="99"/>
      <c r="AE63" s="99"/>
      <c r="AF63" s="99"/>
      <c r="AG63" s="99"/>
      <c r="AH63" s="99"/>
      <c r="AI63" s="99"/>
      <c r="AK63" s="99"/>
      <c r="AL63" s="99"/>
      <c r="AM63" s="99"/>
      <c r="AN63" s="99"/>
      <c r="AO63" s="99"/>
      <c r="AP63" s="99"/>
      <c r="AR63" s="99"/>
      <c r="AS63" s="99"/>
      <c r="AT63" s="99"/>
      <c r="AU63" s="99"/>
      <c r="AV63" s="99"/>
      <c r="AW63" s="99"/>
    </row>
    <row r="64" spans="1:49" ht="12.75" hidden="1" customHeight="1" x14ac:dyDescent="0.25">
      <c r="A64" t="str">
        <f>Nutrients!B63</f>
        <v>Poultry Byproduct</v>
      </c>
      <c r="B64" s="99"/>
      <c r="C64" s="99"/>
      <c r="D64" s="99"/>
      <c r="E64" s="99"/>
      <c r="F64" s="99"/>
      <c r="G64" s="99"/>
      <c r="H64" s="99"/>
      <c r="I64" s="99"/>
      <c r="J64" s="99"/>
      <c r="K64" s="99"/>
      <c r="L64" s="99"/>
      <c r="M64" s="99"/>
      <c r="N64" s="99"/>
      <c r="O64" s="10"/>
      <c r="P64" s="99"/>
      <c r="Q64" s="99"/>
      <c r="R64" s="99"/>
      <c r="S64" s="99"/>
      <c r="T64" s="99"/>
      <c r="U64" s="99"/>
      <c r="W64" s="99"/>
      <c r="X64" s="99"/>
      <c r="Y64" s="99"/>
      <c r="Z64" s="99"/>
      <c r="AA64" s="99"/>
      <c r="AB64" s="99"/>
      <c r="AD64" s="99"/>
      <c r="AE64" s="99"/>
      <c r="AF64" s="99"/>
      <c r="AG64" s="99"/>
      <c r="AH64" s="99"/>
      <c r="AI64" s="99"/>
      <c r="AK64" s="99"/>
      <c r="AL64" s="99"/>
      <c r="AM64" s="99"/>
      <c r="AN64" s="99"/>
      <c r="AO64" s="99"/>
      <c r="AP64" s="99"/>
      <c r="AR64" s="99"/>
      <c r="AS64" s="99"/>
      <c r="AT64" s="99"/>
      <c r="AU64" s="99"/>
      <c r="AV64" s="99"/>
      <c r="AW64" s="99"/>
    </row>
    <row r="65" spans="1:49" ht="12.75" hidden="1" customHeight="1" x14ac:dyDescent="0.25">
      <c r="A65" t="str">
        <f>Nutrients!B64</f>
        <v>Rice</v>
      </c>
      <c r="B65" s="99"/>
      <c r="C65" s="99"/>
      <c r="D65" s="99"/>
      <c r="E65" s="99"/>
      <c r="F65" s="99"/>
      <c r="G65" s="99"/>
      <c r="H65" s="99"/>
      <c r="I65" s="99"/>
      <c r="J65" s="99"/>
      <c r="K65" s="99"/>
      <c r="L65" s="99"/>
      <c r="M65" s="99"/>
      <c r="N65" s="99"/>
      <c r="O65" s="10"/>
      <c r="P65" s="99"/>
      <c r="Q65" s="99"/>
      <c r="R65" s="99"/>
      <c r="S65" s="99"/>
      <c r="T65" s="99"/>
      <c r="U65" s="99"/>
      <c r="W65" s="99"/>
      <c r="X65" s="99"/>
      <c r="Y65" s="99"/>
      <c r="Z65" s="99"/>
      <c r="AA65" s="99"/>
      <c r="AB65" s="99"/>
      <c r="AD65" s="99"/>
      <c r="AE65" s="99"/>
      <c r="AF65" s="99"/>
      <c r="AG65" s="99"/>
      <c r="AH65" s="99"/>
      <c r="AI65" s="99"/>
      <c r="AK65" s="99"/>
      <c r="AL65" s="99"/>
      <c r="AM65" s="99"/>
      <c r="AN65" s="99"/>
      <c r="AO65" s="99"/>
      <c r="AP65" s="99"/>
      <c r="AR65" s="99"/>
      <c r="AS65" s="99"/>
      <c r="AT65" s="99"/>
      <c r="AU65" s="99"/>
      <c r="AV65" s="99"/>
      <c r="AW65" s="99"/>
    </row>
    <row r="66" spans="1:49" ht="12.75" hidden="1" customHeight="1" x14ac:dyDescent="0.25">
      <c r="A66" t="str">
        <f>Nutrients!B65</f>
        <v>Rice Bran</v>
      </c>
      <c r="B66" s="99"/>
      <c r="C66" s="99"/>
      <c r="D66" s="99"/>
      <c r="E66" s="99"/>
      <c r="F66" s="99"/>
      <c r="G66" s="99"/>
      <c r="H66" s="99"/>
      <c r="I66" s="99"/>
      <c r="J66" s="99"/>
      <c r="K66" s="99"/>
      <c r="L66" s="99"/>
      <c r="M66" s="99"/>
      <c r="N66" s="99"/>
      <c r="O66" s="10"/>
      <c r="P66" s="99"/>
      <c r="Q66" s="99"/>
      <c r="R66" s="99"/>
      <c r="S66" s="99"/>
      <c r="T66" s="99"/>
      <c r="U66" s="99"/>
      <c r="W66" s="99"/>
      <c r="X66" s="99"/>
      <c r="Y66" s="99"/>
      <c r="Z66" s="99"/>
      <c r="AA66" s="99"/>
      <c r="AB66" s="99"/>
      <c r="AD66" s="99"/>
      <c r="AE66" s="99"/>
      <c r="AF66" s="99"/>
      <c r="AG66" s="99"/>
      <c r="AH66" s="99"/>
      <c r="AI66" s="99"/>
      <c r="AK66" s="99"/>
      <c r="AL66" s="99"/>
      <c r="AM66" s="99"/>
      <c r="AN66" s="99"/>
      <c r="AO66" s="99"/>
      <c r="AP66" s="99"/>
      <c r="AR66" s="99"/>
      <c r="AS66" s="99"/>
      <c r="AT66" s="99"/>
      <c r="AU66" s="99"/>
      <c r="AV66" s="99"/>
      <c r="AW66" s="99"/>
    </row>
    <row r="67" spans="1:49" ht="12.75" hidden="1" customHeight="1" x14ac:dyDescent="0.25">
      <c r="A67" t="str">
        <f>Nutrients!B66</f>
        <v>Rice Bran, Defatted</v>
      </c>
      <c r="B67" s="99"/>
      <c r="C67" s="99"/>
      <c r="D67" s="99"/>
      <c r="E67" s="99"/>
      <c r="F67" s="99"/>
      <c r="G67" s="99"/>
      <c r="H67" s="99"/>
      <c r="I67" s="99"/>
      <c r="J67" s="99"/>
      <c r="K67" s="99"/>
      <c r="L67" s="99"/>
      <c r="M67" s="99"/>
      <c r="N67" s="99"/>
      <c r="O67" s="10"/>
      <c r="P67" s="99"/>
      <c r="Q67" s="99"/>
      <c r="R67" s="99"/>
      <c r="S67" s="99"/>
      <c r="T67" s="99"/>
      <c r="U67" s="99"/>
      <c r="W67" s="99"/>
      <c r="X67" s="99"/>
      <c r="Y67" s="99"/>
      <c r="Z67" s="99"/>
      <c r="AA67" s="99"/>
      <c r="AB67" s="99"/>
      <c r="AD67" s="99"/>
      <c r="AE67" s="99"/>
      <c r="AF67" s="99"/>
      <c r="AG67" s="99"/>
      <c r="AH67" s="99"/>
      <c r="AI67" s="99"/>
      <c r="AK67" s="99"/>
      <c r="AL67" s="99"/>
      <c r="AM67" s="99"/>
      <c r="AN67" s="99"/>
      <c r="AO67" s="99"/>
      <c r="AP67" s="99"/>
      <c r="AR67" s="99"/>
      <c r="AS67" s="99"/>
      <c r="AT67" s="99"/>
      <c r="AU67" s="99"/>
      <c r="AV67" s="99"/>
      <c r="AW67" s="99"/>
    </row>
    <row r="68" spans="1:49" ht="12.75" hidden="1" customHeight="1" x14ac:dyDescent="0.25">
      <c r="A68" t="str">
        <f>Nutrients!B67</f>
        <v>Rice, Broken</v>
      </c>
      <c r="B68" s="99"/>
      <c r="C68" s="99"/>
      <c r="D68" s="99"/>
      <c r="E68" s="99"/>
      <c r="F68" s="99"/>
      <c r="G68" s="99"/>
      <c r="H68" s="99"/>
      <c r="I68" s="99"/>
      <c r="J68" s="99"/>
      <c r="K68" s="99"/>
      <c r="L68" s="99"/>
      <c r="M68" s="99"/>
      <c r="N68" s="99"/>
      <c r="O68" s="10"/>
      <c r="P68" s="99"/>
      <c r="Q68" s="99"/>
      <c r="R68" s="99"/>
      <c r="S68" s="99"/>
      <c r="T68" s="99"/>
      <c r="U68" s="99"/>
      <c r="W68" s="99"/>
      <c r="X68" s="99"/>
      <c r="Y68" s="99"/>
      <c r="Z68" s="99"/>
      <c r="AA68" s="99"/>
      <c r="AB68" s="99"/>
      <c r="AD68" s="99"/>
      <c r="AE68" s="99"/>
      <c r="AF68" s="99"/>
      <c r="AG68" s="99"/>
      <c r="AH68" s="99"/>
      <c r="AI68" s="99"/>
      <c r="AK68" s="99"/>
      <c r="AL68" s="99"/>
      <c r="AM68" s="99"/>
      <c r="AN68" s="99"/>
      <c r="AO68" s="99"/>
      <c r="AP68" s="99"/>
      <c r="AR68" s="99"/>
      <c r="AS68" s="99"/>
      <c r="AT68" s="99"/>
      <c r="AU68" s="99"/>
      <c r="AV68" s="99"/>
      <c r="AW68" s="99"/>
    </row>
    <row r="69" spans="1:49" ht="12.75" hidden="1" customHeight="1" x14ac:dyDescent="0.25">
      <c r="A69" t="str">
        <f>Nutrients!B68</f>
        <v>Rye</v>
      </c>
      <c r="B69" s="99"/>
      <c r="C69" s="99"/>
      <c r="D69" s="99"/>
      <c r="E69" s="99"/>
      <c r="F69" s="99"/>
      <c r="G69" s="99"/>
      <c r="H69" s="99"/>
      <c r="I69" s="99"/>
      <c r="J69" s="99"/>
      <c r="K69" s="99"/>
      <c r="L69" s="99"/>
      <c r="M69" s="99"/>
      <c r="N69" s="99"/>
      <c r="O69" s="10"/>
      <c r="P69" s="99"/>
      <c r="Q69" s="99"/>
      <c r="R69" s="99"/>
      <c r="S69" s="99"/>
      <c r="T69" s="99"/>
      <c r="U69" s="99"/>
      <c r="W69" s="99"/>
      <c r="X69" s="99"/>
      <c r="Y69" s="99"/>
      <c r="Z69" s="99"/>
      <c r="AA69" s="99"/>
      <c r="AB69" s="99"/>
      <c r="AD69" s="99"/>
      <c r="AE69" s="99"/>
      <c r="AF69" s="99"/>
      <c r="AG69" s="99"/>
      <c r="AH69" s="99"/>
      <c r="AI69" s="99"/>
      <c r="AK69" s="99"/>
      <c r="AL69" s="99"/>
      <c r="AM69" s="99"/>
      <c r="AN69" s="99"/>
      <c r="AO69" s="99"/>
      <c r="AP69" s="99"/>
      <c r="AR69" s="99"/>
      <c r="AS69" s="99"/>
      <c r="AT69" s="99"/>
      <c r="AU69" s="99"/>
      <c r="AV69" s="99"/>
      <c r="AW69" s="99"/>
    </row>
    <row r="70" spans="1:49" ht="12.75" hidden="1" customHeight="1" x14ac:dyDescent="0.25">
      <c r="A70" t="str">
        <f>Nutrients!B69</f>
        <v>Sesame Meal</v>
      </c>
      <c r="B70" s="99"/>
      <c r="C70" s="99"/>
      <c r="D70" s="99"/>
      <c r="E70" s="99"/>
      <c r="F70" s="99"/>
      <c r="G70" s="99"/>
      <c r="H70" s="99"/>
      <c r="I70" s="99"/>
      <c r="J70" s="99"/>
      <c r="K70" s="99"/>
      <c r="L70" s="99"/>
      <c r="M70" s="99"/>
      <c r="N70" s="99"/>
      <c r="O70" s="10"/>
      <c r="P70" s="99"/>
      <c r="Q70" s="99"/>
      <c r="R70" s="99"/>
      <c r="S70" s="99"/>
      <c r="T70" s="99"/>
      <c r="U70" s="99"/>
      <c r="W70" s="99"/>
      <c r="X70" s="99"/>
      <c r="Y70" s="99"/>
      <c r="Z70" s="99"/>
      <c r="AA70" s="99"/>
      <c r="AB70" s="99"/>
      <c r="AD70" s="99"/>
      <c r="AE70" s="99"/>
      <c r="AF70" s="99"/>
      <c r="AG70" s="99"/>
      <c r="AH70" s="99"/>
      <c r="AI70" s="99"/>
      <c r="AK70" s="99"/>
      <c r="AL70" s="99"/>
      <c r="AM70" s="99"/>
      <c r="AN70" s="99"/>
      <c r="AO70" s="99"/>
      <c r="AP70" s="99"/>
      <c r="AR70" s="99"/>
      <c r="AS70" s="99"/>
      <c r="AT70" s="99"/>
      <c r="AU70" s="99"/>
      <c r="AV70" s="99"/>
      <c r="AW70" s="99"/>
    </row>
    <row r="71" spans="1:49" ht="12.75" hidden="1" customHeight="1" x14ac:dyDescent="0.25">
      <c r="A71" t="str">
        <f>Nutrients!B70</f>
        <v>Sorghum</v>
      </c>
      <c r="B71" s="99"/>
      <c r="C71" s="99"/>
      <c r="D71" s="99"/>
      <c r="E71" s="99"/>
      <c r="F71" s="99"/>
      <c r="G71" s="99"/>
      <c r="H71" s="99"/>
      <c r="I71" s="99"/>
      <c r="J71" s="99"/>
      <c r="K71" s="99"/>
      <c r="L71" s="99"/>
      <c r="M71" s="99"/>
      <c r="N71" s="99"/>
      <c r="O71" s="10"/>
      <c r="P71" s="99"/>
      <c r="Q71" s="99"/>
      <c r="R71" s="99"/>
      <c r="S71" s="99"/>
      <c r="T71" s="99"/>
      <c r="U71" s="99"/>
      <c r="W71" s="99"/>
      <c r="X71" s="99"/>
      <c r="Y71" s="99"/>
      <c r="Z71" s="99"/>
      <c r="AA71" s="99"/>
      <c r="AB71" s="99"/>
      <c r="AD71" s="99"/>
      <c r="AE71" s="99"/>
      <c r="AF71" s="99"/>
      <c r="AG71" s="99"/>
      <c r="AH71" s="99"/>
      <c r="AI71" s="99"/>
      <c r="AK71" s="99"/>
      <c r="AL71" s="99"/>
      <c r="AM71" s="99"/>
      <c r="AN71" s="99"/>
      <c r="AO71" s="99"/>
      <c r="AP71" s="99"/>
      <c r="AR71" s="99"/>
      <c r="AS71" s="99"/>
      <c r="AT71" s="99"/>
      <c r="AU71" s="99"/>
      <c r="AV71" s="99"/>
      <c r="AW71" s="99"/>
    </row>
    <row r="72" spans="1:49" ht="12.75" hidden="1" customHeight="1" x14ac:dyDescent="0.25">
      <c r="A72" t="str">
        <f>Nutrients!B71</f>
        <v>Soybeans, Full Fat</v>
      </c>
      <c r="B72" s="99"/>
      <c r="C72" s="99"/>
      <c r="D72" s="99"/>
      <c r="E72" s="99"/>
      <c r="F72" s="99"/>
      <c r="G72" s="99"/>
      <c r="H72" s="99"/>
      <c r="I72" s="99"/>
      <c r="J72" s="99"/>
      <c r="K72" s="99"/>
      <c r="L72" s="99"/>
      <c r="M72" s="99"/>
      <c r="N72" s="99"/>
      <c r="O72" s="10"/>
      <c r="P72" s="99"/>
      <c r="Q72" s="99"/>
      <c r="R72" s="99"/>
      <c r="S72" s="99"/>
      <c r="T72" s="99"/>
      <c r="U72" s="99"/>
      <c r="W72" s="99"/>
      <c r="X72" s="99"/>
      <c r="Y72" s="99"/>
      <c r="Z72" s="99"/>
      <c r="AA72" s="99"/>
      <c r="AB72" s="99"/>
      <c r="AD72" s="99"/>
      <c r="AE72" s="99"/>
      <c r="AF72" s="99"/>
      <c r="AG72" s="99"/>
      <c r="AH72" s="99"/>
      <c r="AI72" s="99"/>
      <c r="AK72" s="99"/>
      <c r="AL72" s="99"/>
      <c r="AM72" s="99"/>
      <c r="AN72" s="99"/>
      <c r="AO72" s="99"/>
      <c r="AP72" s="99"/>
      <c r="AR72" s="99"/>
      <c r="AS72" s="99"/>
      <c r="AT72" s="99"/>
      <c r="AU72" s="99"/>
      <c r="AV72" s="99"/>
      <c r="AW72" s="99"/>
    </row>
    <row r="73" spans="1:49" ht="12.75" hidden="1" customHeight="1" x14ac:dyDescent="0.25">
      <c r="A73" t="str">
        <f>Nutrients!B72</f>
        <v>Soybeans, High Protein, Full Fat</v>
      </c>
      <c r="B73" s="99"/>
      <c r="C73" s="99"/>
      <c r="D73" s="99"/>
      <c r="E73" s="99"/>
      <c r="F73" s="99"/>
      <c r="G73" s="99"/>
      <c r="H73" s="99"/>
      <c r="I73" s="99"/>
      <c r="J73" s="99"/>
      <c r="K73" s="99"/>
      <c r="L73" s="99"/>
      <c r="M73" s="99"/>
      <c r="N73" s="99"/>
      <c r="O73" s="10"/>
      <c r="P73" s="99"/>
      <c r="Q73" s="99"/>
      <c r="R73" s="99"/>
      <c r="S73" s="99"/>
      <c r="T73" s="99"/>
      <c r="U73" s="99"/>
      <c r="W73" s="99"/>
      <c r="X73" s="99"/>
      <c r="Y73" s="99"/>
      <c r="Z73" s="99"/>
      <c r="AA73" s="99"/>
      <c r="AB73" s="99"/>
      <c r="AD73" s="99"/>
      <c r="AE73" s="99"/>
      <c r="AF73" s="99"/>
      <c r="AG73" s="99"/>
      <c r="AH73" s="99"/>
      <c r="AI73" s="99"/>
      <c r="AK73" s="99"/>
      <c r="AL73" s="99"/>
      <c r="AM73" s="99"/>
      <c r="AN73" s="99"/>
      <c r="AO73" s="99"/>
      <c r="AP73" s="99"/>
      <c r="AR73" s="99"/>
      <c r="AS73" s="99"/>
      <c r="AT73" s="99"/>
      <c r="AU73" s="99"/>
      <c r="AV73" s="99"/>
      <c r="AW73" s="99"/>
    </row>
    <row r="74" spans="1:49" ht="12.75" hidden="1" customHeight="1" x14ac:dyDescent="0.25">
      <c r="A74" t="str">
        <f>Nutrients!B73</f>
        <v>Soybeans, Low Oligosaccharide, Full Fat</v>
      </c>
      <c r="B74" s="99"/>
      <c r="C74" s="99"/>
      <c r="D74" s="99"/>
      <c r="E74" s="99"/>
      <c r="F74" s="99"/>
      <c r="G74" s="99"/>
      <c r="H74" s="99"/>
      <c r="I74" s="99"/>
      <c r="J74" s="99"/>
      <c r="K74" s="99"/>
      <c r="L74" s="99"/>
      <c r="M74" s="99"/>
      <c r="N74" s="99"/>
      <c r="O74" s="10"/>
      <c r="P74" s="99"/>
      <c r="Q74" s="99"/>
      <c r="R74" s="99"/>
      <c r="S74" s="99"/>
      <c r="T74" s="99"/>
      <c r="U74" s="99"/>
      <c r="W74" s="99"/>
      <c r="X74" s="99"/>
      <c r="Y74" s="99"/>
      <c r="Z74" s="99"/>
      <c r="AA74" s="99"/>
      <c r="AB74" s="99"/>
      <c r="AD74" s="99"/>
      <c r="AE74" s="99"/>
      <c r="AF74" s="99"/>
      <c r="AG74" s="99"/>
      <c r="AH74" s="99"/>
      <c r="AI74" s="99"/>
      <c r="AK74" s="99"/>
      <c r="AL74" s="99"/>
      <c r="AM74" s="99"/>
      <c r="AN74" s="99"/>
      <c r="AO74" s="99"/>
      <c r="AP74" s="99"/>
      <c r="AR74" s="99"/>
      <c r="AS74" s="99"/>
      <c r="AT74" s="99"/>
      <c r="AU74" s="99"/>
      <c r="AV74" s="99"/>
      <c r="AW74" s="99"/>
    </row>
    <row r="75" spans="1:49" ht="12.75" hidden="1" customHeight="1" x14ac:dyDescent="0.25">
      <c r="A75" t="str">
        <f>Nutrients!B74</f>
        <v>Soybean Meal, High Protein, Expelled</v>
      </c>
      <c r="B75" s="99"/>
      <c r="C75" s="99"/>
      <c r="D75" s="99"/>
      <c r="E75" s="99"/>
      <c r="F75" s="99"/>
      <c r="G75" s="99"/>
      <c r="H75" s="99"/>
      <c r="I75" s="99"/>
      <c r="J75" s="99"/>
      <c r="K75" s="99"/>
      <c r="L75" s="99"/>
      <c r="M75" s="99"/>
      <c r="N75" s="99"/>
      <c r="O75" s="10"/>
      <c r="P75" s="99"/>
      <c r="Q75" s="99"/>
      <c r="R75" s="99"/>
      <c r="S75" s="99"/>
      <c r="T75" s="99"/>
      <c r="U75" s="99"/>
      <c r="W75" s="99"/>
      <c r="X75" s="99"/>
      <c r="Y75" s="99"/>
      <c r="Z75" s="99"/>
      <c r="AA75" s="99"/>
      <c r="AB75" s="99"/>
      <c r="AD75" s="99"/>
      <c r="AE75" s="99"/>
      <c r="AF75" s="99"/>
      <c r="AG75" s="99"/>
      <c r="AH75" s="99"/>
      <c r="AI75" s="99"/>
      <c r="AK75" s="99"/>
      <c r="AL75" s="99"/>
      <c r="AM75" s="99"/>
      <c r="AN75" s="99"/>
      <c r="AO75" s="99"/>
      <c r="AP75" s="99"/>
      <c r="AR75" s="99"/>
      <c r="AS75" s="99"/>
      <c r="AT75" s="99"/>
      <c r="AU75" s="99"/>
      <c r="AV75" s="99"/>
      <c r="AW75" s="99"/>
    </row>
    <row r="76" spans="1:49" ht="12.75" hidden="1" customHeight="1" x14ac:dyDescent="0.25">
      <c r="A76" t="str">
        <f>Nutrients!B75</f>
        <v>Soybean Meal, Low Oligosacch, Expell</v>
      </c>
      <c r="B76" s="99"/>
      <c r="C76" s="99"/>
      <c r="D76" s="99"/>
      <c r="E76" s="99"/>
      <c r="F76" s="99"/>
      <c r="G76" s="99"/>
      <c r="H76" s="99"/>
      <c r="I76" s="99"/>
      <c r="J76" s="99"/>
      <c r="K76" s="99"/>
      <c r="L76" s="99"/>
      <c r="M76" s="99"/>
      <c r="N76" s="99"/>
      <c r="O76" s="10"/>
      <c r="P76" s="99"/>
      <c r="Q76" s="99"/>
      <c r="R76" s="99"/>
      <c r="S76" s="99"/>
      <c r="T76" s="99"/>
      <c r="U76" s="99"/>
      <c r="W76" s="99"/>
      <c r="X76" s="99"/>
      <c r="Y76" s="99"/>
      <c r="Z76" s="99"/>
      <c r="AA76" s="99"/>
      <c r="AB76" s="99"/>
      <c r="AD76" s="99"/>
      <c r="AE76" s="99"/>
      <c r="AF76" s="99"/>
      <c r="AG76" s="99"/>
      <c r="AH76" s="99"/>
      <c r="AI76" s="99"/>
      <c r="AK76" s="99"/>
      <c r="AL76" s="99"/>
      <c r="AM76" s="99"/>
      <c r="AN76" s="99"/>
      <c r="AO76" s="99"/>
      <c r="AP76" s="99"/>
      <c r="AR76" s="99"/>
      <c r="AS76" s="99"/>
      <c r="AT76" s="99"/>
      <c r="AU76" s="99"/>
      <c r="AV76" s="99"/>
      <c r="AW76" s="99"/>
    </row>
    <row r="77" spans="1:49" ht="12.75" hidden="1" customHeight="1" x14ac:dyDescent="0.25">
      <c r="A77" t="str">
        <f>Nutrients!B76</f>
        <v>Soybean Meal, Expelled</v>
      </c>
      <c r="B77" s="99"/>
      <c r="C77" s="99"/>
      <c r="D77" s="99"/>
      <c r="E77" s="99"/>
      <c r="F77" s="99"/>
      <c r="G77" s="99"/>
      <c r="H77" s="99"/>
      <c r="I77" s="99"/>
      <c r="J77" s="99"/>
      <c r="K77" s="99"/>
      <c r="L77" s="99"/>
      <c r="M77" s="99"/>
      <c r="N77" s="99"/>
      <c r="O77" s="10"/>
      <c r="P77" s="99"/>
      <c r="Q77" s="99"/>
      <c r="R77" s="99"/>
      <c r="S77" s="99"/>
      <c r="T77" s="99"/>
      <c r="U77" s="99"/>
      <c r="W77" s="99"/>
      <c r="X77" s="99"/>
      <c r="Y77" s="99"/>
      <c r="Z77" s="99"/>
      <c r="AA77" s="99"/>
      <c r="AB77" s="99"/>
      <c r="AD77" s="99"/>
      <c r="AE77" s="99"/>
      <c r="AF77" s="99"/>
      <c r="AG77" s="99"/>
      <c r="AH77" s="99"/>
      <c r="AI77" s="99"/>
      <c r="AK77" s="99"/>
      <c r="AL77" s="99"/>
      <c r="AM77" s="99"/>
      <c r="AN77" s="99"/>
      <c r="AO77" s="99"/>
      <c r="AP77" s="99"/>
      <c r="AR77" s="99"/>
      <c r="AS77" s="99"/>
      <c r="AT77" s="99"/>
      <c r="AU77" s="99"/>
      <c r="AV77" s="99"/>
      <c r="AW77" s="99"/>
    </row>
    <row r="78" spans="1:49" ht="12.75" hidden="1" customHeight="1" x14ac:dyDescent="0.25">
      <c r="A78" t="str">
        <f>Nutrients!B77</f>
        <v>Soybean Meal, Dehulled, Expelled</v>
      </c>
      <c r="B78" s="99"/>
      <c r="C78" s="99"/>
      <c r="D78" s="99"/>
      <c r="E78" s="99"/>
      <c r="F78" s="99"/>
      <c r="G78" s="99"/>
      <c r="H78" s="99"/>
      <c r="I78" s="99"/>
      <c r="J78" s="99"/>
      <c r="K78" s="99"/>
      <c r="L78" s="99"/>
      <c r="M78" s="99"/>
      <c r="N78" s="99"/>
      <c r="O78" s="10"/>
      <c r="P78" s="99"/>
      <c r="Q78" s="99"/>
      <c r="R78" s="99"/>
      <c r="S78" s="99"/>
      <c r="T78" s="99"/>
      <c r="U78" s="99"/>
      <c r="W78" s="99"/>
      <c r="X78" s="99"/>
      <c r="Y78" s="99"/>
      <c r="Z78" s="99"/>
      <c r="AA78" s="99"/>
      <c r="AB78" s="99"/>
      <c r="AD78" s="99"/>
      <c r="AE78" s="99"/>
      <c r="AF78" s="99"/>
      <c r="AG78" s="99"/>
      <c r="AH78" s="99"/>
      <c r="AI78" s="99"/>
      <c r="AK78" s="99"/>
      <c r="AL78" s="99"/>
      <c r="AM78" s="99"/>
      <c r="AN78" s="99"/>
      <c r="AO78" s="99"/>
      <c r="AP78" s="99"/>
      <c r="AR78" s="99"/>
      <c r="AS78" s="99"/>
      <c r="AT78" s="99"/>
      <c r="AU78" s="99"/>
      <c r="AV78" s="99"/>
      <c r="AW78" s="99"/>
    </row>
    <row r="79" spans="1:49" ht="12.75" hidden="1" customHeight="1" x14ac:dyDescent="0.25">
      <c r="A79" t="str">
        <f>Nutrients!B78</f>
        <v>Soybean Meal, Solvent Extracted</v>
      </c>
      <c r="B79" s="99"/>
      <c r="C79" s="99"/>
      <c r="D79" s="99"/>
      <c r="E79" s="99"/>
      <c r="F79" s="99"/>
      <c r="G79" s="99"/>
      <c r="H79" s="99"/>
      <c r="I79" s="99"/>
      <c r="J79" s="99"/>
      <c r="K79" s="99"/>
      <c r="L79" s="99"/>
      <c r="M79" s="99"/>
      <c r="N79" s="99"/>
      <c r="O79" s="10"/>
      <c r="P79" s="99"/>
      <c r="Q79" s="99"/>
      <c r="R79" s="99"/>
      <c r="S79" s="99"/>
      <c r="T79" s="99"/>
      <c r="U79" s="99"/>
      <c r="W79" s="99"/>
      <c r="X79" s="99"/>
      <c r="Y79" s="99"/>
      <c r="Z79" s="99"/>
      <c r="AA79" s="99"/>
      <c r="AB79" s="99"/>
      <c r="AD79" s="99"/>
      <c r="AE79" s="99"/>
      <c r="AF79" s="99"/>
      <c r="AG79" s="99"/>
      <c r="AH79" s="99"/>
      <c r="AI79" s="99"/>
      <c r="AK79" s="99"/>
      <c r="AL79" s="99"/>
      <c r="AM79" s="99"/>
      <c r="AN79" s="99"/>
      <c r="AO79" s="99"/>
      <c r="AP79" s="99"/>
      <c r="AR79" s="99"/>
      <c r="AS79" s="99"/>
      <c r="AT79" s="99"/>
      <c r="AU79" s="99"/>
      <c r="AV79" s="99"/>
      <c r="AW79" s="99"/>
    </row>
    <row r="80" spans="1:49" ht="12.75" hidden="1" customHeight="1" x14ac:dyDescent="0.25">
      <c r="A80" t="str">
        <f>Nutrients!B79</f>
        <v>Soybean Meal, Dehull, Sol Extr</v>
      </c>
      <c r="B80" s="99"/>
      <c r="C80" s="99"/>
      <c r="D80" s="99"/>
      <c r="E80" s="99"/>
      <c r="F80" s="99"/>
      <c r="G80" s="99"/>
      <c r="H80" s="99"/>
      <c r="I80" s="99"/>
      <c r="J80" s="99"/>
      <c r="K80" s="99"/>
      <c r="L80" s="99"/>
      <c r="M80" s="99"/>
      <c r="N80" s="99"/>
      <c r="O80" s="10"/>
      <c r="P80" s="99"/>
      <c r="Q80" s="99"/>
      <c r="R80" s="99"/>
      <c r="S80" s="99"/>
      <c r="T80" s="99"/>
      <c r="U80" s="99"/>
      <c r="W80" s="99"/>
      <c r="X80" s="99"/>
      <c r="Y80" s="99"/>
      <c r="Z80" s="99"/>
      <c r="AA80" s="99"/>
      <c r="AB80" s="99"/>
      <c r="AD80" s="99"/>
      <c r="AE80" s="99"/>
      <c r="AF80" s="99"/>
      <c r="AG80" s="99"/>
      <c r="AH80" s="99"/>
      <c r="AI80" s="99"/>
      <c r="AK80" s="99"/>
      <c r="AL80" s="99"/>
      <c r="AM80" s="99"/>
      <c r="AN80" s="99"/>
      <c r="AO80" s="99"/>
      <c r="AP80" s="99"/>
      <c r="AR80" s="99"/>
      <c r="AS80" s="99"/>
      <c r="AT80" s="99"/>
      <c r="AU80" s="99"/>
      <c r="AV80" s="99"/>
      <c r="AW80" s="99"/>
    </row>
    <row r="81" spans="1:49" ht="12.75" hidden="1" customHeight="1" x14ac:dyDescent="0.25">
      <c r="A81" t="str">
        <f>Nutrients!B80</f>
        <v>Soybean Meal, High Prot, Dehull, Solv Extr</v>
      </c>
      <c r="B81" s="99"/>
      <c r="C81" s="99"/>
      <c r="D81" s="99"/>
      <c r="E81" s="99"/>
      <c r="F81" s="99"/>
      <c r="G81" s="99"/>
      <c r="H81" s="99"/>
      <c r="I81" s="99"/>
      <c r="J81" s="99"/>
      <c r="K81" s="99"/>
      <c r="L81" s="99"/>
      <c r="M81" s="99"/>
      <c r="N81" s="99"/>
      <c r="O81" s="10"/>
      <c r="P81" s="99"/>
      <c r="Q81" s="99"/>
      <c r="R81" s="99"/>
      <c r="S81" s="99"/>
      <c r="T81" s="99"/>
      <c r="U81" s="99"/>
      <c r="W81" s="99"/>
      <c r="X81" s="99"/>
      <c r="Y81" s="99"/>
      <c r="Z81" s="99"/>
      <c r="AA81" s="99"/>
      <c r="AB81" s="99"/>
      <c r="AD81" s="99"/>
      <c r="AE81" s="99"/>
      <c r="AF81" s="99"/>
      <c r="AG81" s="99"/>
      <c r="AH81" s="99"/>
      <c r="AI81" s="99"/>
      <c r="AK81" s="99"/>
      <c r="AL81" s="99"/>
      <c r="AM81" s="99"/>
      <c r="AN81" s="99"/>
      <c r="AO81" s="99"/>
      <c r="AP81" s="99"/>
      <c r="AR81" s="99"/>
      <c r="AS81" s="99"/>
      <c r="AT81" s="99"/>
      <c r="AU81" s="99"/>
      <c r="AV81" s="99"/>
      <c r="AW81" s="99"/>
    </row>
    <row r="82" spans="1:49" ht="12.75" hidden="1" customHeight="1" x14ac:dyDescent="0.25">
      <c r="A82" t="str">
        <f>Nutrients!B81</f>
        <v>Soybean Meal, Enzyme Treated</v>
      </c>
      <c r="B82" s="99"/>
      <c r="C82" s="99"/>
      <c r="D82" s="99"/>
      <c r="E82" s="99"/>
      <c r="F82" s="99"/>
      <c r="G82" s="99"/>
      <c r="H82" s="99"/>
      <c r="I82" s="99"/>
      <c r="J82" s="99"/>
      <c r="K82" s="99"/>
      <c r="L82" s="99"/>
      <c r="M82" s="99"/>
      <c r="N82" s="99"/>
      <c r="O82" s="10"/>
      <c r="P82" s="99"/>
      <c r="Q82" s="99"/>
      <c r="R82" s="99"/>
      <c r="S82" s="99"/>
      <c r="T82" s="99"/>
      <c r="U82" s="99"/>
      <c r="W82" s="99"/>
      <c r="X82" s="99"/>
      <c r="Y82" s="99"/>
      <c r="Z82" s="99"/>
      <c r="AA82" s="99"/>
      <c r="AB82" s="99"/>
      <c r="AD82" s="99"/>
      <c r="AE82" s="99"/>
      <c r="AF82" s="99"/>
      <c r="AG82" s="99"/>
      <c r="AH82" s="99"/>
      <c r="AI82" s="99"/>
      <c r="AK82" s="99"/>
      <c r="AL82" s="99"/>
      <c r="AM82" s="99"/>
      <c r="AN82" s="99"/>
      <c r="AO82" s="99"/>
      <c r="AP82" s="99"/>
      <c r="AR82" s="99"/>
      <c r="AS82" s="99"/>
      <c r="AT82" s="99"/>
      <c r="AU82" s="99"/>
      <c r="AV82" s="99"/>
      <c r="AW82" s="99"/>
    </row>
    <row r="83" spans="1:49" ht="12.75" hidden="1" customHeight="1" x14ac:dyDescent="0.25">
      <c r="A83" t="str">
        <f>Nutrients!B82</f>
        <v>Soybean Meal, Fermented</v>
      </c>
      <c r="B83" s="99"/>
      <c r="C83" s="99"/>
      <c r="D83" s="99"/>
      <c r="E83" s="99"/>
      <c r="F83" s="99"/>
      <c r="G83" s="99"/>
      <c r="H83" s="99"/>
      <c r="I83" s="99"/>
      <c r="J83" s="99"/>
      <c r="K83" s="99"/>
      <c r="L83" s="99"/>
      <c r="M83" s="99"/>
      <c r="N83" s="99"/>
      <c r="O83" s="10"/>
      <c r="P83" s="99"/>
      <c r="Q83" s="99"/>
      <c r="R83" s="99"/>
      <c r="S83" s="99"/>
      <c r="T83" s="99"/>
      <c r="U83" s="99"/>
      <c r="W83" s="99"/>
      <c r="X83" s="99"/>
      <c r="Y83" s="99"/>
      <c r="Z83" s="99"/>
      <c r="AA83" s="99"/>
      <c r="AB83" s="99"/>
      <c r="AD83" s="99"/>
      <c r="AE83" s="99"/>
      <c r="AF83" s="99"/>
      <c r="AG83" s="99"/>
      <c r="AH83" s="99"/>
      <c r="AI83" s="99"/>
      <c r="AK83" s="99"/>
      <c r="AL83" s="99"/>
      <c r="AM83" s="99"/>
      <c r="AN83" s="99"/>
      <c r="AO83" s="99"/>
      <c r="AP83" s="99"/>
      <c r="AR83" s="99"/>
      <c r="AS83" s="99"/>
      <c r="AT83" s="99"/>
      <c r="AU83" s="99"/>
      <c r="AV83" s="99"/>
      <c r="AW83" s="99"/>
    </row>
    <row r="84" spans="1:49" ht="12.75" hidden="1" customHeight="1" x14ac:dyDescent="0.25">
      <c r="A84" t="str">
        <f>Nutrients!B83</f>
        <v>Soybean Hulls</v>
      </c>
      <c r="B84" s="99"/>
      <c r="C84" s="99"/>
      <c r="D84" s="99"/>
      <c r="E84" s="99"/>
      <c r="F84" s="99"/>
      <c r="G84" s="99"/>
      <c r="H84" s="99"/>
      <c r="I84" s="99"/>
      <c r="J84" s="99"/>
      <c r="K84" s="99"/>
      <c r="L84" s="99"/>
      <c r="M84" s="99"/>
      <c r="N84" s="99"/>
      <c r="O84" s="10"/>
      <c r="P84" s="99"/>
      <c r="Q84" s="99"/>
      <c r="R84" s="99"/>
      <c r="S84" s="99"/>
      <c r="T84" s="99"/>
      <c r="U84" s="99"/>
      <c r="W84" s="99"/>
      <c r="X84" s="99"/>
      <c r="Y84" s="99"/>
      <c r="Z84" s="99"/>
      <c r="AA84" s="99"/>
      <c r="AB84" s="99"/>
      <c r="AD84" s="99"/>
      <c r="AE84" s="99"/>
      <c r="AF84" s="99"/>
      <c r="AG84" s="99"/>
      <c r="AH84" s="99"/>
      <c r="AI84" s="99"/>
      <c r="AK84" s="99"/>
      <c r="AL84" s="99"/>
      <c r="AM84" s="99"/>
      <c r="AN84" s="99"/>
      <c r="AO84" s="99"/>
      <c r="AP84" s="99"/>
      <c r="AR84" s="99"/>
      <c r="AS84" s="99"/>
      <c r="AT84" s="99"/>
      <c r="AU84" s="99"/>
      <c r="AV84" s="99"/>
      <c r="AW84" s="99"/>
    </row>
    <row r="85" spans="1:49" ht="12.75" hidden="1" customHeight="1" x14ac:dyDescent="0.25">
      <c r="A85" t="str">
        <f>Nutrients!B84</f>
        <v>Soy Protein Concentrate</v>
      </c>
      <c r="B85" s="99"/>
      <c r="C85" s="99"/>
      <c r="D85" s="99"/>
      <c r="E85" s="99"/>
      <c r="F85" s="99"/>
      <c r="G85" s="99"/>
      <c r="H85" s="99"/>
      <c r="I85" s="99"/>
      <c r="J85" s="99"/>
      <c r="K85" s="99"/>
      <c r="L85" s="99"/>
      <c r="M85" s="99"/>
      <c r="N85" s="99"/>
      <c r="O85" s="10"/>
      <c r="P85" s="99"/>
      <c r="Q85" s="99"/>
      <c r="R85" s="99"/>
      <c r="S85" s="99"/>
      <c r="T85" s="99"/>
      <c r="U85" s="99"/>
      <c r="W85" s="99"/>
      <c r="X85" s="99"/>
      <c r="Y85" s="99"/>
      <c r="Z85" s="99"/>
      <c r="AA85" s="99"/>
      <c r="AB85" s="99"/>
      <c r="AD85" s="99"/>
      <c r="AE85" s="99"/>
      <c r="AF85" s="99"/>
      <c r="AG85" s="99"/>
      <c r="AH85" s="99"/>
      <c r="AI85" s="99"/>
      <c r="AK85" s="99"/>
      <c r="AL85" s="99"/>
      <c r="AM85" s="99"/>
      <c r="AN85" s="99"/>
      <c r="AO85" s="99"/>
      <c r="AP85" s="99"/>
      <c r="AR85" s="99"/>
      <c r="AS85" s="99"/>
      <c r="AT85" s="99"/>
      <c r="AU85" s="99"/>
      <c r="AV85" s="99"/>
      <c r="AW85" s="99"/>
    </row>
    <row r="86" spans="1:49" ht="12.75" hidden="1" customHeight="1" x14ac:dyDescent="0.25">
      <c r="A86" t="str">
        <f>Nutrients!B85</f>
        <v>Soy Protein Isolate</v>
      </c>
      <c r="B86" s="99"/>
      <c r="C86" s="99"/>
      <c r="D86" s="99"/>
      <c r="E86" s="99"/>
      <c r="F86" s="99"/>
      <c r="G86" s="99"/>
      <c r="H86" s="99"/>
      <c r="I86" s="99"/>
      <c r="J86" s="99"/>
      <c r="K86" s="99"/>
      <c r="L86" s="99"/>
      <c r="M86" s="99"/>
      <c r="N86" s="99"/>
      <c r="O86" s="10"/>
      <c r="P86" s="99"/>
      <c r="Q86" s="99"/>
      <c r="R86" s="99"/>
      <c r="S86" s="99"/>
      <c r="T86" s="99"/>
      <c r="U86" s="99"/>
      <c r="W86" s="99"/>
      <c r="X86" s="99"/>
      <c r="Y86" s="99"/>
      <c r="Z86" s="99"/>
      <c r="AA86" s="99"/>
      <c r="AB86" s="99"/>
      <c r="AD86" s="99"/>
      <c r="AE86" s="99"/>
      <c r="AF86" s="99"/>
      <c r="AG86" s="99"/>
      <c r="AH86" s="99"/>
      <c r="AI86" s="99"/>
      <c r="AK86" s="99"/>
      <c r="AL86" s="99"/>
      <c r="AM86" s="99"/>
      <c r="AN86" s="99"/>
      <c r="AO86" s="99"/>
      <c r="AP86" s="99"/>
      <c r="AR86" s="99"/>
      <c r="AS86" s="99"/>
      <c r="AT86" s="99"/>
      <c r="AU86" s="99"/>
      <c r="AV86" s="99"/>
      <c r="AW86" s="99"/>
    </row>
    <row r="87" spans="1:49" ht="12.75" hidden="1" customHeight="1" x14ac:dyDescent="0.25">
      <c r="A87" t="str">
        <f>Nutrients!B86</f>
        <v>Sugar Beet Pulp</v>
      </c>
      <c r="B87" s="99"/>
      <c r="C87" s="99"/>
      <c r="D87" s="99"/>
      <c r="E87" s="99"/>
      <c r="F87" s="99"/>
      <c r="G87" s="99"/>
      <c r="H87" s="99"/>
      <c r="I87" s="99"/>
      <c r="J87" s="99"/>
      <c r="K87" s="99"/>
      <c r="L87" s="99"/>
      <c r="M87" s="99"/>
      <c r="N87" s="99"/>
      <c r="O87" s="10"/>
      <c r="P87" s="99"/>
      <c r="Q87" s="99"/>
      <c r="R87" s="99"/>
      <c r="S87" s="99"/>
      <c r="T87" s="99"/>
      <c r="U87" s="99"/>
      <c r="W87" s="99"/>
      <c r="X87" s="99"/>
      <c r="Y87" s="99"/>
      <c r="Z87" s="99"/>
      <c r="AA87" s="99"/>
      <c r="AB87" s="99"/>
      <c r="AD87" s="99"/>
      <c r="AE87" s="99"/>
      <c r="AF87" s="99"/>
      <c r="AG87" s="99"/>
      <c r="AH87" s="99"/>
      <c r="AI87" s="99"/>
      <c r="AK87" s="99"/>
      <c r="AL87" s="99"/>
      <c r="AM87" s="99"/>
      <c r="AN87" s="99"/>
      <c r="AO87" s="99"/>
      <c r="AP87" s="99"/>
      <c r="AR87" s="99"/>
      <c r="AS87" s="99"/>
      <c r="AT87" s="99"/>
      <c r="AU87" s="99"/>
      <c r="AV87" s="99"/>
      <c r="AW87" s="99"/>
    </row>
    <row r="88" spans="1:49" ht="12.75" hidden="1" customHeight="1" x14ac:dyDescent="0.25">
      <c r="A88" t="str">
        <f>Nutrients!B87</f>
        <v>Sunflower, Full Fat</v>
      </c>
      <c r="B88" s="99"/>
      <c r="C88" s="99"/>
      <c r="D88" s="99"/>
      <c r="E88" s="99"/>
      <c r="F88" s="99"/>
      <c r="G88" s="99"/>
      <c r="H88" s="99"/>
      <c r="I88" s="99"/>
      <c r="J88" s="99"/>
      <c r="K88" s="99"/>
      <c r="L88" s="99"/>
      <c r="M88" s="99"/>
      <c r="N88" s="99"/>
      <c r="O88" s="10"/>
      <c r="P88" s="99"/>
      <c r="Q88" s="99"/>
      <c r="R88" s="99"/>
      <c r="S88" s="99"/>
      <c r="T88" s="99"/>
      <c r="U88" s="99"/>
      <c r="W88" s="99"/>
      <c r="X88" s="99"/>
      <c r="Y88" s="99"/>
      <c r="Z88" s="99"/>
      <c r="AA88" s="99"/>
      <c r="AB88" s="99"/>
      <c r="AD88" s="99"/>
      <c r="AE88" s="99"/>
      <c r="AF88" s="99"/>
      <c r="AG88" s="99"/>
      <c r="AH88" s="99"/>
      <c r="AI88" s="99"/>
      <c r="AK88" s="99"/>
      <c r="AL88" s="99"/>
      <c r="AM88" s="99"/>
      <c r="AN88" s="99"/>
      <c r="AO88" s="99"/>
      <c r="AP88" s="99"/>
      <c r="AR88" s="99"/>
      <c r="AS88" s="99"/>
      <c r="AT88" s="99"/>
      <c r="AU88" s="99"/>
      <c r="AV88" s="99"/>
      <c r="AW88" s="99"/>
    </row>
    <row r="89" spans="1:49" ht="12.75" hidden="1" customHeight="1" x14ac:dyDescent="0.25">
      <c r="A89" t="str">
        <f>Nutrients!B88</f>
        <v>Sunflower Meal, Solvent Extracted</v>
      </c>
      <c r="B89" s="99"/>
      <c r="C89" s="99"/>
      <c r="D89" s="99"/>
      <c r="E89" s="99"/>
      <c r="F89" s="99"/>
      <c r="G89" s="99"/>
      <c r="H89" s="99"/>
      <c r="I89" s="99"/>
      <c r="J89" s="99"/>
      <c r="K89" s="99"/>
      <c r="L89" s="99"/>
      <c r="M89" s="99"/>
      <c r="N89" s="99"/>
      <c r="O89" s="10"/>
      <c r="P89" s="99"/>
      <c r="Q89" s="99"/>
      <c r="R89" s="99"/>
      <c r="S89" s="99"/>
      <c r="T89" s="99"/>
      <c r="U89" s="99"/>
      <c r="W89" s="99"/>
      <c r="X89" s="99"/>
      <c r="Y89" s="99"/>
      <c r="Z89" s="99"/>
      <c r="AA89" s="99"/>
      <c r="AB89" s="99"/>
      <c r="AD89" s="99"/>
      <c r="AE89" s="99"/>
      <c r="AF89" s="99"/>
      <c r="AG89" s="99"/>
      <c r="AH89" s="99"/>
      <c r="AI89" s="99"/>
      <c r="AK89" s="99"/>
      <c r="AL89" s="99"/>
      <c r="AM89" s="99"/>
      <c r="AN89" s="99"/>
      <c r="AO89" s="99"/>
      <c r="AP89" s="99"/>
      <c r="AR89" s="99"/>
      <c r="AS89" s="99"/>
      <c r="AT89" s="99"/>
      <c r="AU89" s="99"/>
      <c r="AV89" s="99"/>
      <c r="AW89" s="99"/>
    </row>
    <row r="90" spans="1:49" ht="12.75" hidden="1" customHeight="1" x14ac:dyDescent="0.25">
      <c r="A90" t="str">
        <f>Nutrients!B89</f>
        <v>Sunflower Meal, Dehulled, Solvent Extr</v>
      </c>
      <c r="B90" s="99"/>
      <c r="C90" s="99"/>
      <c r="D90" s="99"/>
      <c r="E90" s="99"/>
      <c r="F90" s="99"/>
      <c r="G90" s="99"/>
      <c r="H90" s="99"/>
      <c r="I90" s="99"/>
      <c r="J90" s="99"/>
      <c r="K90" s="99"/>
      <c r="L90" s="99"/>
      <c r="M90" s="99"/>
      <c r="N90" s="99"/>
      <c r="O90" s="10"/>
      <c r="P90" s="99"/>
      <c r="Q90" s="99"/>
      <c r="R90" s="99"/>
      <c r="S90" s="99"/>
      <c r="T90" s="99"/>
      <c r="U90" s="99"/>
      <c r="W90" s="99"/>
      <c r="X90" s="99"/>
      <c r="Y90" s="99"/>
      <c r="Z90" s="99"/>
      <c r="AA90" s="99"/>
      <c r="AB90" s="99"/>
      <c r="AD90" s="99"/>
      <c r="AE90" s="99"/>
      <c r="AF90" s="99"/>
      <c r="AG90" s="99"/>
      <c r="AH90" s="99"/>
      <c r="AI90" s="99"/>
      <c r="AK90" s="99"/>
      <c r="AL90" s="99"/>
      <c r="AM90" s="99"/>
      <c r="AN90" s="99"/>
      <c r="AO90" s="99"/>
      <c r="AP90" s="99"/>
      <c r="AR90" s="99"/>
      <c r="AS90" s="99"/>
      <c r="AT90" s="99"/>
      <c r="AU90" s="99"/>
      <c r="AV90" s="99"/>
      <c r="AW90" s="99"/>
    </row>
    <row r="91" spans="1:49" ht="12.75" hidden="1" customHeight="1" x14ac:dyDescent="0.25">
      <c r="A91" t="str">
        <f>Nutrients!B90</f>
        <v>Triticale</v>
      </c>
      <c r="B91" s="99"/>
      <c r="C91" s="99"/>
      <c r="D91" s="99"/>
      <c r="E91" s="99"/>
      <c r="F91" s="99"/>
      <c r="G91" s="99"/>
      <c r="H91" s="99"/>
      <c r="I91" s="99"/>
      <c r="J91" s="99"/>
      <c r="K91" s="99"/>
      <c r="L91" s="99"/>
      <c r="M91" s="99"/>
      <c r="N91" s="99"/>
      <c r="O91" s="10"/>
      <c r="P91" s="99"/>
      <c r="Q91" s="99"/>
      <c r="R91" s="99"/>
      <c r="S91" s="99"/>
      <c r="T91" s="99"/>
      <c r="U91" s="99"/>
      <c r="W91" s="99"/>
      <c r="X91" s="99"/>
      <c r="Y91" s="99"/>
      <c r="Z91" s="99"/>
      <c r="AA91" s="99"/>
      <c r="AB91" s="99"/>
      <c r="AD91" s="99"/>
      <c r="AE91" s="99"/>
      <c r="AF91" s="99"/>
      <c r="AG91" s="99"/>
      <c r="AH91" s="99"/>
      <c r="AI91" s="99"/>
      <c r="AK91" s="99"/>
      <c r="AL91" s="99"/>
      <c r="AM91" s="99"/>
      <c r="AN91" s="99"/>
      <c r="AO91" s="99"/>
      <c r="AP91" s="99"/>
      <c r="AR91" s="99"/>
      <c r="AS91" s="99"/>
      <c r="AT91" s="99"/>
      <c r="AU91" s="99"/>
      <c r="AV91" s="99"/>
      <c r="AW91" s="99"/>
    </row>
    <row r="92" spans="1:49" ht="12.75" hidden="1" customHeight="1" x14ac:dyDescent="0.25">
      <c r="A92" t="str">
        <f>Nutrients!B91</f>
        <v>Wheat, Hard Red</v>
      </c>
      <c r="B92" s="99"/>
      <c r="C92" s="99"/>
      <c r="D92" s="99"/>
      <c r="E92" s="99"/>
      <c r="F92" s="99"/>
      <c r="G92" s="99"/>
      <c r="H92" s="99"/>
      <c r="I92" s="99"/>
      <c r="J92" s="99"/>
      <c r="K92" s="99"/>
      <c r="L92" s="99"/>
      <c r="M92" s="99"/>
      <c r="N92" s="99"/>
      <c r="O92" s="10"/>
      <c r="P92" s="99"/>
      <c r="Q92" s="99"/>
      <c r="R92" s="99"/>
      <c r="S92" s="99"/>
      <c r="T92" s="99"/>
      <c r="U92" s="99"/>
      <c r="W92" s="99"/>
      <c r="X92" s="99"/>
      <c r="Y92" s="99"/>
      <c r="Z92" s="99"/>
      <c r="AA92" s="99"/>
      <c r="AB92" s="99"/>
      <c r="AD92" s="99"/>
      <c r="AE92" s="99"/>
      <c r="AF92" s="99"/>
      <c r="AG92" s="99"/>
      <c r="AH92" s="99"/>
      <c r="AI92" s="99"/>
      <c r="AK92" s="99"/>
      <c r="AL92" s="99"/>
      <c r="AM92" s="99"/>
      <c r="AN92" s="99"/>
      <c r="AO92" s="99"/>
      <c r="AP92" s="99"/>
      <c r="AR92" s="99"/>
      <c r="AS92" s="99"/>
      <c r="AT92" s="99"/>
      <c r="AU92" s="99"/>
      <c r="AV92" s="99"/>
      <c r="AW92" s="99"/>
    </row>
    <row r="93" spans="1:49" ht="12.75" hidden="1" customHeight="1" x14ac:dyDescent="0.25">
      <c r="A93" t="str">
        <f>Nutrients!B92</f>
        <v>Wheat, Soft Red</v>
      </c>
      <c r="B93" s="99"/>
      <c r="C93" s="99"/>
      <c r="D93" s="99"/>
      <c r="E93" s="99"/>
      <c r="F93" s="99"/>
      <c r="G93" s="99"/>
      <c r="H93" s="99"/>
      <c r="I93" s="99"/>
      <c r="J93" s="99"/>
      <c r="K93" s="99"/>
      <c r="L93" s="99"/>
      <c r="M93" s="99"/>
      <c r="N93" s="99"/>
      <c r="O93" s="10"/>
      <c r="P93" s="99"/>
      <c r="Q93" s="99"/>
      <c r="R93" s="99"/>
      <c r="S93" s="99"/>
      <c r="T93" s="99"/>
      <c r="U93" s="99"/>
      <c r="W93" s="99"/>
      <c r="X93" s="99"/>
      <c r="Y93" s="99"/>
      <c r="Z93" s="99"/>
      <c r="AA93" s="99"/>
      <c r="AB93" s="99"/>
      <c r="AD93" s="99"/>
      <c r="AE93" s="99"/>
      <c r="AF93" s="99"/>
      <c r="AG93" s="99"/>
      <c r="AH93" s="99"/>
      <c r="AI93" s="99"/>
      <c r="AK93" s="99"/>
      <c r="AL93" s="99"/>
      <c r="AM93" s="99"/>
      <c r="AN93" s="99"/>
      <c r="AO93" s="99"/>
      <c r="AP93" s="99"/>
      <c r="AR93" s="99"/>
      <c r="AS93" s="99"/>
      <c r="AT93" s="99"/>
      <c r="AU93" s="99"/>
      <c r="AV93" s="99"/>
      <c r="AW93" s="99"/>
    </row>
    <row r="94" spans="1:49" ht="12.75" hidden="1" customHeight="1" x14ac:dyDescent="0.25">
      <c r="A94" t="str">
        <f>Nutrients!B93</f>
        <v>Wheat Bran</v>
      </c>
      <c r="B94" s="99"/>
      <c r="C94" s="99"/>
      <c r="D94" s="99"/>
      <c r="E94" s="99"/>
      <c r="F94" s="99"/>
      <c r="G94" s="99"/>
      <c r="H94" s="99"/>
      <c r="I94" s="99"/>
      <c r="J94" s="99"/>
      <c r="K94" s="99"/>
      <c r="L94" s="99"/>
      <c r="M94" s="99"/>
      <c r="N94" s="99"/>
      <c r="O94" s="10"/>
      <c r="P94" s="99"/>
      <c r="Q94" s="99"/>
      <c r="R94" s="99"/>
      <c r="S94" s="99"/>
      <c r="T94" s="99"/>
      <c r="U94" s="99"/>
      <c r="W94" s="99"/>
      <c r="X94" s="99"/>
      <c r="Y94" s="99"/>
      <c r="Z94" s="99"/>
      <c r="AA94" s="99"/>
      <c r="AB94" s="99"/>
      <c r="AD94" s="99"/>
      <c r="AE94" s="99"/>
      <c r="AF94" s="99"/>
      <c r="AG94" s="99"/>
      <c r="AH94" s="99"/>
      <c r="AI94" s="99"/>
      <c r="AK94" s="99"/>
      <c r="AL94" s="99"/>
      <c r="AM94" s="99"/>
      <c r="AN94" s="99"/>
      <c r="AO94" s="99"/>
      <c r="AP94" s="99"/>
      <c r="AR94" s="99"/>
      <c r="AS94" s="99"/>
      <c r="AT94" s="99"/>
      <c r="AU94" s="99"/>
      <c r="AV94" s="99"/>
      <c r="AW94" s="99"/>
    </row>
    <row r="95" spans="1:49" ht="12.75" hidden="1" customHeight="1" x14ac:dyDescent="0.25">
      <c r="A95" t="str">
        <f>Nutrients!B94</f>
        <v>Wheat Middlings</v>
      </c>
      <c r="B95" s="99"/>
      <c r="C95" s="99"/>
      <c r="D95" s="99"/>
      <c r="E95" s="99"/>
      <c r="F95" s="99"/>
      <c r="G95" s="99"/>
      <c r="H95" s="99"/>
      <c r="I95" s="99"/>
      <c r="J95" s="99"/>
      <c r="K95" s="99"/>
      <c r="L95" s="99"/>
      <c r="M95" s="99"/>
      <c r="N95" s="99"/>
      <c r="O95" s="10"/>
      <c r="P95" s="99"/>
      <c r="Q95" s="99"/>
      <c r="R95" s="99"/>
      <c r="S95" s="99"/>
      <c r="T95" s="99"/>
      <c r="U95" s="99"/>
      <c r="W95" s="99"/>
      <c r="X95" s="99"/>
      <c r="Y95" s="99"/>
      <c r="Z95" s="99"/>
      <c r="AA95" s="99"/>
      <c r="AB95" s="99"/>
      <c r="AD95" s="99"/>
      <c r="AE95" s="99"/>
      <c r="AF95" s="99"/>
      <c r="AG95" s="99"/>
      <c r="AH95" s="99"/>
      <c r="AI95" s="99"/>
      <c r="AK95" s="99"/>
      <c r="AL95" s="99"/>
      <c r="AM95" s="99"/>
      <c r="AN95" s="99"/>
      <c r="AO95" s="99"/>
      <c r="AP95" s="99"/>
      <c r="AR95" s="99"/>
      <c r="AS95" s="99"/>
      <c r="AT95" s="99"/>
      <c r="AU95" s="99"/>
      <c r="AV95" s="99"/>
      <c r="AW95" s="99"/>
    </row>
    <row r="96" spans="1:49" ht="12.75" hidden="1" customHeight="1" x14ac:dyDescent="0.25">
      <c r="A96" t="str">
        <f>Nutrients!B95</f>
        <v>Wheat Shorts</v>
      </c>
      <c r="B96" s="99"/>
      <c r="C96" s="99"/>
      <c r="D96" s="99"/>
      <c r="E96" s="99"/>
      <c r="F96" s="99"/>
      <c r="G96" s="99"/>
      <c r="H96" s="99"/>
      <c r="I96" s="99"/>
      <c r="J96" s="99"/>
      <c r="K96" s="99"/>
      <c r="L96" s="99"/>
      <c r="M96" s="99"/>
      <c r="N96" s="99"/>
      <c r="O96" s="10"/>
      <c r="P96" s="99"/>
      <c r="Q96" s="99"/>
      <c r="R96" s="99"/>
      <c r="S96" s="99"/>
      <c r="T96" s="99"/>
      <c r="U96" s="99"/>
      <c r="W96" s="99"/>
      <c r="X96" s="99"/>
      <c r="Y96" s="99"/>
      <c r="Z96" s="99"/>
      <c r="AA96" s="99"/>
      <c r="AB96" s="99"/>
      <c r="AD96" s="99"/>
      <c r="AE96" s="99"/>
      <c r="AF96" s="99"/>
      <c r="AG96" s="99"/>
      <c r="AH96" s="99"/>
      <c r="AI96" s="99"/>
      <c r="AK96" s="99"/>
      <c r="AL96" s="99"/>
      <c r="AM96" s="99"/>
      <c r="AN96" s="99"/>
      <c r="AO96" s="99"/>
      <c r="AP96" s="99"/>
      <c r="AR96" s="99"/>
      <c r="AS96" s="99"/>
      <c r="AT96" s="99"/>
      <c r="AU96" s="99"/>
      <c r="AV96" s="99"/>
      <c r="AW96" s="99"/>
    </row>
    <row r="97" spans="1:51" ht="12.75" hidden="1" customHeight="1" x14ac:dyDescent="0.25">
      <c r="A97" t="str">
        <f>Nutrients!B96</f>
        <v>Wheat DDGS</v>
      </c>
      <c r="B97" s="99"/>
      <c r="C97" s="99"/>
      <c r="D97" s="99"/>
      <c r="E97" s="99"/>
      <c r="F97" s="99"/>
      <c r="G97" s="99"/>
      <c r="H97" s="99"/>
      <c r="I97" s="99"/>
      <c r="J97" s="99"/>
      <c r="K97" s="99"/>
      <c r="L97" s="99"/>
      <c r="M97" s="99"/>
      <c r="N97" s="99"/>
      <c r="O97" s="10"/>
      <c r="P97" s="99"/>
      <c r="Q97" s="99"/>
      <c r="R97" s="99"/>
      <c r="S97" s="99"/>
      <c r="T97" s="99"/>
      <c r="U97" s="99"/>
      <c r="W97" s="99"/>
      <c r="X97" s="99"/>
      <c r="Y97" s="99"/>
      <c r="Z97" s="99"/>
      <c r="AA97" s="99"/>
      <c r="AB97" s="99"/>
      <c r="AD97" s="99"/>
      <c r="AE97" s="99"/>
      <c r="AF97" s="99"/>
      <c r="AG97" s="99"/>
      <c r="AH97" s="99"/>
      <c r="AI97" s="99"/>
      <c r="AK97" s="99"/>
      <c r="AL97" s="99"/>
      <c r="AM97" s="99"/>
      <c r="AN97" s="99"/>
      <c r="AO97" s="99"/>
      <c r="AP97" s="99"/>
      <c r="AR97" s="99"/>
      <c r="AS97" s="99"/>
      <c r="AT97" s="99"/>
      <c r="AU97" s="99"/>
      <c r="AV97" s="99"/>
      <c r="AW97" s="99"/>
    </row>
    <row r="98" spans="1:51" ht="12.75" hidden="1" customHeight="1" x14ac:dyDescent="0.25">
      <c r="A98" t="str">
        <f>Nutrients!B97</f>
        <v>Yeast, Brewers' Yeast</v>
      </c>
      <c r="B98" s="99"/>
      <c r="C98" s="99"/>
      <c r="D98" s="99"/>
      <c r="E98" s="99"/>
      <c r="F98" s="99"/>
      <c r="G98" s="99"/>
      <c r="H98" s="99"/>
      <c r="I98" s="99"/>
      <c r="J98" s="99"/>
      <c r="K98" s="99"/>
      <c r="L98" s="99"/>
      <c r="M98" s="99"/>
      <c r="N98" s="99"/>
      <c r="O98" s="10"/>
      <c r="P98" s="99"/>
      <c r="Q98" s="99"/>
      <c r="R98" s="99"/>
      <c r="S98" s="99"/>
      <c r="T98" s="99"/>
      <c r="U98" s="99"/>
      <c r="W98" s="99"/>
      <c r="X98" s="99"/>
      <c r="Y98" s="99"/>
      <c r="Z98" s="99"/>
      <c r="AA98" s="99"/>
      <c r="AB98" s="99"/>
      <c r="AD98" s="99"/>
      <c r="AE98" s="99"/>
      <c r="AF98" s="99"/>
      <c r="AG98" s="99"/>
      <c r="AH98" s="99"/>
      <c r="AI98" s="99"/>
      <c r="AK98" s="99"/>
      <c r="AL98" s="99"/>
      <c r="AM98" s="99"/>
      <c r="AN98" s="99"/>
      <c r="AO98" s="99"/>
      <c r="AP98" s="99"/>
      <c r="AR98" s="99"/>
      <c r="AS98" s="99"/>
      <c r="AT98" s="99"/>
      <c r="AU98" s="99"/>
      <c r="AV98" s="99"/>
      <c r="AW98" s="99"/>
    </row>
    <row r="99" spans="1:51" ht="12.75" hidden="1" customHeight="1" x14ac:dyDescent="0.25">
      <c r="A99" t="str">
        <f>Nutrients!B98</f>
        <v>Yeast, Single Cell Protein</v>
      </c>
      <c r="B99" s="99"/>
      <c r="C99" s="99"/>
      <c r="D99" s="99"/>
      <c r="E99" s="99"/>
      <c r="F99" s="99"/>
      <c r="G99" s="99"/>
      <c r="H99" s="99"/>
      <c r="I99" s="99"/>
      <c r="J99" s="99"/>
      <c r="K99" s="99"/>
      <c r="L99" s="99"/>
      <c r="M99" s="99"/>
      <c r="N99" s="99"/>
      <c r="O99" s="10"/>
      <c r="P99" s="99"/>
      <c r="Q99" s="99"/>
      <c r="R99" s="99"/>
      <c r="S99" s="99"/>
      <c r="T99" s="99"/>
      <c r="U99" s="99"/>
      <c r="W99" s="99"/>
      <c r="X99" s="99"/>
      <c r="Y99" s="99"/>
      <c r="Z99" s="99"/>
      <c r="AA99" s="99"/>
      <c r="AB99" s="99"/>
      <c r="AD99" s="99"/>
      <c r="AE99" s="99"/>
      <c r="AF99" s="99"/>
      <c r="AG99" s="99"/>
      <c r="AH99" s="99"/>
      <c r="AI99" s="99"/>
      <c r="AK99" s="99"/>
      <c r="AL99" s="99"/>
      <c r="AM99" s="99"/>
      <c r="AN99" s="99"/>
      <c r="AO99" s="99"/>
      <c r="AP99" s="99"/>
      <c r="AR99" s="99"/>
      <c r="AS99" s="99"/>
      <c r="AT99" s="99"/>
      <c r="AU99" s="99"/>
      <c r="AV99" s="99"/>
      <c r="AW99" s="99"/>
    </row>
    <row r="100" spans="1:51" ht="12.75" hidden="1" customHeight="1" x14ac:dyDescent="0.25">
      <c r="A100" t="str">
        <f>Nutrients!B99</f>
        <v>Beef Tallow</v>
      </c>
      <c r="B100" s="99"/>
      <c r="C100" s="99"/>
      <c r="D100" s="99"/>
      <c r="E100" s="99"/>
      <c r="F100" s="99"/>
      <c r="G100" s="99"/>
      <c r="H100" s="99"/>
      <c r="I100" s="99"/>
      <c r="J100" s="99"/>
      <c r="K100" s="99"/>
      <c r="L100" s="99"/>
      <c r="M100" s="99"/>
      <c r="N100" s="99"/>
      <c r="O100" s="10"/>
      <c r="P100" s="99"/>
      <c r="Q100" s="99"/>
      <c r="R100" s="99"/>
      <c r="S100" s="99"/>
      <c r="T100" s="99"/>
      <c r="U100" s="99"/>
      <c r="W100" s="99"/>
      <c r="X100" s="99"/>
      <c r="Y100" s="99"/>
      <c r="Z100" s="99"/>
      <c r="AA100" s="99"/>
      <c r="AB100" s="99"/>
      <c r="AD100" s="99"/>
      <c r="AE100" s="99"/>
      <c r="AF100" s="99"/>
      <c r="AG100" s="99"/>
      <c r="AH100" s="99"/>
      <c r="AI100" s="99"/>
      <c r="AK100" s="99"/>
      <c r="AL100" s="99"/>
      <c r="AM100" s="99"/>
      <c r="AN100" s="99"/>
      <c r="AO100" s="99"/>
      <c r="AP100" s="99"/>
      <c r="AR100" s="99"/>
      <c r="AS100" s="99"/>
      <c r="AT100" s="99"/>
      <c r="AU100" s="99"/>
      <c r="AV100" s="99"/>
      <c r="AW100" s="99"/>
    </row>
    <row r="101" spans="1:51" x14ac:dyDescent="0.25">
      <c r="A101" t="str">
        <f>Nutrients!B100</f>
        <v>Choice White Grease</v>
      </c>
      <c r="B101" s="99"/>
      <c r="C101" s="99"/>
      <c r="D101" s="99"/>
      <c r="E101" s="99"/>
      <c r="F101" s="99"/>
      <c r="G101" s="99"/>
      <c r="H101" s="99"/>
      <c r="I101" s="106">
        <f>IF('GF diets No L-Val'!B250-'GF diets No L-Val'!I250&lt;0,0,'GF diets No L-Val'!B250-'GF diets No L-Val'!I250+0.1)</f>
        <v>9.4602533844016303</v>
      </c>
      <c r="J101" s="106">
        <f>IF('GF diets No L-Val'!C250-'GF diets No L-Val'!J250&lt;0,0,'GF diets No L-Val'!C250-'GF diets No L-Val'!J250+0.1)</f>
        <v>9.5557270193424753</v>
      </c>
      <c r="K101" s="106">
        <f>IF('GF diets No L-Val'!D250-'GF diets No L-Val'!K250&lt;0,0,'GF diets No L-Val'!D250-'GF diets No L-Val'!K250+0.1)</f>
        <v>9.620277963423268</v>
      </c>
      <c r="L101" s="106">
        <f>IF('GF diets No L-Val'!E250-'GF diets No L-Val'!L250&lt;0,0,('GF diets No L-Val'!E250-'GF diets No L-Val'!L250)+0.1)</f>
        <v>9.4051479682508212</v>
      </c>
      <c r="M101" s="106">
        <f>IF('GF diets No L-Val'!F250-'GF diets No L-Val'!M250&lt;0,0,'GF diets No L-Val'!F250-'GF diets No L-Val'!M250+0.1)</f>
        <v>9.4839750483116401</v>
      </c>
      <c r="N101" s="106">
        <f>IF('GF diets No L-Val'!G250-'GF diets No L-Val'!N250&lt;0,0,'GF diets No L-Val'!G250-'GF diets No L-Val'!N250+0.1)</f>
        <v>9.4284150587837754</v>
      </c>
      <c r="O101" s="29"/>
      <c r="P101" s="106">
        <f>IF('GF diets No L-Val'!B250-'GF diets No L-Val'!P250&lt;0,0,'GF diets No L-Val'!B250-'GF diets No L-Val'!P250+0.2)</f>
        <v>19.036538983225636</v>
      </c>
      <c r="Q101" s="106">
        <f>IF('GF diets No L-Val'!C250-'GF diets No L-Val'!Q250&lt;0,0,'GF diets No L-Val'!C250-'GF diets No L-Val'!Q250+0.2)</f>
        <v>19.169942929591752</v>
      </c>
      <c r="R101" s="106">
        <f>IF('GF diets No L-Val'!D250-'GF diets No L-Val'!R250&lt;0,0,'GF diets No L-Val'!D250-'GF diets No L-Val'!R250+0.2)</f>
        <v>19.291745679336099</v>
      </c>
      <c r="S101" s="106">
        <f>IF('GF diets No L-Val'!E250-'GF diets No L-Val'!S250&lt;0,0,'GF diets No L-Val'!E250-'GF diets No L-Val'!S250+0.2)</f>
        <v>19.054096695084535</v>
      </c>
      <c r="T101" s="106">
        <f>IF('GF diets No L-Val'!F250-'GF diets No L-Val'!T250&lt;0,0,'GF diets No L-Val'!F250-'GF diets No L-Val'!T250+0.2)</f>
        <v>19.11541741259175</v>
      </c>
      <c r="U101" s="106">
        <f>IF('GF diets No L-Val'!G250-'GF diets No L-Val'!U250&lt;0,0,'GF diets No L-Val'!G250-'GF diets No L-Val'!U250+0.2)</f>
        <v>19.059740216770205</v>
      </c>
      <c r="V101" s="9"/>
      <c r="W101" s="106">
        <f>IF('GF diets No L-Val'!B250-'GF diets No L-Val'!W250&lt;0,0,'GF diets No L-Val'!B250-'GF diets No L-Val'!W250+0.35)</f>
        <v>28.642750099989463</v>
      </c>
      <c r="X101" s="106">
        <f>IF('GF diets No L-Val'!C250-'GF diets No L-Val'!X250&lt;0,0,'GF diets No L-Val'!C250-'GF diets No L-Val'!X250+0.35)</f>
        <v>28.820076454797892</v>
      </c>
      <c r="Y101" s="106">
        <f>IF('GF diets No L-Val'!D250-'GF diets No L-Val'!Y250&lt;0,0,'GF diets No L-Val'!D250-'GF diets No L-Val'!Y250+0.35)</f>
        <v>28.917482681183266</v>
      </c>
      <c r="Z101" s="106">
        <f>IF('GF diets No L-Val'!E250-'GF diets No L-Val'!Z250&lt;0,0,'GF diets No L-Val'!E250-'GF diets No L-Val'!Z250+0.35)</f>
        <v>28.727284518841863</v>
      </c>
      <c r="AA101" s="106">
        <f>IF('GF diets No L-Val'!F250-'GF diets No L-Val'!AA250&lt;0,0,'GF diets No L-Val'!F250-'GF diets No L-Val'!AA250+0.35)</f>
        <v>28.760994375963811</v>
      </c>
      <c r="AB101" s="106">
        <f>IF('GF diets No L-Val'!G250-'GF diets No L-Val'!AB250&lt;0,0,'GF diets No L-Val'!G250-'GF diets No L-Val'!AB250+0.35)</f>
        <v>28.967820816867608</v>
      </c>
      <c r="AC101" s="9"/>
      <c r="AD101" s="106">
        <f>IF('GF diets No L-Val'!B250-'GF diets No L-Val'!AD250&lt;0,0,'GF diets No L-Val'!B250-'GF diets No L-Val'!AD250+0.55)</f>
        <v>38.305689892777124</v>
      </c>
      <c r="AE101" s="106">
        <f>IF('GF diets No L-Val'!C250-'GF diets No L-Val'!AE250&lt;0,0,'GF diets No L-Val'!C250-'GF diets No L-Val'!AE250+0.55)</f>
        <v>38.466826028744023</v>
      </c>
      <c r="AF101" s="106">
        <f>IF('GF diets No L-Val'!D250-'GF diets No L-Val'!AF250&lt;0,0,'GF diets No L-Val'!D250-'GF diets No L-Val'!AF250+0.55)</f>
        <v>38.634544140625891</v>
      </c>
      <c r="AG101" s="106">
        <f>IF('GF diets No L-Val'!E250-'GF diets No L-Val'!AG250&lt;0,0,'GF diets No L-Val'!E250-'GF diets No L-Val'!AG250+0.55)</f>
        <v>38.414738342346297</v>
      </c>
      <c r="AH101" s="106">
        <f>IF('GF diets No L-Val'!F250-'GF diets No L-Val'!AH250&lt;0,0,'GF diets No L-Val'!F250-'GF diets No L-Val'!AH250+0.55)</f>
        <v>39.145763216081193</v>
      </c>
      <c r="AI101" s="106">
        <f>IF('GF diets No L-Val'!G250-'GF diets No L-Val'!AI250&lt;0,0,'GF diets No L-Val'!G250-'GF diets No L-Val'!AI250+0.55)</f>
        <v>39.702035401030841</v>
      </c>
      <c r="AJ101" s="9"/>
      <c r="AK101" s="106">
        <f>IF('GF diets No L-Val'!B250-'GF diets No L-Val'!AK250&lt;0,0,'GF diets No L-Val'!B250-'GF diets No L-Val'!AK250+0.75)</f>
        <v>48.236324661551635</v>
      </c>
      <c r="AL101" s="106">
        <f>IF('GF diets No L-Val'!C250-'GF diets No L-Val'!AL250&lt;0,0,'GF diets No L-Val'!C250-'GF diets No L-Val'!AL250+0.75)</f>
        <v>48.119772849337778</v>
      </c>
      <c r="AM101" s="106">
        <f>IF('GF diets No L-Val'!D250-'GF diets No L-Val'!AM250&lt;0,0,'GF diets No L-Val'!D250-'GF diets No L-Val'!AM250+0.75)</f>
        <v>48.26535191321841</v>
      </c>
      <c r="AN101" s="106">
        <f>IF('GF diets No L-Val'!E250-'GF diets No L-Val'!AN250&lt;0,0,'GF diets No L-Val'!E250-'GF diets No L-Val'!AN250+0.75)</f>
        <v>48.609905153929503</v>
      </c>
      <c r="AO101" s="106">
        <f>IF('GF diets No L-Val'!F250-'GF diets No L-Val'!AO250&lt;0,0,'GF diets No L-Val'!F250-'GF diets No L-Val'!AO250+0.75)</f>
        <v>49.858848343582167</v>
      </c>
      <c r="AP101" s="106">
        <f>IF('GF diets No L-Val'!G250-'GF diets No L-Val'!AP250&lt;0,0,'GF diets No L-Val'!G250-'GF diets No L-Val'!AP250+0.75)</f>
        <v>50.431720515784491</v>
      </c>
      <c r="AQ101" s="9"/>
      <c r="AR101" s="106">
        <f>IF('GF diets No L-Val'!B250-'GF diets No L-Val'!AR250&lt;0,0,'GF diets No L-Val'!B250-'GF diets No L-Val'!AR250+0.95)</f>
        <v>57.789937901385159</v>
      </c>
      <c r="AS101" s="106">
        <f>IF('GF diets No L-Val'!C250-'GF diets No L-Val'!AS250&lt;0,0,'GF diets No L-Val'!C250-'GF diets No L-Val'!AS250+0.95)</f>
        <v>57.785124085120017</v>
      </c>
      <c r="AT101" s="106">
        <f>IF('GF diets No L-Val'!D250-'GF diets No L-Val'!AT250&lt;0,0,'GF diets No L-Val'!D250-'GF diets No L-Val'!AT250+0.95)</f>
        <v>57.924810335123269</v>
      </c>
      <c r="AU101" s="106">
        <f>IF('GF diets No L-Val'!E250-'GF diets No L-Val'!AU250&lt;0,0,'GF diets No L-Val'!E250-'GF diets No L-Val'!AU250+0.95)</f>
        <v>59.307625382842119</v>
      </c>
      <c r="AV101" s="106">
        <f>IF('GF diets No L-Val'!F250-'GF diets No L-Val'!AV250&lt;0,0,'GF diets No L-Val'!F250-'GF diets No L-Val'!AV250+0.95)</f>
        <v>60.576352630714339</v>
      </c>
      <c r="AW101" s="106">
        <f>IF('GF diets No L-Val'!G250-'GF diets No L-Val'!AW250&lt;0,0,'GF diets No L-Val'!G250-'GF diets No L-Val'!AW250+0.95)</f>
        <v>61.165794180713604</v>
      </c>
      <c r="AX101" s="9"/>
      <c r="AY101" s="333"/>
    </row>
    <row r="102" spans="1:51" ht="13.05" hidden="1" customHeight="1" x14ac:dyDescent="0.25">
      <c r="A102" t="str">
        <f>Nutrients!B101</f>
        <v>Poultry Fat</v>
      </c>
      <c r="B102" s="99"/>
      <c r="C102" s="99"/>
      <c r="D102" s="99"/>
      <c r="E102" s="99"/>
      <c r="F102" s="99"/>
      <c r="G102" s="99"/>
      <c r="H102" s="99"/>
      <c r="I102" s="99"/>
      <c r="J102" s="99"/>
      <c r="K102" s="99"/>
      <c r="L102" s="99"/>
      <c r="M102" s="99"/>
      <c r="N102" s="99"/>
      <c r="O102" s="10"/>
      <c r="P102" s="99"/>
      <c r="Q102" s="99"/>
      <c r="R102" s="99"/>
      <c r="S102" s="99"/>
      <c r="T102" s="99"/>
      <c r="U102" s="99"/>
      <c r="W102" s="99"/>
      <c r="X102" s="99"/>
      <c r="Y102" s="99"/>
      <c r="Z102" s="99"/>
      <c r="AA102" s="99"/>
      <c r="AB102" s="99"/>
      <c r="AD102" s="99"/>
      <c r="AE102" s="99"/>
      <c r="AF102" s="99"/>
      <c r="AG102" s="99"/>
      <c r="AH102" s="99"/>
      <c r="AI102" s="99"/>
      <c r="AK102" s="99"/>
      <c r="AL102" s="99"/>
      <c r="AM102" s="99"/>
      <c r="AN102" s="99"/>
      <c r="AO102" s="99"/>
      <c r="AP102" s="99"/>
      <c r="AR102" s="99"/>
      <c r="AS102" s="99"/>
      <c r="AT102" s="99"/>
      <c r="AU102" s="99"/>
      <c r="AV102" s="99"/>
      <c r="AW102" s="99"/>
    </row>
    <row r="103" spans="1:51" ht="13.05" hidden="1" customHeight="1" x14ac:dyDescent="0.25">
      <c r="A103" t="str">
        <f>Nutrients!B102</f>
        <v>Lard</v>
      </c>
      <c r="B103" s="99"/>
      <c r="C103" s="99"/>
      <c r="D103" s="99"/>
      <c r="E103" s="99"/>
      <c r="F103" s="99"/>
      <c r="G103" s="99"/>
      <c r="H103" s="99"/>
      <c r="I103" s="99"/>
      <c r="J103" s="99"/>
      <c r="K103" s="99"/>
      <c r="L103" s="99"/>
      <c r="M103" s="99"/>
      <c r="N103" s="99"/>
      <c r="O103" s="10"/>
      <c r="P103" s="99"/>
      <c r="Q103" s="99"/>
      <c r="R103" s="99"/>
      <c r="S103" s="99"/>
      <c r="T103" s="99"/>
      <c r="U103" s="99"/>
      <c r="W103" s="99"/>
      <c r="X103" s="99"/>
      <c r="Y103" s="99"/>
      <c r="Z103" s="99"/>
      <c r="AA103" s="99"/>
      <c r="AB103" s="99"/>
      <c r="AD103" s="99"/>
      <c r="AE103" s="99"/>
      <c r="AF103" s="99"/>
      <c r="AG103" s="99"/>
      <c r="AH103" s="99"/>
      <c r="AI103" s="99"/>
      <c r="AK103" s="99"/>
      <c r="AL103" s="99"/>
      <c r="AM103" s="99"/>
      <c r="AN103" s="99"/>
      <c r="AO103" s="99"/>
      <c r="AP103" s="99"/>
      <c r="AR103" s="99"/>
      <c r="AS103" s="99"/>
      <c r="AT103" s="99"/>
      <c r="AU103" s="99"/>
      <c r="AV103" s="99"/>
      <c r="AW103" s="99"/>
    </row>
    <row r="104" spans="1:51" ht="13.05" hidden="1" customHeight="1" x14ac:dyDescent="0.25">
      <c r="A104" t="str">
        <f>Nutrients!B103</f>
        <v>Restaurant Grease</v>
      </c>
      <c r="B104" s="99"/>
      <c r="C104" s="99"/>
      <c r="D104" s="99"/>
      <c r="E104" s="99"/>
      <c r="F104" s="99"/>
      <c r="G104" s="99"/>
      <c r="H104" s="99"/>
      <c r="I104" s="99"/>
      <c r="J104" s="99"/>
      <c r="K104" s="99"/>
      <c r="L104" s="99"/>
      <c r="M104" s="99"/>
      <c r="N104" s="99"/>
      <c r="O104" s="10"/>
      <c r="P104" s="99"/>
      <c r="Q104" s="99"/>
      <c r="R104" s="99"/>
      <c r="S104" s="99"/>
      <c r="T104" s="99"/>
      <c r="U104" s="99"/>
      <c r="W104" s="99"/>
      <c r="X104" s="99"/>
      <c r="Y104" s="99"/>
      <c r="Z104" s="99"/>
      <c r="AA104" s="99"/>
      <c r="AB104" s="99"/>
      <c r="AD104" s="99"/>
      <c r="AE104" s="99"/>
      <c r="AF104" s="99"/>
      <c r="AG104" s="99"/>
      <c r="AH104" s="99"/>
      <c r="AI104" s="99"/>
      <c r="AK104" s="99"/>
      <c r="AL104" s="99"/>
      <c r="AM104" s="99"/>
      <c r="AN104" s="99"/>
      <c r="AO104" s="99"/>
      <c r="AP104" s="99"/>
      <c r="AR104" s="99"/>
      <c r="AS104" s="99"/>
      <c r="AT104" s="99"/>
      <c r="AU104" s="99"/>
      <c r="AV104" s="99"/>
      <c r="AW104" s="99"/>
    </row>
    <row r="105" spans="1:51" ht="13.05" hidden="1" customHeight="1" x14ac:dyDescent="0.25">
      <c r="A105" t="str">
        <f>Nutrients!B104</f>
        <v>Canola oil</v>
      </c>
      <c r="B105" s="99"/>
      <c r="C105" s="99"/>
      <c r="D105" s="99"/>
      <c r="E105" s="99"/>
      <c r="F105" s="99"/>
      <c r="G105" s="99"/>
      <c r="H105" s="99"/>
      <c r="I105" s="99"/>
      <c r="J105" s="99"/>
      <c r="K105" s="99"/>
      <c r="L105" s="99"/>
      <c r="M105" s="99"/>
      <c r="N105" s="99"/>
      <c r="O105" s="10"/>
      <c r="P105" s="99"/>
      <c r="Q105" s="99"/>
      <c r="R105" s="99"/>
      <c r="S105" s="99"/>
      <c r="T105" s="99"/>
      <c r="U105" s="99"/>
      <c r="W105" s="99"/>
      <c r="X105" s="99"/>
      <c r="Y105" s="99"/>
      <c r="Z105" s="99"/>
      <c r="AA105" s="99"/>
      <c r="AB105" s="99"/>
      <c r="AD105" s="99"/>
      <c r="AE105" s="99"/>
      <c r="AF105" s="99"/>
      <c r="AG105" s="99"/>
      <c r="AH105" s="99"/>
      <c r="AI105" s="99"/>
      <c r="AK105" s="99"/>
      <c r="AL105" s="99"/>
      <c r="AM105" s="99"/>
      <c r="AN105" s="99"/>
      <c r="AO105" s="99"/>
      <c r="AP105" s="99"/>
      <c r="AR105" s="99"/>
      <c r="AS105" s="99"/>
      <c r="AT105" s="99"/>
      <c r="AU105" s="99"/>
      <c r="AV105" s="99"/>
      <c r="AW105" s="99"/>
    </row>
    <row r="106" spans="1:51" ht="13.05" hidden="1" customHeight="1" x14ac:dyDescent="0.25">
      <c r="A106" t="str">
        <f>Nutrients!B105</f>
        <v>Coconut oil</v>
      </c>
      <c r="B106" s="99"/>
      <c r="C106" s="99"/>
      <c r="D106" s="99"/>
      <c r="E106" s="99"/>
      <c r="F106" s="99"/>
      <c r="G106" s="99"/>
      <c r="H106" s="99"/>
      <c r="I106" s="99"/>
      <c r="J106" s="99"/>
      <c r="K106" s="99"/>
      <c r="L106" s="99"/>
      <c r="M106" s="99"/>
      <c r="N106" s="99"/>
      <c r="O106" s="10"/>
      <c r="P106" s="99"/>
      <c r="Q106" s="99"/>
      <c r="R106" s="99"/>
      <c r="S106" s="99"/>
      <c r="T106" s="99"/>
      <c r="U106" s="99"/>
      <c r="W106" s="99"/>
      <c r="X106" s="99"/>
      <c r="Y106" s="99"/>
      <c r="Z106" s="99"/>
      <c r="AA106" s="99"/>
      <c r="AB106" s="99"/>
      <c r="AD106" s="99"/>
      <c r="AE106" s="99"/>
      <c r="AF106" s="99"/>
      <c r="AG106" s="99"/>
      <c r="AH106" s="99"/>
      <c r="AI106" s="99"/>
      <c r="AK106" s="99"/>
      <c r="AL106" s="99"/>
      <c r="AM106" s="99"/>
      <c r="AN106" s="99"/>
      <c r="AO106" s="99"/>
      <c r="AP106" s="99"/>
      <c r="AR106" s="99"/>
      <c r="AS106" s="99"/>
      <c r="AT106" s="99"/>
      <c r="AU106" s="99"/>
      <c r="AV106" s="99"/>
      <c r="AW106" s="99"/>
    </row>
    <row r="107" spans="1:51" ht="13.05" hidden="1" customHeight="1" x14ac:dyDescent="0.25">
      <c r="A107" t="str">
        <f>Nutrients!B106</f>
        <v>Corn oil</v>
      </c>
      <c r="B107" s="99"/>
      <c r="C107" s="99"/>
      <c r="D107" s="99"/>
      <c r="E107" s="99"/>
      <c r="F107" s="99"/>
      <c r="G107" s="99"/>
      <c r="H107" s="99"/>
      <c r="I107" s="99"/>
      <c r="J107" s="99"/>
      <c r="K107" s="99"/>
      <c r="L107" s="99"/>
      <c r="M107" s="99"/>
      <c r="N107" s="99"/>
      <c r="O107" s="10"/>
      <c r="P107" s="99"/>
      <c r="Q107" s="99"/>
      <c r="R107" s="99"/>
      <c r="S107" s="99"/>
      <c r="T107" s="99"/>
      <c r="U107" s="99"/>
      <c r="W107" s="99"/>
      <c r="X107" s="99"/>
      <c r="Y107" s="99"/>
      <c r="Z107" s="99"/>
      <c r="AA107" s="99"/>
      <c r="AB107" s="99"/>
      <c r="AD107" s="99"/>
      <c r="AE107" s="99"/>
      <c r="AF107" s="99"/>
      <c r="AG107" s="99"/>
      <c r="AH107" s="99"/>
      <c r="AI107" s="99"/>
      <c r="AK107" s="99"/>
      <c r="AL107" s="99"/>
      <c r="AM107" s="99"/>
      <c r="AN107" s="99"/>
      <c r="AO107" s="99"/>
      <c r="AP107" s="99"/>
      <c r="AR107" s="99"/>
      <c r="AS107" s="99"/>
      <c r="AT107" s="99"/>
      <c r="AU107" s="99"/>
      <c r="AV107" s="99"/>
      <c r="AW107" s="99"/>
    </row>
    <row r="108" spans="1:51" ht="13.05" hidden="1" customHeight="1" x14ac:dyDescent="0.25">
      <c r="A108" t="str">
        <f>Nutrients!B107</f>
        <v>Palm Kernel oil</v>
      </c>
      <c r="B108" s="99"/>
      <c r="C108" s="99"/>
      <c r="D108" s="99"/>
      <c r="E108" s="99"/>
      <c r="F108" s="99"/>
      <c r="G108" s="99"/>
      <c r="H108" s="99"/>
      <c r="I108" s="99"/>
      <c r="J108" s="99"/>
      <c r="K108" s="99"/>
      <c r="L108" s="99"/>
      <c r="M108" s="99"/>
      <c r="N108" s="99"/>
      <c r="O108" s="10"/>
      <c r="P108" s="99"/>
      <c r="Q108" s="99"/>
      <c r="R108" s="99"/>
      <c r="S108" s="99"/>
      <c r="T108" s="99"/>
      <c r="U108" s="99"/>
      <c r="W108" s="99"/>
      <c r="X108" s="99"/>
      <c r="Y108" s="99"/>
      <c r="Z108" s="99"/>
      <c r="AA108" s="99"/>
      <c r="AB108" s="99"/>
      <c r="AD108" s="99"/>
      <c r="AE108" s="99"/>
      <c r="AF108" s="99"/>
      <c r="AG108" s="99"/>
      <c r="AH108" s="99"/>
      <c r="AI108" s="99"/>
      <c r="AK108" s="99"/>
      <c r="AL108" s="99"/>
      <c r="AM108" s="99"/>
      <c r="AN108" s="99"/>
      <c r="AO108" s="99"/>
      <c r="AP108" s="99"/>
      <c r="AR108" s="99"/>
      <c r="AS108" s="99"/>
      <c r="AT108" s="99"/>
      <c r="AU108" s="99"/>
      <c r="AV108" s="99"/>
      <c r="AW108" s="99"/>
    </row>
    <row r="109" spans="1:51" ht="13.05" hidden="1" customHeight="1" x14ac:dyDescent="0.25">
      <c r="A109" t="str">
        <f>Nutrients!B108</f>
        <v>Soybean oil</v>
      </c>
      <c r="B109" s="99"/>
      <c r="C109" s="99"/>
      <c r="D109" s="99"/>
      <c r="E109" s="99"/>
      <c r="F109" s="99"/>
      <c r="G109" s="99"/>
      <c r="H109" s="99"/>
      <c r="I109" s="99"/>
      <c r="J109" s="99"/>
      <c r="K109" s="99"/>
      <c r="L109" s="99"/>
      <c r="M109" s="99"/>
      <c r="N109" s="99"/>
      <c r="O109" s="10"/>
      <c r="P109" s="99"/>
      <c r="Q109" s="99"/>
      <c r="R109" s="99"/>
      <c r="S109" s="99"/>
      <c r="T109" s="99"/>
      <c r="U109" s="99"/>
      <c r="W109" s="99"/>
      <c r="X109" s="99"/>
      <c r="Y109" s="99"/>
      <c r="Z109" s="99"/>
      <c r="AA109" s="99"/>
      <c r="AB109" s="99"/>
      <c r="AD109" s="99"/>
      <c r="AE109" s="99"/>
      <c r="AF109" s="99"/>
      <c r="AG109" s="99"/>
      <c r="AH109" s="99"/>
      <c r="AI109" s="99"/>
      <c r="AK109" s="99"/>
      <c r="AL109" s="99"/>
      <c r="AM109" s="99"/>
      <c r="AN109" s="99"/>
      <c r="AO109" s="99"/>
      <c r="AP109" s="99"/>
      <c r="AR109" s="99"/>
      <c r="AS109" s="99"/>
      <c r="AT109" s="99"/>
      <c r="AU109" s="99"/>
      <c r="AV109" s="99"/>
      <c r="AW109" s="99"/>
    </row>
    <row r="110" spans="1:51" ht="13.05" hidden="1" customHeight="1" x14ac:dyDescent="0.25">
      <c r="A110" t="str">
        <f>Nutrients!B109</f>
        <v>Soybean Lecithin</v>
      </c>
      <c r="B110" s="99"/>
      <c r="C110" s="99"/>
      <c r="D110" s="99"/>
      <c r="E110" s="99"/>
      <c r="F110" s="99"/>
      <c r="G110" s="99"/>
      <c r="H110" s="99"/>
      <c r="I110" s="99"/>
      <c r="J110" s="99"/>
      <c r="K110" s="99"/>
      <c r="L110" s="99"/>
      <c r="M110" s="99"/>
      <c r="N110" s="99"/>
      <c r="O110" s="10"/>
      <c r="P110" s="99"/>
      <c r="Q110" s="99"/>
      <c r="R110" s="99"/>
      <c r="S110" s="99"/>
      <c r="T110" s="99"/>
      <c r="U110" s="99"/>
      <c r="W110" s="99"/>
      <c r="X110" s="99"/>
      <c r="Y110" s="99"/>
      <c r="Z110" s="99"/>
      <c r="AA110" s="99"/>
      <c r="AB110" s="99"/>
      <c r="AD110" s="99"/>
      <c r="AE110" s="99"/>
      <c r="AF110" s="99"/>
      <c r="AG110" s="99"/>
      <c r="AH110" s="99"/>
      <c r="AI110" s="99"/>
      <c r="AK110" s="99"/>
      <c r="AL110" s="99"/>
      <c r="AM110" s="99"/>
      <c r="AN110" s="99"/>
      <c r="AO110" s="99"/>
      <c r="AP110" s="99"/>
      <c r="AR110" s="99"/>
      <c r="AS110" s="99"/>
      <c r="AT110" s="99"/>
      <c r="AU110" s="99"/>
      <c r="AV110" s="99"/>
      <c r="AW110" s="99"/>
    </row>
    <row r="111" spans="1:51" ht="13.05" hidden="1" customHeight="1" x14ac:dyDescent="0.25">
      <c r="A111" t="str">
        <f>Nutrients!B110</f>
        <v>Sunflower oil</v>
      </c>
      <c r="B111" s="99"/>
      <c r="C111" s="99"/>
      <c r="D111" s="99"/>
      <c r="E111" s="99"/>
      <c r="F111" s="99"/>
      <c r="G111" s="99"/>
      <c r="H111" s="99"/>
      <c r="I111" s="99"/>
      <c r="J111" s="99"/>
      <c r="K111" s="99"/>
      <c r="L111" s="99"/>
      <c r="M111" s="99"/>
      <c r="N111" s="99"/>
      <c r="O111" s="10"/>
      <c r="P111" s="99"/>
      <c r="Q111" s="99"/>
      <c r="R111" s="99"/>
      <c r="S111" s="99"/>
      <c r="T111" s="99"/>
      <c r="U111" s="99"/>
      <c r="W111" s="99"/>
      <c r="X111" s="99"/>
      <c r="Y111" s="99"/>
      <c r="Z111" s="99"/>
      <c r="AA111" s="99"/>
      <c r="AB111" s="99"/>
      <c r="AD111" s="99"/>
      <c r="AE111" s="99"/>
      <c r="AF111" s="99"/>
      <c r="AG111" s="99"/>
      <c r="AH111" s="99"/>
      <c r="AI111" s="99"/>
      <c r="AK111" s="99"/>
      <c r="AL111" s="99"/>
      <c r="AM111" s="99"/>
      <c r="AN111" s="99"/>
      <c r="AO111" s="99"/>
      <c r="AP111" s="99"/>
      <c r="AR111" s="99"/>
      <c r="AS111" s="99"/>
      <c r="AT111" s="99"/>
      <c r="AU111" s="99"/>
      <c r="AV111" s="99"/>
      <c r="AW111" s="99"/>
    </row>
    <row r="112" spans="1:51" ht="13.05" hidden="1" customHeight="1" x14ac:dyDescent="0.25">
      <c r="A112" t="str">
        <f>Nutrients!B111</f>
        <v>Fat, A/V blend</v>
      </c>
      <c r="B112" s="99"/>
      <c r="C112" s="99"/>
      <c r="D112" s="99"/>
      <c r="E112" s="99"/>
      <c r="F112" s="99"/>
      <c r="G112" s="99"/>
      <c r="H112" s="99"/>
      <c r="I112" s="99"/>
      <c r="J112" s="99"/>
      <c r="K112" s="99"/>
      <c r="L112" s="99"/>
      <c r="M112" s="99"/>
      <c r="N112" s="99"/>
      <c r="O112" s="10"/>
      <c r="P112" s="99"/>
      <c r="Q112" s="99"/>
      <c r="R112" s="99"/>
      <c r="S112" s="99"/>
      <c r="T112" s="99"/>
      <c r="U112" s="99"/>
      <c r="W112" s="99"/>
      <c r="X112" s="99"/>
      <c r="Y112" s="99"/>
      <c r="Z112" s="99"/>
      <c r="AA112" s="99"/>
      <c r="AB112" s="99"/>
      <c r="AD112" s="99"/>
      <c r="AE112" s="99"/>
      <c r="AF112" s="99"/>
      <c r="AG112" s="99"/>
      <c r="AH112" s="99"/>
      <c r="AI112" s="99"/>
      <c r="AK112" s="99"/>
      <c r="AL112" s="99"/>
      <c r="AM112" s="99"/>
      <c r="AN112" s="99"/>
      <c r="AO112" s="99"/>
      <c r="AP112" s="99"/>
      <c r="AR112" s="99"/>
      <c r="AS112" s="99"/>
      <c r="AT112" s="99"/>
      <c r="AU112" s="99"/>
      <c r="AV112" s="99"/>
      <c r="AW112" s="99"/>
    </row>
    <row r="113" spans="1:50" x14ac:dyDescent="0.25">
      <c r="A113" t="s">
        <v>327</v>
      </c>
      <c r="B113" s="106">
        <v>20.650850091543401</v>
      </c>
      <c r="C113" s="106">
        <v>19.206</v>
      </c>
      <c r="D113" s="106">
        <v>19.148185418768257</v>
      </c>
      <c r="E113" s="106">
        <v>18.64855351548341</v>
      </c>
      <c r="F113" s="106">
        <v>18.080501293847359</v>
      </c>
      <c r="G113" s="106">
        <v>17.747857076024747</v>
      </c>
      <c r="H113" s="106"/>
      <c r="I113" s="106">
        <v>21.302725380416337</v>
      </c>
      <c r="J113" s="106">
        <v>19.896000000000001</v>
      </c>
      <c r="K113" s="106">
        <v>19.772727630525221</v>
      </c>
      <c r="L113" s="106">
        <v>19.192483222547349</v>
      </c>
      <c r="M113" s="106">
        <v>18.682939713542989</v>
      </c>
      <c r="N113" s="106">
        <v>18.307407625021</v>
      </c>
      <c r="O113" s="29"/>
      <c r="P113" s="106">
        <v>21.952725380416336</v>
      </c>
      <c r="Q113" s="106">
        <v>20.545999999999999</v>
      </c>
      <c r="R113" s="106">
        <v>20.42272763052522</v>
      </c>
      <c r="S113" s="106">
        <v>19.842483222547347</v>
      </c>
      <c r="T113" s="106">
        <v>19.332939713542988</v>
      </c>
      <c r="U113" s="106">
        <v>18.957407625020998</v>
      </c>
      <c r="V113" s="9"/>
      <c r="W113" s="106">
        <v>22.602725380416334</v>
      </c>
      <c r="X113" s="106">
        <v>21.195999999999998</v>
      </c>
      <c r="Y113" s="106">
        <v>21.032727630525219</v>
      </c>
      <c r="Z113" s="106">
        <v>20.452483222547347</v>
      </c>
      <c r="AA113" s="106">
        <v>19.942939713542987</v>
      </c>
      <c r="AB113" s="106">
        <v>19.607407625020997</v>
      </c>
      <c r="AC113" s="9"/>
      <c r="AD113" s="106">
        <v>23.232725380416333</v>
      </c>
      <c r="AE113" s="106">
        <v>21.825999999999997</v>
      </c>
      <c r="AF113" s="106">
        <v>21.662727630525218</v>
      </c>
      <c r="AG113" s="106">
        <v>21.082483222547346</v>
      </c>
      <c r="AH113" s="106">
        <v>21.038695410430403</v>
      </c>
      <c r="AI113" s="106">
        <v>20.941325045974807</v>
      </c>
      <c r="AJ113" s="9"/>
      <c r="AK113" s="106">
        <v>23.852725380416334</v>
      </c>
      <c r="AL113" s="106">
        <v>22.445999999999998</v>
      </c>
      <c r="AM113" s="106">
        <v>22.282727630525219</v>
      </c>
      <c r="AN113" s="106">
        <v>22.156361600374847</v>
      </c>
      <c r="AO113" s="106">
        <v>22.197353735767237</v>
      </c>
      <c r="AP113" s="106">
        <v>22.099896684771753</v>
      </c>
      <c r="AQ113" s="9"/>
      <c r="AR113" s="106">
        <v>24.502725380416333</v>
      </c>
      <c r="AS113" s="106">
        <v>23.095999999999997</v>
      </c>
      <c r="AT113" s="106">
        <v>23.082598294113691</v>
      </c>
      <c r="AU113" s="106">
        <v>23.327669657947101</v>
      </c>
      <c r="AV113" s="106">
        <v>23.35587162149066</v>
      </c>
      <c r="AW113" s="106">
        <v>23.258364301085358</v>
      </c>
      <c r="AX113" s="9"/>
    </row>
    <row r="114" spans="1:50" ht="13.05" hidden="1" customHeight="1" x14ac:dyDescent="0.25">
      <c r="A114" t="str">
        <f>Nutrients!B113</f>
        <v>Calcium phosphate (tricalcium)</v>
      </c>
      <c r="B114" s="106"/>
      <c r="C114" s="106"/>
      <c r="D114" s="106"/>
      <c r="E114" s="106"/>
      <c r="F114" s="106"/>
      <c r="G114" s="106"/>
      <c r="H114" s="106"/>
      <c r="I114" s="106"/>
      <c r="J114" s="106"/>
      <c r="K114" s="106"/>
      <c r="L114" s="106"/>
      <c r="M114" s="106"/>
      <c r="N114" s="106"/>
      <c r="O114" s="29"/>
      <c r="P114" s="106"/>
      <c r="Q114" s="106"/>
      <c r="R114" s="106"/>
      <c r="S114" s="106"/>
      <c r="T114" s="106"/>
      <c r="U114" s="106"/>
      <c r="V114" s="9"/>
      <c r="W114" s="106"/>
      <c r="X114" s="106"/>
      <c r="Y114" s="106"/>
      <c r="Z114" s="106"/>
      <c r="AA114" s="106"/>
      <c r="AB114" s="106"/>
      <c r="AC114" s="9"/>
      <c r="AD114" s="106"/>
      <c r="AE114" s="106"/>
      <c r="AF114" s="106"/>
      <c r="AG114" s="106"/>
      <c r="AH114" s="106"/>
      <c r="AI114" s="106"/>
      <c r="AJ114" s="9"/>
      <c r="AK114" s="106"/>
      <c r="AL114" s="106"/>
      <c r="AM114" s="106"/>
      <c r="AN114" s="106"/>
      <c r="AO114" s="106"/>
      <c r="AP114" s="106"/>
      <c r="AQ114" s="9"/>
      <c r="AR114" s="106"/>
      <c r="AS114" s="106"/>
      <c r="AT114" s="106"/>
      <c r="AU114" s="106"/>
      <c r="AV114" s="106"/>
      <c r="AW114" s="106"/>
      <c r="AX114" s="9"/>
    </row>
    <row r="115" spans="1:50" hidden="1" x14ac:dyDescent="0.25">
      <c r="A115" t="str">
        <f>Nutrients!B114</f>
        <v>Calcium phosphate (dicalcium)</v>
      </c>
      <c r="B115" s="106"/>
      <c r="C115" s="106"/>
      <c r="D115" s="106"/>
      <c r="E115" s="106"/>
      <c r="F115" s="106"/>
      <c r="G115" s="106"/>
      <c r="H115" s="106"/>
      <c r="I115" s="106"/>
      <c r="J115" s="106"/>
      <c r="K115" s="106"/>
      <c r="L115" s="106"/>
      <c r="M115" s="106"/>
      <c r="N115" s="106"/>
      <c r="O115" s="29"/>
      <c r="P115" s="106"/>
      <c r="Q115" s="106"/>
      <c r="R115" s="106"/>
      <c r="S115" s="106"/>
      <c r="T115" s="106"/>
      <c r="U115" s="106"/>
      <c r="V115" s="9"/>
      <c r="W115" s="106"/>
      <c r="X115" s="106"/>
      <c r="Y115" s="106"/>
      <c r="Z115" s="106"/>
      <c r="AA115" s="106"/>
      <c r="AB115" s="106"/>
      <c r="AC115" s="9"/>
      <c r="AD115" s="106"/>
      <c r="AE115" s="106"/>
      <c r="AF115" s="106"/>
      <c r="AG115" s="106"/>
      <c r="AH115" s="106"/>
      <c r="AI115" s="106"/>
      <c r="AJ115" s="9"/>
      <c r="AK115" s="106"/>
      <c r="AL115" s="106"/>
      <c r="AM115" s="106"/>
      <c r="AN115" s="106"/>
      <c r="AO115" s="106"/>
      <c r="AP115" s="106"/>
      <c r="AQ115" s="9"/>
      <c r="AR115" s="106"/>
      <c r="AS115" s="106"/>
      <c r="AT115" s="106"/>
      <c r="AU115" s="106"/>
      <c r="AV115" s="106"/>
      <c r="AW115" s="106"/>
      <c r="AX115" s="9"/>
    </row>
    <row r="116" spans="1:50" x14ac:dyDescent="0.25">
      <c r="A116" t="s">
        <v>330</v>
      </c>
      <c r="B116" s="106">
        <v>13.279340186607511</v>
      </c>
      <c r="C116" s="106">
        <v>10.560038663342741</v>
      </c>
      <c r="D116" s="106">
        <v>7.7098828288906036</v>
      </c>
      <c r="E116" s="106">
        <v>5.7362235571478868</v>
      </c>
      <c r="F116" s="106">
        <v>4.249911842640179</v>
      </c>
      <c r="G116" s="106">
        <v>3.6237362366975527</v>
      </c>
      <c r="H116" s="106"/>
      <c r="I116" s="106">
        <v>12.059340186607511</v>
      </c>
      <c r="J116" s="106">
        <v>9.3400386633427406</v>
      </c>
      <c r="K116" s="106">
        <v>6.2510586229279221</v>
      </c>
      <c r="L116" s="106">
        <v>4.2192561688755807</v>
      </c>
      <c r="M116" s="106">
        <v>2.8506400350413044</v>
      </c>
      <c r="N116" s="106">
        <v>2.1485696763155113</v>
      </c>
      <c r="O116" s="29"/>
      <c r="P116" s="106">
        <v>10.73934018660751</v>
      </c>
      <c r="Q116" s="106">
        <v>8.0200386633427403</v>
      </c>
      <c r="R116" s="106">
        <v>4.9310586229279219</v>
      </c>
      <c r="S116" s="106">
        <v>2.8992561688755805</v>
      </c>
      <c r="T116" s="106">
        <v>1.5306400350413043</v>
      </c>
      <c r="U116" s="106">
        <v>0.82856967631551126</v>
      </c>
      <c r="V116" s="9"/>
      <c r="W116" s="106">
        <v>9.4193401866075099</v>
      </c>
      <c r="X116" s="106">
        <v>6.70003866334274</v>
      </c>
      <c r="Y116" s="106">
        <v>3.6110586229279216</v>
      </c>
      <c r="Z116" s="106">
        <v>1.5792561688755804</v>
      </c>
      <c r="AA116" s="106">
        <v>0.21064003504130424</v>
      </c>
      <c r="AB116" s="106"/>
      <c r="AC116" s="9"/>
      <c r="AD116" s="106">
        <v>8.0993401866075097</v>
      </c>
      <c r="AE116" s="106">
        <v>5.3800386633427397</v>
      </c>
      <c r="AF116" s="106">
        <v>2.2910586229279213</v>
      </c>
      <c r="AG116" s="106">
        <v>0.25925616887558034</v>
      </c>
      <c r="AH116" s="106"/>
      <c r="AI116" s="106"/>
      <c r="AJ116" s="9"/>
      <c r="AK116" s="106">
        <v>6.7793401866075094</v>
      </c>
      <c r="AL116" s="106">
        <v>4.0600386633427394</v>
      </c>
      <c r="AM116" s="106">
        <v>0.97105862292792122</v>
      </c>
      <c r="AN116" s="106"/>
      <c r="AO116" s="106"/>
      <c r="AP116" s="106"/>
      <c r="AQ116" s="9"/>
      <c r="AR116" s="106">
        <v>5.4593401866075091</v>
      </c>
      <c r="AS116" s="106">
        <v>2.7400386633427392</v>
      </c>
      <c r="AT116" s="106"/>
      <c r="AU116" s="106"/>
      <c r="AV116" s="106"/>
      <c r="AW116" s="106"/>
      <c r="AX116" s="9"/>
    </row>
    <row r="117" spans="1:50" ht="13.05" hidden="1" customHeight="1" x14ac:dyDescent="0.25">
      <c r="A117" t="str">
        <f>Nutrients!B116</f>
        <v>Calcium sulfate, dihydrate</v>
      </c>
      <c r="B117" s="106"/>
      <c r="C117" s="106"/>
      <c r="D117" s="106"/>
      <c r="E117" s="106"/>
      <c r="F117" s="106"/>
      <c r="G117" s="106"/>
      <c r="H117" s="106"/>
      <c r="I117" s="106"/>
      <c r="J117" s="106"/>
      <c r="K117" s="106"/>
      <c r="L117" s="106"/>
      <c r="M117" s="106"/>
      <c r="N117" s="106"/>
      <c r="O117" s="29"/>
      <c r="P117" s="106"/>
      <c r="Q117" s="106"/>
      <c r="R117" s="106"/>
      <c r="S117" s="106"/>
      <c r="T117" s="106"/>
      <c r="U117" s="106"/>
      <c r="V117" s="9"/>
      <c r="W117" s="106"/>
      <c r="X117" s="106"/>
      <c r="Y117" s="106"/>
      <c r="Z117" s="106"/>
      <c r="AA117" s="106"/>
      <c r="AB117" s="106"/>
      <c r="AC117" s="9"/>
      <c r="AD117" s="106"/>
      <c r="AE117" s="106"/>
      <c r="AF117" s="106"/>
      <c r="AG117" s="106"/>
      <c r="AH117" s="106"/>
      <c r="AI117" s="106"/>
      <c r="AJ117" s="9"/>
      <c r="AK117" s="106"/>
      <c r="AL117" s="106"/>
      <c r="AM117" s="106"/>
      <c r="AN117" s="106"/>
      <c r="AO117" s="106"/>
      <c r="AP117" s="106"/>
      <c r="AQ117" s="9"/>
      <c r="AR117" s="106"/>
      <c r="AS117" s="106"/>
      <c r="AT117" s="106"/>
      <c r="AU117" s="106"/>
      <c r="AV117" s="106"/>
      <c r="AW117" s="106"/>
      <c r="AX117" s="9"/>
    </row>
    <row r="118" spans="1:50" ht="13.05" hidden="1" customHeight="1" x14ac:dyDescent="0.25">
      <c r="A118" t="str">
        <f>Nutrients!B117</f>
        <v>Limestone, ground</v>
      </c>
      <c r="B118" s="106"/>
      <c r="C118" s="106"/>
      <c r="D118" s="106"/>
      <c r="E118" s="106"/>
      <c r="F118" s="106"/>
      <c r="G118" s="106"/>
      <c r="H118" s="106"/>
      <c r="I118" s="106"/>
      <c r="J118" s="106"/>
      <c r="K118" s="106"/>
      <c r="L118" s="106"/>
      <c r="M118" s="106"/>
      <c r="N118" s="106"/>
      <c r="O118" s="29"/>
      <c r="P118" s="106"/>
      <c r="Q118" s="106"/>
      <c r="R118" s="106"/>
      <c r="S118" s="106"/>
      <c r="T118" s="106"/>
      <c r="U118" s="106"/>
      <c r="V118" s="9"/>
      <c r="W118" s="106"/>
      <c r="X118" s="106"/>
      <c r="Y118" s="106"/>
      <c r="Z118" s="106"/>
      <c r="AA118" s="106"/>
      <c r="AB118" s="106"/>
      <c r="AC118" s="9"/>
      <c r="AD118" s="106"/>
      <c r="AE118" s="106"/>
      <c r="AF118" s="106"/>
      <c r="AG118" s="106"/>
      <c r="AH118" s="106"/>
      <c r="AI118" s="106"/>
      <c r="AJ118" s="9"/>
      <c r="AK118" s="106"/>
      <c r="AL118" s="106"/>
      <c r="AM118" s="106"/>
      <c r="AN118" s="106"/>
      <c r="AO118" s="106"/>
      <c r="AP118" s="106"/>
      <c r="AQ118" s="9"/>
      <c r="AR118" s="106"/>
      <c r="AS118" s="106"/>
      <c r="AT118" s="106"/>
      <c r="AU118" s="106"/>
      <c r="AV118" s="106"/>
      <c r="AW118" s="106"/>
      <c r="AX118" s="9"/>
    </row>
    <row r="119" spans="1:50" ht="13.05" hidden="1" customHeight="1" x14ac:dyDescent="0.25">
      <c r="A119" t="str">
        <f>Nutrients!B118</f>
        <v>Magnesium phosphate</v>
      </c>
      <c r="B119" s="106"/>
      <c r="C119" s="106"/>
      <c r="D119" s="106"/>
      <c r="E119" s="106"/>
      <c r="F119" s="106"/>
      <c r="G119" s="106"/>
      <c r="H119" s="106"/>
      <c r="I119" s="106"/>
      <c r="J119" s="106"/>
      <c r="K119" s="106"/>
      <c r="L119" s="106"/>
      <c r="M119" s="106"/>
      <c r="N119" s="106"/>
      <c r="O119" s="29"/>
      <c r="P119" s="106"/>
      <c r="Q119" s="106"/>
      <c r="R119" s="106"/>
      <c r="S119" s="106"/>
      <c r="T119" s="106"/>
      <c r="U119" s="106"/>
      <c r="V119" s="9"/>
      <c r="W119" s="106"/>
      <c r="X119" s="106"/>
      <c r="Y119" s="106"/>
      <c r="Z119" s="106"/>
      <c r="AA119" s="106"/>
      <c r="AB119" s="106"/>
      <c r="AC119" s="9"/>
      <c r="AD119" s="106"/>
      <c r="AE119" s="106"/>
      <c r="AF119" s="106"/>
      <c r="AG119" s="106"/>
      <c r="AH119" s="106"/>
      <c r="AI119" s="106"/>
      <c r="AJ119" s="9"/>
      <c r="AK119" s="106"/>
      <c r="AL119" s="106"/>
      <c r="AM119" s="106"/>
      <c r="AN119" s="106"/>
      <c r="AO119" s="106"/>
      <c r="AP119" s="106"/>
      <c r="AQ119" s="9"/>
      <c r="AR119" s="106"/>
      <c r="AS119" s="106"/>
      <c r="AT119" s="106"/>
      <c r="AU119" s="106"/>
      <c r="AV119" s="106"/>
      <c r="AW119" s="106"/>
      <c r="AX119" s="9"/>
    </row>
    <row r="120" spans="1:50" ht="13.05" hidden="1" customHeight="1" x14ac:dyDescent="0.25">
      <c r="A120" t="str">
        <f>Nutrients!B119</f>
        <v>Sodium carbonate</v>
      </c>
      <c r="B120" s="106"/>
      <c r="C120" s="106"/>
      <c r="D120" s="106"/>
      <c r="E120" s="106"/>
      <c r="F120" s="106"/>
      <c r="G120" s="106"/>
      <c r="H120" s="106"/>
      <c r="I120" s="106"/>
      <c r="J120" s="106"/>
      <c r="K120" s="106"/>
      <c r="L120" s="106"/>
      <c r="M120" s="106"/>
      <c r="N120" s="106"/>
      <c r="O120" s="29"/>
      <c r="P120" s="106"/>
      <c r="Q120" s="106"/>
      <c r="R120" s="106"/>
      <c r="S120" s="106"/>
      <c r="T120" s="106"/>
      <c r="U120" s="106"/>
      <c r="V120" s="9"/>
      <c r="W120" s="106"/>
      <c r="X120" s="106"/>
      <c r="Y120" s="106"/>
      <c r="Z120" s="106"/>
      <c r="AA120" s="106"/>
      <c r="AB120" s="106"/>
      <c r="AC120" s="9"/>
      <c r="AD120" s="106"/>
      <c r="AE120" s="106"/>
      <c r="AF120" s="106"/>
      <c r="AG120" s="106"/>
      <c r="AH120" s="106"/>
      <c r="AI120" s="106"/>
      <c r="AJ120" s="9"/>
      <c r="AK120" s="106"/>
      <c r="AL120" s="106"/>
      <c r="AM120" s="106"/>
      <c r="AN120" s="106"/>
      <c r="AO120" s="106"/>
      <c r="AP120" s="106"/>
      <c r="AQ120" s="9"/>
      <c r="AR120" s="106"/>
      <c r="AS120" s="106"/>
      <c r="AT120" s="106"/>
      <c r="AU120" s="106"/>
      <c r="AV120" s="106"/>
      <c r="AW120" s="106"/>
      <c r="AX120" s="9"/>
    </row>
    <row r="121" spans="1:50" ht="13.05" hidden="1" customHeight="1" x14ac:dyDescent="0.25">
      <c r="A121" t="str">
        <f>Nutrients!B120</f>
        <v>Sodium bicarbonate</v>
      </c>
      <c r="B121" s="106"/>
      <c r="C121" s="106"/>
      <c r="D121" s="106"/>
      <c r="E121" s="106"/>
      <c r="F121" s="106"/>
      <c r="G121" s="106"/>
      <c r="H121" s="106"/>
      <c r="I121" s="106"/>
      <c r="J121" s="106"/>
      <c r="K121" s="106"/>
      <c r="L121" s="106"/>
      <c r="M121" s="106"/>
      <c r="N121" s="106"/>
      <c r="O121" s="29"/>
      <c r="P121" s="106"/>
      <c r="Q121" s="106"/>
      <c r="R121" s="106"/>
      <c r="S121" s="106"/>
      <c r="T121" s="106"/>
      <c r="U121" s="106"/>
      <c r="V121" s="9"/>
      <c r="W121" s="106"/>
      <c r="X121" s="106"/>
      <c r="Y121" s="106"/>
      <c r="Z121" s="106"/>
      <c r="AA121" s="106"/>
      <c r="AB121" s="106"/>
      <c r="AC121" s="9"/>
      <c r="AD121" s="106"/>
      <c r="AE121" s="106"/>
      <c r="AF121" s="106"/>
      <c r="AG121" s="106"/>
      <c r="AH121" s="106"/>
      <c r="AI121" s="106"/>
      <c r="AJ121" s="9"/>
      <c r="AK121" s="106"/>
      <c r="AL121" s="106"/>
      <c r="AM121" s="106"/>
      <c r="AN121" s="106"/>
      <c r="AO121" s="106"/>
      <c r="AP121" s="106"/>
      <c r="AQ121" s="9"/>
      <c r="AR121" s="106"/>
      <c r="AS121" s="106"/>
      <c r="AT121" s="106"/>
      <c r="AU121" s="106"/>
      <c r="AV121" s="106"/>
      <c r="AW121" s="106"/>
      <c r="AX121" s="9"/>
    </row>
    <row r="122" spans="1:50" x14ac:dyDescent="0.25">
      <c r="A122" t="str">
        <f>Nutrients!B121</f>
        <v>Sodium chloride</v>
      </c>
      <c r="B122" s="106">
        <v>7</v>
      </c>
      <c r="C122" s="106">
        <v>7</v>
      </c>
      <c r="D122" s="106">
        <v>7</v>
      </c>
      <c r="E122" s="106">
        <v>7</v>
      </c>
      <c r="F122" s="106">
        <v>7</v>
      </c>
      <c r="G122" s="106">
        <v>7</v>
      </c>
      <c r="H122" s="106"/>
      <c r="I122" s="106">
        <v>7</v>
      </c>
      <c r="J122" s="106">
        <v>7</v>
      </c>
      <c r="K122" s="106">
        <v>7</v>
      </c>
      <c r="L122" s="106">
        <v>7</v>
      </c>
      <c r="M122" s="106">
        <v>7</v>
      </c>
      <c r="N122" s="106">
        <v>7</v>
      </c>
      <c r="O122" s="29"/>
      <c r="P122" s="106">
        <v>7</v>
      </c>
      <c r="Q122" s="106">
        <v>7</v>
      </c>
      <c r="R122" s="106">
        <v>7</v>
      </c>
      <c r="S122" s="106">
        <v>7</v>
      </c>
      <c r="T122" s="106">
        <v>7</v>
      </c>
      <c r="U122" s="106">
        <v>7</v>
      </c>
      <c r="V122" s="9"/>
      <c r="W122" s="106">
        <v>7</v>
      </c>
      <c r="X122" s="106">
        <v>7</v>
      </c>
      <c r="Y122" s="106">
        <v>7</v>
      </c>
      <c r="Z122" s="106">
        <v>7</v>
      </c>
      <c r="AA122" s="106">
        <v>7</v>
      </c>
      <c r="AB122" s="106">
        <v>7</v>
      </c>
      <c r="AC122" s="9"/>
      <c r="AD122" s="106">
        <v>7</v>
      </c>
      <c r="AE122" s="106">
        <v>7</v>
      </c>
      <c r="AF122" s="106">
        <v>7</v>
      </c>
      <c r="AG122" s="106">
        <v>7</v>
      </c>
      <c r="AH122" s="106">
        <v>7</v>
      </c>
      <c r="AI122" s="106">
        <v>7</v>
      </c>
      <c r="AJ122" s="9"/>
      <c r="AK122" s="106">
        <v>7</v>
      </c>
      <c r="AL122" s="106">
        <v>7</v>
      </c>
      <c r="AM122" s="106">
        <v>7</v>
      </c>
      <c r="AN122" s="106">
        <v>7</v>
      </c>
      <c r="AO122" s="106">
        <v>7</v>
      </c>
      <c r="AP122" s="106">
        <v>7</v>
      </c>
      <c r="AQ122" s="9"/>
      <c r="AR122" s="106">
        <v>7</v>
      </c>
      <c r="AS122" s="106">
        <v>7</v>
      </c>
      <c r="AT122" s="106">
        <v>7</v>
      </c>
      <c r="AU122" s="106">
        <v>7</v>
      </c>
      <c r="AV122" s="106">
        <v>7</v>
      </c>
      <c r="AW122" s="106">
        <v>7</v>
      </c>
      <c r="AX122" s="9"/>
    </row>
    <row r="123" spans="1:50" ht="13.05" hidden="1" customHeight="1" x14ac:dyDescent="0.25">
      <c r="A123" t="str">
        <f>Nutrients!B122</f>
        <v>Sodium phosphate, monobasic</v>
      </c>
      <c r="B123" s="106"/>
      <c r="C123" s="106"/>
      <c r="D123" s="106"/>
      <c r="E123" s="106"/>
      <c r="F123" s="106"/>
      <c r="G123" s="106"/>
      <c r="H123" s="106"/>
      <c r="I123" s="106"/>
      <c r="J123" s="106"/>
      <c r="K123" s="106"/>
      <c r="L123" s="106"/>
      <c r="M123" s="106"/>
      <c r="N123" s="106"/>
      <c r="O123" s="29"/>
      <c r="P123" s="106"/>
      <c r="Q123" s="106"/>
      <c r="R123" s="106"/>
      <c r="S123" s="106"/>
      <c r="T123" s="106"/>
      <c r="U123" s="106"/>
      <c r="V123" s="9"/>
      <c r="W123" s="106"/>
      <c r="X123" s="106"/>
      <c r="Y123" s="106"/>
      <c r="Z123" s="106"/>
      <c r="AA123" s="106"/>
      <c r="AB123" s="106"/>
      <c r="AC123" s="9"/>
      <c r="AD123" s="106"/>
      <c r="AE123" s="106"/>
      <c r="AF123" s="106"/>
      <c r="AG123" s="106"/>
      <c r="AH123" s="106"/>
      <c r="AI123" s="106"/>
      <c r="AJ123" s="9"/>
      <c r="AK123" s="106"/>
      <c r="AL123" s="106"/>
      <c r="AM123" s="106"/>
      <c r="AN123" s="106"/>
      <c r="AO123" s="106"/>
      <c r="AP123" s="106"/>
      <c r="AQ123" s="9"/>
      <c r="AR123" s="106"/>
      <c r="AS123" s="106"/>
      <c r="AT123" s="106"/>
      <c r="AU123" s="106"/>
      <c r="AV123" s="106"/>
      <c r="AW123" s="106"/>
      <c r="AX123" s="9"/>
    </row>
    <row r="124" spans="1:50" ht="13.05" hidden="1" customHeight="1" x14ac:dyDescent="0.25">
      <c r="A124" t="str">
        <f>Nutrients!B123</f>
        <v>Sodium sulfate, decahydrate</v>
      </c>
      <c r="B124" s="106"/>
      <c r="C124" s="106"/>
      <c r="D124" s="106"/>
      <c r="E124" s="106"/>
      <c r="F124" s="106"/>
      <c r="G124" s="106"/>
      <c r="H124" s="106"/>
      <c r="I124" s="106"/>
      <c r="J124" s="106"/>
      <c r="K124" s="106"/>
      <c r="L124" s="106"/>
      <c r="M124" s="106"/>
      <c r="N124" s="106"/>
      <c r="O124" s="29"/>
      <c r="P124" s="106"/>
      <c r="Q124" s="106"/>
      <c r="R124" s="106"/>
      <c r="S124" s="106"/>
      <c r="T124" s="106"/>
      <c r="U124" s="106"/>
      <c r="V124" s="9"/>
      <c r="W124" s="106"/>
      <c r="X124" s="106"/>
      <c r="Y124" s="106"/>
      <c r="Z124" s="106"/>
      <c r="AA124" s="106"/>
      <c r="AB124" s="106"/>
      <c r="AC124" s="9"/>
      <c r="AD124" s="106"/>
      <c r="AE124" s="106"/>
      <c r="AF124" s="106"/>
      <c r="AG124" s="106"/>
      <c r="AH124" s="106"/>
      <c r="AI124" s="106"/>
      <c r="AJ124" s="9"/>
      <c r="AK124" s="106"/>
      <c r="AL124" s="106"/>
      <c r="AM124" s="106"/>
      <c r="AN124" s="106"/>
      <c r="AO124" s="106"/>
      <c r="AP124" s="106"/>
      <c r="AQ124" s="9"/>
      <c r="AR124" s="106"/>
      <c r="AS124" s="106"/>
      <c r="AT124" s="106"/>
      <c r="AU124" s="106"/>
      <c r="AV124" s="106"/>
      <c r="AW124" s="106"/>
      <c r="AX124" s="9"/>
    </row>
    <row r="125" spans="1:50" x14ac:dyDescent="0.25">
      <c r="A125" t="str">
        <f>Nutrients!B124</f>
        <v>L-Lys-HCl</v>
      </c>
      <c r="B125" s="106">
        <v>6.3084820001521269</v>
      </c>
      <c r="C125" s="106">
        <v>6.2433597724335907</v>
      </c>
      <c r="D125" s="106">
        <v>6.1008877821794973</v>
      </c>
      <c r="E125" s="106">
        <v>6.0262980797710428</v>
      </c>
      <c r="F125" s="106">
        <v>5.9214818115557355</v>
      </c>
      <c r="G125" s="106">
        <v>5.7904970568511782</v>
      </c>
      <c r="H125" s="106"/>
      <c r="I125" s="106">
        <v>6.8584820001521267</v>
      </c>
      <c r="J125" s="106">
        <v>6.7933597724335906</v>
      </c>
      <c r="K125" s="106">
        <v>6.6508877821794972</v>
      </c>
      <c r="L125" s="106">
        <v>6.5762980797710426</v>
      </c>
      <c r="M125" s="106">
        <v>6.4714818115557353</v>
      </c>
      <c r="N125" s="106">
        <v>6.340497056851178</v>
      </c>
      <c r="O125" s="106"/>
      <c r="P125" s="106">
        <v>7.4084820001521265</v>
      </c>
      <c r="Q125" s="106">
        <v>7.3433597724335904</v>
      </c>
      <c r="R125" s="106">
        <v>7.200887782179497</v>
      </c>
      <c r="S125" s="106">
        <v>7.1262980797710425</v>
      </c>
      <c r="T125" s="106">
        <v>7.0214818115557351</v>
      </c>
      <c r="U125" s="106">
        <v>6.8904970568511779</v>
      </c>
      <c r="V125" s="106"/>
      <c r="W125" s="106">
        <v>7.9584820001521264</v>
      </c>
      <c r="X125" s="106">
        <v>7.8933597724335902</v>
      </c>
      <c r="Y125" s="106">
        <v>7.7508877821794968</v>
      </c>
      <c r="Z125" s="106">
        <v>7.6762980797710423</v>
      </c>
      <c r="AA125" s="106">
        <v>7.571481811555735</v>
      </c>
      <c r="AB125" s="106">
        <v>7.4404970568511777</v>
      </c>
      <c r="AC125" s="106"/>
      <c r="AD125" s="106">
        <v>8.5084820001521262</v>
      </c>
      <c r="AE125" s="106">
        <v>8.44335977243359</v>
      </c>
      <c r="AF125" s="106">
        <v>8.3008877821794975</v>
      </c>
      <c r="AG125" s="106">
        <v>8.226298079771043</v>
      </c>
      <c r="AH125" s="106">
        <v>8.1214818115557357</v>
      </c>
      <c r="AI125" s="106">
        <v>7.9904970568511775</v>
      </c>
      <c r="AJ125" s="106"/>
      <c r="AK125" s="106">
        <v>9.0584820001521269</v>
      </c>
      <c r="AL125" s="106">
        <v>8.9933597724335907</v>
      </c>
      <c r="AM125" s="106">
        <v>8.8508877821794982</v>
      </c>
      <c r="AN125" s="106">
        <v>8.7762980797710437</v>
      </c>
      <c r="AO125" s="106">
        <v>8.6714818115557364</v>
      </c>
      <c r="AP125" s="106">
        <v>8.5404970568511782</v>
      </c>
      <c r="AQ125" s="106"/>
      <c r="AR125" s="106">
        <v>9.6084820001521276</v>
      </c>
      <c r="AS125" s="106">
        <v>9.5433597724335915</v>
      </c>
      <c r="AT125" s="106">
        <v>9.4008877821794989</v>
      </c>
      <c r="AU125" s="106">
        <v>9.3262980797710444</v>
      </c>
      <c r="AV125" s="106">
        <v>9.2214818115557371</v>
      </c>
      <c r="AW125" s="106">
        <v>9.0904970568511789</v>
      </c>
      <c r="AX125" s="9"/>
    </row>
    <row r="126" spans="1:50" x14ac:dyDescent="0.25">
      <c r="A126" t="s">
        <v>338</v>
      </c>
      <c r="B126" s="106">
        <v>2.0001072741250949</v>
      </c>
      <c r="C126" s="106">
        <v>1.4142932363875236</v>
      </c>
      <c r="D126" s="106">
        <v>0.86934747110785748</v>
      </c>
      <c r="E126" s="106">
        <v>0.597281406401727</v>
      </c>
      <c r="F126" s="106">
        <v>0.26418732884583351</v>
      </c>
      <c r="G126" s="106">
        <v>0.20625243191767928</v>
      </c>
      <c r="H126" s="106"/>
      <c r="I126" s="106">
        <v>1.8342608514165972</v>
      </c>
      <c r="J126" s="106">
        <v>1.2477804087720765</v>
      </c>
      <c r="K126" s="106">
        <v>0.70263072167985541</v>
      </c>
      <c r="L126" s="106">
        <v>0.42924533581749902</v>
      </c>
      <c r="M126" s="91">
        <v>9.6342707698536839E-2</v>
      </c>
      <c r="N126" s="91">
        <v>3.7915707709582691E-2</v>
      </c>
      <c r="O126" s="29"/>
      <c r="P126" s="106">
        <v>1.6642608514165973</v>
      </c>
      <c r="Q126" s="106">
        <v>1.0777804087720766</v>
      </c>
      <c r="R126" s="106">
        <v>0.53263072167985537</v>
      </c>
      <c r="S126" s="106">
        <v>0.25924533581749898</v>
      </c>
      <c r="T126" s="91"/>
      <c r="U126" s="106"/>
      <c r="V126" s="9"/>
      <c r="W126" s="106">
        <v>1.4942608514165974</v>
      </c>
      <c r="X126" s="106">
        <v>0.90778040877207655</v>
      </c>
      <c r="Y126" s="106">
        <v>0.36263072167985533</v>
      </c>
      <c r="Z126" s="106"/>
      <c r="AA126" s="106"/>
      <c r="AB126" s="106"/>
      <c r="AC126" s="9"/>
      <c r="AD126" s="106">
        <v>1.3242608514165974</v>
      </c>
      <c r="AE126" s="106">
        <v>0.73778040877207651</v>
      </c>
      <c r="AF126" s="106"/>
      <c r="AG126" s="106"/>
      <c r="AH126" s="106"/>
      <c r="AI126" s="106"/>
      <c r="AJ126" s="9"/>
      <c r="AK126" s="106">
        <v>1.1542608514165975</v>
      </c>
      <c r="AL126" s="106">
        <v>0.56778040877207647</v>
      </c>
      <c r="AM126" s="106"/>
      <c r="AN126" s="106"/>
      <c r="AO126" s="106"/>
      <c r="AP126" s="106"/>
      <c r="AQ126" s="9"/>
      <c r="AR126" s="106">
        <v>0.98426085141659747</v>
      </c>
      <c r="AS126" s="106">
        <v>0.39778040877207643</v>
      </c>
      <c r="AT126" s="106"/>
      <c r="AU126" s="106"/>
      <c r="AV126" s="106"/>
      <c r="AW126" s="106"/>
      <c r="AX126" s="9"/>
    </row>
    <row r="127" spans="1:50" x14ac:dyDescent="0.25">
      <c r="A127" t="s">
        <v>339</v>
      </c>
      <c r="B127" s="106">
        <v>2.1021642542029664</v>
      </c>
      <c r="C127" s="106">
        <v>1.8931061779303802</v>
      </c>
      <c r="D127" s="106">
        <v>1.6694885978130205</v>
      </c>
      <c r="E127" s="106">
        <v>1.6715266713984547</v>
      </c>
      <c r="F127" s="106">
        <v>1.5185483019032111</v>
      </c>
      <c r="G127" s="106">
        <v>1.5481920365803807</v>
      </c>
      <c r="H127" s="106"/>
      <c r="I127" s="106">
        <v>2.0421642542029663</v>
      </c>
      <c r="J127" s="106">
        <v>1.8331061779303801</v>
      </c>
      <c r="K127" s="106">
        <v>1.6094885978130204</v>
      </c>
      <c r="L127" s="106">
        <v>1.6115266713984546</v>
      </c>
      <c r="M127" s="106">
        <v>1.4585483019032111</v>
      </c>
      <c r="N127" s="106">
        <v>1.4881920365803807</v>
      </c>
      <c r="O127" s="29"/>
      <c r="P127" s="106">
        <v>1.9821642542029663</v>
      </c>
      <c r="Q127" s="106">
        <v>1.7731061779303801</v>
      </c>
      <c r="R127" s="106">
        <v>1.5494885978130204</v>
      </c>
      <c r="S127" s="106">
        <v>1.5515266713984546</v>
      </c>
      <c r="T127" s="106">
        <v>1.398548301903211</v>
      </c>
      <c r="U127" s="106">
        <v>1.4281920365803806</v>
      </c>
      <c r="V127" s="9"/>
      <c r="W127" s="106">
        <v>1.9221642542029662</v>
      </c>
      <c r="X127" s="106">
        <v>1.71310617793038</v>
      </c>
      <c r="Y127" s="106">
        <v>1.4894885978130203</v>
      </c>
      <c r="Z127" s="106">
        <v>1.4915266713984545</v>
      </c>
      <c r="AA127" s="106">
        <v>1.3385483019032109</v>
      </c>
      <c r="AB127" s="106">
        <v>1.3681920365803806</v>
      </c>
      <c r="AC127" s="9"/>
      <c r="AD127" s="106">
        <v>1.8621642542029662</v>
      </c>
      <c r="AE127" s="106">
        <v>1.6531061779303799</v>
      </c>
      <c r="AF127" s="106">
        <v>1.4294885978130203</v>
      </c>
      <c r="AG127" s="106">
        <v>1.4315266713984545</v>
      </c>
      <c r="AH127" s="106">
        <v>1.2785483019032109</v>
      </c>
      <c r="AI127" s="106">
        <v>1.3081920365803805</v>
      </c>
      <c r="AJ127" s="9"/>
      <c r="AK127" s="106">
        <v>1.8021642542029661</v>
      </c>
      <c r="AL127" s="106">
        <v>1.5931061779303799</v>
      </c>
      <c r="AM127" s="106">
        <v>1.3694885978130202</v>
      </c>
      <c r="AN127" s="106">
        <v>1.3715266713984544</v>
      </c>
      <c r="AO127" s="106">
        <v>1.2185483019032108</v>
      </c>
      <c r="AP127" s="106">
        <v>1.2481920365803805</v>
      </c>
      <c r="AQ127" s="9"/>
      <c r="AR127" s="106">
        <v>1.7421642542029661</v>
      </c>
      <c r="AS127" s="106">
        <v>1.5331061779303798</v>
      </c>
      <c r="AT127" s="106">
        <v>1.3094885978130202</v>
      </c>
      <c r="AU127" s="106">
        <v>1.3115266713984544</v>
      </c>
      <c r="AV127" s="106">
        <v>1.1585483019032108</v>
      </c>
      <c r="AW127" s="106">
        <v>1.1881920365803804</v>
      </c>
      <c r="AX127" s="9"/>
    </row>
    <row r="128" spans="1:50" x14ac:dyDescent="0.25">
      <c r="A128" t="s">
        <v>340</v>
      </c>
      <c r="B128" s="106">
        <v>0.1583874364560095</v>
      </c>
      <c r="C128" s="106">
        <v>0.24609320131494719</v>
      </c>
      <c r="D128" s="106">
        <v>0.31506093551644743</v>
      </c>
      <c r="E128" s="106">
        <v>0.36796670907097156</v>
      </c>
      <c r="F128" s="106">
        <v>0.39910643007729607</v>
      </c>
      <c r="G128" s="106">
        <v>0.40312635660152313</v>
      </c>
      <c r="H128" s="106"/>
      <c r="I128" s="106">
        <v>0.23838743645600952</v>
      </c>
      <c r="J128" s="106">
        <v>0.32609320131494718</v>
      </c>
      <c r="K128" s="106">
        <v>0.39506093551644744</v>
      </c>
      <c r="L128" s="106">
        <v>0.44796670907097158</v>
      </c>
      <c r="M128" s="106">
        <v>0.47910643007729609</v>
      </c>
      <c r="N128" s="106">
        <v>0.48312635660152314</v>
      </c>
      <c r="O128" s="29"/>
      <c r="P128" s="106">
        <v>0.32838743645600954</v>
      </c>
      <c r="Q128" s="106">
        <v>0.4160932013149472</v>
      </c>
      <c r="R128" s="106">
        <v>0.48506093551644747</v>
      </c>
      <c r="S128" s="106">
        <v>0.53796670907097155</v>
      </c>
      <c r="T128" s="106">
        <v>0.56910643007729611</v>
      </c>
      <c r="U128" s="106">
        <v>0.57312635660152311</v>
      </c>
      <c r="V128" s="9"/>
      <c r="W128" s="106">
        <v>0.41838743645600951</v>
      </c>
      <c r="X128" s="106">
        <v>0.50609320131494717</v>
      </c>
      <c r="Y128" s="106">
        <v>0.57506093551644744</v>
      </c>
      <c r="Z128" s="106">
        <v>0.62796670907097152</v>
      </c>
      <c r="AA128" s="106">
        <v>0.65910643007729608</v>
      </c>
      <c r="AB128" s="106">
        <v>0.66312635660152308</v>
      </c>
      <c r="AC128" s="9"/>
      <c r="AD128" s="106">
        <v>0.50838743645600948</v>
      </c>
      <c r="AE128" s="106">
        <v>0.59609320131494714</v>
      </c>
      <c r="AF128" s="106">
        <v>0.65271795811769306</v>
      </c>
      <c r="AG128" s="106">
        <v>0.71796670907097149</v>
      </c>
      <c r="AH128" s="106">
        <v>0.74070235612654567</v>
      </c>
      <c r="AI128" s="106">
        <v>0.74410800793571552</v>
      </c>
      <c r="AJ128" s="9"/>
      <c r="AK128" s="106">
        <v>0.59838743645600945</v>
      </c>
      <c r="AL128" s="106">
        <v>0.68609320131494711</v>
      </c>
      <c r="AM128" s="106">
        <v>0.74271795811769303</v>
      </c>
      <c r="AN128" s="106">
        <v>0.79625311888019668</v>
      </c>
      <c r="AO128" s="106">
        <v>0.80749494125874588</v>
      </c>
      <c r="AP128" s="106">
        <v>0.81161597500027016</v>
      </c>
      <c r="AQ128" s="9"/>
      <c r="AR128" s="106">
        <v>0.64807703060165656</v>
      </c>
      <c r="AS128" s="106">
        <v>0.73578426469247626</v>
      </c>
      <c r="AT128" s="106">
        <v>0.79816076548794745</v>
      </c>
      <c r="AU128" s="106">
        <v>0.85792357544318287</v>
      </c>
      <c r="AV128" s="106">
        <v>0.91221840666227716</v>
      </c>
      <c r="AW128" s="106">
        <v>0.91515649083652495</v>
      </c>
      <c r="AX128" s="9"/>
    </row>
    <row r="129" spans="1:50" x14ac:dyDescent="0.25">
      <c r="A129" t="str">
        <f>Nutrients!B128</f>
        <v>L-Val</v>
      </c>
      <c r="B129" s="106"/>
      <c r="C129" s="106"/>
      <c r="D129" s="106"/>
      <c r="E129" s="106"/>
      <c r="F129" s="106"/>
      <c r="G129" s="106"/>
      <c r="H129" s="106"/>
      <c r="I129" s="106"/>
      <c r="J129" s="106"/>
      <c r="K129" s="106"/>
      <c r="L129" s="106"/>
      <c r="M129" s="106"/>
      <c r="N129" s="106"/>
      <c r="O129" s="29"/>
      <c r="P129" s="106"/>
      <c r="Q129" s="106"/>
      <c r="R129" s="106"/>
      <c r="S129" s="106"/>
      <c r="T129" s="106"/>
      <c r="U129" s="106"/>
      <c r="V129" s="9"/>
      <c r="W129" s="106"/>
      <c r="X129" s="106"/>
      <c r="Y129" s="106"/>
      <c r="Z129" s="106"/>
      <c r="AA129" s="106"/>
      <c r="AB129" s="106"/>
      <c r="AC129" s="9"/>
      <c r="AD129" s="106"/>
      <c r="AE129" s="106"/>
      <c r="AF129" s="106"/>
      <c r="AG129" s="106"/>
      <c r="AH129" s="106"/>
      <c r="AI129" s="106"/>
      <c r="AJ129" s="9"/>
      <c r="AK129" s="106"/>
      <c r="AL129" s="106"/>
      <c r="AM129" s="106"/>
      <c r="AN129" s="106"/>
      <c r="AO129" s="106"/>
      <c r="AP129" s="106"/>
      <c r="AQ129" s="9"/>
      <c r="AR129" s="106"/>
      <c r="AS129" s="106"/>
      <c r="AT129" s="106"/>
      <c r="AU129" s="106"/>
      <c r="AV129" s="106"/>
      <c r="AW129" s="106"/>
      <c r="AX129" s="9"/>
    </row>
    <row r="130" spans="1:50" ht="13.05" hidden="1" customHeight="1" x14ac:dyDescent="0.25">
      <c r="A130" t="str">
        <f>Nutrients!B129</f>
        <v>L-Ile</v>
      </c>
      <c r="B130" s="106"/>
      <c r="C130" s="106"/>
      <c r="D130" s="106"/>
      <c r="E130" s="106"/>
      <c r="F130" s="106"/>
      <c r="G130" s="106"/>
      <c r="H130" s="106"/>
      <c r="I130" s="106"/>
      <c r="J130" s="106"/>
      <c r="K130" s="106"/>
      <c r="L130" s="106"/>
      <c r="M130" s="106"/>
      <c r="N130" s="106"/>
      <c r="O130" s="29"/>
      <c r="P130" s="106"/>
      <c r="Q130" s="106"/>
      <c r="R130" s="106"/>
      <c r="S130" s="106"/>
      <c r="T130" s="106"/>
      <c r="U130" s="106"/>
      <c r="V130" s="9"/>
      <c r="W130" s="106"/>
      <c r="X130" s="106"/>
      <c r="Y130" s="106"/>
      <c r="Z130" s="106"/>
      <c r="AA130" s="106"/>
      <c r="AB130" s="106"/>
      <c r="AC130" s="9"/>
      <c r="AD130" s="106"/>
      <c r="AE130" s="106"/>
      <c r="AF130" s="106"/>
      <c r="AG130" s="106"/>
      <c r="AH130" s="106"/>
      <c r="AI130" s="106"/>
      <c r="AJ130" s="9"/>
      <c r="AK130" s="106"/>
      <c r="AL130" s="106"/>
      <c r="AM130" s="106"/>
      <c r="AN130" s="106"/>
      <c r="AO130" s="106"/>
      <c r="AP130" s="106"/>
      <c r="AQ130" s="9"/>
      <c r="AR130" s="106"/>
      <c r="AS130" s="106"/>
      <c r="AT130" s="106"/>
      <c r="AU130" s="106"/>
      <c r="AV130" s="106"/>
      <c r="AW130" s="106"/>
      <c r="AX130" s="9"/>
    </row>
    <row r="131" spans="1:50" ht="13.05" hidden="1" customHeight="1" x14ac:dyDescent="0.25">
      <c r="A131" t="str">
        <f>Nutrients!B130</f>
        <v>Methionine hydroxy analog</v>
      </c>
      <c r="B131" s="106"/>
      <c r="C131" s="106"/>
      <c r="D131" s="106"/>
      <c r="E131" s="106"/>
      <c r="F131" s="106"/>
      <c r="G131" s="106"/>
      <c r="H131" s="106"/>
      <c r="I131" s="106"/>
      <c r="J131" s="106"/>
      <c r="K131" s="106"/>
      <c r="L131" s="106"/>
      <c r="M131" s="106"/>
      <c r="N131" s="106"/>
      <c r="O131" s="29"/>
      <c r="P131" s="106"/>
      <c r="Q131" s="106"/>
      <c r="R131" s="106"/>
      <c r="S131" s="106"/>
      <c r="T131" s="106"/>
      <c r="U131" s="106"/>
      <c r="V131" s="9"/>
      <c r="W131" s="106"/>
      <c r="X131" s="106"/>
      <c r="Y131" s="106"/>
      <c r="Z131" s="106"/>
      <c r="AA131" s="106"/>
      <c r="AB131" s="106"/>
      <c r="AC131" s="9"/>
      <c r="AD131" s="106"/>
      <c r="AE131" s="106"/>
      <c r="AF131" s="106"/>
      <c r="AG131" s="106"/>
      <c r="AH131" s="106"/>
      <c r="AI131" s="106"/>
      <c r="AJ131" s="9"/>
      <c r="AK131" s="106"/>
      <c r="AL131" s="106"/>
      <c r="AM131" s="106"/>
      <c r="AN131" s="106"/>
      <c r="AO131" s="106"/>
      <c r="AP131" s="106"/>
      <c r="AQ131" s="9"/>
      <c r="AR131" s="106"/>
      <c r="AS131" s="106"/>
      <c r="AT131" s="106"/>
      <c r="AU131" s="106"/>
      <c r="AV131" s="106"/>
      <c r="AW131" s="106"/>
      <c r="AX131" s="9"/>
    </row>
    <row r="132" spans="1:50" ht="13.05" hidden="1" customHeight="1" x14ac:dyDescent="0.25">
      <c r="A132" t="str">
        <f>Nutrients!B131</f>
        <v>Glutamine</v>
      </c>
      <c r="B132" s="106"/>
      <c r="C132" s="106"/>
      <c r="D132" s="106"/>
      <c r="E132" s="106"/>
      <c r="F132" s="106"/>
      <c r="G132" s="106"/>
      <c r="H132" s="106"/>
      <c r="I132" s="106"/>
      <c r="J132" s="106"/>
      <c r="K132" s="106"/>
      <c r="L132" s="106"/>
      <c r="M132" s="106"/>
      <c r="N132" s="106"/>
      <c r="O132" s="29"/>
      <c r="P132" s="106"/>
      <c r="Q132" s="106"/>
      <c r="R132" s="106"/>
      <c r="S132" s="106"/>
      <c r="T132" s="106"/>
      <c r="U132" s="106"/>
      <c r="V132" s="9"/>
      <c r="W132" s="106"/>
      <c r="X132" s="106"/>
      <c r="Y132" s="106"/>
      <c r="Z132" s="106"/>
      <c r="AA132" s="106"/>
      <c r="AB132" s="106"/>
      <c r="AC132" s="9"/>
      <c r="AD132" s="106"/>
      <c r="AE132" s="106"/>
      <c r="AF132" s="106"/>
      <c r="AG132" s="106"/>
      <c r="AH132" s="106"/>
      <c r="AI132" s="106"/>
      <c r="AJ132" s="9"/>
      <c r="AK132" s="106"/>
      <c r="AL132" s="106"/>
      <c r="AM132" s="106"/>
      <c r="AN132" s="106"/>
      <c r="AO132" s="106"/>
      <c r="AP132" s="106"/>
      <c r="AQ132" s="9"/>
      <c r="AR132" s="106"/>
      <c r="AS132" s="106"/>
      <c r="AT132" s="106"/>
      <c r="AU132" s="106"/>
      <c r="AV132" s="106"/>
      <c r="AW132" s="106"/>
      <c r="AX132" s="9"/>
    </row>
    <row r="133" spans="1:50" ht="13.05" hidden="1" customHeight="1" x14ac:dyDescent="0.25">
      <c r="A133" t="str">
        <f>Nutrients!B132</f>
        <v>Glutamic acid</v>
      </c>
      <c r="B133" s="106"/>
      <c r="C133" s="106"/>
      <c r="D133" s="106"/>
      <c r="E133" s="106"/>
      <c r="F133" s="106"/>
      <c r="G133" s="106"/>
      <c r="H133" s="106"/>
      <c r="I133" s="106"/>
      <c r="J133" s="106"/>
      <c r="K133" s="106"/>
      <c r="L133" s="106"/>
      <c r="M133" s="106"/>
      <c r="N133" s="106"/>
      <c r="O133" s="29"/>
      <c r="P133" s="106"/>
      <c r="Q133" s="106"/>
      <c r="R133" s="106"/>
      <c r="S133" s="106"/>
      <c r="T133" s="106"/>
      <c r="U133" s="106"/>
      <c r="V133" s="9"/>
      <c r="W133" s="106"/>
      <c r="X133" s="106"/>
      <c r="Y133" s="106"/>
      <c r="Z133" s="106"/>
      <c r="AA133" s="106"/>
      <c r="AB133" s="106"/>
      <c r="AC133" s="9"/>
      <c r="AD133" s="106"/>
      <c r="AE133" s="106"/>
      <c r="AF133" s="106"/>
      <c r="AG133" s="106"/>
      <c r="AH133" s="106"/>
      <c r="AI133" s="106"/>
      <c r="AJ133" s="9"/>
      <c r="AK133" s="106"/>
      <c r="AL133" s="106"/>
      <c r="AM133" s="106"/>
      <c r="AN133" s="106"/>
      <c r="AO133" s="106"/>
      <c r="AP133" s="106"/>
      <c r="AQ133" s="9"/>
      <c r="AR133" s="106"/>
      <c r="AS133" s="106"/>
      <c r="AT133" s="106"/>
      <c r="AU133" s="106"/>
      <c r="AV133" s="106"/>
      <c r="AW133" s="106"/>
      <c r="AX133" s="9"/>
    </row>
    <row r="134" spans="1:50" ht="13.05" hidden="1" customHeight="1" x14ac:dyDescent="0.25">
      <c r="A134" t="str">
        <f>Nutrients!B133</f>
        <v>Biolys</v>
      </c>
      <c r="B134" s="106"/>
      <c r="C134" s="106"/>
      <c r="D134" s="106"/>
      <c r="E134" s="106"/>
      <c r="F134" s="106"/>
      <c r="G134" s="106"/>
      <c r="H134" s="106"/>
      <c r="I134" s="106"/>
      <c r="J134" s="106"/>
      <c r="K134" s="106"/>
      <c r="L134" s="106"/>
      <c r="M134" s="106"/>
      <c r="N134" s="106"/>
      <c r="O134" s="29"/>
      <c r="P134" s="106"/>
      <c r="Q134" s="106"/>
      <c r="R134" s="106"/>
      <c r="S134" s="106"/>
      <c r="T134" s="106"/>
      <c r="U134" s="106"/>
      <c r="V134" s="9"/>
      <c r="W134" s="106"/>
      <c r="X134" s="106"/>
      <c r="Y134" s="106"/>
      <c r="Z134" s="106"/>
      <c r="AA134" s="106"/>
      <c r="AB134" s="106"/>
      <c r="AC134" s="9"/>
      <c r="AD134" s="106"/>
      <c r="AE134" s="106"/>
      <c r="AF134" s="106"/>
      <c r="AG134" s="106"/>
      <c r="AH134" s="106"/>
      <c r="AI134" s="106"/>
      <c r="AJ134" s="9"/>
      <c r="AK134" s="106"/>
      <c r="AL134" s="106"/>
      <c r="AM134" s="106"/>
      <c r="AN134" s="106"/>
      <c r="AO134" s="106"/>
      <c r="AP134" s="106"/>
      <c r="AQ134" s="9"/>
      <c r="AR134" s="106"/>
      <c r="AS134" s="106"/>
      <c r="AT134" s="106"/>
      <c r="AU134" s="106"/>
      <c r="AV134" s="106"/>
      <c r="AW134" s="106"/>
      <c r="AX134" s="9"/>
    </row>
    <row r="135" spans="1:50" ht="13.05" hidden="1" customHeight="1" x14ac:dyDescent="0.25">
      <c r="A135" t="str">
        <f>Nutrients!B134</f>
        <v>Liquid lysine 60%</v>
      </c>
      <c r="B135" s="106"/>
      <c r="C135" s="106"/>
      <c r="D135" s="106"/>
      <c r="E135" s="106"/>
      <c r="F135" s="106"/>
      <c r="G135" s="106"/>
      <c r="H135" s="106"/>
      <c r="I135" s="106"/>
      <c r="J135" s="106"/>
      <c r="K135" s="106"/>
      <c r="L135" s="106"/>
      <c r="M135" s="106"/>
      <c r="N135" s="106"/>
      <c r="O135" s="29"/>
      <c r="P135" s="106"/>
      <c r="Q135" s="106"/>
      <c r="R135" s="106"/>
      <c r="S135" s="106"/>
      <c r="T135" s="106"/>
      <c r="U135" s="106"/>
      <c r="V135" s="9"/>
      <c r="W135" s="106"/>
      <c r="X135" s="106"/>
      <c r="Y135" s="106"/>
      <c r="Z135" s="106"/>
      <c r="AA135" s="106"/>
      <c r="AB135" s="106"/>
      <c r="AC135" s="9"/>
      <c r="AD135" s="106"/>
      <c r="AE135" s="106"/>
      <c r="AF135" s="106"/>
      <c r="AG135" s="106"/>
      <c r="AH135" s="106"/>
      <c r="AI135" s="106"/>
      <c r="AJ135" s="9"/>
      <c r="AK135" s="106"/>
      <c r="AL135" s="106"/>
      <c r="AM135" s="106"/>
      <c r="AN135" s="106"/>
      <c r="AO135" s="106"/>
      <c r="AP135" s="106"/>
      <c r="AQ135" s="9"/>
      <c r="AR135" s="106"/>
      <c r="AS135" s="106"/>
      <c r="AT135" s="106"/>
      <c r="AU135" s="106"/>
      <c r="AV135" s="106"/>
      <c r="AW135" s="106"/>
      <c r="AX135" s="9"/>
    </row>
    <row r="136" spans="1:50" ht="13.05" hidden="1" customHeight="1" x14ac:dyDescent="0.25">
      <c r="A136" t="str">
        <f>Nutrients!B135</f>
        <v>MHA dry</v>
      </c>
      <c r="B136" s="106"/>
      <c r="C136" s="106"/>
      <c r="D136" s="106"/>
      <c r="E136" s="106"/>
      <c r="F136" s="106"/>
      <c r="G136" s="106"/>
      <c r="H136" s="106"/>
      <c r="I136" s="106"/>
      <c r="J136" s="106"/>
      <c r="K136" s="106"/>
      <c r="L136" s="106"/>
      <c r="M136" s="106"/>
      <c r="N136" s="106"/>
      <c r="O136" s="29"/>
      <c r="P136" s="106"/>
      <c r="Q136" s="106"/>
      <c r="R136" s="106"/>
      <c r="S136" s="106"/>
      <c r="T136" s="106"/>
      <c r="U136" s="106"/>
      <c r="V136" s="9"/>
      <c r="W136" s="106"/>
      <c r="X136" s="106"/>
      <c r="Y136" s="106"/>
      <c r="Z136" s="106"/>
      <c r="AA136" s="106"/>
      <c r="AB136" s="106"/>
      <c r="AC136" s="9"/>
      <c r="AD136" s="106"/>
      <c r="AE136" s="106"/>
      <c r="AF136" s="106"/>
      <c r="AG136" s="106"/>
      <c r="AH136" s="106"/>
      <c r="AI136" s="106"/>
      <c r="AJ136" s="9"/>
      <c r="AK136" s="106"/>
      <c r="AL136" s="106"/>
      <c r="AM136" s="106"/>
      <c r="AN136" s="106"/>
      <c r="AO136" s="106"/>
      <c r="AP136" s="106"/>
      <c r="AQ136" s="9"/>
      <c r="AR136" s="106"/>
      <c r="AS136" s="106"/>
      <c r="AT136" s="106"/>
      <c r="AU136" s="106"/>
      <c r="AV136" s="106"/>
      <c r="AW136" s="106"/>
      <c r="AX136" s="9"/>
    </row>
    <row r="137" spans="1:50" ht="13.05" hidden="1" customHeight="1" x14ac:dyDescent="0.25">
      <c r="A137" t="str">
        <f>Nutrients!B136</f>
        <v>Paylean, 9 g/lb</v>
      </c>
      <c r="B137" s="106"/>
      <c r="C137" s="106"/>
      <c r="D137" s="106"/>
      <c r="E137" s="106"/>
      <c r="F137" s="106"/>
      <c r="G137" s="106"/>
      <c r="H137" s="106"/>
      <c r="I137" s="106"/>
      <c r="J137" s="106"/>
      <c r="K137" s="106"/>
      <c r="L137" s="106"/>
      <c r="M137" s="106"/>
      <c r="N137" s="106"/>
      <c r="O137" s="29"/>
      <c r="P137" s="106"/>
      <c r="Q137" s="106"/>
      <c r="R137" s="106"/>
      <c r="S137" s="106"/>
      <c r="T137" s="106"/>
      <c r="U137" s="106"/>
      <c r="V137" s="9"/>
      <c r="W137" s="106"/>
      <c r="X137" s="106"/>
      <c r="Y137" s="106"/>
      <c r="Z137" s="106"/>
      <c r="AA137" s="106"/>
      <c r="AB137" s="106"/>
      <c r="AC137" s="9"/>
      <c r="AD137" s="106"/>
      <c r="AE137" s="106"/>
      <c r="AF137" s="106"/>
      <c r="AG137" s="106"/>
      <c r="AH137" s="106"/>
      <c r="AI137" s="106"/>
      <c r="AJ137" s="9"/>
      <c r="AK137" s="106"/>
      <c r="AL137" s="106"/>
      <c r="AM137" s="106"/>
      <c r="AN137" s="106"/>
      <c r="AO137" s="106"/>
      <c r="AP137" s="106"/>
      <c r="AQ137" s="9"/>
      <c r="AR137" s="106"/>
      <c r="AS137" s="106"/>
      <c r="AT137" s="106"/>
      <c r="AU137" s="106"/>
      <c r="AV137" s="106"/>
      <c r="AW137" s="106"/>
      <c r="AX137" s="9"/>
    </row>
    <row r="138" spans="1:50" ht="13.05" hidden="1" customHeight="1" x14ac:dyDescent="0.25">
      <c r="A138" t="str">
        <f>Nutrients!B137</f>
        <v>Tribasic copper chloride</v>
      </c>
      <c r="B138" s="106"/>
      <c r="C138" s="106"/>
      <c r="D138" s="106"/>
      <c r="E138" s="106"/>
      <c r="F138" s="106"/>
      <c r="G138" s="106"/>
      <c r="H138" s="106"/>
      <c r="I138" s="106"/>
      <c r="J138" s="106"/>
      <c r="K138" s="106"/>
      <c r="L138" s="106"/>
      <c r="M138" s="106"/>
      <c r="N138" s="106"/>
      <c r="O138" s="29"/>
      <c r="P138" s="106"/>
      <c r="Q138" s="106"/>
      <c r="R138" s="106"/>
      <c r="S138" s="106"/>
      <c r="T138" s="106"/>
      <c r="U138" s="106"/>
      <c r="V138" s="9"/>
      <c r="W138" s="106"/>
      <c r="X138" s="106"/>
      <c r="Y138" s="106"/>
      <c r="Z138" s="106"/>
      <c r="AA138" s="106"/>
      <c r="AB138" s="106"/>
      <c r="AC138" s="9"/>
      <c r="AD138" s="106"/>
      <c r="AE138" s="106"/>
      <c r="AF138" s="106"/>
      <c r="AG138" s="106"/>
      <c r="AH138" s="106"/>
      <c r="AI138" s="106"/>
      <c r="AJ138" s="9"/>
      <c r="AK138" s="106"/>
      <c r="AL138" s="106"/>
      <c r="AM138" s="106"/>
      <c r="AN138" s="106"/>
      <c r="AO138" s="106"/>
      <c r="AP138" s="106"/>
      <c r="AQ138" s="9"/>
      <c r="AR138" s="106"/>
      <c r="AS138" s="106"/>
      <c r="AT138" s="106"/>
      <c r="AU138" s="106"/>
      <c r="AV138" s="106"/>
      <c r="AW138" s="106"/>
      <c r="AX138" s="9"/>
    </row>
    <row r="139" spans="1:50" ht="13.05" hidden="1" customHeight="1" x14ac:dyDescent="0.25">
      <c r="A139" t="str">
        <f>Nutrients!B138</f>
        <v>2018 Starter base mix</v>
      </c>
      <c r="B139" s="106"/>
      <c r="C139" s="106"/>
      <c r="D139" s="106"/>
      <c r="E139" s="106"/>
      <c r="F139" s="106"/>
      <c r="G139" s="106"/>
      <c r="H139" s="106"/>
      <c r="I139" s="106"/>
      <c r="J139" s="106"/>
      <c r="K139" s="106"/>
      <c r="L139" s="106"/>
      <c r="M139" s="106"/>
      <c r="N139" s="106"/>
      <c r="O139" s="29"/>
      <c r="P139" s="106"/>
      <c r="Q139" s="106"/>
      <c r="R139" s="106"/>
      <c r="S139" s="106"/>
      <c r="T139" s="106"/>
      <c r="U139" s="106"/>
      <c r="V139" s="9"/>
      <c r="W139" s="106"/>
      <c r="X139" s="106"/>
      <c r="Y139" s="106"/>
      <c r="Z139" s="106"/>
      <c r="AA139" s="106"/>
      <c r="AB139" s="106"/>
      <c r="AC139" s="9"/>
      <c r="AD139" s="106"/>
      <c r="AE139" s="106"/>
      <c r="AF139" s="106"/>
      <c r="AG139" s="106"/>
      <c r="AH139" s="106"/>
      <c r="AI139" s="106"/>
      <c r="AJ139" s="9"/>
      <c r="AK139" s="106"/>
      <c r="AL139" s="106"/>
      <c r="AM139" s="106"/>
      <c r="AN139" s="106"/>
      <c r="AO139" s="106"/>
      <c r="AP139" s="106"/>
      <c r="AQ139" s="9"/>
      <c r="AR139" s="106"/>
      <c r="AS139" s="106"/>
      <c r="AT139" s="106"/>
      <c r="AU139" s="106"/>
      <c r="AV139" s="106"/>
      <c r="AW139" s="106"/>
      <c r="AX139" s="9"/>
    </row>
    <row r="140" spans="1:50" ht="13.05" hidden="1" customHeight="1" x14ac:dyDescent="0.25">
      <c r="A140" t="str">
        <f>Nutrients!B139</f>
        <v>2018 Grow-finish base mix</v>
      </c>
      <c r="B140" s="106"/>
      <c r="C140" s="106"/>
      <c r="D140" s="106"/>
      <c r="E140" s="106"/>
      <c r="F140" s="106"/>
      <c r="G140" s="106"/>
      <c r="H140" s="106"/>
      <c r="I140" s="106"/>
      <c r="J140" s="106"/>
      <c r="K140" s="106"/>
      <c r="L140" s="106"/>
      <c r="M140" s="106"/>
      <c r="N140" s="106"/>
      <c r="O140" s="29"/>
      <c r="P140" s="106"/>
      <c r="Q140" s="106"/>
      <c r="R140" s="106"/>
      <c r="S140" s="106"/>
      <c r="T140" s="106"/>
      <c r="U140" s="106"/>
      <c r="V140" s="9"/>
      <c r="W140" s="106"/>
      <c r="X140" s="106"/>
      <c r="Y140" s="106"/>
      <c r="Z140" s="106"/>
      <c r="AA140" s="106"/>
      <c r="AB140" s="106"/>
      <c r="AC140" s="9"/>
      <c r="AD140" s="106"/>
      <c r="AE140" s="106"/>
      <c r="AF140" s="106"/>
      <c r="AG140" s="106"/>
      <c r="AH140" s="106"/>
      <c r="AI140" s="106"/>
      <c r="AJ140" s="9"/>
      <c r="AK140" s="106"/>
      <c r="AL140" s="106"/>
      <c r="AM140" s="106"/>
      <c r="AN140" s="106"/>
      <c r="AO140" s="106"/>
      <c r="AP140" s="106"/>
      <c r="AQ140" s="9"/>
      <c r="AR140" s="106"/>
      <c r="AS140" s="106"/>
      <c r="AT140" s="106"/>
      <c r="AU140" s="106"/>
      <c r="AV140" s="106"/>
      <c r="AW140" s="106"/>
      <c r="AX140" s="9"/>
    </row>
    <row r="141" spans="1:50" ht="13.05" hidden="1" customHeight="1" x14ac:dyDescent="0.25">
      <c r="A141" t="str">
        <f>Nutrients!B140</f>
        <v>Developer base mix</v>
      </c>
      <c r="B141" s="106"/>
      <c r="C141" s="106"/>
      <c r="D141" s="106"/>
      <c r="E141" s="106"/>
      <c r="F141" s="106"/>
      <c r="G141" s="106"/>
      <c r="H141" s="106"/>
      <c r="I141" s="106"/>
      <c r="J141" s="106"/>
      <c r="K141" s="106"/>
      <c r="L141" s="106"/>
      <c r="M141" s="106"/>
      <c r="N141" s="106"/>
      <c r="O141" s="29"/>
      <c r="P141" s="106"/>
      <c r="Q141" s="106"/>
      <c r="R141" s="106"/>
      <c r="S141" s="106"/>
      <c r="T141" s="106"/>
      <c r="U141" s="106"/>
      <c r="V141" s="9"/>
      <c r="W141" s="106"/>
      <c r="X141" s="106"/>
      <c r="Y141" s="106"/>
      <c r="Z141" s="106"/>
      <c r="AA141" s="106"/>
      <c r="AB141" s="106"/>
      <c r="AC141" s="9"/>
      <c r="AD141" s="106"/>
      <c r="AE141" s="106"/>
      <c r="AF141" s="106"/>
      <c r="AG141" s="106"/>
      <c r="AH141" s="106"/>
      <c r="AI141" s="106"/>
      <c r="AJ141" s="9"/>
      <c r="AK141" s="106"/>
      <c r="AL141" s="106"/>
      <c r="AM141" s="106"/>
      <c r="AN141" s="106"/>
      <c r="AO141" s="106"/>
      <c r="AP141" s="106"/>
      <c r="AQ141" s="9"/>
      <c r="AR141" s="106"/>
      <c r="AS141" s="106"/>
      <c r="AT141" s="106"/>
      <c r="AU141" s="106"/>
      <c r="AV141" s="106"/>
      <c r="AW141" s="106"/>
      <c r="AX141" s="9"/>
    </row>
    <row r="142" spans="1:50" ht="13.05" hidden="1" customHeight="1" x14ac:dyDescent="0.25">
      <c r="A142" t="str">
        <f>Nutrients!B141</f>
        <v>2018 Sow base mix</v>
      </c>
      <c r="B142" s="106"/>
      <c r="C142" s="106"/>
      <c r="D142" s="106"/>
      <c r="E142" s="106"/>
      <c r="F142" s="106"/>
      <c r="G142" s="106"/>
      <c r="H142" s="106"/>
      <c r="I142" s="106"/>
      <c r="J142" s="106"/>
      <c r="K142" s="106"/>
      <c r="L142" s="106"/>
      <c r="M142" s="106"/>
      <c r="N142" s="106"/>
      <c r="O142" s="29"/>
      <c r="P142" s="106"/>
      <c r="Q142" s="106"/>
      <c r="R142" s="106"/>
      <c r="S142" s="106"/>
      <c r="T142" s="106"/>
      <c r="U142" s="106"/>
      <c r="V142" s="9"/>
      <c r="W142" s="106"/>
      <c r="X142" s="106"/>
      <c r="Y142" s="106"/>
      <c r="Z142" s="106"/>
      <c r="AA142" s="106"/>
      <c r="AB142" s="106"/>
      <c r="AC142" s="9"/>
      <c r="AD142" s="106"/>
      <c r="AE142" s="106"/>
      <c r="AF142" s="106"/>
      <c r="AG142" s="106"/>
      <c r="AH142" s="106"/>
      <c r="AI142" s="106"/>
      <c r="AJ142" s="9"/>
      <c r="AK142" s="106"/>
      <c r="AL142" s="106"/>
      <c r="AM142" s="106"/>
      <c r="AN142" s="106"/>
      <c r="AO142" s="106"/>
      <c r="AP142" s="106"/>
      <c r="AQ142" s="9"/>
      <c r="AR142" s="106"/>
      <c r="AS142" s="106"/>
      <c r="AT142" s="106"/>
      <c r="AU142" s="106"/>
      <c r="AV142" s="106"/>
      <c r="AW142" s="106"/>
      <c r="AX142" s="9"/>
    </row>
    <row r="143" spans="1:50" hidden="1" x14ac:dyDescent="0.25">
      <c r="A143" t="str">
        <f>Nutrients!B142</f>
        <v>Vitamin premix with phytase</v>
      </c>
      <c r="B143" s="106"/>
      <c r="C143" s="106"/>
      <c r="D143" s="106"/>
      <c r="E143" s="106"/>
      <c r="F143" s="106"/>
      <c r="G143" s="106"/>
      <c r="H143" s="106"/>
      <c r="I143" s="106"/>
      <c r="J143" s="106"/>
      <c r="K143" s="106"/>
      <c r="L143" s="106"/>
      <c r="M143" s="106"/>
      <c r="N143" s="106"/>
      <c r="O143" s="29"/>
      <c r="P143" s="106"/>
      <c r="Q143" s="106"/>
      <c r="R143" s="106"/>
      <c r="S143" s="106"/>
      <c r="T143" s="106"/>
      <c r="U143" s="106"/>
      <c r="V143" s="9"/>
      <c r="W143" s="106"/>
      <c r="X143" s="106"/>
      <c r="Y143" s="106"/>
      <c r="Z143" s="106"/>
      <c r="AA143" s="106"/>
      <c r="AB143" s="106"/>
      <c r="AC143" s="9"/>
      <c r="AD143" s="106"/>
      <c r="AE143" s="106"/>
      <c r="AF143" s="106"/>
      <c r="AG143" s="106"/>
      <c r="AH143" s="106"/>
      <c r="AI143" s="106"/>
      <c r="AJ143" s="9"/>
      <c r="AK143" s="106"/>
      <c r="AL143" s="106"/>
      <c r="AM143" s="106"/>
      <c r="AN143" s="106"/>
      <c r="AO143" s="106"/>
      <c r="AP143" s="106"/>
      <c r="AQ143" s="9"/>
      <c r="AR143" s="106"/>
      <c r="AS143" s="106"/>
      <c r="AT143" s="106"/>
      <c r="AU143" s="106"/>
      <c r="AV143" s="106"/>
      <c r="AW143" s="106"/>
      <c r="AX143" s="9"/>
    </row>
    <row r="144" spans="1:50" x14ac:dyDescent="0.25">
      <c r="A144" t="str">
        <f>Nutrients!B143</f>
        <v>Trace mineral premix</v>
      </c>
      <c r="B144" s="106">
        <v>3</v>
      </c>
      <c r="C144" s="106">
        <v>3</v>
      </c>
      <c r="D144" s="106">
        <v>2.5</v>
      </c>
      <c r="E144" s="106">
        <v>2</v>
      </c>
      <c r="F144" s="106">
        <v>1.5</v>
      </c>
      <c r="G144" s="106">
        <v>1.5</v>
      </c>
      <c r="H144" s="106"/>
      <c r="I144" s="106">
        <v>3</v>
      </c>
      <c r="J144" s="106">
        <v>3</v>
      </c>
      <c r="K144" s="106">
        <v>2.5</v>
      </c>
      <c r="L144" s="106">
        <v>2</v>
      </c>
      <c r="M144" s="106">
        <v>1.5</v>
      </c>
      <c r="N144" s="106">
        <v>1.5</v>
      </c>
      <c r="O144" s="29"/>
      <c r="P144" s="106">
        <v>3</v>
      </c>
      <c r="Q144" s="106">
        <v>3</v>
      </c>
      <c r="R144" s="106">
        <v>2.5</v>
      </c>
      <c r="S144" s="106">
        <v>2</v>
      </c>
      <c r="T144" s="106">
        <v>1.5</v>
      </c>
      <c r="U144" s="106">
        <v>1.5</v>
      </c>
      <c r="V144" s="9"/>
      <c r="W144" s="106">
        <v>3</v>
      </c>
      <c r="X144" s="106">
        <v>3</v>
      </c>
      <c r="Y144" s="106">
        <v>2.5</v>
      </c>
      <c r="Z144" s="106">
        <v>2</v>
      </c>
      <c r="AA144" s="106">
        <v>1.5</v>
      </c>
      <c r="AB144" s="106">
        <v>1.5</v>
      </c>
      <c r="AC144" s="9"/>
      <c r="AD144" s="106">
        <v>3</v>
      </c>
      <c r="AE144" s="106">
        <v>3</v>
      </c>
      <c r="AF144" s="106">
        <v>2.5</v>
      </c>
      <c r="AG144" s="106">
        <v>2</v>
      </c>
      <c r="AH144" s="106">
        <v>1.5</v>
      </c>
      <c r="AI144" s="106">
        <v>1.5</v>
      </c>
      <c r="AJ144" s="9"/>
      <c r="AK144" s="106">
        <v>3</v>
      </c>
      <c r="AL144" s="106">
        <v>3</v>
      </c>
      <c r="AM144" s="106">
        <v>2.5</v>
      </c>
      <c r="AN144" s="106">
        <v>2</v>
      </c>
      <c r="AO144" s="106">
        <v>1.5</v>
      </c>
      <c r="AP144" s="106">
        <v>1.5</v>
      </c>
      <c r="AQ144" s="9"/>
      <c r="AR144" s="106">
        <v>3</v>
      </c>
      <c r="AS144" s="106">
        <v>3</v>
      </c>
      <c r="AT144" s="106">
        <v>2.5</v>
      </c>
      <c r="AU144" s="106">
        <v>2</v>
      </c>
      <c r="AV144" s="106">
        <v>1.5</v>
      </c>
      <c r="AW144" s="106">
        <v>1.5</v>
      </c>
      <c r="AX144" s="9"/>
    </row>
    <row r="145" spans="1:50" ht="13.05" hidden="1" customHeight="1" x14ac:dyDescent="0.25">
      <c r="A145" t="str">
        <f>Nutrients!B144</f>
        <v>Sow add pack</v>
      </c>
      <c r="B145" s="106"/>
      <c r="C145" s="106"/>
      <c r="D145" s="106"/>
      <c r="E145" s="106"/>
      <c r="F145" s="106"/>
      <c r="G145" s="106"/>
      <c r="H145" s="106"/>
      <c r="I145" s="106"/>
      <c r="J145" s="106"/>
      <c r="K145" s="106"/>
      <c r="L145" s="106"/>
      <c r="M145" s="106"/>
      <c r="N145" s="106"/>
      <c r="O145" s="29"/>
      <c r="P145" s="106"/>
      <c r="Q145" s="106"/>
      <c r="R145" s="106"/>
      <c r="S145" s="106"/>
      <c r="T145" s="106"/>
      <c r="U145" s="106"/>
      <c r="V145" s="9"/>
      <c r="W145" s="106"/>
      <c r="X145" s="106"/>
      <c r="Y145" s="106"/>
      <c r="Z145" s="106"/>
      <c r="AA145" s="106"/>
      <c r="AB145" s="106"/>
      <c r="AC145" s="9"/>
      <c r="AD145" s="106"/>
      <c r="AE145" s="106"/>
      <c r="AF145" s="106"/>
      <c r="AG145" s="106"/>
      <c r="AH145" s="106"/>
      <c r="AI145" s="106"/>
      <c r="AJ145" s="9"/>
      <c r="AK145" s="106"/>
      <c r="AL145" s="106"/>
      <c r="AM145" s="106"/>
      <c r="AN145" s="106"/>
      <c r="AO145" s="106"/>
      <c r="AP145" s="106"/>
      <c r="AQ145" s="9"/>
      <c r="AR145" s="106"/>
      <c r="AS145" s="106"/>
      <c r="AT145" s="106"/>
      <c r="AU145" s="106"/>
      <c r="AV145" s="106"/>
      <c r="AW145" s="106"/>
      <c r="AX145" s="9"/>
    </row>
    <row r="146" spans="1:50" x14ac:dyDescent="0.25">
      <c r="A146" t="str">
        <f>Nutrients!B145</f>
        <v>Vitamin premix without phytase</v>
      </c>
      <c r="B146" s="106">
        <v>3</v>
      </c>
      <c r="C146" s="106">
        <v>3</v>
      </c>
      <c r="D146" s="106">
        <v>2.5</v>
      </c>
      <c r="E146" s="106">
        <v>2</v>
      </c>
      <c r="F146" s="106">
        <v>1.5</v>
      </c>
      <c r="G146" s="106">
        <v>1.5</v>
      </c>
      <c r="H146" s="106"/>
      <c r="I146" s="106">
        <v>3</v>
      </c>
      <c r="J146" s="106">
        <v>3</v>
      </c>
      <c r="K146" s="106">
        <v>2.5</v>
      </c>
      <c r="L146" s="106">
        <v>2</v>
      </c>
      <c r="M146" s="106">
        <v>1.5</v>
      </c>
      <c r="N146" s="106">
        <v>1.5</v>
      </c>
      <c r="O146" s="29"/>
      <c r="P146" s="106">
        <v>3</v>
      </c>
      <c r="Q146" s="106">
        <v>3</v>
      </c>
      <c r="R146" s="106">
        <v>2.5</v>
      </c>
      <c r="S146" s="106">
        <v>2</v>
      </c>
      <c r="T146" s="106">
        <v>1.5</v>
      </c>
      <c r="U146" s="106">
        <v>1.5</v>
      </c>
      <c r="V146" s="9"/>
      <c r="W146" s="106">
        <v>3</v>
      </c>
      <c r="X146" s="106">
        <v>3</v>
      </c>
      <c r="Y146" s="106">
        <v>2.5</v>
      </c>
      <c r="Z146" s="106">
        <v>2</v>
      </c>
      <c r="AA146" s="106">
        <v>1.5</v>
      </c>
      <c r="AB146" s="106">
        <v>1.5</v>
      </c>
      <c r="AC146" s="9"/>
      <c r="AD146" s="106">
        <v>3</v>
      </c>
      <c r="AE146" s="106">
        <v>3</v>
      </c>
      <c r="AF146" s="106">
        <v>2.5</v>
      </c>
      <c r="AG146" s="106">
        <v>2</v>
      </c>
      <c r="AH146" s="106">
        <v>1.5</v>
      </c>
      <c r="AI146" s="106">
        <v>1.5</v>
      </c>
      <c r="AJ146" s="9"/>
      <c r="AK146" s="106">
        <v>3</v>
      </c>
      <c r="AL146" s="106">
        <v>3</v>
      </c>
      <c r="AM146" s="106">
        <v>2.5</v>
      </c>
      <c r="AN146" s="106">
        <v>2</v>
      </c>
      <c r="AO146" s="106">
        <v>1.5</v>
      </c>
      <c r="AP146" s="106">
        <v>1.5</v>
      </c>
      <c r="AQ146" s="9"/>
      <c r="AR146" s="106">
        <v>3</v>
      </c>
      <c r="AS146" s="106">
        <v>3</v>
      </c>
      <c r="AT146" s="106">
        <v>2.5</v>
      </c>
      <c r="AU146" s="106">
        <v>2</v>
      </c>
      <c r="AV146" s="106">
        <v>1.5</v>
      </c>
      <c r="AW146" s="106">
        <v>1.5</v>
      </c>
      <c r="AX146" s="9"/>
    </row>
    <row r="147" spans="1:50" ht="13.05" hidden="1" customHeight="1" x14ac:dyDescent="0.25">
      <c r="A147" t="str">
        <f>Nutrients!B146</f>
        <v>GF DDGS Base Mix</v>
      </c>
      <c r="B147" s="106"/>
      <c r="C147" s="106"/>
      <c r="D147" s="106"/>
      <c r="E147" s="106"/>
      <c r="F147" s="106"/>
      <c r="G147" s="106"/>
      <c r="H147" s="106"/>
      <c r="I147" s="106"/>
      <c r="J147" s="106"/>
      <c r="K147" s="106"/>
      <c r="L147" s="106"/>
      <c r="M147" s="106"/>
      <c r="N147" s="106"/>
      <c r="O147" s="29"/>
      <c r="P147" s="106"/>
      <c r="Q147" s="106"/>
      <c r="R147" s="106"/>
      <c r="S147" s="106"/>
      <c r="T147" s="106"/>
      <c r="U147" s="106"/>
      <c r="V147" s="9"/>
      <c r="W147" s="106"/>
      <c r="X147" s="106"/>
      <c r="Y147" s="106"/>
      <c r="Z147" s="106"/>
      <c r="AA147" s="106"/>
      <c r="AB147" s="106"/>
      <c r="AC147" s="9"/>
      <c r="AD147" s="106"/>
      <c r="AE147" s="106"/>
      <c r="AF147" s="106"/>
      <c r="AG147" s="106"/>
      <c r="AH147" s="106"/>
      <c r="AI147" s="106"/>
      <c r="AJ147" s="9"/>
      <c r="AK147" s="106"/>
      <c r="AL147" s="106"/>
      <c r="AM147" s="106"/>
      <c r="AN147" s="106"/>
      <c r="AO147" s="106"/>
      <c r="AP147" s="106"/>
      <c r="AQ147" s="9"/>
      <c r="AR147" s="106"/>
      <c r="AS147" s="106"/>
      <c r="AT147" s="106"/>
      <c r="AU147" s="106"/>
      <c r="AV147" s="106"/>
      <c r="AW147" s="106"/>
      <c r="AX147" s="9"/>
    </row>
    <row r="148" spans="1:50" ht="13.05" hidden="1" customHeight="1" x14ac:dyDescent="0.25">
      <c r="A148" t="str">
        <f>Nutrients!B147</f>
        <v>GF synthetics Base Mix</v>
      </c>
      <c r="B148" s="106"/>
      <c r="C148" s="106"/>
      <c r="D148" s="106"/>
      <c r="E148" s="106"/>
      <c r="F148" s="106"/>
      <c r="G148" s="106"/>
      <c r="H148" s="106"/>
      <c r="I148" s="106"/>
      <c r="J148" s="106"/>
      <c r="K148" s="106"/>
      <c r="L148" s="106"/>
      <c r="M148" s="106"/>
      <c r="N148" s="106"/>
      <c r="O148" s="29"/>
      <c r="P148" s="106"/>
      <c r="Q148" s="106"/>
      <c r="R148" s="106"/>
      <c r="S148" s="106"/>
      <c r="T148" s="106"/>
      <c r="U148" s="106"/>
      <c r="V148" s="9"/>
      <c r="W148" s="106"/>
      <c r="X148" s="106"/>
      <c r="Y148" s="106"/>
      <c r="Z148" s="106"/>
      <c r="AA148" s="106"/>
      <c r="AB148" s="106"/>
      <c r="AC148" s="9"/>
      <c r="AD148" s="106"/>
      <c r="AE148" s="106"/>
      <c r="AF148" s="106"/>
      <c r="AG148" s="106"/>
      <c r="AH148" s="106"/>
      <c r="AI148" s="106"/>
      <c r="AJ148" s="9"/>
      <c r="AK148" s="106"/>
      <c r="AL148" s="106"/>
      <c r="AM148" s="106"/>
      <c r="AN148" s="106"/>
      <c r="AO148" s="106"/>
      <c r="AP148" s="106"/>
      <c r="AQ148" s="9"/>
      <c r="AR148" s="106"/>
      <c r="AS148" s="106"/>
      <c r="AT148" s="106"/>
      <c r="AU148" s="106"/>
      <c r="AV148" s="106"/>
      <c r="AW148" s="106"/>
      <c r="AX148" s="9"/>
    </row>
    <row r="149" spans="1:50" ht="13.05" hidden="1" customHeight="1" x14ac:dyDescent="0.25">
      <c r="A149" t="str">
        <f>Nutrients!B148</f>
        <v>Choline chloride 60%</v>
      </c>
      <c r="B149" s="106"/>
      <c r="C149" s="106"/>
      <c r="D149" s="106"/>
      <c r="E149" s="106"/>
      <c r="F149" s="106"/>
      <c r="G149" s="106"/>
      <c r="H149" s="106"/>
      <c r="I149" s="106"/>
      <c r="J149" s="106"/>
      <c r="K149" s="106"/>
      <c r="L149" s="106"/>
      <c r="M149" s="106"/>
      <c r="N149" s="106"/>
      <c r="O149" s="29"/>
      <c r="P149" s="106"/>
      <c r="Q149" s="106"/>
      <c r="R149" s="106"/>
      <c r="S149" s="106"/>
      <c r="T149" s="106"/>
      <c r="U149" s="106"/>
      <c r="V149" s="9"/>
      <c r="W149" s="106"/>
      <c r="X149" s="106"/>
      <c r="Y149" s="106"/>
      <c r="Z149" s="106"/>
      <c r="AA149" s="106"/>
      <c r="AB149" s="106"/>
      <c r="AC149" s="9"/>
      <c r="AD149" s="106"/>
      <c r="AE149" s="106"/>
      <c r="AF149" s="106"/>
      <c r="AG149" s="106"/>
      <c r="AH149" s="106"/>
      <c r="AI149" s="106"/>
      <c r="AJ149" s="9"/>
      <c r="AK149" s="106"/>
      <c r="AL149" s="106"/>
      <c r="AM149" s="106"/>
      <c r="AN149" s="106"/>
      <c r="AO149" s="106"/>
      <c r="AP149" s="106"/>
      <c r="AQ149" s="9"/>
      <c r="AR149" s="106"/>
      <c r="AS149" s="106"/>
      <c r="AT149" s="106"/>
      <c r="AU149" s="106"/>
      <c r="AV149" s="106"/>
      <c r="AW149" s="106"/>
      <c r="AX149" s="9"/>
    </row>
    <row r="150" spans="1:50" ht="13.05" hidden="1" customHeight="1" x14ac:dyDescent="0.25">
      <c r="A150" t="str">
        <f>Nutrients!B149</f>
        <v>Natuphos 600</v>
      </c>
      <c r="B150" s="106"/>
      <c r="C150" s="106"/>
      <c r="D150" s="106"/>
      <c r="E150" s="106"/>
      <c r="F150" s="106"/>
      <c r="G150" s="106"/>
      <c r="H150" s="106"/>
      <c r="I150" s="106"/>
      <c r="J150" s="106"/>
      <c r="K150" s="106"/>
      <c r="L150" s="106"/>
      <c r="M150" s="106"/>
      <c r="N150" s="106"/>
      <c r="O150" s="29"/>
      <c r="P150" s="106"/>
      <c r="Q150" s="106"/>
      <c r="R150" s="106"/>
      <c r="S150" s="106"/>
      <c r="T150" s="106"/>
      <c r="U150" s="106"/>
      <c r="V150" s="9"/>
      <c r="W150" s="106"/>
      <c r="X150" s="106"/>
      <c r="Y150" s="106"/>
      <c r="Z150" s="106"/>
      <c r="AA150" s="106"/>
      <c r="AB150" s="106"/>
      <c r="AC150" s="9"/>
      <c r="AD150" s="106"/>
      <c r="AE150" s="106"/>
      <c r="AF150" s="106"/>
      <c r="AG150" s="106"/>
      <c r="AH150" s="106"/>
      <c r="AI150" s="106"/>
      <c r="AJ150" s="9"/>
      <c r="AK150" s="106"/>
      <c r="AL150" s="106"/>
      <c r="AM150" s="106"/>
      <c r="AN150" s="106"/>
      <c r="AO150" s="106"/>
      <c r="AP150" s="106"/>
      <c r="AQ150" s="9"/>
      <c r="AR150" s="106"/>
      <c r="AS150" s="106"/>
      <c r="AT150" s="106"/>
      <c r="AU150" s="106"/>
      <c r="AV150" s="106"/>
      <c r="AW150" s="106"/>
      <c r="AX150" s="9"/>
    </row>
    <row r="151" spans="1:50" ht="13.05" hidden="1" customHeight="1" x14ac:dyDescent="0.25">
      <c r="A151" t="str">
        <f>Nutrients!B150</f>
        <v>Natuphos 1200</v>
      </c>
      <c r="B151" s="106"/>
      <c r="C151" s="106"/>
      <c r="D151" s="106"/>
      <c r="E151" s="106"/>
      <c r="F151" s="106"/>
      <c r="G151" s="106"/>
      <c r="H151" s="106"/>
      <c r="I151" s="106"/>
      <c r="J151" s="106"/>
      <c r="K151" s="106"/>
      <c r="L151" s="106"/>
      <c r="M151" s="106"/>
      <c r="N151" s="106"/>
      <c r="O151" s="29"/>
      <c r="P151" s="106"/>
      <c r="Q151" s="106"/>
      <c r="R151" s="106"/>
      <c r="S151" s="106"/>
      <c r="T151" s="106"/>
      <c r="U151" s="106"/>
      <c r="V151" s="9"/>
      <c r="W151" s="106"/>
      <c r="X151" s="106"/>
      <c r="Y151" s="106"/>
      <c r="Z151" s="106"/>
      <c r="AA151" s="106"/>
      <c r="AB151" s="106"/>
      <c r="AC151" s="9"/>
      <c r="AD151" s="106"/>
      <c r="AE151" s="106"/>
      <c r="AF151" s="106"/>
      <c r="AG151" s="106"/>
      <c r="AH151" s="106"/>
      <c r="AI151" s="106"/>
      <c r="AJ151" s="9"/>
      <c r="AK151" s="106"/>
      <c r="AL151" s="106"/>
      <c r="AM151" s="106"/>
      <c r="AN151" s="106"/>
      <c r="AO151" s="106"/>
      <c r="AP151" s="106"/>
      <c r="AQ151" s="9"/>
      <c r="AR151" s="106"/>
      <c r="AS151" s="106"/>
      <c r="AT151" s="106"/>
      <c r="AU151" s="106"/>
      <c r="AV151" s="106"/>
      <c r="AW151" s="106"/>
      <c r="AX151" s="9"/>
    </row>
    <row r="152" spans="1:50" ht="13.05" hidden="1" customHeight="1" x14ac:dyDescent="0.25">
      <c r="A152" t="str">
        <f>Nutrients!B151</f>
        <v>Optiphos 2000</v>
      </c>
      <c r="B152" s="106"/>
      <c r="C152" s="106"/>
      <c r="D152" s="106"/>
      <c r="E152" s="106"/>
      <c r="F152" s="106"/>
      <c r="G152" s="106"/>
      <c r="H152" s="106"/>
      <c r="I152" s="106"/>
      <c r="J152" s="106"/>
      <c r="K152" s="106"/>
      <c r="L152" s="106"/>
      <c r="M152" s="106"/>
      <c r="N152" s="106"/>
      <c r="O152" s="29"/>
      <c r="P152" s="106"/>
      <c r="Q152" s="106"/>
      <c r="R152" s="106"/>
      <c r="S152" s="106"/>
      <c r="T152" s="106"/>
      <c r="U152" s="106"/>
      <c r="V152" s="9"/>
      <c r="W152" s="106"/>
      <c r="X152" s="106"/>
      <c r="Y152" s="106"/>
      <c r="Z152" s="106"/>
      <c r="AA152" s="106"/>
      <c r="AB152" s="106"/>
      <c r="AC152" s="9"/>
      <c r="AD152" s="106"/>
      <c r="AE152" s="106"/>
      <c r="AF152" s="106"/>
      <c r="AG152" s="106"/>
      <c r="AH152" s="106"/>
      <c r="AI152" s="106"/>
      <c r="AJ152" s="9"/>
      <c r="AK152" s="106"/>
      <c r="AL152" s="106"/>
      <c r="AM152" s="106"/>
      <c r="AN152" s="106"/>
      <c r="AO152" s="106"/>
      <c r="AP152" s="106"/>
      <c r="AQ152" s="9"/>
      <c r="AR152" s="106"/>
      <c r="AS152" s="106"/>
      <c r="AT152" s="106"/>
      <c r="AU152" s="106"/>
      <c r="AV152" s="106"/>
      <c r="AW152" s="106"/>
      <c r="AX152" s="9"/>
    </row>
    <row r="153" spans="1:50" ht="13.05" hidden="1" customHeight="1" x14ac:dyDescent="0.25">
      <c r="A153" t="str">
        <f>Nutrients!B152</f>
        <v>Phyzyme 1200</v>
      </c>
      <c r="B153" s="106"/>
      <c r="C153" s="106"/>
      <c r="D153" s="106"/>
      <c r="E153" s="106"/>
      <c r="F153" s="106"/>
      <c r="G153" s="106"/>
      <c r="H153" s="106"/>
      <c r="I153" s="106"/>
      <c r="J153" s="106"/>
      <c r="K153" s="106"/>
      <c r="L153" s="106"/>
      <c r="M153" s="106"/>
      <c r="N153" s="106"/>
      <c r="O153" s="29"/>
      <c r="P153" s="106"/>
      <c r="Q153" s="106"/>
      <c r="R153" s="106"/>
      <c r="S153" s="106"/>
      <c r="T153" s="106"/>
      <c r="U153" s="106"/>
      <c r="V153" s="9"/>
      <c r="W153" s="106"/>
      <c r="X153" s="106"/>
      <c r="Y153" s="106"/>
      <c r="Z153" s="106"/>
      <c r="AA153" s="106"/>
      <c r="AB153" s="106"/>
      <c r="AC153" s="9"/>
      <c r="AD153" s="106"/>
      <c r="AE153" s="106"/>
      <c r="AF153" s="106"/>
      <c r="AG153" s="106"/>
      <c r="AH153" s="106"/>
      <c r="AI153" s="106"/>
      <c r="AJ153" s="9"/>
      <c r="AK153" s="106"/>
      <c r="AL153" s="106"/>
      <c r="AM153" s="106"/>
      <c r="AN153" s="106"/>
      <c r="AO153" s="106"/>
      <c r="AP153" s="106"/>
      <c r="AQ153" s="9"/>
      <c r="AR153" s="106"/>
      <c r="AS153" s="106"/>
      <c r="AT153" s="106"/>
      <c r="AU153" s="106"/>
      <c r="AV153" s="106"/>
      <c r="AW153" s="106"/>
      <c r="AX153" s="9"/>
    </row>
    <row r="154" spans="1:50" ht="13.05" hidden="1" customHeight="1" x14ac:dyDescent="0.25">
      <c r="A154" t="str">
        <f>Nutrients!B153</f>
        <v>Phyzyme 5000</v>
      </c>
      <c r="B154" s="106"/>
      <c r="C154" s="106"/>
      <c r="D154" s="106"/>
      <c r="E154" s="106"/>
      <c r="F154" s="106"/>
      <c r="G154" s="106"/>
      <c r="H154" s="106"/>
      <c r="I154" s="106"/>
      <c r="J154" s="106"/>
      <c r="K154" s="106"/>
      <c r="L154" s="106"/>
      <c r="M154" s="106"/>
      <c r="N154" s="106"/>
      <c r="O154" s="29"/>
      <c r="P154" s="106"/>
      <c r="Q154" s="106"/>
      <c r="R154" s="106"/>
      <c r="S154" s="106"/>
      <c r="T154" s="106"/>
      <c r="U154" s="106"/>
      <c r="V154" s="9"/>
      <c r="W154" s="106"/>
      <c r="X154" s="106"/>
      <c r="Y154" s="106"/>
      <c r="Z154" s="106"/>
      <c r="AA154" s="106"/>
      <c r="AB154" s="106"/>
      <c r="AC154" s="9"/>
      <c r="AD154" s="106"/>
      <c r="AE154" s="106"/>
      <c r="AF154" s="106"/>
      <c r="AG154" s="106"/>
      <c r="AH154" s="106"/>
      <c r="AI154" s="106"/>
      <c r="AJ154" s="9"/>
      <c r="AK154" s="106"/>
      <c r="AL154" s="106"/>
      <c r="AM154" s="106"/>
      <c r="AN154" s="106"/>
      <c r="AO154" s="106"/>
      <c r="AP154" s="106"/>
      <c r="AQ154" s="9"/>
      <c r="AR154" s="106"/>
      <c r="AS154" s="106"/>
      <c r="AT154" s="106"/>
      <c r="AU154" s="106"/>
      <c r="AV154" s="106"/>
      <c r="AW154" s="106"/>
      <c r="AX154" s="9"/>
    </row>
    <row r="155" spans="1:50" ht="13.05" hidden="1" customHeight="1" x14ac:dyDescent="0.25">
      <c r="A155" t="str">
        <f>Nutrients!B154</f>
        <v>Ronozyme Hiphos GT (10,000)</v>
      </c>
      <c r="B155" s="106"/>
      <c r="C155" s="106"/>
      <c r="D155" s="106"/>
      <c r="E155" s="106"/>
      <c r="F155" s="106"/>
      <c r="G155" s="106"/>
      <c r="H155" s="106"/>
      <c r="I155" s="106"/>
      <c r="J155" s="106"/>
      <c r="K155" s="106"/>
      <c r="L155" s="106"/>
      <c r="M155" s="106"/>
      <c r="N155" s="106"/>
      <c r="O155" s="29"/>
      <c r="P155" s="106"/>
      <c r="Q155" s="106"/>
      <c r="R155" s="106"/>
      <c r="S155" s="106"/>
      <c r="T155" s="106"/>
      <c r="U155" s="106"/>
      <c r="V155" s="9"/>
      <c r="W155" s="106"/>
      <c r="X155" s="106"/>
      <c r="Y155" s="106"/>
      <c r="Z155" s="106"/>
      <c r="AA155" s="106"/>
      <c r="AB155" s="106"/>
      <c r="AC155" s="9"/>
      <c r="AD155" s="106"/>
      <c r="AE155" s="106"/>
      <c r="AF155" s="106"/>
      <c r="AG155" s="106"/>
      <c r="AH155" s="106"/>
      <c r="AI155" s="106"/>
      <c r="AJ155" s="9"/>
      <c r="AK155" s="106"/>
      <c r="AL155" s="106"/>
      <c r="AM155" s="106"/>
      <c r="AN155" s="106"/>
      <c r="AO155" s="106"/>
      <c r="AP155" s="106"/>
      <c r="AQ155" s="9"/>
      <c r="AR155" s="106"/>
      <c r="AS155" s="106"/>
      <c r="AT155" s="106"/>
      <c r="AU155" s="106"/>
      <c r="AV155" s="106"/>
      <c r="AW155" s="106"/>
      <c r="AX155" s="9"/>
    </row>
    <row r="156" spans="1:50" ht="13.05" hidden="1" customHeight="1" x14ac:dyDescent="0.25">
      <c r="A156" t="str">
        <f>Nutrients!B155</f>
        <v>Ronozyme Hiphos M (50,000)</v>
      </c>
      <c r="B156" s="106"/>
      <c r="C156" s="106"/>
      <c r="D156" s="106"/>
      <c r="E156" s="106"/>
      <c r="F156" s="106"/>
      <c r="G156" s="106"/>
      <c r="H156" s="106"/>
      <c r="I156" s="106"/>
      <c r="J156" s="106"/>
      <c r="K156" s="106"/>
      <c r="L156" s="106"/>
      <c r="M156" s="106"/>
      <c r="N156" s="106"/>
      <c r="O156" s="29"/>
      <c r="P156" s="106"/>
      <c r="Q156" s="106"/>
      <c r="R156" s="106"/>
      <c r="S156" s="106"/>
      <c r="T156" s="106"/>
      <c r="U156" s="106"/>
      <c r="V156" s="9"/>
      <c r="W156" s="106"/>
      <c r="X156" s="106"/>
      <c r="Y156" s="106"/>
      <c r="Z156" s="106"/>
      <c r="AA156" s="106"/>
      <c r="AB156" s="106"/>
      <c r="AC156" s="9"/>
      <c r="AD156" s="106"/>
      <c r="AE156" s="106"/>
      <c r="AF156" s="106"/>
      <c r="AG156" s="106"/>
      <c r="AH156" s="106"/>
      <c r="AI156" s="106"/>
      <c r="AJ156" s="9"/>
      <c r="AK156" s="106"/>
      <c r="AL156" s="106"/>
      <c r="AM156" s="106"/>
      <c r="AN156" s="106"/>
      <c r="AO156" s="106"/>
      <c r="AP156" s="106"/>
      <c r="AQ156" s="9"/>
      <c r="AR156" s="106"/>
      <c r="AS156" s="106"/>
      <c r="AT156" s="106"/>
      <c r="AU156" s="106"/>
      <c r="AV156" s="106"/>
      <c r="AW156" s="106"/>
      <c r="AX156" s="9"/>
    </row>
    <row r="157" spans="1:50" ht="13.05" customHeight="1" x14ac:dyDescent="0.25">
      <c r="A157" t="str">
        <f>Nutrients!B156</f>
        <v>Ronozyme HiPhos 2700</v>
      </c>
      <c r="B157" s="106">
        <v>0.45</v>
      </c>
      <c r="C157" s="106">
        <v>0.45</v>
      </c>
      <c r="D157" s="106">
        <v>0.45</v>
      </c>
      <c r="E157" s="106">
        <v>0.45</v>
      </c>
      <c r="F157" s="106">
        <v>0.45</v>
      </c>
      <c r="G157" s="106">
        <v>0.45</v>
      </c>
      <c r="H157" s="106"/>
      <c r="I157" s="106">
        <v>0.45</v>
      </c>
      <c r="J157" s="106">
        <v>0.45</v>
      </c>
      <c r="K157" s="106">
        <v>0.45</v>
      </c>
      <c r="L157" s="106">
        <v>0.45</v>
      </c>
      <c r="M157" s="106">
        <v>0.45</v>
      </c>
      <c r="N157" s="106">
        <v>0.45</v>
      </c>
      <c r="O157" s="29"/>
      <c r="P157" s="106">
        <v>0.45</v>
      </c>
      <c r="Q157" s="106">
        <v>0.45</v>
      </c>
      <c r="R157" s="106">
        <v>0.45</v>
      </c>
      <c r="S157" s="106">
        <v>0.45</v>
      </c>
      <c r="T157" s="106">
        <v>0.45</v>
      </c>
      <c r="U157" s="106">
        <v>0.45</v>
      </c>
      <c r="V157" s="9"/>
      <c r="W157" s="106">
        <v>0.45</v>
      </c>
      <c r="X157" s="106">
        <v>0.45</v>
      </c>
      <c r="Y157" s="106">
        <v>0.45</v>
      </c>
      <c r="Z157" s="106">
        <v>0.45</v>
      </c>
      <c r="AA157" s="106">
        <v>0.45</v>
      </c>
      <c r="AB157" s="106">
        <v>0.45</v>
      </c>
      <c r="AC157" s="9"/>
      <c r="AD157" s="106">
        <v>0.45</v>
      </c>
      <c r="AE157" s="106">
        <v>0.45</v>
      </c>
      <c r="AF157" s="106">
        <v>0.45</v>
      </c>
      <c r="AG157" s="106">
        <v>0.45</v>
      </c>
      <c r="AH157" s="106">
        <v>0.45</v>
      </c>
      <c r="AI157" s="106">
        <v>0.45</v>
      </c>
      <c r="AJ157" s="9"/>
      <c r="AK157" s="106">
        <v>0.45</v>
      </c>
      <c r="AL157" s="106">
        <v>0.45</v>
      </c>
      <c r="AM157" s="106">
        <v>0.45</v>
      </c>
      <c r="AN157" s="106">
        <v>0.45</v>
      </c>
      <c r="AO157" s="106">
        <v>0.45</v>
      </c>
      <c r="AP157" s="106">
        <v>0.45</v>
      </c>
      <c r="AQ157" s="9"/>
      <c r="AR157" s="106">
        <v>0.45</v>
      </c>
      <c r="AS157" s="106">
        <v>0.45</v>
      </c>
      <c r="AT157" s="106">
        <v>0.45</v>
      </c>
      <c r="AU157" s="106">
        <v>0.45</v>
      </c>
      <c r="AV157" s="106">
        <v>0.45</v>
      </c>
      <c r="AW157" s="106">
        <v>0.45</v>
      </c>
      <c r="AX157" s="9"/>
    </row>
    <row r="158" spans="1:50" ht="13.05" hidden="1" customHeight="1" x14ac:dyDescent="0.25">
      <c r="A158" t="str">
        <f>Nutrients!B157</f>
        <v>Zinc oxide</v>
      </c>
      <c r="B158" s="106"/>
      <c r="C158" s="106"/>
      <c r="D158" s="106"/>
      <c r="E158" s="106"/>
      <c r="F158" s="106"/>
      <c r="G158" s="106"/>
      <c r="H158" s="106"/>
      <c r="I158" s="106"/>
      <c r="J158" s="106"/>
      <c r="K158" s="106"/>
      <c r="L158" s="106"/>
      <c r="M158" s="106"/>
      <c r="N158" s="106"/>
      <c r="O158" s="29"/>
      <c r="P158" s="106"/>
      <c r="Q158" s="106"/>
      <c r="R158" s="106"/>
      <c r="S158" s="106"/>
      <c r="T158" s="106"/>
      <c r="U158" s="106"/>
      <c r="V158" s="9"/>
      <c r="W158" s="106"/>
      <c r="X158" s="106"/>
      <c r="Y158" s="106"/>
      <c r="Z158" s="106"/>
      <c r="AA158" s="106"/>
      <c r="AB158" s="106"/>
      <c r="AC158" s="9"/>
      <c r="AD158" s="106"/>
      <c r="AE158" s="106"/>
      <c r="AF158" s="106"/>
      <c r="AG158" s="106"/>
      <c r="AH158" s="106"/>
      <c r="AI158" s="106"/>
      <c r="AJ158" s="9"/>
      <c r="AK158" s="106"/>
      <c r="AL158" s="106"/>
      <c r="AM158" s="106"/>
      <c r="AN158" s="106"/>
      <c r="AO158" s="106"/>
      <c r="AP158" s="106"/>
      <c r="AQ158" s="9"/>
      <c r="AR158" s="106"/>
      <c r="AS158" s="106"/>
      <c r="AT158" s="106"/>
      <c r="AU158" s="106"/>
      <c r="AV158" s="106"/>
      <c r="AW158" s="106"/>
      <c r="AX158" s="9"/>
    </row>
    <row r="159" spans="1:50" ht="13.05" hidden="1" customHeight="1" thickBot="1" x14ac:dyDescent="0.3">
      <c r="A159" t="str">
        <f>Nutrients!B158</f>
        <v>Copper sulfate</v>
      </c>
      <c r="B159" s="106"/>
      <c r="C159" s="106"/>
      <c r="D159" s="106"/>
      <c r="E159" s="106"/>
      <c r="F159" s="106"/>
      <c r="G159" s="106"/>
      <c r="H159" s="106"/>
      <c r="I159" s="106"/>
      <c r="J159" s="106"/>
      <c r="K159" s="106"/>
      <c r="L159" s="106"/>
      <c r="M159" s="106"/>
      <c r="N159" s="106"/>
      <c r="O159" s="29"/>
      <c r="P159" s="106"/>
      <c r="Q159" s="106"/>
      <c r="R159" s="106"/>
      <c r="S159" s="106"/>
      <c r="T159" s="106"/>
      <c r="U159" s="106"/>
      <c r="V159" s="9"/>
      <c r="W159" s="106"/>
      <c r="X159" s="106"/>
      <c r="Y159" s="106"/>
      <c r="Z159" s="106"/>
      <c r="AA159" s="106"/>
      <c r="AB159" s="106"/>
      <c r="AC159" s="9"/>
      <c r="AD159" s="106"/>
      <c r="AE159" s="106"/>
      <c r="AF159" s="106"/>
      <c r="AG159" s="106"/>
      <c r="AH159" s="106"/>
      <c r="AI159" s="106"/>
      <c r="AJ159" s="9"/>
      <c r="AK159" s="106"/>
      <c r="AL159" s="106"/>
      <c r="AM159" s="106"/>
      <c r="AN159" s="106"/>
      <c r="AO159" s="106"/>
      <c r="AP159" s="106"/>
      <c r="AQ159" s="9"/>
      <c r="AR159" s="106"/>
      <c r="AS159" s="106"/>
      <c r="AT159" s="106"/>
      <c r="AU159" s="106"/>
      <c r="AV159" s="106"/>
      <c r="AW159" s="106"/>
      <c r="AX159" s="9"/>
    </row>
    <row r="160" spans="1:50" ht="13.05" hidden="1" customHeight="1" thickBot="1" x14ac:dyDescent="0.3">
      <c r="A160" t="str">
        <f>Nutrients!B159</f>
        <v>Potassium chloride</v>
      </c>
      <c r="B160" s="106"/>
      <c r="C160" s="106"/>
      <c r="D160" s="106"/>
      <c r="E160" s="106"/>
      <c r="F160" s="106"/>
      <c r="G160" s="106"/>
      <c r="H160" s="106"/>
      <c r="I160" s="106"/>
      <c r="J160" s="106"/>
      <c r="K160" s="106"/>
      <c r="L160" s="106"/>
      <c r="M160" s="106"/>
      <c r="N160" s="106"/>
      <c r="O160" s="29"/>
      <c r="P160" s="106"/>
      <c r="Q160" s="106"/>
      <c r="R160" s="106"/>
      <c r="S160" s="106"/>
      <c r="T160" s="106"/>
      <c r="U160" s="106"/>
      <c r="V160" s="9"/>
      <c r="W160" s="106"/>
      <c r="X160" s="106"/>
      <c r="Y160" s="106"/>
      <c r="Z160" s="106"/>
      <c r="AA160" s="106"/>
      <c r="AB160" s="106"/>
      <c r="AC160" s="9"/>
      <c r="AD160" s="106"/>
      <c r="AE160" s="106"/>
      <c r="AF160" s="106"/>
      <c r="AG160" s="106"/>
      <c r="AH160" s="106"/>
      <c r="AI160" s="106"/>
      <c r="AJ160" s="9"/>
      <c r="AK160" s="106"/>
      <c r="AL160" s="106"/>
      <c r="AM160" s="106"/>
      <c r="AN160" s="106"/>
      <c r="AO160" s="106"/>
      <c r="AP160" s="106"/>
      <c r="AQ160" s="9"/>
      <c r="AR160" s="106"/>
      <c r="AS160" s="106"/>
      <c r="AT160" s="106"/>
      <c r="AU160" s="106"/>
      <c r="AV160" s="106"/>
      <c r="AW160" s="106"/>
      <c r="AX160" s="9"/>
    </row>
    <row r="161" spans="1:50" ht="13.05" hidden="1" customHeight="1" thickBot="1" x14ac:dyDescent="0.3">
      <c r="A161" t="str">
        <f>Nutrients!B160</f>
        <v>Calcium chloride</v>
      </c>
      <c r="B161" s="106"/>
      <c r="C161" s="106"/>
      <c r="D161" s="106"/>
      <c r="E161" s="106"/>
      <c r="F161" s="106"/>
      <c r="G161" s="106"/>
      <c r="H161" s="106"/>
      <c r="I161" s="106"/>
      <c r="J161" s="106"/>
      <c r="K161" s="106"/>
      <c r="L161" s="106"/>
      <c r="M161" s="106"/>
      <c r="N161" s="106"/>
      <c r="O161" s="29"/>
      <c r="P161" s="106"/>
      <c r="Q161" s="106"/>
      <c r="R161" s="106"/>
      <c r="S161" s="106"/>
      <c r="T161" s="106"/>
      <c r="U161" s="106"/>
      <c r="V161" s="9"/>
      <c r="W161" s="106"/>
      <c r="X161" s="106"/>
      <c r="Y161" s="106"/>
      <c r="Z161" s="106"/>
      <c r="AA161" s="106"/>
      <c r="AB161" s="106"/>
      <c r="AC161" s="9"/>
      <c r="AD161" s="106"/>
      <c r="AE161" s="106"/>
      <c r="AF161" s="106"/>
      <c r="AG161" s="106"/>
      <c r="AH161" s="106"/>
      <c r="AI161" s="106"/>
      <c r="AJ161" s="9"/>
      <c r="AK161" s="106"/>
      <c r="AL161" s="106"/>
      <c r="AM161" s="106"/>
      <c r="AN161" s="106"/>
      <c r="AO161" s="106"/>
      <c r="AP161" s="106"/>
      <c r="AQ161" s="9"/>
      <c r="AR161" s="106"/>
      <c r="AS161" s="106"/>
      <c r="AT161" s="106"/>
      <c r="AU161" s="106"/>
      <c r="AV161" s="106"/>
      <c r="AW161" s="106"/>
      <c r="AX161" s="9"/>
    </row>
    <row r="162" spans="1:50" ht="13.05" hidden="1" customHeight="1" thickBot="1" x14ac:dyDescent="0.3">
      <c r="A162" t="str">
        <f>Nutrients!B161</f>
        <v>Acidifier</v>
      </c>
      <c r="B162" s="106"/>
      <c r="C162" s="106"/>
      <c r="D162" s="106"/>
      <c r="E162" s="106"/>
      <c r="F162" s="106"/>
      <c r="G162" s="106"/>
      <c r="H162" s="106"/>
      <c r="I162" s="106"/>
      <c r="J162" s="106"/>
      <c r="K162" s="106"/>
      <c r="L162" s="106"/>
      <c r="M162" s="106"/>
      <c r="N162" s="106"/>
      <c r="O162" s="29"/>
      <c r="P162" s="106"/>
      <c r="Q162" s="106"/>
      <c r="R162" s="106"/>
      <c r="S162" s="106"/>
      <c r="T162" s="106"/>
      <c r="U162" s="106"/>
      <c r="V162" s="9"/>
      <c r="W162" s="106"/>
      <c r="X162" s="106"/>
      <c r="Y162" s="106"/>
      <c r="Z162" s="106"/>
      <c r="AA162" s="106"/>
      <c r="AB162" s="106"/>
      <c r="AC162" s="9"/>
      <c r="AD162" s="106"/>
      <c r="AE162" s="106"/>
      <c r="AF162" s="106"/>
      <c r="AG162" s="106"/>
      <c r="AH162" s="106"/>
      <c r="AI162" s="106"/>
      <c r="AJ162" s="9"/>
      <c r="AK162" s="106"/>
      <c r="AL162" s="106"/>
      <c r="AM162" s="106"/>
      <c r="AN162" s="106"/>
      <c r="AO162" s="106"/>
      <c r="AP162" s="106"/>
      <c r="AQ162" s="9"/>
      <c r="AR162" s="106"/>
      <c r="AS162" s="106"/>
      <c r="AT162" s="106"/>
      <c r="AU162" s="106"/>
      <c r="AV162" s="106"/>
      <c r="AW162" s="106"/>
      <c r="AX162" s="9"/>
    </row>
    <row r="163" spans="1:50" ht="13.05" hidden="1" customHeight="1" thickBot="1" x14ac:dyDescent="0.3">
      <c r="A163" t="str">
        <f>Nutrients!B162</f>
        <v>Vitamin E, 20,000 IU</v>
      </c>
      <c r="B163" s="106"/>
      <c r="C163" s="106"/>
      <c r="D163" s="106"/>
      <c r="E163" s="106"/>
      <c r="F163" s="106"/>
      <c r="G163" s="106"/>
      <c r="H163" s="106"/>
      <c r="I163" s="106"/>
      <c r="J163" s="106"/>
      <c r="K163" s="106"/>
      <c r="L163" s="106"/>
      <c r="M163" s="106"/>
      <c r="N163" s="106"/>
      <c r="O163" s="29"/>
      <c r="P163" s="106"/>
      <c r="Q163" s="106"/>
      <c r="R163" s="106"/>
      <c r="S163" s="106"/>
      <c r="T163" s="106"/>
      <c r="U163" s="106"/>
      <c r="V163" s="9"/>
      <c r="W163" s="106"/>
      <c r="X163" s="106"/>
      <c r="Y163" s="106"/>
      <c r="Z163" s="106"/>
      <c r="AA163" s="106"/>
      <c r="AB163" s="106"/>
      <c r="AC163" s="9"/>
      <c r="AD163" s="106"/>
      <c r="AE163" s="106"/>
      <c r="AF163" s="106"/>
      <c r="AG163" s="106"/>
      <c r="AH163" s="106"/>
      <c r="AI163" s="106"/>
      <c r="AJ163" s="9"/>
      <c r="AK163" s="106"/>
      <c r="AL163" s="106"/>
      <c r="AM163" s="106"/>
      <c r="AN163" s="106"/>
      <c r="AO163" s="106"/>
      <c r="AP163" s="106"/>
      <c r="AQ163" s="9"/>
      <c r="AR163" s="106"/>
      <c r="AS163" s="106"/>
      <c r="AT163" s="106"/>
      <c r="AU163" s="106"/>
      <c r="AV163" s="106"/>
      <c r="AW163" s="106"/>
      <c r="AX163" s="9"/>
    </row>
    <row r="164" spans="1:50" ht="13.05" hidden="1" customHeight="1" thickBot="1" x14ac:dyDescent="0.3">
      <c r="A164" t="str">
        <f>Nutrients!B163</f>
        <v>Other ingredient</v>
      </c>
      <c r="B164" s="106"/>
      <c r="C164" s="106"/>
      <c r="D164" s="106"/>
      <c r="E164" s="106"/>
      <c r="F164" s="106"/>
      <c r="G164" s="106"/>
      <c r="H164" s="106"/>
      <c r="I164" s="106"/>
      <c r="J164" s="106"/>
      <c r="K164" s="106"/>
      <c r="L164" s="106"/>
      <c r="M164" s="106"/>
      <c r="N164" s="106"/>
      <c r="O164" s="29"/>
      <c r="P164" s="106"/>
      <c r="Q164" s="106"/>
      <c r="R164" s="106"/>
      <c r="S164" s="106"/>
      <c r="T164" s="106"/>
      <c r="U164" s="106"/>
      <c r="V164" s="9"/>
      <c r="W164" s="106"/>
      <c r="X164" s="106"/>
      <c r="Y164" s="106"/>
      <c r="Z164" s="106"/>
      <c r="AA164" s="106"/>
      <c r="AB164" s="106"/>
      <c r="AC164" s="9"/>
      <c r="AD164" s="106"/>
      <c r="AE164" s="106"/>
      <c r="AF164" s="106"/>
      <c r="AG164" s="106"/>
      <c r="AH164" s="106"/>
      <c r="AI164" s="106"/>
      <c r="AJ164" s="9"/>
      <c r="AK164" s="106"/>
      <c r="AL164" s="106"/>
      <c r="AM164" s="106"/>
      <c r="AN164" s="106"/>
      <c r="AO164" s="106"/>
      <c r="AP164" s="106"/>
      <c r="AQ164" s="9"/>
      <c r="AR164" s="106"/>
      <c r="AS164" s="106"/>
      <c r="AT164" s="106"/>
      <c r="AU164" s="106"/>
      <c r="AV164" s="106"/>
      <c r="AW164" s="106"/>
      <c r="AX164" s="9"/>
    </row>
    <row r="165" spans="1:50" ht="13.05" hidden="1" customHeight="1" thickBot="1" x14ac:dyDescent="0.3">
      <c r="A165" t="str">
        <f>Nutrients!B164</f>
        <v>DPS 50</v>
      </c>
      <c r="B165" s="106"/>
      <c r="C165" s="106"/>
      <c r="D165" s="106"/>
      <c r="E165" s="106"/>
      <c r="F165" s="106"/>
      <c r="G165" s="106"/>
      <c r="H165" s="106"/>
      <c r="I165" s="106"/>
      <c r="J165" s="106"/>
      <c r="K165" s="106"/>
      <c r="L165" s="106"/>
      <c r="M165" s="106"/>
      <c r="N165" s="106"/>
      <c r="O165" s="29"/>
      <c r="P165" s="106"/>
      <c r="Q165" s="106"/>
      <c r="R165" s="106"/>
      <c r="S165" s="106"/>
      <c r="T165" s="106"/>
      <c r="U165" s="106"/>
      <c r="V165" s="9"/>
      <c r="W165" s="106"/>
      <c r="X165" s="106"/>
      <c r="Y165" s="106"/>
      <c r="Z165" s="106"/>
      <c r="AA165" s="106"/>
      <c r="AB165" s="106"/>
      <c r="AC165" s="9"/>
      <c r="AD165" s="106"/>
      <c r="AE165" s="106"/>
      <c r="AF165" s="106"/>
      <c r="AG165" s="106"/>
      <c r="AH165" s="106"/>
      <c r="AI165" s="106"/>
      <c r="AJ165" s="9"/>
      <c r="AK165" s="106"/>
      <c r="AL165" s="106"/>
      <c r="AM165" s="106"/>
      <c r="AN165" s="106"/>
      <c r="AO165" s="106"/>
      <c r="AP165" s="106"/>
      <c r="AQ165" s="9"/>
      <c r="AR165" s="106"/>
      <c r="AS165" s="106"/>
      <c r="AT165" s="106"/>
      <c r="AU165" s="106"/>
      <c r="AV165" s="106"/>
      <c r="AW165" s="106"/>
      <c r="AX165" s="9"/>
    </row>
    <row r="166" spans="1:50" ht="13.05" hidden="1" customHeight="1" thickBot="1" x14ac:dyDescent="0.3">
      <c r="A166" t="str">
        <f>Nutrients!B165</f>
        <v>PEP2+</v>
      </c>
      <c r="B166" s="106"/>
      <c r="C166" s="106"/>
      <c r="D166" s="106"/>
      <c r="E166" s="106"/>
      <c r="F166" s="106"/>
      <c r="G166" s="106"/>
      <c r="H166" s="106"/>
      <c r="I166" s="106"/>
      <c r="J166" s="106"/>
      <c r="K166" s="106"/>
      <c r="L166" s="106"/>
      <c r="M166" s="106"/>
      <c r="N166" s="106"/>
      <c r="O166" s="29"/>
      <c r="P166" s="106"/>
      <c r="Q166" s="106"/>
      <c r="R166" s="106"/>
      <c r="S166" s="106"/>
      <c r="T166" s="106"/>
      <c r="U166" s="106"/>
      <c r="V166" s="9"/>
      <c r="W166" s="106"/>
      <c r="X166" s="106"/>
      <c r="Y166" s="106"/>
      <c r="Z166" s="106"/>
      <c r="AA166" s="106"/>
      <c r="AB166" s="106"/>
      <c r="AC166" s="9"/>
      <c r="AD166" s="106"/>
      <c r="AE166" s="106"/>
      <c r="AF166" s="106"/>
      <c r="AG166" s="106"/>
      <c r="AH166" s="106"/>
      <c r="AI166" s="106"/>
      <c r="AJ166" s="9"/>
      <c r="AK166" s="106"/>
      <c r="AL166" s="106"/>
      <c r="AM166" s="106"/>
      <c r="AN166" s="106"/>
      <c r="AO166" s="106"/>
      <c r="AP166" s="106"/>
      <c r="AQ166" s="9"/>
      <c r="AR166" s="106"/>
      <c r="AS166" s="106"/>
      <c r="AT166" s="106"/>
      <c r="AU166" s="106"/>
      <c r="AV166" s="106"/>
      <c r="AW166" s="106"/>
      <c r="AX166" s="9"/>
    </row>
    <row r="167" spans="1:50" ht="13.05" hidden="1" customHeight="1" thickBot="1" x14ac:dyDescent="0.3">
      <c r="A167" t="str">
        <f>Nutrients!B166</f>
        <v>PEP NS</v>
      </c>
      <c r="B167" s="106"/>
      <c r="C167" s="106"/>
      <c r="D167" s="106"/>
      <c r="E167" s="106"/>
      <c r="F167" s="106"/>
      <c r="G167" s="106"/>
      <c r="H167" s="106"/>
      <c r="I167" s="106"/>
      <c r="J167" s="106"/>
      <c r="K167" s="106"/>
      <c r="L167" s="106"/>
      <c r="M167" s="106"/>
      <c r="N167" s="106"/>
      <c r="O167" s="29"/>
      <c r="P167" s="106"/>
      <c r="Q167" s="106"/>
      <c r="R167" s="106"/>
      <c r="S167" s="106"/>
      <c r="T167" s="106"/>
      <c r="U167" s="106"/>
      <c r="V167" s="9"/>
      <c r="W167" s="106"/>
      <c r="X167" s="106"/>
      <c r="Y167" s="106"/>
      <c r="Z167" s="106"/>
      <c r="AA167" s="106"/>
      <c r="AB167" s="106"/>
      <c r="AC167" s="9"/>
      <c r="AD167" s="106"/>
      <c r="AE167" s="106"/>
      <c r="AF167" s="106"/>
      <c r="AG167" s="106"/>
      <c r="AH167" s="106"/>
      <c r="AI167" s="106"/>
      <c r="AJ167" s="9"/>
      <c r="AK167" s="106"/>
      <c r="AL167" s="106"/>
      <c r="AM167" s="106"/>
      <c r="AN167" s="106"/>
      <c r="AO167" s="106"/>
      <c r="AP167" s="106"/>
      <c r="AQ167" s="9"/>
      <c r="AR167" s="106"/>
      <c r="AS167" s="106"/>
      <c r="AT167" s="106"/>
      <c r="AU167" s="106"/>
      <c r="AV167" s="106"/>
      <c r="AW167" s="106"/>
      <c r="AX167" s="9"/>
    </row>
    <row r="168" spans="1:50" ht="13.05" hidden="1" customHeight="1" thickBot="1" x14ac:dyDescent="0.3">
      <c r="A168" t="str">
        <f>Nutrients!B167</f>
        <v>Vitamin premix (2x) with phytase</v>
      </c>
      <c r="B168" s="106"/>
      <c r="C168" s="106"/>
      <c r="D168" s="106"/>
      <c r="E168" s="106"/>
      <c r="F168" s="106"/>
      <c r="G168" s="106"/>
      <c r="H168" s="106"/>
      <c r="I168" s="106"/>
      <c r="J168" s="106"/>
      <c r="K168" s="106"/>
      <c r="L168" s="106"/>
      <c r="M168" s="106"/>
      <c r="N168" s="106"/>
      <c r="O168" s="29"/>
      <c r="P168" s="106"/>
      <c r="Q168" s="106"/>
      <c r="R168" s="106"/>
      <c r="S168" s="106"/>
      <c r="T168" s="106"/>
      <c r="U168" s="106"/>
      <c r="V168" s="9"/>
      <c r="W168" s="106"/>
      <c r="X168" s="106"/>
      <c r="Y168" s="106"/>
      <c r="Z168" s="106"/>
      <c r="AA168" s="106"/>
      <c r="AB168" s="106"/>
      <c r="AC168" s="9"/>
      <c r="AD168" s="106"/>
      <c r="AE168" s="106"/>
      <c r="AF168" s="106"/>
      <c r="AG168" s="106"/>
      <c r="AH168" s="106"/>
      <c r="AI168" s="106"/>
      <c r="AJ168" s="9"/>
      <c r="AK168" s="106"/>
      <c r="AL168" s="106"/>
      <c r="AM168" s="106"/>
      <c r="AN168" s="106"/>
      <c r="AO168" s="106"/>
      <c r="AP168" s="106"/>
      <c r="AQ168" s="9"/>
      <c r="AR168" s="106"/>
      <c r="AS168" s="106"/>
      <c r="AT168" s="106"/>
      <c r="AU168" s="106"/>
      <c r="AV168" s="106"/>
      <c r="AW168" s="106"/>
      <c r="AX168" s="9"/>
    </row>
    <row r="169" spans="1:50" ht="13.05" hidden="1" customHeight="1" thickBot="1" x14ac:dyDescent="0.3">
      <c r="A169" t="str">
        <f>Nutrients!B168</f>
        <v>Vitamin premix (2x) without phytase</v>
      </c>
      <c r="B169" s="106"/>
      <c r="C169" s="106"/>
      <c r="D169" s="106"/>
      <c r="E169" s="106"/>
      <c r="F169" s="106"/>
      <c r="G169" s="106"/>
      <c r="H169" s="106"/>
      <c r="I169" s="106"/>
      <c r="J169" s="106"/>
      <c r="K169" s="106"/>
      <c r="L169" s="106"/>
      <c r="M169" s="106"/>
      <c r="N169" s="106"/>
      <c r="O169" s="29"/>
      <c r="P169" s="106"/>
      <c r="Q169" s="106"/>
      <c r="R169" s="106"/>
      <c r="S169" s="106"/>
      <c r="T169" s="106"/>
      <c r="U169" s="106"/>
      <c r="V169" s="9"/>
      <c r="W169" s="106"/>
      <c r="X169" s="106"/>
      <c r="Y169" s="106"/>
      <c r="Z169" s="106"/>
      <c r="AA169" s="106"/>
      <c r="AB169" s="106"/>
      <c r="AC169" s="9"/>
      <c r="AD169" s="106"/>
      <c r="AE169" s="106"/>
      <c r="AF169" s="106"/>
      <c r="AG169" s="106"/>
      <c r="AH169" s="106"/>
      <c r="AI169" s="106"/>
      <c r="AJ169" s="9"/>
      <c r="AK169" s="106"/>
      <c r="AL169" s="106"/>
      <c r="AM169" s="106"/>
      <c r="AN169" s="106"/>
      <c r="AO169" s="106"/>
      <c r="AP169" s="106"/>
      <c r="AQ169" s="9"/>
      <c r="AR169" s="106"/>
      <c r="AS169" s="106"/>
      <c r="AT169" s="106"/>
      <c r="AU169" s="106"/>
      <c r="AV169" s="106"/>
      <c r="AW169" s="106"/>
      <c r="AX169" s="9"/>
    </row>
    <row r="170" spans="1:50" hidden="1" x14ac:dyDescent="0.25">
      <c r="A170" t="str">
        <f>Nutrients!B169</f>
        <v>Corn DDGS, 10.5% Oil</v>
      </c>
      <c r="B170" s="106"/>
      <c r="C170" s="106"/>
      <c r="D170" s="106"/>
      <c r="E170" s="106"/>
      <c r="F170" s="106"/>
      <c r="G170" s="106"/>
      <c r="H170" s="106"/>
      <c r="I170" s="106"/>
      <c r="J170" s="106"/>
      <c r="K170" s="106"/>
      <c r="L170" s="106"/>
      <c r="M170" s="106"/>
      <c r="N170" s="106"/>
      <c r="O170" s="29"/>
      <c r="P170" s="106"/>
      <c r="Q170" s="106"/>
      <c r="R170" s="106"/>
      <c r="S170" s="106"/>
      <c r="T170" s="106"/>
      <c r="U170" s="106"/>
      <c r="V170" s="9"/>
      <c r="W170" s="106"/>
      <c r="X170" s="106"/>
      <c r="Y170" s="106"/>
      <c r="Z170" s="106"/>
      <c r="AA170" s="106"/>
      <c r="AB170" s="106"/>
      <c r="AC170" s="9"/>
      <c r="AD170" s="106"/>
      <c r="AE170" s="106"/>
      <c r="AF170" s="106"/>
      <c r="AG170" s="106"/>
      <c r="AH170" s="106"/>
      <c r="AI170" s="106"/>
      <c r="AJ170" s="9"/>
      <c r="AK170" s="106"/>
      <c r="AL170" s="106"/>
      <c r="AM170" s="106"/>
      <c r="AN170" s="106"/>
      <c r="AO170" s="106"/>
      <c r="AP170" s="106"/>
      <c r="AQ170" s="9"/>
      <c r="AR170" s="106"/>
      <c r="AS170" s="106"/>
      <c r="AT170" s="106"/>
      <c r="AU170" s="106"/>
      <c r="AV170" s="106"/>
      <c r="AW170" s="106"/>
      <c r="AX170" s="9"/>
    </row>
    <row r="171" spans="1:50" hidden="1" x14ac:dyDescent="0.25">
      <c r="A171" t="str">
        <f>Nutrients!B170</f>
        <v>Corn DDGS, 7.5% Oil</v>
      </c>
      <c r="B171" s="106"/>
      <c r="C171" s="106"/>
      <c r="D171" s="106"/>
      <c r="E171" s="106"/>
      <c r="F171" s="106"/>
      <c r="G171" s="106"/>
      <c r="H171" s="106"/>
      <c r="I171" s="106"/>
      <c r="J171" s="106"/>
      <c r="K171" s="106"/>
      <c r="L171" s="106"/>
      <c r="M171" s="106"/>
      <c r="N171" s="106"/>
      <c r="O171" s="29"/>
      <c r="P171" s="106"/>
      <c r="Q171" s="106"/>
      <c r="R171" s="106"/>
      <c r="S171" s="106"/>
      <c r="T171" s="106"/>
      <c r="U171" s="106"/>
      <c r="V171" s="9"/>
      <c r="W171" s="106"/>
      <c r="X171" s="106"/>
      <c r="Y171" s="106"/>
      <c r="Z171" s="106"/>
      <c r="AA171" s="106"/>
      <c r="AB171" s="106"/>
      <c r="AC171" s="9"/>
      <c r="AD171" s="106"/>
      <c r="AE171" s="106"/>
      <c r="AF171" s="106"/>
      <c r="AG171" s="106"/>
      <c r="AH171" s="106"/>
      <c r="AI171" s="106"/>
      <c r="AJ171" s="9"/>
      <c r="AK171" s="106"/>
      <c r="AL171" s="106"/>
      <c r="AM171" s="106"/>
      <c r="AN171" s="106"/>
      <c r="AO171" s="106"/>
      <c r="AP171" s="106"/>
      <c r="AQ171" s="9"/>
      <c r="AR171" s="106"/>
      <c r="AS171" s="106"/>
      <c r="AT171" s="106"/>
      <c r="AU171" s="106"/>
      <c r="AV171" s="106"/>
      <c r="AW171" s="106"/>
      <c r="AX171" s="9"/>
    </row>
    <row r="172" spans="1:50" ht="12.75" hidden="1" customHeight="1" thickBot="1" x14ac:dyDescent="0.3">
      <c r="A172" t="str">
        <f>Nutrients!B171</f>
        <v>Corn DDGS, 4.5% Oil</v>
      </c>
      <c r="B172" s="106"/>
      <c r="C172" s="106"/>
      <c r="D172" s="106"/>
      <c r="E172" s="106"/>
      <c r="F172" s="106"/>
      <c r="G172" s="106"/>
      <c r="H172" s="106"/>
      <c r="I172" s="106"/>
      <c r="J172" s="106"/>
      <c r="K172" s="106"/>
      <c r="L172" s="106"/>
      <c r="M172" s="106"/>
      <c r="N172" s="106"/>
      <c r="O172" s="29"/>
      <c r="P172" s="106"/>
      <c r="Q172" s="106"/>
      <c r="R172" s="106"/>
      <c r="S172" s="106"/>
      <c r="T172" s="106"/>
      <c r="U172" s="106"/>
      <c r="V172" s="9"/>
      <c r="W172" s="106"/>
      <c r="X172" s="106"/>
      <c r="Y172" s="106"/>
      <c r="Z172" s="106"/>
      <c r="AA172" s="106"/>
      <c r="AB172" s="106"/>
      <c r="AC172" s="9"/>
      <c r="AD172" s="106"/>
      <c r="AE172" s="106"/>
      <c r="AF172" s="106"/>
      <c r="AG172" s="106"/>
      <c r="AH172" s="106"/>
      <c r="AI172" s="106"/>
      <c r="AJ172" s="9"/>
      <c r="AK172" s="106"/>
      <c r="AL172" s="106"/>
      <c r="AM172" s="106"/>
      <c r="AN172" s="106"/>
      <c r="AO172" s="106"/>
      <c r="AP172" s="106"/>
      <c r="AQ172" s="9"/>
      <c r="AR172" s="106"/>
      <c r="AS172" s="106"/>
      <c r="AT172" s="106"/>
      <c r="AU172" s="106"/>
      <c r="AV172" s="106"/>
      <c r="AW172" s="106"/>
      <c r="AX172" s="9"/>
    </row>
    <row r="173" spans="1:50" ht="13.05" hidden="1" customHeight="1" thickBot="1" x14ac:dyDescent="0.3">
      <c r="A173" t="str">
        <f>Nutrients!B172</f>
        <v>MEPRO Hubbard</v>
      </c>
      <c r="B173" s="106"/>
      <c r="C173" s="106"/>
      <c r="D173" s="106"/>
      <c r="E173" s="106"/>
      <c r="F173" s="106"/>
      <c r="G173" s="106"/>
      <c r="H173" s="106"/>
      <c r="I173" s="106"/>
      <c r="J173" s="106"/>
      <c r="K173" s="106"/>
      <c r="L173" s="106"/>
      <c r="M173" s="106"/>
      <c r="N173" s="106"/>
      <c r="O173" s="29"/>
      <c r="P173" s="106"/>
      <c r="Q173" s="106"/>
      <c r="R173" s="106"/>
      <c r="S173" s="106"/>
      <c r="T173" s="106"/>
      <c r="U173" s="106"/>
      <c r="V173" s="9"/>
      <c r="W173" s="106"/>
      <c r="X173" s="106"/>
      <c r="Y173" s="106"/>
      <c r="Z173" s="106"/>
      <c r="AA173" s="106"/>
      <c r="AB173" s="106"/>
      <c r="AC173" s="9"/>
      <c r="AD173" s="106"/>
      <c r="AE173" s="106"/>
      <c r="AF173" s="106"/>
      <c r="AG173" s="106"/>
      <c r="AH173" s="106"/>
      <c r="AI173" s="106"/>
      <c r="AJ173" s="9"/>
      <c r="AK173" s="106"/>
      <c r="AL173" s="106"/>
      <c r="AM173" s="106"/>
      <c r="AN173" s="106"/>
      <c r="AO173" s="106"/>
      <c r="AP173" s="106"/>
      <c r="AQ173" s="9"/>
      <c r="AR173" s="106"/>
      <c r="AS173" s="106"/>
      <c r="AT173" s="106"/>
      <c r="AU173" s="106"/>
      <c r="AV173" s="106"/>
      <c r="AW173" s="106"/>
      <c r="AX173" s="9"/>
    </row>
    <row r="174" spans="1:50" ht="13.05" hidden="1" customHeight="1" thickBot="1" x14ac:dyDescent="0.3">
      <c r="A174" t="str">
        <f>Nutrients!B173</f>
        <v>HP 300 Apr 2022 loadings</v>
      </c>
      <c r="B174" s="106"/>
      <c r="C174" s="106"/>
      <c r="D174" s="106"/>
      <c r="E174" s="106"/>
      <c r="F174" s="106"/>
      <c r="G174" s="106"/>
      <c r="H174" s="106"/>
      <c r="I174" s="106"/>
      <c r="J174" s="106"/>
      <c r="K174" s="106"/>
      <c r="L174" s="106"/>
      <c r="M174" s="106"/>
      <c r="N174" s="106"/>
      <c r="O174" s="29"/>
      <c r="P174" s="106"/>
      <c r="Q174" s="106"/>
      <c r="R174" s="106"/>
      <c r="S174" s="106"/>
      <c r="T174" s="106"/>
      <c r="U174" s="106"/>
      <c r="V174" s="9"/>
      <c r="W174" s="106"/>
      <c r="X174" s="106"/>
      <c r="Y174" s="106"/>
      <c r="Z174" s="106"/>
      <c r="AA174" s="106"/>
      <c r="AB174" s="106"/>
      <c r="AC174" s="9"/>
      <c r="AD174" s="106"/>
      <c r="AE174" s="106"/>
      <c r="AF174" s="106"/>
      <c r="AG174" s="106"/>
      <c r="AH174" s="106"/>
      <c r="AI174" s="106"/>
      <c r="AJ174" s="9"/>
      <c r="AK174" s="106"/>
      <c r="AL174" s="106"/>
      <c r="AM174" s="106"/>
      <c r="AN174" s="106"/>
      <c r="AO174" s="106"/>
      <c r="AP174" s="106"/>
      <c r="AQ174" s="9"/>
      <c r="AR174" s="106"/>
      <c r="AS174" s="106"/>
      <c r="AT174" s="106"/>
      <c r="AU174" s="106"/>
      <c r="AV174" s="106"/>
      <c r="AW174" s="106"/>
      <c r="AX174" s="9"/>
    </row>
    <row r="175" spans="1:50" ht="13.05" hidden="1" customHeight="1" thickBot="1" x14ac:dyDescent="0.3">
      <c r="A175" t="str">
        <f>Nutrients!B174</f>
        <v>Glycine</v>
      </c>
      <c r="B175" s="106"/>
      <c r="C175" s="106"/>
      <c r="D175" s="106"/>
      <c r="E175" s="106"/>
      <c r="F175" s="106"/>
      <c r="G175" s="106"/>
      <c r="H175" s="106"/>
      <c r="I175" s="106"/>
      <c r="J175" s="106"/>
      <c r="K175" s="106"/>
      <c r="L175" s="106"/>
      <c r="M175" s="106"/>
      <c r="N175" s="106"/>
      <c r="O175" s="29"/>
      <c r="P175" s="106"/>
      <c r="Q175" s="106"/>
      <c r="R175" s="106"/>
      <c r="S175" s="106"/>
      <c r="T175" s="106"/>
      <c r="U175" s="106"/>
      <c r="V175" s="9"/>
      <c r="W175" s="106"/>
      <c r="X175" s="106"/>
      <c r="Y175" s="106"/>
      <c r="Z175" s="106"/>
      <c r="AA175" s="106"/>
      <c r="AB175" s="106"/>
      <c r="AC175" s="9"/>
      <c r="AD175" s="106"/>
      <c r="AE175" s="106"/>
      <c r="AF175" s="106"/>
      <c r="AG175" s="106"/>
      <c r="AH175" s="106"/>
      <c r="AI175" s="106"/>
      <c r="AJ175" s="9"/>
      <c r="AK175" s="106"/>
      <c r="AL175" s="106"/>
      <c r="AM175" s="106"/>
      <c r="AN175" s="106"/>
      <c r="AO175" s="106"/>
      <c r="AP175" s="106"/>
      <c r="AQ175" s="9"/>
      <c r="AR175" s="106"/>
      <c r="AS175" s="106"/>
      <c r="AT175" s="106"/>
      <c r="AU175" s="106"/>
      <c r="AV175" s="106"/>
      <c r="AW175" s="106"/>
      <c r="AX175" s="9"/>
    </row>
    <row r="176" spans="1:50" ht="13.05" hidden="1" customHeight="1" thickBot="1" x14ac:dyDescent="0.3">
      <c r="A176" t="str">
        <f>Nutrients!B175</f>
        <v>Phase 2 supplement 2018</v>
      </c>
      <c r="B176" s="106"/>
      <c r="C176" s="106"/>
      <c r="D176" s="106"/>
      <c r="E176" s="106"/>
      <c r="F176" s="106"/>
      <c r="G176" s="106"/>
      <c r="H176" s="106"/>
      <c r="I176" s="106"/>
      <c r="J176" s="106"/>
      <c r="K176" s="106"/>
      <c r="L176" s="106"/>
      <c r="M176" s="106"/>
      <c r="N176" s="106"/>
      <c r="O176" s="29"/>
      <c r="P176" s="106"/>
      <c r="Q176" s="106"/>
      <c r="R176" s="106"/>
      <c r="S176" s="106"/>
      <c r="T176" s="106"/>
      <c r="U176" s="106"/>
      <c r="V176" s="9"/>
      <c r="W176" s="106"/>
      <c r="X176" s="106"/>
      <c r="Y176" s="106"/>
      <c r="Z176" s="106"/>
      <c r="AA176" s="106"/>
      <c r="AB176" s="106"/>
      <c r="AC176" s="9"/>
      <c r="AD176" s="106"/>
      <c r="AE176" s="106"/>
      <c r="AF176" s="106"/>
      <c r="AG176" s="106"/>
      <c r="AH176" s="106"/>
      <c r="AI176" s="106"/>
      <c r="AJ176" s="9"/>
      <c r="AK176" s="106"/>
      <c r="AL176" s="106"/>
      <c r="AM176" s="106"/>
      <c r="AN176" s="106"/>
      <c r="AO176" s="106"/>
      <c r="AP176" s="106"/>
      <c r="AQ176" s="9"/>
      <c r="AR176" s="106"/>
      <c r="AS176" s="106"/>
      <c r="AT176" s="106"/>
      <c r="AU176" s="106"/>
      <c r="AV176" s="106"/>
      <c r="AW176" s="106"/>
      <c r="AX176" s="9"/>
    </row>
    <row r="177" spans="1:50" ht="13.05" hidden="1" customHeight="1" thickBot="1" x14ac:dyDescent="0.3">
      <c r="A177" t="str">
        <f>Nutrients!B176</f>
        <v>Fermex 200</v>
      </c>
      <c r="B177" s="106"/>
      <c r="C177" s="106"/>
      <c r="D177" s="106"/>
      <c r="E177" s="106"/>
      <c r="F177" s="106"/>
      <c r="G177" s="106"/>
      <c r="H177" s="106"/>
      <c r="I177" s="106"/>
      <c r="J177" s="106"/>
      <c r="K177" s="106"/>
      <c r="L177" s="106"/>
      <c r="M177" s="106"/>
      <c r="N177" s="106"/>
      <c r="O177" s="29"/>
      <c r="P177" s="106"/>
      <c r="Q177" s="106"/>
      <c r="R177" s="106"/>
      <c r="S177" s="106"/>
      <c r="T177" s="106"/>
      <c r="U177" s="106"/>
      <c r="V177" s="9"/>
      <c r="W177" s="106"/>
      <c r="X177" s="106"/>
      <c r="Y177" s="106"/>
      <c r="Z177" s="106"/>
      <c r="AA177" s="106"/>
      <c r="AB177" s="106"/>
      <c r="AC177" s="9"/>
      <c r="AD177" s="106"/>
      <c r="AE177" s="106"/>
      <c r="AF177" s="106"/>
      <c r="AG177" s="106"/>
      <c r="AH177" s="106"/>
      <c r="AI177" s="106"/>
      <c r="AJ177" s="9"/>
      <c r="AK177" s="106"/>
      <c r="AL177" s="106"/>
      <c r="AM177" s="106"/>
      <c r="AN177" s="106"/>
      <c r="AO177" s="106"/>
      <c r="AP177" s="106"/>
      <c r="AQ177" s="9"/>
      <c r="AR177" s="106"/>
      <c r="AS177" s="106"/>
      <c r="AT177" s="106"/>
      <c r="AU177" s="106"/>
      <c r="AV177" s="106"/>
      <c r="AW177" s="106"/>
      <c r="AX177" s="9"/>
    </row>
    <row r="178" spans="1:50" ht="13.05" hidden="1" customHeight="1" thickBot="1" x14ac:dyDescent="0.3">
      <c r="A178" t="str">
        <f>Nutrients!B177</f>
        <v>Soybean meal with 88% NE of corn</v>
      </c>
      <c r="B178" s="106"/>
      <c r="C178" s="106"/>
      <c r="D178" s="106"/>
      <c r="E178" s="106"/>
      <c r="F178" s="106"/>
      <c r="G178" s="106"/>
      <c r="H178" s="106"/>
      <c r="I178" s="106"/>
      <c r="J178" s="106"/>
      <c r="K178" s="106"/>
      <c r="L178" s="106"/>
      <c r="M178" s="106"/>
      <c r="N178" s="106"/>
      <c r="O178" s="29"/>
      <c r="P178" s="106"/>
      <c r="Q178" s="106"/>
      <c r="R178" s="106"/>
      <c r="S178" s="106"/>
      <c r="T178" s="106"/>
      <c r="U178" s="106"/>
      <c r="V178" s="9"/>
      <c r="W178" s="106"/>
      <c r="X178" s="106"/>
      <c r="Y178" s="106"/>
      <c r="Z178" s="106"/>
      <c r="AA178" s="106"/>
      <c r="AB178" s="106"/>
      <c r="AC178" s="9"/>
      <c r="AD178" s="106"/>
      <c r="AE178" s="106"/>
      <c r="AF178" s="106"/>
      <c r="AG178" s="106"/>
      <c r="AH178" s="106"/>
      <c r="AI178" s="106"/>
      <c r="AJ178" s="9"/>
      <c r="AK178" s="106"/>
      <c r="AL178" s="106"/>
      <c r="AM178" s="106"/>
      <c r="AN178" s="106"/>
      <c r="AO178" s="106"/>
      <c r="AP178" s="106"/>
      <c r="AQ178" s="9"/>
      <c r="AR178" s="106"/>
      <c r="AS178" s="106"/>
      <c r="AT178" s="106"/>
      <c r="AU178" s="106"/>
      <c r="AV178" s="106"/>
      <c r="AW178" s="106"/>
      <c r="AX178" s="9"/>
    </row>
    <row r="179" spans="1:50" ht="13.05" hidden="1" customHeight="1" thickBot="1" x14ac:dyDescent="0.3">
      <c r="A179" t="str">
        <f>Nutrients!B178</f>
        <v>Blue Dye NFP</v>
      </c>
      <c r="B179" s="106"/>
      <c r="C179" s="106"/>
      <c r="D179" s="106"/>
      <c r="E179" s="106"/>
      <c r="F179" s="106"/>
      <c r="G179" s="106"/>
      <c r="H179" s="106"/>
      <c r="I179" s="106"/>
      <c r="J179" s="106"/>
      <c r="K179" s="106"/>
      <c r="L179" s="106"/>
      <c r="M179" s="106"/>
      <c r="N179" s="106"/>
      <c r="O179" s="29"/>
      <c r="P179" s="106"/>
      <c r="Q179" s="106"/>
      <c r="R179" s="106"/>
      <c r="S179" s="106"/>
      <c r="T179" s="106"/>
      <c r="U179" s="106"/>
      <c r="V179" s="9"/>
      <c r="W179" s="106"/>
      <c r="X179" s="106"/>
      <c r="Y179" s="106"/>
      <c r="Z179" s="106"/>
      <c r="AA179" s="106"/>
      <c r="AB179" s="106"/>
      <c r="AC179" s="9"/>
      <c r="AD179" s="106"/>
      <c r="AE179" s="106"/>
      <c r="AF179" s="106"/>
      <c r="AG179" s="106"/>
      <c r="AH179" s="106"/>
      <c r="AI179" s="106"/>
      <c r="AJ179" s="9"/>
      <c r="AK179" s="106"/>
      <c r="AL179" s="106"/>
      <c r="AM179" s="106"/>
      <c r="AN179" s="106"/>
      <c r="AO179" s="106"/>
      <c r="AP179" s="106"/>
      <c r="AQ179" s="9"/>
      <c r="AR179" s="106"/>
      <c r="AS179" s="106"/>
      <c r="AT179" s="106"/>
      <c r="AU179" s="106"/>
      <c r="AV179" s="106"/>
      <c r="AW179" s="106"/>
      <c r="AX179" s="9"/>
    </row>
    <row r="180" spans="1:50" ht="13.05" hidden="1" customHeight="1" thickBot="1" x14ac:dyDescent="0.3">
      <c r="A180" t="str">
        <f>Nutrients!B179</f>
        <v>HP 300 2022 NFP</v>
      </c>
      <c r="B180" s="106"/>
      <c r="C180" s="106"/>
      <c r="D180" s="106"/>
      <c r="E180" s="106"/>
      <c r="F180" s="106"/>
      <c r="G180" s="106"/>
      <c r="H180" s="106"/>
      <c r="I180" s="106"/>
      <c r="J180" s="106"/>
      <c r="K180" s="106"/>
      <c r="L180" s="106"/>
      <c r="M180" s="106"/>
      <c r="N180" s="106"/>
      <c r="O180" s="29"/>
      <c r="P180" s="106"/>
      <c r="Q180" s="106"/>
      <c r="R180" s="106"/>
      <c r="S180" s="106"/>
      <c r="T180" s="106"/>
      <c r="U180" s="106"/>
      <c r="V180" s="9"/>
      <c r="W180" s="106"/>
      <c r="X180" s="106"/>
      <c r="Y180" s="106"/>
      <c r="Z180" s="106"/>
      <c r="AA180" s="106"/>
      <c r="AB180" s="106"/>
      <c r="AC180" s="9"/>
      <c r="AD180" s="106"/>
      <c r="AE180" s="106"/>
      <c r="AF180" s="106"/>
      <c r="AG180" s="106"/>
      <c r="AH180" s="106"/>
      <c r="AI180" s="106"/>
      <c r="AJ180" s="9"/>
      <c r="AK180" s="106"/>
      <c r="AL180" s="106"/>
      <c r="AM180" s="106"/>
      <c r="AN180" s="106"/>
      <c r="AO180" s="106"/>
      <c r="AP180" s="106"/>
      <c r="AQ180" s="9"/>
      <c r="AR180" s="106"/>
      <c r="AS180" s="106"/>
      <c r="AT180" s="106"/>
      <c r="AU180" s="106"/>
      <c r="AV180" s="106"/>
      <c r="AW180" s="106"/>
      <c r="AX180" s="9"/>
    </row>
    <row r="181" spans="1:50" ht="13.05" hidden="1" customHeight="1" thickBot="1" x14ac:dyDescent="0.3">
      <c r="A181" t="str">
        <f>Nutrients!B180</f>
        <v>AX3 Digest NFP</v>
      </c>
      <c r="B181" s="106"/>
      <c r="C181" s="106"/>
      <c r="D181" s="106"/>
      <c r="E181" s="106"/>
      <c r="F181" s="106"/>
      <c r="G181" s="106"/>
      <c r="H181" s="106"/>
      <c r="I181" s="106"/>
      <c r="J181" s="106"/>
      <c r="K181" s="106"/>
      <c r="L181" s="106"/>
      <c r="M181" s="106"/>
      <c r="N181" s="106"/>
      <c r="O181" s="29"/>
      <c r="P181" s="106"/>
      <c r="Q181" s="106"/>
      <c r="R181" s="106"/>
      <c r="S181" s="106"/>
      <c r="T181" s="106"/>
      <c r="U181" s="106"/>
      <c r="V181" s="9"/>
      <c r="W181" s="106"/>
      <c r="X181" s="106"/>
      <c r="Y181" s="106"/>
      <c r="Z181" s="106"/>
      <c r="AA181" s="106"/>
      <c r="AB181" s="106"/>
      <c r="AC181" s="9"/>
      <c r="AD181" s="106"/>
      <c r="AE181" s="106"/>
      <c r="AF181" s="106"/>
      <c r="AG181" s="106"/>
      <c r="AH181" s="106"/>
      <c r="AI181" s="106"/>
      <c r="AJ181" s="9"/>
      <c r="AK181" s="106"/>
      <c r="AL181" s="106"/>
      <c r="AM181" s="106"/>
      <c r="AN181" s="106"/>
      <c r="AO181" s="106"/>
      <c r="AP181" s="106"/>
      <c r="AQ181" s="9"/>
      <c r="AR181" s="106"/>
      <c r="AS181" s="106"/>
      <c r="AT181" s="106"/>
      <c r="AU181" s="106"/>
      <c r="AV181" s="106"/>
      <c r="AW181" s="106"/>
      <c r="AX181" s="9"/>
    </row>
    <row r="182" spans="1:50" ht="13.05" hidden="1" customHeight="1" thickBot="1" x14ac:dyDescent="0.3">
      <c r="A182" t="str">
        <f>Nutrients!B181</f>
        <v>Phase 2 supplement 2018 NFP</v>
      </c>
      <c r="B182" s="106"/>
      <c r="C182" s="106"/>
      <c r="D182" s="106"/>
      <c r="E182" s="106"/>
      <c r="F182" s="106"/>
      <c r="G182" s="106"/>
      <c r="H182" s="106"/>
      <c r="I182" s="106"/>
      <c r="J182" s="106"/>
      <c r="K182" s="106"/>
      <c r="L182" s="106"/>
      <c r="M182" s="106"/>
      <c r="N182" s="106"/>
      <c r="O182" s="29"/>
      <c r="P182" s="106"/>
      <c r="Q182" s="106"/>
      <c r="R182" s="106"/>
      <c r="S182" s="106"/>
      <c r="T182" s="106"/>
      <c r="U182" s="106"/>
      <c r="V182" s="9"/>
      <c r="W182" s="106"/>
      <c r="X182" s="106"/>
      <c r="Y182" s="106"/>
      <c r="Z182" s="106"/>
      <c r="AA182" s="106"/>
      <c r="AB182" s="106"/>
      <c r="AC182" s="9"/>
      <c r="AD182" s="106"/>
      <c r="AE182" s="106"/>
      <c r="AF182" s="106"/>
      <c r="AG182" s="106"/>
      <c r="AH182" s="106"/>
      <c r="AI182" s="106"/>
      <c r="AJ182" s="9"/>
      <c r="AK182" s="106"/>
      <c r="AL182" s="106"/>
      <c r="AM182" s="106"/>
      <c r="AN182" s="106"/>
      <c r="AO182" s="106"/>
      <c r="AP182" s="106"/>
      <c r="AQ182" s="9"/>
      <c r="AR182" s="106"/>
      <c r="AS182" s="106"/>
      <c r="AT182" s="106"/>
      <c r="AU182" s="106"/>
      <c r="AV182" s="106"/>
      <c r="AW182" s="106"/>
      <c r="AX182" s="9"/>
    </row>
    <row r="183" spans="1:50" ht="13.05" hidden="1" customHeight="1" thickBot="1" x14ac:dyDescent="0.3">
      <c r="A183" t="str">
        <f>Nutrients!B182</f>
        <v>Femex 200 NFP</v>
      </c>
      <c r="B183" s="106"/>
      <c r="C183" s="106"/>
      <c r="D183" s="106"/>
      <c r="E183" s="106"/>
      <c r="F183" s="106"/>
      <c r="G183" s="106"/>
      <c r="H183" s="106"/>
      <c r="I183" s="106"/>
      <c r="J183" s="106"/>
      <c r="K183" s="106"/>
      <c r="L183" s="106"/>
      <c r="M183" s="106"/>
      <c r="N183" s="106"/>
      <c r="O183" s="29"/>
      <c r="P183" s="106"/>
      <c r="Q183" s="106"/>
      <c r="R183" s="106"/>
      <c r="S183" s="106"/>
      <c r="T183" s="106"/>
      <c r="U183" s="106"/>
      <c r="V183" s="9"/>
      <c r="W183" s="106"/>
      <c r="X183" s="106"/>
      <c r="Y183" s="106"/>
      <c r="Z183" s="106"/>
      <c r="AA183" s="106"/>
      <c r="AB183" s="106"/>
      <c r="AC183" s="9"/>
      <c r="AD183" s="106"/>
      <c r="AE183" s="106"/>
      <c r="AF183" s="106"/>
      <c r="AG183" s="106"/>
      <c r="AH183" s="106"/>
      <c r="AI183" s="106"/>
      <c r="AJ183" s="9"/>
      <c r="AK183" s="106"/>
      <c r="AL183" s="106"/>
      <c r="AM183" s="106"/>
      <c r="AN183" s="106"/>
      <c r="AO183" s="106"/>
      <c r="AP183" s="106"/>
      <c r="AQ183" s="9"/>
      <c r="AR183" s="106"/>
      <c r="AS183" s="106"/>
      <c r="AT183" s="106"/>
      <c r="AU183" s="106"/>
      <c r="AV183" s="106"/>
      <c r="AW183" s="106"/>
      <c r="AX183" s="9"/>
    </row>
    <row r="184" spans="1:50" ht="13.05" hidden="1" customHeight="1" thickBot="1" x14ac:dyDescent="0.3">
      <c r="A184" t="str">
        <f>Nutrients!B183</f>
        <v xml:space="preserve">NFP Soybean meal w/88% NE of corn </v>
      </c>
      <c r="B184" s="106"/>
      <c r="C184" s="106"/>
      <c r="D184" s="106"/>
      <c r="E184" s="106"/>
      <c r="F184" s="106"/>
      <c r="G184" s="106"/>
      <c r="H184" s="106"/>
      <c r="I184" s="106"/>
      <c r="J184" s="106"/>
      <c r="K184" s="106"/>
      <c r="L184" s="106"/>
      <c r="M184" s="106"/>
      <c r="N184" s="106"/>
      <c r="O184" s="29"/>
      <c r="P184" s="106"/>
      <c r="Q184" s="106"/>
      <c r="R184" s="106"/>
      <c r="S184" s="106"/>
      <c r="T184" s="106"/>
      <c r="U184" s="106"/>
      <c r="V184" s="9"/>
      <c r="W184" s="106"/>
      <c r="X184" s="106"/>
      <c r="Y184" s="106"/>
      <c r="Z184" s="106"/>
      <c r="AA184" s="106"/>
      <c r="AB184" s="106"/>
      <c r="AC184" s="9"/>
      <c r="AD184" s="106"/>
      <c r="AE184" s="106"/>
      <c r="AF184" s="106"/>
      <c r="AG184" s="106"/>
      <c r="AH184" s="106"/>
      <c r="AI184" s="106"/>
      <c r="AJ184" s="9"/>
      <c r="AK184" s="106"/>
      <c r="AL184" s="106"/>
      <c r="AM184" s="106"/>
      <c r="AN184" s="106"/>
      <c r="AO184" s="106"/>
      <c r="AP184" s="106"/>
      <c r="AQ184" s="9"/>
      <c r="AR184" s="106"/>
      <c r="AS184" s="106"/>
      <c r="AT184" s="106"/>
      <c r="AU184" s="106"/>
      <c r="AV184" s="106"/>
      <c r="AW184" s="106"/>
      <c r="AX184" s="9"/>
    </row>
    <row r="185" spans="1:50" ht="13.05" hidden="1" customHeight="1" thickBot="1" x14ac:dyDescent="0.3">
      <c r="A185" t="str">
        <f>Nutrients!B184</f>
        <v>AV-E Digest NFP</v>
      </c>
      <c r="B185" s="106"/>
      <c r="C185" s="106"/>
      <c r="D185" s="106"/>
      <c r="E185" s="106"/>
      <c r="F185" s="106"/>
      <c r="G185" s="106"/>
      <c r="H185" s="106"/>
      <c r="I185" s="106"/>
      <c r="J185" s="106"/>
      <c r="K185" s="106"/>
      <c r="L185" s="106"/>
      <c r="M185" s="106"/>
      <c r="N185" s="106"/>
      <c r="O185" s="29"/>
      <c r="P185" s="106"/>
      <c r="Q185" s="106"/>
      <c r="R185" s="106"/>
      <c r="S185" s="106"/>
      <c r="T185" s="106"/>
      <c r="U185" s="106"/>
      <c r="V185" s="9"/>
      <c r="W185" s="106"/>
      <c r="X185" s="106"/>
      <c r="Y185" s="106"/>
      <c r="Z185" s="106"/>
      <c r="AA185" s="106"/>
      <c r="AB185" s="106"/>
      <c r="AC185" s="9"/>
      <c r="AD185" s="106"/>
      <c r="AE185" s="106"/>
      <c r="AF185" s="106"/>
      <c r="AG185" s="106"/>
      <c r="AH185" s="106"/>
      <c r="AI185" s="106"/>
      <c r="AJ185" s="9"/>
      <c r="AK185" s="106"/>
      <c r="AL185" s="106"/>
      <c r="AM185" s="106"/>
      <c r="AN185" s="106"/>
      <c r="AO185" s="106"/>
      <c r="AP185" s="106"/>
      <c r="AQ185" s="9"/>
      <c r="AR185" s="106"/>
      <c r="AS185" s="106"/>
      <c r="AT185" s="106"/>
      <c r="AU185" s="106"/>
      <c r="AV185" s="106"/>
      <c r="AW185" s="106"/>
      <c r="AX185" s="9"/>
    </row>
    <row r="186" spans="1:50" ht="13.05" hidden="1" customHeight="1" thickBot="1" x14ac:dyDescent="0.3">
      <c r="A186" t="str">
        <f>Nutrients!B185</f>
        <v>QFP Cereal Blend NFP</v>
      </c>
      <c r="B186" s="106"/>
      <c r="C186" s="106"/>
      <c r="D186" s="106"/>
      <c r="E186" s="106"/>
      <c r="F186" s="106"/>
      <c r="G186" s="106"/>
      <c r="H186" s="106"/>
      <c r="I186" s="106"/>
      <c r="J186" s="106"/>
      <c r="K186" s="106"/>
      <c r="L186" s="106"/>
      <c r="M186" s="106"/>
      <c r="N186" s="106"/>
      <c r="O186" s="29"/>
      <c r="P186" s="106"/>
      <c r="Q186" s="106"/>
      <c r="R186" s="106"/>
      <c r="S186" s="106"/>
      <c r="T186" s="106"/>
      <c r="U186" s="106"/>
      <c r="V186" s="9"/>
      <c r="W186" s="106"/>
      <c r="X186" s="106"/>
      <c r="Y186" s="106"/>
      <c r="Z186" s="106"/>
      <c r="AA186" s="106"/>
      <c r="AB186" s="106"/>
      <c r="AC186" s="9"/>
      <c r="AD186" s="106"/>
      <c r="AE186" s="106"/>
      <c r="AF186" s="106"/>
      <c r="AG186" s="106"/>
      <c r="AH186" s="106"/>
      <c r="AI186" s="106"/>
      <c r="AJ186" s="9"/>
      <c r="AK186" s="106"/>
      <c r="AL186" s="106"/>
      <c r="AM186" s="106"/>
      <c r="AN186" s="106"/>
      <c r="AO186" s="106"/>
      <c r="AP186" s="106"/>
      <c r="AQ186" s="9"/>
      <c r="AR186" s="106"/>
      <c r="AS186" s="106"/>
      <c r="AT186" s="106"/>
      <c r="AU186" s="106"/>
      <c r="AV186" s="106"/>
      <c r="AW186" s="106"/>
      <c r="AX186" s="9"/>
    </row>
    <row r="187" spans="1:50" ht="13.05" hidden="1" customHeight="1" thickBot="1" x14ac:dyDescent="0.3">
      <c r="A187" t="str">
        <f>Nutrients!B186</f>
        <v>FXP Ani-Tek NFP</v>
      </c>
      <c r="B187" s="106"/>
      <c r="C187" s="106"/>
      <c r="D187" s="106"/>
      <c r="E187" s="106"/>
      <c r="F187" s="106"/>
      <c r="G187" s="106"/>
      <c r="H187" s="106"/>
      <c r="I187" s="106"/>
      <c r="J187" s="106"/>
      <c r="K187" s="106"/>
      <c r="L187" s="106"/>
      <c r="M187" s="106"/>
      <c r="N187" s="106"/>
      <c r="O187" s="29"/>
      <c r="P187" s="106"/>
      <c r="Q187" s="106"/>
      <c r="R187" s="106"/>
      <c r="S187" s="106"/>
      <c r="T187" s="106"/>
      <c r="U187" s="106"/>
      <c r="V187" s="9"/>
      <c r="W187" s="106"/>
      <c r="X187" s="106"/>
      <c r="Y187" s="106"/>
      <c r="Z187" s="106"/>
      <c r="AA187" s="106"/>
      <c r="AB187" s="106"/>
      <c r="AC187" s="9"/>
      <c r="AD187" s="106"/>
      <c r="AE187" s="106"/>
      <c r="AF187" s="106"/>
      <c r="AG187" s="106"/>
      <c r="AH187" s="106"/>
      <c r="AI187" s="106"/>
      <c r="AJ187" s="9"/>
      <c r="AK187" s="106"/>
      <c r="AL187" s="106"/>
      <c r="AM187" s="106"/>
      <c r="AN187" s="106"/>
      <c r="AO187" s="106"/>
      <c r="AP187" s="106"/>
      <c r="AQ187" s="9"/>
      <c r="AR187" s="106"/>
      <c r="AS187" s="106"/>
      <c r="AT187" s="106"/>
      <c r="AU187" s="106"/>
      <c r="AV187" s="106"/>
      <c r="AW187" s="106"/>
      <c r="AX187" s="9"/>
    </row>
    <row r="188" spans="1:50" ht="13.05" hidden="1" customHeight="1" thickBot="1" x14ac:dyDescent="0.3">
      <c r="A188" t="str">
        <f>Nutrients!B187</f>
        <v>NFP VTM Grower (2021)</v>
      </c>
      <c r="B188" s="106"/>
      <c r="C188" s="106"/>
      <c r="D188" s="106"/>
      <c r="E188" s="106"/>
      <c r="F188" s="106"/>
      <c r="G188" s="106"/>
      <c r="H188" s="106"/>
      <c r="I188" s="106"/>
      <c r="J188" s="106"/>
      <c r="K188" s="106"/>
      <c r="L188" s="106"/>
      <c r="M188" s="106"/>
      <c r="N188" s="106"/>
      <c r="O188" s="29"/>
      <c r="P188" s="106"/>
      <c r="Q188" s="106"/>
      <c r="R188" s="106"/>
      <c r="S188" s="106"/>
      <c r="T188" s="106"/>
      <c r="U188" s="106"/>
      <c r="V188" s="9"/>
      <c r="W188" s="106"/>
      <c r="X188" s="106"/>
      <c r="Y188" s="106"/>
      <c r="Z188" s="106"/>
      <c r="AA188" s="106"/>
      <c r="AB188" s="106"/>
      <c r="AC188" s="9"/>
      <c r="AD188" s="106"/>
      <c r="AE188" s="106"/>
      <c r="AF188" s="106"/>
      <c r="AG188" s="106"/>
      <c r="AH188" s="106"/>
      <c r="AI188" s="106"/>
      <c r="AJ188" s="9"/>
      <c r="AK188" s="106"/>
      <c r="AL188" s="106"/>
      <c r="AM188" s="106"/>
      <c r="AN188" s="106"/>
      <c r="AO188" s="106"/>
      <c r="AP188" s="106"/>
      <c r="AQ188" s="9"/>
      <c r="AR188" s="106"/>
      <c r="AS188" s="106"/>
      <c r="AT188" s="106"/>
      <c r="AU188" s="106"/>
      <c r="AV188" s="106"/>
      <c r="AW188" s="106"/>
      <c r="AX188" s="9"/>
    </row>
    <row r="189" spans="1:50" ht="13.05" hidden="1" customHeight="1" thickBot="1" x14ac:dyDescent="0.3">
      <c r="A189" t="str">
        <f>Nutrients!B188</f>
        <v>NFP VTM Sow (2021)</v>
      </c>
      <c r="B189" s="106"/>
      <c r="C189" s="106"/>
      <c r="D189" s="106"/>
      <c r="E189" s="106"/>
      <c r="F189" s="106"/>
      <c r="G189" s="106"/>
      <c r="H189" s="106"/>
      <c r="I189" s="106"/>
      <c r="J189" s="106"/>
      <c r="K189" s="106"/>
      <c r="L189" s="106"/>
      <c r="M189" s="106"/>
      <c r="N189" s="106"/>
      <c r="O189" s="29"/>
      <c r="P189" s="106"/>
      <c r="Q189" s="106"/>
      <c r="R189" s="106"/>
      <c r="S189" s="106"/>
      <c r="T189" s="106"/>
      <c r="U189" s="106"/>
      <c r="V189" s="9"/>
      <c r="W189" s="106"/>
      <c r="X189" s="106"/>
      <c r="Y189" s="106"/>
      <c r="Z189" s="106"/>
      <c r="AA189" s="106"/>
      <c r="AB189" s="106"/>
      <c r="AC189" s="9"/>
      <c r="AD189" s="106"/>
      <c r="AE189" s="106"/>
      <c r="AF189" s="106"/>
      <c r="AG189" s="106"/>
      <c r="AH189" s="106"/>
      <c r="AI189" s="106"/>
      <c r="AJ189" s="9"/>
      <c r="AK189" s="106"/>
      <c r="AL189" s="106"/>
      <c r="AM189" s="106"/>
      <c r="AN189" s="106"/>
      <c r="AO189" s="106"/>
      <c r="AP189" s="106"/>
      <c r="AQ189" s="9"/>
      <c r="AR189" s="106"/>
      <c r="AS189" s="106"/>
      <c r="AT189" s="106"/>
      <c r="AU189" s="106"/>
      <c r="AV189" s="106"/>
      <c r="AW189" s="106"/>
      <c r="AX189" s="9"/>
    </row>
    <row r="190" spans="1:50" ht="13.05" hidden="1" customHeight="1" thickBot="1" x14ac:dyDescent="0.3">
      <c r="A190" t="str">
        <f>Nutrients!B189</f>
        <v>VevoVitall NFP</v>
      </c>
      <c r="B190" s="106"/>
      <c r="C190" s="106"/>
      <c r="D190" s="106"/>
      <c r="E190" s="106"/>
      <c r="F190" s="106"/>
      <c r="G190" s="106"/>
      <c r="H190" s="106"/>
      <c r="I190" s="106"/>
      <c r="J190" s="106"/>
      <c r="K190" s="106"/>
      <c r="L190" s="106"/>
      <c r="M190" s="106"/>
      <c r="N190" s="106"/>
      <c r="O190" s="29"/>
      <c r="P190" s="106"/>
      <c r="Q190" s="106"/>
      <c r="R190" s="106"/>
      <c r="S190" s="106"/>
      <c r="T190" s="106"/>
      <c r="U190" s="106"/>
      <c r="V190" s="9"/>
      <c r="W190" s="106"/>
      <c r="X190" s="106"/>
      <c r="Y190" s="106"/>
      <c r="Z190" s="106"/>
      <c r="AA190" s="106"/>
      <c r="AB190" s="106"/>
      <c r="AC190" s="9"/>
      <c r="AD190" s="106"/>
      <c r="AE190" s="106"/>
      <c r="AF190" s="106"/>
      <c r="AG190" s="106"/>
      <c r="AH190" s="106"/>
      <c r="AI190" s="106"/>
      <c r="AJ190" s="9"/>
      <c r="AK190" s="106"/>
      <c r="AL190" s="106"/>
      <c r="AM190" s="106"/>
      <c r="AN190" s="106"/>
      <c r="AO190" s="106"/>
      <c r="AP190" s="106"/>
      <c r="AQ190" s="9"/>
      <c r="AR190" s="106"/>
      <c r="AS190" s="106"/>
      <c r="AT190" s="106"/>
      <c r="AU190" s="106"/>
      <c r="AV190" s="106"/>
      <c r="AW190" s="106"/>
      <c r="AX190" s="9"/>
    </row>
    <row r="191" spans="1:50" ht="13.05" hidden="1" customHeight="1" thickBot="1" x14ac:dyDescent="0.3">
      <c r="A191" t="str">
        <f>Nutrients!B190</f>
        <v>MEPRO NFP</v>
      </c>
      <c r="B191" s="106"/>
      <c r="C191" s="106"/>
      <c r="D191" s="106"/>
      <c r="E191" s="106"/>
      <c r="F191" s="106"/>
      <c r="G191" s="106"/>
      <c r="H191" s="106"/>
      <c r="I191" s="106"/>
      <c r="J191" s="106"/>
      <c r="K191" s="106"/>
      <c r="L191" s="106"/>
      <c r="M191" s="106"/>
      <c r="N191" s="106"/>
      <c r="O191" s="29"/>
      <c r="P191" s="106"/>
      <c r="Q191" s="106"/>
      <c r="R191" s="106"/>
      <c r="S191" s="106"/>
      <c r="T191" s="106"/>
      <c r="U191" s="106"/>
      <c r="V191" s="9"/>
      <c r="W191" s="106"/>
      <c r="X191" s="106"/>
      <c r="Y191" s="106"/>
      <c r="Z191" s="106"/>
      <c r="AA191" s="106"/>
      <c r="AB191" s="106"/>
      <c r="AC191" s="9"/>
      <c r="AD191" s="106"/>
      <c r="AE191" s="106"/>
      <c r="AF191" s="106"/>
      <c r="AG191" s="106"/>
      <c r="AH191" s="106"/>
      <c r="AI191" s="106"/>
      <c r="AJ191" s="9"/>
      <c r="AK191" s="106"/>
      <c r="AL191" s="106"/>
      <c r="AM191" s="106"/>
      <c r="AN191" s="106"/>
      <c r="AO191" s="106"/>
      <c r="AP191" s="106"/>
      <c r="AQ191" s="9"/>
      <c r="AR191" s="106"/>
      <c r="AS191" s="106"/>
      <c r="AT191" s="106"/>
      <c r="AU191" s="106"/>
      <c r="AV191" s="106"/>
      <c r="AW191" s="106"/>
      <c r="AX191" s="9"/>
    </row>
    <row r="192" spans="1:50" ht="13.05" hidden="1" customHeight="1" thickBot="1" x14ac:dyDescent="0.3">
      <c r="A192" t="str">
        <f>Nutrients!B191</f>
        <v>AlphaGal 280 P NFP</v>
      </c>
      <c r="B192" s="106"/>
      <c r="C192" s="106"/>
      <c r="D192" s="106"/>
      <c r="E192" s="106"/>
      <c r="F192" s="106"/>
      <c r="G192" s="106"/>
      <c r="H192" s="106"/>
      <c r="I192" s="106"/>
      <c r="J192" s="106"/>
      <c r="K192" s="106"/>
      <c r="L192" s="106"/>
      <c r="M192" s="106"/>
      <c r="N192" s="106"/>
      <c r="O192" s="29"/>
      <c r="P192" s="106"/>
      <c r="Q192" s="106"/>
      <c r="R192" s="106"/>
      <c r="S192" s="106"/>
      <c r="T192" s="106"/>
      <c r="U192" s="106"/>
      <c r="V192" s="9"/>
      <c r="W192" s="106"/>
      <c r="X192" s="106"/>
      <c r="Y192" s="106"/>
      <c r="Z192" s="106"/>
      <c r="AA192" s="106"/>
      <c r="AB192" s="106"/>
      <c r="AC192" s="9"/>
      <c r="AD192" s="106"/>
      <c r="AE192" s="106"/>
      <c r="AF192" s="106"/>
      <c r="AG192" s="106"/>
      <c r="AH192" s="106"/>
      <c r="AI192" s="106"/>
      <c r="AJ192" s="9"/>
      <c r="AK192" s="106"/>
      <c r="AL192" s="106"/>
      <c r="AM192" s="106"/>
      <c r="AN192" s="106"/>
      <c r="AO192" s="106"/>
      <c r="AP192" s="106"/>
      <c r="AQ192" s="9"/>
      <c r="AR192" s="106"/>
      <c r="AS192" s="106"/>
      <c r="AT192" s="106"/>
      <c r="AU192" s="106"/>
      <c r="AV192" s="106"/>
      <c r="AW192" s="106"/>
      <c r="AX192" s="9"/>
    </row>
    <row r="193" spans="1:50" ht="13.05" hidden="1" customHeight="1" thickBot="1" x14ac:dyDescent="0.3">
      <c r="A193" t="str">
        <f>Nutrients!B192</f>
        <v xml:space="preserve">NFP Custom Manganese </v>
      </c>
      <c r="B193" s="106"/>
      <c r="C193" s="106"/>
      <c r="D193" s="106"/>
      <c r="E193" s="106"/>
      <c r="F193" s="106"/>
      <c r="G193" s="106"/>
      <c r="H193" s="106"/>
      <c r="I193" s="106"/>
      <c r="J193" s="106"/>
      <c r="K193" s="106"/>
      <c r="L193" s="106"/>
      <c r="M193" s="106"/>
      <c r="N193" s="106"/>
      <c r="O193" s="29"/>
      <c r="P193" s="106"/>
      <c r="Q193" s="106"/>
      <c r="R193" s="106"/>
      <c r="S193" s="106"/>
      <c r="T193" s="106"/>
      <c r="U193" s="106"/>
      <c r="V193" s="9"/>
      <c r="W193" s="106"/>
      <c r="X193" s="106"/>
      <c r="Y193" s="106"/>
      <c r="Z193" s="106"/>
      <c r="AA193" s="106"/>
      <c r="AB193" s="106"/>
      <c r="AC193" s="9"/>
      <c r="AD193" s="106"/>
      <c r="AE193" s="106"/>
      <c r="AF193" s="106"/>
      <c r="AG193" s="106"/>
      <c r="AH193" s="106"/>
      <c r="AI193" s="106"/>
      <c r="AJ193" s="9"/>
      <c r="AK193" s="106"/>
      <c r="AL193" s="106"/>
      <c r="AM193" s="106"/>
      <c r="AN193" s="106"/>
      <c r="AO193" s="106"/>
      <c r="AP193" s="106"/>
      <c r="AQ193" s="9"/>
      <c r="AR193" s="106"/>
      <c r="AS193" s="106"/>
      <c r="AT193" s="106"/>
      <c r="AU193" s="106"/>
      <c r="AV193" s="106"/>
      <c r="AW193" s="106"/>
      <c r="AX193" s="9"/>
    </row>
    <row r="194" spans="1:50" ht="13.05" hidden="1" customHeight="1" thickBot="1" x14ac:dyDescent="0.3">
      <c r="A194" t="str">
        <f>Nutrients!B193</f>
        <v>Fat Build R2 All Veg 4000 NFP</v>
      </c>
      <c r="B194" s="106"/>
      <c r="C194" s="106"/>
      <c r="D194" s="106"/>
      <c r="E194" s="106"/>
      <c r="F194" s="106"/>
      <c r="G194" s="106"/>
      <c r="H194" s="106"/>
      <c r="I194" s="106"/>
      <c r="J194" s="106"/>
      <c r="K194" s="106"/>
      <c r="L194" s="106"/>
      <c r="M194" s="106"/>
      <c r="N194" s="106"/>
      <c r="O194" s="29"/>
      <c r="P194" s="106"/>
      <c r="Q194" s="106"/>
      <c r="R194" s="106"/>
      <c r="S194" s="106"/>
      <c r="T194" s="106"/>
      <c r="U194" s="106"/>
      <c r="V194" s="9"/>
      <c r="W194" s="106"/>
      <c r="X194" s="106"/>
      <c r="Y194" s="106"/>
      <c r="Z194" s="106"/>
      <c r="AA194" s="106"/>
      <c r="AB194" s="106"/>
      <c r="AC194" s="9"/>
      <c r="AD194" s="106"/>
      <c r="AE194" s="106"/>
      <c r="AF194" s="106"/>
      <c r="AG194" s="106"/>
      <c r="AH194" s="106"/>
      <c r="AI194" s="106"/>
      <c r="AJ194" s="9"/>
      <c r="AK194" s="106"/>
      <c r="AL194" s="106"/>
      <c r="AM194" s="106"/>
      <c r="AN194" s="106"/>
      <c r="AO194" s="106"/>
      <c r="AP194" s="106"/>
      <c r="AQ194" s="9"/>
      <c r="AR194" s="106"/>
      <c r="AS194" s="106"/>
      <c r="AT194" s="106"/>
      <c r="AU194" s="106"/>
      <c r="AV194" s="106"/>
      <c r="AW194" s="106"/>
      <c r="AX194" s="9"/>
    </row>
    <row r="195" spans="1:50" ht="13.05" hidden="1" customHeight="1" thickBot="1" x14ac:dyDescent="0.3">
      <c r="A195" t="str">
        <f>Nutrients!B194</f>
        <v>LipoVital GL 90 NFP</v>
      </c>
      <c r="B195" s="106"/>
      <c r="C195" s="106"/>
      <c r="D195" s="106"/>
      <c r="E195" s="106"/>
      <c r="F195" s="106"/>
      <c r="G195" s="106"/>
      <c r="H195" s="106"/>
      <c r="I195" s="106"/>
      <c r="J195" s="106"/>
      <c r="K195" s="106"/>
      <c r="L195" s="106"/>
      <c r="M195" s="106"/>
      <c r="N195" s="106"/>
      <c r="O195" s="29"/>
      <c r="P195" s="106"/>
      <c r="Q195" s="106"/>
      <c r="R195" s="106"/>
      <c r="S195" s="106"/>
      <c r="T195" s="106"/>
      <c r="U195" s="106"/>
      <c r="V195" s="9"/>
      <c r="W195" s="106"/>
      <c r="X195" s="106"/>
      <c r="Y195" s="106"/>
      <c r="Z195" s="106"/>
      <c r="AA195" s="106"/>
      <c r="AB195" s="106"/>
      <c r="AC195" s="9"/>
      <c r="AD195" s="106"/>
      <c r="AE195" s="106"/>
      <c r="AF195" s="106"/>
      <c r="AG195" s="106"/>
      <c r="AH195" s="106"/>
      <c r="AI195" s="106"/>
      <c r="AJ195" s="9"/>
      <c r="AK195" s="106"/>
      <c r="AL195" s="106"/>
      <c r="AM195" s="106"/>
      <c r="AN195" s="106"/>
      <c r="AO195" s="106"/>
      <c r="AP195" s="106"/>
      <c r="AQ195" s="9"/>
      <c r="AR195" s="106"/>
      <c r="AS195" s="106"/>
      <c r="AT195" s="106"/>
      <c r="AU195" s="106"/>
      <c r="AV195" s="106"/>
      <c r="AW195" s="106"/>
      <c r="AX195" s="9"/>
    </row>
    <row r="196" spans="1:50" ht="13.05" hidden="1" customHeight="1" thickBot="1" x14ac:dyDescent="0.3">
      <c r="A196" t="str">
        <f>Nutrients!B195</f>
        <v>NFP Custom Zinc</v>
      </c>
      <c r="B196" s="106"/>
      <c r="C196" s="106"/>
      <c r="D196" s="106"/>
      <c r="E196" s="106"/>
      <c r="F196" s="106"/>
      <c r="G196" s="106"/>
      <c r="H196" s="106"/>
      <c r="I196" s="106"/>
      <c r="J196" s="106"/>
      <c r="K196" s="106"/>
      <c r="L196" s="106"/>
      <c r="M196" s="106"/>
      <c r="N196" s="106"/>
      <c r="O196" s="29"/>
      <c r="P196" s="106"/>
      <c r="Q196" s="106"/>
      <c r="R196" s="106"/>
      <c r="S196" s="106"/>
      <c r="T196" s="106"/>
      <c r="U196" s="106"/>
      <c r="V196" s="9"/>
      <c r="W196" s="106"/>
      <c r="X196" s="106"/>
      <c r="Y196" s="106"/>
      <c r="Z196" s="106"/>
      <c r="AA196" s="106"/>
      <c r="AB196" s="106"/>
      <c r="AC196" s="9"/>
      <c r="AD196" s="106"/>
      <c r="AE196" s="106"/>
      <c r="AF196" s="106"/>
      <c r="AG196" s="106"/>
      <c r="AH196" s="106"/>
      <c r="AI196" s="106"/>
      <c r="AJ196" s="9"/>
      <c r="AK196" s="106"/>
      <c r="AL196" s="106"/>
      <c r="AM196" s="106"/>
      <c r="AN196" s="106"/>
      <c r="AO196" s="106"/>
      <c r="AP196" s="106"/>
      <c r="AQ196" s="9"/>
      <c r="AR196" s="106"/>
      <c r="AS196" s="106"/>
      <c r="AT196" s="106"/>
      <c r="AU196" s="106"/>
      <c r="AV196" s="106"/>
      <c r="AW196" s="106"/>
      <c r="AX196" s="9"/>
    </row>
    <row r="197" spans="1:50" ht="13.05" hidden="1" customHeight="1" thickBot="1" x14ac:dyDescent="0.3">
      <c r="A197" t="str">
        <f>Nutrients!B196</f>
        <v>THRPRO-L Threonine 80% NFP</v>
      </c>
      <c r="B197" s="106"/>
      <c r="C197" s="106"/>
      <c r="D197" s="106"/>
      <c r="E197" s="106"/>
      <c r="F197" s="106"/>
      <c r="G197" s="106"/>
      <c r="H197" s="106"/>
      <c r="I197" s="106"/>
      <c r="J197" s="106"/>
      <c r="K197" s="106"/>
      <c r="L197" s="106"/>
      <c r="M197" s="106"/>
      <c r="N197" s="106"/>
      <c r="O197" s="29"/>
      <c r="P197" s="106"/>
      <c r="Q197" s="106"/>
      <c r="R197" s="106"/>
      <c r="S197" s="106"/>
      <c r="T197" s="106"/>
      <c r="U197" s="106"/>
      <c r="V197" s="9"/>
      <c r="W197" s="106"/>
      <c r="X197" s="106"/>
      <c r="Y197" s="106"/>
      <c r="Z197" s="106"/>
      <c r="AA197" s="106"/>
      <c r="AB197" s="106"/>
      <c r="AC197" s="9"/>
      <c r="AD197" s="106"/>
      <c r="AE197" s="106"/>
      <c r="AF197" s="106"/>
      <c r="AG197" s="106"/>
      <c r="AH197" s="106"/>
      <c r="AI197" s="106"/>
      <c r="AJ197" s="9"/>
      <c r="AK197" s="106"/>
      <c r="AL197" s="106"/>
      <c r="AM197" s="106"/>
      <c r="AN197" s="106"/>
      <c r="AO197" s="106"/>
      <c r="AP197" s="106"/>
      <c r="AQ197" s="9"/>
      <c r="AR197" s="106"/>
      <c r="AS197" s="106"/>
      <c r="AT197" s="106"/>
      <c r="AU197" s="106"/>
      <c r="AV197" s="106"/>
      <c r="AW197" s="106"/>
      <c r="AX197" s="9"/>
    </row>
    <row r="198" spans="1:50" ht="13.05" hidden="1" customHeight="1" thickBot="1" x14ac:dyDescent="0.3">
      <c r="A198" t="str">
        <f>Nutrients!B197</f>
        <v>Copper Chloride Intellibond TBCC NFP</v>
      </c>
      <c r="B198" s="106"/>
      <c r="C198" s="106"/>
      <c r="D198" s="106"/>
      <c r="E198" s="106"/>
      <c r="F198" s="106"/>
      <c r="G198" s="106"/>
      <c r="H198" s="106"/>
      <c r="I198" s="106"/>
      <c r="J198" s="106"/>
      <c r="K198" s="106"/>
      <c r="L198" s="106"/>
      <c r="M198" s="106"/>
      <c r="N198" s="106"/>
      <c r="O198" s="29"/>
      <c r="P198" s="106"/>
      <c r="Q198" s="106"/>
      <c r="R198" s="106"/>
      <c r="S198" s="106"/>
      <c r="T198" s="106"/>
      <c r="U198" s="106"/>
      <c r="V198" s="9"/>
      <c r="W198" s="106"/>
      <c r="X198" s="106"/>
      <c r="Y198" s="106"/>
      <c r="Z198" s="106"/>
      <c r="AA198" s="106"/>
      <c r="AB198" s="106"/>
      <c r="AC198" s="9"/>
      <c r="AD198" s="106"/>
      <c r="AE198" s="106"/>
      <c r="AF198" s="106"/>
      <c r="AG198" s="106"/>
      <c r="AH198" s="106"/>
      <c r="AI198" s="106"/>
      <c r="AJ198" s="9"/>
      <c r="AK198" s="106"/>
      <c r="AL198" s="106"/>
      <c r="AM198" s="106"/>
      <c r="AN198" s="106"/>
      <c r="AO198" s="106"/>
      <c r="AP198" s="106"/>
      <c r="AQ198" s="9"/>
      <c r="AR198" s="106"/>
      <c r="AS198" s="106"/>
      <c r="AT198" s="106"/>
      <c r="AU198" s="106"/>
      <c r="AV198" s="106"/>
      <c r="AW198" s="106"/>
      <c r="AX198" s="9"/>
    </row>
    <row r="199" spans="1:50" ht="13.05" hidden="1" customHeight="1" thickBot="1" x14ac:dyDescent="0.3">
      <c r="A199" t="str">
        <f>Nutrients!B198</f>
        <v>DDGS 7.5% Oil Green Plains NFP</v>
      </c>
      <c r="B199" s="106"/>
      <c r="C199" s="106"/>
      <c r="D199" s="106"/>
      <c r="E199" s="106"/>
      <c r="F199" s="106"/>
      <c r="G199" s="106"/>
      <c r="H199" s="106"/>
      <c r="I199" s="106"/>
      <c r="J199" s="106"/>
      <c r="K199" s="106"/>
      <c r="L199" s="106"/>
      <c r="M199" s="106"/>
      <c r="N199" s="106"/>
      <c r="O199" s="29"/>
      <c r="P199" s="106"/>
      <c r="Q199" s="106"/>
      <c r="R199" s="106"/>
      <c r="S199" s="106"/>
      <c r="T199" s="106"/>
      <c r="U199" s="106"/>
      <c r="V199" s="9"/>
      <c r="W199" s="106"/>
      <c r="X199" s="106"/>
      <c r="Y199" s="106"/>
      <c r="Z199" s="106"/>
      <c r="AA199" s="106"/>
      <c r="AB199" s="106"/>
      <c r="AC199" s="9"/>
      <c r="AD199" s="106"/>
      <c r="AE199" s="106"/>
      <c r="AF199" s="106"/>
      <c r="AG199" s="106"/>
      <c r="AH199" s="106"/>
      <c r="AI199" s="106"/>
      <c r="AJ199" s="9"/>
      <c r="AK199" s="106"/>
      <c r="AL199" s="106"/>
      <c r="AM199" s="106"/>
      <c r="AN199" s="106"/>
      <c r="AO199" s="106"/>
      <c r="AP199" s="106"/>
      <c r="AQ199" s="9"/>
      <c r="AR199" s="106"/>
      <c r="AS199" s="106"/>
      <c r="AT199" s="106"/>
      <c r="AU199" s="106"/>
      <c r="AV199" s="106"/>
      <c r="AW199" s="106"/>
      <c r="AX199" s="9"/>
    </row>
    <row r="200" spans="1:50" ht="13.05" hidden="1" customHeight="1" thickBot="1" x14ac:dyDescent="0.3">
      <c r="A200" t="str">
        <f>Nutrients!B199</f>
        <v>NHF GF VTM 2#</v>
      </c>
      <c r="B200" s="106"/>
      <c r="C200" s="106"/>
      <c r="D200" s="106"/>
      <c r="E200" s="106"/>
      <c r="F200" s="106"/>
      <c r="G200" s="106"/>
      <c r="H200" s="106"/>
      <c r="I200" s="106"/>
      <c r="J200" s="106"/>
      <c r="K200" s="106"/>
      <c r="L200" s="106"/>
      <c r="M200" s="106"/>
      <c r="N200" s="106"/>
      <c r="O200" s="29"/>
      <c r="P200" s="106"/>
      <c r="Q200" s="106"/>
      <c r="R200" s="106"/>
      <c r="S200" s="106"/>
      <c r="T200" s="106"/>
      <c r="U200" s="106"/>
      <c r="V200" s="9"/>
      <c r="W200" s="106"/>
      <c r="X200" s="106"/>
      <c r="Y200" s="106"/>
      <c r="Z200" s="106"/>
      <c r="AA200" s="106"/>
      <c r="AB200" s="106"/>
      <c r="AC200" s="9"/>
      <c r="AD200" s="106"/>
      <c r="AE200" s="106"/>
      <c r="AF200" s="106"/>
      <c r="AG200" s="106"/>
      <c r="AH200" s="106"/>
      <c r="AI200" s="106"/>
      <c r="AJ200" s="9"/>
      <c r="AK200" s="106"/>
      <c r="AL200" s="106"/>
      <c r="AM200" s="106"/>
      <c r="AN200" s="106"/>
      <c r="AO200" s="106"/>
      <c r="AP200" s="106"/>
      <c r="AQ200" s="9"/>
      <c r="AR200" s="106"/>
      <c r="AS200" s="106"/>
      <c r="AT200" s="106"/>
      <c r="AU200" s="106"/>
      <c r="AV200" s="106"/>
      <c r="AW200" s="106"/>
      <c r="AX200" s="9"/>
    </row>
    <row r="201" spans="1:50" ht="13.05" hidden="1" customHeight="1" thickBot="1" x14ac:dyDescent="0.3">
      <c r="A201" t="str">
        <f>Nutrients!B200</f>
        <v xml:space="preserve">Hubbard Vit Premix </v>
      </c>
      <c r="B201" s="106"/>
      <c r="C201" s="106"/>
      <c r="D201" s="106"/>
      <c r="E201" s="106"/>
      <c r="F201" s="106"/>
      <c r="G201" s="106"/>
      <c r="H201" s="106"/>
      <c r="I201" s="106"/>
      <c r="J201" s="106"/>
      <c r="K201" s="106"/>
      <c r="L201" s="106"/>
      <c r="M201" s="106"/>
      <c r="N201" s="106"/>
      <c r="O201" s="29"/>
      <c r="P201" s="106"/>
      <c r="Q201" s="106"/>
      <c r="R201" s="106"/>
      <c r="S201" s="106"/>
      <c r="T201" s="106"/>
      <c r="U201" s="106"/>
      <c r="V201" s="9"/>
      <c r="W201" s="106"/>
      <c r="X201" s="106"/>
      <c r="Y201" s="106"/>
      <c r="Z201" s="106"/>
      <c r="AA201" s="106"/>
      <c r="AB201" s="106"/>
      <c r="AC201" s="9"/>
      <c r="AD201" s="106"/>
      <c r="AE201" s="106"/>
      <c r="AF201" s="106"/>
      <c r="AG201" s="106"/>
      <c r="AH201" s="106"/>
      <c r="AI201" s="106"/>
      <c r="AJ201" s="9"/>
      <c r="AK201" s="106"/>
      <c r="AL201" s="106"/>
      <c r="AM201" s="106"/>
      <c r="AN201" s="106"/>
      <c r="AO201" s="106"/>
      <c r="AP201" s="106"/>
      <c r="AQ201" s="9"/>
      <c r="AR201" s="106"/>
      <c r="AS201" s="106"/>
      <c r="AT201" s="106"/>
      <c r="AU201" s="106"/>
      <c r="AV201" s="106"/>
      <c r="AW201" s="106"/>
      <c r="AX201" s="9"/>
    </row>
    <row r="202" spans="1:50" ht="13.05" hidden="1" customHeight="1" thickBot="1" x14ac:dyDescent="0.3">
      <c r="A202" t="str">
        <f>Nutrients!B201</f>
        <v>Hubbard TMP</v>
      </c>
      <c r="B202" s="106"/>
      <c r="C202" s="106"/>
      <c r="D202" s="106"/>
      <c r="E202" s="106"/>
      <c r="F202" s="106"/>
      <c r="G202" s="106"/>
      <c r="H202" s="106"/>
      <c r="I202" s="106"/>
      <c r="J202" s="106"/>
      <c r="K202" s="106"/>
      <c r="L202" s="106"/>
      <c r="M202" s="106"/>
      <c r="N202" s="106"/>
      <c r="O202" s="29"/>
      <c r="P202" s="106"/>
      <c r="Q202" s="106"/>
      <c r="R202" s="106"/>
      <c r="S202" s="106"/>
      <c r="T202" s="106"/>
      <c r="U202" s="106"/>
      <c r="V202" s="9"/>
      <c r="W202" s="106"/>
      <c r="X202" s="106"/>
      <c r="Y202" s="106"/>
      <c r="Z202" s="106"/>
      <c r="AA202" s="106"/>
      <c r="AB202" s="106"/>
      <c r="AC202" s="9"/>
      <c r="AD202" s="106"/>
      <c r="AE202" s="106"/>
      <c r="AF202" s="106"/>
      <c r="AG202" s="106"/>
      <c r="AH202" s="106"/>
      <c r="AI202" s="106"/>
      <c r="AJ202" s="9"/>
      <c r="AK202" s="106"/>
      <c r="AL202" s="106"/>
      <c r="AM202" s="106"/>
      <c r="AN202" s="106"/>
      <c r="AO202" s="106"/>
      <c r="AP202" s="106"/>
      <c r="AQ202" s="9"/>
      <c r="AR202" s="106"/>
      <c r="AS202" s="106"/>
      <c r="AT202" s="106"/>
      <c r="AU202" s="106"/>
      <c r="AV202" s="106"/>
      <c r="AW202" s="106"/>
      <c r="AX202" s="9"/>
    </row>
    <row r="203" spans="1:50" ht="13.05" hidden="1" customHeight="1" thickBot="1" x14ac:dyDescent="0.3">
      <c r="A203" t="str">
        <f>Nutrients!B202</f>
        <v>Inorganic Se 600 ppm Hubbard</v>
      </c>
      <c r="B203" s="106"/>
      <c r="C203" s="106"/>
      <c r="D203" s="106"/>
      <c r="E203" s="106"/>
      <c r="F203" s="106"/>
      <c r="G203" s="106"/>
      <c r="H203" s="106"/>
      <c r="I203" s="106"/>
      <c r="J203" s="106"/>
      <c r="K203" s="106"/>
      <c r="L203" s="106"/>
      <c r="M203" s="106"/>
      <c r="N203" s="106"/>
      <c r="O203" s="29"/>
      <c r="P203" s="106"/>
      <c r="Q203" s="106"/>
      <c r="R203" s="106"/>
      <c r="S203" s="106"/>
      <c r="T203" s="106"/>
      <c r="U203" s="106"/>
      <c r="V203" s="9"/>
      <c r="W203" s="106"/>
      <c r="X203" s="106"/>
      <c r="Y203" s="106"/>
      <c r="Z203" s="106"/>
      <c r="AA203" s="106"/>
      <c r="AB203" s="106"/>
      <c r="AC203" s="9"/>
      <c r="AD203" s="106"/>
      <c r="AE203" s="106"/>
      <c r="AF203" s="106"/>
      <c r="AG203" s="106"/>
      <c r="AH203" s="106"/>
      <c r="AI203" s="106"/>
      <c r="AJ203" s="9"/>
      <c r="AK203" s="106"/>
      <c r="AL203" s="106"/>
      <c r="AM203" s="106"/>
      <c r="AN203" s="106"/>
      <c r="AO203" s="106"/>
      <c r="AP203" s="106"/>
      <c r="AQ203" s="9"/>
      <c r="AR203" s="106"/>
      <c r="AS203" s="106"/>
      <c r="AT203" s="106"/>
      <c r="AU203" s="106"/>
      <c r="AV203" s="106"/>
      <c r="AW203" s="106"/>
      <c r="AX203" s="9"/>
    </row>
    <row r="204" spans="1:50" ht="13.05" hidden="1" customHeight="1" thickBot="1" x14ac:dyDescent="0.3">
      <c r="A204" t="str">
        <f>Nutrients!B203</f>
        <v>Quantum Blue  5G Hubbard</v>
      </c>
      <c r="B204" s="106"/>
      <c r="C204" s="106"/>
      <c r="D204" s="106"/>
      <c r="E204" s="106"/>
      <c r="F204" s="106"/>
      <c r="G204" s="106"/>
      <c r="H204" s="106"/>
      <c r="I204" s="106"/>
      <c r="J204" s="106"/>
      <c r="K204" s="106"/>
      <c r="L204" s="106"/>
      <c r="M204" s="106"/>
      <c r="N204" s="106"/>
      <c r="O204" s="29"/>
      <c r="P204" s="106"/>
      <c r="Q204" s="106"/>
      <c r="R204" s="106"/>
      <c r="S204" s="106"/>
      <c r="T204" s="106"/>
      <c r="U204" s="106"/>
      <c r="V204" s="9"/>
      <c r="W204" s="106"/>
      <c r="X204" s="106"/>
      <c r="Y204" s="106"/>
      <c r="Z204" s="106"/>
      <c r="AA204" s="106"/>
      <c r="AB204" s="106"/>
      <c r="AC204" s="9"/>
      <c r="AD204" s="106"/>
      <c r="AE204" s="106"/>
      <c r="AF204" s="106"/>
      <c r="AG204" s="106"/>
      <c r="AH204" s="106"/>
      <c r="AI204" s="106"/>
      <c r="AJ204" s="9"/>
      <c r="AK204" s="106"/>
      <c r="AL204" s="106"/>
      <c r="AM204" s="106"/>
      <c r="AN204" s="106"/>
      <c r="AO204" s="106"/>
      <c r="AP204" s="106"/>
      <c r="AQ204" s="9"/>
      <c r="AR204" s="106"/>
      <c r="AS204" s="106"/>
      <c r="AT204" s="106"/>
      <c r="AU204" s="106"/>
      <c r="AV204" s="106"/>
      <c r="AW204" s="106"/>
      <c r="AX204" s="9"/>
    </row>
    <row r="205" spans="1:50" ht="13.05" hidden="1" customHeight="1" thickBot="1" x14ac:dyDescent="0.3">
      <c r="A205" t="str">
        <f>Nutrients!B204</f>
        <v>TASA Prime meal Hubbard</v>
      </c>
      <c r="B205" s="106"/>
      <c r="C205" s="106"/>
      <c r="D205" s="106"/>
      <c r="E205" s="106"/>
      <c r="F205" s="106"/>
      <c r="G205" s="106"/>
      <c r="H205" s="106"/>
      <c r="I205" s="106"/>
      <c r="J205" s="106"/>
      <c r="K205" s="106"/>
      <c r="L205" s="106"/>
      <c r="M205" s="106"/>
      <c r="N205" s="106"/>
      <c r="O205" s="29"/>
      <c r="P205" s="106"/>
      <c r="Q205" s="106"/>
      <c r="R205" s="106"/>
      <c r="S205" s="106"/>
      <c r="T205" s="106"/>
      <c r="U205" s="106"/>
      <c r="V205" s="9"/>
      <c r="W205" s="106"/>
      <c r="X205" s="106"/>
      <c r="Y205" s="106"/>
      <c r="Z205" s="106"/>
      <c r="AA205" s="106"/>
      <c r="AB205" s="106"/>
      <c r="AC205" s="9"/>
      <c r="AD205" s="106"/>
      <c r="AE205" s="106"/>
      <c r="AF205" s="106"/>
      <c r="AG205" s="106"/>
      <c r="AH205" s="106"/>
      <c r="AI205" s="106"/>
      <c r="AJ205" s="9"/>
      <c r="AK205" s="106"/>
      <c r="AL205" s="106"/>
      <c r="AM205" s="106"/>
      <c r="AN205" s="106"/>
      <c r="AO205" s="106"/>
      <c r="AP205" s="106"/>
      <c r="AQ205" s="9"/>
      <c r="AR205" s="106"/>
      <c r="AS205" s="106"/>
      <c r="AT205" s="106"/>
      <c r="AU205" s="106"/>
      <c r="AV205" s="106"/>
      <c r="AW205" s="106"/>
      <c r="AX205" s="9"/>
    </row>
    <row r="206" spans="1:50" ht="13.05" hidden="1" customHeight="1" thickBot="1" x14ac:dyDescent="0.3">
      <c r="A206" t="str">
        <f>Nutrients!B205</f>
        <v>TASA Swine Hubbard</v>
      </c>
      <c r="B206" s="106"/>
      <c r="C206" s="106"/>
      <c r="D206" s="106"/>
      <c r="E206" s="106"/>
      <c r="F206" s="106"/>
      <c r="G206" s="106"/>
      <c r="H206" s="106"/>
      <c r="I206" s="106"/>
      <c r="J206" s="106"/>
      <c r="K206" s="106"/>
      <c r="L206" s="106"/>
      <c r="M206" s="106"/>
      <c r="N206" s="106"/>
      <c r="O206" s="29"/>
      <c r="P206" s="106"/>
      <c r="Q206" s="106"/>
      <c r="R206" s="106"/>
      <c r="S206" s="106"/>
      <c r="T206" s="106"/>
      <c r="U206" s="106"/>
      <c r="V206" s="9"/>
      <c r="W206" s="106"/>
      <c r="X206" s="106"/>
      <c r="Y206" s="106"/>
      <c r="Z206" s="106"/>
      <c r="AA206" s="106"/>
      <c r="AB206" s="106"/>
      <c r="AC206" s="9"/>
      <c r="AD206" s="106"/>
      <c r="AE206" s="106"/>
      <c r="AF206" s="106"/>
      <c r="AG206" s="106"/>
      <c r="AH206" s="106"/>
      <c r="AI206" s="106"/>
      <c r="AJ206" s="9"/>
      <c r="AK206" s="106"/>
      <c r="AL206" s="106"/>
      <c r="AM206" s="106"/>
      <c r="AN206" s="106"/>
      <c r="AO206" s="106"/>
      <c r="AP206" s="106"/>
      <c r="AQ206" s="9"/>
      <c r="AR206" s="106"/>
      <c r="AS206" s="106"/>
      <c r="AT206" s="106"/>
      <c r="AU206" s="106"/>
      <c r="AV206" s="106"/>
      <c r="AW206" s="106"/>
      <c r="AX206" s="9"/>
    </row>
    <row r="207" spans="1:50" ht="13.05" hidden="1" customHeight="1" thickBot="1" x14ac:dyDescent="0.3">
      <c r="A207" t="str">
        <f>Nutrients!B206</f>
        <v>TASA fish solubles Hubbard</v>
      </c>
      <c r="B207" s="106"/>
      <c r="C207" s="106"/>
      <c r="D207" s="106"/>
      <c r="E207" s="106"/>
      <c r="F207" s="106"/>
      <c r="G207" s="106"/>
      <c r="H207" s="106"/>
      <c r="I207" s="106"/>
      <c r="J207" s="106"/>
      <c r="K207" s="106"/>
      <c r="L207" s="106"/>
      <c r="M207" s="106"/>
      <c r="N207" s="106"/>
      <c r="O207" s="29"/>
      <c r="P207" s="106"/>
      <c r="Q207" s="106"/>
      <c r="R207" s="106"/>
      <c r="S207" s="106"/>
      <c r="T207" s="106"/>
      <c r="U207" s="106"/>
      <c r="V207" s="9"/>
      <c r="W207" s="106"/>
      <c r="X207" s="106"/>
      <c r="Y207" s="106"/>
      <c r="Z207" s="106"/>
      <c r="AA207" s="106"/>
      <c r="AB207" s="106"/>
      <c r="AC207" s="9"/>
      <c r="AD207" s="106"/>
      <c r="AE207" s="106"/>
      <c r="AF207" s="106"/>
      <c r="AG207" s="106"/>
      <c r="AH207" s="106"/>
      <c r="AI207" s="106"/>
      <c r="AJ207" s="9"/>
      <c r="AK207" s="106"/>
      <c r="AL207" s="106"/>
      <c r="AM207" s="106"/>
      <c r="AN207" s="106"/>
      <c r="AO207" s="106"/>
      <c r="AP207" s="106"/>
      <c r="AQ207" s="9"/>
      <c r="AR207" s="106"/>
      <c r="AS207" s="106"/>
      <c r="AT207" s="106"/>
      <c r="AU207" s="106"/>
      <c r="AV207" s="106"/>
      <c r="AW207" s="106"/>
      <c r="AX207" s="9"/>
    </row>
    <row r="208" spans="1:50" ht="13.05" hidden="1" customHeight="1" thickBot="1" x14ac:dyDescent="0.3">
      <c r="A208" t="str">
        <f>Nutrients!B207</f>
        <v>Mepro + TASA additive Hubbard</v>
      </c>
      <c r="B208" s="106"/>
      <c r="C208" s="106"/>
      <c r="D208" s="106"/>
      <c r="E208" s="106"/>
      <c r="F208" s="106"/>
      <c r="G208" s="106"/>
      <c r="H208" s="106"/>
      <c r="I208" s="106"/>
      <c r="J208" s="106"/>
      <c r="K208" s="106"/>
      <c r="L208" s="106"/>
      <c r="M208" s="106"/>
      <c r="N208" s="106"/>
      <c r="O208" s="29"/>
      <c r="P208" s="106"/>
      <c r="Q208" s="106"/>
      <c r="R208" s="106"/>
      <c r="S208" s="106"/>
      <c r="T208" s="106"/>
      <c r="U208" s="106"/>
      <c r="V208" s="9"/>
      <c r="W208" s="106"/>
      <c r="X208" s="106"/>
      <c r="Y208" s="106"/>
      <c r="Z208" s="106"/>
      <c r="AA208" s="106"/>
      <c r="AB208" s="106"/>
      <c r="AC208" s="9"/>
      <c r="AD208" s="106"/>
      <c r="AE208" s="106"/>
      <c r="AF208" s="106"/>
      <c r="AG208" s="106"/>
      <c r="AH208" s="106"/>
      <c r="AI208" s="106"/>
      <c r="AJ208" s="9"/>
      <c r="AK208" s="106"/>
      <c r="AL208" s="106"/>
      <c r="AM208" s="106"/>
      <c r="AN208" s="106"/>
      <c r="AO208" s="106"/>
      <c r="AP208" s="106"/>
      <c r="AQ208" s="9"/>
      <c r="AR208" s="106"/>
      <c r="AS208" s="106"/>
      <c r="AT208" s="106"/>
      <c r="AU208" s="106"/>
      <c r="AV208" s="106"/>
      <c r="AW208" s="106"/>
      <c r="AX208" s="9"/>
    </row>
    <row r="209" spans="1:50" ht="13.05" hidden="1" customHeight="1" thickBot="1" x14ac:dyDescent="0.3">
      <c r="A209" t="str">
        <f>Nutrients!B208</f>
        <v>TASA Prime + TASA additive Hubbard</v>
      </c>
      <c r="B209" s="106"/>
      <c r="C209" s="106"/>
      <c r="D209" s="106"/>
      <c r="E209" s="106"/>
      <c r="F209" s="106"/>
      <c r="G209" s="106"/>
      <c r="H209" s="106"/>
      <c r="I209" s="106"/>
      <c r="J209" s="106"/>
      <c r="K209" s="106"/>
      <c r="L209" s="106"/>
      <c r="M209" s="106"/>
      <c r="N209" s="106"/>
      <c r="O209" s="29"/>
      <c r="P209" s="106"/>
      <c r="Q209" s="106"/>
      <c r="R209" s="106"/>
      <c r="S209" s="106"/>
      <c r="T209" s="106"/>
      <c r="U209" s="106"/>
      <c r="V209" s="9"/>
      <c r="W209" s="106"/>
      <c r="X209" s="106"/>
      <c r="Y209" s="106"/>
      <c r="Z209" s="106"/>
      <c r="AA209" s="106"/>
      <c r="AB209" s="106"/>
      <c r="AC209" s="9"/>
      <c r="AD209" s="106"/>
      <c r="AE209" s="106"/>
      <c r="AF209" s="106"/>
      <c r="AG209" s="106"/>
      <c r="AH209" s="106"/>
      <c r="AI209" s="106"/>
      <c r="AJ209" s="9"/>
      <c r="AK209" s="106"/>
      <c r="AL209" s="106"/>
      <c r="AM209" s="106"/>
      <c r="AN209" s="106"/>
      <c r="AO209" s="106"/>
      <c r="AP209" s="106"/>
      <c r="AQ209" s="9"/>
      <c r="AR209" s="106"/>
      <c r="AS209" s="106"/>
      <c r="AT209" s="106"/>
      <c r="AU209" s="106"/>
      <c r="AV209" s="106"/>
      <c r="AW209" s="106"/>
      <c r="AX209" s="9"/>
    </row>
    <row r="210" spans="1:50" ht="13.05" hidden="1" customHeight="1" thickBot="1" x14ac:dyDescent="0.3">
      <c r="A210" t="str">
        <f>Nutrients!B209</f>
        <v>NHF SOW VTM 4# 2022</v>
      </c>
      <c r="B210" s="106"/>
      <c r="C210" s="106"/>
      <c r="D210" s="106"/>
      <c r="E210" s="106"/>
      <c r="F210" s="106"/>
      <c r="G210" s="106"/>
      <c r="H210" s="106"/>
      <c r="I210" s="106"/>
      <c r="J210" s="106"/>
      <c r="K210" s="106"/>
      <c r="L210" s="106"/>
      <c r="M210" s="106"/>
      <c r="N210" s="106"/>
      <c r="O210" s="29"/>
      <c r="P210" s="106"/>
      <c r="Q210" s="106"/>
      <c r="R210" s="106"/>
      <c r="S210" s="106"/>
      <c r="T210" s="106"/>
      <c r="U210" s="106"/>
      <c r="V210" s="9"/>
      <c r="W210" s="106"/>
      <c r="X210" s="106"/>
      <c r="Y210" s="106"/>
      <c r="Z210" s="106"/>
      <c r="AA210" s="106"/>
      <c r="AB210" s="106"/>
      <c r="AC210" s="9"/>
      <c r="AD210" s="106"/>
      <c r="AE210" s="106"/>
      <c r="AF210" s="106"/>
      <c r="AG210" s="106"/>
      <c r="AH210" s="106"/>
      <c r="AI210" s="106"/>
      <c r="AJ210" s="9"/>
      <c r="AK210" s="106"/>
      <c r="AL210" s="106"/>
      <c r="AM210" s="106"/>
      <c r="AN210" s="106"/>
      <c r="AO210" s="106"/>
      <c r="AP210" s="106"/>
      <c r="AQ210" s="9"/>
      <c r="AR210" s="106"/>
      <c r="AS210" s="106"/>
      <c r="AT210" s="106"/>
      <c r="AU210" s="106"/>
      <c r="AV210" s="106"/>
      <c r="AW210" s="106"/>
      <c r="AX210" s="9"/>
    </row>
    <row r="211" spans="1:50" ht="13.05" hidden="1" customHeight="1" thickBot="1" x14ac:dyDescent="0.3">
      <c r="A211" t="str">
        <f>Nutrients!B210</f>
        <v xml:space="preserve">ThrPro </v>
      </c>
      <c r="B211" s="106"/>
      <c r="C211" s="106"/>
      <c r="D211" s="106"/>
      <c r="E211" s="106"/>
      <c r="F211" s="106"/>
      <c r="G211" s="106"/>
      <c r="H211" s="106"/>
      <c r="I211" s="106"/>
      <c r="J211" s="106"/>
      <c r="K211" s="106"/>
      <c r="L211" s="106"/>
      <c r="M211" s="106"/>
      <c r="N211" s="106"/>
      <c r="O211" s="29"/>
      <c r="P211" s="106"/>
      <c r="Q211" s="106"/>
      <c r="R211" s="106"/>
      <c r="S211" s="106"/>
      <c r="T211" s="106"/>
      <c r="U211" s="106"/>
      <c r="V211" s="9"/>
      <c r="W211" s="106"/>
      <c r="X211" s="106"/>
      <c r="Y211" s="106"/>
      <c r="Z211" s="106"/>
      <c r="AA211" s="106"/>
      <c r="AB211" s="106"/>
      <c r="AC211" s="9"/>
      <c r="AD211" s="106"/>
      <c r="AE211" s="106"/>
      <c r="AF211" s="106"/>
      <c r="AG211" s="106"/>
      <c r="AH211" s="106"/>
      <c r="AI211" s="106"/>
      <c r="AJ211" s="9"/>
      <c r="AK211" s="106"/>
      <c r="AL211" s="106"/>
      <c r="AM211" s="106"/>
      <c r="AN211" s="106"/>
      <c r="AO211" s="106"/>
      <c r="AP211" s="106"/>
      <c r="AQ211" s="9"/>
      <c r="AR211" s="106"/>
      <c r="AS211" s="106"/>
      <c r="AT211" s="106"/>
      <c r="AU211" s="106"/>
      <c r="AV211" s="106"/>
      <c r="AW211" s="106"/>
      <c r="AX211" s="9"/>
    </row>
    <row r="212" spans="1:50" ht="13.05" hidden="1" customHeight="1" thickBot="1" x14ac:dyDescent="0.3">
      <c r="A212" t="str">
        <f>Nutrients!B211</f>
        <v>NHF Optiphos Plus 2500 G</v>
      </c>
      <c r="B212" s="106"/>
      <c r="C212" s="106"/>
      <c r="D212" s="106"/>
      <c r="E212" s="106"/>
      <c r="F212" s="106"/>
      <c r="G212" s="106"/>
      <c r="H212" s="106"/>
      <c r="I212" s="106"/>
      <c r="J212" s="106"/>
      <c r="K212" s="106"/>
      <c r="L212" s="106"/>
      <c r="M212" s="106"/>
      <c r="N212" s="106"/>
      <c r="O212" s="29"/>
      <c r="P212" s="106"/>
      <c r="Q212" s="106"/>
      <c r="R212" s="106"/>
      <c r="S212" s="106"/>
      <c r="T212" s="106"/>
      <c r="U212" s="106"/>
      <c r="V212" s="9"/>
      <c r="W212" s="106"/>
      <c r="X212" s="106"/>
      <c r="Y212" s="106"/>
      <c r="Z212" s="106"/>
      <c r="AA212" s="106"/>
      <c r="AB212" s="106"/>
      <c r="AC212" s="9"/>
      <c r="AD212" s="106"/>
      <c r="AE212" s="106"/>
      <c r="AF212" s="106"/>
      <c r="AG212" s="106"/>
      <c r="AH212" s="106"/>
      <c r="AI212" s="106"/>
      <c r="AJ212" s="9"/>
      <c r="AK212" s="106"/>
      <c r="AL212" s="106"/>
      <c r="AM212" s="106"/>
      <c r="AN212" s="106"/>
      <c r="AO212" s="106"/>
      <c r="AP212" s="106"/>
      <c r="AQ212" s="9"/>
      <c r="AR212" s="106"/>
      <c r="AS212" s="106"/>
      <c r="AT212" s="106"/>
      <c r="AU212" s="106"/>
      <c r="AV212" s="106"/>
      <c r="AW212" s="106"/>
      <c r="AX212" s="9"/>
    </row>
    <row r="213" spans="1:50" ht="13.05" hidden="1" customHeight="1" thickBot="1" x14ac:dyDescent="0.3">
      <c r="A213" t="str">
        <f>Nutrients!B212</f>
        <v>NHF Corn DDGS, Valero, Aurora</v>
      </c>
      <c r="B213" s="106"/>
      <c r="C213" s="106"/>
      <c r="D213" s="106"/>
      <c r="E213" s="106"/>
      <c r="F213" s="106"/>
      <c r="G213" s="106"/>
      <c r="H213" s="106"/>
      <c r="I213" s="106"/>
      <c r="J213" s="106"/>
      <c r="K213" s="106"/>
      <c r="L213" s="106"/>
      <c r="M213" s="106"/>
      <c r="N213" s="106"/>
      <c r="O213" s="29"/>
      <c r="P213" s="106"/>
      <c r="Q213" s="106"/>
      <c r="R213" s="106"/>
      <c r="S213" s="106"/>
      <c r="T213" s="106"/>
      <c r="U213" s="106"/>
      <c r="V213" s="9"/>
      <c r="W213" s="106"/>
      <c r="X213" s="106"/>
      <c r="Y213" s="106"/>
      <c r="Z213" s="106"/>
      <c r="AA213" s="106"/>
      <c r="AB213" s="106"/>
      <c r="AC213" s="9"/>
      <c r="AD213" s="106"/>
      <c r="AE213" s="106"/>
      <c r="AF213" s="106"/>
      <c r="AG213" s="106"/>
      <c r="AH213" s="106"/>
      <c r="AI213" s="106"/>
      <c r="AJ213" s="9"/>
      <c r="AK213" s="106"/>
      <c r="AL213" s="106"/>
      <c r="AM213" s="106"/>
      <c r="AN213" s="106"/>
      <c r="AO213" s="106"/>
      <c r="AP213" s="106"/>
      <c r="AQ213" s="9"/>
      <c r="AR213" s="106"/>
      <c r="AS213" s="106"/>
      <c r="AT213" s="106"/>
      <c r="AU213" s="106"/>
      <c r="AV213" s="106"/>
      <c r="AW213" s="106"/>
      <c r="AX213" s="9"/>
    </row>
    <row r="214" spans="1:50" ht="13.05" hidden="1" customHeight="1" thickBot="1" x14ac:dyDescent="0.3">
      <c r="A214" t="str">
        <f>Nutrients!B213</f>
        <v>HP 300 Hubbard</v>
      </c>
      <c r="B214" s="106"/>
      <c r="C214" s="106"/>
      <c r="D214" s="106"/>
      <c r="E214" s="106"/>
      <c r="F214" s="106"/>
      <c r="G214" s="106"/>
      <c r="H214" s="106"/>
      <c r="I214" s="106"/>
      <c r="J214" s="106"/>
      <c r="K214" s="106"/>
      <c r="L214" s="106"/>
      <c r="M214" s="106"/>
      <c r="N214" s="106"/>
      <c r="O214" s="29"/>
      <c r="P214" s="106"/>
      <c r="Q214" s="106"/>
      <c r="R214" s="106"/>
      <c r="S214" s="106"/>
      <c r="T214" s="106"/>
      <c r="U214" s="106"/>
      <c r="V214" s="9"/>
      <c r="W214" s="106"/>
      <c r="X214" s="106"/>
      <c r="Y214" s="106"/>
      <c r="Z214" s="106"/>
      <c r="AA214" s="106"/>
      <c r="AB214" s="106"/>
      <c r="AC214" s="9"/>
      <c r="AD214" s="106"/>
      <c r="AE214" s="106"/>
      <c r="AF214" s="106"/>
      <c r="AG214" s="106"/>
      <c r="AH214" s="106"/>
      <c r="AI214" s="106"/>
      <c r="AJ214" s="9"/>
      <c r="AK214" s="106"/>
      <c r="AL214" s="106"/>
      <c r="AM214" s="106"/>
      <c r="AN214" s="106"/>
      <c r="AO214" s="106"/>
      <c r="AP214" s="106"/>
      <c r="AQ214" s="9"/>
      <c r="AR214" s="106"/>
      <c r="AS214" s="106"/>
      <c r="AT214" s="106"/>
      <c r="AU214" s="106"/>
      <c r="AV214" s="106"/>
      <c r="AW214" s="106"/>
      <c r="AX214" s="9"/>
    </row>
    <row r="215" spans="1:50" ht="13.05" hidden="1" customHeight="1" thickBot="1" x14ac:dyDescent="0.3">
      <c r="A215" t="str">
        <f>Nutrients!B214</f>
        <v>NHF Corn DDGS, Illuminate for Aurora</v>
      </c>
      <c r="B215" s="106"/>
      <c r="C215" s="106"/>
      <c r="D215" s="106"/>
      <c r="E215" s="106"/>
      <c r="F215" s="106"/>
      <c r="G215" s="106"/>
      <c r="H215" s="106"/>
      <c r="I215" s="106"/>
      <c r="J215" s="106"/>
      <c r="K215" s="106"/>
      <c r="L215" s="106"/>
      <c r="M215" s="106"/>
      <c r="N215" s="106"/>
      <c r="O215" s="29"/>
      <c r="P215" s="106"/>
      <c r="Q215" s="106"/>
      <c r="R215" s="106"/>
      <c r="S215" s="106"/>
      <c r="T215" s="106"/>
      <c r="U215" s="106"/>
      <c r="V215" s="9"/>
      <c r="W215" s="106"/>
      <c r="X215" s="106"/>
      <c r="Y215" s="106"/>
      <c r="Z215" s="106"/>
      <c r="AA215" s="106"/>
      <c r="AB215" s="106"/>
      <c r="AC215" s="9"/>
      <c r="AD215" s="106"/>
      <c r="AE215" s="106"/>
      <c r="AF215" s="106"/>
      <c r="AG215" s="106"/>
      <c r="AH215" s="106"/>
      <c r="AI215" s="106"/>
      <c r="AJ215" s="9"/>
      <c r="AK215" s="106"/>
      <c r="AL215" s="106"/>
      <c r="AM215" s="106"/>
      <c r="AN215" s="106"/>
      <c r="AO215" s="106"/>
      <c r="AP215" s="106"/>
      <c r="AQ215" s="9"/>
      <c r="AR215" s="106"/>
      <c r="AS215" s="106"/>
      <c r="AT215" s="106"/>
      <c r="AU215" s="106"/>
      <c r="AV215" s="106"/>
      <c r="AW215" s="106"/>
      <c r="AX215" s="9"/>
    </row>
    <row r="216" spans="1:50" ht="13.05" hidden="1" customHeight="1" thickBot="1" x14ac:dyDescent="0.3">
      <c r="A216" t="str">
        <f>Nutrients!B215</f>
        <v>NFP Corn DDGS, MO analysis</v>
      </c>
      <c r="B216" s="106"/>
      <c r="C216" s="106"/>
      <c r="D216" s="106"/>
      <c r="E216" s="106"/>
      <c r="F216" s="106"/>
      <c r="G216" s="106"/>
      <c r="H216" s="106"/>
      <c r="I216" s="106"/>
      <c r="J216" s="106"/>
      <c r="K216" s="106"/>
      <c r="L216" s="106"/>
      <c r="M216" s="106"/>
      <c r="N216" s="106"/>
      <c r="O216" s="29"/>
      <c r="P216" s="106"/>
      <c r="Q216" s="106"/>
      <c r="R216" s="106"/>
      <c r="S216" s="106"/>
      <c r="T216" s="106"/>
      <c r="U216" s="106"/>
      <c r="V216" s="9"/>
      <c r="W216" s="106"/>
      <c r="X216" s="106"/>
      <c r="Y216" s="106"/>
      <c r="Z216" s="106"/>
      <c r="AA216" s="106"/>
      <c r="AB216" s="106"/>
      <c r="AC216" s="9"/>
      <c r="AD216" s="106"/>
      <c r="AE216" s="106"/>
      <c r="AF216" s="106"/>
      <c r="AG216" s="106"/>
      <c r="AH216" s="106"/>
      <c r="AI216" s="106"/>
      <c r="AJ216" s="9"/>
      <c r="AK216" s="106"/>
      <c r="AL216" s="106"/>
      <c r="AM216" s="106"/>
      <c r="AN216" s="106"/>
      <c r="AO216" s="106"/>
      <c r="AP216" s="106"/>
      <c r="AQ216" s="9"/>
      <c r="AR216" s="106"/>
      <c r="AS216" s="106"/>
      <c r="AT216" s="106"/>
      <c r="AU216" s="106"/>
      <c r="AV216" s="106"/>
      <c r="AW216" s="106"/>
      <c r="AX216" s="9"/>
    </row>
    <row r="217" spans="1:50" ht="13.05" hidden="1" customHeight="1" thickBot="1" x14ac:dyDescent="0.3">
      <c r="A217" t="str">
        <f>Nutrients!B216</f>
        <v>NFP Smizyme 2500</v>
      </c>
      <c r="B217" s="106"/>
      <c r="C217" s="106"/>
      <c r="D217" s="106"/>
      <c r="E217" s="106"/>
      <c r="F217" s="106"/>
      <c r="G217" s="106"/>
      <c r="H217" s="106"/>
      <c r="I217" s="106"/>
      <c r="J217" s="106"/>
      <c r="K217" s="106"/>
      <c r="L217" s="106"/>
      <c r="M217" s="106"/>
      <c r="N217" s="106"/>
      <c r="O217" s="29"/>
      <c r="P217" s="106"/>
      <c r="Q217" s="106"/>
      <c r="R217" s="106"/>
      <c r="S217" s="106"/>
      <c r="T217" s="106"/>
      <c r="U217" s="106"/>
      <c r="V217" s="9"/>
      <c r="W217" s="106"/>
      <c r="X217" s="106"/>
      <c r="Y217" s="106"/>
      <c r="Z217" s="106"/>
      <c r="AA217" s="106"/>
      <c r="AB217" s="106"/>
      <c r="AC217" s="9"/>
      <c r="AD217" s="106"/>
      <c r="AE217" s="106"/>
      <c r="AF217" s="106"/>
      <c r="AG217" s="106"/>
      <c r="AH217" s="106"/>
      <c r="AI217" s="106"/>
      <c r="AJ217" s="9"/>
      <c r="AK217" s="106"/>
      <c r="AL217" s="106"/>
      <c r="AM217" s="106"/>
      <c r="AN217" s="106"/>
      <c r="AO217" s="106"/>
      <c r="AP217" s="106"/>
      <c r="AQ217" s="9"/>
      <c r="AR217" s="106"/>
      <c r="AS217" s="106"/>
      <c r="AT217" s="106"/>
      <c r="AU217" s="106"/>
      <c r="AV217" s="106"/>
      <c r="AW217" s="106"/>
      <c r="AX217" s="9"/>
    </row>
    <row r="218" spans="1:50" ht="13.05" hidden="1" customHeight="1" thickBot="1" x14ac:dyDescent="0.3">
      <c r="A218" t="str">
        <f>Nutrients!B217</f>
        <v>NHF HP300 2022 loadings</v>
      </c>
      <c r="B218" s="106"/>
      <c r="C218" s="106"/>
      <c r="D218" s="106"/>
      <c r="E218" s="106"/>
      <c r="F218" s="106"/>
      <c r="G218" s="106"/>
      <c r="H218" s="106"/>
      <c r="I218" s="106"/>
      <c r="J218" s="106"/>
      <c r="K218" s="106"/>
      <c r="L218" s="106"/>
      <c r="M218" s="106"/>
      <c r="N218" s="106"/>
      <c r="O218" s="29"/>
      <c r="P218" s="106"/>
      <c r="Q218" s="106"/>
      <c r="R218" s="106"/>
      <c r="S218" s="106"/>
      <c r="T218" s="106"/>
      <c r="U218" s="106"/>
      <c r="V218" s="9"/>
      <c r="W218" s="106"/>
      <c r="X218" s="106"/>
      <c r="Y218" s="106"/>
      <c r="Z218" s="106"/>
      <c r="AA218" s="106"/>
      <c r="AB218" s="106"/>
      <c r="AC218" s="9"/>
      <c r="AD218" s="106"/>
      <c r="AE218" s="106"/>
      <c r="AF218" s="106"/>
      <c r="AG218" s="106"/>
      <c r="AH218" s="106"/>
      <c r="AI218" s="106"/>
      <c r="AJ218" s="9"/>
      <c r="AK218" s="106"/>
      <c r="AL218" s="106"/>
      <c r="AM218" s="106"/>
      <c r="AN218" s="106"/>
      <c r="AO218" s="106"/>
      <c r="AP218" s="106"/>
      <c r="AQ218" s="9"/>
      <c r="AR218" s="106"/>
      <c r="AS218" s="106"/>
      <c r="AT218" s="106"/>
      <c r="AU218" s="106"/>
      <c r="AV218" s="106"/>
      <c r="AW218" s="106"/>
      <c r="AX218" s="9"/>
    </row>
    <row r="219" spans="1:50" ht="13.05" hidden="1" customHeight="1" thickBot="1" x14ac:dyDescent="0.3">
      <c r="A219" t="str">
        <f>Nutrients!B218</f>
        <v>NHF Liquid Lys 55%</v>
      </c>
      <c r="B219" s="106"/>
      <c r="C219" s="106"/>
      <c r="D219" s="106"/>
      <c r="E219" s="106"/>
      <c r="F219" s="106"/>
      <c r="G219" s="106"/>
      <c r="H219" s="106"/>
      <c r="I219" s="106"/>
      <c r="J219" s="106"/>
      <c r="K219" s="106"/>
      <c r="L219" s="106"/>
      <c r="M219" s="106"/>
      <c r="N219" s="106"/>
      <c r="O219" s="29"/>
      <c r="P219" s="106"/>
      <c r="Q219" s="106"/>
      <c r="R219" s="106"/>
      <c r="S219" s="106"/>
      <c r="T219" s="106"/>
      <c r="U219" s="106"/>
      <c r="V219" s="9"/>
      <c r="W219" s="106"/>
      <c r="X219" s="106"/>
      <c r="Y219" s="106"/>
      <c r="Z219" s="106"/>
      <c r="AA219" s="106"/>
      <c r="AB219" s="106"/>
      <c r="AC219" s="9"/>
      <c r="AD219" s="106"/>
      <c r="AE219" s="106"/>
      <c r="AF219" s="106"/>
      <c r="AG219" s="106"/>
      <c r="AH219" s="106"/>
      <c r="AI219" s="106"/>
      <c r="AJ219" s="9"/>
      <c r="AK219" s="106"/>
      <c r="AL219" s="106"/>
      <c r="AM219" s="106"/>
      <c r="AN219" s="106"/>
      <c r="AO219" s="106"/>
      <c r="AP219" s="106"/>
      <c r="AQ219" s="9"/>
      <c r="AR219" s="106"/>
      <c r="AS219" s="106"/>
      <c r="AT219" s="106"/>
      <c r="AU219" s="106"/>
      <c r="AV219" s="106"/>
      <c r="AW219" s="106"/>
      <c r="AX219" s="9"/>
    </row>
    <row r="220" spans="1:50" ht="13.8" thickBot="1" x14ac:dyDescent="0.3">
      <c r="A220" t="str">
        <f>Nutrients!B219</f>
        <v>Corn DDGS with varying energy</v>
      </c>
      <c r="B220" s="106"/>
      <c r="C220" s="106"/>
      <c r="D220" s="106"/>
      <c r="E220" s="106"/>
      <c r="F220" s="106"/>
      <c r="G220" s="106"/>
      <c r="H220" s="106"/>
      <c r="I220" s="106">
        <v>100</v>
      </c>
      <c r="J220" s="106">
        <v>100</v>
      </c>
      <c r="K220" s="106">
        <v>100</v>
      </c>
      <c r="L220" s="106">
        <v>100</v>
      </c>
      <c r="M220" s="106">
        <v>100</v>
      </c>
      <c r="N220" s="106">
        <v>100</v>
      </c>
      <c r="O220" s="29"/>
      <c r="P220" s="106">
        <v>200</v>
      </c>
      <c r="Q220" s="106">
        <v>200</v>
      </c>
      <c r="R220" s="106">
        <v>200</v>
      </c>
      <c r="S220" s="106">
        <v>200</v>
      </c>
      <c r="T220" s="106">
        <v>200</v>
      </c>
      <c r="U220" s="106">
        <v>200</v>
      </c>
      <c r="V220" s="9"/>
      <c r="W220" s="106">
        <v>300</v>
      </c>
      <c r="X220" s="106">
        <v>300</v>
      </c>
      <c r="Y220" s="106">
        <v>300</v>
      </c>
      <c r="Z220" s="106">
        <v>300</v>
      </c>
      <c r="AA220" s="106">
        <v>300</v>
      </c>
      <c r="AB220" s="106">
        <v>300</v>
      </c>
      <c r="AC220" s="9"/>
      <c r="AD220" s="106">
        <v>400</v>
      </c>
      <c r="AE220" s="106">
        <v>400</v>
      </c>
      <c r="AF220" s="106">
        <v>400</v>
      </c>
      <c r="AG220" s="106">
        <v>400</v>
      </c>
      <c r="AH220" s="106">
        <v>400</v>
      </c>
      <c r="AI220" s="106">
        <v>400</v>
      </c>
      <c r="AJ220" s="9"/>
      <c r="AK220" s="106">
        <v>500</v>
      </c>
      <c r="AL220" s="106">
        <v>500</v>
      </c>
      <c r="AM220" s="106">
        <v>500</v>
      </c>
      <c r="AN220" s="106">
        <v>500</v>
      </c>
      <c r="AO220" s="106">
        <v>500</v>
      </c>
      <c r="AP220" s="106">
        <v>500</v>
      </c>
      <c r="AQ220" s="9"/>
      <c r="AR220" s="106">
        <v>600</v>
      </c>
      <c r="AS220" s="106">
        <v>600</v>
      </c>
      <c r="AT220" s="106">
        <v>600</v>
      </c>
      <c r="AU220" s="106">
        <v>600</v>
      </c>
      <c r="AV220" s="106">
        <v>600</v>
      </c>
      <c r="AW220" s="106">
        <v>600</v>
      </c>
      <c r="AX220" s="9"/>
    </row>
    <row r="221" spans="1:50" ht="13.05" hidden="1" customHeight="1" x14ac:dyDescent="0.25">
      <c r="A221" t="str">
        <f>Nutrients!B220</f>
        <v>Other ingredient</v>
      </c>
      <c r="B221" s="99"/>
      <c r="C221" s="99"/>
      <c r="D221" s="99"/>
      <c r="E221" s="99"/>
      <c r="F221" s="99"/>
      <c r="G221" s="99"/>
      <c r="H221" s="99"/>
      <c r="I221" s="99"/>
      <c r="J221" s="99"/>
      <c r="K221" s="99"/>
      <c r="L221" s="99"/>
      <c r="M221" s="99"/>
      <c r="N221" s="99"/>
      <c r="O221" s="10"/>
      <c r="P221" s="99"/>
      <c r="Q221" s="99"/>
      <c r="R221" s="99"/>
      <c r="S221" s="99"/>
      <c r="T221" s="99"/>
      <c r="U221" s="99"/>
      <c r="W221" s="99"/>
      <c r="X221" s="99"/>
      <c r="Y221" s="99"/>
      <c r="Z221" s="99"/>
      <c r="AA221" s="99"/>
      <c r="AB221" s="99"/>
      <c r="AD221" s="99"/>
      <c r="AE221" s="99"/>
      <c r="AF221" s="99"/>
      <c r="AG221" s="99"/>
      <c r="AH221" s="99"/>
      <c r="AI221" s="99"/>
      <c r="AK221" s="99"/>
      <c r="AL221" s="99"/>
      <c r="AM221" s="99"/>
      <c r="AN221" s="99"/>
      <c r="AO221" s="99"/>
      <c r="AP221" s="99"/>
      <c r="AR221" s="99"/>
      <c r="AS221" s="99"/>
      <c r="AT221" s="99"/>
      <c r="AU221" s="99"/>
      <c r="AV221" s="99"/>
      <c r="AW221" s="99"/>
    </row>
    <row r="222" spans="1:50" ht="13.05" hidden="1" customHeight="1" x14ac:dyDescent="0.25">
      <c r="A222" t="str">
        <f>Nutrients!B221</f>
        <v>Other ingredient</v>
      </c>
      <c r="B222" s="99"/>
      <c r="C222" s="99"/>
      <c r="D222" s="99"/>
      <c r="E222" s="99"/>
      <c r="F222" s="99"/>
      <c r="G222" s="99"/>
      <c r="H222" s="99"/>
      <c r="I222" s="99"/>
      <c r="J222" s="99"/>
      <c r="K222" s="99"/>
      <c r="L222" s="99"/>
      <c r="M222" s="99"/>
      <c r="N222" s="99"/>
      <c r="O222" s="10"/>
      <c r="P222" s="99"/>
      <c r="Q222" s="99"/>
      <c r="R222" s="99"/>
      <c r="S222" s="99"/>
      <c r="T222" s="99"/>
      <c r="U222" s="99"/>
      <c r="W222" s="99"/>
      <c r="X222" s="99"/>
      <c r="Y222" s="99"/>
      <c r="Z222" s="99"/>
      <c r="AA222" s="99"/>
      <c r="AB222" s="99"/>
      <c r="AD222" s="99"/>
      <c r="AE222" s="99"/>
      <c r="AF222" s="99"/>
      <c r="AG222" s="99"/>
      <c r="AH222" s="99"/>
      <c r="AI222" s="99"/>
      <c r="AK222" s="99"/>
      <c r="AL222" s="99"/>
      <c r="AM222" s="99"/>
      <c r="AN222" s="99"/>
      <c r="AO222" s="99"/>
      <c r="AP222" s="99"/>
      <c r="AR222" s="99"/>
      <c r="AS222" s="99"/>
      <c r="AT222" s="99"/>
      <c r="AU222" s="99"/>
      <c r="AV222" s="99"/>
      <c r="AW222" s="99"/>
    </row>
    <row r="223" spans="1:50" ht="13.05" hidden="1" customHeight="1" x14ac:dyDescent="0.25">
      <c r="A223" t="str">
        <f>Nutrients!B222</f>
        <v>Other ingredient</v>
      </c>
      <c r="B223" s="99"/>
      <c r="C223" s="99"/>
      <c r="D223" s="99"/>
      <c r="E223" s="99"/>
      <c r="F223" s="99"/>
      <c r="G223" s="99"/>
      <c r="H223" s="99"/>
      <c r="I223" s="99"/>
      <c r="J223" s="99"/>
      <c r="K223" s="99"/>
      <c r="L223" s="99"/>
      <c r="M223" s="99"/>
      <c r="N223" s="99"/>
      <c r="O223" s="10"/>
      <c r="P223" s="99"/>
      <c r="Q223" s="99"/>
      <c r="R223" s="99"/>
      <c r="S223" s="99"/>
      <c r="T223" s="99"/>
      <c r="U223" s="99"/>
      <c r="W223" s="99"/>
      <c r="X223" s="99"/>
      <c r="Y223" s="99"/>
      <c r="Z223" s="99"/>
      <c r="AA223" s="99"/>
      <c r="AB223" s="99"/>
      <c r="AD223" s="99"/>
      <c r="AE223" s="99"/>
      <c r="AF223" s="99"/>
      <c r="AG223" s="99"/>
      <c r="AH223" s="99"/>
      <c r="AI223" s="99"/>
      <c r="AK223" s="99"/>
      <c r="AL223" s="99"/>
      <c r="AM223" s="99"/>
      <c r="AN223" s="99"/>
      <c r="AO223" s="99"/>
      <c r="AP223" s="99"/>
      <c r="AR223" s="99"/>
      <c r="AS223" s="99"/>
      <c r="AT223" s="99"/>
      <c r="AU223" s="99"/>
      <c r="AV223" s="99"/>
      <c r="AW223" s="99"/>
    </row>
    <row r="224" spans="1:50" ht="13.05" hidden="1" customHeight="1" x14ac:dyDescent="0.25">
      <c r="A224" t="str">
        <f>Nutrients!B223</f>
        <v>Other ingredient</v>
      </c>
      <c r="B224" s="99"/>
      <c r="C224" s="99"/>
      <c r="D224" s="99"/>
      <c r="E224" s="99"/>
      <c r="F224" s="99"/>
      <c r="G224" s="99"/>
      <c r="H224" s="99"/>
      <c r="I224" s="99"/>
      <c r="J224" s="99"/>
      <c r="K224" s="99"/>
      <c r="L224" s="99"/>
      <c r="M224" s="99"/>
      <c r="N224" s="99"/>
      <c r="O224" s="10"/>
      <c r="P224" s="99"/>
      <c r="Q224" s="99"/>
      <c r="R224" s="99"/>
      <c r="S224" s="99"/>
      <c r="T224" s="99"/>
      <c r="U224" s="99"/>
      <c r="W224" s="99"/>
      <c r="X224" s="99"/>
      <c r="Y224" s="99"/>
      <c r="Z224" s="99"/>
      <c r="AA224" s="99"/>
      <c r="AB224" s="99"/>
      <c r="AD224" s="99"/>
      <c r="AE224" s="99"/>
      <c r="AF224" s="99"/>
      <c r="AG224" s="99"/>
      <c r="AH224" s="99"/>
      <c r="AI224" s="99"/>
      <c r="AK224" s="99"/>
      <c r="AL224" s="99"/>
      <c r="AM224" s="99"/>
      <c r="AN224" s="99"/>
      <c r="AO224" s="99"/>
      <c r="AP224" s="99"/>
      <c r="AR224" s="99"/>
      <c r="AS224" s="99"/>
      <c r="AT224" s="99"/>
      <c r="AU224" s="99"/>
      <c r="AV224" s="99"/>
      <c r="AW224" s="99"/>
    </row>
    <row r="225" spans="1:50" ht="13.05" hidden="1" customHeight="1" x14ac:dyDescent="0.25">
      <c r="A225" t="str">
        <f>Nutrients!B224</f>
        <v>Other ingredient</v>
      </c>
      <c r="B225" s="99"/>
      <c r="C225" s="99"/>
      <c r="D225" s="99"/>
      <c r="E225" s="99"/>
      <c r="F225" s="99"/>
      <c r="G225" s="99"/>
      <c r="H225" s="99"/>
      <c r="I225" s="99"/>
      <c r="J225" s="99"/>
      <c r="K225" s="99"/>
      <c r="L225" s="99"/>
      <c r="M225" s="99"/>
      <c r="N225" s="99"/>
      <c r="O225" s="10"/>
      <c r="P225" s="99"/>
      <c r="Q225" s="99"/>
      <c r="R225" s="99"/>
      <c r="S225" s="99"/>
      <c r="T225" s="99"/>
      <c r="U225" s="99"/>
      <c r="W225" s="99"/>
      <c r="X225" s="99"/>
      <c r="Y225" s="99"/>
      <c r="Z225" s="99"/>
      <c r="AA225" s="99"/>
      <c r="AB225" s="99"/>
      <c r="AD225" s="99"/>
      <c r="AE225" s="99"/>
      <c r="AF225" s="99"/>
      <c r="AG225" s="99"/>
      <c r="AH225" s="99"/>
      <c r="AI225" s="99"/>
      <c r="AK225" s="99"/>
      <c r="AL225" s="99"/>
      <c r="AM225" s="99"/>
      <c r="AN225" s="99"/>
      <c r="AO225" s="99"/>
      <c r="AP225" s="99"/>
      <c r="AR225" s="99"/>
      <c r="AS225" s="99"/>
      <c r="AT225" s="99"/>
      <c r="AU225" s="99"/>
      <c r="AV225" s="99"/>
      <c r="AW225" s="99"/>
    </row>
    <row r="226" spans="1:50" ht="13.05" hidden="1" customHeight="1" x14ac:dyDescent="0.25">
      <c r="A226" t="str">
        <f>Nutrients!B225</f>
        <v>Other ingredient</v>
      </c>
      <c r="B226" s="99"/>
      <c r="C226" s="99"/>
      <c r="D226" s="99"/>
      <c r="E226" s="99"/>
      <c r="F226" s="99"/>
      <c r="G226" s="99"/>
      <c r="H226" s="99"/>
      <c r="I226" s="99"/>
      <c r="J226" s="99"/>
      <c r="K226" s="99"/>
      <c r="L226" s="99"/>
      <c r="M226" s="99"/>
      <c r="N226" s="99"/>
      <c r="O226" s="10"/>
      <c r="P226" s="99"/>
      <c r="Q226" s="99"/>
      <c r="R226" s="99"/>
      <c r="S226" s="99"/>
      <c r="T226" s="99"/>
      <c r="U226" s="99"/>
      <c r="W226" s="99"/>
      <c r="X226" s="99"/>
      <c r="Y226" s="99"/>
      <c r="Z226" s="99"/>
      <c r="AA226" s="99"/>
      <c r="AB226" s="99"/>
      <c r="AD226" s="99"/>
      <c r="AE226" s="99"/>
      <c r="AF226" s="99"/>
      <c r="AG226" s="99"/>
      <c r="AH226" s="99"/>
      <c r="AI226" s="99"/>
      <c r="AK226" s="99"/>
      <c r="AL226" s="99"/>
      <c r="AM226" s="99"/>
      <c r="AN226" s="99"/>
      <c r="AO226" s="99"/>
      <c r="AP226" s="99"/>
      <c r="AR226" s="99"/>
      <c r="AS226" s="99"/>
      <c r="AT226" s="99"/>
      <c r="AU226" s="99"/>
      <c r="AV226" s="99"/>
      <c r="AW226" s="99"/>
    </row>
    <row r="227" spans="1:50" ht="13.05" hidden="1" customHeight="1" x14ac:dyDescent="0.25">
      <c r="A227" t="str">
        <f>Nutrients!B226</f>
        <v>Other ingredient</v>
      </c>
      <c r="B227" s="99"/>
      <c r="C227" s="99"/>
      <c r="D227" s="99"/>
      <c r="E227" s="99"/>
      <c r="F227" s="99"/>
      <c r="G227" s="99"/>
      <c r="H227" s="99"/>
      <c r="I227" s="99"/>
      <c r="J227" s="99"/>
      <c r="K227" s="99"/>
      <c r="L227" s="99"/>
      <c r="M227" s="99"/>
      <c r="N227" s="99"/>
      <c r="O227" s="10"/>
      <c r="P227" s="99"/>
      <c r="Q227" s="99"/>
      <c r="R227" s="99"/>
      <c r="S227" s="99"/>
      <c r="T227" s="99"/>
      <c r="U227" s="99"/>
      <c r="W227" s="99"/>
      <c r="X227" s="99"/>
      <c r="Y227" s="99"/>
      <c r="Z227" s="99"/>
      <c r="AA227" s="99"/>
      <c r="AB227" s="99"/>
      <c r="AD227" s="99"/>
      <c r="AE227" s="99"/>
      <c r="AF227" s="99"/>
      <c r="AG227" s="99"/>
      <c r="AH227" s="99"/>
      <c r="AI227" s="99"/>
      <c r="AK227" s="99"/>
      <c r="AL227" s="99"/>
      <c r="AM227" s="99"/>
      <c r="AN227" s="99"/>
      <c r="AO227" s="99"/>
      <c r="AP227" s="99"/>
      <c r="AR227" s="99"/>
      <c r="AS227" s="99"/>
      <c r="AT227" s="99"/>
      <c r="AU227" s="99"/>
      <c r="AV227" s="99"/>
      <c r="AW227" s="99"/>
    </row>
    <row r="228" spans="1:50" ht="13.05" hidden="1" customHeight="1" x14ac:dyDescent="0.25">
      <c r="A228" t="str">
        <f>Nutrients!B227</f>
        <v>Other ingredient</v>
      </c>
      <c r="B228" s="99"/>
      <c r="C228" s="99"/>
      <c r="D228" s="99"/>
      <c r="E228" s="99"/>
      <c r="F228" s="99"/>
      <c r="G228" s="99"/>
      <c r="H228" s="99"/>
      <c r="I228" s="99"/>
      <c r="J228" s="99"/>
      <c r="K228" s="99"/>
      <c r="L228" s="99"/>
      <c r="M228" s="99"/>
      <c r="N228" s="99"/>
      <c r="O228" s="10"/>
      <c r="P228" s="99"/>
      <c r="Q228" s="99"/>
      <c r="R228" s="99"/>
      <c r="S228" s="99"/>
      <c r="T228" s="99"/>
      <c r="U228" s="99"/>
      <c r="W228" s="99"/>
      <c r="X228" s="99"/>
      <c r="Y228" s="99"/>
      <c r="Z228" s="99"/>
      <c r="AA228" s="99"/>
      <c r="AB228" s="99"/>
      <c r="AD228" s="99"/>
      <c r="AE228" s="99"/>
      <c r="AF228" s="99"/>
      <c r="AG228" s="99"/>
      <c r="AH228" s="99"/>
      <c r="AI228" s="99"/>
      <c r="AK228" s="99"/>
      <c r="AL228" s="99"/>
      <c r="AM228" s="99"/>
      <c r="AN228" s="99"/>
      <c r="AO228" s="99"/>
      <c r="AP228" s="99"/>
      <c r="AR228" s="99"/>
      <c r="AS228" s="99"/>
      <c r="AT228" s="99"/>
      <c r="AU228" s="99"/>
      <c r="AV228" s="99"/>
      <c r="AW228" s="99"/>
    </row>
    <row r="229" spans="1:50" ht="13.95" hidden="1" customHeight="1" x14ac:dyDescent="0.25">
      <c r="A229" t="str">
        <f>Nutrients!B228</f>
        <v>Other ingredient</v>
      </c>
      <c r="B229" s="99"/>
      <c r="C229" s="99"/>
      <c r="D229" s="99"/>
      <c r="E229" s="99"/>
      <c r="F229" s="99"/>
      <c r="G229" s="99"/>
      <c r="H229" s="99"/>
      <c r="I229" s="99"/>
      <c r="J229" s="99"/>
      <c r="K229" s="99"/>
      <c r="L229" s="99"/>
      <c r="M229" s="99"/>
      <c r="N229" s="99"/>
      <c r="O229" s="10"/>
      <c r="P229" s="99"/>
      <c r="Q229" s="99"/>
      <c r="R229" s="99"/>
      <c r="S229" s="99"/>
      <c r="T229" s="99"/>
      <c r="U229" s="99"/>
      <c r="W229" s="99"/>
      <c r="X229" s="99"/>
      <c r="Y229" s="99"/>
      <c r="Z229" s="99"/>
      <c r="AA229" s="99"/>
      <c r="AB229" s="99"/>
      <c r="AD229" s="99"/>
      <c r="AE229" s="99"/>
      <c r="AF229" s="99"/>
      <c r="AG229" s="99"/>
      <c r="AH229" s="99"/>
      <c r="AI229" s="99"/>
      <c r="AK229" s="99"/>
      <c r="AL229" s="99"/>
      <c r="AM229" s="99"/>
      <c r="AN229" s="99"/>
      <c r="AO229" s="99"/>
      <c r="AP229" s="99"/>
      <c r="AR229" s="99"/>
      <c r="AS229" s="99"/>
      <c r="AT229" s="99"/>
      <c r="AU229" s="99"/>
      <c r="AV229" s="99"/>
      <c r="AW229" s="99"/>
    </row>
    <row r="230" spans="1:50" x14ac:dyDescent="0.25">
      <c r="A230" s="1" t="s">
        <v>17</v>
      </c>
      <c r="B230" s="292">
        <f t="shared" ref="B230:G230" si="13">SUM(B7:B229)</f>
        <v>2000</v>
      </c>
      <c r="C230" s="292">
        <f t="shared" si="13"/>
        <v>2000</v>
      </c>
      <c r="D230" s="292">
        <f t="shared" si="13"/>
        <v>2000</v>
      </c>
      <c r="E230" s="292">
        <f t="shared" si="13"/>
        <v>2000</v>
      </c>
      <c r="F230" s="292">
        <f t="shared" si="13"/>
        <v>2000</v>
      </c>
      <c r="G230" s="292">
        <f t="shared" si="13"/>
        <v>1999.9999999999998</v>
      </c>
      <c r="H230" s="292"/>
      <c r="I230" s="292">
        <f t="shared" ref="I230:N230" si="14">SUM(I7:I229)</f>
        <v>1999.9999999999998</v>
      </c>
      <c r="J230" s="292">
        <f t="shared" si="14"/>
        <v>2000</v>
      </c>
      <c r="K230" s="292">
        <f t="shared" si="14"/>
        <v>2000.0000000000002</v>
      </c>
      <c r="L230" s="292">
        <f t="shared" si="14"/>
        <v>1999.9999999999998</v>
      </c>
      <c r="M230" s="292">
        <f t="shared" si="14"/>
        <v>2000</v>
      </c>
      <c r="N230" s="292">
        <f t="shared" si="14"/>
        <v>2000</v>
      </c>
      <c r="O230" s="9"/>
      <c r="P230" s="292">
        <f t="shared" ref="P230:U230" si="15">SUM(P7:P229)</f>
        <v>2000</v>
      </c>
      <c r="Q230" s="292">
        <f t="shared" si="15"/>
        <v>2000</v>
      </c>
      <c r="R230" s="292">
        <f t="shared" si="15"/>
        <v>2000</v>
      </c>
      <c r="S230" s="292">
        <f t="shared" si="15"/>
        <v>2000.0000000000002</v>
      </c>
      <c r="T230" s="292">
        <f t="shared" si="15"/>
        <v>2000.0000000000002</v>
      </c>
      <c r="U230" s="292">
        <f t="shared" si="15"/>
        <v>2000.0000000000002</v>
      </c>
      <c r="W230" s="292">
        <f t="shared" ref="W230:AB230" si="16">SUM(W7:W229)</f>
        <v>2000</v>
      </c>
      <c r="X230" s="292">
        <f t="shared" si="16"/>
        <v>1999.9999999999998</v>
      </c>
      <c r="Y230" s="292">
        <f t="shared" si="16"/>
        <v>1999.9999999999998</v>
      </c>
      <c r="Z230" s="292">
        <f t="shared" si="16"/>
        <v>2000</v>
      </c>
      <c r="AA230" s="292">
        <f t="shared" si="16"/>
        <v>2000</v>
      </c>
      <c r="AB230" s="292">
        <f t="shared" si="16"/>
        <v>2000</v>
      </c>
      <c r="AD230" s="292">
        <f t="shared" ref="AD230:AI230" si="17">SUM(AD7:AD229)</f>
        <v>1999.9999999999998</v>
      </c>
      <c r="AE230" s="292">
        <f t="shared" si="17"/>
        <v>1999.9999999999998</v>
      </c>
      <c r="AF230" s="292">
        <f t="shared" si="17"/>
        <v>2000</v>
      </c>
      <c r="AG230" s="292">
        <f t="shared" si="17"/>
        <v>1999.9999999999998</v>
      </c>
      <c r="AH230" s="292">
        <f t="shared" si="17"/>
        <v>1999.9999999999998</v>
      </c>
      <c r="AI230" s="292">
        <f t="shared" si="17"/>
        <v>1999.9999999999998</v>
      </c>
      <c r="AK230" s="292">
        <f t="shared" ref="AK230:AP230" si="18">SUM(AK7:AK229)</f>
        <v>2000</v>
      </c>
      <c r="AL230" s="292">
        <f t="shared" si="18"/>
        <v>2000</v>
      </c>
      <c r="AM230" s="292">
        <f t="shared" si="18"/>
        <v>2000.0000000000002</v>
      </c>
      <c r="AN230" s="292">
        <f t="shared" si="18"/>
        <v>2000.0000000000002</v>
      </c>
      <c r="AO230" s="292">
        <f t="shared" si="18"/>
        <v>1999.9999999999998</v>
      </c>
      <c r="AP230" s="292">
        <f t="shared" si="18"/>
        <v>2000</v>
      </c>
      <c r="AR230" s="292">
        <f t="shared" ref="AR230:AW230" si="19">SUM(AR7:AR229)</f>
        <v>2000</v>
      </c>
      <c r="AS230" s="292">
        <f t="shared" si="19"/>
        <v>2000.0000000000005</v>
      </c>
      <c r="AT230" s="292">
        <f t="shared" si="19"/>
        <v>2000</v>
      </c>
      <c r="AU230" s="292">
        <f t="shared" si="19"/>
        <v>2000.0000000000002</v>
      </c>
      <c r="AV230" s="292">
        <f t="shared" si="19"/>
        <v>2000.0000000000002</v>
      </c>
      <c r="AW230" s="292">
        <f t="shared" si="19"/>
        <v>2000.0000000000002</v>
      </c>
    </row>
    <row r="231" spans="1:50" x14ac:dyDescent="0.25">
      <c r="A231" s="9"/>
      <c r="B231" s="7"/>
      <c r="C231" s="7"/>
      <c r="D231" s="7"/>
      <c r="E231" s="7"/>
      <c r="F231" s="7"/>
      <c r="G231" s="7"/>
      <c r="H231" s="7"/>
      <c r="I231" s="7"/>
      <c r="J231" s="7"/>
      <c r="K231" s="7"/>
      <c r="L231" s="7"/>
      <c r="M231" s="7"/>
      <c r="N231" s="7"/>
      <c r="O231" s="7"/>
      <c r="P231" s="7"/>
      <c r="Q231" s="7"/>
      <c r="R231" s="7"/>
      <c r="S231" s="7"/>
      <c r="T231" s="7"/>
      <c r="U231" s="7"/>
      <c r="W231" s="7"/>
      <c r="X231" s="7"/>
      <c r="Y231" s="7"/>
      <c r="Z231" s="7"/>
      <c r="AA231" s="7"/>
      <c r="AB231" s="7"/>
      <c r="AD231" s="7"/>
      <c r="AE231" s="7"/>
      <c r="AF231" s="7"/>
      <c r="AG231" s="7"/>
      <c r="AH231" s="7"/>
      <c r="AI231" s="7"/>
      <c r="AK231" s="7"/>
      <c r="AL231" s="7"/>
      <c r="AM231" s="7"/>
      <c r="AN231" s="7"/>
      <c r="AO231" s="7"/>
      <c r="AP231" s="7"/>
      <c r="AR231" s="7"/>
      <c r="AS231" s="7"/>
      <c r="AT231" s="7"/>
      <c r="AU231" s="7"/>
      <c r="AV231" s="7"/>
      <c r="AW231" s="7"/>
    </row>
    <row r="232" spans="1:50" x14ac:dyDescent="0.25">
      <c r="A232" s="41" t="s">
        <v>348</v>
      </c>
      <c r="B232" s="33">
        <f t="shared" ref="B232:G232" si="20" xml:space="preserve">  0.0000415*((B5+B6)/2)^2 - 0.0236*((B5+B6)/2) + 6.096</f>
        <v>4.6920843750000003</v>
      </c>
      <c r="C232" s="33">
        <f t="shared" si="20"/>
        <v>4.1130093749999999</v>
      </c>
      <c r="D232" s="33">
        <f t="shared" si="20"/>
        <v>3.6054000000000004</v>
      </c>
      <c r="E232" s="33">
        <f t="shared" si="20"/>
        <v>3.1925999999999997</v>
      </c>
      <c r="F232" s="33">
        <f t="shared" si="20"/>
        <v>2.9125999999999999</v>
      </c>
      <c r="G232" s="33">
        <f t="shared" si="20"/>
        <v>2.7606093749999996</v>
      </c>
      <c r="H232" s="33"/>
      <c r="I232" s="33">
        <f t="shared" ref="I232:N232" si="21" xml:space="preserve">  0.0000415*((I5+I6)/2)^2 - 0.0236*((I5+I6)/2) + 6.096</f>
        <v>4.6920843750000003</v>
      </c>
      <c r="J232" s="33">
        <f t="shared" si="21"/>
        <v>4.1130093749999999</v>
      </c>
      <c r="K232" s="33">
        <f t="shared" si="21"/>
        <v>3.6054000000000004</v>
      </c>
      <c r="L232" s="33">
        <f t="shared" si="21"/>
        <v>3.1925999999999997</v>
      </c>
      <c r="M232" s="33">
        <f t="shared" si="21"/>
        <v>2.9125999999999999</v>
      </c>
      <c r="N232" s="33">
        <f t="shared" si="21"/>
        <v>2.7606093749999996</v>
      </c>
      <c r="O232" s="33"/>
      <c r="P232" s="33">
        <f t="shared" ref="P232:U232" si="22" xml:space="preserve">  0.0000415*((P5+P6)/2)^2 - 0.0236*((P5+P6)/2) + 6.096</f>
        <v>4.6920843750000003</v>
      </c>
      <c r="Q232" s="33">
        <f t="shared" si="22"/>
        <v>4.1130093749999999</v>
      </c>
      <c r="R232" s="33">
        <f t="shared" si="22"/>
        <v>3.6054000000000004</v>
      </c>
      <c r="S232" s="33">
        <f t="shared" si="22"/>
        <v>3.1925999999999997</v>
      </c>
      <c r="T232" s="33">
        <f t="shared" si="22"/>
        <v>2.9125999999999999</v>
      </c>
      <c r="U232" s="33">
        <f t="shared" si="22"/>
        <v>2.7606093749999996</v>
      </c>
      <c r="W232" s="33">
        <f t="shared" ref="W232:AB232" si="23" xml:space="preserve">  0.0000415*((W5+W6)/2)^2 - 0.0236*((W5+W6)/2) + 6.096</f>
        <v>4.6920843750000003</v>
      </c>
      <c r="X232" s="33">
        <f t="shared" si="23"/>
        <v>4.1130093749999999</v>
      </c>
      <c r="Y232" s="33">
        <f t="shared" si="23"/>
        <v>3.6054000000000004</v>
      </c>
      <c r="Z232" s="33">
        <f t="shared" si="23"/>
        <v>3.1925999999999997</v>
      </c>
      <c r="AA232" s="33">
        <f t="shared" si="23"/>
        <v>2.9125999999999999</v>
      </c>
      <c r="AB232" s="33">
        <f t="shared" si="23"/>
        <v>2.7606093749999996</v>
      </c>
      <c r="AD232" s="33">
        <f t="shared" ref="AD232:AI232" si="24" xml:space="preserve">  0.0000415*((AD5+AD6)/2)^2 - 0.0236*((AD5+AD6)/2) + 6.096</f>
        <v>4.6920843750000003</v>
      </c>
      <c r="AE232" s="33">
        <f t="shared" si="24"/>
        <v>4.1130093749999999</v>
      </c>
      <c r="AF232" s="33">
        <f t="shared" si="24"/>
        <v>3.6054000000000004</v>
      </c>
      <c r="AG232" s="33">
        <f t="shared" si="24"/>
        <v>3.1925999999999997</v>
      </c>
      <c r="AH232" s="33">
        <f t="shared" si="24"/>
        <v>2.9125999999999999</v>
      </c>
      <c r="AI232" s="33">
        <f t="shared" si="24"/>
        <v>2.7606093749999996</v>
      </c>
      <c r="AK232" s="33">
        <f t="shared" ref="AK232:AP232" si="25" xml:space="preserve">  0.0000415*((AK5+AK6)/2)^2 - 0.0236*((AK5+AK6)/2) + 6.096</f>
        <v>4.6920843750000003</v>
      </c>
      <c r="AL232" s="33">
        <f t="shared" si="25"/>
        <v>4.1130093749999999</v>
      </c>
      <c r="AM232" s="33">
        <f t="shared" si="25"/>
        <v>3.6054000000000004</v>
      </c>
      <c r="AN232" s="33">
        <f t="shared" si="25"/>
        <v>3.1925999999999997</v>
      </c>
      <c r="AO232" s="33">
        <f t="shared" si="25"/>
        <v>2.9125999999999999</v>
      </c>
      <c r="AP232" s="33">
        <f t="shared" si="25"/>
        <v>2.7606093749999996</v>
      </c>
      <c r="AR232" s="33">
        <f t="shared" ref="AR232:AW232" si="26" xml:space="preserve">  0.0000415*((AR5+AR6)/2)^2 - 0.0236*((AR5+AR6)/2) + 6.096</f>
        <v>4.6920843750000003</v>
      </c>
      <c r="AS232" s="33">
        <f t="shared" si="26"/>
        <v>4.1130093749999999</v>
      </c>
      <c r="AT232" s="33">
        <f t="shared" si="26"/>
        <v>3.6054000000000004</v>
      </c>
      <c r="AU232" s="33">
        <f t="shared" si="26"/>
        <v>3.1925999999999997</v>
      </c>
      <c r="AV232" s="33">
        <f t="shared" si="26"/>
        <v>2.9125999999999999</v>
      </c>
      <c r="AW232" s="33">
        <f t="shared" si="26"/>
        <v>2.7606093749999996</v>
      </c>
    </row>
    <row r="233" spans="1:50" x14ac:dyDescent="0.25">
      <c r="A233" s="40" t="s">
        <v>108</v>
      </c>
      <c r="B233" s="26">
        <f t="shared" ref="B233:G233" si="27">IF(B232="","",B250*2.2046*B232/10000)</f>
        <v>1.1871600863382354</v>
      </c>
      <c r="C233" s="26">
        <f t="shared" si="27"/>
        <v>1.0488451848987548</v>
      </c>
      <c r="D233" s="26">
        <f t="shared" si="27"/>
        <v>0.92572438073141317</v>
      </c>
      <c r="E233" s="26">
        <f t="shared" si="27"/>
        <v>0.8245835224120116</v>
      </c>
      <c r="F233" s="26">
        <f t="shared" si="27"/>
        <v>0.755458195622838</v>
      </c>
      <c r="G233" s="26">
        <f t="shared" si="27"/>
        <v>0.71736927197173905</v>
      </c>
      <c r="H233" s="26"/>
      <c r="I233" s="26">
        <f t="shared" ref="I233:N233" si="28">IF(I232="","",I250*2.2046*I232/10000)</f>
        <v>1.1868929212490253</v>
      </c>
      <c r="J233" s="26">
        <f t="shared" si="28"/>
        <v>1.0486771927133118</v>
      </c>
      <c r="K233" s="26">
        <f t="shared" si="28"/>
        <v>0.92577660455854782</v>
      </c>
      <c r="L233" s="26">
        <f t="shared" si="28"/>
        <v>0.82453604116359547</v>
      </c>
      <c r="M233" s="26">
        <f t="shared" si="28"/>
        <v>0.75539699821096873</v>
      </c>
      <c r="N233" s="26">
        <f t="shared" si="28"/>
        <v>0.71732113084037619</v>
      </c>
      <c r="O233" s="26"/>
      <c r="P233" s="26">
        <f t="shared" ref="P233:U233" si="29">IF(P232="","",P250*2.2046*P232/10000)</f>
        <v>1.1868149144022275</v>
      </c>
      <c r="Q233" s="26">
        <f t="shared" si="29"/>
        <v>1.0486435780127812</v>
      </c>
      <c r="R233" s="26">
        <f t="shared" si="29"/>
        <v>0.92579313629429338</v>
      </c>
      <c r="S233" s="26">
        <f t="shared" si="29"/>
        <v>0.82453465914546487</v>
      </c>
      <c r="T233" s="26">
        <f t="shared" si="29"/>
        <v>0.75539985165640922</v>
      </c>
      <c r="U233" s="26">
        <f t="shared" si="29"/>
        <v>0.71733539918867384</v>
      </c>
      <c r="W233" s="26">
        <f t="shared" ref="W233:AB233" si="30">IF(W232="","",W250*2.2046*W232/10000)</f>
        <v>1.1867681973321411</v>
      </c>
      <c r="X233" s="26">
        <f t="shared" si="30"/>
        <v>1.048642883489501</v>
      </c>
      <c r="Y233" s="26">
        <f t="shared" si="30"/>
        <v>0.92579233935054106</v>
      </c>
      <c r="Z233" s="26">
        <f t="shared" si="30"/>
        <v>0.82454715722237903</v>
      </c>
      <c r="AA233" s="26">
        <f t="shared" si="30"/>
        <v>0.75544780491577834</v>
      </c>
      <c r="AB233" s="26">
        <f t="shared" si="30"/>
        <v>0.71734485507972823</v>
      </c>
      <c r="AD233" s="26">
        <f t="shared" ref="AD233:AI233" si="31">IF(AD232="","",AD250*2.2046*AD232/10000)</f>
        <v>1.1867934270536604</v>
      </c>
      <c r="AE233" s="26">
        <f t="shared" si="31"/>
        <v>1.0486501603831129</v>
      </c>
      <c r="AF233" s="26">
        <f t="shared" si="31"/>
        <v>0.92580046069087951</v>
      </c>
      <c r="AG233" s="26">
        <f t="shared" si="31"/>
        <v>0.82462091832034234</v>
      </c>
      <c r="AH233" s="26">
        <f t="shared" si="31"/>
        <v>0.755347588025712</v>
      </c>
      <c r="AI233" s="26">
        <f t="shared" si="31"/>
        <v>0.71729788567554176</v>
      </c>
      <c r="AK233" s="26">
        <f t="shared" ref="AK233:AP233" si="32">IF(AK232="","",AK250*2.2046*AK232/10000)</f>
        <v>1.187104871528128</v>
      </c>
      <c r="AL233" s="26">
        <f t="shared" si="32"/>
        <v>1.0486686538270873</v>
      </c>
      <c r="AM233" s="26">
        <f t="shared" si="32"/>
        <v>0.92584310104345913</v>
      </c>
      <c r="AN233" s="26">
        <f t="shared" si="32"/>
        <v>0.82440536810936849</v>
      </c>
      <c r="AO233" s="26">
        <f t="shared" si="32"/>
        <v>0.75534871695340911</v>
      </c>
      <c r="AP233" s="26">
        <f t="shared" si="32"/>
        <v>0.71730940599175586</v>
      </c>
      <c r="AR233" s="26">
        <f t="shared" ref="AR233:AW233" si="33">IF(AR232="","",AR250*2.2046*AR232/10000)</f>
        <v>1.1869834142405142</v>
      </c>
      <c r="AS233" s="26">
        <f t="shared" si="33"/>
        <v>1.0486645999673345</v>
      </c>
      <c r="AT233" s="26">
        <f t="shared" si="33"/>
        <v>0.92563911107529262</v>
      </c>
      <c r="AU233" s="26">
        <f t="shared" si="33"/>
        <v>0.82438853097725295</v>
      </c>
      <c r="AV233" s="26">
        <f t="shared" si="33"/>
        <v>0.75536430203013782</v>
      </c>
      <c r="AW233" s="26">
        <f t="shared" si="33"/>
        <v>0.7173340486507227</v>
      </c>
    </row>
    <row r="234" spans="1:50" x14ac:dyDescent="0.25">
      <c r="A234" s="40"/>
      <c r="B234" s="26"/>
      <c r="C234" s="26"/>
      <c r="D234" s="26"/>
      <c r="E234" s="26"/>
      <c r="F234" s="26"/>
      <c r="G234" s="26"/>
      <c r="H234" s="26"/>
      <c r="I234" s="26"/>
      <c r="J234" s="26"/>
      <c r="K234" s="26"/>
      <c r="L234" s="26"/>
      <c r="M234" s="26"/>
      <c r="N234" s="26"/>
      <c r="O234" s="26"/>
      <c r="P234" s="26"/>
      <c r="Q234" s="26"/>
      <c r="R234" s="26"/>
      <c r="S234" s="26"/>
      <c r="T234" s="26"/>
      <c r="U234" s="26"/>
      <c r="W234" s="26"/>
      <c r="X234" s="26"/>
      <c r="Y234" s="26"/>
      <c r="Z234" s="26"/>
      <c r="AA234" s="26"/>
      <c r="AB234" s="26"/>
      <c r="AD234" s="26"/>
      <c r="AE234" s="26"/>
      <c r="AF234" s="26"/>
      <c r="AG234" s="26"/>
      <c r="AH234" s="26"/>
      <c r="AI234" s="26"/>
      <c r="AK234" s="26"/>
      <c r="AL234" s="26"/>
      <c r="AM234" s="26"/>
      <c r="AN234" s="26"/>
      <c r="AO234" s="26"/>
      <c r="AP234" s="26"/>
      <c r="AR234" s="26"/>
      <c r="AS234" s="26"/>
      <c r="AT234" s="26"/>
      <c r="AU234" s="26"/>
      <c r="AV234" s="26"/>
      <c r="AW234" s="26"/>
    </row>
    <row r="235" spans="1:50" x14ac:dyDescent="0.25">
      <c r="A235" s="44" t="s">
        <v>143</v>
      </c>
      <c r="B235" s="26"/>
      <c r="C235" s="26"/>
      <c r="D235" s="26"/>
      <c r="E235" s="26"/>
      <c r="F235" s="26"/>
      <c r="G235" s="26"/>
      <c r="H235" s="26"/>
      <c r="I235" s="26"/>
      <c r="J235" s="26"/>
      <c r="K235" s="26"/>
      <c r="L235" s="26"/>
      <c r="M235" s="26"/>
      <c r="N235" s="26"/>
      <c r="O235" s="26"/>
      <c r="P235" s="26"/>
      <c r="Q235" s="26"/>
      <c r="R235" s="26"/>
      <c r="S235" s="26"/>
      <c r="T235" s="26"/>
      <c r="U235" s="26"/>
      <c r="W235" s="26"/>
      <c r="X235" s="26"/>
      <c r="Y235" s="26"/>
      <c r="Z235" s="26"/>
      <c r="AA235" s="26"/>
      <c r="AB235" s="26"/>
      <c r="AD235" s="26"/>
      <c r="AE235" s="26"/>
      <c r="AF235" s="26"/>
      <c r="AG235" s="26"/>
      <c r="AH235" s="26"/>
      <c r="AI235" s="26"/>
      <c r="AK235" s="26"/>
      <c r="AL235" s="26"/>
      <c r="AM235" s="26"/>
      <c r="AN235" s="26"/>
      <c r="AO235" s="26"/>
      <c r="AP235" s="26"/>
      <c r="AR235" s="26"/>
      <c r="AS235" s="26"/>
      <c r="AT235" s="26"/>
      <c r="AU235" s="26"/>
      <c r="AV235" s="26"/>
      <c r="AW235" s="26"/>
    </row>
    <row r="236" spans="1:50" x14ac:dyDescent="0.25">
      <c r="A236" s="34" t="s">
        <v>381</v>
      </c>
      <c r="B236" s="27">
        <v>1.1861119527718891</v>
      </c>
      <c r="C236" s="27">
        <v>1.0487231011263827</v>
      </c>
      <c r="D236" s="27">
        <v>0.92692570857780632</v>
      </c>
      <c r="E236" s="27">
        <v>0.82606841929078001</v>
      </c>
      <c r="F236" s="27">
        <v>0.75673053182615369</v>
      </c>
      <c r="G236" s="27">
        <v>0.71839352504319809</v>
      </c>
      <c r="H236" s="223"/>
      <c r="I236" s="27">
        <v>1.1861119527718891</v>
      </c>
      <c r="J236" s="27">
        <v>1.0487231011263827</v>
      </c>
      <c r="K236" s="27">
        <v>0.92692570857780632</v>
      </c>
      <c r="L236" s="27">
        <v>0.82606841929078001</v>
      </c>
      <c r="M236" s="27">
        <v>0.75673053182615369</v>
      </c>
      <c r="N236" s="27">
        <v>0.71839352504319809</v>
      </c>
      <c r="O236" s="7"/>
      <c r="P236" s="27">
        <v>1.1861119527718891</v>
      </c>
      <c r="Q236" s="27">
        <v>1.0487231011263827</v>
      </c>
      <c r="R236" s="27">
        <v>0.92692570857780632</v>
      </c>
      <c r="S236" s="27">
        <v>0.82606841929078001</v>
      </c>
      <c r="T236" s="27">
        <v>0.75673053182615369</v>
      </c>
      <c r="U236" s="27">
        <v>0.71839352504319809</v>
      </c>
      <c r="V236" s="2"/>
      <c r="W236" s="27">
        <v>1.1861119527718891</v>
      </c>
      <c r="X236" s="27">
        <v>1.0487231011263827</v>
      </c>
      <c r="Y236" s="27">
        <v>0.92692570857780632</v>
      </c>
      <c r="Z236" s="27">
        <v>0.82606841929078001</v>
      </c>
      <c r="AA236" s="27">
        <v>0.75673053182615369</v>
      </c>
      <c r="AB236" s="27">
        <v>0.71839352504319809</v>
      </c>
      <c r="AC236" s="223"/>
      <c r="AD236" s="27">
        <v>1.1861119527718891</v>
      </c>
      <c r="AE236" s="27">
        <v>1.0487231011263827</v>
      </c>
      <c r="AF236" s="27">
        <v>0.92692570857780632</v>
      </c>
      <c r="AG236" s="27">
        <v>0.82606841929078001</v>
      </c>
      <c r="AH236" s="27">
        <v>0.75673053182615369</v>
      </c>
      <c r="AI236" s="27">
        <v>0.71839352504319809</v>
      </c>
      <c r="AJ236" s="7"/>
      <c r="AK236" s="27">
        <v>1.1861119527718891</v>
      </c>
      <c r="AL236" s="27">
        <v>1.0487231011263827</v>
      </c>
      <c r="AM236" s="27">
        <v>0.92692570857780632</v>
      </c>
      <c r="AN236" s="27">
        <v>0.82606841929078001</v>
      </c>
      <c r="AO236" s="27">
        <v>0.75673053182615369</v>
      </c>
      <c r="AP236" s="27">
        <v>0.71839352504319809</v>
      </c>
      <c r="AQ236" s="2"/>
      <c r="AR236" s="27">
        <v>1.1861119527718891</v>
      </c>
      <c r="AS236" s="27">
        <v>1.0487231011263827</v>
      </c>
      <c r="AT236" s="27">
        <v>0.92692570857780632</v>
      </c>
      <c r="AU236" s="27">
        <v>0.82606841929078001</v>
      </c>
      <c r="AV236" s="27">
        <v>0.75673053182615369</v>
      </c>
      <c r="AW236" s="27">
        <v>0.71839352504319809</v>
      </c>
      <c r="AX236" s="223"/>
    </row>
    <row r="237" spans="1:50" x14ac:dyDescent="0.25">
      <c r="A237" s="39" t="s">
        <v>382</v>
      </c>
      <c r="B237" s="451">
        <f>(SUMPRODUCT(B$9:B$229,Nutrients!$CY$8:$CY$228)+(IF($A$7=Nutrients!$B$8,Nutrients!$CY$8,Nutrients!$CY$9)*B$7)+(((IF($A$8=Nutrients!$B$79,Nutrients!$CY$79,(IF($A$8=Nutrients!$B$77,Nutrients!$CY$77,Nutrients!$CY$78)))))*B$8))/2000/B$236*100</f>
        <v>62.49349603537744</v>
      </c>
      <c r="C237" s="451">
        <f>(SUMPRODUCT(C$9:C$229,Nutrients!$CY$8:$CY$228)+(IF($A$7=Nutrients!$B$8,Nutrients!$CY$8,Nutrients!$CY$9)*C$7)+(((IF($A$8=Nutrients!$B$79,Nutrients!$CY$79,(IF($A$8=Nutrients!$B$77,Nutrients!$CY$77,Nutrients!$CY$78)))))*C$8))/2000/C$236*100</f>
        <v>61.913365044093091</v>
      </c>
      <c r="D237" s="451">
        <f>(SUMPRODUCT(D$9:D$229,Nutrients!$CY$8:$CY$228)+(IF($A$7=Nutrients!$B$8,Nutrients!$CY$8,Nutrients!$CY$9)*D$7)+(((IF($A$8=Nutrients!$B$79,Nutrients!$CY$79,(IF($A$8=Nutrients!$B$77,Nutrients!$CY$77,Nutrients!$CY$78)))))*D$8))/2000/D$236*100</f>
        <v>61.503659114241785</v>
      </c>
      <c r="E237" s="451">
        <f>(SUMPRODUCT(E$9:E$229,Nutrients!$CY$8:$CY$228)+(IF($A$7=Nutrients!$B$8,Nutrients!$CY$8,Nutrients!$CY$9)*E$7)+(((IF($A$8=Nutrients!$B$79,Nutrients!$CY$79,(IF($A$8=Nutrients!$B$77,Nutrients!$CY$77,Nutrients!$CY$78)))))*E$8))/2000/E$236*100</f>
        <v>60.930382267932259</v>
      </c>
      <c r="F237" s="451">
        <f>(SUMPRODUCT(F$9:F$229,Nutrients!$CY$8:$CY$228)+(IF($A$7=Nutrients!$B$8,Nutrients!$CY$8,Nutrients!$CY$9)*F$7)+(((IF($A$8=Nutrients!$B$79,Nutrients!$CY$79,(IF($A$8=Nutrients!$B$77,Nutrients!$CY$77,Nutrients!$CY$78)))))*F$8))/2000/F$236*100</f>
        <v>60.645226830458597</v>
      </c>
      <c r="G237" s="451">
        <f>(SUMPRODUCT(G$9:G$229,Nutrients!$CY$8:$CY$228)+(IF($A$7=Nutrients!$B$8,Nutrients!$CY$8,Nutrients!$CY$9)*G$7)+(((IF($A$8=Nutrients!$B$79,Nutrients!$CY$79,(IF($A$8=Nutrients!$B$77,Nutrients!$CY$77,Nutrients!$CY$78)))))*G$8))/2000/G$236*100</f>
        <v>60.73149438608624</v>
      </c>
      <c r="H237" s="224"/>
      <c r="I237" s="451">
        <f>(SUMPRODUCT(I$9:I$229,Nutrients!$CY$8:$CY$228)+(IF($A$7=Nutrients!$B$8,Nutrients!$CY$8,Nutrients!$CY$9)*I$7)+(((IF($A$8=Nutrients!$B$79,Nutrients!$CY$79,(IF($A$8=Nutrients!$B$77,Nutrients!$CY$77,Nutrients!$CY$78)))))*I$8))/2000/I$236*100</f>
        <v>62.411909631700603</v>
      </c>
      <c r="J237" s="451">
        <f>(SUMPRODUCT(J$9:J$229,Nutrients!$CY$8:$CY$228)+(IF($A$7=Nutrients!$B$8,Nutrients!$CY$8,Nutrients!$CY$9)*J$7)+(((IF($A$8=Nutrients!$B$79,Nutrients!$CY$79,(IF($A$8=Nutrients!$B$77,Nutrients!$CY$77,Nutrients!$CY$78)))))*J$8))/2000/J$236*100</f>
        <v>61.820436984860329</v>
      </c>
      <c r="K237" s="451">
        <f>(SUMPRODUCT(K$9:K$229,Nutrients!$CY$8:$CY$228)+(IF($A$7=Nutrients!$B$8,Nutrients!$CY$8,Nutrients!$CY$9)*K$7)+(((IF($A$8=Nutrients!$B$79,Nutrients!$CY$79,(IF($A$8=Nutrients!$B$77,Nutrients!$CY$77,Nutrients!$CY$78)))))*K$8))/2000/K$236*100</f>
        <v>61.399854609044311</v>
      </c>
      <c r="L237" s="451">
        <f>(SUMPRODUCT(L$9:L$229,Nutrients!$CY$8:$CY$228)+(IF($A$7=Nutrients!$B$8,Nutrients!$CY$8,Nutrients!$CY$9)*L$7)+(((IF($A$8=Nutrients!$B$79,Nutrients!$CY$79,(IF($A$8=Nutrients!$B$77,Nutrients!$CY$77,Nutrients!$CY$78)))))*L$8))/2000/L$236*100</f>
        <v>60.816120339580351</v>
      </c>
      <c r="M237" s="451">
        <f>(SUMPRODUCT(M$9:M$229,Nutrients!$CY$8:$CY$228)+(IF($A$7=Nutrients!$B$8,Nutrients!$CY$8,Nutrients!$CY$9)*M$7)+(((IF($A$8=Nutrients!$B$79,Nutrients!$CY$79,(IF($A$8=Nutrients!$B$77,Nutrients!$CY$77,Nutrients!$CY$78)))))*M$8))/2000/M$236*100</f>
        <v>60.518756831920541</v>
      </c>
      <c r="N237" s="451">
        <f>(SUMPRODUCT(N$9:N$229,Nutrients!$CY$8:$CY$228)+(IF($A$7=Nutrients!$B$8,Nutrients!$CY$8,Nutrients!$CY$9)*N$7)+(((IF($A$8=Nutrients!$B$79,Nutrients!$CY$79,(IF($A$8=Nutrients!$B$77,Nutrients!$CY$77,Nutrients!$CY$78)))))*N$8))/2000/N$236*100</f>
        <v>60.599529765828834</v>
      </c>
      <c r="O237" s="472"/>
      <c r="P237" s="451">
        <f>(SUMPRODUCT(P$9:P$229,Nutrients!$CY$8:$CY$228)+(IF($A$7=Nutrients!$B$8,Nutrients!$CY$8,Nutrients!$CY$9)*P$7)+(((IF($A$8=Nutrients!$B$79,Nutrients!$CY$79,(IF($A$8=Nutrients!$B$77,Nutrients!$CY$77,Nutrients!$CY$78)))))*P$8))/2000/P$236*100</f>
        <v>62.330236299733166</v>
      </c>
      <c r="Q237" s="451">
        <f>(SUMPRODUCT(Q$9:Q$229,Nutrients!$CY$8:$CY$228)+(IF($A$7=Nutrients!$B$8,Nutrients!$CY$8,Nutrients!$CY$9)*Q$7)+(((IF($A$8=Nutrients!$B$79,Nutrients!$CY$79,(IF($A$8=Nutrients!$B$77,Nutrients!$CY$77,Nutrients!$CY$78)))))*Q$8))/2000/Q$236*100</f>
        <v>61.727877541984874</v>
      </c>
      <c r="R237" s="451">
        <f>(SUMPRODUCT(R$9:R$229,Nutrients!$CY$8:$CY$228)+(IF($A$7=Nutrients!$B$8,Nutrients!$CY$8,Nutrients!$CY$9)*R$7)+(((IF($A$8=Nutrients!$B$79,Nutrients!$CY$79,(IF($A$8=Nutrients!$B$77,Nutrients!$CY$77,Nutrients!$CY$78)))))*R$8))/2000/R$236*100</f>
        <v>61.294814552587809</v>
      </c>
      <c r="S237" s="451">
        <f>(SUMPRODUCT(S$9:S$229,Nutrients!$CY$8:$CY$228)+(IF($A$7=Nutrients!$B$8,Nutrients!$CY$8,Nutrients!$CY$9)*S$7)+(((IF($A$8=Nutrients!$B$79,Nutrients!$CY$79,(IF($A$8=Nutrients!$B$77,Nutrients!$CY$77,Nutrients!$CY$78)))))*S$8))/2000/S$236*100</f>
        <v>60.698396125694309</v>
      </c>
      <c r="T237" s="451">
        <f>(SUMPRODUCT(T$9:T$229,Nutrients!$CY$8:$CY$228)+(IF($A$7=Nutrients!$B$8,Nutrients!$CY$8,Nutrients!$CY$9)*T$7)+(((IF($A$8=Nutrients!$B$79,Nutrients!$CY$79,(IF($A$8=Nutrients!$B$77,Nutrients!$CY$77,Nutrients!$CY$78)))))*T$8))/2000/T$236*100</f>
        <v>60.389863283251991</v>
      </c>
      <c r="U237" s="451">
        <f>(SUMPRODUCT(U$9:U$229,Nutrients!$CY$8:$CY$228)+(IF($A$7=Nutrients!$B$8,Nutrients!$CY$8,Nutrients!$CY$9)*U$7)+(((IF($A$8=Nutrients!$B$79,Nutrients!$CY$79,(IF($A$8=Nutrients!$B$77,Nutrients!$CY$77,Nutrients!$CY$78)))))*U$8))/2000/U$236*100</f>
        <v>60.463339451773479</v>
      </c>
      <c r="V237" s="9"/>
      <c r="W237" s="451">
        <f>(SUMPRODUCT(W$9:W$229,Nutrients!$CY$8:$CY$228)+(IF($A$7=Nutrients!$B$8,Nutrients!$CY$8,Nutrients!$CY$9)*W$7)+(((IF($A$8=Nutrients!$B$79,Nutrients!$CY$79,(IF($A$8=Nutrients!$B$77,Nutrients!$CY$77,Nutrients!$CY$78)))))*W$8))/2000/W$236*100</f>
        <v>62.248432920831334</v>
      </c>
      <c r="X237" s="451">
        <f>(SUMPRODUCT(X$9:X$229,Nutrients!$CY$8:$CY$228)+(IF($A$7=Nutrients!$B$8,Nutrients!$CY$8,Nutrients!$CY$9)*X$7)+(((IF($A$8=Nutrients!$B$79,Nutrients!$CY$79,(IF($A$8=Nutrients!$B$77,Nutrients!$CY$77,Nutrients!$CY$78)))))*X$8))/2000/X$236*100</f>
        <v>61.635141564125838</v>
      </c>
      <c r="Y237" s="451">
        <f>(SUMPRODUCT(Y$9:Y$229,Nutrients!$CY$8:$CY$228)+(IF($A$7=Nutrients!$B$8,Nutrients!$CY$8,Nutrients!$CY$9)*Y$7)+(((IF($A$8=Nutrients!$B$79,Nutrients!$CY$79,(IF($A$8=Nutrients!$B$77,Nutrients!$CY$77,Nutrients!$CY$78)))))*Y$8))/2000/Y$236*100</f>
        <v>61.190251229596591</v>
      </c>
      <c r="Z237" s="451">
        <f>(SUMPRODUCT(Z$9:Z$229,Nutrients!$CY$8:$CY$228)+(IF($A$7=Nutrients!$B$8,Nutrients!$CY$8,Nutrients!$CY$9)*Z$7)+(((IF($A$8=Nutrients!$B$79,Nutrients!$CY$79,(IF($A$8=Nutrients!$B$77,Nutrients!$CY$77,Nutrients!$CY$78)))))*Z$8))/2000/Z$236*100</f>
        <v>60.58132712587043</v>
      </c>
      <c r="AA237" s="451">
        <f>(SUMPRODUCT(AA$9:AA$229,Nutrients!$CY$8:$CY$228)+(IF($A$7=Nutrients!$B$8,Nutrients!$CY$8,Nutrients!$CY$9)*AA$7)+(((IF($A$8=Nutrients!$B$79,Nutrients!$CY$79,(IF($A$8=Nutrients!$B$77,Nutrients!$CY$77,Nutrients!$CY$78)))))*AA$8))/2000/AA$236*100</f>
        <v>60.26048967828892</v>
      </c>
      <c r="AB237" s="451">
        <f>(SUMPRODUCT(AB$9:AB$229,Nutrients!$CY$8:$CY$228)+(IF($A$7=Nutrients!$B$8,Nutrients!$CY$8,Nutrients!$CY$9)*AB$7)+(((IF($A$8=Nutrients!$B$79,Nutrients!$CY$79,(IF($A$8=Nutrients!$B$77,Nutrients!$CY$77,Nutrients!$CY$78)))))*AB$8))/2000/AB$236*100</f>
        <v>60.321365362162723</v>
      </c>
      <c r="AC237" s="9"/>
      <c r="AD237" s="451">
        <f>(SUMPRODUCT(AD$9:AD$229,Nutrients!$CY$8:$CY$228)+(IF($A$7=Nutrients!$B$8,Nutrients!$CY$8,Nutrients!$CY$9)*AD$7)+(((IF($A$8=Nutrients!$B$79,Nutrients!$CY$79,(IF($A$8=Nutrients!$B$77,Nutrients!$CY$77,Nutrients!$CY$78)))))*AD$8))/2000/AD$236*100</f>
        <v>62.166469930599398</v>
      </c>
      <c r="AE237" s="451">
        <f>(SUMPRODUCT(AE$9:AE$229,Nutrients!$CY$8:$CY$228)+(IF($A$7=Nutrients!$B$8,Nutrients!$CY$8,Nutrients!$CY$9)*AE$7)+(((IF($A$8=Nutrients!$B$79,Nutrients!$CY$79,(IF($A$8=Nutrients!$B$77,Nutrients!$CY$77,Nutrients!$CY$78)))))*AE$8))/2000/AE$236*100</f>
        <v>61.542520518326114</v>
      </c>
      <c r="AF237" s="451">
        <f>(SUMPRODUCT(AF$9:AF$229,Nutrients!$CY$8:$CY$228)+(IF($A$7=Nutrients!$B$8,Nutrients!$CY$8,Nutrients!$CY$9)*AF$7)+(((IF($A$8=Nutrients!$B$79,Nutrients!$CY$79,(IF($A$8=Nutrients!$B$77,Nutrients!$CY$77,Nutrients!$CY$78)))))*AF$8))/2000/AF$236*100</f>
        <v>61.086208673612852</v>
      </c>
      <c r="AG237" s="451">
        <f>(SUMPRODUCT(AG$9:AG$229,Nutrients!$CY$8:$CY$228)+(IF($A$7=Nutrients!$B$8,Nutrients!$CY$8,Nutrients!$CY$9)*AG$7)+(((IF($A$8=Nutrients!$B$79,Nutrients!$CY$79,(IF($A$8=Nutrients!$B$77,Nutrients!$CY$77,Nutrients!$CY$78)))))*AG$8))/2000/AG$236*100</f>
        <v>60.462426684824713</v>
      </c>
      <c r="AH237" s="451">
        <f>(SUMPRODUCT(AH$9:AH$229,Nutrients!$CY$8:$CY$228)+(IF($A$7=Nutrients!$B$8,Nutrients!$CY$8,Nutrients!$CY$9)*AH$7)+(((IF($A$8=Nutrients!$B$79,Nutrients!$CY$79,(IF($A$8=Nutrients!$B$77,Nutrients!$CY$77,Nutrients!$CY$78)))))*AH$8))/2000/AH$236*100</f>
        <v>60.115273177937389</v>
      </c>
      <c r="AI237" s="451">
        <f>(SUMPRODUCT(AI$9:AI$229,Nutrients!$CY$8:$CY$228)+(IF($A$7=Nutrients!$B$8,Nutrients!$CY$8,Nutrients!$CY$9)*AI$7)+(((IF($A$8=Nutrients!$B$79,Nutrients!$CY$79,(IF($A$8=Nutrients!$B$77,Nutrients!$CY$77,Nutrients!$CY$78)))))*AI$8))/2000/AI$236*100</f>
        <v>60.162676380218869</v>
      </c>
      <c r="AJ237" s="9"/>
      <c r="AK237" s="451">
        <f>(SUMPRODUCT(AK$9:AK$229,Nutrients!$CY$8:$CY$228)+(IF($A$7=Nutrients!$B$8,Nutrients!$CY$8,Nutrients!$CY$9)*AK$7)+(((IF($A$8=Nutrients!$B$79,Nutrients!$CY$79,(IF($A$8=Nutrients!$B$77,Nutrients!$CY$77,Nutrients!$CY$78)))))*AK$8))/2000/AK$236*100</f>
        <v>62.083387078659193</v>
      </c>
      <c r="AL237" s="451">
        <f>(SUMPRODUCT(AL$9:AL$229,Nutrients!$CY$8:$CY$228)+(IF($A$7=Nutrients!$B$8,Nutrients!$CY$8,Nutrients!$CY$9)*AL$7)+(((IF($A$8=Nutrients!$B$79,Nutrients!$CY$79,(IF($A$8=Nutrients!$B$77,Nutrients!$CY$77,Nutrients!$CY$78)))))*AL$8))/2000/AL$236*100</f>
        <v>61.449918163049169</v>
      </c>
      <c r="AM237" s="451">
        <f>(SUMPRODUCT(AM$9:AM$229,Nutrients!$CY$8:$CY$228)+(IF($A$7=Nutrients!$B$8,Nutrients!$CY$8,Nutrients!$CY$9)*AM$7)+(((IF($A$8=Nutrients!$B$79,Nutrients!$CY$79,(IF($A$8=Nutrients!$B$77,Nutrients!$CY$77,Nutrients!$CY$78)))))*AM$8))/2000/AM$236*100</f>
        <v>60.980616204523628</v>
      </c>
      <c r="AN237" s="451">
        <f>(SUMPRODUCT(AN$9:AN$229,Nutrients!$CY$8:$CY$228)+(IF($A$7=Nutrients!$B$8,Nutrients!$CY$8,Nutrients!$CY$9)*AN$7)+(((IF($A$8=Nutrients!$B$79,Nutrients!$CY$79,(IF($A$8=Nutrients!$B$77,Nutrients!$CY$77,Nutrients!$CY$78)))))*AN$8))/2000/AN$236*100</f>
        <v>60.331042838758265</v>
      </c>
      <c r="AO237" s="451">
        <f>(SUMPRODUCT(AO$9:AO$229,Nutrients!$CY$8:$CY$228)+(IF($A$7=Nutrients!$B$8,Nutrients!$CY$8,Nutrients!$CY$9)*AO$7)+(((IF($A$8=Nutrients!$B$79,Nutrients!$CY$79,(IF($A$8=Nutrients!$B$77,Nutrients!$CY$77,Nutrients!$CY$78)))))*AO$8))/2000/AO$236*100</f>
        <v>59.966057947304449</v>
      </c>
      <c r="AP237" s="451">
        <f>(SUMPRODUCT(AP$9:AP$229,Nutrients!$CY$8:$CY$228)+(IF($A$7=Nutrients!$B$8,Nutrients!$CY$8,Nutrients!$CY$9)*AP$7)+(((IF($A$8=Nutrients!$B$79,Nutrients!$CY$79,(IF($A$8=Nutrients!$B$77,Nutrients!$CY$77,Nutrients!$CY$78)))))*AP$8))/2000/AP$236*100</f>
        <v>60.005374676286003</v>
      </c>
      <c r="AQ237" s="9"/>
      <c r="AR237" s="451">
        <f>(SUMPRODUCT(AR$9:AR$229,Nutrients!$CY$8:$CY$228)+(IF($A$7=Nutrients!$B$8,Nutrients!$CY$8,Nutrients!$CY$9)*AR$7)+(((IF($A$8=Nutrients!$B$79,Nutrients!$CY$79,(IF($A$8=Nutrients!$B$77,Nutrients!$CY$77,Nutrients!$CY$78)))))*AR$8))/2000/AR$236*100</f>
        <v>62.001987450074466</v>
      </c>
      <c r="AS237" s="451">
        <f>(SUMPRODUCT(AS$9:AS$229,Nutrients!$CY$8:$CY$228)+(IF($A$7=Nutrients!$B$8,Nutrients!$CY$8,Nutrients!$CY$9)*AS$7)+(((IF($A$8=Nutrients!$B$79,Nutrients!$CY$79,(IF($A$8=Nutrients!$B$77,Nutrients!$CY$77,Nutrients!$CY$78)))))*AS$8))/2000/AS$236*100</f>
        <v>61.357305508500524</v>
      </c>
      <c r="AT237" s="451">
        <f>(SUMPRODUCT(AT$9:AT$229,Nutrients!$CY$8:$CY$228)+(IF($A$7=Nutrients!$B$8,Nutrients!$CY$8,Nutrients!$CY$9)*AT$7)+(((IF($A$8=Nutrients!$B$79,Nutrients!$CY$79,(IF($A$8=Nutrients!$B$77,Nutrients!$CY$77,Nutrients!$CY$78)))))*AT$8))/2000/AT$236*100</f>
        <v>60.872115949672043</v>
      </c>
      <c r="AU237" s="451">
        <f>(SUMPRODUCT(AU$9:AU$229,Nutrients!$CY$8:$CY$228)+(IF($A$7=Nutrients!$B$8,Nutrients!$CY$8,Nutrients!$CY$9)*AU$7)+(((IF($A$8=Nutrients!$B$79,Nutrients!$CY$79,(IF($A$8=Nutrients!$B$77,Nutrients!$CY$77,Nutrients!$CY$78)))))*AU$8))/2000/AU$236*100</f>
        <v>60.194401222778559</v>
      </c>
      <c r="AV237" s="451">
        <f>(SUMPRODUCT(AV$9:AV$229,Nutrients!$CY$8:$CY$228)+(IF($A$7=Nutrients!$B$8,Nutrients!$CY$8,Nutrients!$CY$9)*AV$7)+(((IF($A$8=Nutrients!$B$79,Nutrients!$CY$79,(IF($A$8=Nutrients!$B$77,Nutrients!$CY$77,Nutrients!$CY$78)))))*AV$8))/2000/AV$236*100</f>
        <v>59.816555205907648</v>
      </c>
      <c r="AW237" s="451">
        <f>(SUMPRODUCT(AW$9:AW$229,Nutrients!$CY$8:$CY$228)+(IF($A$7=Nutrients!$B$8,Nutrients!$CY$8,Nutrients!$CY$9)*AW$7)+(((IF($A$8=Nutrients!$B$79,Nutrients!$CY$79,(IF($A$8=Nutrients!$B$77,Nutrients!$CY$77,Nutrients!$CY$78)))))*AW$8))/2000/AW$236*100</f>
        <v>59.847783697455348</v>
      </c>
      <c r="AX237" s="13"/>
    </row>
    <row r="238" spans="1:50" x14ac:dyDescent="0.25">
      <c r="A238" s="39" t="s">
        <v>383</v>
      </c>
      <c r="B238" s="451">
        <f>(SUMPRODUCT(B$9:B$229,Nutrients!$CZ$8:$CZ$228)+(IF($A$7=Nutrients!$B$8,Nutrients!$CZ$8,Nutrients!$CZ$9)*B$7)+(((IF($A$8=Nutrients!$B$79,Nutrients!$CZ$79,(IF($A$8=Nutrients!$B$77,Nutrients!$CZ$77,Nutrients!$CZ$78)))))*B$8))/2000/B$236*100</f>
        <v>129.6913711527971</v>
      </c>
      <c r="C238" s="451">
        <f>(SUMPRODUCT(C$9:C$229,Nutrients!$CZ$8:$CZ$228)+(IF($A$7=Nutrients!$B$8,Nutrients!$CZ$8,Nutrients!$CZ$9)*C$7)+(((IF($A$8=Nutrients!$B$79,Nutrients!$CZ$79,(IF($A$8=Nutrients!$B$77,Nutrients!$CZ$77,Nutrients!$CZ$78)))))*C$8))/2000/C$236*100</f>
        <v>134.50017414165401</v>
      </c>
      <c r="D238" s="451">
        <f>(SUMPRODUCT(D$9:D$229,Nutrients!$CZ$8:$CZ$228)+(IF($A$7=Nutrients!$B$8,Nutrients!$CZ$8,Nutrients!$CZ$9)*D$7)+(((IF($A$8=Nutrients!$B$79,Nutrients!$CZ$79,(IF($A$8=Nutrients!$B$77,Nutrients!$CZ$77,Nutrients!$CZ$78)))))*D$8))/2000/D$236*100</f>
        <v>140.31419316632173</v>
      </c>
      <c r="E238" s="451">
        <f>(SUMPRODUCT(E$9:E$229,Nutrients!$CZ$8:$CZ$228)+(IF($A$7=Nutrients!$B$8,Nutrients!$CZ$8,Nutrients!$CZ$9)*E$7)+(((IF($A$8=Nutrients!$B$79,Nutrients!$CZ$79,(IF($A$8=Nutrients!$B$77,Nutrients!$CZ$77,Nutrients!$CZ$78)))))*E$8))/2000/E$236*100</f>
        <v>146.22101496424654</v>
      </c>
      <c r="F238" s="451">
        <f>(SUMPRODUCT(F$9:F$229,Nutrients!$CZ$8:$CZ$228)+(IF($A$7=Nutrients!$B$8,Nutrients!$CZ$8,Nutrients!$CZ$9)*F$7)+(((IF($A$8=Nutrients!$B$79,Nutrients!$CZ$79,(IF($A$8=Nutrients!$B$77,Nutrients!$CZ$77,Nutrients!$CZ$78)))))*F$8))/2000/F$236*100</f>
        <v>151.50724048169781</v>
      </c>
      <c r="G238" s="451">
        <f>(SUMPRODUCT(G$9:G$229,Nutrients!$CZ$8:$CZ$228)+(IF($A$7=Nutrients!$B$8,Nutrients!$CZ$8,Nutrients!$CZ$9)*G$7)+(((IF($A$8=Nutrients!$B$79,Nutrients!$CZ$79,(IF($A$8=Nutrients!$B$77,Nutrients!$CZ$77,Nutrients!$CZ$78)))))*G$8))/2000/G$236*100</f>
        <v>155.21195132466949</v>
      </c>
      <c r="H238" s="224"/>
      <c r="I238" s="451">
        <f>(SUMPRODUCT(I$9:I$229,Nutrients!$CZ$8:$CZ$228)+(IF($A$7=Nutrients!$B$8,Nutrients!$CZ$8,Nutrients!$CZ$9)*I$7)+(((IF($A$8=Nutrients!$B$79,Nutrients!$CZ$79,(IF($A$8=Nutrients!$B$77,Nutrients!$CZ$77,Nutrients!$CZ$78)))))*I$8))/2000/I$236*100</f>
        <v>134.56232551895525</v>
      </c>
      <c r="J238" s="451">
        <f>(SUMPRODUCT(J$9:J$229,Nutrients!$CZ$8:$CZ$228)+(IF($A$7=Nutrients!$B$8,Nutrients!$CZ$8,Nutrients!$CZ$9)*J$7)+(((IF($A$8=Nutrients!$B$79,Nutrients!$CZ$79,(IF($A$8=Nutrients!$B$77,Nutrients!$CZ$77,Nutrients!$CZ$78)))))*J$8))/2000/J$236*100</f>
        <v>140.00508375280262</v>
      </c>
      <c r="K238" s="451">
        <f>(SUMPRODUCT(K$9:K$229,Nutrients!$CZ$8:$CZ$228)+(IF($A$7=Nutrients!$B$8,Nutrients!$CZ$8,Nutrients!$CZ$9)*K$7)+(((IF($A$8=Nutrients!$B$79,Nutrients!$CZ$79,(IF($A$8=Nutrients!$B$77,Nutrients!$CZ$77,Nutrients!$CZ$78)))))*K$8))/2000/K$236*100</f>
        <v>146.55095606441481</v>
      </c>
      <c r="L238" s="451">
        <f>(SUMPRODUCT(L$9:L$229,Nutrients!$CZ$8:$CZ$228)+(IF($A$7=Nutrients!$B$8,Nutrients!$CZ$8,Nutrients!$CZ$9)*L$7)+(((IF($A$8=Nutrients!$B$79,Nutrients!$CZ$79,(IF($A$8=Nutrients!$B$77,Nutrients!$CZ$77,Nutrients!$CZ$78)))))*L$8))/2000/L$236*100</f>
        <v>153.23338373102735</v>
      </c>
      <c r="M238" s="451">
        <f>(SUMPRODUCT(M$9:M$229,Nutrients!$CZ$8:$CZ$228)+(IF($A$7=Nutrients!$B$8,Nutrients!$CZ$8,Nutrients!$CZ$9)*M$7)+(((IF($A$8=Nutrients!$B$79,Nutrients!$CZ$79,(IF($A$8=Nutrients!$B$77,Nutrients!$CZ$77,Nutrients!$CZ$78)))))*M$8))/2000/M$236*100</f>
        <v>159.15104950751015</v>
      </c>
      <c r="N238" s="451">
        <f>(SUMPRODUCT(N$9:N$229,Nutrients!$CZ$8:$CZ$228)+(IF($A$7=Nutrients!$B$8,Nutrients!$CZ$8,Nutrients!$CZ$9)*N$7)+(((IF($A$8=Nutrients!$B$79,Nutrients!$CZ$79,(IF($A$8=Nutrients!$B$77,Nutrients!$CZ$77,Nutrients!$CZ$78)))))*N$8))/2000/N$236*100</f>
        <v>163.27167445551865</v>
      </c>
      <c r="O238" s="472"/>
      <c r="P238" s="451">
        <f>(SUMPRODUCT(P$9:P$229,Nutrients!$CZ$8:$CZ$228)+(IF($A$7=Nutrients!$B$8,Nutrients!$CZ$8,Nutrients!$CZ$9)*P$7)+(((IF($A$8=Nutrients!$B$79,Nutrients!$CZ$79,(IF($A$8=Nutrients!$B$77,Nutrients!$CZ$77,Nutrients!$CZ$78)))))*P$8))/2000/P$236*100</f>
        <v>139.4327253106118</v>
      </c>
      <c r="Q238" s="451">
        <f>(SUMPRODUCT(Q$9:Q$229,Nutrients!$CZ$8:$CZ$228)+(IF($A$7=Nutrients!$B$8,Nutrients!$CZ$8,Nutrients!$CZ$9)*Q$7)+(((IF($A$8=Nutrients!$B$79,Nutrients!$CZ$79,(IF($A$8=Nutrients!$B$77,Nutrients!$CZ$77,Nutrients!$CZ$78)))))*Q$8))/2000/Q$236*100</f>
        <v>145.5123450176107</v>
      </c>
      <c r="R238" s="451">
        <f>(SUMPRODUCT(R$9:R$229,Nutrients!$CZ$8:$CZ$228)+(IF($A$7=Nutrients!$B$8,Nutrients!$CZ$8,Nutrients!$CZ$9)*R$7)+(((IF($A$8=Nutrients!$B$79,Nutrients!$CZ$79,(IF($A$8=Nutrients!$B$77,Nutrients!$CZ$77,Nutrients!$CZ$78)))))*R$8))/2000/R$236*100</f>
        <v>152.77983654334179</v>
      </c>
      <c r="S238" s="451">
        <f>(SUMPRODUCT(S$9:S$229,Nutrients!$CZ$8:$CZ$228)+(IF($A$7=Nutrients!$B$8,Nutrients!$CZ$8,Nutrients!$CZ$9)*S$7)+(((IF($A$8=Nutrients!$B$79,Nutrients!$CZ$79,(IF($A$8=Nutrients!$B$77,Nutrients!$CZ$77,Nutrients!$CZ$78)))))*S$8))/2000/S$236*100</f>
        <v>160.22366423100931</v>
      </c>
      <c r="T238" s="451">
        <f>(SUMPRODUCT(T$9:T$229,Nutrients!$CZ$8:$CZ$228)+(IF($A$7=Nutrients!$B$8,Nutrients!$CZ$8,Nutrients!$CZ$9)*T$7)+(((IF($A$8=Nutrients!$B$79,Nutrients!$CZ$79,(IF($A$8=Nutrients!$B$77,Nutrients!$CZ$77,Nutrients!$CZ$78)))))*T$8))/2000/T$236*100</f>
        <v>166.77939706391049</v>
      </c>
      <c r="U238" s="451">
        <f>(SUMPRODUCT(U$9:U$229,Nutrients!$CZ$8:$CZ$228)+(IF($A$7=Nutrients!$B$8,Nutrients!$CZ$8,Nutrients!$CZ$9)*U$7)+(((IF($A$8=Nutrients!$B$79,Nutrients!$CZ$79,(IF($A$8=Nutrients!$B$77,Nutrients!$CZ$77,Nutrients!$CZ$78)))))*U$8))/2000/U$236*100</f>
        <v>171.30443902067515</v>
      </c>
      <c r="V238" s="9"/>
      <c r="W238" s="451">
        <f>(SUMPRODUCT(W$9:W$229,Nutrients!$CZ$8:$CZ$228)+(IF($A$7=Nutrients!$B$8,Nutrients!$CZ$8,Nutrients!$CZ$9)*W$7)+(((IF($A$8=Nutrients!$B$79,Nutrients!$CZ$79,(IF($A$8=Nutrients!$B$77,Nutrients!$CZ$77,Nutrients!$CZ$78)))))*W$8))/2000/W$236*100</f>
        <v>144.30229544470393</v>
      </c>
      <c r="X238" s="451">
        <f>(SUMPRODUCT(X$9:X$229,Nutrients!$CZ$8:$CZ$228)+(IF($A$7=Nutrients!$B$8,Nutrients!$CZ$8,Nutrients!$CZ$9)*X$7)+(((IF($A$8=Nutrients!$B$79,Nutrients!$CZ$79,(IF($A$8=Nutrients!$B$77,Nutrients!$CZ$77,Nutrients!$CZ$78)))))*X$8))/2000/X$236*100</f>
        <v>151.01848004607058</v>
      </c>
      <c r="Y238" s="451">
        <f>(SUMPRODUCT(Y$9:Y$229,Nutrients!$CZ$8:$CZ$228)+(IF($A$7=Nutrients!$B$8,Nutrients!$CZ$8,Nutrients!$CZ$9)*Y$7)+(((IF($A$8=Nutrients!$B$79,Nutrients!$CZ$79,(IF($A$8=Nutrients!$B$77,Nutrients!$CZ$77,Nutrients!$CZ$78)))))*Y$8))/2000/Y$236*100</f>
        <v>159.01175842826166</v>
      </c>
      <c r="Z238" s="451">
        <f>(SUMPRODUCT(Z$9:Z$229,Nutrients!$CZ$8:$CZ$228)+(IF($A$7=Nutrients!$B$8,Nutrients!$CZ$8,Nutrients!$CZ$9)*Z$7)+(((IF($A$8=Nutrients!$B$79,Nutrients!$CZ$79,(IF($A$8=Nutrients!$B$77,Nutrients!$CZ$77,Nutrients!$CZ$78)))))*Z$8))/2000/Z$236*100</f>
        <v>167.21812478571871</v>
      </c>
      <c r="AA238" s="451">
        <f>(SUMPRODUCT(AA$9:AA$229,Nutrients!$CZ$8:$CZ$228)+(IF($A$7=Nutrients!$B$8,Nutrients!$CZ$8,Nutrients!$CZ$9)*AA$7)+(((IF($A$8=Nutrients!$B$79,Nutrients!$CZ$79,(IF($A$8=Nutrients!$B$77,Nutrients!$CZ$77,Nutrients!$CZ$78)))))*AA$8))/2000/AA$236*100</f>
        <v>174.40468201573708</v>
      </c>
      <c r="AB238" s="451">
        <f>(SUMPRODUCT(AB$9:AB$229,Nutrients!$CZ$8:$CZ$228)+(IF($A$7=Nutrients!$B$8,Nutrients!$CZ$8,Nutrients!$CZ$9)*AB$7)+(((IF($A$8=Nutrients!$B$79,Nutrients!$CZ$79,(IF($A$8=Nutrients!$B$77,Nutrients!$CZ$77,Nutrients!$CZ$78)))))*AB$8))/2000/AB$236*100</f>
        <v>179.30030496025222</v>
      </c>
      <c r="AC238" s="9"/>
      <c r="AD238" s="451">
        <f>(SUMPRODUCT(AD$9:AD$229,Nutrients!$CZ$8:$CZ$228)+(IF($A$7=Nutrients!$B$8,Nutrients!$CZ$8,Nutrients!$CZ$9)*AD$7)+(((IF($A$8=Nutrients!$B$79,Nutrients!$CZ$79,(IF($A$8=Nutrients!$B$77,Nutrients!$CZ$77,Nutrients!$CZ$78)))))*AD$8))/2000/AD$236*100</f>
        <v>149.17084730990732</v>
      </c>
      <c r="AE238" s="451">
        <f>(SUMPRODUCT(AE$9:AE$229,Nutrients!$CZ$8:$CZ$228)+(IF($A$7=Nutrients!$B$8,Nutrients!$CZ$8,Nutrients!$CZ$9)*AE$7)+(((IF($A$8=Nutrients!$B$79,Nutrients!$CZ$79,(IF($A$8=Nutrients!$B$77,Nutrients!$CZ$77,Nutrients!$CZ$78)))))*AE$8))/2000/AE$236*100</f>
        <v>156.52534830405881</v>
      </c>
      <c r="AF238" s="451">
        <f>(SUMPRODUCT(AF$9:AF$229,Nutrients!$CZ$8:$CZ$228)+(IF($A$7=Nutrients!$B$8,Nutrients!$CZ$8,Nutrients!$CZ$9)*AF$7)+(((IF($A$8=Nutrients!$B$79,Nutrients!$CZ$79,(IF($A$8=Nutrients!$B$77,Nutrients!$CZ$77,Nutrients!$CZ$78)))))*AF$8))/2000/AF$236*100</f>
        <v>165.2470026389943</v>
      </c>
      <c r="AG238" s="451">
        <f>(SUMPRODUCT(AG$9:AG$229,Nutrients!$CZ$8:$CZ$228)+(IF($A$7=Nutrients!$B$8,Nutrients!$CZ$8,Nutrients!$CZ$9)*AG$7)+(((IF($A$8=Nutrients!$B$79,Nutrients!$CZ$79,(IF($A$8=Nutrients!$B$77,Nutrients!$CZ$77,Nutrients!$CZ$78)))))*AG$8))/2000/AG$236*100</f>
        <v>174.20090133518505</v>
      </c>
      <c r="AH238" s="451">
        <f>(SUMPRODUCT(AH$9:AH$229,Nutrients!$CZ$8:$CZ$228)+(IF($A$7=Nutrients!$B$8,Nutrients!$CZ$8,Nutrients!$CZ$9)*AH$7)+(((IF($A$8=Nutrients!$B$79,Nutrients!$CZ$79,(IF($A$8=Nutrients!$B$77,Nutrients!$CZ$77,Nutrients!$CZ$78)))))*AH$8))/2000/AH$236*100</f>
        <v>181.92889439664049</v>
      </c>
      <c r="AI238" s="451">
        <f>(SUMPRODUCT(AI$9:AI$229,Nutrients!$CZ$8:$CZ$228)+(IF($A$7=Nutrients!$B$8,Nutrients!$CZ$8,Nutrients!$CZ$9)*AI$7)+(((IF($A$8=Nutrients!$B$79,Nutrients!$CZ$79,(IF($A$8=Nutrients!$B$77,Nutrients!$CZ$77,Nutrients!$CZ$78)))))*AI$8))/2000/AI$236*100</f>
        <v>187.189535269196</v>
      </c>
      <c r="AJ238" s="9"/>
      <c r="AK238" s="451">
        <f>(SUMPRODUCT(AK$9:AK$229,Nutrients!$CZ$8:$CZ$228)+(IF($A$7=Nutrients!$B$8,Nutrients!$CZ$8,Nutrients!$CZ$9)*AK$7)+(((IF($A$8=Nutrients!$B$79,Nutrients!$CZ$79,(IF($A$8=Nutrients!$B$77,Nutrients!$CZ$77,Nutrients!$CZ$78)))))*AK$8))/2000/AK$236*100</f>
        <v>154.03225481802451</v>
      </c>
      <c r="AL238" s="451">
        <f>(SUMPRODUCT(AL$9:AL$229,Nutrients!$CZ$8:$CZ$228)+(IF($A$7=Nutrients!$B$8,Nutrients!$CZ$8,Nutrients!$CZ$9)*AL$7)+(((IF($A$8=Nutrients!$B$79,Nutrients!$CZ$79,(IF($A$8=Nutrients!$B$77,Nutrients!$CZ$77,Nutrients!$CZ$78)))))*AL$8))/2000/AL$236*100</f>
        <v>162.03233580156376</v>
      </c>
      <c r="AM238" s="451">
        <f>(SUMPRODUCT(AM$9:AM$229,Nutrients!$CZ$8:$CZ$228)+(IF($A$7=Nutrients!$B$8,Nutrients!$CZ$8,Nutrients!$CZ$9)*AM$7)+(((IF($A$8=Nutrients!$B$79,Nutrients!$CZ$79,(IF($A$8=Nutrients!$B$77,Nutrients!$CZ$77,Nutrients!$CZ$78)))))*AM$8))/2000/AM$236*100</f>
        <v>171.47235890320985</v>
      </c>
      <c r="AN238" s="451">
        <f>(SUMPRODUCT(AN$9:AN$229,Nutrients!$CZ$8:$CZ$228)+(IF($A$7=Nutrients!$B$8,Nutrients!$CZ$8,Nutrients!$CZ$9)*AN$7)+(((IF($A$8=Nutrients!$B$79,Nutrients!$CZ$79,(IF($A$8=Nutrients!$B$77,Nutrients!$CZ$77,Nutrients!$CZ$78)))))*AN$8))/2000/AN$236*100</f>
        <v>181.10403778046711</v>
      </c>
      <c r="AO238" s="451">
        <f>(SUMPRODUCT(AO$9:AO$229,Nutrients!$CZ$8:$CZ$228)+(IF($A$7=Nutrients!$B$8,Nutrients!$CZ$8,Nutrients!$CZ$9)*AO$7)+(((IF($A$8=Nutrients!$B$79,Nutrients!$CZ$79,(IF($A$8=Nutrients!$B$77,Nutrients!$CZ$77,Nutrients!$CZ$78)))))*AO$8))/2000/AO$236*100</f>
        <v>189.4275961660008</v>
      </c>
      <c r="AP238" s="451">
        <f>(SUMPRODUCT(AP$9:AP$229,Nutrients!$CZ$8:$CZ$228)+(IF($A$7=Nutrients!$B$8,Nutrients!$CZ$8,Nutrients!$CZ$9)*AP$7)+(((IF($A$8=Nutrients!$B$79,Nutrients!$CZ$79,(IF($A$8=Nutrients!$B$77,Nutrients!$CZ$77,Nutrients!$CZ$78)))))*AP$8))/2000/AP$236*100</f>
        <v>195.08761596512474</v>
      </c>
      <c r="AQ238" s="9"/>
      <c r="AR238" s="451">
        <f>(SUMPRODUCT(AR$9:AR$229,Nutrients!$CZ$8:$CZ$228)+(IF($A$7=Nutrients!$B$8,Nutrients!$CZ$8,Nutrients!$CZ$9)*AR$7)+(((IF($A$8=Nutrients!$B$79,Nutrients!$CZ$79,(IF($A$8=Nutrients!$B$77,Nutrients!$CZ$77,Nutrients!$CZ$78)))))*AR$8))/2000/AR$236*100</f>
        <v>158.90440074912598</v>
      </c>
      <c r="AS238" s="451">
        <f>(SUMPRODUCT(AS$9:AS$229,Nutrients!$CZ$8:$CZ$228)+(IF($A$7=Nutrients!$B$8,Nutrients!$CZ$8,Nutrients!$CZ$9)*AS$7)+(((IF($A$8=Nutrients!$B$79,Nutrients!$CZ$79,(IF($A$8=Nutrients!$B$77,Nutrients!$CZ$77,Nutrients!$CZ$78)))))*AS$8))/2000/AS$236*100</f>
        <v>167.53925759303195</v>
      </c>
      <c r="AT238" s="451">
        <f>(SUMPRODUCT(AT$9:AT$229,Nutrients!$CZ$8:$CZ$228)+(IF($A$7=Nutrients!$B$8,Nutrients!$CZ$8,Nutrients!$CZ$9)*AT$7)+(((IF($A$8=Nutrients!$B$79,Nutrients!$CZ$79,(IF($A$8=Nutrients!$B$77,Nutrients!$CZ$77,Nutrients!$CZ$78)))))*AT$8))/2000/AT$236*100</f>
        <v>177.67916443061296</v>
      </c>
      <c r="AU238" s="451">
        <f>(SUMPRODUCT(AU$9:AU$229,Nutrients!$CZ$8:$CZ$228)+(IF($A$7=Nutrients!$B$8,Nutrients!$CZ$8,Nutrients!$CZ$9)*AU$7)+(((IF($A$8=Nutrients!$B$79,Nutrients!$CZ$79,(IF($A$8=Nutrients!$B$77,Nutrients!$CZ$77,Nutrients!$CZ$78)))))*AU$8))/2000/AU$236*100</f>
        <v>187.97363134678471</v>
      </c>
      <c r="AV238" s="451">
        <f>(SUMPRODUCT(AV$9:AV$229,Nutrients!$CZ$8:$CZ$228)+(IF($A$7=Nutrients!$B$8,Nutrients!$CZ$8,Nutrients!$CZ$9)*AV$7)+(((IF($A$8=Nutrients!$B$79,Nutrients!$CZ$79,(IF($A$8=Nutrients!$B$77,Nutrients!$CZ$77,Nutrients!$CZ$78)))))*AV$8))/2000/AV$236*100</f>
        <v>196.92446370927058</v>
      </c>
      <c r="AW238" s="451">
        <f>(SUMPRODUCT(AW$9:AW$229,Nutrients!$CZ$8:$CZ$228)+(IF($A$7=Nutrients!$B$8,Nutrients!$CZ$8,Nutrients!$CZ$9)*AW$7)+(((IF($A$8=Nutrients!$B$79,Nutrients!$CZ$79,(IF($A$8=Nutrients!$B$77,Nutrients!$CZ$77,Nutrients!$CZ$78)))))*AW$8))/2000/AW$236*100</f>
        <v>202.98385118035674</v>
      </c>
      <c r="AX238" s="13"/>
    </row>
    <row r="239" spans="1:50" x14ac:dyDescent="0.25">
      <c r="A239" s="38" t="s">
        <v>384</v>
      </c>
      <c r="B239" s="451">
        <f>(SUMPRODUCT(B$9:B$229,Nutrients!$DB$8:$DB$228)+(IF($A$7=Nutrients!$B$8,Nutrients!$DB$8,Nutrients!$DB$9)*B$7)+(((IF($A$8=Nutrients!$B$79,Nutrients!$DB$79,(IF($A$8=Nutrients!$B$77,Nutrients!$DB$77,Nutrients!$DB$78)))))*B$8))/2000/B$236*100</f>
        <v>32.176483378772197</v>
      </c>
      <c r="C239" s="451">
        <f>(SUMPRODUCT(C$9:C$229,Nutrients!$DB$8:$DB$228)+(IF($A$7=Nutrients!$B$8,Nutrients!$DB$8,Nutrients!$DB$9)*C$7)+(((IF($A$8=Nutrients!$B$79,Nutrients!$DB$79,(IF($A$8=Nutrients!$B$77,Nutrients!$DB$77,Nutrients!$DB$78)))))*C$8))/2000/C$236*100</f>
        <v>31.3204641187241</v>
      </c>
      <c r="D239" s="451">
        <f>(SUMPRODUCT(D$9:D$229,Nutrients!$DB$8:$DB$228)+(IF($A$7=Nutrients!$B$8,Nutrients!$DB$8,Nutrients!$DB$9)*D$7)+(((IF($A$8=Nutrients!$B$79,Nutrients!$DB$79,(IF($A$8=Nutrients!$B$77,Nutrients!$DB$77,Nutrients!$DB$78)))))*D$8))/2000/D$236*100</f>
        <v>30.28033378224459</v>
      </c>
      <c r="E239" s="451">
        <f>(SUMPRODUCT(E$9:E$229,Nutrients!$DB$8:$DB$228)+(IF($A$7=Nutrients!$B$8,Nutrients!$DB$8,Nutrients!$DB$9)*E$7)+(((IF($A$8=Nutrients!$B$79,Nutrients!$DB$79,(IF($A$8=Nutrients!$B$77,Nutrients!$DB$77,Nutrients!$DB$78)))))*E$8))/2000/E$236*100</f>
        <v>30.221879794096772</v>
      </c>
      <c r="F239" s="451">
        <f>(SUMPRODUCT(F$9:F$229,Nutrients!$DB$8:$DB$228)+(IF($A$7=Nutrients!$B$8,Nutrients!$DB$8,Nutrients!$DB$9)*F$7)+(((IF($A$8=Nutrients!$B$79,Nutrients!$DB$79,(IF($A$8=Nutrients!$B$77,Nutrients!$DB$77,Nutrients!$DB$78)))))*F$8))/2000/F$236*100</f>
        <v>29.27572686201405</v>
      </c>
      <c r="G239" s="451">
        <f>(SUMPRODUCT(G$9:G$229,Nutrients!$DB$8:$DB$228)+(IF($A$7=Nutrients!$B$8,Nutrients!$DB$8,Nutrients!$DB$9)*G$7)+(((IF($A$8=Nutrients!$B$79,Nutrients!$DB$79,(IF($A$8=Nutrients!$B$77,Nutrients!$DB$77,Nutrients!$DB$78)))))*G$8))/2000/G$236*100</f>
        <v>29.609559948404552</v>
      </c>
      <c r="H239" s="224"/>
      <c r="I239" s="451">
        <f>(SUMPRODUCT(I$9:I$229,Nutrients!$DB$8:$DB$228)+(IF($A$7=Nutrients!$B$8,Nutrients!$DB$8,Nutrients!$DB$9)*I$7)+(((IF($A$8=Nutrients!$B$79,Nutrients!$DB$79,(IF($A$8=Nutrients!$B$77,Nutrients!$DB$77,Nutrients!$DB$78)))))*I$8))/2000/I$236*100</f>
        <v>32.0801604012985</v>
      </c>
      <c r="J239" s="451">
        <f>(SUMPRODUCT(J$9:J$229,Nutrients!$DB$8:$DB$228)+(IF($A$7=Nutrients!$B$8,Nutrients!$DB$8,Nutrients!$DB$9)*J$7)+(((IF($A$8=Nutrients!$B$79,Nutrients!$DB$79,(IF($A$8=Nutrients!$B$77,Nutrients!$DB$77,Nutrients!$DB$78)))))*J$8))/2000/J$236*100</f>
        <v>31.207642776712923</v>
      </c>
      <c r="K239" s="451">
        <f>(SUMPRODUCT(K$9:K$229,Nutrients!$DB$8:$DB$228)+(IF($A$7=Nutrients!$B$8,Nutrients!$DB$8,Nutrients!$DB$9)*K$7)+(((IF($A$8=Nutrients!$B$79,Nutrients!$DB$79,(IF($A$8=Nutrients!$B$77,Nutrients!$DB$77,Nutrients!$DB$78)))))*K$8))/2000/K$236*100</f>
        <v>30.153097805455591</v>
      </c>
      <c r="L239" s="451">
        <f>(SUMPRODUCT(L$9:L$229,Nutrients!$DB$8:$DB$228)+(IF($A$7=Nutrients!$B$8,Nutrients!$DB$8,Nutrients!$DB$9)*L$7)+(((IF($A$8=Nutrients!$B$79,Nutrients!$DB$79,(IF($A$8=Nutrients!$B$77,Nutrients!$DB$77,Nutrients!$DB$78)))))*L$8))/2000/L$236*100</f>
        <v>30.073693586144433</v>
      </c>
      <c r="M239" s="451">
        <f>(SUMPRODUCT(M$9:M$229,Nutrients!$DB$8:$DB$228)+(IF($A$7=Nutrients!$B$8,Nutrients!$DB$8,Nutrients!$DB$9)*M$7)+(((IF($A$8=Nutrients!$B$79,Nutrients!$DB$79,(IF($A$8=Nutrients!$B$77,Nutrients!$DB$77,Nutrients!$DB$78)))))*M$8))/2000/M$236*100</f>
        <v>29.113261808370495</v>
      </c>
      <c r="N239" s="451">
        <f>(SUMPRODUCT(N$9:N$229,Nutrients!$DB$8:$DB$228)+(IF($A$7=Nutrients!$B$8,Nutrients!$DB$8,Nutrients!$DB$9)*N$7)+(((IF($A$8=Nutrients!$B$79,Nutrients!$DB$79,(IF($A$8=Nutrients!$B$77,Nutrients!$DB$77,Nutrients!$DB$78)))))*N$8))/2000/N$236*100</f>
        <v>29.436443536647122</v>
      </c>
      <c r="O239" s="472"/>
      <c r="P239" s="451">
        <f>(SUMPRODUCT(P$9:P$229,Nutrients!$DB$8:$DB$228)+(IF($A$7=Nutrients!$B$8,Nutrients!$DB$8,Nutrients!$DB$9)*P$7)+(((IF($A$8=Nutrients!$B$79,Nutrients!$DB$79,(IF($A$8=Nutrients!$B$77,Nutrients!$DB$77,Nutrients!$DB$78)))))*P$8))/2000/P$236*100</f>
        <v>31.966405640194296</v>
      </c>
      <c r="Q239" s="451">
        <f>(SUMPRODUCT(Q$9:Q$229,Nutrients!$DB$8:$DB$228)+(IF($A$7=Nutrients!$B$8,Nutrients!$DB$8,Nutrients!$DB$9)*Q$7)+(((IF($A$8=Nutrients!$B$79,Nutrients!$DB$79,(IF($A$8=Nutrients!$B$77,Nutrients!$DB$77,Nutrients!$DB$78)))))*Q$8))/2000/Q$236*100</f>
        <v>31.078776028184059</v>
      </c>
      <c r="R239" s="451">
        <f>(SUMPRODUCT(R$9:R$229,Nutrients!$DB$8:$DB$228)+(IF($A$7=Nutrients!$B$8,Nutrients!$DB$8,Nutrients!$DB$9)*R$7)+(((IF($A$8=Nutrients!$B$79,Nutrients!$DB$79,(IF($A$8=Nutrients!$B$77,Nutrients!$DB$77,Nutrients!$DB$78)))))*R$8))/2000/R$236*100</f>
        <v>30.006940373496171</v>
      </c>
      <c r="S239" s="451">
        <f>(SUMPRODUCT(S$9:S$229,Nutrients!$DB$8:$DB$228)+(IF($A$7=Nutrients!$B$8,Nutrients!$DB$8,Nutrients!$DB$9)*S$7)+(((IF($A$8=Nutrients!$B$79,Nutrients!$DB$79,(IF($A$8=Nutrients!$B$77,Nutrients!$DB$77,Nutrients!$DB$78)))))*S$8))/2000/S$236*100</f>
        <v>29.909849199136662</v>
      </c>
      <c r="T239" s="451">
        <f>(SUMPRODUCT(T$9:T$229,Nutrients!$DB$8:$DB$228)+(IF($A$7=Nutrients!$B$8,Nutrients!$DB$8,Nutrients!$DB$9)*T$7)+(((IF($A$8=Nutrients!$B$79,Nutrients!$DB$79,(IF($A$8=Nutrients!$B$77,Nutrients!$DB$77,Nutrients!$DB$78)))))*T$8))/2000/T$236*100</f>
        <v>29.415789251911157</v>
      </c>
      <c r="U239" s="451">
        <f>(SUMPRODUCT(U$9:U$229,Nutrients!$DB$8:$DB$228)+(IF($A$7=Nutrients!$B$8,Nutrients!$DB$8,Nutrients!$DB$9)*U$7)+(((IF($A$8=Nutrients!$B$79,Nutrients!$DB$79,(IF($A$8=Nutrients!$B$77,Nutrients!$DB$77,Nutrients!$DB$78)))))*U$8))/2000/U$236*100</f>
        <v>30.157229169170179</v>
      </c>
      <c r="V239" s="9"/>
      <c r="W239" s="451">
        <f>(SUMPRODUCT(W$9:W$229,Nutrients!$DB$8:$DB$228)+(IF($A$7=Nutrients!$B$8,Nutrients!$DB$8,Nutrients!$DB$9)*W$7)+(((IF($A$8=Nutrients!$B$79,Nutrients!$DB$79,(IF($A$8=Nutrients!$B$77,Nutrients!$DB$77,Nutrients!$DB$78)))))*W$8))/2000/W$236*100</f>
        <v>31.852504772659273</v>
      </c>
      <c r="X239" s="451">
        <f>(SUMPRODUCT(X$9:X$229,Nutrients!$DB$8:$DB$228)+(IF($A$7=Nutrients!$B$8,Nutrients!$DB$8,Nutrients!$DB$9)*X$7)+(((IF($A$8=Nutrients!$B$79,Nutrients!$DB$79,(IF($A$8=Nutrients!$B$77,Nutrients!$DB$77,Nutrients!$DB$78)))))*X$8))/2000/X$236*100</f>
        <v>30.949710944365837</v>
      </c>
      <c r="Y239" s="451">
        <f>(SUMPRODUCT(Y$9:Y$229,Nutrients!$DB$8:$DB$228)+(IF($A$7=Nutrients!$B$8,Nutrients!$DB$8,Nutrients!$DB$9)*Y$7)+(((IF($A$8=Nutrients!$B$79,Nutrients!$DB$79,(IF($A$8=Nutrients!$B$77,Nutrients!$DB$77,Nutrients!$DB$78)))))*Y$8))/2000/Y$236*100</f>
        <v>29.861318546819405</v>
      </c>
      <c r="Z239" s="451">
        <f>(SUMPRODUCT(Z$9:Z$229,Nutrients!$DB$8:$DB$228)+(IF($A$7=Nutrients!$B$8,Nutrients!$DB$8,Nutrients!$DB$9)*Z$7)+(((IF($A$8=Nutrients!$B$79,Nutrients!$DB$79,(IF($A$8=Nutrients!$B$77,Nutrients!$DB$77,Nutrients!$DB$78)))))*Z$8))/2000/Z$236*100</f>
        <v>29.211961491766676</v>
      </c>
      <c r="AA239" s="451">
        <f>(SUMPRODUCT(AA$9:AA$229,Nutrients!$DB$8:$DB$228)+(IF($A$7=Nutrients!$B$8,Nutrients!$DB$8,Nutrients!$DB$9)*AA$7)+(((IF($A$8=Nutrients!$B$79,Nutrients!$DB$79,(IF($A$8=Nutrients!$B$77,Nutrients!$DB$77,Nutrients!$DB$78)))))*AA$8))/2000/AA$236*100</f>
        <v>30.347983729088213</v>
      </c>
      <c r="AB239" s="451">
        <f>(SUMPRODUCT(AB$9:AB$229,Nutrients!$DB$8:$DB$228)+(IF($A$7=Nutrients!$B$8,Nutrients!$DB$8,Nutrients!$DB$9)*AB$7)+(((IF($A$8=Nutrients!$B$79,Nutrients!$DB$79,(IF($A$8=Nutrients!$B$77,Nutrients!$DB$77,Nutrients!$DB$78)))))*AB$8))/2000/AB$236*100</f>
        <v>31.132770190745102</v>
      </c>
      <c r="AC239" s="9"/>
      <c r="AD239" s="451">
        <f>(SUMPRODUCT(AD$9:AD$229,Nutrients!$DB$8:$DB$228)+(IF($A$7=Nutrients!$B$8,Nutrients!$DB$8,Nutrients!$DB$9)*AD$7)+(((IF($A$8=Nutrients!$B$79,Nutrients!$DB$79,(IF($A$8=Nutrients!$B$77,Nutrients!$DB$77,Nutrients!$DB$78)))))*AD$8))/2000/AD$236*100</f>
        <v>31.738424583390419</v>
      </c>
      <c r="AE239" s="451">
        <f>(SUMPRODUCT(AE$9:AE$229,Nutrients!$DB$8:$DB$228)+(IF($A$7=Nutrients!$B$8,Nutrients!$DB$8,Nutrients!$DB$9)*AE$7)+(((IF($A$8=Nutrients!$B$79,Nutrients!$DB$79,(IF($A$8=Nutrients!$B$77,Nutrients!$DB$77,Nutrients!$DB$78)))))*AE$8))/2000/AE$236*100</f>
        <v>30.82077498556734</v>
      </c>
      <c r="AF239" s="451">
        <f>(SUMPRODUCT(AF$9:AF$229,Nutrients!$DB$8:$DB$228)+(IF($A$7=Nutrients!$B$8,Nutrients!$DB$8,Nutrients!$DB$9)*AF$7)+(((IF($A$8=Nutrients!$B$79,Nutrients!$DB$79,(IF($A$8=Nutrients!$B$77,Nutrients!$DB$77,Nutrients!$DB$78)))))*AF$8))/2000/AF$236*100</f>
        <v>28.687588705636323</v>
      </c>
      <c r="AG239" s="451">
        <f>(SUMPRODUCT(AG$9:AG$229,Nutrients!$DB$8:$DB$228)+(IF($A$7=Nutrients!$B$8,Nutrients!$DB$8,Nutrients!$DB$9)*AG$7)+(((IF($A$8=Nutrients!$B$79,Nutrients!$DB$79,(IF($A$8=Nutrients!$B$77,Nutrients!$DB$77,Nutrients!$DB$78)))))*AG$8))/2000/AG$236*100</f>
        <v>30.065476379038152</v>
      </c>
      <c r="AH239" s="451">
        <f>(SUMPRODUCT(AH$9:AH$229,Nutrients!$DB$8:$DB$228)+(IF($A$7=Nutrients!$B$8,Nutrients!$DB$8,Nutrients!$DB$9)*AH$7)+(((IF($A$8=Nutrients!$B$79,Nutrients!$DB$79,(IF($A$8=Nutrients!$B$77,Nutrients!$DB$77,Nutrients!$DB$78)))))*AH$8))/2000/AH$236*100</f>
        <v>31.262378871666812</v>
      </c>
      <c r="AI239" s="451">
        <f>(SUMPRODUCT(AI$9:AI$229,Nutrients!$DB$8:$DB$228)+(IF($A$7=Nutrients!$B$8,Nutrients!$DB$8,Nutrients!$DB$9)*AI$7)+(((IF($A$8=Nutrients!$B$79,Nutrients!$DB$79,(IF($A$8=Nutrients!$B$77,Nutrients!$DB$77,Nutrients!$DB$78)))))*AI$8))/2000/AI$236*100</f>
        <v>32.089532197871073</v>
      </c>
      <c r="AJ239" s="9"/>
      <c r="AK239" s="451">
        <f>(SUMPRODUCT(AK$9:AK$229,Nutrients!$DB$8:$DB$228)+(IF($A$7=Nutrients!$B$8,Nutrients!$DB$8,Nutrients!$DB$9)*AK$7)+(((IF($A$8=Nutrients!$B$79,Nutrients!$DB$79,(IF($A$8=Nutrients!$B$77,Nutrients!$DB$77,Nutrients!$DB$78)))))*AK$8))/2000/AK$236*100</f>
        <v>31.623086240686789</v>
      </c>
      <c r="AL239" s="451">
        <f>(SUMPRODUCT(AL$9:AL$229,Nutrients!$DB$8:$DB$228)+(IF($A$7=Nutrients!$B$8,Nutrients!$DB$8,Nutrients!$DB$9)*AL$7)+(((IF($A$8=Nutrients!$B$79,Nutrients!$DB$79,(IF($A$8=Nutrients!$B$77,Nutrients!$DB$77,Nutrients!$DB$78)))))*AL$8))/2000/AL$236*100</f>
        <v>30.691860025384344</v>
      </c>
      <c r="AM239" s="451">
        <f>(SUMPRODUCT(AM$9:AM$229,Nutrients!$DB$8:$DB$228)+(IF($A$7=Nutrients!$B$8,Nutrients!$DB$8,Nutrients!$DB$9)*AM$7)+(((IF($A$8=Nutrients!$B$79,Nutrients!$DB$79,(IF($A$8=Nutrients!$B$77,Nutrients!$DB$77,Nutrients!$DB$78)))))*AM$8))/2000/AM$236*100</f>
        <v>29.448650389782909</v>
      </c>
      <c r="AN239" s="451">
        <f>(SUMPRODUCT(AN$9:AN$229,Nutrients!$DB$8:$DB$228)+(IF($A$7=Nutrients!$B$8,Nutrients!$DB$8,Nutrients!$DB$9)*AN$7)+(((IF($A$8=Nutrients!$B$79,Nutrients!$DB$79,(IF($A$8=Nutrients!$B$77,Nutrients!$DB$77,Nutrients!$DB$78)))))*AN$8))/2000/AN$236*100</f>
        <v>30.904966285556849</v>
      </c>
      <c r="AO239" s="451">
        <f>(SUMPRODUCT(AO$9:AO$229,Nutrients!$DB$8:$DB$228)+(IF($A$7=Nutrients!$B$8,Nutrients!$DB$8,Nutrients!$DB$9)*AO$7)+(((IF($A$8=Nutrients!$B$79,Nutrients!$DB$79,(IF($A$8=Nutrients!$B$77,Nutrients!$DB$77,Nutrients!$DB$78)))))*AO$8))/2000/AO$236*100</f>
        <v>32.172281480746761</v>
      </c>
      <c r="AP239" s="451">
        <f>(SUMPRODUCT(AP$9:AP$229,Nutrients!$DB$8:$DB$228)+(IF($A$7=Nutrients!$B$8,Nutrients!$DB$8,Nutrients!$DB$9)*AP$7)+(((IF($A$8=Nutrients!$B$79,Nutrients!$DB$79,(IF($A$8=Nutrients!$B$77,Nutrients!$DB$77,Nutrients!$DB$78)))))*AP$8))/2000/AP$236*100</f>
        <v>33.047852797974663</v>
      </c>
      <c r="AQ239" s="9"/>
      <c r="AR239" s="451">
        <f>(SUMPRODUCT(AR$9:AR$229,Nutrients!$DB$8:$DB$228)+(IF($A$7=Nutrients!$B$8,Nutrients!$DB$8,Nutrients!$DB$9)*AR$7)+(((IF($A$8=Nutrients!$B$79,Nutrients!$DB$79,(IF($A$8=Nutrients!$B$77,Nutrients!$DB$77,Nutrients!$DB$78)))))*AR$8))/2000/AR$236*100</f>
        <v>31.509638982597028</v>
      </c>
      <c r="AS239" s="451">
        <f>(SUMPRODUCT(AS$9:AS$229,Nutrients!$DB$8:$DB$228)+(IF($A$7=Nutrients!$B$8,Nutrients!$DB$8,Nutrients!$DB$9)*AS$7)+(((IF($A$8=Nutrients!$B$79,Nutrients!$DB$79,(IF($A$8=Nutrients!$B$77,Nutrients!$DB$77,Nutrients!$DB$78)))))*AS$8))/2000/AS$236*100</f>
        <v>30.562933494072574</v>
      </c>
      <c r="AT239" s="451">
        <f>(SUMPRODUCT(AT$9:AT$229,Nutrients!$DB$8:$DB$228)+(IF($A$7=Nutrients!$B$8,Nutrients!$DB$8,Nutrients!$DB$9)*AT$7)+(((IF($A$8=Nutrients!$B$79,Nutrients!$DB$79,(IF($A$8=Nutrients!$B$77,Nutrients!$DB$77,Nutrients!$DB$78)))))*AT$8))/2000/AT$236*100</f>
        <v>30.206445205692571</v>
      </c>
      <c r="AU239" s="451">
        <f>(SUMPRODUCT(AU$9:AU$229,Nutrients!$DB$8:$DB$228)+(IF($A$7=Nutrients!$B$8,Nutrients!$DB$8,Nutrients!$DB$9)*AU$7)+(((IF($A$8=Nutrients!$B$79,Nutrients!$DB$79,(IF($A$8=Nutrients!$B$77,Nutrients!$DB$77,Nutrients!$DB$78)))))*AU$8))/2000/AU$236*100</f>
        <v>31.738549140136229</v>
      </c>
      <c r="AV239" s="451">
        <f>(SUMPRODUCT(AV$9:AV$229,Nutrients!$DB$8:$DB$228)+(IF($A$7=Nutrients!$B$8,Nutrients!$DB$8,Nutrients!$DB$9)*AV$7)+(((IF($A$8=Nutrients!$B$79,Nutrients!$DB$79,(IF($A$8=Nutrients!$B$77,Nutrients!$DB$77,Nutrients!$DB$78)))))*AV$8))/2000/AV$236*100</f>
        <v>33.081861074357569</v>
      </c>
      <c r="AW239" s="451">
        <f>(SUMPRODUCT(AW$9:AW$229,Nutrients!$DB$8:$DB$228)+(IF($A$7=Nutrients!$B$8,Nutrients!$DB$8,Nutrients!$DB$9)*AW$7)+(((IF($A$8=Nutrients!$B$79,Nutrients!$DB$79,(IF($A$8=Nutrients!$B$77,Nutrients!$DB$77,Nutrients!$DB$78)))))*AW$8))/2000/AW$236*100</f>
        <v>34.005848400622313</v>
      </c>
      <c r="AX239" s="13"/>
    </row>
    <row r="240" spans="1:50" x14ac:dyDescent="0.25">
      <c r="A240" s="38" t="s">
        <v>385</v>
      </c>
      <c r="B240" s="225">
        <f>(SUMPRODUCT(B$9:B$229,Nutrients!$DC$8:$DC$228)+(IF($A$7=Nutrients!$B$8,Nutrients!$DC$8,Nutrients!$DC$9)*B$7)+(((IF($A$8=Nutrients!$B$79,Nutrients!$DC$79,(IF($A$8=Nutrients!$B$77,Nutrients!$DC$77,Nutrients!$DC$78)))))*B$8))/2000/B$236*100</f>
        <v>55.994418242240393</v>
      </c>
      <c r="C240" s="225">
        <f>(SUMPRODUCT(C$9:C$229,Nutrients!$DC$8:$DC$228)+(IF($A$7=Nutrients!$B$8,Nutrients!$DC$8,Nutrients!$DC$9)*C$7)+(((IF($A$8=Nutrients!$B$79,Nutrients!$DC$79,(IF($A$8=Nutrients!$B$77,Nutrients!$DC$77,Nutrients!$DC$78)))))*C$8))/2000/C$236*100</f>
        <v>55.998321129822401</v>
      </c>
      <c r="D240" s="225">
        <f>(SUMPRODUCT(D$9:D$229,Nutrients!$DC$8:$DC$228)+(IF($A$7=Nutrients!$B$8,Nutrients!$DC$8,Nutrients!$DC$9)*D$7)+(((IF($A$8=Nutrients!$B$79,Nutrients!$DC$79,(IF($A$8=Nutrients!$B$77,Nutrients!$DC$77,Nutrients!$DC$78)))))*D$8))/2000/D$236*100</f>
        <v>56.000205781178344</v>
      </c>
      <c r="E240" s="225">
        <f>(SUMPRODUCT(E$9:E$229,Nutrients!$DC$8:$DC$228)+(IF($A$7=Nutrients!$B$8,Nutrients!$DC$8,Nutrients!$DC$9)*E$7)+(((IF($A$8=Nutrients!$B$79,Nutrients!$DC$79,(IF($A$8=Nutrients!$B$77,Nutrients!$DC$77,Nutrients!$DC$78)))))*E$8))/2000/E$236*100</f>
        <v>56.999140886022367</v>
      </c>
      <c r="F240" s="225">
        <f>(SUMPRODUCT(F$9:F$229,Nutrients!$DC$8:$DC$228)+(IF($A$7=Nutrients!$B$8,Nutrients!$DC$8,Nutrients!$DC$9)*F$7)+(((IF($A$8=Nutrients!$B$79,Nutrients!$DC$79,(IF($A$8=Nutrients!$B$77,Nutrients!$DC$77,Nutrients!$DC$78)))))*F$8))/2000/F$236*100</f>
        <v>57.001109458079327</v>
      </c>
      <c r="G240" s="225">
        <f>(SUMPRODUCT(G$9:G$229,Nutrients!$DC$8:$DC$228)+(IF($A$7=Nutrients!$B$8,Nutrients!$DC$8,Nutrients!$DC$9)*G$7)+(((IF($A$8=Nutrients!$B$79,Nutrients!$DC$79,(IF($A$8=Nutrients!$B$77,Nutrients!$DC$77,Nutrients!$DC$78)))))*G$8))/2000/G$236*100</f>
        <v>58.001701198028378</v>
      </c>
      <c r="H240" s="224"/>
      <c r="I240" s="225">
        <f>(SUMPRODUCT(I$9:I$229,Nutrients!$DC$8:$DC$228)+(IF($A$7=Nutrients!$B$8,Nutrients!$DC$8,Nutrients!$DC$9)*I$7)+(((IF($A$8=Nutrients!$B$79,Nutrients!$DC$79,(IF($A$8=Nutrients!$B$77,Nutrients!$DC$77,Nutrients!$DC$78)))))*I$8))/2000/I$236*100</f>
        <v>55.992162465524274</v>
      </c>
      <c r="J240" s="225">
        <f>(SUMPRODUCT(J$9:J$229,Nutrients!$DC$8:$DC$228)+(IF($A$7=Nutrients!$B$8,Nutrients!$DC$8,Nutrients!$DC$9)*J$7)+(((IF($A$8=Nutrients!$B$79,Nutrients!$DC$79,(IF($A$8=Nutrients!$B$77,Nutrients!$DC$77,Nutrients!$DC$78)))))*J$8))/2000/J$236*100</f>
        <v>55.991135702730375</v>
      </c>
      <c r="K240" s="225">
        <f>(SUMPRODUCT(K$9:K$229,Nutrients!$DC$8:$DC$228)+(IF($A$7=Nutrients!$B$8,Nutrients!$DC$8,Nutrients!$DC$9)*K$7)+(((IF($A$8=Nutrients!$B$79,Nutrients!$DC$79,(IF($A$8=Nutrients!$B$77,Nutrients!$DC$77,Nutrients!$DC$78)))))*K$8))/2000/K$236*100</f>
        <v>55.994027263406679</v>
      </c>
      <c r="L240" s="225">
        <f>(SUMPRODUCT(L$9:L$229,Nutrients!$DC$8:$DC$228)+(IF($A$7=Nutrients!$B$8,Nutrients!$DC$8,Nutrients!$DC$9)*L$7)+(((IF($A$8=Nutrients!$B$79,Nutrients!$DC$79,(IF($A$8=Nutrients!$B$77,Nutrients!$DC$77,Nutrients!$DC$78)))))*L$8))/2000/L$236*100</f>
        <v>56.989352384814687</v>
      </c>
      <c r="M240" s="225">
        <f>(SUMPRODUCT(M$9:M$229,Nutrients!$DC$8:$DC$228)+(IF($A$7=Nutrients!$B$8,Nutrients!$DC$8,Nutrients!$DC$9)*M$7)+(((IF($A$8=Nutrients!$B$79,Nutrients!$DC$79,(IF($A$8=Nutrients!$B$77,Nutrients!$DC$77,Nutrients!$DC$78)))))*M$8))/2000/M$236*100</f>
        <v>56.987715318820989</v>
      </c>
      <c r="N240" s="225">
        <f>(SUMPRODUCT(N$9:N$229,Nutrients!$DC$8:$DC$228)+(IF($A$7=Nutrients!$B$8,Nutrients!$DC$8,Nutrients!$DC$9)*N$7)+(((IF($A$8=Nutrients!$B$79,Nutrients!$DC$79,(IF($A$8=Nutrients!$B$77,Nutrients!$DC$77,Nutrients!$DC$78)))))*N$8))/2000/N$236*100</f>
        <v>57.987059747898847</v>
      </c>
      <c r="O240" s="472"/>
      <c r="P240" s="225">
        <f>(SUMPRODUCT(P$9:P$229,Nutrients!$DC$8:$DC$228)+(IF($A$7=Nutrients!$B$8,Nutrients!$DC$8,Nutrients!$DC$9)*P$7)+(((IF($A$8=Nutrients!$B$79,Nutrients!$DC$79,(IF($A$8=Nutrients!$B$77,Nutrients!$DC$77,Nutrients!$DC$78)))))*P$8))/2000/P$236*100</f>
        <v>55.972374501990672</v>
      </c>
      <c r="Q240" s="225">
        <f>(SUMPRODUCT(Q$9:Q$229,Nutrients!$DC$8:$DC$228)+(IF($A$7=Nutrients!$B$8,Nutrients!$DC$8,Nutrients!$DC$9)*Q$7)+(((IF($A$8=Nutrients!$B$79,Nutrients!$DC$79,(IF($A$8=Nutrients!$B$77,Nutrients!$DC$77,Nutrients!$DC$78)))))*Q$8))/2000/Q$236*100</f>
        <v>55.968330625301988</v>
      </c>
      <c r="R240" s="225">
        <f>(SUMPRODUCT(R$9:R$229,Nutrients!$DC$8:$DC$228)+(IF($A$7=Nutrients!$B$8,Nutrients!$DC$8,Nutrients!$DC$9)*R$7)+(((IF($A$8=Nutrients!$B$79,Nutrients!$DC$79,(IF($A$8=Nutrients!$B$77,Nutrients!$DC$77,Nutrients!$DC$78)))))*R$8))/2000/R$236*100</f>
        <v>55.967500214385367</v>
      </c>
      <c r="S240" s="225">
        <f>(SUMPRODUCT(S$9:S$229,Nutrients!$DC$8:$DC$228)+(IF($A$7=Nutrients!$B$8,Nutrients!$DC$8,Nutrients!$DC$9)*S$7)+(((IF($A$8=Nutrients!$B$79,Nutrients!$DC$79,(IF($A$8=Nutrients!$B$77,Nutrients!$DC$77,Nutrients!$DC$78)))))*S$8))/2000/S$236*100</f>
        <v>56.959906724477591</v>
      </c>
      <c r="T240" s="225">
        <f>(SUMPRODUCT(T$9:T$229,Nutrients!$DC$8:$DC$228)+(IF($A$7=Nutrients!$B$8,Nutrients!$DC$8,Nutrients!$DC$9)*T$7)+(((IF($A$8=Nutrients!$B$79,Nutrients!$DC$79,(IF($A$8=Nutrients!$B$77,Nutrients!$DC$77,Nutrients!$DC$78)))))*T$8))/2000/T$236*100</f>
        <v>57.436514448149346</v>
      </c>
      <c r="U240" s="225">
        <f>(SUMPRODUCT(U$9:U$229,Nutrients!$DC$8:$DC$228)+(IF($A$7=Nutrients!$B$8,Nutrients!$DC$8,Nutrients!$DC$9)*U$7)+(((IF($A$8=Nutrients!$B$79,Nutrients!$DC$79,(IF($A$8=Nutrients!$B$77,Nutrients!$DC$77,Nutrients!$DC$78)))))*U$8))/2000/U$236*100</f>
        <v>58.861439616549262</v>
      </c>
      <c r="V240" s="9"/>
      <c r="W240" s="225">
        <f>(SUMPRODUCT(W$9:W$229,Nutrients!$DC$8:$DC$228)+(IF($A$7=Nutrients!$B$8,Nutrients!$DC$8,Nutrients!$DC$9)*W$7)+(((IF($A$8=Nutrients!$B$79,Nutrients!$DC$79,(IF($A$8=Nutrients!$B$77,Nutrients!$DC$77,Nutrients!$DC$78)))))*W$8))/2000/W$236*100</f>
        <v>55.952290226303958</v>
      </c>
      <c r="X240" s="225">
        <f>(SUMPRODUCT(X$9:X$229,Nutrients!$DC$8:$DC$228)+(IF($A$7=Nutrients!$B$8,Nutrients!$DC$8,Nutrients!$DC$9)*X$7)+(((IF($A$8=Nutrients!$B$79,Nutrients!$DC$79,(IF($A$8=Nutrients!$B$77,Nutrients!$DC$77,Nutrients!$DC$78)))))*X$8))/2000/X$236*100</f>
        <v>55.945123312624347</v>
      </c>
      <c r="Y240" s="225">
        <f>(SUMPRODUCT(Y$9:Y$229,Nutrients!$DC$8:$DC$228)+(IF($A$7=Nutrients!$B$8,Nutrients!$DC$8,Nutrients!$DC$9)*Y$7)+(((IF($A$8=Nutrients!$B$79,Nutrients!$DC$79,(IF($A$8=Nutrients!$B$77,Nutrients!$DC$77,Nutrients!$DC$78)))))*Y$8))/2000/Y$236*100</f>
        <v>55.942059403345667</v>
      </c>
      <c r="Z240" s="225">
        <f>(SUMPRODUCT(Z$9:Z$229,Nutrients!$DC$8:$DC$228)+(IF($A$7=Nutrients!$B$8,Nutrients!$DC$8,Nutrients!$DC$9)*Z$7)+(((IF($A$8=Nutrients!$B$79,Nutrients!$DC$79,(IF($A$8=Nutrients!$B$77,Nutrients!$DC$77,Nutrients!$DC$78)))))*Z$8))/2000/Z$236*100</f>
        <v>56.39717452364318</v>
      </c>
      <c r="AA240" s="225">
        <f>(SUMPRODUCT(AA$9:AA$229,Nutrients!$DC$8:$DC$228)+(IF($A$7=Nutrients!$B$8,Nutrients!$DC$8,Nutrients!$DC$9)*AA$7)+(((IF($A$8=Nutrients!$B$79,Nutrients!$DC$79,(IF($A$8=Nutrients!$B$77,Nutrients!$DC$77,Nutrients!$DC$78)))))*AA$8))/2000/AA$236*100</f>
        <v>58.514426140508668</v>
      </c>
      <c r="AB240" s="225">
        <f>(SUMPRODUCT(AB$9:AB$229,Nutrients!$DC$8:$DC$228)+(IF($A$7=Nutrients!$B$8,Nutrients!$DC$8,Nutrients!$DC$9)*AB$7)+(((IF($A$8=Nutrients!$B$79,Nutrients!$DC$79,(IF($A$8=Nutrients!$B$77,Nutrients!$DC$77,Nutrients!$DC$78)))))*AB$8))/2000/AB$236*100</f>
        <v>59.983894546193561</v>
      </c>
      <c r="AC240" s="9"/>
      <c r="AD240" s="225">
        <f>(SUMPRODUCT(AD$9:AD$229,Nutrients!$DC$8:$DC$228)+(IF($A$7=Nutrients!$B$8,Nutrients!$DC$8,Nutrients!$DC$9)*AD$7)+(((IF($A$8=Nutrients!$B$79,Nutrients!$DC$79,(IF($A$8=Nutrients!$B$77,Nutrients!$DC$77,Nutrients!$DC$78)))))*AD$8))/2000/AD$236*100</f>
        <v>55.93184227594017</v>
      </c>
      <c r="AE240" s="225">
        <f>(SUMPRODUCT(AE$9:AE$229,Nutrients!$DC$8:$DC$228)+(IF($A$7=Nutrients!$B$8,Nutrients!$DC$8,Nutrients!$DC$9)*AE$7)+(((IF($A$8=Nutrients!$B$79,Nutrients!$DC$79,(IF($A$8=Nutrients!$B$77,Nutrients!$DC$77,Nutrients!$DC$78)))))*AE$8))/2000/AE$236*100</f>
        <v>55.922177872832059</v>
      </c>
      <c r="AF240" s="225">
        <f>(SUMPRODUCT(AF$9:AF$229,Nutrients!$DC$8:$DC$228)+(IF($A$7=Nutrients!$B$8,Nutrients!$DC$8,Nutrients!$DC$9)*AF$7)+(((IF($A$8=Nutrients!$B$79,Nutrients!$DC$79,(IF($A$8=Nutrients!$B$77,Nutrients!$DC$77,Nutrients!$DC$78)))))*AF$8))/2000/AF$236*100</f>
        <v>54.88911206975218</v>
      </c>
      <c r="AG240" s="225">
        <f>(SUMPRODUCT(AG$9:AG$229,Nutrients!$DC$8:$DC$228)+(IF($A$7=Nutrients!$B$8,Nutrients!$DC$8,Nutrients!$DC$9)*AG$7)+(((IF($A$8=Nutrients!$B$79,Nutrients!$DC$79,(IF($A$8=Nutrients!$B$77,Nutrients!$DC$77,Nutrients!$DC$78)))))*AG$8))/2000/AG$236*100</f>
        <v>57.383729581531064</v>
      </c>
      <c r="AH240" s="225">
        <f>(SUMPRODUCT(AH$9:AH$229,Nutrients!$DC$8:$DC$228)+(IF($A$7=Nutrients!$B$8,Nutrients!$DC$8,Nutrients!$DC$9)*AH$7)+(((IF($A$8=Nutrients!$B$79,Nutrients!$DC$79,(IF($A$8=Nutrients!$B$77,Nutrients!$DC$77,Nutrients!$DC$78)))))*AH$8))/2000/AH$236*100</f>
        <v>59.556239769771437</v>
      </c>
      <c r="AI240" s="225">
        <f>(SUMPRODUCT(AI$9:AI$229,Nutrients!$DC$8:$DC$228)+(IF($A$7=Nutrients!$B$8,Nutrients!$DC$8,Nutrients!$DC$9)*AI$7)+(((IF($A$8=Nutrients!$B$79,Nutrients!$DC$79,(IF($A$8=Nutrients!$B$77,Nutrients!$DC$77,Nutrients!$DC$78)))))*AI$8))/2000/AI$236*100</f>
        <v>61.068264566274557</v>
      </c>
      <c r="AJ240" s="9"/>
      <c r="AK240" s="225">
        <f>(SUMPRODUCT(AK$9:AK$229,Nutrients!$DC$8:$DC$228)+(IF($A$7=Nutrients!$B$8,Nutrients!$DC$8,Nutrients!$DC$9)*AK$7)+(((IF($A$8=Nutrients!$B$79,Nutrients!$DC$79,(IF($A$8=Nutrients!$B$77,Nutrients!$DC$77,Nutrients!$DC$78)))))*AK$8))/2000/AK$236*100</f>
        <v>55.90884271883948</v>
      </c>
      <c r="AL240" s="225">
        <f>(SUMPRODUCT(AL$9:AL$229,Nutrients!$DC$8:$DC$228)+(IF($A$7=Nutrients!$B$8,Nutrients!$DC$8,Nutrients!$DC$9)*AL$7)+(((IF($A$8=Nutrients!$B$79,Nutrients!$DC$79,(IF($A$8=Nutrients!$B$77,Nutrients!$DC$77,Nutrients!$DC$78)))))*AL$8))/2000/AL$236*100</f>
        <v>55.89927501942654</v>
      </c>
      <c r="AM240" s="225">
        <f>(SUMPRODUCT(AM$9:AM$229,Nutrients!$DC$8:$DC$228)+(IF($A$7=Nutrients!$B$8,Nutrients!$DC$8,Nutrients!$DC$9)*AM$7)+(((IF($A$8=Nutrients!$B$79,Nutrients!$DC$79,(IF($A$8=Nutrients!$B$77,Nutrients!$DC$77,Nutrients!$DC$78)))))*AM$8))/2000/AM$236*100</f>
        <v>55.769166093819024</v>
      </c>
      <c r="AN240" s="225">
        <f>(SUMPRODUCT(AN$9:AN$229,Nutrients!$DC$8:$DC$228)+(IF($A$7=Nutrients!$B$8,Nutrients!$DC$8,Nutrients!$DC$9)*AN$7)+(((IF($A$8=Nutrients!$B$79,Nutrients!$DC$79,(IF($A$8=Nutrients!$B$77,Nutrients!$DC$77,Nutrients!$DC$78)))))*AN$8))/2000/AN$236*100</f>
        <v>58.341841180628883</v>
      </c>
      <c r="AO240" s="225">
        <f>(SUMPRODUCT(AO$9:AO$229,Nutrients!$DC$8:$DC$228)+(IF($A$7=Nutrients!$B$8,Nutrients!$DC$8,Nutrients!$DC$9)*AO$7)+(((IF($A$8=Nutrients!$B$79,Nutrients!$DC$79,(IF($A$8=Nutrients!$B$77,Nutrients!$DC$77,Nutrients!$DC$78)))))*AO$8))/2000/AO$236*100</f>
        <v>60.588942285537208</v>
      </c>
      <c r="AP240" s="225">
        <f>(SUMPRODUCT(AP$9:AP$229,Nutrients!$DC$8:$DC$228)+(IF($A$7=Nutrients!$B$8,Nutrients!$DC$8,Nutrients!$DC$9)*AP$7)+(((IF($A$8=Nutrients!$B$79,Nutrients!$DC$79,(IF($A$8=Nutrients!$B$77,Nutrients!$DC$77,Nutrients!$DC$78)))))*AP$8))/2000/AP$236*100</f>
        <v>62.155795501576108</v>
      </c>
      <c r="AQ240" s="9"/>
      <c r="AR240" s="225">
        <f>(SUMPRODUCT(AR$9:AR$229,Nutrients!$DC$8:$DC$228)+(IF($A$7=Nutrients!$B$8,Nutrients!$DC$8,Nutrients!$DC$9)*AR$7)+(((IF($A$8=Nutrients!$B$79,Nutrients!$DC$79,(IF($A$8=Nutrients!$B$77,Nutrients!$DC$77,Nutrients!$DC$78)))))*AR$8))/2000/AR$236*100</f>
        <v>55.889678388911733</v>
      </c>
      <c r="AS240" s="225">
        <f>(SUMPRODUCT(AS$9:AS$229,Nutrients!$DC$8:$DC$228)+(IF($A$7=Nutrients!$B$8,Nutrients!$DC$8,Nutrients!$DC$9)*AS$7)+(((IF($A$8=Nutrients!$B$79,Nutrients!$DC$79,(IF($A$8=Nutrients!$B$77,Nutrients!$DC$77,Nutrients!$DC$78)))))*AS$8))/2000/AS$236*100</f>
        <v>55.876348699113656</v>
      </c>
      <c r="AT240" s="225">
        <f>(SUMPRODUCT(AT$9:AT$229,Nutrients!$DC$8:$DC$228)+(IF($A$7=Nutrients!$B$8,Nutrients!$DC$8,Nutrients!$DC$9)*AT$7)+(((IF($A$8=Nutrients!$B$79,Nutrients!$DC$79,(IF($A$8=Nutrients!$B$77,Nutrients!$DC$77,Nutrients!$DC$78)))))*AT$8))/2000/AT$236*100</f>
        <v>56.642594723262732</v>
      </c>
      <c r="AU240" s="225">
        <f>(SUMPRODUCT(AU$9:AU$229,Nutrients!$DC$8:$DC$228)+(IF($A$7=Nutrients!$B$8,Nutrients!$DC$8,Nutrients!$DC$9)*AU$7)+(((IF($A$8=Nutrients!$B$79,Nutrients!$DC$79,(IF($A$8=Nutrients!$B$77,Nutrients!$DC$77,Nutrients!$DC$78)))))*AU$8))/2000/AU$236*100</f>
        <v>59.287972942365933</v>
      </c>
      <c r="AV240" s="225">
        <f>(SUMPRODUCT(AV$9:AV$229,Nutrients!$DC$8:$DC$228)+(IF($A$7=Nutrients!$B$8,Nutrients!$DC$8,Nutrients!$DC$9)*AV$7)+(((IF($A$8=Nutrients!$B$79,Nutrients!$DC$79,(IF($A$8=Nutrients!$B$77,Nutrients!$DC$77,Nutrients!$DC$78)))))*AV$8))/2000/AV$236*100</f>
        <v>61.620989707556539</v>
      </c>
      <c r="AW240" s="225">
        <f>(SUMPRODUCT(AW$9:AW$229,Nutrients!$DC$8:$DC$228)+(IF($A$7=Nutrients!$B$8,Nutrients!$DC$8,Nutrients!$DC$9)*AW$7)+(((IF($A$8=Nutrients!$B$79,Nutrients!$DC$79,(IF($A$8=Nutrients!$B$77,Nutrients!$DC$77,Nutrients!$DC$78)))))*AW$8))/2000/AW$236*100</f>
        <v>63.24266732354922</v>
      </c>
      <c r="AX240" s="13"/>
    </row>
    <row r="241" spans="1:56" x14ac:dyDescent="0.25">
      <c r="A241" s="38" t="s">
        <v>386</v>
      </c>
      <c r="B241" s="225">
        <f>(SUMPRODUCT(B$9:B$229,Nutrients!$DF$8:$DF$228)+(IF($A$7=Nutrients!$B$8,Nutrients!$DF$8,Nutrients!$DF$9)*B$7)+(((IF($A$8=Nutrients!$B$79,Nutrients!$DF$79,(IF($A$8=Nutrients!$B$77,Nutrients!$DF$77,Nutrients!$DF$78)))))*B$8))/2000/B$236*100</f>
        <v>61.999249045260719</v>
      </c>
      <c r="C241" s="225">
        <f>(SUMPRODUCT(C$9:C$229,Nutrients!$DF$8:$DF$228)+(IF($A$7=Nutrients!$B$8,Nutrients!$DF$8,Nutrients!$DF$9)*C$7)+(((IF($A$8=Nutrients!$B$79,Nutrients!$DF$79,(IF($A$8=Nutrients!$B$77,Nutrients!$DF$77,Nutrients!$DF$78)))))*C$8))/2000/C$236*100</f>
        <v>61.999768297038216</v>
      </c>
      <c r="D241" s="225">
        <f>(SUMPRODUCT(D$9:D$229,Nutrients!$DF$8:$DF$228)+(IF($A$7=Nutrients!$B$8,Nutrients!$DF$8,Nutrients!$DF$9)*D$7)+(((IF($A$8=Nutrients!$B$79,Nutrients!$DF$79,(IF($A$8=Nutrients!$B$77,Nutrients!$DF$77,Nutrients!$DF$78)))))*D$8))/2000/D$236*100</f>
        <v>62.000000000000014</v>
      </c>
      <c r="E241" s="225">
        <f>(SUMPRODUCT(E$9:E$229,Nutrients!$DF$8:$DF$228)+(IF($A$7=Nutrients!$B$8,Nutrients!$DF$8,Nutrients!$DF$9)*E$7)+(((IF($A$8=Nutrients!$B$79,Nutrients!$DF$79,(IF($A$8=Nutrients!$B$77,Nutrients!$DF$77,Nutrients!$DF$78)))))*E$8))/2000/E$236*100</f>
        <v>62.999881259958023</v>
      </c>
      <c r="F241" s="225">
        <f>(SUMPRODUCT(F$9:F$229,Nutrients!$DF$8:$DF$228)+(IF($A$7=Nutrients!$B$8,Nutrients!$DF$8,Nutrients!$DF$9)*F$7)+(((IF($A$8=Nutrients!$B$79,Nutrients!$DF$79,(IF($A$8=Nutrients!$B$77,Nutrients!$DF$77,Nutrients!$DF$78)))))*F$8))/2000/F$236*100</f>
        <v>63.000153115971145</v>
      </c>
      <c r="G241" s="225">
        <f>(SUMPRODUCT(G$9:G$229,Nutrients!$DF$8:$DF$228)+(IF($A$7=Nutrients!$B$8,Nutrients!$DF$8,Nutrients!$DF$9)*G$7)+(((IF($A$8=Nutrients!$B$79,Nutrients!$DF$79,(IF($A$8=Nutrients!$B$77,Nutrients!$DF$77,Nutrients!$DF$78)))))*G$8))/2000/G$236*100</f>
        <v>63.99976486226322</v>
      </c>
      <c r="H241" s="224"/>
      <c r="I241" s="225">
        <f>(SUMPRODUCT(I$9:I$229,Nutrients!$DF$8:$DF$228)+(IF($A$7=Nutrients!$B$8,Nutrients!$DF$8,Nutrients!$DF$9)*I$7)+(((IF($A$8=Nutrients!$B$79,Nutrients!$DF$79,(IF($A$8=Nutrients!$B$77,Nutrients!$DF$77,Nutrients!$DF$78)))))*I$8))/2000/I$236*100</f>
        <v>61.997206440877704</v>
      </c>
      <c r="J241" s="225">
        <f>(SUMPRODUCT(J$9:J$229,Nutrients!$DF$8:$DF$228)+(IF($A$7=Nutrients!$B$8,Nutrients!$DF$8,Nutrients!$DF$9)*J$7)+(((IF($A$8=Nutrients!$B$79,Nutrients!$DF$79,(IF($A$8=Nutrients!$B$77,Nutrients!$DF$77,Nutrients!$DF$78)))))*J$8))/2000/J$236*100</f>
        <v>61.99674526748543</v>
      </c>
      <c r="K241" s="225">
        <f>(SUMPRODUCT(K$9:K$229,Nutrients!$DF$8:$DF$228)+(IF($A$7=Nutrients!$B$8,Nutrients!$DF$8,Nutrients!$DF$9)*K$7)+(((IF($A$8=Nutrients!$B$79,Nutrients!$DF$79,(IF($A$8=Nutrients!$B$77,Nutrients!$DF$77,Nutrients!$DF$78)))))*K$8))/2000/K$236*100</f>
        <v>61.998035431249157</v>
      </c>
      <c r="L241" s="225">
        <f>(SUMPRODUCT(L$9:L$229,Nutrients!$DF$8:$DF$228)+(IF($A$7=Nutrients!$B$8,Nutrients!$DF$8,Nutrients!$DF$9)*L$7)+(((IF($A$8=Nutrients!$B$79,Nutrients!$DF$79,(IF($A$8=Nutrients!$B$77,Nutrients!$DF$77,Nutrients!$DF$78)))))*L$8))/2000/L$236*100</f>
        <v>63.000094972668407</v>
      </c>
      <c r="M241" s="225">
        <f>(SUMPRODUCT(M$9:M$229,Nutrients!$DF$8:$DF$228)+(IF($A$7=Nutrients!$B$8,Nutrients!$DF$8,Nutrients!$DF$9)*M$7)+(((IF($A$8=Nutrients!$B$79,Nutrients!$DF$79,(IF($A$8=Nutrients!$B$77,Nutrients!$DF$77,Nutrients!$DF$78)))))*M$8))/2000/M$236*100</f>
        <v>62.998489718129889</v>
      </c>
      <c r="N241" s="225">
        <f>(SUMPRODUCT(N$9:N$229,Nutrients!$DF$8:$DF$228)+(IF($A$7=Nutrients!$B$8,Nutrients!$DF$8,Nutrients!$DF$9)*N$7)+(((IF($A$8=Nutrients!$B$79,Nutrients!$DF$79,(IF($A$8=Nutrients!$B$77,Nutrients!$DF$77,Nutrients!$DF$78)))))*N$8))/2000/N$236*100</f>
        <v>63.999381320798456</v>
      </c>
      <c r="O241" s="472"/>
      <c r="P241" s="225">
        <f>(SUMPRODUCT(P$9:P$229,Nutrients!$DF$8:$DF$228)+(IF($A$7=Nutrients!$B$8,Nutrients!$DF$8,Nutrients!$DF$9)*P$7)+(((IF($A$8=Nutrients!$B$79,Nutrients!$DF$79,(IF($A$8=Nutrients!$B$77,Nutrients!$DF$77,Nutrients!$DF$78)))))*P$8))/2000/P$236*100</f>
        <v>61.995068995581072</v>
      </c>
      <c r="Q241" s="225">
        <f>(SUMPRODUCT(Q$9:Q$229,Nutrients!$DF$8:$DF$228)+(IF($A$7=Nutrients!$B$8,Nutrients!$DF$8,Nutrients!$DF$9)*Q$7)+(((IF($A$8=Nutrients!$B$79,Nutrients!$DF$79,(IF($A$8=Nutrients!$B$77,Nutrients!$DF$77,Nutrients!$DF$78)))))*Q$8))/2000/Q$236*100</f>
        <v>61.99412440748948</v>
      </c>
      <c r="R241" s="225">
        <f>(SUMPRODUCT(R$9:R$229,Nutrients!$DF$8:$DF$228)+(IF($A$7=Nutrients!$B$8,Nutrients!$DF$8,Nutrients!$DF$9)*R$7)+(((IF($A$8=Nutrients!$B$79,Nutrients!$DF$79,(IF($A$8=Nutrients!$B$77,Nutrients!$DF$77,Nutrients!$DF$78)))))*R$8))/2000/R$236*100</f>
        <v>61.994722845535918</v>
      </c>
      <c r="S241" s="225">
        <f>(SUMPRODUCT(S$9:S$229,Nutrients!$DF$8:$DF$228)+(IF($A$7=Nutrients!$B$8,Nutrients!$DF$8,Nutrients!$DF$9)*S$7)+(((IF($A$8=Nutrients!$B$79,Nutrients!$DF$79,(IF($A$8=Nutrients!$B$77,Nutrients!$DF$77,Nutrients!$DF$78)))))*S$8))/2000/S$236*100</f>
        <v>62.996531246284569</v>
      </c>
      <c r="T241" s="225">
        <f>(SUMPRODUCT(T$9:T$229,Nutrients!$DF$8:$DF$228)+(IF($A$7=Nutrients!$B$8,Nutrients!$DF$8,Nutrients!$DF$9)*T$7)+(((IF($A$8=Nutrients!$B$79,Nutrients!$DF$79,(IF($A$8=Nutrients!$B$77,Nutrients!$DF$77,Nutrients!$DF$78)))))*T$8))/2000/T$236*100</f>
        <v>62.994182167193976</v>
      </c>
      <c r="U241" s="225">
        <f>(SUMPRODUCT(U$9:U$229,Nutrients!$DF$8:$DF$228)+(IF($A$7=Nutrients!$B$8,Nutrients!$DF$8,Nutrients!$DF$9)*U$7)+(((IF($A$8=Nutrients!$B$79,Nutrients!$DF$79,(IF($A$8=Nutrients!$B$77,Nutrients!$DF$77,Nutrients!$DF$78)))))*U$8))/2000/U$236*100</f>
        <v>63.994387442954704</v>
      </c>
      <c r="V241" s="9"/>
      <c r="W241" s="225">
        <f>(SUMPRODUCT(W$9:W$229,Nutrients!$DF$8:$DF$228)+(IF($A$7=Nutrients!$B$8,Nutrients!$DF$8,Nutrients!$DF$9)*W$7)+(((IF($A$8=Nutrients!$B$79,Nutrients!$DF$79,(IF($A$8=Nutrients!$B$77,Nutrients!$DF$77,Nutrients!$DF$78)))))*W$8))/2000/W$236*100</f>
        <v>61.99278966586467</v>
      </c>
      <c r="X241" s="225">
        <f>(SUMPRODUCT(X$9:X$229,Nutrients!$DF$8:$DF$228)+(IF($A$7=Nutrients!$B$8,Nutrients!$DF$8,Nutrients!$DF$9)*X$7)+(((IF($A$8=Nutrients!$B$79,Nutrients!$DF$79,(IF($A$8=Nutrients!$B$77,Nutrients!$DF$77,Nutrients!$DF$78)))))*X$8))/2000/X$236*100</f>
        <v>61.991310943463077</v>
      </c>
      <c r="Y241" s="225">
        <f>(SUMPRODUCT(Y$9:Y$229,Nutrients!$DF$8:$DF$228)+(IF($A$7=Nutrients!$B$8,Nutrients!$DF$8,Nutrients!$DF$9)*Y$7)+(((IF($A$8=Nutrients!$B$79,Nutrients!$DF$79,(IF($A$8=Nutrients!$B$77,Nutrients!$DF$77,Nutrients!$DF$78)))))*Y$8))/2000/Y$236*100</f>
        <v>61.991930387816588</v>
      </c>
      <c r="Z241" s="225">
        <f>(SUMPRODUCT(Z$9:Z$229,Nutrients!$DF$8:$DF$228)+(IF($A$7=Nutrients!$B$8,Nutrients!$DF$8,Nutrients!$DF$9)*Z$7)+(((IF($A$8=Nutrients!$B$79,Nutrients!$DF$79,(IF($A$8=Nutrients!$B$77,Nutrients!$DF$77,Nutrients!$DF$78)))))*Z$8))/2000/Z$236*100</f>
        <v>62.993682374637338</v>
      </c>
      <c r="AA241" s="225">
        <f>(SUMPRODUCT(AA$9:AA$229,Nutrients!$DF$8:$DF$228)+(IF($A$7=Nutrients!$B$8,Nutrients!$DF$8,Nutrients!$DF$9)*AA$7)+(((IF($A$8=Nutrients!$B$79,Nutrients!$DF$79,(IF($A$8=Nutrients!$B$77,Nutrients!$DF$77,Nutrients!$DF$78)))))*AA$8))/2000/AA$236*100</f>
        <v>62.9893508629753</v>
      </c>
      <c r="AB241" s="225">
        <f>(SUMPRODUCT(AB$9:AB$229,Nutrients!$DF$8:$DF$228)+(IF($A$7=Nutrients!$B$8,Nutrients!$DF$8,Nutrients!$DF$9)*AB$7)+(((IF($A$8=Nutrients!$B$79,Nutrients!$DF$79,(IF($A$8=Nutrients!$B$77,Nutrients!$DF$77,Nutrients!$DF$78)))))*AB$8))/2000/AB$236*100</f>
        <v>63.983083323023827</v>
      </c>
      <c r="AC241" s="9"/>
      <c r="AD241" s="225">
        <f>(SUMPRODUCT(AD$9:AD$229,Nutrients!$DF$8:$DF$228)+(IF($A$7=Nutrients!$B$8,Nutrients!$DF$8,Nutrients!$DF$9)*AD$7)+(((IF($A$8=Nutrients!$B$79,Nutrients!$DF$79,(IF($A$8=Nutrients!$B$77,Nutrients!$DF$77,Nutrients!$DF$78)))))*AD$8))/2000/AD$236*100</f>
        <v>61.990336196242033</v>
      </c>
      <c r="AE241" s="225">
        <f>(SUMPRODUCT(AE$9:AE$229,Nutrients!$DF$8:$DF$228)+(IF($A$7=Nutrients!$B$8,Nutrients!$DF$8,Nutrients!$DF$9)*AE$7)+(((IF($A$8=Nutrients!$B$79,Nutrients!$DF$79,(IF($A$8=Nutrients!$B$77,Nutrients!$DF$77,Nutrients!$DF$78)))))*AE$8))/2000/AE$236*100</f>
        <v>61.988622873154121</v>
      </c>
      <c r="AF241" s="225">
        <f>(SUMPRODUCT(AF$9:AF$229,Nutrients!$DF$8:$DF$228)+(IF($A$7=Nutrients!$B$8,Nutrients!$DF$8,Nutrients!$DF$9)*AF$7)+(((IF($A$8=Nutrients!$B$79,Nutrients!$DF$79,(IF($A$8=Nutrients!$B$77,Nutrients!$DF$77,Nutrients!$DF$78)))))*AF$8))/2000/AF$236*100</f>
        <v>61.989706099774075</v>
      </c>
      <c r="AG241" s="225">
        <f>(SUMPRODUCT(AG$9:AG$229,Nutrients!$DF$8:$DF$228)+(IF($A$7=Nutrients!$B$8,Nutrients!$DF$8,Nutrients!$DF$9)*AG$7)+(((IF($A$8=Nutrients!$B$79,Nutrients!$DF$79,(IF($A$8=Nutrients!$B$77,Nutrients!$DF$77,Nutrients!$DF$78)))))*AG$8))/2000/AG$236*100</f>
        <v>62.98883535534975</v>
      </c>
      <c r="AH241" s="225">
        <f>(SUMPRODUCT(AH$9:AH$229,Nutrients!$DF$8:$DF$228)+(IF($A$7=Nutrients!$B$8,Nutrients!$DF$8,Nutrients!$DF$9)*AH$7)+(((IF($A$8=Nutrients!$B$79,Nutrients!$DF$79,(IF($A$8=Nutrients!$B$77,Nutrients!$DF$77,Nutrients!$DF$78)))))*AH$8))/2000/AH$236*100</f>
        <v>62.967234568302835</v>
      </c>
      <c r="AI241" s="225">
        <f>(SUMPRODUCT(AI$9:AI$229,Nutrients!$DF$8:$DF$228)+(IF($A$7=Nutrients!$B$8,Nutrients!$DF$8,Nutrients!$DF$9)*AI$7)+(((IF($A$8=Nutrients!$B$79,Nutrients!$DF$79,(IF($A$8=Nutrients!$B$77,Nutrients!$DF$77,Nutrients!$DF$78)))))*AI$8))/2000/AI$236*100</f>
        <v>63.953542842419623</v>
      </c>
      <c r="AJ241" s="9"/>
      <c r="AK241" s="225">
        <f>(SUMPRODUCT(AK$9:AK$229,Nutrients!$DF$8:$DF$228)+(IF($A$7=Nutrients!$B$8,Nutrients!$DF$8,Nutrients!$DF$9)*AK$7)+(((IF($A$8=Nutrients!$B$79,Nutrients!$DF$79,(IF($A$8=Nutrients!$B$77,Nutrients!$DF$77,Nutrients!$DF$78)))))*AK$8))/2000/AK$236*100</f>
        <v>61.986660929816352</v>
      </c>
      <c r="AL241" s="225">
        <f>(SUMPRODUCT(AL$9:AL$229,Nutrients!$DF$8:$DF$228)+(IF($A$7=Nutrients!$B$8,Nutrients!$DF$8,Nutrients!$DF$9)*AL$7)+(((IF($A$8=Nutrients!$B$79,Nutrients!$DF$79,(IF($A$8=Nutrients!$B$77,Nutrients!$DF$77,Nutrients!$DF$78)))))*AL$8))/2000/AL$236*100</f>
        <v>61.985955194667476</v>
      </c>
      <c r="AM241" s="225">
        <f>(SUMPRODUCT(AM$9:AM$229,Nutrients!$DF$8:$DF$228)+(IF($A$7=Nutrients!$B$8,Nutrients!$DF$8,Nutrients!$DF$9)*AM$7)+(((IF($A$8=Nutrients!$B$79,Nutrients!$DF$79,(IF($A$8=Nutrients!$B$77,Nutrients!$DF$77,Nutrients!$DF$78)))))*AM$8))/2000/AM$236*100</f>
        <v>61.985790818224707</v>
      </c>
      <c r="AN241" s="225">
        <f>(SUMPRODUCT(AN$9:AN$229,Nutrients!$DF$8:$DF$228)+(IF($A$7=Nutrients!$B$8,Nutrients!$DF$8,Nutrients!$DF$9)*AN$7)+(((IF($A$8=Nutrients!$B$79,Nutrients!$DF$79,(IF($A$8=Nutrients!$B$77,Nutrients!$DF$77,Nutrients!$DF$78)))))*AN$8))/2000/AN$236*100</f>
        <v>62.970368632635335</v>
      </c>
      <c r="AO241" s="225">
        <f>(SUMPRODUCT(AO$9:AO$229,Nutrients!$DF$8:$DF$228)+(IF($A$7=Nutrients!$B$8,Nutrients!$DF$8,Nutrients!$DF$9)*AO$7)+(((IF($A$8=Nutrients!$B$79,Nutrients!$DF$79,(IF($A$8=Nutrients!$B$77,Nutrients!$DF$77,Nutrients!$DF$78)))))*AO$8))/2000/AO$236*100</f>
        <v>62.940755560057681</v>
      </c>
      <c r="AP241" s="225">
        <f>(SUMPRODUCT(AP$9:AP$229,Nutrients!$DF$8:$DF$228)+(IF($A$7=Nutrients!$B$8,Nutrients!$DF$8,Nutrients!$DF$9)*AP$7)+(((IF($A$8=Nutrients!$B$79,Nutrients!$DF$79,(IF($A$8=Nutrients!$B$77,Nutrients!$DF$77,Nutrients!$DF$78)))))*AP$8))/2000/AP$236*100</f>
        <v>63.925515916414412</v>
      </c>
      <c r="AQ241" s="9"/>
      <c r="AR241" s="225">
        <f>(SUMPRODUCT(AR$9:AR$229,Nutrients!$DF$8:$DF$228)+(IF($A$7=Nutrients!$B$8,Nutrients!$DF$8,Nutrients!$DF$9)*AR$7)+(((IF($A$8=Nutrients!$B$79,Nutrients!$DF$79,(IF($A$8=Nutrients!$B$77,Nutrients!$DF$77,Nutrients!$DF$78)))))*AR$8))/2000/AR$236*100</f>
        <v>61.984822101675306</v>
      </c>
      <c r="AS241" s="225">
        <f>(SUMPRODUCT(AS$9:AS$229,Nutrients!$DF$8:$DF$228)+(IF($A$7=Nutrients!$B$8,Nutrients!$DF$8,Nutrients!$DF$9)*AS$7)+(((IF($A$8=Nutrients!$B$79,Nutrients!$DF$79,(IF($A$8=Nutrients!$B$77,Nutrients!$DF$77,Nutrients!$DF$78)))))*AS$8))/2000/AS$236*100</f>
        <v>61.983276279420863</v>
      </c>
      <c r="AT241" s="225">
        <f>(SUMPRODUCT(AT$9:AT$229,Nutrients!$DF$8:$DF$228)+(IF($A$7=Nutrients!$B$8,Nutrients!$DF$8,Nutrients!$DF$9)*AT$7)+(((IF($A$8=Nutrients!$B$79,Nutrients!$DF$79,(IF($A$8=Nutrients!$B$77,Nutrients!$DF$77,Nutrients!$DF$78)))))*AT$8))/2000/AT$236*100</f>
        <v>61.97870307053752</v>
      </c>
      <c r="AU241" s="225">
        <f>(SUMPRODUCT(AU$9:AU$229,Nutrients!$DF$8:$DF$228)+(IF($A$7=Nutrients!$B$8,Nutrients!$DF$8,Nutrients!$DF$9)*AU$7)+(((IF($A$8=Nutrients!$B$79,Nutrients!$DF$79,(IF($A$8=Nutrients!$B$77,Nutrients!$DF$77,Nutrients!$DF$78)))))*AU$8))/2000/AU$236*100</f>
        <v>62.946165552990472</v>
      </c>
      <c r="AV241" s="225">
        <f>(SUMPRODUCT(AV$9:AV$229,Nutrients!$DF$8:$DF$228)+(IF($A$7=Nutrients!$B$8,Nutrients!$DF$8,Nutrients!$DF$9)*AV$7)+(((IF($A$8=Nutrients!$B$79,Nutrients!$DF$79,(IF($A$8=Nutrients!$B$77,Nutrients!$DF$77,Nutrients!$DF$78)))))*AV$8))/2000/AV$236*100</f>
        <v>62.913962870462846</v>
      </c>
      <c r="AW241" s="225">
        <f>(SUMPRODUCT(AW$9:AW$229,Nutrients!$DF$8:$DF$228)+(IF($A$7=Nutrients!$B$8,Nutrients!$DF$8,Nutrients!$DF$9)*AW$7)+(((IF($A$8=Nutrients!$B$79,Nutrients!$DF$79,(IF($A$8=Nutrients!$B$77,Nutrients!$DF$77,Nutrients!$DF$78)))))*AW$8))/2000/AW$236*100</f>
        <v>63.897173384345777</v>
      </c>
      <c r="AX241" s="13"/>
    </row>
    <row r="242" spans="1:56" x14ac:dyDescent="0.25">
      <c r="A242" s="38" t="s">
        <v>387</v>
      </c>
      <c r="B242" s="225">
        <f>(SUMPRODUCT(B$9:B$229,Nutrients!$DG$8:$DG$228)+(IF($A$7=Nutrients!$B$8,Nutrients!$DG$8,Nutrients!$DG$9)*B$7)+(((IF($A$8=Nutrients!$B$79,Nutrients!$DG$79,(IF($A$8=Nutrients!$B$77,Nutrients!$DG$77,Nutrients!$DG$78)))))*B$8))/2000/B$236*100</f>
        <v>18.999999999999996</v>
      </c>
      <c r="C242" s="225">
        <f>(SUMPRODUCT(C$9:C$229,Nutrients!$DG$8:$DG$228)+(IF($A$7=Nutrients!$B$8,Nutrients!$DG$8,Nutrients!$DG$9)*C$7)+(((IF($A$8=Nutrients!$B$79,Nutrients!$DG$79,(IF($A$8=Nutrients!$B$77,Nutrients!$DG$77,Nutrients!$DG$78)))))*C$8))/2000/C$236*100</f>
        <v>18.999999999999993</v>
      </c>
      <c r="D242" s="225">
        <f>(SUMPRODUCT(D$9:D$229,Nutrients!$DG$8:$DG$228)+(IF($A$7=Nutrients!$B$8,Nutrients!$DG$8,Nutrients!$DG$9)*D$7)+(((IF($A$8=Nutrients!$B$79,Nutrients!$DG$79,(IF($A$8=Nutrients!$B$77,Nutrients!$DG$77,Nutrients!$DG$78)))))*D$8))/2000/D$236*100</f>
        <v>19.034949922351728</v>
      </c>
      <c r="E242" s="225">
        <f>(SUMPRODUCT(E$9:E$229,Nutrients!$DG$8:$DG$228)+(IF($A$7=Nutrients!$B$8,Nutrients!$DG$8,Nutrients!$DG$9)*E$7)+(((IF($A$8=Nutrients!$B$79,Nutrients!$DG$79,(IF($A$8=Nutrients!$B$77,Nutrients!$DG$77,Nutrients!$DG$78)))))*E$8))/2000/E$236*100</f>
        <v>19</v>
      </c>
      <c r="F242" s="225">
        <f>(SUMPRODUCT(F$9:F$229,Nutrients!$DG$8:$DG$228)+(IF($A$7=Nutrients!$B$8,Nutrients!$DG$8,Nutrients!$DG$9)*F$7)+(((IF($A$8=Nutrients!$B$79,Nutrients!$DG$79,(IF($A$8=Nutrients!$B$77,Nutrients!$DG$77,Nutrients!$DG$78)))))*F$8))/2000/F$236*100</f>
        <v>19.000000000000043</v>
      </c>
      <c r="G242" s="225">
        <f>(SUMPRODUCT(G$9:G$229,Nutrients!$DG$8:$DG$228)+(IF($A$7=Nutrients!$B$8,Nutrients!$DG$8,Nutrients!$DG$9)*G$7)+(((IF($A$8=Nutrients!$B$79,Nutrients!$DG$79,(IF($A$8=Nutrients!$B$77,Nutrients!$DG$77,Nutrients!$DG$78)))))*G$8))/2000/G$236*100</f>
        <v>18.999963234918017</v>
      </c>
      <c r="H242" s="224"/>
      <c r="I242" s="225">
        <f>(SUMPRODUCT(I$9:I$229,Nutrients!$DG$8:$DG$228)+(IF($A$7=Nutrients!$B$8,Nutrients!$DG$8,Nutrients!$DG$9)*I$7)+(((IF($A$8=Nutrients!$B$79,Nutrients!$DG$79,(IF($A$8=Nutrients!$B$77,Nutrients!$DG$77,Nutrients!$DG$78)))))*I$8))/2000/I$236*100</f>
        <v>18.993171825041873</v>
      </c>
      <c r="J242" s="225">
        <f>(SUMPRODUCT(J$9:J$229,Nutrients!$DG$8:$DG$228)+(IF($A$7=Nutrients!$B$8,Nutrients!$DG$8,Nutrients!$DG$9)*J$7)+(((IF($A$8=Nutrients!$B$79,Nutrients!$DG$79,(IF($A$8=Nutrients!$B$77,Nutrients!$DG$77,Nutrients!$DG$78)))))*J$8))/2000/J$236*100</f>
        <v>18.992237601614914</v>
      </c>
      <c r="K242" s="225">
        <f>(SUMPRODUCT(K$9:K$229,Nutrients!$DG$8:$DG$228)+(IF($A$7=Nutrients!$B$8,Nutrients!$DG$8,Nutrients!$DG$9)*K$7)+(((IF($A$8=Nutrients!$B$79,Nutrients!$DG$79,(IF($A$8=Nutrients!$B$77,Nutrients!$DG$77,Nutrients!$DG$78)))))*K$8))/2000/K$236*100</f>
        <v>19.026248607115352</v>
      </c>
      <c r="L242" s="225">
        <f>(SUMPRODUCT(L$9:L$229,Nutrients!$DG$8:$DG$228)+(IF($A$7=Nutrients!$B$8,Nutrients!$DG$8,Nutrients!$DG$9)*L$7)+(((IF($A$8=Nutrients!$B$79,Nutrients!$DG$79,(IF($A$8=Nutrients!$B$77,Nutrients!$DG$77,Nutrients!$DG$78)))))*L$8))/2000/L$236*100</f>
        <v>18.990370963224979</v>
      </c>
      <c r="M242" s="225">
        <f>(SUMPRODUCT(M$9:M$229,Nutrients!$DG$8:$DG$228)+(IF($A$7=Nutrients!$B$8,Nutrients!$DG$8,Nutrients!$DG$9)*M$7)+(((IF($A$8=Nutrients!$B$79,Nutrients!$DG$79,(IF($A$8=Nutrients!$B$77,Nutrients!$DG$77,Nutrients!$DG$78)))))*M$8))/2000/M$236*100</f>
        <v>18.989383057992594</v>
      </c>
      <c r="N242" s="225">
        <f>(SUMPRODUCT(N$9:N$229,Nutrients!$DG$8:$DG$228)+(IF($A$7=Nutrients!$B$8,Nutrients!$DG$8,Nutrients!$DG$9)*N$7)+(((IF($A$8=Nutrients!$B$79,Nutrients!$DG$79,(IF($A$8=Nutrients!$B$77,Nutrients!$DG$77,Nutrients!$DG$78)))))*N$8))/2000/N$236*100</f>
        <v>18.988855929796379</v>
      </c>
      <c r="O242" s="472"/>
      <c r="P242" s="225">
        <f>(SUMPRODUCT(P$9:P$229,Nutrients!$DG$8:$DG$228)+(IF($A$7=Nutrients!$B$8,Nutrients!$DG$8,Nutrients!$DG$9)*P$7)+(((IF($A$8=Nutrients!$B$79,Nutrients!$DG$79,(IF($A$8=Nutrients!$B$77,Nutrients!$DG$77,Nutrients!$DG$78)))))*P$8))/2000/P$236*100</f>
        <v>19.027649815152849</v>
      </c>
      <c r="Q242" s="225">
        <f>(SUMPRODUCT(Q$9:Q$229,Nutrients!$DG$8:$DG$228)+(IF($A$7=Nutrients!$B$8,Nutrients!$DG$8,Nutrients!$DG$9)*Q$7)+(((IF($A$8=Nutrients!$B$79,Nutrients!$DG$79,(IF($A$8=Nutrients!$B$77,Nutrients!$DG$77,Nutrients!$DG$78)))))*Q$8))/2000/Q$236*100</f>
        <v>19.031221084062206</v>
      </c>
      <c r="R242" s="225">
        <f>(SUMPRODUCT(R$9:R$229,Nutrients!$DG$8:$DG$228)+(IF($A$7=Nutrients!$B$8,Nutrients!$DG$8,Nutrients!$DG$9)*R$7)+(((IF($A$8=Nutrients!$B$79,Nutrients!$DG$79,(IF($A$8=Nutrients!$B$77,Nutrients!$DG$77,Nutrients!$DG$78)))))*R$8))/2000/R$236*100</f>
        <v>19.070335150710036</v>
      </c>
      <c r="S242" s="225">
        <f>(SUMPRODUCT(S$9:S$229,Nutrients!$DG$8:$DG$228)+(IF($A$7=Nutrients!$B$8,Nutrients!$DG$8,Nutrients!$DG$9)*S$7)+(((IF($A$8=Nutrients!$B$79,Nutrients!$DG$79,(IF($A$8=Nutrients!$B$77,Nutrients!$DG$77,Nutrients!$DG$78)))))*S$8))/2000/S$236*100</f>
        <v>19.039848707860809</v>
      </c>
      <c r="T242" s="225">
        <f>(SUMPRODUCT(T$9:T$229,Nutrients!$DG$8:$DG$228)+(IF($A$7=Nutrients!$B$8,Nutrients!$DG$8,Nutrients!$DG$9)*T$7)+(((IF($A$8=Nutrients!$B$79,Nutrients!$DG$79,(IF($A$8=Nutrients!$B$77,Nutrients!$DG$77,Nutrients!$DG$78)))))*T$8))/2000/T$236*100</f>
        <v>19.043371125566264</v>
      </c>
      <c r="U242" s="225">
        <f>(SUMPRODUCT(U$9:U$229,Nutrients!$DG$8:$DG$228)+(IF($A$7=Nutrients!$B$8,Nutrients!$DG$8,Nutrients!$DG$9)*U$7)+(((IF($A$8=Nutrients!$B$79,Nutrients!$DG$79,(IF($A$8=Nutrients!$B$77,Nutrients!$DG$77,Nutrients!$DG$78)))))*U$8))/2000/U$236*100</f>
        <v>19.045699649037541</v>
      </c>
      <c r="V242" s="9"/>
      <c r="W242" s="225">
        <f>(SUMPRODUCT(W$9:W$229,Nutrients!$DG$8:$DG$228)+(IF($A$7=Nutrients!$B$8,Nutrients!$DG$8,Nutrients!$DG$9)*W$7)+(((IF($A$8=Nutrients!$B$79,Nutrients!$DG$79,(IF($A$8=Nutrients!$B$77,Nutrients!$DG$77,Nutrients!$DG$78)))))*W$8))/2000/W$236*100</f>
        <v>19.062119904714191</v>
      </c>
      <c r="X242" s="225">
        <f>(SUMPRODUCT(X$9:X$229,Nutrients!$DG$8:$DG$228)+(IF($A$7=Nutrients!$B$8,Nutrients!$DG$8,Nutrients!$DG$9)*X$7)+(((IF($A$8=Nutrients!$B$79,Nutrients!$DG$79,(IF($A$8=Nutrients!$B$77,Nutrients!$DG$77,Nutrients!$DG$78)))))*X$8))/2000/X$236*100</f>
        <v>19.070193841739965</v>
      </c>
      <c r="Y242" s="225">
        <f>(SUMPRODUCT(Y$9:Y$229,Nutrients!$DG$8:$DG$228)+(IF($A$7=Nutrients!$B$8,Nutrients!$DG$8,Nutrients!$DG$9)*Y$7)+(((IF($A$8=Nutrients!$B$79,Nutrients!$DG$79,(IF($A$8=Nutrients!$B$77,Nutrients!$DG$77,Nutrients!$DG$78)))))*Y$8))/2000/Y$236*100</f>
        <v>19.114450656589934</v>
      </c>
      <c r="Z242" s="225">
        <f>(SUMPRODUCT(Z$9:Z$229,Nutrients!$DG$8:$DG$228)+(IF($A$7=Nutrients!$B$8,Nutrients!$DG$8,Nutrients!$DG$9)*Z$7)+(((IF($A$8=Nutrients!$B$79,Nutrients!$DG$79,(IF($A$8=Nutrients!$B$77,Nutrients!$DG$77,Nutrients!$DG$78)))))*Z$8))/2000/Z$236*100</f>
        <v>19.089366257750381</v>
      </c>
      <c r="AA242" s="225">
        <f>(SUMPRODUCT(AA$9:AA$229,Nutrients!$DG$8:$DG$228)+(IF($A$7=Nutrients!$B$8,Nutrients!$DG$8,Nutrients!$DG$9)*AA$7)+(((IF($A$8=Nutrients!$B$79,Nutrients!$DG$79,(IF($A$8=Nutrients!$B$77,Nutrients!$DG$77,Nutrients!$DG$78)))))*AA$8))/2000/AA$236*100</f>
        <v>19.097330028987773</v>
      </c>
      <c r="AB242" s="225">
        <f>(SUMPRODUCT(AB$9:AB$229,Nutrients!$DG$8:$DG$228)+(IF($A$7=Nutrients!$B$8,Nutrients!$DG$8,Nutrients!$DG$9)*AB$7)+(((IF($A$8=Nutrients!$B$79,Nutrients!$DG$79,(IF($A$8=Nutrients!$B$77,Nutrients!$DG$77,Nutrients!$DG$78)))))*AB$8))/2000/AB$236*100</f>
        <v>19.10219199509125</v>
      </c>
      <c r="AC242" s="9"/>
      <c r="AD242" s="225">
        <f>(SUMPRODUCT(AD$9:AD$229,Nutrients!$DG$8:$DG$228)+(IF($A$7=Nutrients!$B$8,Nutrients!$DG$8,Nutrients!$DG$9)*AD$7)+(((IF($A$8=Nutrients!$B$79,Nutrients!$DG$79,(IF($A$8=Nutrients!$B$77,Nutrients!$DG$77,Nutrients!$DG$78)))))*AD$8))/2000/AD$236*100</f>
        <v>19.096580297643765</v>
      </c>
      <c r="AE242" s="225">
        <f>(SUMPRODUCT(AE$9:AE$229,Nutrients!$DG$8:$DG$228)+(IF($A$7=Nutrients!$B$8,Nutrients!$DG$8,Nutrients!$DG$9)*AE$7)+(((IF($A$8=Nutrients!$B$79,Nutrients!$DG$79,(IF($A$8=Nutrients!$B$77,Nutrients!$DG$77,Nutrients!$DG$78)))))*AE$8))/2000/AE$236*100</f>
        <v>19.109173581715648</v>
      </c>
      <c r="AF242" s="225">
        <f>(SUMPRODUCT(AF$9:AF$229,Nutrients!$DG$8:$DG$228)+(IF($A$7=Nutrients!$B$8,Nutrients!$DG$8,Nutrients!$DG$9)*AF$7)+(((IF($A$8=Nutrients!$B$79,Nutrients!$DG$79,(IF($A$8=Nutrients!$B$77,Nutrients!$DG$77,Nutrients!$DG$78)))))*AF$8))/2000/AF$236*100</f>
        <v>19.093349216619409</v>
      </c>
      <c r="AG242" s="225">
        <f>(SUMPRODUCT(AG$9:AG$229,Nutrients!$DG$8:$DG$228)+(IF($A$7=Nutrients!$B$8,Nutrients!$DG$8,Nutrients!$DG$9)*AG$7)+(((IF($A$8=Nutrients!$B$79,Nutrients!$DG$79,(IF($A$8=Nutrients!$B$77,Nutrients!$DG$77,Nutrients!$DG$78)))))*AG$8))/2000/AG$236*100</f>
        <v>19.138772544792058</v>
      </c>
      <c r="AH242" s="225">
        <f>(SUMPRODUCT(AH$9:AH$229,Nutrients!$DG$8:$DG$228)+(IF($A$7=Nutrients!$B$8,Nutrients!$DG$8,Nutrients!$DG$9)*AH$7)+(((IF($A$8=Nutrients!$B$79,Nutrients!$DG$79,(IF($A$8=Nutrients!$B$77,Nutrients!$DG$77,Nutrients!$DG$78)))))*AH$8))/2000/AH$236*100</f>
        <v>19.095908187686035</v>
      </c>
      <c r="AI242" s="225">
        <f>(SUMPRODUCT(AI$9:AI$229,Nutrients!$DG$8:$DG$228)+(IF($A$7=Nutrients!$B$8,Nutrients!$DG$8,Nutrients!$DG$9)*AI$7)+(((IF($A$8=Nutrients!$B$79,Nutrients!$DG$79,(IF($A$8=Nutrients!$B$77,Nutrients!$DG$77,Nutrients!$DG$78)))))*AI$8))/2000/AI$236*100</f>
        <v>19.09615676629716</v>
      </c>
      <c r="AJ242" s="9"/>
      <c r="AK242" s="225">
        <f>(SUMPRODUCT(AK$9:AK$229,Nutrients!$DG$8:$DG$228)+(IF($A$7=Nutrients!$B$8,Nutrients!$DG$8,Nutrients!$DG$9)*AK$7)+(((IF($A$8=Nutrients!$B$79,Nutrients!$DG$79,(IF($A$8=Nutrients!$B$77,Nutrients!$DG$77,Nutrients!$DG$78)))))*AK$8))/2000/AK$236*100</f>
        <v>19.130972657266341</v>
      </c>
      <c r="AL242" s="225">
        <f>(SUMPRODUCT(AL$9:AL$229,Nutrients!$DG$8:$DG$228)+(IF($A$7=Nutrients!$B$8,Nutrients!$DG$8,Nutrients!$DG$9)*AL$7)+(((IF($A$8=Nutrients!$B$79,Nutrients!$DG$79,(IF($A$8=Nutrients!$B$77,Nutrients!$DG$77,Nutrients!$DG$78)))))*AL$8))/2000/AL$236*100</f>
        <v>19.148154457169095</v>
      </c>
      <c r="AM242" s="225">
        <f>(SUMPRODUCT(AM$9:AM$229,Nutrients!$DG$8:$DG$228)+(IF($A$7=Nutrients!$B$8,Nutrients!$DG$8,Nutrients!$DG$9)*AM$7)+(((IF($A$8=Nutrients!$B$79,Nutrients!$DG$79,(IF($A$8=Nutrients!$B$77,Nutrients!$DG$77,Nutrients!$DG$78)))))*AM$8))/2000/AM$236*100</f>
        <v>19.137402200304017</v>
      </c>
      <c r="AN242" s="225">
        <f>(SUMPRODUCT(AN$9:AN$229,Nutrients!$DG$8:$DG$228)+(IF($A$7=Nutrients!$B$8,Nutrients!$DG$8,Nutrients!$DG$9)*AN$7)+(((IF($A$8=Nutrients!$B$79,Nutrients!$DG$79,(IF($A$8=Nutrients!$B$77,Nutrients!$DG$77,Nutrients!$DG$78)))))*AN$8))/2000/AN$236*100</f>
        <v>19.117938801808453</v>
      </c>
      <c r="AO242" s="225">
        <f>(SUMPRODUCT(AO$9:AO$229,Nutrients!$DG$8:$DG$228)+(IF($A$7=Nutrients!$B$8,Nutrients!$DG$8,Nutrients!$DG$9)*AO$7)+(((IF($A$8=Nutrients!$B$79,Nutrients!$DG$79,(IF($A$8=Nutrients!$B$77,Nutrients!$DG$77,Nutrients!$DG$78)))))*AO$8))/2000/AO$236*100</f>
        <v>18.99838846318892</v>
      </c>
      <c r="AP242" s="225">
        <f>(SUMPRODUCT(AP$9:AP$229,Nutrients!$DG$8:$DG$228)+(IF($A$7=Nutrients!$B$8,Nutrients!$DG$8,Nutrients!$DG$9)*AP$7)+(((IF($A$8=Nutrients!$B$79,Nutrients!$DG$79,(IF($A$8=Nutrients!$B$77,Nutrients!$DG$77,Nutrients!$DG$78)))))*AP$8))/2000/AP$236*100</f>
        <v>18.998304859108117</v>
      </c>
      <c r="AQ242" s="9"/>
      <c r="AR242" s="225">
        <f>(SUMPRODUCT(AR$9:AR$229,Nutrients!$DG$8:$DG$228)+(IF($A$7=Nutrients!$B$8,Nutrients!$DG$8,Nutrients!$DG$9)*AR$7)+(((IF($A$8=Nutrients!$B$79,Nutrients!$DG$79,(IF($A$8=Nutrients!$B$77,Nutrients!$DG$77,Nutrients!$DG$78)))))*AR$8))/2000/AR$236*100</f>
        <v>18.998939159421898</v>
      </c>
      <c r="AS242" s="225">
        <f>(SUMPRODUCT(AS$9:AS$229,Nutrients!$DG$8:$DG$228)+(IF($A$7=Nutrients!$B$8,Nutrients!$DG$8,Nutrients!$DG$9)*AS$7)+(((IF($A$8=Nutrients!$B$79,Nutrients!$DG$79,(IF($A$8=Nutrients!$B$77,Nutrients!$DG$77,Nutrients!$DG$78)))))*AS$8))/2000/AS$236*100</f>
        <v>18.998797299999527</v>
      </c>
      <c r="AT242" s="225">
        <f>(SUMPRODUCT(AT$9:AT$229,Nutrients!$DG$8:$DG$228)+(IF($A$7=Nutrients!$B$8,Nutrients!$DG$8,Nutrients!$DG$9)*AT$7)+(((IF($A$8=Nutrients!$B$79,Nutrients!$DG$79,(IF($A$8=Nutrients!$B$77,Nutrients!$DG$77,Nutrients!$DG$78)))))*AT$8))/2000/AT$236*100</f>
        <v>18.998599119055552</v>
      </c>
      <c r="AU242" s="225">
        <f>(SUMPRODUCT(AU$9:AU$229,Nutrients!$DG$8:$DG$228)+(IF($A$7=Nutrients!$B$8,Nutrients!$DG$8,Nutrients!$DG$9)*AU$7)+(((IF($A$8=Nutrients!$B$79,Nutrients!$DG$79,(IF($A$8=Nutrients!$B$77,Nutrients!$DG$77,Nutrients!$DG$78)))))*AU$8))/2000/AU$236*100</f>
        <v>18.998224591125833</v>
      </c>
      <c r="AV242" s="225">
        <f>(SUMPRODUCT(AV$9:AV$229,Nutrients!$DG$8:$DG$228)+(IF($A$7=Nutrients!$B$8,Nutrients!$DG$8,Nutrients!$DG$9)*AV$7)+(((IF($A$8=Nutrients!$B$79,Nutrients!$DG$79,(IF($A$8=Nutrients!$B$77,Nutrients!$DG$77,Nutrients!$DG$78)))))*AV$8))/2000/AV$236*100</f>
        <v>19.146462233224966</v>
      </c>
      <c r="AW242" s="225">
        <f>(SUMPRODUCT(AW$9:AW$229,Nutrients!$DG$8:$DG$228)+(IF($A$7=Nutrients!$B$8,Nutrients!$DG$8,Nutrients!$DG$9)*AW$7)+(((IF($A$8=Nutrients!$B$79,Nutrients!$DG$79,(IF($A$8=Nutrients!$B$77,Nutrients!$DG$77,Nutrients!$DG$78)))))*AW$8))/2000/AW$236*100</f>
        <v>19.146205255993625</v>
      </c>
      <c r="AX242" s="13"/>
    </row>
    <row r="243" spans="1:56" x14ac:dyDescent="0.25">
      <c r="A243" s="38" t="s">
        <v>388</v>
      </c>
      <c r="B243" s="225">
        <f>(SUMPRODUCT(B$9:B$229,Nutrients!$DH$8:$DH$228)+(IF($A$7=Nutrients!$B$8,Nutrients!$DH$8,Nutrients!$DH$9)*B$7)+(((IF($A$8=Nutrients!$B$79,Nutrients!$DH$79,(IF($A$8=Nutrients!$B$77,Nutrients!$DH$77,Nutrients!$DH$78)))))*B$8))/2000/B$236*100</f>
        <v>67.993447185961713</v>
      </c>
      <c r="C243" s="225">
        <f>(SUMPRODUCT(C$9:C$229,Nutrients!$DH$8:$DH$228)+(IF($A$7=Nutrients!$B$8,Nutrients!$DH$8,Nutrients!$DH$9)*C$7)+(((IF($A$8=Nutrients!$B$79,Nutrients!$DH$79,(IF($A$8=Nutrients!$B$77,Nutrients!$DH$77,Nutrients!$DH$78)))))*C$8))/2000/C$236*100</f>
        <v>68.398027542407448</v>
      </c>
      <c r="D243" s="225">
        <f>(SUMPRODUCT(D$9:D$229,Nutrients!$DH$8:$DH$228)+(IF($A$7=Nutrients!$B$8,Nutrients!$DH$8,Nutrients!$DH$9)*D$7)+(((IF($A$8=Nutrients!$B$79,Nutrients!$DH$79,(IF($A$8=Nutrients!$B$77,Nutrients!$DH$77,Nutrients!$DH$78)))))*D$8))/2000/D$236*100</f>
        <v>69.100266999000937</v>
      </c>
      <c r="E243" s="225">
        <f>(SUMPRODUCT(E$9:E$229,Nutrients!$DH$8:$DH$228)+(IF($A$7=Nutrients!$B$8,Nutrients!$DH$8,Nutrients!$DH$9)*E$7)+(((IF($A$8=Nutrients!$B$79,Nutrients!$DH$79,(IF($A$8=Nutrients!$B$77,Nutrients!$DH$77,Nutrients!$DH$78)))))*E$8))/2000/E$236*100</f>
        <v>69.699001665042786</v>
      </c>
      <c r="F243" s="225">
        <f>(SUMPRODUCT(F$9:F$229,Nutrients!$DH$8:$DH$228)+(IF($A$7=Nutrients!$B$8,Nutrients!$DH$8,Nutrients!$DH$9)*F$7)+(((IF($A$8=Nutrients!$B$79,Nutrients!$DH$79,(IF($A$8=Nutrients!$B$77,Nutrients!$DH$77,Nutrients!$DH$78)))))*F$8))/2000/F$236*100</f>
        <v>70.40130835469482</v>
      </c>
      <c r="G243" s="225">
        <f>(SUMPRODUCT(G$9:G$229,Nutrients!$DH$8:$DH$228)+(IF($A$7=Nutrients!$B$8,Nutrients!$DH$8,Nutrients!$DH$9)*G$7)+(((IF($A$8=Nutrients!$B$79,Nutrients!$DH$79,(IF($A$8=Nutrients!$B$77,Nutrients!$DH$77,Nutrients!$DH$78)))))*G$8))/2000/G$236*100</f>
        <v>71.102510214887189</v>
      </c>
      <c r="H243" s="224"/>
      <c r="I243" s="225">
        <f>(SUMPRODUCT(I$9:I$229,Nutrients!$DH$8:$DH$228)+(IF($A$7=Nutrients!$B$8,Nutrients!$DH$8,Nutrients!$DH$9)*I$7)+(((IF($A$8=Nutrients!$B$79,Nutrients!$DH$79,(IF($A$8=Nutrients!$B$77,Nutrients!$DH$77,Nutrients!$DH$78)))))*I$8))/2000/I$236*100</f>
        <v>68.99664679497559</v>
      </c>
      <c r="J243" s="225">
        <f>(SUMPRODUCT(J$9:J$229,Nutrients!$DH$8:$DH$228)+(IF($A$7=Nutrients!$B$8,Nutrients!$DH$8,Nutrients!$DH$9)*J$7)+(((IF($A$8=Nutrients!$B$79,Nutrients!$DH$79,(IF($A$8=Nutrients!$B$77,Nutrients!$DH$77,Nutrients!$DH$78)))))*J$8))/2000/J$236*100</f>
        <v>69.531456841090204</v>
      </c>
      <c r="K243" s="225">
        <f>(SUMPRODUCT(K$9:K$229,Nutrients!$DH$8:$DH$228)+(IF($A$7=Nutrients!$B$8,Nutrients!$DH$8,Nutrients!$DH$9)*K$7)+(((IF($A$8=Nutrients!$B$79,Nutrients!$DH$79,(IF($A$8=Nutrients!$B$77,Nutrients!$DH$77,Nutrients!$DH$78)))))*K$8))/2000/K$236*100</f>
        <v>70.385069095769481</v>
      </c>
      <c r="L243" s="225">
        <f>(SUMPRODUCT(L$9:L$229,Nutrients!$DH$8:$DH$228)+(IF($A$7=Nutrients!$B$8,Nutrients!$DH$8,Nutrients!$DH$9)*L$7)+(((IF($A$8=Nutrients!$B$79,Nutrients!$DH$79,(IF($A$8=Nutrients!$B$77,Nutrients!$DH$77,Nutrients!$DH$78)))))*L$8))/2000/L$236*100</f>
        <v>71.144724169438206</v>
      </c>
      <c r="M243" s="225">
        <f>(SUMPRODUCT(M$9:M$229,Nutrients!$DH$8:$DH$228)+(IF($A$7=Nutrients!$B$8,Nutrients!$DH$8,Nutrients!$DH$9)*M$7)+(((IF($A$8=Nutrients!$B$79,Nutrients!$DH$79,(IF($A$8=Nutrients!$B$77,Nutrients!$DH$77,Nutrients!$DH$78)))))*M$8))/2000/M$236*100</f>
        <v>71.976319383478256</v>
      </c>
      <c r="N243" s="225">
        <f>(SUMPRODUCT(N$9:N$229,Nutrients!$DH$8:$DH$228)+(IF($A$7=Nutrients!$B$8,Nutrients!$DH$8,Nutrients!$DH$9)*N$7)+(((IF($A$8=Nutrients!$B$79,Nutrients!$DH$79,(IF($A$8=Nutrients!$B$77,Nutrients!$DH$77,Nutrients!$DH$78)))))*N$8))/2000/N$236*100</f>
        <v>72.763866555688239</v>
      </c>
      <c r="O243" s="472"/>
      <c r="P243" s="225">
        <f>(SUMPRODUCT(P$9:P$229,Nutrients!$DH$8:$DH$228)+(IF($A$7=Nutrients!$B$8,Nutrients!$DH$8,Nutrients!$DH$9)*P$7)+(((IF($A$8=Nutrients!$B$79,Nutrients!$DH$79,(IF($A$8=Nutrients!$B$77,Nutrients!$DH$77,Nutrients!$DH$78)))))*P$8))/2000/P$236*100</f>
        <v>69.999687369182922</v>
      </c>
      <c r="Q243" s="225">
        <f>(SUMPRODUCT(Q$9:Q$229,Nutrients!$DH$8:$DH$228)+(IF($A$7=Nutrients!$B$8,Nutrients!$DH$8,Nutrients!$DH$9)*Q$7)+(((IF($A$8=Nutrients!$B$79,Nutrients!$DH$79,(IF($A$8=Nutrients!$B$77,Nutrients!$DH$77,Nutrients!$DH$78)))))*Q$8))/2000/Q$236*100</f>
        <v>70.665560521273761</v>
      </c>
      <c r="R243" s="225">
        <f>(SUMPRODUCT(R$9:R$229,Nutrients!$DH$8:$DH$228)+(IF($A$7=Nutrients!$B$8,Nutrients!$DH$8,Nutrients!$DH$9)*R$7)+(((IF($A$8=Nutrients!$B$79,Nutrients!$DH$79,(IF($A$8=Nutrients!$B$77,Nutrients!$DH$77,Nutrients!$DH$78)))))*R$8))/2000/R$236*100</f>
        <v>71.667610758631966</v>
      </c>
      <c r="S243" s="225">
        <f>(SUMPRODUCT(S$9:S$229,Nutrients!$DH$8:$DH$228)+(IF($A$7=Nutrients!$B$8,Nutrients!$DH$8,Nutrients!$DH$9)*S$7)+(((IF($A$8=Nutrients!$B$79,Nutrients!$DH$79,(IF($A$8=Nutrients!$B$77,Nutrients!$DH$77,Nutrients!$DH$78)))))*S$8))/2000/S$236*100</f>
        <v>72.58411244240726</v>
      </c>
      <c r="T243" s="225">
        <f>(SUMPRODUCT(T$9:T$229,Nutrients!$DH$8:$DH$228)+(IF($A$7=Nutrients!$B$8,Nutrients!$DH$8,Nutrients!$DH$9)*T$7)+(((IF($A$8=Nutrients!$B$79,Nutrients!$DH$79,(IF($A$8=Nutrients!$B$77,Nutrients!$DH$77,Nutrients!$DH$78)))))*T$8))/2000/T$236*100</f>
        <v>73.546896541268609</v>
      </c>
      <c r="U243" s="225">
        <f>(SUMPRODUCT(U$9:U$229,Nutrients!$DH$8:$DH$228)+(IF($A$7=Nutrients!$B$8,Nutrients!$DH$8,Nutrients!$DH$9)*U$7)+(((IF($A$8=Nutrients!$B$79,Nutrients!$DH$79,(IF($A$8=Nutrients!$B$77,Nutrients!$DH$77,Nutrients!$DH$78)))))*U$8))/2000/U$236*100</f>
        <v>74.417492014044996</v>
      </c>
      <c r="V243" s="9"/>
      <c r="W243" s="225">
        <f>(SUMPRODUCT(W$9:W$229,Nutrients!$DH$8:$DH$228)+(IF($A$7=Nutrients!$B$8,Nutrients!$DH$8,Nutrients!$DH$9)*W$7)+(((IF($A$8=Nutrients!$B$79,Nutrients!$DH$79,(IF($A$8=Nutrients!$B$77,Nutrients!$DH$77,Nutrients!$DH$78)))))*W$8))/2000/W$236*100</f>
        <v>71.00249002327341</v>
      </c>
      <c r="X243" s="225">
        <f>(SUMPRODUCT(X$9:X$229,Nutrients!$DH$8:$DH$228)+(IF($A$7=Nutrients!$B$8,Nutrients!$DH$8,Nutrients!$DH$9)*X$7)+(((IF($A$8=Nutrients!$B$79,Nutrients!$DH$79,(IF($A$8=Nutrients!$B$77,Nutrients!$DH$77,Nutrients!$DH$78)))))*X$8))/2000/X$236*100</f>
        <v>71.799341231722508</v>
      </c>
      <c r="Y243" s="225">
        <f>(SUMPRODUCT(Y$9:Y$229,Nutrients!$DH$8:$DH$228)+(IF($A$7=Nutrients!$B$8,Nutrients!$DH$8,Nutrients!$DH$9)*Y$7)+(((IF($A$8=Nutrients!$B$79,Nutrients!$DH$79,(IF($A$8=Nutrients!$B$77,Nutrients!$DH$77,Nutrients!$DH$78)))))*Y$8))/2000/Y$236*100</f>
        <v>72.951024602621061</v>
      </c>
      <c r="Z243" s="225">
        <f>(SUMPRODUCT(Z$9:Z$229,Nutrients!$DH$8:$DH$228)+(IF($A$7=Nutrients!$B$8,Nutrients!$DH$8,Nutrients!$DH$9)*Z$7)+(((IF($A$8=Nutrients!$B$79,Nutrients!$DH$79,(IF($A$8=Nutrients!$B$77,Nutrients!$DH$77,Nutrients!$DH$78)))))*Z$8))/2000/Z$236*100</f>
        <v>74.024699425726041</v>
      </c>
      <c r="AA243" s="225">
        <f>(SUMPRODUCT(AA$9:AA$229,Nutrients!$DH$8:$DH$228)+(IF($A$7=Nutrients!$B$8,Nutrients!$DH$8,Nutrients!$DH$9)*AA$7)+(((IF($A$8=Nutrients!$B$79,Nutrients!$DH$79,(IF($A$8=Nutrients!$B$77,Nutrients!$DH$77,Nutrients!$DH$78)))))*AA$8))/2000/AA$236*100</f>
        <v>75.116595438835375</v>
      </c>
      <c r="AB243" s="225">
        <f>(SUMPRODUCT(AB$9:AB$229,Nutrients!$DH$8:$DH$228)+(IF($A$7=Nutrients!$B$8,Nutrients!$DH$8,Nutrients!$DH$9)*AB$7)+(((IF($A$8=Nutrients!$B$79,Nutrients!$DH$79,(IF($A$8=Nutrients!$B$77,Nutrients!$DH$77,Nutrients!$DH$78)))))*AB$8))/2000/AB$236*100</f>
        <v>76.060536088363705</v>
      </c>
      <c r="AC243" s="9"/>
      <c r="AD243" s="225">
        <f>(SUMPRODUCT(AD$9:AD$229,Nutrients!$DH$8:$DH$228)+(IF($A$7=Nutrients!$B$8,Nutrients!$DH$8,Nutrients!$DH$9)*AD$7)+(((IF($A$8=Nutrients!$B$79,Nutrients!$DH$79,(IF($A$8=Nutrients!$B$77,Nutrients!$DH$77,Nutrients!$DH$78)))))*AD$8))/2000/AD$236*100</f>
        <v>72.005000669355596</v>
      </c>
      <c r="AE243" s="225">
        <f>(SUMPRODUCT(AE$9:AE$229,Nutrients!$DH$8:$DH$228)+(IF($A$7=Nutrients!$B$8,Nutrients!$DH$8,Nutrients!$DH$9)*AE$7)+(((IF($A$8=Nutrients!$B$79,Nutrients!$DH$79,(IF($A$8=Nutrients!$B$77,Nutrients!$DH$77,Nutrients!$DH$78)))))*AE$8))/2000/AE$236*100</f>
        <v>72.93333220971121</v>
      </c>
      <c r="AF243" s="225">
        <f>(SUMPRODUCT(AF$9:AF$229,Nutrients!$DH$8:$DH$228)+(IF($A$7=Nutrients!$B$8,Nutrients!$DH$8,Nutrients!$DH$9)*AF$7)+(((IF($A$8=Nutrients!$B$79,Nutrients!$DH$79,(IF($A$8=Nutrients!$B$77,Nutrients!$DH$77,Nutrients!$DH$78)))))*AF$8))/2000/AF$236*100</f>
        <v>74.235391186848361</v>
      </c>
      <c r="AG243" s="225">
        <f>(SUMPRODUCT(AG$9:AG$229,Nutrients!$DH$8:$DH$228)+(IF($A$7=Nutrients!$B$8,Nutrients!$DH$8,Nutrients!$DH$9)*AG$7)+(((IF($A$8=Nutrients!$B$79,Nutrients!$DH$79,(IF($A$8=Nutrients!$B$77,Nutrients!$DH$77,Nutrients!$DH$78)))))*AG$8))/2000/AG$236*100</f>
        <v>75.461935797886809</v>
      </c>
      <c r="AH243" s="225">
        <f>(SUMPRODUCT(AH$9:AH$229,Nutrients!$DH$8:$DH$228)+(IF($A$7=Nutrients!$B$8,Nutrients!$DH$8,Nutrients!$DH$9)*AH$7)+(((IF($A$8=Nutrients!$B$79,Nutrients!$DH$79,(IF($A$8=Nutrients!$B$77,Nutrients!$DH$77,Nutrients!$DH$78)))))*AH$8))/2000/AH$236*100</f>
        <v>76.657309850615462</v>
      </c>
      <c r="AI243" s="225">
        <f>(SUMPRODUCT(AI$9:AI$229,Nutrients!$DH$8:$DH$228)+(IF($A$7=Nutrients!$B$8,Nutrients!$DH$8,Nutrients!$DH$9)*AI$7)+(((IF($A$8=Nutrients!$B$79,Nutrients!$DH$79,(IF($A$8=Nutrients!$B$77,Nutrients!$DH$77,Nutrients!$DH$78)))))*AI$8))/2000/AI$236*100</f>
        <v>77.67300036351223</v>
      </c>
      <c r="AJ243" s="9"/>
      <c r="AK243" s="225">
        <f>(SUMPRODUCT(AK$9:AK$229,Nutrients!$DH$8:$DH$228)+(IF($A$7=Nutrients!$B$8,Nutrients!$DH$8,Nutrients!$DH$9)*AK$7)+(((IF($A$8=Nutrients!$B$79,Nutrients!$DH$79,(IF($A$8=Nutrients!$B$77,Nutrients!$DH$77,Nutrients!$DH$78)))))*AK$8))/2000/AK$236*100</f>
        <v>73.005462534897902</v>
      </c>
      <c r="AL243" s="225">
        <f>(SUMPRODUCT(AL$9:AL$229,Nutrients!$DH$8:$DH$228)+(IF($A$7=Nutrients!$B$8,Nutrients!$DH$8,Nutrients!$DH$9)*AL$7)+(((IF($A$8=Nutrients!$B$79,Nutrients!$DH$79,(IF($A$8=Nutrients!$B$77,Nutrients!$DH$77,Nutrients!$DH$78)))))*AL$8))/2000/AL$236*100</f>
        <v>74.067357381903577</v>
      </c>
      <c r="AM243" s="225">
        <f>(SUMPRODUCT(AM$9:AM$229,Nutrients!$DH$8:$DH$228)+(IF($A$7=Nutrients!$B$8,Nutrients!$DH$8,Nutrients!$DH$9)*AM$7)+(((IF($A$8=Nutrients!$B$79,Nutrients!$DH$79,(IF($A$8=Nutrients!$B$77,Nutrients!$DH$77,Nutrients!$DH$78)))))*AM$8))/2000/AM$236*100</f>
        <v>75.516922213983719</v>
      </c>
      <c r="AN243" s="225">
        <f>(SUMPRODUCT(AN$9:AN$229,Nutrients!$DH$8:$DH$228)+(IF($A$7=Nutrients!$B$8,Nutrients!$DH$8,Nutrients!$DH$9)*AN$7)+(((IF($A$8=Nutrients!$B$79,Nutrients!$DH$79,(IF($A$8=Nutrients!$B$77,Nutrients!$DH$77,Nutrients!$DH$78)))))*AN$8))/2000/AN$236*100</f>
        <v>76.876333852522947</v>
      </c>
      <c r="AO243" s="225">
        <f>(SUMPRODUCT(AO$9:AO$229,Nutrients!$DH$8:$DH$228)+(IF($A$7=Nutrients!$B$8,Nutrients!$DH$8,Nutrients!$DH$9)*AO$7)+(((IF($A$8=Nutrients!$B$79,Nutrients!$DH$79,(IF($A$8=Nutrients!$B$77,Nutrients!$DH$77,Nutrients!$DH$78)))))*AO$8))/2000/AO$236*100</f>
        <v>78.190708608396434</v>
      </c>
      <c r="AP243" s="225">
        <f>(SUMPRODUCT(AP$9:AP$229,Nutrients!$DH$8:$DH$228)+(IF($A$7=Nutrients!$B$8,Nutrients!$DH$8,Nutrients!$DH$9)*AP$7)+(((IF($A$8=Nutrients!$B$79,Nutrients!$DH$79,(IF($A$8=Nutrients!$B$77,Nutrients!$DH$77,Nutrients!$DH$78)))))*AP$8))/2000/AP$236*100</f>
        <v>79.288002655784837</v>
      </c>
      <c r="AQ243" s="9"/>
      <c r="AR243" s="225">
        <f>(SUMPRODUCT(AR$9:AR$229,Nutrients!$DH$8:$DH$228)+(IF($A$7=Nutrients!$B$8,Nutrients!$DH$8,Nutrients!$DH$9)*AR$7)+(((IF($A$8=Nutrients!$B$79,Nutrients!$DH$79,(IF($A$8=Nutrients!$B$77,Nutrients!$DH$77,Nutrients!$DH$78)))))*AR$8))/2000/AR$236*100</f>
        <v>74.009003847866126</v>
      </c>
      <c r="AS243" s="225">
        <f>(SUMPRODUCT(AS$9:AS$229,Nutrients!$DH$8:$DH$228)+(IF($A$7=Nutrients!$B$8,Nutrients!$DH$8,Nutrients!$DH$9)*AS$7)+(((IF($A$8=Nutrients!$B$79,Nutrients!$DH$79,(IF($A$8=Nutrients!$B$77,Nutrients!$DH$77,Nutrients!$DH$78)))))*AS$8))/2000/AS$236*100</f>
        <v>75.201363711637796</v>
      </c>
      <c r="AT243" s="225">
        <f>(SUMPRODUCT(AT$9:AT$229,Nutrients!$DH$8:$DH$228)+(IF($A$7=Nutrients!$B$8,Nutrients!$DH$8,Nutrients!$DH$9)*AT$7)+(((IF($A$8=Nutrients!$B$79,Nutrients!$DH$79,(IF($A$8=Nutrients!$B$77,Nutrients!$DH$77,Nutrients!$DH$78)))))*AT$8))/2000/AT$236*100</f>
        <v>76.79313346382871</v>
      </c>
      <c r="AU243" s="225">
        <f>(SUMPRODUCT(AU$9:AU$229,Nutrients!$DH$8:$DH$228)+(IF($A$7=Nutrients!$B$8,Nutrients!$DH$8,Nutrients!$DH$9)*AU$7)+(((IF($A$8=Nutrients!$B$79,Nutrients!$DH$79,(IF($A$8=Nutrients!$B$77,Nutrients!$DH$77,Nutrients!$DH$78)))))*AU$8))/2000/AU$236*100</f>
        <v>78.281112847411123</v>
      </c>
      <c r="AV243" s="225">
        <f>(SUMPRODUCT(AV$9:AV$229,Nutrients!$DH$8:$DH$228)+(IF($A$7=Nutrients!$B$8,Nutrients!$DH$8,Nutrients!$DH$9)*AV$7)+(((IF($A$8=Nutrients!$B$79,Nutrients!$DH$79,(IF($A$8=Nutrients!$B$77,Nutrients!$DH$77,Nutrients!$DH$78)))))*AV$8))/2000/AV$236*100</f>
        <v>79.723581366892262</v>
      </c>
      <c r="AW243" s="225">
        <f>(SUMPRODUCT(AW$9:AW$229,Nutrients!$DH$8:$DH$228)+(IF($A$7=Nutrients!$B$8,Nutrients!$DH$8,Nutrients!$DH$9)*AW$7)+(((IF($A$8=Nutrients!$B$79,Nutrients!$DH$79,(IF($A$8=Nutrients!$B$77,Nutrients!$DH$77,Nutrients!$DH$78)))))*AW$8))/2000/AW$236*100</f>
        <v>80.902475721299496</v>
      </c>
      <c r="AX243" s="13"/>
    </row>
    <row r="244" spans="1:56" x14ac:dyDescent="0.25">
      <c r="A244" s="38" t="s">
        <v>394</v>
      </c>
      <c r="B244" s="451">
        <f>(SUMPRODUCT(B$9:B$229,Nutrients!$CX$8:$CX$228)+(IF($A$7=Nutrients!$B$8,Nutrients!$CX$8,Nutrients!$CX$9)*B$7)+(((IF($A$8=Nutrients!$B$79,Nutrients!$CX$79,(IF($A$8=Nutrients!$B$77,Nutrients!$CX$77,Nutrients!$CX$78)))))*B$8))/2000/B$236*100</f>
        <v>41.164178486168282</v>
      </c>
      <c r="C244" s="451">
        <f>(SUMPRODUCT(C$9:C$229,Nutrients!$CX$8:$CX$228)+(IF($A$7=Nutrients!$B$8,Nutrients!$CX$8,Nutrients!$CX$9)*C$7)+(((IF($A$8=Nutrients!$B$79,Nutrients!$CX$79,(IF($A$8=Nutrients!$B$77,Nutrients!$CX$77,Nutrients!$CX$78)))))*C$8))/2000/C$236*100</f>
        <v>41.586004986324909</v>
      </c>
      <c r="D244" s="451">
        <f>(SUMPRODUCT(D$9:D$229,Nutrients!$CX$8:$CX$228)+(IF($A$7=Nutrients!$B$8,Nutrients!$CX$8,Nutrients!$CX$9)*D$7)+(((IF($A$8=Nutrients!$B$79,Nutrients!$CX$79,(IF($A$8=Nutrients!$B$77,Nutrients!$CX$77,Nutrients!$CX$78)))))*D$8))/2000/D$236*100</f>
        <v>42.207205920724832</v>
      </c>
      <c r="E244" s="451">
        <f>(SUMPRODUCT(E$9:E$229,Nutrients!$CX$8:$CX$228)+(IF($A$7=Nutrients!$B$8,Nutrients!$CX$8,Nutrients!$CX$9)*E$7)+(((IF($A$8=Nutrients!$B$79,Nutrients!$CX$79,(IF($A$8=Nutrients!$B$77,Nutrients!$CX$77,Nutrients!$CX$78)))))*E$8))/2000/E$236*100</f>
        <v>42.778460155865318</v>
      </c>
      <c r="F244" s="451">
        <f>(SUMPRODUCT(F$9:F$229,Nutrients!$CX$8:$CX$228)+(IF($A$7=Nutrients!$B$8,Nutrients!$CX$8,Nutrients!$CX$9)*F$7)+(((IF($A$8=Nutrients!$B$79,Nutrients!$CX$79,(IF($A$8=Nutrients!$B$77,Nutrients!$CX$77,Nutrients!$CX$78)))))*F$8))/2000/F$236*100</f>
        <v>43.376570604149812</v>
      </c>
      <c r="G244" s="451">
        <f>(SUMPRODUCT(G$9:G$229,Nutrients!$CX$8:$CX$228)+(IF($A$7=Nutrients!$B$8,Nutrients!$CX$8,Nutrients!$CX$9)*G$7)+(((IF($A$8=Nutrients!$B$79,Nutrients!$CX$79,(IF($A$8=Nutrients!$B$77,Nutrients!$CX$77,Nutrients!$CX$78)))))*G$8))/2000/G$236*100</f>
        <v>43.904809548771325</v>
      </c>
      <c r="H244" s="224"/>
      <c r="I244" s="451">
        <f>(SUMPRODUCT(I$9:I$229,Nutrients!$CX$8:$CX$228)+(IF($A$7=Nutrients!$B$8,Nutrients!$CX$8,Nutrients!$CX$9)*I$7)+(((IF($A$8=Nutrients!$B$79,Nutrients!$CX$79,(IF($A$8=Nutrients!$B$77,Nutrients!$CX$77,Nutrients!$CX$78)))))*I$8))/2000/I$236*100</f>
        <v>41.485269296890401</v>
      </c>
      <c r="J244" s="451">
        <f>(SUMPRODUCT(J$9:J$229,Nutrients!$CX$8:$CX$228)+(IF($A$7=Nutrients!$B$8,Nutrients!$CX$8,Nutrients!$CX$9)*J$7)+(((IF($A$8=Nutrients!$B$79,Nutrients!$CX$79,(IF($A$8=Nutrients!$B$77,Nutrients!$CX$77,Nutrients!$CX$78)))))*J$8))/2000/J$236*100</f>
        <v>41.94835417078032</v>
      </c>
      <c r="K244" s="451">
        <f>(SUMPRODUCT(K$9:K$229,Nutrients!$CX$8:$CX$228)+(IF($A$7=Nutrients!$B$8,Nutrients!$CX$8,Nutrients!$CX$9)*K$7)+(((IF($A$8=Nutrients!$B$79,Nutrients!$CX$79,(IF($A$8=Nutrients!$B$77,Nutrients!$CX$77,Nutrients!$CX$78)))))*K$8))/2000/K$236*100</f>
        <v>42.618814292605087</v>
      </c>
      <c r="L244" s="451">
        <f>(SUMPRODUCT(L$9:L$229,Nutrients!$CX$8:$CX$228)+(IF($A$7=Nutrients!$B$8,Nutrients!$CX$8,Nutrients!$CX$9)*L$7)+(((IF($A$8=Nutrients!$B$79,Nutrients!$CX$79,(IF($A$8=Nutrients!$B$77,Nutrients!$CX$77,Nutrients!$CX$78)))))*L$8))/2000/L$236*100</f>
        <v>43.243058632815298</v>
      </c>
      <c r="M244" s="451">
        <f>(SUMPRODUCT(M$9:M$229,Nutrients!$CX$8:$CX$228)+(IF($A$7=Nutrients!$B$8,Nutrients!$CX$8,Nutrients!$CX$9)*M$7)+(((IF($A$8=Nutrients!$B$79,Nutrients!$CX$79,(IF($A$8=Nutrients!$B$77,Nutrients!$CX$77,Nutrients!$CX$78)))))*M$8))/2000/M$236*100</f>
        <v>43.881593771041416</v>
      </c>
      <c r="N244" s="451">
        <f>(SUMPRODUCT(N$9:N$229,Nutrients!$CX$8:$CX$228)+(IF($A$7=Nutrients!$B$8,Nutrients!$CX$8,Nutrients!$CX$9)*N$7)+(((IF($A$8=Nutrients!$B$79,Nutrients!$CX$79,(IF($A$8=Nutrients!$B$77,Nutrients!$CX$77,Nutrients!$CX$78)))))*N$8))/2000/N$236*100</f>
        <v>44.438331500209436</v>
      </c>
      <c r="O244" s="472"/>
      <c r="P244" s="451">
        <f>(SUMPRODUCT(P$9:P$229,Nutrients!$CX$8:$CX$228)+(IF($A$7=Nutrients!$B$8,Nutrients!$CX$8,Nutrients!$CX$9)*P$7)+(((IF($A$8=Nutrients!$B$79,Nutrients!$CX$79,(IF($A$8=Nutrients!$B$77,Nutrients!$CX$77,Nutrients!$CX$78)))))*P$8))/2000/P$236*100</f>
        <v>41.80625281794692</v>
      </c>
      <c r="Q244" s="451">
        <f>(SUMPRODUCT(Q$9:Q$229,Nutrients!$CX$8:$CX$228)+(IF($A$7=Nutrients!$B$8,Nutrients!$CX$8,Nutrients!$CX$9)*Q$7)+(((IF($A$8=Nutrients!$B$79,Nutrients!$CX$79,(IF($A$8=Nutrients!$B$77,Nutrients!$CX$77,Nutrients!$CX$78)))))*Q$8))/2000/Q$236*100</f>
        <v>42.311158313287315</v>
      </c>
      <c r="R244" s="451">
        <f>(SUMPRODUCT(R$9:R$229,Nutrients!$CX$8:$CX$228)+(IF($A$7=Nutrients!$B$8,Nutrients!$CX$8,Nutrients!$CX$9)*R$7)+(((IF($A$8=Nutrients!$B$79,Nutrients!$CX$79,(IF($A$8=Nutrients!$B$77,Nutrients!$CX$77,Nutrients!$CX$78)))))*R$8))/2000/R$236*100</f>
        <v>43.028897707759164</v>
      </c>
      <c r="S244" s="451">
        <f>(SUMPRODUCT(S$9:S$229,Nutrients!$CX$8:$CX$228)+(IF($A$7=Nutrients!$B$8,Nutrients!$CX$8,Nutrients!$CX$9)*S$7)+(((IF($A$8=Nutrients!$B$79,Nutrients!$CX$79,(IF($A$8=Nutrients!$B$77,Nutrients!$CX$77,Nutrients!$CX$78)))))*S$8))/2000/S$236*100</f>
        <v>43.703383846657339</v>
      </c>
      <c r="T244" s="451">
        <f>(SUMPRODUCT(T$9:T$229,Nutrients!$CX$8:$CX$228)+(IF($A$7=Nutrients!$B$8,Nutrients!$CX$8,Nutrients!$CX$9)*T$7)+(((IF($A$8=Nutrients!$B$79,Nutrients!$CX$79,(IF($A$8=Nutrients!$B$77,Nutrients!$CX$77,Nutrients!$CX$78)))))*T$8))/2000/T$236*100</f>
        <v>44.383625715152384</v>
      </c>
      <c r="U244" s="451">
        <f>(SUMPRODUCT(U$9:U$229,Nutrients!$CX$8:$CX$228)+(IF($A$7=Nutrients!$B$8,Nutrients!$CX$8,Nutrients!$CX$9)*U$7)+(((IF($A$8=Nutrients!$B$79,Nutrients!$CX$79,(IF($A$8=Nutrients!$B$77,Nutrients!$CX$77,Nutrients!$CX$78)))))*U$8))/2000/U$236*100</f>
        <v>44.9666379657397</v>
      </c>
      <c r="V244" s="9"/>
      <c r="W244" s="451">
        <f>(SUMPRODUCT(W$9:W$229,Nutrients!$CX$8:$CX$228)+(IF($A$7=Nutrients!$B$8,Nutrients!$CX$8,Nutrients!$CX$9)*W$7)+(((IF($A$8=Nutrients!$B$79,Nutrients!$CX$79,(IF($A$8=Nutrients!$B$77,Nutrients!$CX$77,Nutrients!$CX$78)))))*W$8))/2000/W$236*100</f>
        <v>42.127075830933961</v>
      </c>
      <c r="X244" s="451">
        <f>(SUMPRODUCT(X$9:X$229,Nutrients!$CX$8:$CX$228)+(IF($A$7=Nutrients!$B$8,Nutrients!$CX$8,Nutrients!$CX$9)*X$7)+(((IF($A$8=Nutrients!$B$79,Nutrients!$CX$79,(IF($A$8=Nutrients!$B$77,Nutrients!$CX$77,Nutrients!$CX$78)))))*X$8))/2000/X$236*100</f>
        <v>42.673744570693529</v>
      </c>
      <c r="Y244" s="451">
        <f>(SUMPRODUCT(Y$9:Y$229,Nutrients!$CX$8:$CX$228)+(IF($A$7=Nutrients!$B$8,Nutrients!$CX$8,Nutrients!$CX$9)*Y$7)+(((IF($A$8=Nutrients!$B$79,Nutrients!$CX$79,(IF($A$8=Nutrients!$B$77,Nutrients!$CX$77,Nutrients!$CX$78)))))*Y$8))/2000/Y$236*100</f>
        <v>43.439569522543906</v>
      </c>
      <c r="Z244" s="451">
        <f>(SUMPRODUCT(Z$9:Z$229,Nutrients!$CX$8:$CX$228)+(IF($A$7=Nutrients!$B$8,Nutrients!$CX$8,Nutrients!$CX$9)*Z$7)+(((IF($A$8=Nutrients!$B$79,Nutrients!$CX$79,(IF($A$8=Nutrients!$B$77,Nutrients!$CX$77,Nutrients!$CX$78)))))*Z$8))/2000/Z$236*100</f>
        <v>44.164517746568727</v>
      </c>
      <c r="AA244" s="451">
        <f>(SUMPRODUCT(AA$9:AA$229,Nutrients!$CX$8:$CX$228)+(IF($A$7=Nutrients!$B$8,Nutrients!$CX$8,Nutrients!$CX$9)*AA$7)+(((IF($A$8=Nutrients!$B$79,Nutrients!$CX$79,(IF($A$8=Nutrients!$B$77,Nutrients!$CX$77,Nutrients!$CX$78)))))*AA$8))/2000/AA$236*100</f>
        <v>44.885065158490953</v>
      </c>
      <c r="AB244" s="451">
        <f>(SUMPRODUCT(AB$9:AB$229,Nutrients!$CX$8:$CX$228)+(IF($A$7=Nutrients!$B$8,Nutrients!$CX$8,Nutrients!$CX$9)*AB$7)+(((IF($A$8=Nutrients!$B$79,Nutrients!$CX$79,(IF($A$8=Nutrients!$B$77,Nutrients!$CX$77,Nutrients!$CX$78)))))*AB$8))/2000/AB$236*100</f>
        <v>45.487805911219553</v>
      </c>
      <c r="AC244" s="9"/>
      <c r="AD244" s="451">
        <f>(SUMPRODUCT(AD$9:AD$229,Nutrients!$CX$8:$CX$228)+(IF($A$7=Nutrients!$B$8,Nutrients!$CX$8,Nutrients!$CX$9)*AD$7)+(((IF($A$8=Nutrients!$B$79,Nutrients!$CX$79,(IF($A$8=Nutrients!$B$77,Nutrients!$CX$77,Nutrients!$CX$78)))))*AD$8))/2000/AD$236*100</f>
        <v>42.447701846532482</v>
      </c>
      <c r="AE244" s="451">
        <f>(SUMPRODUCT(AE$9:AE$229,Nutrients!$CX$8:$CX$228)+(IF($A$7=Nutrients!$B$8,Nutrients!$CX$8,Nutrients!$CX$9)*AE$7)+(((IF($A$8=Nutrients!$B$79,Nutrients!$CX$79,(IF($A$8=Nutrients!$B$77,Nutrients!$CX$77,Nutrients!$CX$78)))))*AE$8))/2000/AE$236*100</f>
        <v>43.03647268090883</v>
      </c>
      <c r="AF244" s="451">
        <f>(SUMPRODUCT(AF$9:AF$229,Nutrients!$CX$8:$CX$228)+(IF($A$7=Nutrients!$B$8,Nutrients!$CX$8,Nutrients!$CX$9)*AF$7)+(((IF($A$8=Nutrients!$B$79,Nutrients!$CX$79,(IF($A$8=Nutrients!$B$77,Nutrients!$CX$77,Nutrients!$CX$78)))))*AF$8))/2000/AF$236*100</f>
        <v>43.85088408455988</v>
      </c>
      <c r="AG244" s="451">
        <f>(SUMPRODUCT(AG$9:AG$229,Nutrients!$CX$8:$CX$228)+(IF($A$7=Nutrients!$B$8,Nutrients!$CX$8,Nutrients!$CX$9)*AG$7)+(((IF($A$8=Nutrients!$B$79,Nutrients!$CX$79,(IF($A$8=Nutrients!$B$77,Nutrients!$CX$77,Nutrients!$CX$78)))))*AG$8))/2000/AG$236*100</f>
        <v>44.623391223377936</v>
      </c>
      <c r="AH244" s="451">
        <f>(SUMPRODUCT(AH$9:AH$229,Nutrients!$CX$8:$CX$228)+(IF($A$7=Nutrients!$B$8,Nutrients!$CX$8,Nutrients!$CX$9)*AH$7)+(((IF($A$8=Nutrients!$B$79,Nutrients!$CX$79,(IF($A$8=Nutrients!$B$77,Nutrients!$CX$77,Nutrients!$CX$78)))))*AH$8))/2000/AH$236*100</f>
        <v>45.366950795617122</v>
      </c>
      <c r="AI244" s="451">
        <f>(SUMPRODUCT(AI$9:AI$229,Nutrients!$CX$8:$CX$228)+(IF($A$7=Nutrients!$B$8,Nutrients!$CX$8,Nutrients!$CX$9)*AI$7)+(((IF($A$8=Nutrients!$B$79,Nutrients!$CX$79,(IF($A$8=Nutrients!$B$77,Nutrients!$CX$77,Nutrients!$CX$78)))))*AI$8))/2000/AI$236*100</f>
        <v>45.988343804077822</v>
      </c>
      <c r="AJ244" s="9"/>
      <c r="AK244" s="451">
        <f>(SUMPRODUCT(AK$9:AK$229,Nutrients!$CX$8:$CX$228)+(IF($A$7=Nutrients!$B$8,Nutrients!$CX$8,Nutrients!$CX$9)*AK$7)+(((IF($A$8=Nutrients!$B$79,Nutrients!$CX$79,(IF($A$8=Nutrients!$B$77,Nutrients!$CX$77,Nutrients!$CX$78)))))*AK$8))/2000/AK$236*100</f>
        <v>42.766945693134005</v>
      </c>
      <c r="AL244" s="451">
        <f>(SUMPRODUCT(AL$9:AL$229,Nutrients!$CX$8:$CX$228)+(IF($A$7=Nutrients!$B$8,Nutrients!$CX$8,Nutrients!$CX$9)*AL$7)+(((IF($A$8=Nutrients!$B$79,Nutrients!$CX$79,(IF($A$8=Nutrients!$B$77,Nutrients!$CX$77,Nutrients!$CX$78)))))*AL$8))/2000/AL$236*100</f>
        <v>43.399223859562774</v>
      </c>
      <c r="AM244" s="451">
        <f>(SUMPRODUCT(AM$9:AM$229,Nutrients!$CX$8:$CX$228)+(IF($A$7=Nutrients!$B$8,Nutrients!$CX$8,Nutrients!$CX$9)*AM$7)+(((IF($A$8=Nutrients!$B$79,Nutrients!$CX$79,(IF($A$8=Nutrients!$B$77,Nutrients!$CX$77,Nutrients!$CX$78)))))*AM$8))/2000/AM$236*100</f>
        <v>44.260285694443887</v>
      </c>
      <c r="AN244" s="451">
        <f>(SUMPRODUCT(AN$9:AN$229,Nutrients!$CX$8:$CX$228)+(IF($A$7=Nutrients!$B$8,Nutrients!$CX$8,Nutrients!$CX$9)*AN$7)+(((IF($A$8=Nutrients!$B$79,Nutrients!$CX$79,(IF($A$8=Nutrients!$B$77,Nutrients!$CX$77,Nutrients!$CX$78)))))*AN$8))/2000/AN$236*100</f>
        <v>45.066857284013508</v>
      </c>
      <c r="AO244" s="451">
        <f>(SUMPRODUCT(AO$9:AO$229,Nutrients!$CX$8:$CX$228)+(IF($A$7=Nutrients!$B$8,Nutrients!$CX$8,Nutrients!$CX$9)*AO$7)+(((IF($A$8=Nutrients!$B$79,Nutrients!$CX$79,(IF($A$8=Nutrients!$B$77,Nutrients!$CX$77,Nutrients!$CX$78)))))*AO$8))/2000/AO$236*100</f>
        <v>45.843901072438165</v>
      </c>
      <c r="AP244" s="451">
        <f>(SUMPRODUCT(AP$9:AP$229,Nutrients!$CX$8:$CX$228)+(IF($A$7=Nutrients!$B$8,Nutrients!$CX$8,Nutrients!$CX$9)*AP$7)+(((IF($A$8=Nutrients!$B$79,Nutrients!$CX$79,(IF($A$8=Nutrients!$B$77,Nutrients!$CX$77,Nutrients!$CX$78)))))*AP$8))/2000/AP$236*100</f>
        <v>46.490593919653215</v>
      </c>
      <c r="AQ244" s="9"/>
      <c r="AR244" s="451">
        <f>(SUMPRODUCT(AR$9:AR$229,Nutrients!$CX$8:$CX$228)+(IF($A$7=Nutrients!$B$8,Nutrients!$CX$8,Nutrients!$CX$9)*AR$7)+(((IF($A$8=Nutrients!$B$79,Nutrients!$CX$79,(IF($A$8=Nutrients!$B$77,Nutrients!$CX$77,Nutrients!$CX$78)))))*AR$8))/2000/AR$236*100</f>
        <v>43.088267027625129</v>
      </c>
      <c r="AS244" s="451">
        <f>(SUMPRODUCT(AS$9:AS$229,Nutrients!$CX$8:$CX$228)+(IF($A$7=Nutrients!$B$8,Nutrients!$CX$8,Nutrients!$CX$9)*AS$7)+(((IF($A$8=Nutrients!$B$79,Nutrients!$CX$79,(IF($A$8=Nutrients!$B$77,Nutrients!$CX$77,Nutrients!$CX$78)))))*AS$8))/2000/AS$236*100</f>
        <v>43.761962326527517</v>
      </c>
      <c r="AT244" s="451">
        <f>(SUMPRODUCT(AT$9:AT$229,Nutrients!$CX$8:$CX$228)+(IF($A$7=Nutrients!$B$8,Nutrients!$CX$8,Nutrients!$CX$9)*AT$7)+(((IF($A$8=Nutrients!$B$79,Nutrients!$CX$79,(IF($A$8=Nutrients!$B$77,Nutrients!$CX$77,Nutrients!$CX$78)))))*AT$8))/2000/AT$236*100</f>
        <v>44.666098422503509</v>
      </c>
      <c r="AU244" s="451">
        <f>(SUMPRODUCT(AU$9:AU$229,Nutrients!$CX$8:$CX$228)+(IF($A$7=Nutrients!$B$8,Nutrients!$CX$8,Nutrients!$CX$9)*AU$7)+(((IF($A$8=Nutrients!$B$79,Nutrients!$CX$79,(IF($A$8=Nutrients!$B$77,Nutrients!$CX$77,Nutrients!$CX$78)))))*AU$8))/2000/AU$236*100</f>
        <v>45.503834037519717</v>
      </c>
      <c r="AV244" s="451">
        <f>(SUMPRODUCT(AV$9:AV$229,Nutrients!$CX$8:$CX$228)+(IF($A$7=Nutrients!$B$8,Nutrients!$CX$8,Nutrients!$CX$9)*AV$7)+(((IF($A$8=Nutrients!$B$79,Nutrients!$CX$79,(IF($A$8=Nutrients!$B$77,Nutrients!$CX$77,Nutrients!$CX$78)))))*AV$8))/2000/AV$236*100</f>
        <v>46.320496494314902</v>
      </c>
      <c r="AW244" s="451">
        <f>(SUMPRODUCT(AW$9:AW$229,Nutrients!$CX$8:$CX$228)+(IF($A$7=Nutrients!$B$8,Nutrients!$CX$8,Nutrients!$CX$9)*AW$7)+(((IF($A$8=Nutrients!$B$79,Nutrients!$CX$79,(IF($A$8=Nutrients!$B$77,Nutrients!$CX$77,Nutrients!$CX$78)))))*AW$8))/2000/AW$236*100</f>
        <v>46.992487002934034</v>
      </c>
      <c r="AX244" s="13"/>
    </row>
    <row r="245" spans="1:56" x14ac:dyDescent="0.25">
      <c r="A245" s="5" t="s">
        <v>389</v>
      </c>
      <c r="B245" s="26">
        <f>(SUMPRODUCT(B$9:B$229,Nutrients!$AJ$8:$AJ$228)+(IF($A7=Nutrients!$B$8,Nutrients!$AJ$8,Nutrients!$AJ$9)*B$7)+(((IF($A8=Nutrients!$B$79,Nutrients!$AJ$79,(IF($A8=Nutrients!$B$77,Nutrients!$AJ$77,Nutrients!$AJ$78)))))*B$8))/2000</f>
        <v>1.3298660823074164</v>
      </c>
      <c r="C245" s="26">
        <f>(SUMPRODUCT(C$9:C$229,Nutrients!$AJ$8:$AJ$228)+(IF($A7=Nutrients!$B$8,Nutrients!$AJ$8,Nutrients!$AJ$9)*C$7)+(((IF($A8=Nutrients!$B$79,Nutrients!$AJ$79,(IF($A8=Nutrients!$B$77,Nutrients!$AJ$77,Nutrients!$AJ$78)))))*C$8))/2000</f>
        <v>1.17824480201899</v>
      </c>
      <c r="D245" s="26">
        <f>(SUMPRODUCT(D$9:D$229,Nutrients!$AJ$8:$AJ$228)+(IF($A7=Nutrients!$B$8,Nutrients!$AJ$8,Nutrients!$AJ$9)*D$7)+(((IF($A8=Nutrients!$B$79,Nutrients!$AJ$79,(IF($A8=Nutrients!$B$77,Nutrients!$AJ$77,Nutrients!$AJ$78)))))*D$8))/2000</f>
        <v>1.0441938280699909</v>
      </c>
      <c r="E245" s="26">
        <f>(SUMPRODUCT(E$9:E$229,Nutrients!$AJ$8:$AJ$228)+(IF($A7=Nutrients!$B$8,Nutrients!$AJ$8,Nutrients!$AJ$9)*E$7)+(((IF($A8=Nutrients!$B$79,Nutrients!$AJ$79,(IF($A8=Nutrients!$B$77,Nutrients!$AJ$77,Nutrients!$AJ$78)))))*E$8))/2000</f>
        <v>0.93300397092782039</v>
      </c>
      <c r="F245" s="26">
        <f>(SUMPRODUCT(F$9:F$229,Nutrients!$AJ$8:$AJ$228)+(IF($A7=Nutrients!$B$8,Nutrients!$AJ$8,Nutrients!$AJ$9)*F$7)+(((IF($A8=Nutrients!$B$79,Nutrients!$AJ$79,(IF($A8=Nutrients!$B$77,Nutrients!$AJ$77,Nutrients!$AJ$78)))))*F$8))/2000</f>
        <v>0.85681025979312531</v>
      </c>
      <c r="G245" s="26">
        <f>(SUMPRODUCT(G$9:G$229,Nutrients!$AJ$8:$AJ$228)+(IF($A7=Nutrients!$B$8,Nutrients!$AJ$8,Nutrients!$AJ$9)*G$7)+(((IF($A8=Nutrients!$B$79,Nutrients!$AJ$79,(IF($A8=Nutrients!$B$77,Nutrients!$AJ$77,Nutrients!$AJ$78)))))*G$8))/2000</f>
        <v>0.81496876682859276</v>
      </c>
      <c r="H245" s="26"/>
      <c r="I245" s="26">
        <f>(SUMPRODUCT(I$9:I$229,Nutrients!$AJ$8:$AJ$228)+(IF($A7=Nutrients!$B$8,Nutrients!$AJ$8,Nutrients!$AJ$9)*I$7)+(((IF($A8=Nutrients!$B$79,Nutrients!$AJ$79,(IF($A8=Nutrients!$B$77,Nutrients!$AJ$77,Nutrients!$AJ$78)))))*I$8))/2000</f>
        <v>1.338116533166849</v>
      </c>
      <c r="J245" s="26">
        <f>(SUMPRODUCT(J$9:J$229,Nutrients!$AJ$8:$AJ$228)+(IF($A7=Nutrients!$B$8,Nutrients!$AJ$8,Nutrients!$AJ$9)*J$7)+(((IF($A8=Nutrients!$B$79,Nutrients!$AJ$79,(IF($A8=Nutrients!$B$77,Nutrients!$AJ$77,Nutrients!$AJ$78)))))*J$8))/2000</f>
        <v>1.1864922408253746</v>
      </c>
      <c r="K245" s="26">
        <f>(SUMPRODUCT(K$9:K$229,Nutrients!$AJ$8:$AJ$228)+(IF($A7=Nutrients!$B$8,Nutrients!$AJ$8,Nutrients!$AJ$9)*K$7)+(((IF($A8=Nutrients!$B$79,Nutrients!$AJ$79,(IF($A8=Nutrients!$B$77,Nutrients!$AJ$77,Nutrients!$AJ$78)))))*K$8))/2000</f>
        <v>1.0524467034693956</v>
      </c>
      <c r="L245" s="26">
        <f>(SUMPRODUCT(L$9:L$229,Nutrients!$AJ$8:$AJ$228)+(IF($A7=Nutrients!$B$8,Nutrients!$AJ$8,Nutrients!$AJ$9)*L$7)+(((IF($A8=Nutrients!$B$79,Nutrients!$AJ$79,(IF($A8=Nutrients!$B$77,Nutrients!$AJ$77,Nutrients!$AJ$78)))))*L$8))/2000</f>
        <v>0.94126489477896202</v>
      </c>
      <c r="M245" s="26">
        <f>(SUMPRODUCT(M$9:M$229,Nutrients!$AJ$8:$AJ$228)+(IF($A7=Nutrients!$B$8,Nutrients!$AJ$8,Nutrients!$AJ$9)*M$7)+(((IF($A8=Nutrients!$B$79,Nutrients!$AJ$79,(IF($A8=Nutrients!$B$77,Nutrients!$AJ$77,Nutrients!$AJ$78)))))*M$8))/2000</f>
        <v>0.86506540064979298</v>
      </c>
      <c r="N245" s="26">
        <f>(SUMPRODUCT(N$9:N$229,Nutrients!$AJ$8:$AJ$228)+(IF($A7=Nutrients!$B$8,Nutrients!$AJ$8,Nutrients!$AJ$9)*N$7)+(((IF($A8=Nutrients!$B$79,Nutrients!$AJ$79,(IF($A8=Nutrients!$B$77,Nutrients!$AJ$77,Nutrients!$AJ$78)))))*N$8))/2000</f>
        <v>0.82322786919695368</v>
      </c>
      <c r="O245" s="26"/>
      <c r="P245" s="26">
        <f>(SUMPRODUCT(P$9:P$229,Nutrients!$AJ$8:$AJ$228)+(IF($A7=Nutrients!$B$8,Nutrients!$AJ$8,Nutrients!$AJ$9)*P$7)+(((IF($A8=Nutrients!$B$79,Nutrients!$AJ$79,(IF($A8=Nutrients!$B$77,Nutrients!$AJ$77,Nutrients!$AJ$78)))))*P$8))/2000</f>
        <v>1.3463665307782089</v>
      </c>
      <c r="Q245" s="26">
        <f>(SUMPRODUCT(Q$9:Q$229,Nutrients!$AJ$8:$AJ$228)+(IF($A7=Nutrients!$B$8,Nutrients!$AJ$8,Nutrients!$AJ$9)*Q$7)+(((IF($A8=Nutrients!$B$79,Nutrients!$AJ$79,(IF($A8=Nutrients!$B$77,Nutrients!$AJ$77,Nutrients!$AJ$78)))))*Q$8))/2000</f>
        <v>1.1947413789885906</v>
      </c>
      <c r="R245" s="26">
        <f>(SUMPRODUCT(R$9:R$229,Nutrients!$AJ$8:$AJ$228)+(IF($A7=Nutrients!$B$8,Nutrients!$AJ$8,Nutrients!$AJ$9)*R$7)+(((IF($A8=Nutrients!$B$79,Nutrients!$AJ$79,(IF($A8=Nutrients!$B$77,Nutrients!$AJ$77,Nutrients!$AJ$78)))))*R$8))/2000</f>
        <v>1.0606945443862597</v>
      </c>
      <c r="S245" s="26">
        <f>(SUMPRODUCT(S$9:S$229,Nutrients!$AJ$8:$AJ$228)+(IF($A7=Nutrients!$B$8,Nutrients!$AJ$8,Nutrients!$AJ$9)*S$7)+(((IF($A8=Nutrients!$B$79,Nutrients!$AJ$79,(IF($A8=Nutrients!$B$77,Nutrients!$AJ$77,Nutrients!$AJ$78)))))*S$8))/2000</f>
        <v>0.94951324594482345</v>
      </c>
      <c r="T245" s="26">
        <f>(SUMPRODUCT(T$9:T$229,Nutrients!$AJ$8:$AJ$228)+(IF($A7=Nutrients!$B$8,Nutrients!$AJ$8,Nutrients!$AJ$9)*T$7)+(((IF($A8=Nutrients!$B$79,Nutrients!$AJ$79,(IF($A8=Nutrients!$B$77,Nutrients!$AJ$77,Nutrients!$AJ$78)))))*T$8))/2000</f>
        <v>0.87331247951362045</v>
      </c>
      <c r="U245" s="26">
        <f>(SUMPRODUCT(U$9:U$229,Nutrients!$AJ$8:$AJ$228)+(IF($A7=Nutrients!$B$8,Nutrients!$AJ$8,Nutrients!$AJ$9)*U$7)+(((IF($A8=Nutrients!$B$79,Nutrients!$AJ$79,(IF($A8=Nutrients!$B$77,Nutrients!$AJ$77,Nutrients!$AJ$78)))))*U$8))/2000</f>
        <v>0.83147362684189074</v>
      </c>
      <c r="W245" s="26">
        <f>(SUMPRODUCT(W$9:W$229,Nutrients!$AJ$8:$AJ$228)+(IF($A7=Nutrients!$B$8,Nutrients!$AJ$8,Nutrients!$AJ$9)*W$7)+(((IF($A8=Nutrients!$B$79,Nutrients!$AJ$79,(IF($A8=Nutrients!$B$77,Nutrients!$AJ$77,Nutrients!$AJ$78)))))*W$8))/2000</f>
        <v>1.3546158503189207</v>
      </c>
      <c r="X245" s="26">
        <f>(SUMPRODUCT(X$9:X$229,Nutrients!$AJ$8:$AJ$228)+(IF($A7=Nutrients!$B$8,Nutrients!$AJ$8,Nutrients!$AJ$9)*X$7)+(((IF($A8=Nutrients!$B$79,Nutrients!$AJ$79,(IF($A8=Nutrients!$B$77,Nutrients!$AJ$77,Nutrients!$AJ$78)))))*X$8))/2000</f>
        <v>1.2029897033085672</v>
      </c>
      <c r="Y245" s="26">
        <f>(SUMPRODUCT(Y$9:Y$229,Nutrients!$AJ$8:$AJ$228)+(IF($A7=Nutrients!$B$8,Nutrients!$AJ$8,Nutrients!$AJ$9)*Y$7)+(((IF($A8=Nutrients!$B$79,Nutrients!$AJ$79,(IF($A8=Nutrients!$B$77,Nutrients!$AJ$77,Nutrients!$AJ$78)))))*Y$8))/2000</f>
        <v>1.0689443278419617</v>
      </c>
      <c r="Z245" s="26">
        <f>(SUMPRODUCT(Z$9:Z$229,Nutrients!$AJ$8:$AJ$228)+(IF($A7=Nutrients!$B$8,Nutrients!$AJ$8,Nutrients!$AJ$9)*Z$7)+(((IF($A8=Nutrients!$B$79,Nutrients!$AJ$79,(IF($A8=Nutrients!$B$77,Nutrients!$AJ$77,Nutrients!$AJ$78)))))*Z$8))/2000</f>
        <v>0.95776397640612843</v>
      </c>
      <c r="AA245" s="26">
        <f>(SUMPRODUCT(AA$9:AA$229,Nutrients!$AJ$8:$AJ$228)+(IF($A7=Nutrients!$B$8,Nutrients!$AJ$8,Nutrients!$AJ$9)*AA$7)+(((IF($A8=Nutrients!$B$79,Nutrients!$AJ$79,(IF($A8=Nutrients!$B$77,Nutrients!$AJ$77,Nutrients!$AJ$78)))))*AA$8))/2000</f>
        <v>0.88155796145962095</v>
      </c>
      <c r="AB245" s="26">
        <f>(SUMPRODUCT(AB$9:AB$229,Nutrients!$AJ$8:$AJ$228)+(IF($A7=Nutrients!$B$8,Nutrients!$AJ$8,Nutrients!$AJ$9)*AB$7)+(((IF($A8=Nutrients!$B$79,Nutrients!$AJ$79,(IF($A8=Nutrients!$B$77,Nutrients!$AJ$77,Nutrients!$AJ$78)))))*AB$8))/2000</f>
        <v>0.83970111934770075</v>
      </c>
      <c r="AD245" s="26">
        <f>(SUMPRODUCT(AD$9:AD$229,Nutrients!$AJ$8:$AJ$228)+(IF($A7=Nutrients!$B$8,Nutrients!$AJ$8,Nutrients!$AJ$9)*AD$7)+(((IF($A8=Nutrients!$B$79,Nutrients!$AJ$79,(IF($A8=Nutrients!$B$77,Nutrients!$AJ$77,Nutrients!$AJ$78)))))*AD$8))/2000</f>
        <v>1.3628643376388767</v>
      </c>
      <c r="AE245" s="26">
        <f>(SUMPRODUCT(AE$9:AE$229,Nutrients!$AJ$8:$AJ$228)+(IF($A7=Nutrients!$B$8,Nutrients!$AJ$8,Nutrients!$AJ$9)*AE$7)+(((IF($A8=Nutrients!$B$79,Nutrients!$AJ$79,(IF($A8=Nutrients!$B$77,Nutrients!$AJ$77,Nutrients!$AJ$78)))))*AE$8))/2000</f>
        <v>1.2112385574763826</v>
      </c>
      <c r="AF245" s="26">
        <f>(SUMPRODUCT(AF$9:AF$229,Nutrients!$AJ$8:$AJ$228)+(IF($A7=Nutrients!$B$8,Nutrients!$AJ$8,Nutrients!$AJ$9)*AF$7)+(((IF($A8=Nutrients!$B$79,Nutrients!$AJ$79,(IF($A8=Nutrients!$B$77,Nutrients!$AJ$77,Nutrients!$AJ$78)))))*AF$8))/2000</f>
        <v>1.0771962332593292</v>
      </c>
      <c r="AG245" s="26">
        <f>(SUMPRODUCT(AG$9:AG$229,Nutrients!$AJ$8:$AJ$228)+(IF($A7=Nutrients!$B$8,Nutrients!$AJ$8,Nutrients!$AJ$9)*AG$7)+(((IF($A8=Nutrients!$B$79,Nutrients!$AJ$79,(IF($A8=Nutrients!$B$77,Nutrients!$AJ$77,Nutrients!$AJ$78)))))*AG$8))/2000</f>
        <v>0.96600805630846975</v>
      </c>
      <c r="AH245" s="26">
        <f>(SUMPRODUCT(AH$9:AH$229,Nutrients!$AJ$8:$AJ$228)+(IF($A7=Nutrients!$B$8,Nutrients!$AJ$8,Nutrients!$AJ$9)*AH$7)+(((IF($A8=Nutrients!$B$79,Nutrients!$AJ$79,(IF($A8=Nutrients!$B$77,Nutrients!$AJ$77,Nutrients!$AJ$78)))))*AH$8))/2000</f>
        <v>0.88975074166548562</v>
      </c>
      <c r="AI245" s="26">
        <f>(SUMPRODUCT(AI$9:AI$229,Nutrients!$AJ$8:$AJ$228)+(IF($A7=Nutrients!$B$8,Nutrients!$AJ$8,Nutrients!$AJ$9)*AI$7)+(((IF($A8=Nutrients!$B$79,Nutrients!$AJ$79,(IF($A8=Nutrients!$B$77,Nutrients!$AJ$77,Nutrients!$AJ$78)))))*AI$8))/2000</f>
        <v>0.84787582629310188</v>
      </c>
      <c r="AK245" s="26">
        <f>(SUMPRODUCT(AK$9:AK$229,Nutrients!$AJ$8:$AJ$228)+(IF($A7=Nutrients!$B$8,Nutrients!$AJ$8,Nutrients!$AJ$9)*AK$7)+(((IF($A8=Nutrients!$B$79,Nutrients!$AJ$79,(IF($A8=Nutrients!$B$77,Nutrients!$AJ$77,Nutrients!$AJ$78)))))*AK$8))/2000</f>
        <v>1.371106985948803</v>
      </c>
      <c r="AL245" s="26">
        <f>(SUMPRODUCT(AL$9:AL$229,Nutrients!$AJ$8:$AJ$228)+(IF($A7=Nutrients!$B$8,Nutrients!$AJ$8,Nutrients!$AJ$9)*AL$7)+(((IF($A8=Nutrients!$B$79,Nutrients!$AJ$79,(IF($A8=Nutrients!$B$77,Nutrients!$AJ$77,Nutrients!$AJ$78)))))*AL$8))/2000</f>
        <v>1.2194874978093035</v>
      </c>
      <c r="AM245" s="26">
        <f>(SUMPRODUCT(AM$9:AM$229,Nutrients!$AJ$8:$AJ$228)+(IF($A7=Nutrients!$B$8,Nutrients!$AJ$8,Nutrients!$AJ$9)*AM$7)+(((IF($A8=Nutrients!$B$79,Nutrients!$AJ$79,(IF($A8=Nutrients!$B$77,Nutrients!$AJ$77,Nutrients!$AJ$78)))))*AM$8))/2000</f>
        <v>1.0854418232685645</v>
      </c>
      <c r="AN245" s="26">
        <f>(SUMPRODUCT(AN$9:AN$229,Nutrients!$AJ$8:$AJ$228)+(IF($A7=Nutrients!$B$8,Nutrients!$AJ$8,Nutrients!$AJ$9)*AN$7)+(((IF($A8=Nutrients!$B$79,Nutrients!$AJ$79,(IF($A8=Nutrients!$B$77,Nutrients!$AJ$77,Nutrients!$AJ$78)))))*AN$8))/2000</f>
        <v>0.97420680490552014</v>
      </c>
      <c r="AO245" s="26">
        <f>(SUMPRODUCT(AO$9:AO$229,Nutrients!$AJ$8:$AJ$228)+(IF($A7=Nutrients!$B$8,Nutrients!$AJ$8,Nutrients!$AJ$9)*AO$7)+(((IF($A8=Nutrients!$B$79,Nutrients!$AJ$79,(IF($A8=Nutrients!$B$77,Nutrients!$AJ$77,Nutrients!$AJ$78)))))*AO$8))/2000</f>
        <v>0.89793022000707667</v>
      </c>
      <c r="AP245" s="26">
        <f>(SUMPRODUCT(AP$9:AP$229,Nutrients!$AJ$8:$AJ$228)+(IF($A7=Nutrients!$B$8,Nutrients!$AJ$8,Nutrients!$AJ$9)*AP$7)+(((IF($A8=Nutrients!$B$79,Nutrients!$AJ$79,(IF($A8=Nutrients!$B$77,Nutrients!$AJ$77,Nutrients!$AJ$78)))))*AP$8))/2000</f>
        <v>0.85605491425668756</v>
      </c>
      <c r="AR245" s="26">
        <f>(SUMPRODUCT(AR$9:AR$229,Nutrients!$AJ$8:$AJ$228)+(IF($A7=Nutrients!$B$8,Nutrients!$AJ$8,Nutrients!$AJ$9)*AR$7)+(((IF($A8=Nutrients!$B$79,Nutrients!$AJ$79,(IF($A8=Nutrients!$B$77,Nutrients!$AJ$77,Nutrients!$AJ$78)))))*AR$8))/2000</f>
        <v>1.3793584106620853</v>
      </c>
      <c r="AS245" s="26">
        <f>(SUMPRODUCT(AS$9:AS$229,Nutrients!$AJ$8:$AJ$228)+(IF($A7=Nutrients!$B$8,Nutrients!$AJ$8,Nutrients!$AJ$9)*AS$7)+(((IF($A8=Nutrients!$B$79,Nutrients!$AJ$79,(IF($A8=Nutrients!$B$77,Nutrients!$AJ$77,Nutrients!$AJ$78)))))*AS$8))/2000</f>
        <v>1.2277363906615926</v>
      </c>
      <c r="AT245" s="26">
        <f>(SUMPRODUCT(AT$9:AT$229,Nutrients!$AJ$8:$AJ$228)+(IF($A7=Nutrients!$B$8,Nutrients!$AJ$8,Nutrients!$AJ$9)*AT$7)+(((IF($A8=Nutrients!$B$79,Nutrients!$AJ$79,(IF($A8=Nutrients!$B$77,Nutrients!$AJ$77,Nutrients!$AJ$78)))))*AT$8))/2000</f>
        <v>1.0936755649659267</v>
      </c>
      <c r="AU245" s="26">
        <f>(SUMPRODUCT(AU$9:AU$229,Nutrients!$AJ$8:$AJ$228)+(IF($A7=Nutrients!$B$8,Nutrients!$AJ$8,Nutrients!$AJ$9)*AU$7)+(((IF($A8=Nutrients!$B$79,Nutrients!$AJ$79,(IF($A8=Nutrients!$B$77,Nutrients!$AJ$77,Nutrients!$AJ$78)))))*AU$8))/2000</f>
        <v>0.98238646082932224</v>
      </c>
      <c r="AV245" s="26">
        <f>(SUMPRODUCT(AV$9:AV$229,Nutrients!$AJ$8:$AJ$228)+(IF($A7=Nutrients!$B$8,Nutrients!$AJ$8,Nutrients!$AJ$9)*AV$7)+(((IF($A8=Nutrients!$B$79,Nutrients!$AJ$79,(IF($A8=Nutrients!$B$77,Nutrients!$AJ$77,Nutrients!$AJ$78)))))*AV$8))/2000</f>
        <v>0.9061087419377849</v>
      </c>
      <c r="AW245" s="26">
        <f>(SUMPRODUCT(AW$9:AW$229,Nutrients!$AJ$8:$AJ$228)+(IF($A7=Nutrients!$B$8,Nutrients!$AJ$8,Nutrients!$AJ$9)*AW$7)+(((IF($A8=Nutrients!$B$79,Nutrients!$AJ$79,(IF($A8=Nutrients!$B$77,Nutrients!$AJ$77,Nutrients!$AJ$78)))))*AW$8))/2000</f>
        <v>0.86423308869134985</v>
      </c>
    </row>
    <row r="246" spans="1:56" x14ac:dyDescent="0.25">
      <c r="A246" s="3" t="s">
        <v>18</v>
      </c>
      <c r="B246" s="21">
        <f>(SUMPRODUCT(B$9:B$229,Nutrients!$E$8:$E$228)+(IF($A$7=Nutrients!$B$8,Nutrients!$E$8,Nutrients!$E$9)*B$7)+(((IF($A$8=Nutrients!$B$79,Nutrients!$E$79,(IF($A$8=Nutrients!$B$77,Nutrients!$E$77,Nutrients!$E$78)))))*B$8))/2000/2.2046</f>
        <v>1491.8402434475765</v>
      </c>
      <c r="C246" s="21">
        <f>(SUMPRODUCT(C$9:C$229,Nutrients!$E$8:$E$228)+(IF($A$7=Nutrients!$B$8,Nutrients!$E$8,Nutrients!$E$9)*C$7)+(((IF($A$8=Nutrients!$B$79,Nutrients!$E$79,(IF($A$8=Nutrients!$B$77,Nutrients!$E$77,Nutrients!$E$78)))))*C$8))/2000/2.2046</f>
        <v>1497.3394897230346</v>
      </c>
      <c r="D246" s="21">
        <f>(SUMPRODUCT(D$9:D$229,Nutrients!$E$8:$E$228)+(IF($A$7=Nutrients!$B$8,Nutrients!$E$8,Nutrients!$E$9)*D$7)+(((IF($A$8=Nutrients!$B$79,Nutrients!$E$79,(IF($A$8=Nutrients!$B$77,Nutrients!$E$77,Nutrients!$E$78)))))*D$8))/2000/2.2046</f>
        <v>1502.2809065274494</v>
      </c>
      <c r="E246" s="21">
        <f>(SUMPRODUCT(E$9:E$229,Nutrients!$E$8:$E$228)+(IF($A$7=Nutrients!$B$8,Nutrients!$E$8,Nutrients!$E$9)*E$7)+(((IF($A$8=Nutrients!$B$79,Nutrients!$E$79,(IF($A$8=Nutrients!$B$77,Nutrients!$E$77,Nutrients!$E$78)))))*E$8))/2000/2.2046</f>
        <v>1506.6896352343656</v>
      </c>
      <c r="F246" s="21">
        <f>(SUMPRODUCT(F$9:F$229,Nutrients!$E$8:$E$228)+(IF($A$7=Nutrients!$B$8,Nutrients!$E$8,Nutrients!$E$9)*F$7)+(((IF($A$8=Nutrients!$B$79,Nutrients!$E$79,(IF($A$8=Nutrients!$B$77,Nutrients!$E$77,Nutrients!$E$78)))))*F$8))/2000/2.2046</f>
        <v>1510.1029910587361</v>
      </c>
      <c r="G246" s="21">
        <f>(SUMPRODUCT(G$9:G$229,Nutrients!$E$8:$E$228)+(IF($A$7=Nutrients!$B$8,Nutrients!$E$8,Nutrients!$E$9)*G$7)+(((IF($A$8=Nutrients!$B$79,Nutrients!$E$79,(IF($A$8=Nutrients!$B$77,Nutrients!$E$77,Nutrients!$E$78)))))*G$8))/2000/2.2046</f>
        <v>1511.4146927250044</v>
      </c>
      <c r="H246" s="226"/>
      <c r="I246" s="21">
        <f>(SUMPRODUCT(I$9:I$229,Nutrients!$E$8:$E$228)+(IF($A$7=Nutrients!$B$8,Nutrients!$E$8,Nutrients!$E$9)*I$7)+(((IF($A$8=Nutrients!$B$79,Nutrients!$E$79,(IF($A$8=Nutrients!$B$77,Nutrients!$E$77,Nutrients!$E$78)))))*I$8))/2000/2.2046</f>
        <v>1505.2558249199296</v>
      </c>
      <c r="J246" s="21">
        <f>(SUMPRODUCT(J$9:J$229,Nutrients!$E$8:$E$228)+(IF($A$7=Nutrients!$B$8,Nutrients!$E$8,Nutrients!$E$9)*J$7)+(((IF($A$8=Nutrients!$B$79,Nutrients!$E$79,(IF($A$8=Nutrients!$B$77,Nutrients!$E$77,Nutrients!$E$78)))))*J$8))/2000/2.2046</f>
        <v>1510.8275881781256</v>
      </c>
      <c r="K246" s="21">
        <f>(SUMPRODUCT(K$9:K$229,Nutrients!$E$8:$E$228)+(IF($A$7=Nutrients!$B$8,Nutrients!$E$8,Nutrients!$E$9)*K$7)+(((IF($A$8=Nutrients!$B$79,Nutrients!$E$79,(IF($A$8=Nutrients!$B$77,Nutrients!$E$77,Nutrients!$E$78)))))*K$8))/2000/2.2046</f>
        <v>1516.0728536674958</v>
      </c>
      <c r="L246" s="21">
        <f>(SUMPRODUCT(L$9:L$229,Nutrients!$E$8:$E$228)+(IF($A$7=Nutrients!$B$8,Nutrients!$E$8,Nutrients!$E$9)*L$7)+(((IF($A$8=Nutrients!$B$79,Nutrients!$E$79,(IF($A$8=Nutrients!$B$77,Nutrients!$E$77,Nutrients!$E$78)))))*L$8))/2000/2.2046</f>
        <v>1520.3577165723336</v>
      </c>
      <c r="M246" s="21">
        <f>(SUMPRODUCT(M$9:M$229,Nutrients!$E$8:$E$228)+(IF($A$7=Nutrients!$B$8,Nutrients!$E$8,Nutrients!$E$9)*M$7)+(((IF($A$8=Nutrients!$B$79,Nutrients!$E$79,(IF($A$8=Nutrients!$B$77,Nutrients!$E$77,Nutrients!$E$78)))))*M$8))/2000/2.2046</f>
        <v>1523.7195863660886</v>
      </c>
      <c r="N246" s="21">
        <f>(SUMPRODUCT(N$9:N$229,Nutrients!$E$8:$E$228)+(IF($A$7=Nutrients!$B$8,Nutrients!$E$8,Nutrients!$E$9)*N$7)+(((IF($A$8=Nutrients!$B$79,Nutrients!$E$79,(IF($A$8=Nutrients!$B$77,Nutrients!$E$77,Nutrients!$E$78)))))*N$8))/2000/2.2046</f>
        <v>1525.0632424674673</v>
      </c>
      <c r="O246" s="234"/>
      <c r="P246" s="21">
        <f>(SUMPRODUCT(P$9:P$229,Nutrients!$E$8:$E$228)+(IF($A$7=Nutrients!$B$8,Nutrients!$E$8,Nutrients!$E$9)*P$7)+(((IF($A$8=Nutrients!$B$79,Nutrients!$E$79,(IF($A$8=Nutrients!$B$77,Nutrients!$E$77,Nutrients!$E$78)))))*P$8))/2000/2.2046</f>
        <v>1518.8787010253898</v>
      </c>
      <c r="Q246" s="21">
        <f>(SUMPRODUCT(Q$9:Q$229,Nutrients!$E$8:$E$228)+(IF($A$7=Nutrients!$B$8,Nutrients!$E$8,Nutrients!$E$9)*Q$7)+(((IF($A$8=Nutrients!$B$79,Nutrients!$E$79,(IF($A$8=Nutrients!$B$77,Nutrients!$E$77,Nutrients!$E$78)))))*Q$8))/2000/2.2046</f>
        <v>1524.4910800631349</v>
      </c>
      <c r="R246" s="21">
        <f>(SUMPRODUCT(R$9:R$229,Nutrients!$E$8:$E$228)+(IF($A$7=Nutrients!$B$8,Nutrients!$E$8,Nutrients!$E$9)*R$7)+(((IF($A$8=Nutrients!$B$79,Nutrients!$E$79,(IF($A$8=Nutrients!$B$77,Nutrients!$E$77,Nutrients!$E$78)))))*R$8))/2000/2.2046</f>
        <v>1529.797650789141</v>
      </c>
      <c r="S246" s="21">
        <f>(SUMPRODUCT(S$9:S$229,Nutrients!$E$8:$E$228)+(IF($A$7=Nutrients!$B$8,Nutrients!$E$8,Nutrients!$E$9)*S$7)+(((IF($A$8=Nutrients!$B$79,Nutrients!$E$79,(IF($A$8=Nutrients!$B$77,Nutrients!$E$77,Nutrients!$E$78)))))*S$8))/2000/2.2046</f>
        <v>1534.0584003592417</v>
      </c>
      <c r="T246" s="21">
        <f>(SUMPRODUCT(T$9:T$229,Nutrients!$E$8:$E$228)+(IF($A$7=Nutrients!$B$8,Nutrients!$E$8,Nutrients!$E$9)*T$7)+(((IF($A$8=Nutrients!$B$79,Nutrients!$E$79,(IF($A$8=Nutrients!$B$77,Nutrients!$E$77,Nutrients!$E$78)))))*T$8))/2000/2.2046</f>
        <v>1537.4341227125128</v>
      </c>
      <c r="U246" s="21">
        <f>(SUMPRODUCT(U$9:U$229,Nutrients!$E$8:$E$228)+(IF($A$7=Nutrients!$B$8,Nutrients!$E$8,Nutrients!$E$9)*U$7)+(((IF($A$8=Nutrients!$B$79,Nutrients!$E$79,(IF($A$8=Nutrients!$B$77,Nutrients!$E$77,Nutrients!$E$78)))))*U$8))/2000/2.2046</f>
        <v>1538.8035112401942</v>
      </c>
      <c r="W246" s="21">
        <f>(SUMPRODUCT(W$9:W$229,Nutrients!$E$8:$E$228)+(IF($A$7=Nutrients!$B$8,Nutrients!$E$8,Nutrients!$E$9)*W$7)+(((IF($A$8=Nutrients!$B$79,Nutrients!$E$79,(IF($A$8=Nutrients!$B$77,Nutrients!$E$77,Nutrients!$E$78)))))*W$8))/2000/2.2046</f>
        <v>1532.5336213770972</v>
      </c>
      <c r="X246" s="21">
        <f>(SUMPRODUCT(X$9:X$229,Nutrients!$E$8:$E$228)+(IF($A$7=Nutrients!$B$8,Nutrients!$E$8,Nutrients!$E$9)*X$7)+(((IF($A$8=Nutrients!$B$79,Nutrients!$E$79,(IF($A$8=Nutrients!$B$77,Nutrients!$E$77,Nutrients!$E$78)))))*X$8))/2000/2.2046</f>
        <v>1538.1930325322051</v>
      </c>
      <c r="Y246" s="21">
        <f>(SUMPRODUCT(Y$9:Y$229,Nutrients!$E$8:$E$228)+(IF($A$7=Nutrients!$B$8,Nutrients!$E$8,Nutrients!$E$9)*Y$7)+(((IF($A$8=Nutrients!$B$79,Nutrients!$E$79,(IF($A$8=Nutrients!$B$77,Nutrients!$E$77,Nutrients!$E$78)))))*Y$8))/2000/2.2046</f>
        <v>1543.504347902001</v>
      </c>
      <c r="Z246" s="21">
        <f>(SUMPRODUCT(Z$9:Z$229,Nutrients!$E$8:$E$228)+(IF($A$7=Nutrients!$B$8,Nutrients!$E$8,Nutrients!$E$9)*Z$7)+(((IF($A$8=Nutrients!$B$79,Nutrients!$E$79,(IF($A$8=Nutrients!$B$77,Nutrients!$E$77,Nutrients!$E$78)))))*Z$8))/2000/2.2046</f>
        <v>1547.7764106693176</v>
      </c>
      <c r="AA246" s="21">
        <f>(SUMPRODUCT(AA$9:AA$229,Nutrients!$E$8:$E$228)+(IF($A$7=Nutrients!$B$8,Nutrients!$E$8,Nutrients!$E$9)*AA$7)+(((IF($A$8=Nutrients!$B$79,Nutrients!$E$79,(IF($A$8=Nutrients!$B$77,Nutrients!$E$77,Nutrients!$E$78)))))*AA$8))/2000/2.2046</f>
        <v>1551.2373010471624</v>
      </c>
      <c r="AB246" s="21">
        <f>(SUMPRODUCT(AB$9:AB$229,Nutrients!$E$8:$E$228)+(IF($A$7=Nutrients!$B$8,Nutrients!$E$8,Nutrients!$E$9)*AB$7)+(((IF($A$8=Nutrients!$B$79,Nutrients!$E$79,(IF($A$8=Nutrients!$B$77,Nutrients!$E$77,Nutrients!$E$78)))))*AB$8))/2000/2.2046</f>
        <v>1552.4776678258422</v>
      </c>
      <c r="AD246" s="21">
        <f>(SUMPRODUCT(AD$9:AD$229,Nutrients!$E$8:$E$228)+(IF($A$7=Nutrients!$B$8,Nutrients!$E$8,Nutrients!$E$9)*AD$7)+(((IF($A$8=Nutrients!$B$79,Nutrients!$E$79,(IF($A$8=Nutrients!$B$77,Nutrients!$E$77,Nutrients!$E$78)))))*AD$8))/2000/2.2046</f>
        <v>1546.2647210193622</v>
      </c>
      <c r="AE246" s="21">
        <f>(SUMPRODUCT(AE$9:AE$229,Nutrients!$E$8:$E$228)+(IF($A$7=Nutrients!$B$8,Nutrients!$E$8,Nutrients!$E$9)*AE$7)+(((IF($A$8=Nutrients!$B$79,Nutrients!$E$79,(IF($A$8=Nutrients!$B$77,Nutrients!$E$77,Nutrients!$E$78)))))*AE$8))/2000/2.2046</f>
        <v>1551.9067956872489</v>
      </c>
      <c r="AF246" s="21">
        <f>(SUMPRODUCT(AF$9:AF$229,Nutrients!$E$8:$E$228)+(IF($A$7=Nutrients!$B$8,Nutrients!$E$8,Nutrients!$E$9)*AF$7)+(((IF($A$8=Nutrients!$B$79,Nutrients!$E$79,(IF($A$8=Nutrients!$B$77,Nutrients!$E$77,Nutrients!$E$78)))))*AF$8))/2000/2.2046</f>
        <v>1557.2004131042156</v>
      </c>
      <c r="AG246" s="21">
        <f>(SUMPRODUCT(AG$9:AG$229,Nutrients!$E$8:$E$228)+(IF($A$7=Nutrients!$B$8,Nutrients!$E$8,Nutrients!$E$9)*AG$7)+(((IF($A$8=Nutrients!$B$79,Nutrients!$E$79,(IF($A$8=Nutrients!$B$77,Nutrients!$E$77,Nutrients!$E$78)))))*AG$8))/2000/2.2046</f>
        <v>1561.6089965269193</v>
      </c>
      <c r="AH246" s="21">
        <f>(SUMPRODUCT(AH$9:AH$229,Nutrients!$E$8:$E$228)+(IF($A$7=Nutrients!$B$8,Nutrients!$E$8,Nutrients!$E$9)*AH$7)+(((IF($A$8=Nutrients!$B$79,Nutrients!$E$79,(IF($A$8=Nutrients!$B$77,Nutrients!$E$77,Nutrients!$E$78)))))*AH$8))/2000/2.2046</f>
        <v>1564.5957706149304</v>
      </c>
      <c r="AI246" s="21">
        <f>(SUMPRODUCT(AI$9:AI$229,Nutrients!$E$8:$E$228)+(IF($A$7=Nutrients!$B$8,Nutrients!$E$8,Nutrients!$E$9)*AI$7)+(((IF($A$8=Nutrients!$B$79,Nutrients!$E$79,(IF($A$8=Nutrients!$B$77,Nutrients!$E$77,Nutrients!$E$78)))))*AI$8))/2000/2.2046</f>
        <v>1565.8635936513963</v>
      </c>
      <c r="AK246" s="21">
        <f>(SUMPRODUCT(AK$9:AK$229,Nutrients!$E$8:$E$228)+(IF($A$7=Nutrients!$B$8,Nutrients!$E$8,Nutrients!$E$9)*AK$7)+(((IF($A$8=Nutrients!$B$79,Nutrients!$E$79,(IF($A$8=Nutrients!$B$77,Nutrients!$E$77,Nutrients!$E$78)))))*AK$8))/2000/2.2046</f>
        <v>1560.2901855671428</v>
      </c>
      <c r="AL246" s="21">
        <f>(SUMPRODUCT(AL$9:AL$229,Nutrients!$E$8:$E$228)+(IF($A$7=Nutrients!$B$8,Nutrients!$E$8,Nutrients!$E$9)*AL$7)+(((IF($A$8=Nutrients!$B$79,Nutrients!$E$79,(IF($A$8=Nutrients!$B$77,Nutrients!$E$77,Nutrients!$E$78)))))*AL$8))/2000/2.2046</f>
        <v>1565.6349119649267</v>
      </c>
      <c r="AM246" s="21">
        <f>(SUMPRODUCT(AM$9:AM$229,Nutrients!$E$8:$E$228)+(IF($A$7=Nutrients!$B$8,Nutrients!$E$8,Nutrients!$E$9)*AM$7)+(((IF($A$8=Nutrients!$B$79,Nutrients!$E$79,(IF($A$8=Nutrients!$B$77,Nutrients!$E$77,Nutrients!$E$78)))))*AM$8))/2000/2.2046</f>
        <v>1570.9800594779867</v>
      </c>
      <c r="AN246" s="21">
        <f>(SUMPRODUCT(AN$9:AN$229,Nutrients!$E$8:$E$228)+(IF($A$7=Nutrients!$B$8,Nutrients!$E$8,Nutrients!$E$9)*AN$7)+(((IF($A$8=Nutrients!$B$79,Nutrients!$E$79,(IF($A$8=Nutrients!$B$77,Nutrients!$E$77,Nutrients!$E$78)))))*AN$8))/2000/2.2046</f>
        <v>1574.8167666409322</v>
      </c>
      <c r="AO246" s="21">
        <f>(SUMPRODUCT(AO$9:AO$229,Nutrients!$E$8:$E$228)+(IF($A$7=Nutrients!$B$8,Nutrients!$E$8,Nutrients!$E$9)*AO$7)+(((IF($A$8=Nutrients!$B$79,Nutrients!$E$79,(IF($A$8=Nutrients!$B$77,Nutrients!$E$77,Nutrients!$E$78)))))*AO$8))/2000/2.2046</f>
        <v>1578.0854277061721</v>
      </c>
      <c r="AP246" s="21">
        <f>(SUMPRODUCT(AP$9:AP$229,Nutrients!$E$8:$E$228)+(IF($A$7=Nutrients!$B$8,Nutrients!$E$8,Nutrients!$E$9)*AP$7)+(((IF($A$8=Nutrients!$B$79,Nutrients!$E$79,(IF($A$8=Nutrients!$B$77,Nutrients!$E$77,Nutrients!$E$78)))))*AP$8))/2000/2.2046</f>
        <v>1579.3715412571516</v>
      </c>
      <c r="AR246" s="21">
        <f>(SUMPRODUCT(AR$9:AR$229,Nutrients!$E$8:$E$228)+(IF($A$7=Nutrients!$B$8,Nutrients!$E$8,Nutrients!$E$9)*AR$7)+(((IF($A$8=Nutrients!$B$79,Nutrients!$E$79,(IF($A$8=Nutrients!$B$77,Nutrients!$E$77,Nutrients!$E$78)))))*AR$8))/2000/2.2046</f>
        <v>1573.8635204264267</v>
      </c>
      <c r="AS246" s="21">
        <f>(SUMPRODUCT(AS$9:AS$229,Nutrients!$E$8:$E$228)+(IF($A$7=Nutrients!$B$8,Nutrients!$E$8,Nutrients!$E$9)*AS$7)+(((IF($A$8=Nutrients!$B$79,Nutrients!$E$79,(IF($A$8=Nutrients!$B$77,Nutrients!$E$77,Nutrients!$E$78)))))*AS$8))/2000/2.2046</f>
        <v>1579.3278967971946</v>
      </c>
      <c r="AT246" s="21">
        <f>(SUMPRODUCT(AT$9:AT$229,Nutrients!$E$8:$E$228)+(IF($A$7=Nutrients!$B$8,Nutrients!$E$8,Nutrients!$E$9)*AT$7)+(((IF($A$8=Nutrients!$B$79,Nutrients!$E$79,(IF($A$8=Nutrients!$B$77,Nutrients!$E$77,Nutrients!$E$78)))))*AT$8))/2000/2.2046</f>
        <v>1584.3606368891599</v>
      </c>
      <c r="AU246" s="21">
        <f>(SUMPRODUCT(AU$9:AU$229,Nutrients!$E$8:$E$228)+(IF($A$7=Nutrients!$B$8,Nutrients!$E$8,Nutrients!$E$9)*AU$7)+(((IF($A$8=Nutrients!$B$79,Nutrients!$E$79,(IF($A$8=Nutrients!$B$77,Nutrients!$E$77,Nutrients!$E$78)))))*AU$8))/2000/2.2046</f>
        <v>1588.2769988753703</v>
      </c>
      <c r="AV246" s="21">
        <f>(SUMPRODUCT(AV$9:AV$229,Nutrients!$E$8:$E$228)+(IF($A$7=Nutrients!$B$8,Nutrients!$E$8,Nutrients!$E$9)*AV$7)+(((IF($A$8=Nutrients!$B$79,Nutrients!$E$79,(IF($A$8=Nutrients!$B$77,Nutrients!$E$77,Nutrients!$E$78)))))*AV$8))/2000/2.2046</f>
        <v>1591.6036975788595</v>
      </c>
      <c r="AW246" s="21">
        <f>(SUMPRODUCT(AW$9:AW$229,Nutrients!$E$8:$E$228)+(IF($A$7=Nutrients!$B$8,Nutrients!$E$8,Nutrients!$E$9)*AW$7)+(((IF($A$8=Nutrients!$B$79,Nutrients!$E$79,(IF($A$8=Nutrients!$B$77,Nutrients!$E$77,Nutrients!$E$78)))))*AW$8))/2000/2.2046</f>
        <v>1592.9068510256618</v>
      </c>
    </row>
    <row r="247" spans="1:56" x14ac:dyDescent="0.25">
      <c r="A247" s="5" t="s">
        <v>32</v>
      </c>
      <c r="B247" s="21">
        <f>(SUMPRODUCT(B$9:B$229,Nutrients!$DY$8:$DY$228)+(IF($A$7=Nutrients!$B$8,Nutrients!$DY$8,Nutrients!$DY$9)*B$7)+(((IF($A$8=Nutrients!$B$79,Nutrients!$DY$79,(IF($A$8=Nutrients!$B$77,Nutrients!$DY$77,Nutrients!$DY$78)))))*B$8))/2000/2.2046</f>
        <v>1084.249548676868</v>
      </c>
      <c r="C247" s="21">
        <f>(SUMPRODUCT(C$9:C$229,Nutrients!$DY$8:$DY$228)+(IF($A$7=Nutrients!$B$8,Nutrients!$DY$8,Nutrients!$DY$9)*C$7)+(((IF($A$8=Nutrients!$B$79,Nutrients!$DY$79,(IF($A$8=Nutrients!$B$77,Nutrients!$DY$77,Nutrients!$DY$78)))))*C$8))/2000/2.2046</f>
        <v>1102.8575690313603</v>
      </c>
      <c r="D247" s="21">
        <f>(SUMPRODUCT(D$9:D$229,Nutrients!$DY$8:$DY$228)+(IF($A$7=Nutrients!$B$8,Nutrients!$DY$8,Nutrients!$DY$9)*D$7)+(((IF($A$8=Nutrients!$B$79,Nutrients!$DY$79,(IF($A$8=Nutrients!$B$77,Nutrients!$DY$77,Nutrients!$DY$78)))))*D$8))/2000/2.2046</f>
        <v>1119.0569124625506</v>
      </c>
      <c r="E247" s="21">
        <f>(SUMPRODUCT(E$9:E$229,Nutrients!$DY$8:$DY$228)+(IF($A$7=Nutrients!$B$8,Nutrients!$DY$8,Nutrients!$DY$9)*E$7)+(((IF($A$8=Nutrients!$B$79,Nutrients!$DY$79,(IF($A$8=Nutrients!$B$77,Nutrients!$DY$77,Nutrients!$DY$78)))))*E$8))/2000/2.2046</f>
        <v>1132.8948287435808</v>
      </c>
      <c r="F247" s="21">
        <f>(SUMPRODUCT(F$9:F$229,Nutrients!$DY$8:$DY$228)+(IF($A$7=Nutrients!$B$8,Nutrients!$DY$8,Nutrients!$DY$9)*F$7)+(((IF($A$8=Nutrients!$B$79,Nutrients!$DY$79,(IF($A$8=Nutrients!$B$77,Nutrients!$DY$77,Nutrients!$DY$78)))))*F$8))/2000/2.2046</f>
        <v>1142.4960914643329</v>
      </c>
      <c r="G247" s="21">
        <f>(SUMPRODUCT(G$9:G$229,Nutrients!$DY$8:$DY$228)+(IF($A$7=Nutrients!$B$8,Nutrients!$DY$8,Nutrients!$DY$9)*G$7)+(((IF($A$8=Nutrients!$B$79,Nutrients!$DY$79,(IF($A$8=Nutrients!$B$77,Nutrients!$DY$77,Nutrients!$DY$78)))))*G$8))/2000/2.2046</f>
        <v>1147.04091606665</v>
      </c>
      <c r="H247" s="226"/>
      <c r="I247" s="21">
        <f>(SUMPRODUCT(I$9:I$229,Nutrients!$DY$8:$DY$228)+(IF($A$7=Nutrients!$B$8,Nutrients!$DY$8,Nutrients!$DY$9)*I$7)+(((IF($A$8=Nutrients!$B$79,Nutrients!$DY$79,(IF($A$8=Nutrients!$B$77,Nutrients!$DY$77,Nutrients!$DY$78)))))*I$8))/2000/2.2046</f>
        <v>1038.6173558042069</v>
      </c>
      <c r="J247" s="21">
        <f>(SUMPRODUCT(J$9:J$229,Nutrients!$DY$8:$DY$228)+(IF($A$7=Nutrients!$B$8,Nutrients!$DY$8,Nutrients!$DY$9)*J$7)+(((IF($A$8=Nutrients!$B$79,Nutrients!$DY$79,(IF($A$8=Nutrients!$B$77,Nutrients!$DY$77,Nutrients!$DY$78)))))*J$8))/2000/2.2046</f>
        <v>1057.2973324167847</v>
      </c>
      <c r="K247" s="21">
        <f>(SUMPRODUCT(K$9:K$229,Nutrients!$DY$8:$DY$228)+(IF($A$7=Nutrients!$B$8,Nutrients!$DY$8,Nutrients!$DY$9)*K$7)+(((IF($A$8=Nutrients!$B$79,Nutrients!$DY$79,(IF($A$8=Nutrients!$B$77,Nutrients!$DY$77,Nutrients!$DY$78)))))*K$8))/2000/2.2046</f>
        <v>1073.747451947004</v>
      </c>
      <c r="L247" s="21">
        <f>(SUMPRODUCT(L$9:L$229,Nutrients!$DY$8:$DY$228)+(IF($A$7=Nutrients!$B$8,Nutrients!$DY$8,Nutrients!$DY$9)*L$7)+(((IF($A$8=Nutrients!$B$79,Nutrients!$DY$79,(IF($A$8=Nutrients!$B$77,Nutrients!$DY$77,Nutrients!$DY$78)))))*L$8))/2000/2.2046</f>
        <v>1087.4546661752524</v>
      </c>
      <c r="M247" s="21">
        <f>(SUMPRODUCT(M$9:M$229,Nutrients!$DY$8:$DY$228)+(IF($A$7=Nutrients!$B$8,Nutrients!$DY$8,Nutrients!$DY$9)*M$7)+(((IF($A$8=Nutrients!$B$79,Nutrients!$DY$79,(IF($A$8=Nutrients!$B$77,Nutrients!$DY$77,Nutrients!$DY$78)))))*M$8))/2000/2.2046</f>
        <v>1097.0269850793527</v>
      </c>
      <c r="N247" s="21">
        <f>(SUMPRODUCT(N$9:N$229,Nutrients!$DY$8:$DY$228)+(IF($A$7=Nutrients!$B$8,Nutrients!$DY$8,Nutrients!$DY$9)*N$7)+(((IF($A$8=Nutrients!$B$79,Nutrients!$DY$79,(IF($A$8=Nutrients!$B$77,Nutrients!$DY$77,Nutrients!$DY$78)))))*N$8))/2000/2.2046</f>
        <v>1101.5887813231782</v>
      </c>
      <c r="O247" s="234"/>
      <c r="P247" s="21">
        <f>(SUMPRODUCT(P$9:P$229,Nutrients!$DY$8:$DY$228)+(IF($A$7=Nutrients!$B$8,Nutrients!$DY$8,Nutrients!$DY$9)*P$7)+(((IF($A$8=Nutrients!$B$79,Nutrients!$DY$79,(IF($A$8=Nutrients!$B$77,Nutrients!$DY$77,Nutrients!$DY$78)))))*P$8))/2000/2.2046</f>
        <v>993.16695188644837</v>
      </c>
      <c r="Q247" s="21">
        <f>(SUMPRODUCT(Q$9:Q$229,Nutrients!$DY$8:$DY$228)+(IF($A$7=Nutrients!$B$8,Nutrients!$DY$8,Nutrients!$DY$9)*Q$7)+(((IF($A$8=Nutrients!$B$79,Nutrients!$DY$79,(IF($A$8=Nutrients!$B$77,Nutrients!$DY$77,Nutrients!$DY$78)))))*Q$8))/2000/2.2046</f>
        <v>1011.8848734893444</v>
      </c>
      <c r="R247" s="21">
        <f>(SUMPRODUCT(R$9:R$229,Nutrients!$DY$8:$DY$228)+(IF($A$7=Nutrients!$B$8,Nutrients!$DY$8,Nutrients!$DY$9)*R$7)+(((IF($A$8=Nutrients!$B$79,Nutrients!$DY$79,(IF($A$8=Nutrients!$B$77,Nutrients!$DY$77,Nutrients!$DY$78)))))*R$8))/2000/2.2046</f>
        <v>1028.3922669814685</v>
      </c>
      <c r="S247" s="21">
        <f>(SUMPRODUCT(S$9:S$229,Nutrients!$DY$8:$DY$228)+(IF($A$7=Nutrients!$B$8,Nutrients!$DY$8,Nutrients!$DY$9)*S$7)+(((IF($A$8=Nutrients!$B$79,Nutrients!$DY$79,(IF($A$8=Nutrients!$B$77,Nutrients!$DY$77,Nutrients!$DY$78)))))*S$8))/2000/2.2046</f>
        <v>1042.0769535058707</v>
      </c>
      <c r="T247" s="21">
        <f>(SUMPRODUCT(T$9:T$229,Nutrients!$DY$8:$DY$228)+(IF($A$7=Nutrients!$B$8,Nutrients!$DY$8,Nutrients!$DY$9)*T$7)+(((IF($A$8=Nutrients!$B$79,Nutrients!$DY$79,(IF($A$8=Nutrients!$B$77,Nutrients!$DY$77,Nutrients!$DY$78)))))*T$8))/2000/2.2046</f>
        <v>1051.6556630842906</v>
      </c>
      <c r="U247" s="21">
        <f>(SUMPRODUCT(U$9:U$229,Nutrients!$DY$8:$DY$228)+(IF($A$7=Nutrients!$B$8,Nutrients!$DY$8,Nutrients!$DY$9)*U$7)+(((IF($A$8=Nutrients!$B$79,Nutrients!$DY$79,(IF($A$8=Nutrients!$B$77,Nutrients!$DY$77,Nutrients!$DY$78)))))*U$8))/2000/2.2046</f>
        <v>1056.2363032406142</v>
      </c>
      <c r="W247" s="21">
        <f>(SUMPRODUCT(W$9:W$229,Nutrients!$DY$8:$DY$228)+(IF($A$7=Nutrients!$B$8,Nutrients!$DY$8,Nutrients!$DY$9)*W$7)+(((IF($A$8=Nutrients!$B$79,Nutrients!$DY$79,(IF($A$8=Nutrients!$B$77,Nutrients!$DY$77,Nutrients!$DY$78)))))*W$8))/2000/2.2046</f>
        <v>947.74648506769665</v>
      </c>
      <c r="X247" s="21">
        <f>(SUMPRODUCT(X$9:X$229,Nutrients!$DY$8:$DY$228)+(IF($A$7=Nutrients!$B$8,Nutrients!$DY$8,Nutrients!$DY$9)*X$7)+(((IF($A$8=Nutrients!$B$79,Nutrients!$DY$79,(IF($A$8=Nutrients!$B$77,Nutrients!$DY$77,Nutrients!$DY$78)))))*X$8))/2000/2.2046</f>
        <v>966.50834607684783</v>
      </c>
      <c r="Y247" s="21">
        <f>(SUMPRODUCT(Y$9:Y$229,Nutrients!$DY$8:$DY$228)+(IF($A$7=Nutrients!$B$8,Nutrients!$DY$8,Nutrients!$DY$9)*Y$7)+(((IF($A$8=Nutrients!$B$79,Nutrients!$DY$79,(IF($A$8=Nutrients!$B$77,Nutrients!$DY$77,Nutrients!$DY$78)))))*Y$8))/2000/2.2046</f>
        <v>983.01581962126204</v>
      </c>
      <c r="Z247" s="21">
        <f>(SUMPRODUCT(Z$9:Z$229,Nutrients!$DY$8:$DY$228)+(IF($A$7=Nutrients!$B$8,Nutrients!$DY$8,Nutrients!$DY$9)*Z$7)+(((IF($A$8=Nutrients!$B$79,Nutrients!$DY$79,(IF($A$8=Nutrients!$B$77,Nutrients!$DY$77,Nutrients!$DY$78)))))*Z$8))/2000/2.2046</f>
        <v>996.71901277139671</v>
      </c>
      <c r="AA247" s="21">
        <f>(SUMPRODUCT(AA$9:AA$229,Nutrients!$DY$8:$DY$228)+(IF($A$7=Nutrients!$B$8,Nutrients!$DY$8,Nutrients!$DY$9)*AA$7)+(((IF($A$8=Nutrients!$B$79,Nutrients!$DY$79,(IF($A$8=Nutrients!$B$77,Nutrients!$DY$77,Nutrients!$DY$78)))))*AA$8))/2000/2.2046</f>
        <v>1006.3542330267044</v>
      </c>
      <c r="AB247" s="21">
        <f>(SUMPRODUCT(AB$9:AB$229,Nutrients!$DY$8:$DY$228)+(IF($A$7=Nutrients!$B$8,Nutrients!$DY$8,Nutrients!$DY$9)*AB$7)+(((IF($A$8=Nutrients!$B$79,Nutrients!$DY$79,(IF($A$8=Nutrients!$B$77,Nutrients!$DY$77,Nutrients!$DY$78)))))*AB$8))/2000/2.2046</f>
        <v>1010.8721631090045</v>
      </c>
      <c r="AD247" s="21">
        <f>(SUMPRODUCT(AD$9:AD$229,Nutrients!$DY$8:$DY$228)+(IF($A$7=Nutrients!$B$8,Nutrients!$DY$8,Nutrients!$DY$9)*AD$7)+(((IF($A$8=Nutrients!$B$79,Nutrients!$DY$79,(IF($A$8=Nutrients!$B$77,Nutrients!$DY$77,Nutrients!$DY$78)))))*AD$8))/2000/2.2046</f>
        <v>902.39501188726808</v>
      </c>
      <c r="AE247" s="21">
        <f>(SUMPRODUCT(AE$9:AE$229,Nutrients!$DY$8:$DY$228)+(IF($A$7=Nutrients!$B$8,Nutrients!$DY$8,Nutrients!$DY$9)*AE$7)+(((IF($A$8=Nutrients!$B$79,Nutrients!$DY$79,(IF($A$8=Nutrients!$B$77,Nutrients!$DY$77,Nutrients!$DY$78)))))*AE$8))/2000/2.2046</f>
        <v>921.14067641202178</v>
      </c>
      <c r="AF247" s="21">
        <f>(SUMPRODUCT(AF$9:AF$229,Nutrients!$DY$8:$DY$228)+(IF($A$7=Nutrients!$B$8,Nutrients!$DY$8,Nutrients!$DY$9)*AF$7)+(((IF($A$8=Nutrients!$B$79,Nutrients!$DY$79,(IF($A$8=Nutrients!$B$77,Nutrients!$DY$77,Nutrients!$DY$78)))))*AF$8))/2000/2.2046</f>
        <v>937.65017786849273</v>
      </c>
      <c r="AG247" s="21">
        <f>(SUMPRODUCT(AG$9:AG$229,Nutrients!$DY$8:$DY$228)+(IF($A$7=Nutrients!$B$8,Nutrients!$DY$8,Nutrients!$DY$9)*AG$7)+(((IF($A$8=Nutrients!$B$79,Nutrients!$DY$79,(IF($A$8=Nutrients!$B$77,Nutrients!$DY$77,Nutrients!$DY$78)))))*AG$8))/2000/2.2046</f>
        <v>951.44723277162814</v>
      </c>
      <c r="AH247" s="21">
        <f>(SUMPRODUCT(AH$9:AH$229,Nutrients!$DY$8:$DY$228)+(IF($A$7=Nutrients!$B$8,Nutrients!$DY$8,Nutrients!$DY$9)*AH$7)+(((IF($A$8=Nutrients!$B$79,Nutrients!$DY$79,(IF($A$8=Nutrients!$B$77,Nutrients!$DY$77,Nutrients!$DY$78)))))*AH$8))/2000/2.2046</f>
        <v>960.81188296684763</v>
      </c>
      <c r="AI247" s="21">
        <f>(SUMPRODUCT(AI$9:AI$229,Nutrients!$DY$8:$DY$228)+(IF($A$7=Nutrients!$B$8,Nutrients!$DY$8,Nutrients!$DY$9)*AI$7)+(((IF($A$8=Nutrients!$B$79,Nutrients!$DY$79,(IF($A$8=Nutrients!$B$77,Nutrients!$DY$77,Nutrients!$DY$78)))))*AI$8))/2000/2.2046</f>
        <v>965.4043713280671</v>
      </c>
      <c r="AK247" s="21">
        <f>(SUMPRODUCT(AK$9:AK$229,Nutrients!$DY$8:$DY$228)+(IF($A$7=Nutrients!$B$8,Nutrients!$DY$8,Nutrients!$DY$9)*AK$7)+(((IF($A$8=Nutrients!$B$79,Nutrients!$DY$79,(IF($A$8=Nutrients!$B$77,Nutrients!$DY$77,Nutrients!$DY$78)))))*AK$8))/2000/2.2046</f>
        <v>857.31745878406525</v>
      </c>
      <c r="AL247" s="21">
        <f>(SUMPRODUCT(AL$9:AL$229,Nutrients!$DY$8:$DY$228)+(IF($A$7=Nutrients!$B$8,Nutrients!$DY$8,Nutrients!$DY$9)*AL$7)+(((IF($A$8=Nutrients!$B$79,Nutrients!$DY$79,(IF($A$8=Nutrients!$B$77,Nutrients!$DY$77,Nutrients!$DY$78)))))*AL$8))/2000/2.2046</f>
        <v>875.78532789640929</v>
      </c>
      <c r="AM247" s="21">
        <f>(SUMPRODUCT(AM$9:AM$229,Nutrients!$DY$8:$DY$228)+(IF($A$7=Nutrients!$B$8,Nutrients!$DY$8,Nutrients!$DY$9)*AM$7)+(((IF($A$8=Nutrients!$B$79,Nutrients!$DY$79,(IF($A$8=Nutrients!$B$77,Nutrients!$DY$77,Nutrients!$DY$78)))))*AM$8))/2000/2.2046</f>
        <v>892.32785140024976</v>
      </c>
      <c r="AN247" s="21">
        <f>(SUMPRODUCT(AN$9:AN$229,Nutrients!$DY$8:$DY$228)+(IF($A$7=Nutrients!$B$8,Nutrients!$DY$8,Nutrients!$DY$9)*AN$7)+(((IF($A$8=Nutrients!$B$79,Nutrients!$DY$79,(IF($A$8=Nutrients!$B$77,Nutrients!$DY$77,Nutrients!$DY$78)))))*AN$8))/2000/2.2046</f>
        <v>905.75680549656568</v>
      </c>
      <c r="AO247" s="21">
        <f>(SUMPRODUCT(AO$9:AO$229,Nutrients!$DY$8:$DY$228)+(IF($A$7=Nutrients!$B$8,Nutrients!$DY$8,Nutrients!$DY$9)*AO$7)+(((IF($A$8=Nutrients!$B$79,Nutrients!$DY$79,(IF($A$8=Nutrients!$B$77,Nutrients!$DY$77,Nutrients!$DY$78)))))*AO$8))/2000/2.2046</f>
        <v>915.42357418314293</v>
      </c>
      <c r="AP247" s="21">
        <f>(SUMPRODUCT(AP$9:AP$229,Nutrients!$DY$8:$DY$228)+(IF($A$7=Nutrients!$B$8,Nutrients!$DY$8,Nutrients!$DY$9)*AP$7)+(((IF($A$8=Nutrients!$B$79,Nutrients!$DY$79,(IF($A$8=Nutrients!$B$77,Nutrients!$DY$77,Nutrients!$DY$78)))))*AP$8))/2000/2.2046</f>
        <v>920.03305802044929</v>
      </c>
      <c r="AR247" s="21">
        <f>(SUMPRODUCT(AR$9:AR$229,Nutrients!$DY$8:$DY$228)+(IF($A$7=Nutrients!$B$8,Nutrients!$DY$8,Nutrients!$DY$9)*AR$7)+(((IF($A$8=Nutrients!$B$79,Nutrients!$DY$79,(IF($A$8=Nutrients!$B$77,Nutrients!$DY$77,Nutrients!$DY$78)))))*AR$8))/2000/2.2046</f>
        <v>811.82544080313357</v>
      </c>
      <c r="AS247" s="21">
        <f>(SUMPRODUCT(AS$9:AS$229,Nutrients!$DY$8:$DY$228)+(IF($A$7=Nutrients!$B$8,Nutrients!$DY$8,Nutrients!$DY$9)*AS$7)+(((IF($A$8=Nutrients!$B$79,Nutrients!$DY$79,(IF($A$8=Nutrients!$B$77,Nutrients!$DY$77,Nutrients!$DY$78)))))*AS$8))/2000/2.2046</f>
        <v>830.40509184369205</v>
      </c>
      <c r="AT247" s="21">
        <f>(SUMPRODUCT(AT$9:AT$229,Nutrients!$DY$8:$DY$228)+(IF($A$7=Nutrients!$B$8,Nutrients!$DY$8,Nutrients!$DY$9)*AT$7)+(((IF($A$8=Nutrients!$B$79,Nutrients!$DY$79,(IF($A$8=Nutrients!$B$77,Nutrients!$DY$77,Nutrients!$DY$78)))))*AT$8))/2000/2.2046</f>
        <v>846.69424338374745</v>
      </c>
      <c r="AU247" s="21">
        <f>(SUMPRODUCT(AU$9:AU$229,Nutrients!$DY$8:$DY$228)+(IF($A$7=Nutrients!$B$8,Nutrients!$DY$8,Nutrients!$DY$9)*AU$7)+(((IF($A$8=Nutrients!$B$79,Nutrients!$DY$79,(IF($A$8=Nutrients!$B$77,Nutrients!$DY$77,Nutrients!$DY$78)))))*AU$8))/2000/2.2046</f>
        <v>860.34297657559421</v>
      </c>
      <c r="AV247" s="21">
        <f>(SUMPRODUCT(AV$9:AV$229,Nutrients!$DY$8:$DY$228)+(IF($A$7=Nutrients!$B$8,Nutrients!$DY$8,Nutrients!$DY$9)*AV$7)+(((IF($A$8=Nutrients!$B$79,Nutrients!$DY$79,(IF($A$8=Nutrients!$B$77,Nutrients!$DY$77,Nutrients!$DY$78)))))*AV$8))/2000/2.2046</f>
        <v>870.05758755754562</v>
      </c>
      <c r="AW247" s="21">
        <f>(SUMPRODUCT(AW$9:AW$229,Nutrients!$DY$8:$DY$228)+(IF($A$7=Nutrients!$B$8,Nutrients!$DY$8,Nutrients!$DY$9)*AW$7)+(((IF($A$8=Nutrients!$B$79,Nutrients!$DY$79,(IF($A$8=Nutrients!$B$77,Nutrients!$DY$77,Nutrients!$DY$78)))))*AW$8))/2000/2.2046</f>
        <v>874.68312235142639</v>
      </c>
    </row>
    <row r="248" spans="1:56" x14ac:dyDescent="0.25">
      <c r="A248" s="5" t="s">
        <v>31</v>
      </c>
      <c r="B248" s="21">
        <f>(SUMPRODUCT(B$9:B$229,Nutrients!$DZ$8:$DZ$228)+(IF($A$7=Nutrients!$B$8,Nutrients!$DZ$8,Nutrients!$DZ$9)*B$7)+(((IF($A$8=Nutrients!$B$79,Nutrients!$DZ$79,(IF($A$8=Nutrients!$B$77,Nutrients!$DZ$77,Nutrients!$DZ$78)))))*B$8))/2000/2.2046</f>
        <v>1125.1001476776023</v>
      </c>
      <c r="C248" s="21">
        <f>(SUMPRODUCT(C$9:C$229,Nutrients!$DZ$8:$DZ$228)+(IF($A$7=Nutrients!$B$8,Nutrients!$DZ$8,Nutrients!$DZ$9)*C$7)+(((IF($A$8=Nutrients!$B$79,Nutrients!$DZ$79,(IF($A$8=Nutrients!$B$77,Nutrients!$DZ$77,Nutrients!$DZ$78)))))*C$8))/2000/2.2046</f>
        <v>1142.795652894368</v>
      </c>
      <c r="D248" s="21">
        <f>(SUMPRODUCT(D$9:D$229,Nutrients!$DZ$8:$DZ$228)+(IF($A$7=Nutrients!$B$8,Nutrients!$DZ$8,Nutrients!$DZ$9)*D$7)+(((IF($A$8=Nutrients!$B$79,Nutrients!$DZ$79,(IF($A$8=Nutrients!$B$77,Nutrients!$DZ$77,Nutrients!$DZ$78)))))*D$8))/2000/2.2046</f>
        <v>1158.2172951602411</v>
      </c>
      <c r="E248" s="21">
        <f>(SUMPRODUCT(E$9:E$229,Nutrients!$DZ$8:$DZ$228)+(IF($A$7=Nutrients!$B$8,Nutrients!$DZ$8,Nutrients!$DZ$9)*E$7)+(((IF($A$8=Nutrients!$B$79,Nutrients!$DZ$79,(IF($A$8=Nutrients!$B$77,Nutrients!$DZ$77,Nutrients!$DZ$78)))))*E$8))/2000/2.2046</f>
        <v>1171.3956144840422</v>
      </c>
      <c r="F248" s="21">
        <f>(SUMPRODUCT(F$9:F$229,Nutrients!$DZ$8:$DZ$228)+(IF($A$7=Nutrients!$B$8,Nutrients!$DZ$8,Nutrients!$DZ$9)*F$7)+(((IF($A$8=Nutrients!$B$79,Nutrients!$DZ$79,(IF($A$8=Nutrients!$B$77,Nutrients!$DZ$77,Nutrients!$DZ$78)))))*F$8))/2000/2.2046</f>
        <v>1180.5769470002078</v>
      </c>
      <c r="G248" s="21">
        <f>(SUMPRODUCT(G$9:G$229,Nutrients!$DZ$8:$DZ$228)+(IF($A$7=Nutrients!$B$8,Nutrients!$DZ$8,Nutrients!$DZ$9)*G$7)+(((IF($A$8=Nutrients!$B$79,Nutrients!$DZ$79,(IF($A$8=Nutrients!$B$77,Nutrients!$DZ$77,Nutrients!$DZ$78)))))*G$8))/2000/2.2046</f>
        <v>1184.8954698199086</v>
      </c>
      <c r="H248" s="226"/>
      <c r="I248" s="21">
        <f>(SUMPRODUCT(I$9:I$229,Nutrients!$DZ$8:$DZ$228)+(IF($A$7=Nutrients!$B$8,Nutrients!$DZ$8,Nutrients!$DZ$9)*I$7)+(((IF($A$8=Nutrients!$B$79,Nutrients!$DZ$79,(IF($A$8=Nutrients!$B$77,Nutrients!$DZ$77,Nutrients!$DZ$78)))))*I$8))/2000/2.2046</f>
        <v>1077.2086704521087</v>
      </c>
      <c r="J248" s="21">
        <f>(SUMPRODUCT(J$9:J$229,Nutrients!$DZ$8:$DZ$228)+(IF($A$7=Nutrients!$B$8,Nutrients!$DZ$8,Nutrients!$DZ$9)*J$7)+(((IF($A$8=Nutrients!$B$79,Nutrients!$DZ$79,(IF($A$8=Nutrients!$B$77,Nutrients!$DZ$77,Nutrients!$DZ$78)))))*J$8))/2000/2.2046</f>
        <v>1094.973811109528</v>
      </c>
      <c r="K248" s="21">
        <f>(SUMPRODUCT(K$9:K$229,Nutrients!$DZ$8:$DZ$228)+(IF($A$7=Nutrients!$B$8,Nutrients!$DZ$8,Nutrients!$DZ$9)*K$7)+(((IF($A$8=Nutrients!$B$79,Nutrients!$DZ$79,(IF($A$8=Nutrients!$B$77,Nutrients!$DZ$77,Nutrients!$DZ$78)))))*K$8))/2000/2.2046</f>
        <v>1110.6504184245086</v>
      </c>
      <c r="L248" s="21">
        <f>(SUMPRODUCT(L$9:L$229,Nutrients!$DZ$8:$DZ$228)+(IF($A$7=Nutrients!$B$8,Nutrients!$DZ$8,Nutrients!$DZ$9)*L$7)+(((IF($A$8=Nutrients!$B$79,Nutrients!$DZ$79,(IF($A$8=Nutrients!$B$77,Nutrients!$DZ$77,Nutrients!$DZ$78)))))*L$8))/2000/2.2046</f>
        <v>1123.7042371092468</v>
      </c>
      <c r="M248" s="21">
        <f>(SUMPRODUCT(M$9:M$229,Nutrients!$DZ$8:$DZ$228)+(IF($A$7=Nutrients!$B$8,Nutrients!$DZ$8,Nutrients!$DZ$9)*M$7)+(((IF($A$8=Nutrients!$B$79,Nutrients!$DZ$79,(IF($A$8=Nutrients!$B$77,Nutrients!$DZ$77,Nutrients!$DZ$78)))))*M$8))/2000/2.2046</f>
        <v>1132.8521699528465</v>
      </c>
      <c r="N248" s="21">
        <f>(SUMPRODUCT(N$9:N$229,Nutrients!$DZ$8:$DZ$228)+(IF($A$7=Nutrients!$B$8,Nutrients!$DZ$8,Nutrients!$DZ$9)*N$7)+(((IF($A$8=Nutrients!$B$79,Nutrients!$DZ$79,(IF($A$8=Nutrients!$B$77,Nutrients!$DZ$77,Nutrients!$DZ$78)))))*N$8))/2000/2.2046</f>
        <v>1137.1907167990073</v>
      </c>
      <c r="O248" s="234"/>
      <c r="P248" s="21">
        <f>(SUMPRODUCT(P$9:P$229,Nutrients!$DZ$8:$DZ$228)+(IF($A$7=Nutrients!$B$8,Nutrients!$DZ$8,Nutrients!$DZ$9)*P$7)+(((IF($A$8=Nutrients!$B$79,Nutrients!$DZ$79,(IF($A$8=Nutrients!$B$77,Nutrients!$DZ$77,Nutrients!$DZ$78)))))*P$8))/2000/2.2046</f>
        <v>1029.4986329492795</v>
      </c>
      <c r="Q248" s="21">
        <f>(SUMPRODUCT(Q$9:Q$229,Nutrients!$DZ$8:$DZ$228)+(IF($A$7=Nutrients!$B$8,Nutrients!$DZ$8,Nutrients!$DZ$9)*Q$7)+(((IF($A$8=Nutrients!$B$79,Nutrients!$DZ$79,(IF($A$8=Nutrients!$B$77,Nutrients!$DZ$77,Nutrients!$DZ$78)))))*Q$8))/2000/2.2046</f>
        <v>1047.3010563835023</v>
      </c>
      <c r="R248" s="21">
        <f>(SUMPRODUCT(R$9:R$229,Nutrients!$DZ$8:$DZ$228)+(IF($A$7=Nutrients!$B$8,Nutrients!$DZ$8,Nutrients!$DZ$9)*R$7)+(((IF($A$8=Nutrients!$B$79,Nutrients!$DZ$79,(IF($A$8=Nutrients!$B$77,Nutrients!$DZ$77,Nutrients!$DZ$78)))))*R$8))/2000/2.2046</f>
        <v>1063.0339381189124</v>
      </c>
      <c r="S248" s="21">
        <f>(SUMPRODUCT(S$9:S$229,Nutrients!$DZ$8:$DZ$228)+(IF($A$7=Nutrients!$B$8,Nutrients!$DZ$8,Nutrients!$DZ$9)*S$7)+(((IF($A$8=Nutrients!$B$79,Nutrients!$DZ$79,(IF($A$8=Nutrients!$B$77,Nutrients!$DZ$77,Nutrients!$DZ$78)))))*S$8))/2000/2.2046</f>
        <v>1076.0656222518332</v>
      </c>
      <c r="T248" s="21">
        <f>(SUMPRODUCT(T$9:T$229,Nutrients!$DZ$8:$DZ$228)+(IF($A$7=Nutrients!$B$8,Nutrients!$DZ$8,Nutrients!$DZ$9)*T$7)+(((IF($A$8=Nutrients!$B$79,Nutrients!$DZ$79,(IF($A$8=Nutrients!$B$77,Nutrients!$DZ$77,Nutrients!$DZ$78)))))*T$8))/2000/2.2046</f>
        <v>1085.2189654481281</v>
      </c>
      <c r="U248" s="21">
        <f>(SUMPRODUCT(U$9:U$229,Nutrients!$DZ$8:$DZ$228)+(IF($A$7=Nutrients!$B$8,Nutrients!$DZ$8,Nutrients!$DZ$9)*U$7)+(((IF($A$8=Nutrients!$B$79,Nutrients!$DZ$79,(IF($A$8=Nutrients!$B$77,Nutrients!$DZ$77,Nutrients!$DZ$78)))))*U$8))/2000/2.2046</f>
        <v>1089.575338194227</v>
      </c>
      <c r="W248" s="21">
        <f>(SUMPRODUCT(W$9:W$229,Nutrients!$DZ$8:$DZ$228)+(IF($A$7=Nutrients!$B$8,Nutrients!$DZ$8,Nutrients!$DZ$9)*W$7)+(((IF($A$8=Nutrients!$B$79,Nutrients!$DZ$79,(IF($A$8=Nutrients!$B$77,Nutrients!$DZ$77,Nutrients!$DZ$78)))))*W$8))/2000/2.2046</f>
        <v>981.81801008514276</v>
      </c>
      <c r="X248" s="21">
        <f>(SUMPRODUCT(X$9:X$229,Nutrients!$DZ$8:$DZ$228)+(IF($A$7=Nutrients!$B$8,Nutrients!$DZ$8,Nutrients!$DZ$9)*X$7)+(((IF($A$8=Nutrients!$B$79,Nutrients!$DZ$79,(IF($A$8=Nutrients!$B$77,Nutrients!$DZ$77,Nutrients!$DZ$78)))))*X$8))/2000/2.2046</f>
        <v>999.66360609794742</v>
      </c>
      <c r="Y248" s="21">
        <f>(SUMPRODUCT(Y$9:Y$229,Nutrients!$DZ$8:$DZ$228)+(IF($A$7=Nutrients!$B$8,Nutrients!$DZ$8,Nutrients!$DZ$9)*Y$7)+(((IF($A$8=Nutrients!$B$79,Nutrients!$DZ$79,(IF($A$8=Nutrients!$B$77,Nutrients!$DZ$77,Nutrients!$DZ$78)))))*Y$8))/2000/2.2046</f>
        <v>1015.3976921645282</v>
      </c>
      <c r="Z248" s="21">
        <f>(SUMPRODUCT(Z$9:Z$229,Nutrients!$DZ$8:$DZ$228)+(IF($A$7=Nutrients!$B$8,Nutrients!$DZ$8,Nutrients!$DZ$9)*Z$7)+(((IF($A$8=Nutrients!$B$79,Nutrients!$DZ$79,(IF($A$8=Nutrients!$B$77,Nutrients!$DZ$77,Nutrients!$DZ$78)))))*Z$8))/2000/2.2046</f>
        <v>1028.4486126006059</v>
      </c>
      <c r="AA248" s="21">
        <f>(SUMPRODUCT(AA$9:AA$229,Nutrients!$DZ$8:$DZ$228)+(IF($A$7=Nutrients!$B$8,Nutrients!$DZ$8,Nutrients!$DZ$9)*AA$7)+(((IF($A$8=Nutrients!$B$79,Nutrients!$DZ$79,(IF($A$8=Nutrients!$B$77,Nutrients!$DZ$77,Nutrients!$DZ$78)))))*AA$8))/2000/2.2046</f>
        <v>1037.6544224394975</v>
      </c>
      <c r="AB248" s="21">
        <f>(SUMPRODUCT(AB$9:AB$229,Nutrients!$DZ$8:$DZ$228)+(IF($A$7=Nutrients!$B$8,Nutrients!$DZ$8,Nutrients!$DZ$9)*AB$7)+(((IF($A$8=Nutrients!$B$79,Nutrients!$DZ$79,(IF($A$8=Nutrients!$B$77,Nutrients!$DZ$77,Nutrients!$DZ$78)))))*AB$8))/2000/2.2046</f>
        <v>1041.9342240653957</v>
      </c>
      <c r="AD248" s="21">
        <f>(SUMPRODUCT(AD$9:AD$229,Nutrients!$DZ$8:$DZ$228)+(IF($A$7=Nutrients!$B$8,Nutrients!$DZ$8,Nutrients!$DZ$9)*AD$7)+(((IF($A$8=Nutrients!$B$79,Nutrients!$DZ$79,(IF($A$8=Nutrients!$B$77,Nutrients!$DZ$77,Nutrients!$DZ$78)))))*AD$8))/2000/2.2046</f>
        <v>934.20573962479409</v>
      </c>
      <c r="AE248" s="21">
        <f>(SUMPRODUCT(AE$9:AE$229,Nutrients!$DZ$8:$DZ$228)+(IF($A$7=Nutrients!$B$8,Nutrients!$DZ$8,Nutrients!$DZ$9)*AE$7)+(((IF($A$8=Nutrients!$B$79,Nutrients!$DZ$79,(IF($A$8=Nutrients!$B$77,Nutrients!$DZ$77,Nutrients!$DZ$78)))))*AE$8))/2000/2.2046</f>
        <v>952.03542181319847</v>
      </c>
      <c r="AF248" s="21">
        <f>(SUMPRODUCT(AF$9:AF$229,Nutrients!$DZ$8:$DZ$228)+(IF($A$7=Nutrients!$B$8,Nutrients!$DZ$8,Nutrients!$DZ$9)*AF$7)+(((IF($A$8=Nutrients!$B$79,Nutrients!$DZ$79,(IF($A$8=Nutrients!$B$77,Nutrients!$DZ$77,Nutrients!$DZ$78)))))*AF$8))/2000/2.2046</f>
        <v>967.77388681057232</v>
      </c>
      <c r="AG248" s="21">
        <f>(SUMPRODUCT(AG$9:AG$229,Nutrients!$DZ$8:$DZ$228)+(IF($A$7=Nutrients!$B$8,Nutrients!$DZ$8,Nutrients!$DZ$9)*AG$7)+(((IF($A$8=Nutrients!$B$79,Nutrients!$DZ$79,(IF($A$8=Nutrients!$B$77,Nutrients!$DZ$77,Nutrients!$DZ$78)))))*AG$8))/2000/2.2046</f>
        <v>980.91263936093003</v>
      </c>
      <c r="AH248" s="21">
        <f>(SUMPRODUCT(AH$9:AH$229,Nutrients!$DZ$8:$DZ$228)+(IF($A$7=Nutrients!$B$8,Nutrients!$DZ$8,Nutrients!$DZ$9)*AH$7)+(((IF($A$8=Nutrients!$B$79,Nutrients!$DZ$79,(IF($A$8=Nutrients!$B$77,Nutrients!$DZ$77,Nutrients!$DZ$78)))))*AH$8))/2000/2.2046</f>
        <v>989.80835220313941</v>
      </c>
      <c r="AI248" s="21">
        <f>(SUMPRODUCT(AI$9:AI$229,Nutrients!$DZ$8:$DZ$228)+(IF($A$7=Nutrients!$B$8,Nutrients!$DZ$8,Nutrients!$DZ$9)*AI$7)+(((IF($A$8=Nutrients!$B$79,Nutrients!$DZ$79,(IF($A$8=Nutrients!$B$77,Nutrients!$DZ$77,Nutrients!$DZ$78)))))*AI$8))/2000/2.2046</f>
        <v>994.14878647740818</v>
      </c>
      <c r="AK248" s="21">
        <f>(SUMPRODUCT(AK$9:AK$229,Nutrients!$DZ$8:$DZ$228)+(IF($A$7=Nutrients!$B$8,Nutrients!$DZ$8,Nutrients!$DZ$9)*AK$7)+(((IF($A$8=Nutrients!$B$79,Nutrients!$DZ$79,(IF($A$8=Nutrients!$B$77,Nutrients!$DZ$77,Nutrients!$DZ$78)))))*AK$8))/2000/2.2046</f>
        <v>886.8628902252035</v>
      </c>
      <c r="AL248" s="21">
        <f>(SUMPRODUCT(AL$9:AL$229,Nutrients!$DZ$8:$DZ$228)+(IF($A$7=Nutrients!$B$8,Nutrients!$DZ$8,Nutrients!$DZ$9)*AL$7)+(((IF($A$8=Nutrients!$B$79,Nutrients!$DZ$79,(IF($A$8=Nutrients!$B$77,Nutrients!$DZ$77,Nutrients!$DZ$78)))))*AL$8))/2000/2.2046</f>
        <v>904.41962506875143</v>
      </c>
      <c r="AM248" s="21">
        <f>(SUMPRODUCT(AM$9:AM$229,Nutrients!$DZ$8:$DZ$228)+(IF($A$7=Nutrients!$B$8,Nutrients!$DZ$8,Nutrients!$DZ$9)*AM$7)+(((IF($A$8=Nutrients!$B$79,Nutrients!$DZ$79,(IF($A$8=Nutrients!$B$77,Nutrients!$DZ$77,Nutrients!$DZ$78)))))*AM$8))/2000/2.2046</f>
        <v>920.18853065510416</v>
      </c>
      <c r="AN248" s="21">
        <f>(SUMPRODUCT(AN$9:AN$229,Nutrients!$DZ$8:$DZ$228)+(IF($A$7=Nutrients!$B$8,Nutrients!$DZ$8,Nutrients!$DZ$9)*AN$7)+(((IF($A$8=Nutrients!$B$79,Nutrients!$DZ$79,(IF($A$8=Nutrients!$B$77,Nutrients!$DZ$77,Nutrients!$DZ$78)))))*AN$8))/2000/2.2046</f>
        <v>932.92309061532683</v>
      </c>
      <c r="AO248" s="21">
        <f>(SUMPRODUCT(AO$9:AO$229,Nutrients!$DZ$8:$DZ$228)+(IF($A$7=Nutrients!$B$8,Nutrients!$DZ$8,Nutrients!$DZ$9)*AO$7)+(((IF($A$8=Nutrients!$B$79,Nutrients!$DZ$79,(IF($A$8=Nutrients!$B$77,Nutrients!$DZ$77,Nutrients!$DZ$78)))))*AO$8))/2000/2.2046</f>
        <v>942.10607402155676</v>
      </c>
      <c r="AP248" s="21">
        <f>(SUMPRODUCT(AP$9:AP$229,Nutrients!$DZ$8:$DZ$228)+(IF($A$7=Nutrients!$B$8,Nutrients!$DZ$8,Nutrients!$DZ$9)*AP$7)+(((IF($A$8=Nutrients!$B$79,Nutrients!$DZ$79,(IF($A$8=Nutrients!$B$77,Nutrients!$DZ$77,Nutrients!$DZ$78)))))*AP$8))/2000/2.2046</f>
        <v>946.46320298169883</v>
      </c>
      <c r="AR248" s="21">
        <f>(SUMPRODUCT(AR$9:AR$229,Nutrients!$DZ$8:$DZ$228)+(IF($A$7=Nutrients!$B$8,Nutrients!$DZ$8,Nutrients!$DZ$9)*AR$7)+(((IF($A$8=Nutrients!$B$79,Nutrients!$DZ$79,(IF($A$8=Nutrients!$B$77,Nutrients!$DZ$77,Nutrients!$DZ$78)))))*AR$8))/2000/2.2046</f>
        <v>839.11233825571094</v>
      </c>
      <c r="AS248" s="21">
        <f>(SUMPRODUCT(AS$9:AS$229,Nutrients!$DZ$8:$DZ$228)+(IF($A$7=Nutrients!$B$8,Nutrients!$DZ$8,Nutrients!$DZ$9)*AS$7)+(((IF($A$8=Nutrients!$B$79,Nutrients!$DZ$79,(IF($A$8=Nutrients!$B$77,Nutrients!$DZ$77,Nutrients!$DZ$78)))))*AS$8))/2000/2.2046</f>
        <v>856.778904202891</v>
      </c>
      <c r="AT248" s="21">
        <f>(SUMPRODUCT(AT$9:AT$229,Nutrients!$DZ$8:$DZ$228)+(IF($A$7=Nutrients!$B$8,Nutrients!$DZ$8,Nutrients!$DZ$9)*AT$7)+(((IF($A$8=Nutrients!$B$79,Nutrients!$DZ$79,(IF($A$8=Nutrients!$B$77,Nutrients!$DZ$77,Nutrients!$DZ$78)))))*AT$8))/2000/2.2046</f>
        <v>872.28276370687195</v>
      </c>
      <c r="AU248" s="21">
        <f>(SUMPRODUCT(AU$9:AU$229,Nutrients!$DZ$8:$DZ$228)+(IF($A$7=Nutrients!$B$8,Nutrients!$DZ$8,Nutrients!$DZ$9)*AU$7)+(((IF($A$8=Nutrients!$B$79,Nutrients!$DZ$79,(IF($A$8=Nutrients!$B$77,Nutrients!$DZ$77,Nutrients!$DZ$78)))))*AU$8))/2000/2.2046</f>
        <v>885.19542912537258</v>
      </c>
      <c r="AV248" s="21">
        <f>(SUMPRODUCT(AV$9:AV$229,Nutrients!$DZ$8:$DZ$228)+(IF($A$7=Nutrients!$B$8,Nutrients!$DZ$8,Nutrients!$DZ$9)*AV$7)+(((IF($A$8=Nutrients!$B$79,Nutrients!$DZ$79,(IF($A$8=Nutrients!$B$77,Nutrients!$DZ$77,Nutrients!$DZ$78)))))*AV$8))/2000/2.2046</f>
        <v>894.42538107379312</v>
      </c>
      <c r="AW248" s="21">
        <f>(SUMPRODUCT(AW$9:AW$229,Nutrients!$DZ$8:$DZ$228)+(IF($A$7=Nutrients!$B$8,Nutrients!$DZ$8,Nutrients!$DZ$9)*AW$7)+(((IF($A$8=Nutrients!$B$79,Nutrients!$DZ$79,(IF($A$8=Nutrients!$B$77,Nutrients!$DZ$77,Nutrients!$DZ$78)))))*AW$8))/2000/2.2046</f>
        <v>898.79829324128082</v>
      </c>
    </row>
    <row r="249" spans="1:56" x14ac:dyDescent="0.25">
      <c r="A249" s="5" t="s">
        <v>61</v>
      </c>
      <c r="B249" s="21">
        <f>(SUMPRODUCT(B$9:B$229,Nutrients!$D$8:$D$228)+(IF($A$7=Nutrients!$B$8,Nutrients!$D$8,Nutrients!$D$9)*B$7)+(((IF($A$8=Nutrients!$B$79,Nutrients!$D$79,(IF($A$8=Nutrients!$B$77,Nutrients!$D$77,Nutrients!$D$78)))))*B$8))/2000/2.2046</f>
        <v>1555.1808706013358</v>
      </c>
      <c r="C249" s="21">
        <f>(SUMPRODUCT(C$9:C$229,Nutrients!$D$8:$D$228)+(IF($A$7=Nutrients!$B$8,Nutrients!$D$8,Nutrients!$D$9)*C$7)+(((IF($A$8=Nutrients!$B$79,Nutrients!$D$79,(IF($A$8=Nutrients!$B$77,Nutrients!$D$77,Nutrients!$D$78)))))*C$8))/2000/2.2046</f>
        <v>1553.9515936192374</v>
      </c>
      <c r="D249" s="21">
        <f>(SUMPRODUCT(D$9:D$229,Nutrients!$D$8:$D$228)+(IF($A$7=Nutrients!$B$8,Nutrients!$D$8,Nutrients!$D$9)*D$7)+(((IF($A$8=Nutrients!$B$79,Nutrients!$D$79,(IF($A$8=Nutrients!$B$77,Nutrients!$D$77,Nutrients!$D$78)))))*D$8))/2000/2.2046</f>
        <v>1553.0837722463236</v>
      </c>
      <c r="E249" s="21">
        <f>(SUMPRODUCT(E$9:E$229,Nutrients!$D$8:$D$228)+(IF($A$7=Nutrients!$B$8,Nutrients!$D$8,Nutrients!$D$9)*E$7)+(((IF($A$8=Nutrients!$B$79,Nutrients!$D$79,(IF($A$8=Nutrients!$B$77,Nutrients!$D$77,Nutrients!$D$78)))))*E$8))/2000/2.2046</f>
        <v>1552.6251876342408</v>
      </c>
      <c r="F249" s="21">
        <f>(SUMPRODUCT(F$9:F$229,Nutrients!$D$8:$D$228)+(IF($A$7=Nutrients!$B$8,Nutrients!$D$8,Nutrients!$D$9)*F$7)+(((IF($A$8=Nutrients!$B$79,Nutrients!$D$79,(IF($A$8=Nutrients!$B$77,Nutrients!$D$77,Nutrients!$D$78)))))*F$8))/2000/2.2046</f>
        <v>1552.7788119489294</v>
      </c>
      <c r="G249" s="21">
        <f>(SUMPRODUCT(G$9:G$229,Nutrients!$D$8:$D$228)+(IF($A$7=Nutrients!$B$8,Nutrients!$D$8,Nutrients!$D$9)*G$7)+(((IF($A$8=Nutrients!$B$79,Nutrients!$D$79,(IF($A$8=Nutrients!$B$77,Nutrients!$D$77,Nutrients!$D$78)))))*G$8))/2000/2.2046</f>
        <v>1552.432918309064</v>
      </c>
      <c r="H249" s="226"/>
      <c r="I249" s="21">
        <f>(SUMPRODUCT(I$9:I$229,Nutrients!$D$8:$D$228)+(IF($A$7=Nutrients!$B$8,Nutrients!$D$8,Nutrients!$D$9)*I$7)+(((IF($A$8=Nutrients!$B$79,Nutrients!$D$79,(IF($A$8=Nutrients!$B$77,Nutrients!$D$77,Nutrients!$D$78)))))*I$8))/2000/2.2046</f>
        <v>1571.9826958957058</v>
      </c>
      <c r="J249" s="21">
        <f>(SUMPRODUCT(J$9:J$229,Nutrients!$D$8:$D$228)+(IF($A$7=Nutrients!$B$8,Nutrients!$D$8,Nutrients!$D$9)*J$7)+(((IF($A$8=Nutrients!$B$79,Nutrients!$D$79,(IF($A$8=Nutrients!$B$77,Nutrients!$D$77,Nutrients!$D$78)))))*J$8))/2000/2.2046</f>
        <v>1570.8284111716903</v>
      </c>
      <c r="K249" s="21">
        <f>(SUMPRODUCT(K$9:K$229,Nutrients!$D$8:$D$228)+(IF($A$7=Nutrients!$B$8,Nutrients!$D$8,Nutrients!$D$9)*K$7)+(((IF($A$8=Nutrients!$B$79,Nutrients!$D$79,(IF($A$8=Nutrients!$B$77,Nutrients!$D$77,Nutrients!$D$78)))))*K$8))/2000/2.2046</f>
        <v>1570.2687972059139</v>
      </c>
      <c r="L249" s="21">
        <f>(SUMPRODUCT(L$9:L$229,Nutrients!$D$8:$D$228)+(IF($A$7=Nutrients!$B$8,Nutrients!$D$8,Nutrients!$D$9)*L$7)+(((IF($A$8=Nutrients!$B$79,Nutrients!$D$79,(IF($A$8=Nutrients!$B$77,Nutrients!$D$77,Nutrients!$D$78)))))*L$8))/2000/2.2046</f>
        <v>1569.6810361860703</v>
      </c>
      <c r="M249" s="21">
        <f>(SUMPRODUCT(M$9:M$229,Nutrients!$D$8:$D$228)+(IF($A$7=Nutrients!$B$8,Nutrients!$D$8,Nutrients!$D$9)*M$7)+(((IF($A$8=Nutrients!$B$79,Nutrients!$D$79,(IF($A$8=Nutrients!$B$77,Nutrients!$D$77,Nutrients!$D$78)))))*M$8))/2000/2.2046</f>
        <v>1569.7840891897256</v>
      </c>
      <c r="N249" s="21">
        <f>(SUMPRODUCT(N$9:N$229,Nutrients!$D$8:$D$228)+(IF($A$7=Nutrients!$B$8,Nutrients!$D$8,Nutrients!$D$9)*N$7)+(((IF($A$8=Nutrients!$B$79,Nutrients!$D$79,(IF($A$8=Nutrients!$B$77,Nutrients!$D$77,Nutrients!$D$78)))))*N$8))/2000/2.2046</f>
        <v>1569.4694411028086</v>
      </c>
      <c r="O249" s="234"/>
      <c r="P249" s="21">
        <f>(SUMPRODUCT(P$9:P$229,Nutrients!$D$8:$D$228)+(IF($A$7=Nutrients!$B$8,Nutrients!$D$8,Nutrients!$D$9)*P$7)+(((IF($A$8=Nutrients!$B$79,Nutrients!$D$79,(IF($A$8=Nutrients!$B$77,Nutrients!$D$77,Nutrients!$D$78)))))*P$8))/2000/2.2046</f>
        <v>1588.9966750937635</v>
      </c>
      <c r="Q249" s="21">
        <f>(SUMPRODUCT(Q$9:Q$229,Nutrients!$D$8:$D$228)+(IF($A$7=Nutrients!$B$8,Nutrients!$D$8,Nutrients!$D$9)*Q$7)+(((IF($A$8=Nutrients!$B$79,Nutrients!$D$79,(IF($A$8=Nutrients!$B$77,Nutrients!$D$77,Nutrients!$D$78)))))*Q$8))/2000/2.2046</f>
        <v>1587.884127208165</v>
      </c>
      <c r="R249" s="21">
        <f>(SUMPRODUCT(R$9:R$229,Nutrients!$D$8:$D$228)+(IF($A$7=Nutrients!$B$8,Nutrients!$D$8,Nutrients!$D$9)*R$7)+(((IF($A$8=Nutrients!$B$79,Nutrients!$D$79,(IF($A$8=Nutrients!$B$77,Nutrients!$D$77,Nutrients!$D$78)))))*R$8))/2000/2.2046</f>
        <v>1587.3875105991794</v>
      </c>
      <c r="S249" s="21">
        <f>(SUMPRODUCT(S$9:S$229,Nutrients!$D$8:$D$228)+(IF($A$7=Nutrients!$B$8,Nutrients!$D$8,Nutrients!$D$9)*S$7)+(((IF($A$8=Nutrients!$B$79,Nutrients!$D$79,(IF($A$8=Nutrients!$B$77,Nutrients!$D$77,Nutrients!$D$78)))))*S$8))/2000/2.2046</f>
        <v>1586.7749706789477</v>
      </c>
      <c r="T249" s="21">
        <f>(SUMPRODUCT(T$9:T$229,Nutrients!$D$8:$D$228)+(IF($A$7=Nutrients!$B$8,Nutrients!$D$8,Nutrients!$D$9)*T$7)+(((IF($A$8=Nutrients!$B$79,Nutrients!$D$79,(IF($A$8=Nutrients!$B$77,Nutrients!$D$77,Nutrients!$D$78)))))*T$8))/2000/2.2046</f>
        <v>1586.8955571741392</v>
      </c>
      <c r="U249" s="21">
        <f>(SUMPRODUCT(U$9:U$229,Nutrients!$D$8:$D$228)+(IF($A$7=Nutrients!$B$8,Nutrients!$D$8,Nutrients!$D$9)*U$7)+(((IF($A$8=Nutrients!$B$79,Nutrients!$D$79,(IF($A$8=Nutrients!$B$77,Nutrients!$D$77,Nutrients!$D$78)))))*U$8))/2000/2.2046</f>
        <v>1586.609968293269</v>
      </c>
      <c r="W249" s="21">
        <f>(SUMPRODUCT(W$9:W$229,Nutrients!$D$8:$D$228)+(IF($A$7=Nutrients!$B$8,Nutrients!$D$8,Nutrients!$D$9)*W$7)+(((IF($A$8=Nutrients!$B$79,Nutrients!$D$79,(IF($A$8=Nutrients!$B$77,Nutrients!$D$77,Nutrients!$D$78)))))*W$8))/2000/2.2046</f>
        <v>1606.0435830092476</v>
      </c>
      <c r="X249" s="21">
        <f>(SUMPRODUCT(X$9:X$229,Nutrients!$D$8:$D$228)+(IF($A$7=Nutrients!$B$8,Nutrients!$D$8,Nutrients!$D$9)*X$7)+(((IF($A$8=Nutrients!$B$79,Nutrients!$D$79,(IF($A$8=Nutrients!$B$77,Nutrients!$D$77,Nutrients!$D$78)))))*X$8))/2000/2.2046</f>
        <v>1604.979365400811</v>
      </c>
      <c r="Y249" s="21">
        <f>(SUMPRODUCT(Y$9:Y$229,Nutrients!$D$8:$D$228)+(IF($A$7=Nutrients!$B$8,Nutrients!$D$8,Nutrients!$D$9)*Y$7)+(((IF($A$8=Nutrients!$B$79,Nutrients!$D$79,(IF($A$8=Nutrients!$B$77,Nutrients!$D$77,Nutrients!$D$78)))))*Y$8))/2000/2.2046</f>
        <v>1604.4870960900796</v>
      </c>
      <c r="Z249" s="21">
        <f>(SUMPRODUCT(Z$9:Z$229,Nutrients!$D$8:$D$228)+(IF($A$7=Nutrients!$B$8,Nutrients!$D$8,Nutrients!$D$9)*Z$7)+(((IF($A$8=Nutrients!$B$79,Nutrients!$D$79,(IF($A$8=Nutrients!$B$77,Nutrients!$D$77,Nutrients!$D$78)))))*Z$8))/2000/2.2046</f>
        <v>1603.8821849729513</v>
      </c>
      <c r="AA249" s="21">
        <f>(SUMPRODUCT(AA$9:AA$229,Nutrients!$D$8:$D$228)+(IF($A$7=Nutrients!$B$8,Nutrients!$D$8,Nutrients!$D$9)*AA$7)+(((IF($A$8=Nutrients!$B$79,Nutrients!$D$79,(IF($A$8=Nutrients!$B$77,Nutrients!$D$77,Nutrients!$D$78)))))*AA$8))/2000/2.2046</f>
        <v>1604.1018999949974</v>
      </c>
      <c r="AB249" s="21">
        <f>(SUMPRODUCT(AB$9:AB$229,Nutrients!$D$8:$D$228)+(IF($A$7=Nutrients!$B$8,Nutrients!$D$8,Nutrients!$D$9)*AB$7)+(((IF($A$8=Nutrients!$B$79,Nutrients!$D$79,(IF($A$8=Nutrients!$B$77,Nutrients!$D$77,Nutrients!$D$78)))))*AB$8))/2000/2.2046</f>
        <v>1603.6907470974311</v>
      </c>
      <c r="AD249" s="21">
        <f>(SUMPRODUCT(AD$9:AD$229,Nutrients!$D$8:$D$228)+(IF($A$7=Nutrients!$B$8,Nutrients!$D$8,Nutrients!$D$9)*AD$7)+(((IF($A$8=Nutrients!$B$79,Nutrients!$D$79,(IF($A$8=Nutrients!$B$77,Nutrients!$D$77,Nutrients!$D$78)))))*AD$8))/2000/2.2046</f>
        <v>1623.1685087299797</v>
      </c>
      <c r="AE249" s="21">
        <f>(SUMPRODUCT(AE$9:AE$229,Nutrients!$D$8:$D$228)+(IF($A$7=Nutrients!$B$8,Nutrients!$D$8,Nutrients!$D$9)*AE$7)+(((IF($A$8=Nutrients!$B$79,Nutrients!$D$79,(IF($A$8=Nutrients!$B$77,Nutrients!$D$77,Nutrients!$D$78)))))*AE$8))/2000/2.2046</f>
        <v>1622.0864761202338</v>
      </c>
      <c r="AF249" s="21">
        <f>(SUMPRODUCT(AF$9:AF$229,Nutrients!$D$8:$D$228)+(IF($A$7=Nutrients!$B$8,Nutrients!$D$8,Nutrients!$D$9)*AF$7)+(((IF($A$8=Nutrients!$B$79,Nutrients!$D$79,(IF($A$8=Nutrients!$B$77,Nutrients!$D$77,Nutrients!$D$78)))))*AF$8))/2000/2.2046</f>
        <v>1621.5665678859446</v>
      </c>
      <c r="AG249" s="21">
        <f>(SUMPRODUCT(AG$9:AG$229,Nutrients!$D$8:$D$228)+(IF($A$7=Nutrients!$B$8,Nutrients!$D$8,Nutrients!$D$9)*AG$7)+(((IF($A$8=Nutrients!$B$79,Nutrients!$D$79,(IF($A$8=Nutrients!$B$77,Nutrients!$D$77,Nutrients!$D$78)))))*AG$8))/2000/2.2046</f>
        <v>1621.1190111628171</v>
      </c>
      <c r="AH249" s="21">
        <f>(SUMPRODUCT(AH$9:AH$229,Nutrients!$D$8:$D$228)+(IF($A$7=Nutrients!$B$8,Nutrients!$D$8,Nutrients!$D$9)*AH$7)+(((IF($A$8=Nutrients!$B$79,Nutrients!$D$79,(IF($A$8=Nutrients!$B$77,Nutrients!$D$77,Nutrients!$D$78)))))*AH$8))/2000/2.2046</f>
        <v>1620.8717647241701</v>
      </c>
      <c r="AI249" s="21">
        <f>(SUMPRODUCT(AI$9:AI$229,Nutrients!$D$8:$D$228)+(IF($A$7=Nutrients!$B$8,Nutrients!$D$8,Nutrients!$D$9)*AI$7)+(((IF($A$8=Nutrients!$B$79,Nutrients!$D$79,(IF($A$8=Nutrients!$B$77,Nutrients!$D$77,Nutrients!$D$78)))))*AI$8))/2000/2.2046</f>
        <v>1620.4947124219402</v>
      </c>
      <c r="AK249" s="21">
        <f>(SUMPRODUCT(AK$9:AK$229,Nutrients!$D$8:$D$228)+(IF($A$7=Nutrients!$B$8,Nutrients!$D$8,Nutrients!$D$9)*AK$7)+(((IF($A$8=Nutrients!$B$79,Nutrients!$D$79,(IF($A$8=Nutrients!$B$77,Nutrients!$D$77,Nutrients!$D$78)))))*AK$8))/2000/2.2046</f>
        <v>1640.5957922104913</v>
      </c>
      <c r="AL249" s="21">
        <f>(SUMPRODUCT(AL$9:AL$229,Nutrients!$D$8:$D$228)+(IF($A$7=Nutrients!$B$8,Nutrients!$D$8,Nutrients!$D$9)*AL$7)+(((IF($A$8=Nutrients!$B$79,Nutrients!$D$79,(IF($A$8=Nutrients!$B$77,Nutrients!$D$77,Nutrients!$D$78)))))*AL$8))/2000/2.2046</f>
        <v>1639.2082040545863</v>
      </c>
      <c r="AM249" s="21">
        <f>(SUMPRODUCT(AM$9:AM$229,Nutrients!$D$8:$D$228)+(IF($A$7=Nutrients!$B$8,Nutrients!$D$8,Nutrients!$D$9)*AM$7)+(((IF($A$8=Nutrients!$B$79,Nutrients!$D$79,(IF($A$8=Nutrients!$B$77,Nutrients!$D$77,Nutrients!$D$78)))))*AM$8))/2000/2.2046</f>
        <v>1638.7488613033747</v>
      </c>
      <c r="AN249" s="21">
        <f>(SUMPRODUCT(AN$9:AN$229,Nutrients!$D$8:$D$228)+(IF($A$7=Nutrients!$B$8,Nutrients!$D$8,Nutrients!$D$9)*AN$7)+(((IF($A$8=Nutrients!$B$79,Nutrients!$D$79,(IF($A$8=Nutrients!$B$77,Nutrients!$D$77,Nutrients!$D$78)))))*AN$8))/2000/2.2046</f>
        <v>1637.732864389018</v>
      </c>
      <c r="AO249" s="21">
        <f>(SUMPRODUCT(AO$9:AO$229,Nutrients!$D$8:$D$228)+(IF($A$7=Nutrients!$B$8,Nutrients!$D$8,Nutrients!$D$9)*AO$7)+(((IF($A$8=Nutrients!$B$79,Nutrients!$D$79,(IF($A$8=Nutrients!$B$77,Nutrients!$D$77,Nutrients!$D$78)))))*AO$8))/2000/2.2046</f>
        <v>1637.779060233664</v>
      </c>
      <c r="AP249" s="21">
        <f>(SUMPRODUCT(AP$9:AP$229,Nutrients!$D$8:$D$228)+(IF($A$7=Nutrients!$B$8,Nutrients!$D$8,Nutrients!$D$9)*AP$7)+(((IF($A$8=Nutrients!$B$79,Nutrients!$D$79,(IF($A$8=Nutrients!$B$77,Nutrients!$D$77,Nutrients!$D$78)))))*AP$8))/2000/2.2046</f>
        <v>1637.4208500178991</v>
      </c>
      <c r="AR249" s="21">
        <f>(SUMPRODUCT(AR$9:AR$229,Nutrients!$D$8:$D$228)+(IF($A$7=Nutrients!$B$8,Nutrients!$D$8,Nutrients!$D$9)*AR$7)+(((IF($A$8=Nutrients!$B$79,Nutrients!$D$79,(IF($A$8=Nutrients!$B$77,Nutrients!$D$77,Nutrients!$D$78)))))*AR$8))/2000/2.2046</f>
        <v>1657.5561653554539</v>
      </c>
      <c r="AS249" s="21">
        <f>(SUMPRODUCT(AS$9:AS$229,Nutrients!$D$8:$D$228)+(IF($A$7=Nutrients!$B$8,Nutrients!$D$8,Nutrients!$D$9)*AS$7)+(((IF($A$8=Nutrients!$B$79,Nutrients!$D$79,(IF($A$8=Nutrients!$B$77,Nutrients!$D$77,Nutrients!$D$78)))))*AS$8))/2000/2.2046</f>
        <v>1656.2915297967309</v>
      </c>
      <c r="AT249" s="21">
        <f>(SUMPRODUCT(AT$9:AT$229,Nutrients!$D$8:$D$228)+(IF($A$7=Nutrients!$B$8,Nutrients!$D$8,Nutrients!$D$9)*AT$7)+(((IF($A$8=Nutrients!$B$79,Nutrients!$D$79,(IF($A$8=Nutrients!$B$77,Nutrients!$D$77,Nutrients!$D$78)))))*AT$8))/2000/2.2046</f>
        <v>1655.5257427728238</v>
      </c>
      <c r="AU249" s="21">
        <f>(SUMPRODUCT(AU$9:AU$229,Nutrients!$D$8:$D$228)+(IF($A$7=Nutrients!$B$8,Nutrients!$D$8,Nutrients!$D$9)*AU$7)+(((IF($A$8=Nutrients!$B$79,Nutrients!$D$79,(IF($A$8=Nutrients!$B$77,Nutrients!$D$77,Nutrients!$D$78)))))*AU$8))/2000/2.2046</f>
        <v>1654.6097471928861</v>
      </c>
      <c r="AV249" s="21">
        <f>(SUMPRODUCT(AV$9:AV$229,Nutrients!$D$8:$D$228)+(IF($A$7=Nutrients!$B$8,Nutrients!$D$8,Nutrients!$D$9)*AV$7)+(((IF($A$8=Nutrients!$B$79,Nutrients!$D$79,(IF($A$8=Nutrients!$B$77,Nutrients!$D$77,Nutrients!$D$78)))))*AV$8))/2000/2.2046</f>
        <v>1654.7182945912173</v>
      </c>
      <c r="AW249" s="21">
        <f>(SUMPRODUCT(AW$9:AW$229,Nutrients!$D$8:$D$228)+(IF($A$7=Nutrients!$B$8,Nutrients!$D$8,Nutrients!$D$9)*AW$7)+(((IF($A$8=Nutrients!$B$79,Nutrients!$D$79,(IF($A$8=Nutrients!$B$77,Nutrients!$D$77,Nutrients!$D$78)))))*AW$8))/2000/2.2046</f>
        <v>1654.3775147773686</v>
      </c>
    </row>
    <row r="250" spans="1:56" x14ac:dyDescent="0.25">
      <c r="A250" s="5" t="s">
        <v>30</v>
      </c>
      <c r="B250" s="21">
        <f>(SUMPRODUCT(B$9:B$229,Nutrients!$F$8:$F$228)+(IF($A$7=Nutrients!$B$8,Nutrients!$F$8,Nutrients!$F$9)*B$7)+(((IF($A$8=Nutrients!$B$79,Nutrients!$F$79,(IF($A$8=Nutrients!$B$77,Nutrients!$F$77,Nutrients!$F$78)))))*B$8))/2000/2.2046</f>
        <v>1147.6611237487589</v>
      </c>
      <c r="C250" s="21">
        <f>(SUMPRODUCT(C$9:C$229,Nutrients!$F$8:$F$228)+(IF($A$7=Nutrients!$B$8,Nutrients!$F$8,Nutrients!$F$9)*C$7)+(((IF($A$8=Nutrients!$B$79,Nutrients!$F$79,(IF($A$8=Nutrients!$B$77,Nutrients!$F$77,Nutrients!$F$78)))))*C$8))/2000/2.2046</f>
        <v>1156.7030647238309</v>
      </c>
      <c r="D250" s="21">
        <f>(SUMPRODUCT(D$9:D$229,Nutrients!$F$8:$F$228)+(IF($A$7=Nutrients!$B$8,Nutrients!$F$8,Nutrients!$F$9)*D$7)+(((IF($A$8=Nutrients!$B$79,Nutrients!$F$79,(IF($A$8=Nutrients!$B$77,Nutrients!$F$77,Nutrients!$F$78)))))*D$8))/2000/2.2046</f>
        <v>1164.6580809828592</v>
      </c>
      <c r="E250" s="21">
        <f>(SUMPRODUCT(E$9:E$229,Nutrients!$F$8:$F$228)+(IF($A$7=Nutrients!$B$8,Nutrients!$F$8,Nutrients!$F$9)*E$7)+(((IF($A$8=Nutrients!$B$79,Nutrients!$F$79,(IF($A$8=Nutrients!$B$77,Nutrients!$F$77,Nutrients!$F$78)))))*E$8))/2000/2.2046</f>
        <v>1171.5486817586343</v>
      </c>
      <c r="F250" s="21">
        <f>(SUMPRODUCT(F$9:F$229,Nutrients!$F$8:$F$228)+(IF($A$7=Nutrients!$B$8,Nutrients!$F$8,Nutrients!$F$9)*F$7)+(((IF($A$8=Nutrients!$B$79,Nutrients!$F$79,(IF($A$8=Nutrients!$B$77,Nutrients!$F$77,Nutrients!$F$78)))))*F$8))/2000/2.2046</f>
        <v>1176.5212854349088</v>
      </c>
      <c r="G250" s="21">
        <f>(SUMPRODUCT(G$9:G$229,Nutrients!$F$8:$F$228)+(IF($A$7=Nutrients!$B$8,Nutrients!$F$8,Nutrients!$F$9)*G$7)+(((IF($A$8=Nutrients!$B$79,Nutrients!$F$79,(IF($A$8=Nutrients!$B$77,Nutrients!$F$77,Nutrients!$F$78)))))*G$8))/2000/2.2046</f>
        <v>1178.7128237398681</v>
      </c>
      <c r="H250" s="226"/>
      <c r="I250" s="21">
        <f>(SUMPRODUCT(I$9:I$229,Nutrients!$F$8:$F$228)+(IF($A$7=Nutrients!$B$8,Nutrients!$F$8,Nutrients!$F$9)*I$7)+(((IF($A$8=Nutrients!$B$79,Nutrients!$F$79,(IF($A$8=Nutrients!$B$77,Nutrients!$F$77,Nutrients!$F$78)))))*I$8))/2000/2.2046</f>
        <v>1147.4028477251309</v>
      </c>
      <c r="J250" s="21">
        <f>(SUMPRODUCT(J$9:J$229,Nutrients!$F$8:$F$228)+(IF($A$7=Nutrients!$B$8,Nutrients!$F$8,Nutrients!$F$9)*J$7)+(((IF($A$8=Nutrients!$B$79,Nutrients!$F$79,(IF($A$8=Nutrients!$B$77,Nutrients!$F$77,Nutrients!$F$78)))))*J$8))/2000/2.2046</f>
        <v>1156.5177970803795</v>
      </c>
      <c r="K250" s="21">
        <f>(SUMPRODUCT(K$9:K$229,Nutrients!$F$8:$F$228)+(IF($A$7=Nutrients!$B$8,Nutrients!$F$8,Nutrients!$F$9)*K$7)+(((IF($A$8=Nutrients!$B$79,Nutrients!$F$79,(IF($A$8=Nutrients!$B$77,Nutrients!$F$77,Nutrients!$F$78)))))*K$8))/2000/2.2046</f>
        <v>1164.7237840188366</v>
      </c>
      <c r="L250" s="21">
        <f>(SUMPRODUCT(L$9:L$229,Nutrients!$F$8:$F$228)+(IF($A$7=Nutrients!$B$8,Nutrients!$F$8,Nutrients!$F$9)*L$7)+(((IF($A$8=Nutrients!$B$79,Nutrients!$F$79,(IF($A$8=Nutrients!$B$77,Nutrients!$F$77,Nutrients!$F$78)))))*L$8))/2000/2.2046</f>
        <v>1171.4812215287386</v>
      </c>
      <c r="M250" s="21">
        <f>(SUMPRODUCT(M$9:M$229,Nutrients!$F$8:$F$228)+(IF($A$7=Nutrients!$B$8,Nutrients!$F$8,Nutrients!$F$9)*M$7)+(((IF($A$8=Nutrients!$B$79,Nutrients!$F$79,(IF($A$8=Nutrients!$B$77,Nutrients!$F$77,Nutrients!$F$78)))))*M$8))/2000/2.2046</f>
        <v>1176.4259789598518</v>
      </c>
      <c r="N250" s="21">
        <f>(SUMPRODUCT(N$9:N$229,Nutrients!$F$8:$F$228)+(IF($A$7=Nutrients!$B$8,Nutrients!$F$8,Nutrients!$F$9)*N$7)+(((IF($A$8=Nutrients!$B$79,Nutrients!$F$79,(IF($A$8=Nutrients!$B$77,Nutrients!$F$77,Nutrients!$F$78)))))*N$8))/2000/2.2046</f>
        <v>1178.6337228205734</v>
      </c>
      <c r="O250" s="234"/>
      <c r="P250" s="21">
        <f>(SUMPRODUCT(P$9:P$229,Nutrients!$F$8:$F$228)+(IF($A$7=Nutrients!$B$8,Nutrients!$F$8,Nutrients!$F$9)*P$7)+(((IF($A$8=Nutrients!$B$79,Nutrients!$F$79,(IF($A$8=Nutrients!$B$77,Nutrients!$F$77,Nutrients!$F$78)))))*P$8))/2000/2.2046</f>
        <v>1147.327436307171</v>
      </c>
      <c r="Q250" s="21">
        <f>(SUMPRODUCT(Q$9:Q$229,Nutrients!$F$8:$F$228)+(IF($A$7=Nutrients!$B$8,Nutrients!$F$8,Nutrients!$F$9)*Q$7)+(((IF($A$8=Nutrients!$B$79,Nutrients!$F$79,(IF($A$8=Nutrients!$B$77,Nutrients!$F$77,Nutrients!$F$78)))))*Q$8))/2000/2.2046</f>
        <v>1156.4807256157981</v>
      </c>
      <c r="R250" s="21">
        <f>(SUMPRODUCT(R$9:R$229,Nutrients!$F$8:$F$228)+(IF($A$7=Nutrients!$B$8,Nutrients!$F$8,Nutrients!$F$9)*R$7)+(((IF($A$8=Nutrients!$B$79,Nutrients!$F$79,(IF($A$8=Nutrients!$B$77,Nutrients!$F$77,Nutrients!$F$78)))))*R$8))/2000/2.2046</f>
        <v>1164.7445826712537</v>
      </c>
      <c r="S250" s="21">
        <f>(SUMPRODUCT(S$9:S$229,Nutrients!$F$8:$F$228)+(IF($A$7=Nutrients!$B$8,Nutrients!$F$8,Nutrients!$F$9)*S$7)+(((IF($A$8=Nutrients!$B$79,Nutrients!$F$79,(IF($A$8=Nutrients!$B$77,Nutrients!$F$77,Nutrients!$F$78)))))*S$8))/2000/2.2046</f>
        <v>1171.4792579902066</v>
      </c>
      <c r="T250" s="21">
        <f>(SUMPRODUCT(T$9:T$229,Nutrients!$F$8:$F$228)+(IF($A$7=Nutrients!$B$8,Nutrients!$F$8,Nutrients!$F$9)*T$7)+(((IF($A$8=Nutrients!$B$79,Nutrients!$F$79,(IF($A$8=Nutrients!$B$77,Nutrients!$F$77,Nutrients!$F$78)))))*T$8))/2000/2.2046</f>
        <v>1176.4304228050798</v>
      </c>
      <c r="U250" s="21">
        <f>(SUMPRODUCT(U$9:U$229,Nutrients!$F$8:$F$228)+(IF($A$7=Nutrients!$B$8,Nutrients!$F$8,Nutrients!$F$9)*U$7)+(((IF($A$8=Nutrients!$B$79,Nutrients!$F$79,(IF($A$8=Nutrients!$B$77,Nutrients!$F$77,Nutrients!$F$78)))))*U$8))/2000/2.2046</f>
        <v>1178.6571672107489</v>
      </c>
      <c r="W250" s="21">
        <f>(SUMPRODUCT(W$9:W$229,Nutrients!$F$8:$F$228)+(IF($A$7=Nutrients!$B$8,Nutrients!$F$8,Nutrients!$F$9)*W$7)+(((IF($A$8=Nutrients!$B$79,Nutrients!$F$79,(IF($A$8=Nutrients!$B$77,Nutrients!$F$77,Nutrients!$F$78)))))*W$8))/2000/2.2046</f>
        <v>1147.2822735984762</v>
      </c>
      <c r="X250" s="21">
        <f>(SUMPRODUCT(X$9:X$229,Nutrients!$F$8:$F$228)+(IF($A$7=Nutrients!$B$8,Nutrients!$F$8,Nutrients!$F$9)*X$7)+(((IF($A$8=Nutrients!$B$79,Nutrients!$F$79,(IF($A$8=Nutrients!$B$77,Nutrients!$F$77,Nutrients!$F$78)))))*X$8))/2000/2.2046</f>
        <v>1156.4799596712921</v>
      </c>
      <c r="Y250" s="21">
        <f>(SUMPRODUCT(Y$9:Y$229,Nutrients!$F$8:$F$228)+(IF($A$7=Nutrients!$B$8,Nutrients!$F$8,Nutrients!$F$9)*Y$7)+(((IF($A$8=Nutrients!$B$79,Nutrients!$F$79,(IF($A$8=Nutrients!$B$77,Nutrients!$F$77,Nutrients!$F$78)))))*Y$8))/2000/2.2046</f>
        <v>1164.7435800326707</v>
      </c>
      <c r="Z250" s="21">
        <f>(SUMPRODUCT(Z$9:Z$229,Nutrients!$F$8:$F$228)+(IF($A$7=Nutrients!$B$8,Nutrients!$F$8,Nutrients!$F$9)*Z$7)+(((IF($A$8=Nutrients!$B$79,Nutrients!$F$79,(IF($A$8=Nutrients!$B$77,Nutrients!$F$77,Nutrients!$F$78)))))*Z$8))/2000/2.2046</f>
        <v>1171.4970149610115</v>
      </c>
      <c r="AA250" s="21">
        <f>(SUMPRODUCT(AA$9:AA$229,Nutrients!$F$8:$F$228)+(IF($A$7=Nutrients!$B$8,Nutrients!$F$8,Nutrients!$F$9)*AA$7)+(((IF($A$8=Nutrients!$B$79,Nutrients!$F$79,(IF($A$8=Nutrients!$B$77,Nutrients!$F$77,Nutrients!$F$78)))))*AA$8))/2000/2.2046</f>
        <v>1176.5051033508475</v>
      </c>
      <c r="AB250" s="21">
        <f>(SUMPRODUCT(AB$9:AB$229,Nutrients!$F$8:$F$228)+(IF($A$7=Nutrients!$B$8,Nutrients!$F$8,Nutrients!$F$9)*AB$7)+(((IF($A$8=Nutrients!$B$79,Nutrients!$F$79,(IF($A$8=Nutrients!$B$77,Nutrients!$F$77,Nutrients!$F$78)))))*AB$8))/2000/2.2046</f>
        <v>1178.6727042298005</v>
      </c>
      <c r="AD250" s="21">
        <f>(SUMPRODUCT(AD$9:AD$229,Nutrients!$F$8:$F$228)+(IF($A$7=Nutrients!$B$8,Nutrients!$F$8,Nutrients!$F$9)*AD$7)+(((IF($A$8=Nutrients!$B$79,Nutrients!$F$79,(IF($A$8=Nutrients!$B$77,Nutrients!$F$77,Nutrients!$F$78)))))*AD$8))/2000/2.2046</f>
        <v>1147.3066638815424</v>
      </c>
      <c r="AE250" s="21">
        <f>(SUMPRODUCT(AE$9:AE$229,Nutrients!$F$8:$F$228)+(IF($A$7=Nutrients!$B$8,Nutrients!$F$8,Nutrients!$F$9)*AE$7)+(((IF($A$8=Nutrients!$B$79,Nutrients!$F$79,(IF($A$8=Nutrients!$B$77,Nutrients!$F$77,Nutrients!$F$78)))))*AE$8))/2000/2.2046</f>
        <v>1156.4879848834626</v>
      </c>
      <c r="AF250" s="21">
        <f>(SUMPRODUCT(AF$9:AF$229,Nutrients!$F$8:$F$228)+(IF($A$7=Nutrients!$B$8,Nutrients!$F$8,Nutrients!$F$9)*AF$7)+(((IF($A$8=Nutrients!$B$79,Nutrients!$F$79,(IF($A$8=Nutrients!$B$77,Nutrients!$F$77,Nutrients!$F$78)))))*AF$8))/2000/2.2046</f>
        <v>1164.7537975281266</v>
      </c>
      <c r="AG250" s="21">
        <f>(SUMPRODUCT(AG$9:AG$229,Nutrients!$F$8:$F$228)+(IF($A$7=Nutrients!$B$8,Nutrients!$F$8,Nutrients!$F$9)*AG$7)+(((IF($A$8=Nutrients!$B$79,Nutrients!$F$79,(IF($A$8=Nutrients!$B$77,Nutrients!$F$77,Nutrients!$F$78)))))*AG$8))/2000/2.2046</f>
        <v>1171.6018129769009</v>
      </c>
      <c r="AH250" s="21">
        <f>(SUMPRODUCT(AH$9:AH$229,Nutrients!$F$8:$F$228)+(IF($A$7=Nutrients!$B$8,Nutrients!$F$8,Nutrients!$F$9)*AH$7)+(((IF($A$8=Nutrients!$B$79,Nutrients!$F$79,(IF($A$8=Nutrients!$B$77,Nutrients!$F$77,Nutrients!$F$78)))))*AH$8))/2000/2.2046</f>
        <v>1176.3490294542294</v>
      </c>
      <c r="AI250" s="21">
        <f>(SUMPRODUCT(AI$9:AI$229,Nutrients!$F$8:$F$228)+(IF($A$7=Nutrients!$B$8,Nutrients!$F$8,Nutrients!$F$9)*AI$7)+(((IF($A$8=Nutrients!$B$79,Nutrients!$F$79,(IF($A$8=Nutrients!$B$77,Nutrients!$F$77,Nutrients!$F$78)))))*AI$8))/2000/2.2046</f>
        <v>1178.5955285809389</v>
      </c>
      <c r="AK250" s="21">
        <f>(SUMPRODUCT(AK$9:AK$229,Nutrients!$F$8:$F$228)+(IF($A$7=Nutrients!$B$8,Nutrients!$F$8,Nutrients!$F$9)*AK$7)+(((IF($A$8=Nutrients!$B$79,Nutrients!$F$79,(IF($A$8=Nutrients!$B$77,Nutrients!$F$77,Nutrients!$F$78)))))*AK$8))/2000/2.2046</f>
        <v>1147.6077460352183</v>
      </c>
      <c r="AL250" s="21">
        <f>(SUMPRODUCT(AL$9:AL$229,Nutrients!$F$8:$F$228)+(IF($A$7=Nutrients!$B$8,Nutrients!$F$8,Nutrients!$F$9)*AL$7)+(((IF($A$8=Nutrients!$B$79,Nutrients!$F$79,(IF($A$8=Nutrients!$B$77,Nutrients!$F$77,Nutrients!$F$78)))))*AL$8))/2000/2.2046</f>
        <v>1156.5083800987243</v>
      </c>
      <c r="AM250" s="21">
        <f>(SUMPRODUCT(AM$9:AM$229,Nutrients!$F$8:$F$228)+(IF($A$7=Nutrients!$B$8,Nutrients!$F$8,Nutrients!$F$9)*AM$7)+(((IF($A$8=Nutrients!$B$79,Nutrients!$F$79,(IF($A$8=Nutrients!$B$77,Nutrients!$F$77,Nutrients!$F$78)))))*AM$8))/2000/2.2046</f>
        <v>1164.807443550897</v>
      </c>
      <c r="AN250" s="21">
        <f>(SUMPRODUCT(AN$9:AN$229,Nutrients!$F$8:$F$228)+(IF($A$7=Nutrients!$B$8,Nutrients!$F$8,Nutrients!$F$9)*AN$7)+(((IF($A$8=Nutrients!$B$79,Nutrients!$F$79,(IF($A$8=Nutrients!$B$77,Nutrients!$F$77,Nutrients!$F$78)))))*AN$8))/2000/2.2046</f>
        <v>1171.2955643572575</v>
      </c>
      <c r="AO250" s="21">
        <f>(SUMPRODUCT(AO$9:AO$229,Nutrients!$F$8:$F$228)+(IF($A$7=Nutrients!$B$8,Nutrients!$F$8,Nutrients!$F$9)*AO$7)+(((IF($A$8=Nutrients!$B$79,Nutrients!$F$79,(IF($A$8=Nutrients!$B$77,Nutrients!$F$77,Nutrients!$F$78)))))*AO$8))/2000/2.2046</f>
        <v>1176.3507876024273</v>
      </c>
      <c r="AP250" s="21">
        <f>(SUMPRODUCT(AP$9:AP$229,Nutrients!$F$8:$F$228)+(IF($A$7=Nutrients!$B$8,Nutrients!$F$8,Nutrients!$F$9)*AP$7)+(((IF($A$8=Nutrients!$B$79,Nutrients!$F$79,(IF($A$8=Nutrients!$B$77,Nutrients!$F$77,Nutrients!$F$78)))))*AP$8))/2000/2.2046</f>
        <v>1178.6144576666768</v>
      </c>
      <c r="AR250" s="21">
        <f>(SUMPRODUCT(AR$9:AR$229,Nutrients!$F$8:$F$228)+(IF($A$7=Nutrients!$B$8,Nutrients!$F$8,Nutrients!$F$9)*AR$7)+(((IF($A$8=Nutrients!$B$79,Nutrients!$F$79,(IF($A$8=Nutrients!$B$77,Nutrients!$F$77,Nutrients!$F$78)))))*AR$8))/2000/2.2046</f>
        <v>1147.4903298511717</v>
      </c>
      <c r="AS250" s="21">
        <f>(SUMPRODUCT(AS$9:AS$229,Nutrients!$F$8:$F$228)+(IF($A$7=Nutrients!$B$8,Nutrients!$F$8,Nutrients!$F$9)*AS$7)+(((IF($A$8=Nutrients!$B$79,Nutrients!$F$79,(IF($A$8=Nutrients!$B$77,Nutrients!$F$77,Nutrients!$F$78)))))*AS$8))/2000/2.2046</f>
        <v>1156.5039093607475</v>
      </c>
      <c r="AT250" s="21">
        <f>(SUMPRODUCT(AT$9:AT$229,Nutrients!$F$8:$F$228)+(IF($A$7=Nutrients!$B$8,Nutrients!$F$8,Nutrients!$F$9)*AT$7)+(((IF($A$8=Nutrients!$B$79,Nutrients!$F$79,(IF($A$8=Nutrients!$B$77,Nutrients!$F$77,Nutrients!$F$78)))))*AT$8))/2000/2.2046</f>
        <v>1164.5508028381646</v>
      </c>
      <c r="AU250" s="21">
        <f>(SUMPRODUCT(AU$9:AU$229,Nutrients!$F$8:$F$228)+(IF($A$7=Nutrients!$B$8,Nutrients!$F$8,Nutrients!$F$9)*AU$7)+(((IF($A$8=Nutrients!$B$79,Nutrients!$F$79,(IF($A$8=Nutrients!$B$77,Nutrients!$F$77,Nutrients!$F$78)))))*AU$8))/2000/2.2046</f>
        <v>1171.2716425598915</v>
      </c>
      <c r="AV250" s="21">
        <f>(SUMPRODUCT(AV$9:AV$229,Nutrients!$F$8:$F$228)+(IF($A$7=Nutrients!$B$8,Nutrients!$F$8,Nutrients!$F$9)*AV$7)+(((IF($A$8=Nutrients!$B$79,Nutrients!$F$79,(IF($A$8=Nutrients!$B$77,Nutrients!$F$77,Nutrients!$F$78)))))*AV$8))/2000/2.2046</f>
        <v>1176.3750591962928</v>
      </c>
      <c r="AW250" s="21">
        <f>(SUMPRODUCT(AW$9:AW$229,Nutrients!$F$8:$F$228)+(IF($A$7=Nutrients!$B$8,Nutrients!$F$8,Nutrients!$F$9)*AW$7)+(((IF($A$8=Nutrients!$B$79,Nutrients!$F$79,(IF($A$8=Nutrients!$B$77,Nutrients!$F$77,Nutrients!$F$78)))))*AW$8))/2000/2.2046</f>
        <v>1178.6549481354914</v>
      </c>
      <c r="AY250" s="21"/>
      <c r="AZ250" s="21"/>
      <c r="BA250" s="21"/>
      <c r="BB250" s="21"/>
      <c r="BC250" s="21"/>
      <c r="BD250" s="21"/>
    </row>
    <row r="251" spans="1:56" x14ac:dyDescent="0.25">
      <c r="A251" s="38" t="s">
        <v>29</v>
      </c>
      <c r="B251" s="21">
        <f t="shared" ref="B251:G251" si="34">B250*2.20462</f>
        <v>2530.1566666389886</v>
      </c>
      <c r="C251" s="21">
        <f t="shared" si="34"/>
        <v>2550.090710551452</v>
      </c>
      <c r="D251" s="21">
        <f t="shared" si="34"/>
        <v>2567.6284984964309</v>
      </c>
      <c r="E251" s="21">
        <f t="shared" si="34"/>
        <v>2582.8196547787202</v>
      </c>
      <c r="F251" s="21">
        <f t="shared" si="34"/>
        <v>2593.7823562955086</v>
      </c>
      <c r="G251" s="21">
        <f t="shared" si="34"/>
        <v>2598.6138654733877</v>
      </c>
      <c r="H251" s="226"/>
      <c r="I251" s="21">
        <f t="shared" ref="I251:N251" si="35">I250*2.20462</f>
        <v>2529.5872661517778</v>
      </c>
      <c r="J251" s="21">
        <f t="shared" si="35"/>
        <v>2549.6822657993462</v>
      </c>
      <c r="K251" s="21">
        <f t="shared" si="35"/>
        <v>2567.7733487236073</v>
      </c>
      <c r="L251" s="21">
        <f t="shared" si="35"/>
        <v>2582.6709306066873</v>
      </c>
      <c r="M251" s="21">
        <f t="shared" si="35"/>
        <v>2593.5722417344682</v>
      </c>
      <c r="N251" s="21">
        <f t="shared" si="35"/>
        <v>2598.4394780046923</v>
      </c>
      <c r="O251" s="234"/>
      <c r="P251" s="21">
        <f t="shared" ref="P251:U251" si="36">P250*2.20462</f>
        <v>2529.4210126315152</v>
      </c>
      <c r="Q251" s="21">
        <f t="shared" si="36"/>
        <v>2549.6005373071007</v>
      </c>
      <c r="R251" s="21">
        <f t="shared" si="36"/>
        <v>2567.8192018486993</v>
      </c>
      <c r="S251" s="21">
        <f t="shared" si="36"/>
        <v>2582.666601750369</v>
      </c>
      <c r="T251" s="21">
        <f t="shared" si="36"/>
        <v>2593.5820387245349</v>
      </c>
      <c r="U251" s="21">
        <f t="shared" si="36"/>
        <v>2598.4911639761608</v>
      </c>
      <c r="W251" s="21">
        <f t="shared" ref="W251:AB251" si="37">W250*2.20462</f>
        <v>2529.3214460206723</v>
      </c>
      <c r="X251" s="21">
        <f t="shared" si="37"/>
        <v>2549.5988486905239</v>
      </c>
      <c r="Y251" s="21">
        <f t="shared" si="37"/>
        <v>2567.8169914116261</v>
      </c>
      <c r="Z251" s="21">
        <f t="shared" si="37"/>
        <v>2582.705749123345</v>
      </c>
      <c r="AA251" s="21">
        <f t="shared" si="37"/>
        <v>2593.7466809493453</v>
      </c>
      <c r="AB251" s="21">
        <f t="shared" si="37"/>
        <v>2598.5254171991028</v>
      </c>
      <c r="AD251" s="21">
        <f t="shared" ref="AD251:AI251" si="38">AD250*2.20462</f>
        <v>2529.3752173265257</v>
      </c>
      <c r="AE251" s="21">
        <f t="shared" si="38"/>
        <v>2549.6165412337791</v>
      </c>
      <c r="AF251" s="21">
        <f t="shared" si="38"/>
        <v>2567.8395171064581</v>
      </c>
      <c r="AG251" s="21">
        <f t="shared" si="38"/>
        <v>2582.9367889251348</v>
      </c>
      <c r="AH251" s="21">
        <f t="shared" si="38"/>
        <v>2593.402597315383</v>
      </c>
      <c r="AI251" s="21">
        <f t="shared" si="38"/>
        <v>2598.3552742201091</v>
      </c>
      <c r="AK251" s="21">
        <f t="shared" ref="AK251:AP251" si="39">AK250*2.20462</f>
        <v>2530.0389890641627</v>
      </c>
      <c r="AL251" s="21">
        <f t="shared" si="39"/>
        <v>2549.6615049332495</v>
      </c>
      <c r="AM251" s="21">
        <f t="shared" si="39"/>
        <v>2567.9577862011784</v>
      </c>
      <c r="AN251" s="21">
        <f t="shared" si="39"/>
        <v>2582.2616270932967</v>
      </c>
      <c r="AO251" s="21">
        <f t="shared" si="39"/>
        <v>2593.406473364063</v>
      </c>
      <c r="AP251" s="21">
        <f t="shared" si="39"/>
        <v>2598.3970056611088</v>
      </c>
      <c r="AR251" s="21">
        <f t="shared" ref="AR251:AW251" si="40">AR250*2.20462</f>
        <v>2529.7801309964898</v>
      </c>
      <c r="AS251" s="21">
        <f t="shared" si="40"/>
        <v>2549.6516486548908</v>
      </c>
      <c r="AT251" s="21">
        <f t="shared" si="40"/>
        <v>2567.3919909530741</v>
      </c>
      <c r="AU251" s="21">
        <f t="shared" si="40"/>
        <v>2582.2088886203878</v>
      </c>
      <c r="AV251" s="21">
        <f t="shared" si="40"/>
        <v>2593.4599830053307</v>
      </c>
      <c r="AW251" s="21">
        <f t="shared" si="40"/>
        <v>2598.486271758467</v>
      </c>
    </row>
    <row r="252" spans="1:56" x14ac:dyDescent="0.25">
      <c r="A252" s="38" t="s">
        <v>390</v>
      </c>
      <c r="B252" s="23">
        <f t="shared" ref="B252:G252" si="41">IF(B$5="","",B236/(B250*2.2046)*10000)</f>
        <v>4.6879417735209223</v>
      </c>
      <c r="C252" s="23">
        <f t="shared" si="41"/>
        <v>4.112530627795425</v>
      </c>
      <c r="D252" s="23">
        <f t="shared" si="41"/>
        <v>3.6100787872368278</v>
      </c>
      <c r="E252" s="23">
        <f t="shared" si="41"/>
        <v>3.198349183249853</v>
      </c>
      <c r="F252" s="23">
        <f t="shared" si="41"/>
        <v>2.9175053758993537</v>
      </c>
      <c r="G252" s="23">
        <f t="shared" si="41"/>
        <v>2.7645509469935567</v>
      </c>
      <c r="H252" s="227"/>
      <c r="I252" s="23">
        <f t="shared" ref="I252:N252" si="42">IF(I$5="","",I236/(I250*2.2046)*10000)</f>
        <v>4.6889970114111419</v>
      </c>
      <c r="J252" s="23">
        <f t="shared" si="42"/>
        <v>4.1131894320610893</v>
      </c>
      <c r="K252" s="23">
        <f t="shared" si="42"/>
        <v>3.6098751396942146</v>
      </c>
      <c r="L252" s="23">
        <f t="shared" si="42"/>
        <v>3.1985333615083036</v>
      </c>
      <c r="M252" s="23">
        <f t="shared" si="42"/>
        <v>2.9177417334418672</v>
      </c>
      <c r="N252" s="23">
        <f t="shared" si="42"/>
        <v>2.7647364825989875</v>
      </c>
      <c r="O252" s="198"/>
      <c r="P252" s="23">
        <f t="shared" ref="P252:U252" si="43">IF(P$5="","",P236/(P250*2.2046)*10000)</f>
        <v>4.6893052093172063</v>
      </c>
      <c r="Q252" s="23">
        <f t="shared" si="43"/>
        <v>4.1133212820374618</v>
      </c>
      <c r="R252" s="23">
        <f t="shared" si="43"/>
        <v>3.6098106787476545</v>
      </c>
      <c r="S252" s="23">
        <f t="shared" si="43"/>
        <v>3.1985387226305413</v>
      </c>
      <c r="T252" s="23">
        <f t="shared" si="43"/>
        <v>2.9177307119718114</v>
      </c>
      <c r="U252" s="23">
        <f t="shared" si="43"/>
        <v>2.7646814898813137</v>
      </c>
      <c r="W252" s="23">
        <f t="shared" ref="W252:AB252" si="44">IF(W$5="","",W236/(W250*2.2046)*10000)</f>
        <v>4.6894898035796846</v>
      </c>
      <c r="X252" s="23">
        <f t="shared" si="44"/>
        <v>4.113324006317991</v>
      </c>
      <c r="Y252" s="23">
        <f t="shared" si="44"/>
        <v>3.609813786157325</v>
      </c>
      <c r="Z252" s="23">
        <f t="shared" si="44"/>
        <v>3.1984902407667466</v>
      </c>
      <c r="AA252" s="23">
        <f t="shared" si="44"/>
        <v>2.9175455043417271</v>
      </c>
      <c r="AB252" s="23">
        <f t="shared" si="44"/>
        <v>2.7646450464234937</v>
      </c>
      <c r="AD252" s="23">
        <f t="shared" ref="AD252:AI252" si="45">IF(AD$5="","",AD236/(AD250*2.2046)*10000)</f>
        <v>4.6893901109801854</v>
      </c>
      <c r="AE252" s="23">
        <f t="shared" si="45"/>
        <v>4.1132954627461533</v>
      </c>
      <c r="AF252" s="23">
        <f t="shared" si="45"/>
        <v>3.6097821200180644</v>
      </c>
      <c r="AG252" s="23">
        <f t="shared" si="45"/>
        <v>3.1982041406366841</v>
      </c>
      <c r="AH252" s="23">
        <f t="shared" si="45"/>
        <v>2.9179325941288754</v>
      </c>
      <c r="AI252" s="23">
        <f t="shared" si="45"/>
        <v>2.764826078228007</v>
      </c>
      <c r="AK252" s="23">
        <f t="shared" ref="AK252:AP252" si="46">IF(AK$5="","",AK236/(AK250*2.2046)*10000)</f>
        <v>4.6881598198123902</v>
      </c>
      <c r="AL252" s="23">
        <f t="shared" si="46"/>
        <v>4.1132229241049796</v>
      </c>
      <c r="AM252" s="23">
        <f t="shared" si="46"/>
        <v>3.6096158689738429</v>
      </c>
      <c r="AN252" s="23">
        <f t="shared" si="46"/>
        <v>3.1990403476822946</v>
      </c>
      <c r="AO252" s="23">
        <f t="shared" si="46"/>
        <v>2.9179282330505418</v>
      </c>
      <c r="AP252" s="23">
        <f t="shared" si="46"/>
        <v>2.7647816738601962</v>
      </c>
      <c r="AR252" s="23">
        <f t="shared" ref="AR252:AW252" si="47">IF(AR$5="","",AR236/(AR250*2.2046)*10000)</f>
        <v>4.6886395326447534</v>
      </c>
      <c r="AS252" s="23">
        <f t="shared" si="47"/>
        <v>4.1132388247359986</v>
      </c>
      <c r="AT252" s="23">
        <f t="shared" si="47"/>
        <v>3.6104113468414001</v>
      </c>
      <c r="AU252" s="23">
        <f t="shared" si="47"/>
        <v>3.1991056841868102</v>
      </c>
      <c r="AV252" s="23">
        <f t="shared" si="47"/>
        <v>2.9178680288083259</v>
      </c>
      <c r="AW252" s="23">
        <f t="shared" si="47"/>
        <v>2.7646866949977889</v>
      </c>
    </row>
    <row r="253" spans="1:56" x14ac:dyDescent="0.25">
      <c r="A253" s="51" t="s">
        <v>155</v>
      </c>
      <c r="B253" s="22">
        <f>(SUMPRODUCT(B$9:B$229,Nutrients!$I$8:$I$228)+(IF($A$7=Nutrients!$B$8,Nutrients!$I$8,Nutrients!$I$9)*B$7)+(((IF($A$8=Nutrients!$B$79,Nutrients!$I$79,(IF($A$8=Nutrients!$B$77,Nutrients!$I$77,Nutrients!$I$78)))))*B$8))/2000</f>
        <v>20.659564989031431</v>
      </c>
      <c r="C253" s="22">
        <f>(SUMPRODUCT(C$9:C$229,Nutrients!$I$8:$I$228)+(IF($A$7=Nutrients!$B$8,Nutrients!$I$8,Nutrients!$I$9)*C$7)+(((IF($A$8=Nutrients!$B$79,Nutrients!$I$79,(IF($A$8=Nutrients!$B$77,Nutrients!$I$77,Nutrients!$I$78)))))*C$8))/2000</f>
        <v>18.474711094282195</v>
      </c>
      <c r="D253" s="22">
        <f>(SUMPRODUCT(D$9:D$229,Nutrients!$I$8:$I$228)+(IF($A$7=Nutrients!$B$8,Nutrients!$I$8,Nutrients!$I$9)*D$7)+(((IF($A$8=Nutrients!$B$79,Nutrients!$I$79,(IF($A$8=Nutrients!$B$77,Nutrients!$I$77,Nutrients!$I$78)))))*D$8))/2000</f>
        <v>16.586100942528425</v>
      </c>
      <c r="E253" s="22">
        <f>(SUMPRODUCT(E$9:E$229,Nutrients!$I$8:$I$228)+(IF($A$7=Nutrients!$B$8,Nutrients!$I$8,Nutrients!$I$9)*E$7)+(((IF($A$8=Nutrients!$B$79,Nutrients!$I$79,(IF($A$8=Nutrients!$B$77,Nutrients!$I$77,Nutrients!$I$78)))))*E$8))/2000</f>
        <v>15.008183180211585</v>
      </c>
      <c r="F253" s="22">
        <f>(SUMPRODUCT(F$9:F$229,Nutrients!$I$8:$I$228)+(IF($A$7=Nutrients!$B$8,Nutrients!$I$8,Nutrients!$I$9)*F$7)+(((IF($A$8=Nutrients!$B$79,Nutrients!$I$79,(IF($A$8=Nutrients!$B$77,Nutrients!$I$77,Nutrients!$I$78)))))*F$8))/2000</f>
        <v>13.947394938936968</v>
      </c>
      <c r="G253" s="22">
        <f>(SUMPRODUCT(G$9:G$229,Nutrients!$I$8:$I$228)+(IF($A$7=Nutrients!$B$8,Nutrients!$I$8,Nutrients!$I$9)*G$7)+(((IF($A$8=Nutrients!$B$79,Nutrients!$I$79,(IF($A$8=Nutrients!$B$77,Nutrients!$I$77,Nutrients!$I$78)))))*G$8))/2000</f>
        <v>13.408858132850794</v>
      </c>
      <c r="H253" s="228"/>
      <c r="I253" s="22">
        <f>(SUMPRODUCT(I$9:I$229,Nutrients!$I$8:$I$228)+(IF($A$7=Nutrients!$B$8,Nutrients!$I$8,Nutrients!$I$9)*I$7)+(((IF($A$8=Nutrients!$B$79,Nutrients!$I$79,(IF($A$8=Nutrients!$B$77,Nutrients!$I$77,Nutrients!$I$78)))))*I$8))/2000</f>
        <v>21.003742377828754</v>
      </c>
      <c r="J253" s="22">
        <f>(SUMPRODUCT(J$9:J$229,Nutrients!$I$8:$I$228)+(IF($A$7=Nutrients!$B$8,Nutrients!$I$8,Nutrients!$I$9)*J$7)+(((IF($A$8=Nutrients!$B$79,Nutrients!$I$79,(IF($A$8=Nutrients!$B$77,Nutrients!$I$77,Nutrients!$I$78)))))*J$8))/2000</f>
        <v>18.818519491121346</v>
      </c>
      <c r="K253" s="22">
        <f>(SUMPRODUCT(K$9:K$229,Nutrients!$I$8:$I$228)+(IF($A$7=Nutrients!$B$8,Nutrients!$I$8,Nutrients!$I$9)*K$7)+(((IF($A$8=Nutrients!$B$79,Nutrients!$I$79,(IF($A$8=Nutrients!$B$77,Nutrients!$I$77,Nutrients!$I$78)))))*K$8))/2000</f>
        <v>16.930534068935788</v>
      </c>
      <c r="L253" s="22">
        <f>(SUMPRODUCT(L$9:L$229,Nutrients!$I$8:$I$228)+(IF($A$7=Nutrients!$B$8,Nutrients!$I$8,Nutrients!$I$9)*L$7)+(((IF($A$8=Nutrients!$B$79,Nutrients!$I$79,(IF($A$8=Nutrients!$B$77,Nutrients!$I$77,Nutrients!$I$78)))))*L$8))/2000</f>
        <v>15.353511313488179</v>
      </c>
      <c r="M253" s="22">
        <f>(SUMPRODUCT(M$9:M$229,Nutrients!$I$8:$I$228)+(IF($A$7=Nutrients!$B$8,Nutrients!$I$8,Nutrients!$I$9)*M$7)+(((IF($A$8=Nutrients!$B$79,Nutrients!$I$79,(IF($A$8=Nutrients!$B$77,Nutrients!$I$77,Nutrients!$I$78)))))*M$8))/2000</f>
        <v>14.292057789687002</v>
      </c>
      <c r="N253" s="22">
        <f>(SUMPRODUCT(N$9:N$229,Nutrients!$I$8:$I$228)+(IF($A$7=Nutrients!$B$8,Nutrients!$I$8,Nutrients!$I$9)*N$7)+(((IF($A$8=Nutrients!$B$79,Nutrients!$I$79,(IF($A$8=Nutrients!$B$77,Nutrients!$I$77,Nutrients!$I$78)))))*N$8))/2000</f>
        <v>13.753966128372094</v>
      </c>
      <c r="O253" s="235"/>
      <c r="P253" s="22">
        <f>(SUMPRODUCT(P$9:P$229,Nutrients!$I$8:$I$228)+(IF($A$7=Nutrients!$B$8,Nutrients!$I$8,Nutrients!$I$9)*P$7)+(((IF($A$8=Nutrients!$B$79,Nutrients!$I$79,(IF($A$8=Nutrients!$B$77,Nutrients!$I$77,Nutrients!$I$78)))))*P$8))/2000</f>
        <v>21.348174047382926</v>
      </c>
      <c r="Q253" s="22">
        <f>(SUMPRODUCT(Q$9:Q$229,Nutrients!$I$8:$I$228)+(IF($A$7=Nutrients!$B$8,Nutrients!$I$8,Nutrients!$I$9)*Q$7)+(((IF($A$8=Nutrients!$B$79,Nutrients!$I$79,(IF($A$8=Nutrients!$B$77,Nutrients!$I$77,Nutrients!$I$78)))))*Q$8))/2000</f>
        <v>19.162851453804464</v>
      </c>
      <c r="R253" s="22">
        <f>(SUMPRODUCT(R$9:R$229,Nutrients!$I$8:$I$228)+(IF($A$7=Nutrients!$B$8,Nutrients!$I$8,Nutrients!$I$9)*R$7)+(((IF($A$8=Nutrients!$B$79,Nutrients!$I$79,(IF($A$8=Nutrients!$B$77,Nutrients!$I$77,Nutrients!$I$78)))))*R$8))/2000</f>
        <v>17.274715534610298</v>
      </c>
      <c r="S253" s="22">
        <f>(SUMPRODUCT(S$9:S$229,Nutrients!$I$8:$I$228)+(IF($A$7=Nutrients!$B$8,Nutrients!$I$8,Nutrients!$I$9)*S$7)+(((IF($A$8=Nutrients!$B$79,Nutrients!$I$79,(IF($A$8=Nutrients!$B$77,Nutrients!$I$77,Nutrients!$I$78)))))*S$8))/2000</f>
        <v>15.697751974509528</v>
      </c>
      <c r="T253" s="22">
        <f>(SUMPRODUCT(T$9:T$229,Nutrients!$I$8:$I$228)+(IF($A$7=Nutrients!$B$8,Nutrients!$I$8,Nutrients!$I$9)*T$7)+(((IF($A$8=Nutrients!$B$79,Nutrients!$I$79,(IF($A$8=Nutrients!$B$77,Nutrients!$I$77,Nutrients!$I$78)))))*T$8))/2000</f>
        <v>14.638312320799214</v>
      </c>
      <c r="U253" s="22">
        <f>(SUMPRODUCT(U$9:U$229,Nutrients!$I$8:$I$228)+(IF($A$7=Nutrients!$B$8,Nutrients!$I$8,Nutrients!$I$9)*U$7)+(((IF($A$8=Nutrients!$B$79,Nutrients!$I$79,(IF($A$8=Nutrients!$B$77,Nutrients!$I$77,Nutrients!$I$78)))))*U$8))/2000</f>
        <v>14.101781921672259</v>
      </c>
      <c r="W253" s="22">
        <f>(SUMPRODUCT(W$9:W$229,Nutrients!$I$8:$I$228)+(IF($A$7=Nutrients!$B$8,Nutrients!$I$8,Nutrients!$I$9)*W$7)+(((IF($A$8=Nutrients!$B$79,Nutrients!$I$79,(IF($A$8=Nutrients!$B$77,Nutrients!$I$77,Nutrients!$I$78)))))*W$8))/2000</f>
        <v>21.692527052153018</v>
      </c>
      <c r="X253" s="22">
        <f>(SUMPRODUCT(X$9:X$229,Nutrients!$I$8:$I$228)+(IF($A$7=Nutrients!$B$8,Nutrients!$I$8,Nutrients!$I$9)*X$7)+(((IF($A$8=Nutrients!$B$79,Nutrients!$I$79,(IF($A$8=Nutrients!$B$77,Nutrients!$I$77,Nutrients!$I$78)))))*X$8))/2000</f>
        <v>19.507089000363152</v>
      </c>
      <c r="Y253" s="22">
        <f>(SUMPRODUCT(Y$9:Y$229,Nutrients!$I$8:$I$228)+(IF($A$7=Nutrients!$B$8,Nutrients!$I$8,Nutrients!$I$9)*Y$7)+(((IF($A$8=Nutrients!$B$79,Nutrients!$I$79,(IF($A$8=Nutrients!$B$77,Nutrients!$I$77,Nutrients!$I$78)))))*Y$8))/2000</f>
        <v>17.619122359395547</v>
      </c>
      <c r="Z253" s="22">
        <f>(SUMPRODUCT(Z$9:Z$229,Nutrients!$I$8:$I$228)+(IF($A$7=Nutrients!$B$8,Nutrients!$I$8,Nutrients!$I$9)*Z$7)+(((IF($A$8=Nutrients!$B$79,Nutrients!$I$79,(IF($A$8=Nutrients!$B$77,Nutrients!$I$77,Nutrients!$I$78)))))*Z$8))/2000</f>
        <v>16.039649759560476</v>
      </c>
      <c r="AA253" s="22">
        <f>(SUMPRODUCT(AA$9:AA$229,Nutrients!$I$8:$I$228)+(IF($A$7=Nutrients!$B$8,Nutrients!$I$8,Nutrients!$I$9)*AA$7)+(((IF($A$8=Nutrients!$B$79,Nutrients!$I$79,(IF($A$8=Nutrients!$B$77,Nutrients!$I$77,Nutrients!$I$78)))))*AA$8))/2000</f>
        <v>14.98720876597322</v>
      </c>
      <c r="AB253" s="22">
        <f>(SUMPRODUCT(AB$9:AB$229,Nutrients!$I$8:$I$228)+(IF($A$7=Nutrients!$B$8,Nutrients!$I$8,Nutrients!$I$9)*AB$7)+(((IF($A$8=Nutrients!$B$79,Nutrients!$I$79,(IF($A$8=Nutrients!$B$77,Nutrients!$I$77,Nutrients!$I$78)))))*AB$8))/2000</f>
        <v>14.44859136391792</v>
      </c>
      <c r="AD253" s="22">
        <f>(SUMPRODUCT(AD$9:AD$229,Nutrients!$I$8:$I$228)+(IF($A$7=Nutrients!$B$8,Nutrients!$I$8,Nutrients!$I$9)*AD$7)+(((IF($A$8=Nutrients!$B$79,Nutrients!$I$79,(IF($A$8=Nutrients!$B$77,Nutrients!$I$77,Nutrients!$I$78)))))*AD$8))/2000</f>
        <v>22.036783508773972</v>
      </c>
      <c r="AE253" s="22">
        <f>(SUMPRODUCT(AE$9:AE$229,Nutrients!$I$8:$I$228)+(IF($A$7=Nutrients!$B$8,Nutrients!$I$8,Nutrients!$I$9)*AE$7)+(((IF($A$8=Nutrients!$B$79,Nutrients!$I$79,(IF($A$8=Nutrients!$B$77,Nutrients!$I$77,Nutrients!$I$78)))))*AE$8))/2000</f>
        <v>19.851388015982483</v>
      </c>
      <c r="AF253" s="22">
        <f>(SUMPRODUCT(AF$9:AF$229,Nutrients!$I$8:$I$228)+(IF($A$7=Nutrients!$B$8,Nutrients!$I$8,Nutrients!$I$9)*AF$7)+(((IF($A$8=Nutrients!$B$79,Nutrients!$I$79,(IF($A$8=Nutrients!$B$77,Nutrients!$I$77,Nutrients!$I$78)))))*AF$8))/2000</f>
        <v>17.957593404928456</v>
      </c>
      <c r="AG253" s="22">
        <f>(SUMPRODUCT(AG$9:AG$229,Nutrients!$I$8:$I$228)+(IF($A$7=Nutrients!$B$8,Nutrients!$I$8,Nutrients!$I$9)*AG$7)+(((IF($A$8=Nutrients!$B$79,Nutrients!$I$79,(IF($A$8=Nutrients!$B$77,Nutrients!$I$77,Nutrients!$I$78)))))*AG$8))/2000</f>
        <v>16.388383549910856</v>
      </c>
      <c r="AH253" s="22">
        <f>(SUMPRODUCT(AH$9:AH$229,Nutrients!$I$8:$I$228)+(IF($A$7=Nutrients!$B$8,Nutrients!$I$8,Nutrients!$I$9)*AH$7)+(((IF($A$8=Nutrients!$B$79,Nutrients!$I$79,(IF($A$8=Nutrients!$B$77,Nutrients!$I$77,Nutrients!$I$78)))))*AH$8))/2000</f>
        <v>15.32963081706551</v>
      </c>
      <c r="AI253" s="22">
        <f>(SUMPRODUCT(AI$9:AI$229,Nutrients!$I$8:$I$228)+(IF($A$7=Nutrients!$B$8,Nutrients!$I$8,Nutrients!$I$9)*AI$7)+(((IF($A$8=Nutrients!$B$79,Nutrients!$I$79,(IF($A$8=Nutrients!$B$77,Nutrients!$I$77,Nutrients!$I$78)))))*AI$8))/2000</f>
        <v>14.788890350840109</v>
      </c>
      <c r="AK253" s="22">
        <f>(SUMPRODUCT(AK$9:AK$229,Nutrients!$I$8:$I$228)+(IF($A$7=Nutrients!$B$8,Nutrients!$I$8,Nutrients!$I$9)*AK$7)+(((IF($A$8=Nutrients!$B$79,Nutrients!$I$79,(IF($A$8=Nutrients!$B$77,Nutrients!$I$77,Nutrients!$I$78)))))*AK$8))/2000</f>
        <v>22.380362566270655</v>
      </c>
      <c r="AL253" s="22">
        <f>(SUMPRODUCT(AL$9:AL$229,Nutrients!$I$8:$I$228)+(IF($A$7=Nutrients!$B$8,Nutrients!$I$8,Nutrients!$I$9)*AL$7)+(((IF($A$8=Nutrients!$B$79,Nutrients!$I$79,(IF($A$8=Nutrients!$B$77,Nutrients!$I$77,Nutrients!$I$78)))))*AL$8))/2000</f>
        <v>20.195697027845554</v>
      </c>
      <c r="AM253" s="22">
        <f>(SUMPRODUCT(AM$9:AM$229,Nutrients!$I$8:$I$228)+(IF($A$7=Nutrients!$B$8,Nutrients!$I$8,Nutrients!$I$9)*AM$7)+(((IF($A$8=Nutrients!$B$79,Nutrients!$I$79,(IF($A$8=Nutrients!$B$77,Nutrients!$I$77,Nutrients!$I$78)))))*AM$8))/2000</f>
        <v>18.306502386806542</v>
      </c>
      <c r="AN253" s="22">
        <f>(SUMPRODUCT(AN$9:AN$229,Nutrients!$I$8:$I$228)+(IF($A$7=Nutrients!$B$8,Nutrients!$I$8,Nutrients!$I$9)*AN$7)+(((IF($A$8=Nutrients!$B$79,Nutrients!$I$79,(IF($A$8=Nutrients!$B$77,Nutrients!$I$77,Nutrients!$I$78)))))*AN$8))/2000</f>
        <v>16.731356114471531</v>
      </c>
      <c r="AO253" s="22">
        <f>(SUMPRODUCT(AO$9:AO$229,Nutrients!$I$8:$I$228)+(IF($A$7=Nutrients!$B$8,Nutrients!$I$8,Nutrients!$I$9)*AO$7)+(((IF($A$8=Nutrients!$B$79,Nutrients!$I$79,(IF($A$8=Nutrients!$B$77,Nutrients!$I$77,Nutrients!$I$78)))))*AO$8))/2000</f>
        <v>15.669874990169923</v>
      </c>
      <c r="AP253" s="22">
        <f>(SUMPRODUCT(AP$9:AP$229,Nutrients!$I$8:$I$228)+(IF($A$7=Nutrients!$B$8,Nutrients!$I$8,Nutrients!$I$9)*AP$7)+(((IF($A$8=Nutrients!$B$79,Nutrients!$I$79,(IF($A$8=Nutrients!$B$77,Nutrients!$I$77,Nutrients!$I$78)))))*AP$8))/2000</f>
        <v>15.12911990715144</v>
      </c>
      <c r="AR253" s="22">
        <f>(SUMPRODUCT(AR$9:AR$229,Nutrients!$I$8:$I$228)+(IF($A$7=Nutrients!$B$8,Nutrients!$I$8,Nutrients!$I$9)*AR$7)+(((IF($A$8=Nutrients!$B$79,Nutrients!$I$79,(IF($A$8=Nutrients!$B$77,Nutrients!$I$77,Nutrients!$I$78)))))*AR$8))/2000</f>
        <v>22.723231489073456</v>
      </c>
      <c r="AS253" s="22">
        <f>(SUMPRODUCT(AS$9:AS$229,Nutrients!$I$8:$I$228)+(IF($A$7=Nutrients!$B$8,Nutrients!$I$8,Nutrients!$I$9)*AS$7)+(((IF($A$8=Nutrients!$B$79,Nutrients!$I$79,(IF($A$8=Nutrients!$B$77,Nutrients!$I$77,Nutrients!$I$78)))))*AS$8))/2000</f>
        <v>20.538272285696181</v>
      </c>
      <c r="AT253" s="22">
        <f>(SUMPRODUCT(AT$9:AT$229,Nutrients!$I$8:$I$228)+(IF($A$7=Nutrients!$B$8,Nutrients!$I$8,Nutrients!$I$9)*AT$7)+(((IF($A$8=Nutrients!$B$79,Nutrients!$I$79,(IF($A$8=Nutrients!$B$77,Nutrients!$I$77,Nutrients!$I$78)))))*AT$8))/2000</f>
        <v>18.65255517479471</v>
      </c>
      <c r="AU253" s="22">
        <f>(SUMPRODUCT(AU$9:AU$229,Nutrients!$I$8:$I$228)+(IF($A$7=Nutrients!$B$8,Nutrients!$I$8,Nutrients!$I$9)*AU$7)+(((IF($A$8=Nutrients!$B$79,Nutrients!$I$79,(IF($A$8=Nutrients!$B$77,Nutrients!$I$77,Nutrients!$I$78)))))*AU$8))/2000</f>
        <v>17.071401278099408</v>
      </c>
      <c r="AV253" s="22">
        <f>(SUMPRODUCT(AV$9:AV$229,Nutrients!$I$8:$I$228)+(IF($A$7=Nutrients!$B$8,Nutrients!$I$8,Nutrients!$I$9)*AV$7)+(((IF($A$8=Nutrients!$B$79,Nutrients!$I$79,(IF($A$8=Nutrients!$B$77,Nutrients!$I$77,Nutrients!$I$78)))))*AV$8))/2000</f>
        <v>16.011634493989035</v>
      </c>
      <c r="AW253" s="22">
        <f>(SUMPRODUCT(AW$9:AW$229,Nutrients!$I$8:$I$228)+(IF($A$7=Nutrients!$B$8,Nutrients!$I$8,Nutrients!$I$9)*AW$7)+(((IF($A$8=Nutrients!$B$79,Nutrients!$I$79,(IF($A$8=Nutrients!$B$77,Nutrients!$I$77,Nutrients!$I$78)))))*AW$8))/2000</f>
        <v>15.470788378064929</v>
      </c>
    </row>
    <row r="254" spans="1:56" x14ac:dyDescent="0.25">
      <c r="A254" s="41" t="s">
        <v>144</v>
      </c>
      <c r="B254" s="23">
        <f>(SUMPRODUCT(B$9:B$229,Nutrients!$BS$8:$BS$228)+(IF($A$7=Nutrients!$B$8,Nutrients!$BS$8,Nutrients!$BS$9)*B$7)+(((IF($A$8=Nutrients!$B$79,Nutrients!$BS$79,(IF($A$8=Nutrients!$B$77,Nutrients!$BS$77,Nutrients!$BS$78)))))*B$8))/2000</f>
        <v>0.6959867621315019</v>
      </c>
      <c r="C254" s="23">
        <f>(SUMPRODUCT(C$9:C$229,Nutrients!$BS$8:$BS$228)+(IF($A$7=Nutrients!$B$8,Nutrients!$BS$8,Nutrients!$BS$9)*C$7)+(((IF($A$8=Nutrients!$B$79,Nutrients!$BS$79,(IF($A$8=Nutrients!$B$77,Nutrients!$BS$77,Nutrients!$BS$78)))))*C$8))/2000</f>
        <v>0.62662783783950593</v>
      </c>
      <c r="D254" s="23">
        <f>(SUMPRODUCT(D$9:D$229,Nutrients!$BS$8:$BS$228)+(IF($A$7=Nutrients!$B$8,Nutrients!$BS$8,Nutrients!$BS$9)*D$7)+(((IF($A$8=Nutrients!$B$79,Nutrients!$BS$79,(IF($A$8=Nutrients!$B$77,Nutrients!$BS$77,Nutrients!$BS$78)))))*D$8))/2000</f>
        <v>0.57472596332038417</v>
      </c>
      <c r="E254" s="23">
        <f>(SUMPRODUCT(E$9:E$229,Nutrients!$BS$8:$BS$228)+(IF($A$7=Nutrients!$B$8,Nutrients!$BS$8,Nutrients!$BS$9)*E$7)+(((IF($A$8=Nutrients!$B$79,Nutrients!$BS$79,(IF($A$8=Nutrients!$B$77,Nutrients!$BS$77,Nutrients!$BS$78)))))*E$8))/2000</f>
        <v>0.52452097205568682</v>
      </c>
      <c r="F254" s="23">
        <f>(SUMPRODUCT(F$9:F$229,Nutrients!$BS$8:$BS$228)+(IF($A$7=Nutrients!$B$8,Nutrients!$BS$8,Nutrients!$BS$9)*F$7)+(((IF($A$8=Nutrients!$B$79,Nutrients!$BS$79,(IF($A$8=Nutrients!$B$77,Nutrients!$BS$77,Nutrients!$BS$78)))))*F$8))/2000</f>
        <v>0.48152514697950427</v>
      </c>
      <c r="G254" s="23">
        <f>(SUMPRODUCT(G$9:G$229,Nutrients!$BS$8:$BS$228)+(IF($A$7=Nutrients!$B$8,Nutrients!$BS$8,Nutrients!$BS$9)*G$7)+(((IF($A$8=Nutrients!$B$79,Nutrients!$BS$79,(IF($A$8=Nutrients!$B$77,Nutrients!$BS$77,Nutrients!$BS$78)))))*G$8))/2000</f>
        <v>0.46528542953652235</v>
      </c>
      <c r="H254" s="227"/>
      <c r="I254" s="23">
        <f>(SUMPRODUCT(I$9:I$229,Nutrients!$BS$8:$BS$228)+(IF($A$7=Nutrients!$B$8,Nutrients!$BS$8,Nutrients!$BS$9)*I$7)+(((IF($A$8=Nutrients!$B$79,Nutrients!$BS$79,(IF($A$8=Nutrients!$B$77,Nutrients!$BS$77,Nutrients!$BS$78)))))*I$8))/2000</f>
        <v>0.69674290441449904</v>
      </c>
      <c r="J254" s="23">
        <f>(SUMPRODUCT(J$9:J$229,Nutrients!$BS$8:$BS$228)+(IF($A$7=Nutrients!$B$8,Nutrients!$BS$8,Nutrients!$BS$9)*J$7)+(((IF($A$8=Nutrients!$B$79,Nutrients!$BS$79,(IF($A$8=Nutrients!$B$77,Nutrients!$BS$77,Nutrients!$BS$78)))))*J$8))/2000</f>
        <v>0.62811810771969523</v>
      </c>
      <c r="K254" s="23">
        <f>(SUMPRODUCT(K$9:K$229,Nutrients!$BS$8:$BS$228)+(IF($A$7=Nutrients!$B$8,Nutrients!$BS$8,Nutrients!$BS$9)*K$7)+(((IF($A$8=Nutrients!$B$79,Nutrients!$BS$79,(IF($A$8=Nutrients!$B$77,Nutrients!$BS$77,Nutrients!$BS$78)))))*K$8))/2000</f>
        <v>0.57280634336655667</v>
      </c>
      <c r="L254" s="23">
        <f>(SUMPRODUCT(L$9:L$229,Nutrients!$BS$8:$BS$228)+(IF($A$7=Nutrients!$B$8,Nutrients!$BS$8,Nutrients!$BS$9)*L$7)+(((IF($A$8=Nutrients!$B$79,Nutrients!$BS$79,(IF($A$8=Nutrients!$B$77,Nutrients!$BS$77,Nutrients!$BS$78)))))*L$8))/2000</f>
        <v>0.52052566642903431</v>
      </c>
      <c r="M254" s="23">
        <f>(SUMPRODUCT(M$9:M$229,Nutrients!$BS$8:$BS$228)+(IF($A$7=Nutrients!$B$8,Nutrients!$BS$8,Nutrients!$BS$9)*M$7)+(((IF($A$8=Nutrients!$B$79,Nutrients!$BS$79,(IF($A$8=Nutrients!$B$77,Nutrients!$BS$77,Nutrients!$BS$78)))))*M$8))/2000</f>
        <v>0.47971582994932327</v>
      </c>
      <c r="N254" s="23">
        <f>(SUMPRODUCT(N$9:N$229,Nutrients!$BS$8:$BS$228)+(IF($A$7=Nutrients!$B$8,Nutrients!$BS$8,Nutrients!$BS$9)*N$7)+(((IF($A$8=Nutrients!$B$79,Nutrients!$BS$79,(IF($A$8=Nutrients!$B$77,Nutrients!$BS$77,Nutrients!$BS$78)))))*N$8))/2000</f>
        <v>0.46196716978644897</v>
      </c>
      <c r="O254" s="198"/>
      <c r="P254" s="23">
        <f>(SUMPRODUCT(P$9:P$229,Nutrients!$BS$8:$BS$228)+(IF($A$7=Nutrients!$B$8,Nutrients!$BS$8,Nutrients!$BS$9)*P$7)+(((IF($A$8=Nutrients!$B$79,Nutrients!$BS$79,(IF($A$8=Nutrients!$B$77,Nutrients!$BS$77,Nutrients!$BS$78)))))*P$8))/2000</f>
        <v>0.69656298153138019</v>
      </c>
      <c r="Q254" s="23">
        <f>(SUMPRODUCT(Q$9:Q$229,Nutrients!$BS$8:$BS$228)+(IF($A$7=Nutrients!$B$8,Nutrients!$BS$8,Nutrients!$BS$9)*Q$7)+(((IF($A$8=Nutrients!$B$79,Nutrients!$BS$79,(IF($A$8=Nutrients!$B$77,Nutrients!$BS$77,Nutrients!$BS$78)))))*Q$8))/2000</f>
        <v>0.62793824958166999</v>
      </c>
      <c r="R254" s="23">
        <f>(SUMPRODUCT(R$9:R$229,Nutrients!$BS$8:$BS$228)+(IF($A$7=Nutrients!$B$8,Nutrients!$BS$8,Nutrients!$BS$9)*R$7)+(((IF($A$8=Nutrients!$B$79,Nutrients!$BS$79,(IF($A$8=Nutrients!$B$77,Nutrients!$BS$77,Nutrients!$BS$78)))))*R$8))/2000</f>
        <v>0.57262658295442315</v>
      </c>
      <c r="S254" s="23">
        <f>(SUMPRODUCT(S$9:S$229,Nutrients!$BS$8:$BS$228)+(IF($A$7=Nutrients!$B$8,Nutrients!$BS$8,Nutrients!$BS$9)*S$7)+(((IF($A$8=Nutrients!$B$79,Nutrients!$BS$79,(IF($A$8=Nutrients!$B$77,Nutrients!$BS$77,Nutrients!$BS$78)))))*S$8))/2000</f>
        <v>0.52034586757814305</v>
      </c>
      <c r="T254" s="23">
        <f>(SUMPRODUCT(T$9:T$229,Nutrients!$BS$8:$BS$228)+(IF($A$7=Nutrients!$B$8,Nutrients!$BS$8,Nutrients!$BS$9)*T$7)+(((IF($A$8=Nutrients!$B$79,Nutrients!$BS$79,(IF($A$8=Nutrients!$B$77,Nutrients!$BS$77,Nutrients!$BS$78)))))*T$8))/2000</f>
        <v>0.47953612694518505</v>
      </c>
      <c r="U254" s="23">
        <f>(SUMPRODUCT(U$9:U$229,Nutrients!$BS$8:$BS$228)+(IF($A$7=Nutrients!$B$8,Nutrients!$BS$8,Nutrients!$BS$9)*U$7)+(((IF($A$8=Nutrients!$B$79,Nutrients!$BS$79,(IF($A$8=Nutrients!$B$77,Nutrients!$BS$77,Nutrients!$BS$78)))))*U$8))/2000</f>
        <v>0.46178756631413392</v>
      </c>
      <c r="W254" s="23">
        <f>(SUMPRODUCT(W$9:W$229,Nutrients!$BS$8:$BS$228)+(IF($A$7=Nutrients!$B$8,Nutrients!$BS$8,Nutrients!$BS$9)*W$7)+(((IF($A$8=Nutrients!$B$79,Nutrients!$BS$79,(IF($A$8=Nutrients!$B$77,Nutrients!$BS$77,Nutrients!$BS$78)))))*W$8))/2000</f>
        <v>0.69638310972958339</v>
      </c>
      <c r="X254" s="23">
        <f>(SUMPRODUCT(X$9:X$229,Nutrients!$BS$8:$BS$228)+(IF($A$7=Nutrients!$B$8,Nutrients!$BS$8,Nutrients!$BS$9)*X$7)+(((IF($A$8=Nutrients!$B$79,Nutrients!$BS$79,(IF($A$8=Nutrients!$B$77,Nutrients!$BS$77,Nutrients!$BS$78)))))*X$8))/2000</f>
        <v>0.62775845275316855</v>
      </c>
      <c r="Y254" s="23">
        <f>(SUMPRODUCT(Y$9:Y$229,Nutrients!$BS$8:$BS$228)+(IF($A$7=Nutrients!$B$8,Nutrients!$BS$8,Nutrients!$BS$9)*Y$7)+(((IF($A$8=Nutrients!$B$79,Nutrients!$BS$79,(IF($A$8=Nutrients!$B$77,Nutrients!$BS$77,Nutrients!$BS$78)))))*Y$8))/2000</f>
        <v>0.5716766762043638</v>
      </c>
      <c r="Z254" s="23">
        <f>(SUMPRODUCT(Z$9:Z$229,Nutrients!$BS$8:$BS$228)+(IF($A$7=Nutrients!$B$8,Nutrients!$BS$8,Nutrients!$BS$9)*Z$7)+(((IF($A$8=Nutrients!$B$79,Nutrients!$BS$79,(IF($A$8=Nutrients!$B$77,Nutrients!$BS$77,Nutrients!$BS$78)))))*Z$8))/2000</f>
        <v>0.51939588948699522</v>
      </c>
      <c r="AA254" s="23">
        <f>(SUMPRODUCT(AA$9:AA$229,Nutrients!$BS$8:$BS$228)+(IF($A$7=Nutrients!$B$8,Nutrients!$BS$8,Nutrients!$BS$9)*AA$7)+(((IF($A$8=Nutrients!$B$79,Nutrients!$BS$79,(IF($A$8=Nutrients!$B$77,Nutrients!$BS$77,Nutrients!$BS$78)))))*AA$8))/2000</f>
        <v>0.47858654424219005</v>
      </c>
      <c r="AB254" s="23">
        <f>(SUMPRODUCT(AB$9:AB$229,Nutrients!$BS$8:$BS$228)+(IF($A$7=Nutrients!$B$8,Nutrients!$BS$8,Nutrients!$BS$9)*AB$7)+(((IF($A$8=Nutrients!$B$79,Nutrients!$BS$79,(IF($A$8=Nutrients!$B$77,Nutrients!$BS$77,Nutrients!$BS$78)))))*AB$8))/2000</f>
        <v>0.46603221172879361</v>
      </c>
      <c r="AD254" s="23">
        <f>(SUMPRODUCT(AD$9:AD$229,Nutrients!$BS$8:$BS$228)+(IF($A$7=Nutrients!$B$8,Nutrients!$BS$8,Nutrients!$BS$9)*AD$7)+(((IF($A$8=Nutrients!$B$79,Nutrients!$BS$79,(IF($A$8=Nutrients!$B$77,Nutrients!$BS$77,Nutrients!$BS$78)))))*AD$8))/2000</f>
        <v>0.69581830062175032</v>
      </c>
      <c r="AE254" s="23">
        <f>(SUMPRODUCT(AE$9:AE$229,Nutrients!$BS$8:$BS$228)+(IF($A$7=Nutrients!$B$8,Nutrients!$BS$8,Nutrients!$BS$9)*AE$7)+(((IF($A$8=Nutrients!$B$79,Nutrients!$BS$79,(IF($A$8=Nutrients!$B$77,Nutrients!$BS$77,Nutrients!$BS$78)))))*AE$8))/2000</f>
        <v>0.62719361600946355</v>
      </c>
      <c r="AF254" s="23">
        <f>(SUMPRODUCT(AF$9:AF$229,Nutrients!$BS$8:$BS$228)+(IF($A$7=Nutrients!$B$8,Nutrients!$BS$8,Nutrients!$BS$9)*AF$7)+(((IF($A$8=Nutrients!$B$79,Nutrients!$BS$79,(IF($A$8=Nutrients!$B$77,Nutrients!$BS$77,Nutrients!$BS$78)))))*AF$8))/2000</f>
        <v>0.57111160959985907</v>
      </c>
      <c r="AG254" s="23">
        <f>(SUMPRODUCT(AG$9:AG$229,Nutrients!$BS$8:$BS$228)+(IF($A$7=Nutrients!$B$8,Nutrients!$BS$8,Nutrients!$BS$9)*AG$7)+(((IF($A$8=Nutrients!$B$79,Nutrients!$BS$79,(IF($A$8=Nutrients!$B$77,Nutrients!$BS$77,Nutrients!$BS$78)))))*AG$8))/2000</f>
        <v>0.51883141240462238</v>
      </c>
      <c r="AH254" s="23">
        <f>(SUMPRODUCT(AH$9:AH$229,Nutrients!$BS$8:$BS$228)+(IF($A$7=Nutrients!$B$8,Nutrients!$BS$8,Nutrients!$BS$9)*AH$7)+(((IF($A$8=Nutrients!$B$79,Nutrients!$BS$79,(IF($A$8=Nutrients!$B$77,Nutrients!$BS$77,Nutrients!$BS$78)))))*AH$8))/2000</f>
        <v>0.49697596858666282</v>
      </c>
      <c r="AI254" s="23">
        <f>(SUMPRODUCT(AI$9:AI$229,Nutrients!$BS$8:$BS$228)+(IF($A$7=Nutrients!$B$8,Nutrients!$BS$8,Nutrients!$BS$9)*AI$7)+(((IF($A$8=Nutrients!$B$79,Nutrients!$BS$79,(IF($A$8=Nutrients!$B$77,Nutrients!$BS$77,Nutrients!$BS$78)))))*AI$8))/2000</f>
        <v>0.49090337109587101</v>
      </c>
      <c r="AK254" s="23">
        <f>(SUMPRODUCT(AK$9:AK$229,Nutrients!$BS$8:$BS$228)+(IF($A$7=Nutrients!$B$8,Nutrients!$BS$8,Nutrients!$BS$9)*AK$7)+(((IF($A$8=Nutrients!$B$79,Nutrients!$BS$79,(IF($A$8=Nutrients!$B$77,Nutrients!$BS$77,Nutrients!$BS$78)))))*AK$8))/2000</f>
        <v>0.69506143138600607</v>
      </c>
      <c r="AL254" s="23">
        <f>(SUMPRODUCT(AL$9:AL$229,Nutrients!$BS$8:$BS$228)+(IF($A$7=Nutrients!$B$8,Nutrients!$BS$8,Nutrients!$BS$9)*AL$7)+(((IF($A$8=Nutrients!$B$79,Nutrients!$BS$79,(IF($A$8=Nutrients!$B$77,Nutrients!$BS$77,Nutrients!$BS$78)))))*AL$8))/2000</f>
        <v>0.62643627277465364</v>
      </c>
      <c r="AM254" s="23">
        <f>(SUMPRODUCT(AM$9:AM$229,Nutrients!$BS$8:$BS$228)+(IF($A$7=Nutrients!$B$8,Nutrients!$BS$8,Nutrients!$BS$9)*AM$7)+(((IF($A$8=Nutrients!$B$79,Nutrients!$BS$79,(IF($A$8=Nutrients!$B$77,Nutrients!$BS$77,Nutrients!$BS$78)))))*AM$8))/2000</f>
        <v>0.57035451875610033</v>
      </c>
      <c r="AN254" s="23">
        <f>(SUMPRODUCT(AN$9:AN$229,Nutrients!$BS$8:$BS$228)+(IF($A$7=Nutrients!$B$8,Nutrients!$BS$8,Nutrients!$BS$9)*AN$7)+(((IF($A$8=Nutrients!$B$79,Nutrients!$BS$79,(IF($A$8=Nutrients!$B$77,Nutrients!$BS$77,Nutrients!$BS$78)))))*AN$8))/2000</f>
        <v>0.53636170353388057</v>
      </c>
      <c r="AO254" s="23">
        <f>(SUMPRODUCT(AO$9:AO$229,Nutrients!$BS$8:$BS$228)+(IF($A$7=Nutrients!$B$8,Nutrients!$BS$8,Nutrients!$BS$9)*AO$7)+(((IF($A$8=Nutrients!$B$79,Nutrients!$BS$79,(IF($A$8=Nutrients!$B$77,Nutrients!$BS$77,Nutrients!$BS$78)))))*AO$8))/2000</f>
        <v>0.51847303091793406</v>
      </c>
      <c r="AP254" s="23">
        <f>(SUMPRODUCT(AP$9:AP$229,Nutrients!$BS$8:$BS$228)+(IF($A$7=Nutrients!$B$8,Nutrients!$BS$8,Nutrients!$BS$9)*AP$7)+(((IF($A$8=Nutrients!$B$79,Nutrients!$BS$79,(IF($A$8=Nutrients!$B$77,Nutrients!$BS$77,Nutrients!$BS$78)))))*AP$8))/2000</f>
        <v>0.51239879411972589</v>
      </c>
      <c r="AR254" s="23">
        <f>(SUMPRODUCT(AR$9:AR$229,Nutrients!$BS$8:$BS$228)+(IF($A$7=Nutrients!$B$8,Nutrients!$BS$8,Nutrients!$BS$9)*AR$7)+(((IF($A$8=Nutrients!$B$79,Nutrients!$BS$79,(IF($A$8=Nutrients!$B$77,Nutrients!$BS$77,Nutrients!$BS$78)))))*AR$8))/2000</f>
        <v>0.69488140099454243</v>
      </c>
      <c r="AS254" s="23">
        <f>(SUMPRODUCT(AS$9:AS$229,Nutrients!$BS$8:$BS$228)+(IF($A$7=Nutrients!$B$8,Nutrients!$BS$8,Nutrients!$BS$9)*AS$7)+(((IF($A$8=Nutrients!$B$79,Nutrients!$BS$79,(IF($A$8=Nutrients!$B$77,Nutrients!$BS$77,Nutrients!$BS$78)))))*AS$8))/2000</f>
        <v>0.62625643311671819</v>
      </c>
      <c r="AT254" s="23">
        <f>(SUMPRODUCT(AT$9:AT$229,Nutrients!$BS$8:$BS$228)+(IF($A$7=Nutrients!$B$8,Nutrients!$BS$8,Nutrients!$BS$9)*AT$7)+(((IF($A$8=Nutrients!$B$79,Nutrients!$BS$79,(IF($A$8=Nutrients!$B$77,Nutrients!$BS$77,Nutrients!$BS$78)))))*AT$8))/2000</f>
        <v>0.57620130315289597</v>
      </c>
      <c r="AU254" s="23">
        <f>(SUMPRODUCT(AU$9:AU$229,Nutrients!$BS$8:$BS$228)+(IF($A$7=Nutrients!$B$8,Nutrients!$BS$8,Nutrients!$BS$9)*AU$7)+(((IF($A$8=Nutrients!$B$79,Nutrients!$BS$79,(IF($A$8=Nutrients!$B$77,Nutrients!$BS$77,Nutrients!$BS$78)))))*AU$8))/2000</f>
        <v>0.55810225983282347</v>
      </c>
      <c r="AV254" s="23">
        <f>(SUMPRODUCT(AV$9:AV$229,Nutrients!$BS$8:$BS$228)+(IF($A$7=Nutrients!$B$8,Nutrients!$BS$8,Nutrients!$BS$9)*AV$7)+(((IF($A$8=Nutrients!$B$79,Nutrients!$BS$79,(IF($A$8=Nutrients!$B$77,Nutrients!$BS$77,Nutrients!$BS$78)))))*AV$8))/2000</f>
        <v>0.53996746183626676</v>
      </c>
      <c r="AW254" s="23">
        <f>(SUMPRODUCT(AW$9:AW$229,Nutrients!$BS$8:$BS$228)+(IF($A$7=Nutrients!$B$8,Nutrients!$BS$8,Nutrients!$BS$9)*AW$7)+(((IF($A$8=Nutrients!$B$79,Nutrients!$BS$79,(IF($A$8=Nutrients!$B$77,Nutrients!$BS$77,Nutrients!$BS$78)))))*AW$8))/2000</f>
        <v>0.5338922835299551</v>
      </c>
    </row>
    <row r="255" spans="1:56" x14ac:dyDescent="0.25">
      <c r="A255" s="41" t="s">
        <v>145</v>
      </c>
      <c r="B255" s="23">
        <f>(SUMPRODUCT(B$9:B$229,Nutrients!$BX$8:$BX$228)+(IF($A$7=Nutrients!$B$8,Nutrients!$BX$8,Nutrients!$BX$9)*B$7)+(((IF($A$8=Nutrients!$B$79,Nutrients!$BX$79,(IF($A$8=Nutrients!$B$77,Nutrients!$BX$77,Nutrients!$BX$78)))))*B$8))/2000</f>
        <v>0.5346695452711987</v>
      </c>
      <c r="C255" s="23">
        <f>(SUMPRODUCT(C$9:C$229,Nutrients!$BX$8:$BX$228)+(IF($A$7=Nutrients!$B$8,Nutrients!$BX$8,Nutrients!$BX$9)*C$7)+(((IF($A$8=Nutrients!$B$79,Nutrients!$BX$79,(IF($A$8=Nutrients!$B$77,Nutrients!$BX$77,Nutrients!$BX$78)))))*C$8))/2000</f>
        <v>0.48121097221673825</v>
      </c>
      <c r="D255" s="23">
        <f>(SUMPRODUCT(D$9:D$229,Nutrients!$BX$8:$BX$228)+(IF($A$7=Nutrients!$B$8,Nutrients!$BX$8,Nutrients!$BX$9)*D$7)+(((IF($A$8=Nutrients!$B$79,Nutrients!$BX$79,(IF($A$8=Nutrients!$B$77,Nutrients!$BX$77,Nutrients!$BX$78)))))*D$8))/2000</f>
        <v>0.42976285680817727</v>
      </c>
      <c r="E255" s="23">
        <f>(SUMPRODUCT(E$9:E$229,Nutrients!$BX$8:$BX$228)+(IF($A$7=Nutrients!$B$8,Nutrients!$BX$8,Nutrients!$BX$9)*E$7)+(((IF($A$8=Nutrients!$B$79,Nutrients!$BX$79,(IF($A$8=Nutrients!$B$77,Nutrients!$BX$77,Nutrients!$BX$78)))))*E$8))/2000</f>
        <v>0.3909770634935561</v>
      </c>
      <c r="F255" s="23">
        <f>(SUMPRODUCT(F$9:F$229,Nutrients!$BX$8:$BX$228)+(IF($A$7=Nutrients!$B$8,Nutrients!$BX$8,Nutrients!$BX$9)*F$7)+(((IF($A$8=Nutrients!$B$79,Nutrients!$BX$79,(IF($A$8=Nutrients!$B$77,Nutrients!$BX$77,Nutrients!$BX$78)))))*F$8))/2000</f>
        <v>0.36342201195104268</v>
      </c>
      <c r="G255" s="23">
        <f>(SUMPRODUCT(G$9:G$229,Nutrients!$BX$8:$BX$228)+(IF($A$7=Nutrients!$B$8,Nutrients!$BX$8,Nutrients!$BX$9)*G$7)+(((IF($A$8=Nutrients!$B$79,Nutrients!$BX$79,(IF($A$8=Nutrients!$B$77,Nutrients!$BX$77,Nutrients!$BX$78)))))*G$8))/2000</f>
        <v>0.35071811324744068</v>
      </c>
      <c r="H255" s="227"/>
      <c r="I255" s="23">
        <f>(SUMPRODUCT(I$9:I$229,Nutrients!$BX$8:$BX$228)+(IF($A$7=Nutrients!$B$8,Nutrients!$BX$8,Nutrients!$BX$9)*I$7)+(((IF($A$8=Nutrients!$B$79,Nutrients!$BX$79,(IF($A$8=Nutrients!$B$77,Nutrients!$BX$77,Nutrients!$BX$78)))))*I$8))/2000</f>
        <v>0.53450166864639903</v>
      </c>
      <c r="J255" s="23">
        <f>(SUMPRODUCT(J$9:J$229,Nutrients!$BX$8:$BX$228)+(IF($A$7=Nutrients!$B$8,Nutrients!$BX$8,Nutrients!$BX$9)*J$7)+(((IF($A$8=Nutrients!$B$79,Nutrients!$BX$79,(IF($A$8=Nutrients!$B$77,Nutrients!$BX$77,Nutrients!$BX$78)))))*J$8))/2000</f>
        <v>0.48102845472648448</v>
      </c>
      <c r="K255" s="23">
        <f>(SUMPRODUCT(K$9:K$229,Nutrients!$BX$8:$BX$228)+(IF($A$7=Nutrients!$B$8,Nutrients!$BX$8,Nutrients!$BX$9)*K$7)+(((IF($A$8=Nutrients!$B$79,Nutrients!$BX$79,(IF($A$8=Nutrients!$B$77,Nutrients!$BX$77,Nutrients!$BX$78)))))*K$8))/2000</f>
        <v>0.4270394386275293</v>
      </c>
      <c r="L255" s="23">
        <f>(SUMPRODUCT(L$9:L$229,Nutrients!$BX$8:$BX$228)+(IF($A$7=Nutrients!$B$8,Nutrients!$BX$8,Nutrients!$BX$9)*L$7)+(((IF($A$8=Nutrients!$B$79,Nutrients!$BX$79,(IF($A$8=Nutrients!$B$77,Nutrients!$BX$77,Nutrients!$BX$78)))))*L$8))/2000</f>
        <v>0.387667940289663</v>
      </c>
      <c r="M255" s="23">
        <f>(SUMPRODUCT(M$9:M$229,Nutrients!$BX$8:$BX$228)+(IF($A$7=Nutrients!$B$8,Nutrients!$BX$8,Nutrients!$BX$9)*M$7)+(((IF($A$8=Nutrients!$B$79,Nutrients!$BX$79,(IF($A$8=Nutrients!$B$77,Nutrients!$BX$77,Nutrients!$BX$78)))))*M$8))/2000</f>
        <v>0.36134985960540678</v>
      </c>
      <c r="N255" s="23">
        <f>(SUMPRODUCT(N$9:N$229,Nutrients!$BX$8:$BX$228)+(IF($A$7=Nutrients!$B$8,Nutrients!$BX$8,Nutrients!$BX$9)*N$7)+(((IF($A$8=Nutrients!$B$79,Nutrients!$BX$79,(IF($A$8=Nutrients!$B$77,Nutrients!$BX$77,Nutrients!$BX$78)))))*N$8))/2000</f>
        <v>0.34784942080999781</v>
      </c>
      <c r="O255" s="198"/>
      <c r="P255" s="23">
        <f>(SUMPRODUCT(P$9:P$229,Nutrients!$BX$8:$BX$228)+(IF($A$7=Nutrients!$B$8,Nutrients!$BX$8,Nutrients!$BX$9)*P$7)+(((IF($A$8=Nutrients!$B$79,Nutrients!$BX$79,(IF($A$8=Nutrients!$B$77,Nutrients!$BX$77,Nutrients!$BX$78)))))*P$8))/2000</f>
        <v>0.53325651276949138</v>
      </c>
      <c r="Q255" s="23">
        <f>(SUMPRODUCT(Q$9:Q$229,Nutrients!$BX$8:$BX$228)+(IF($A$7=Nutrients!$B$8,Nutrients!$BX$8,Nutrients!$BX$9)*Q$7)+(((IF($A$8=Nutrients!$B$79,Nutrients!$BX$79,(IF($A$8=Nutrients!$B$77,Nutrients!$BX$77,Nutrients!$BX$78)))))*Q$8))/2000</f>
        <v>0.47977901249519955</v>
      </c>
      <c r="R255" s="23">
        <f>(SUMPRODUCT(R$9:R$229,Nutrients!$BX$8:$BX$228)+(IF($A$7=Nutrients!$B$8,Nutrients!$BX$8,Nutrients!$BX$9)*R$7)+(((IF($A$8=Nutrients!$B$79,Nutrients!$BX$79,(IF($A$8=Nutrients!$B$77,Nutrients!$BX$77,Nutrients!$BX$78)))))*R$8))/2000</f>
        <v>0.42578352659627206</v>
      </c>
      <c r="S255" s="23">
        <f>(SUMPRODUCT(S$9:S$229,Nutrients!$BX$8:$BX$228)+(IF($A$7=Nutrients!$B$8,Nutrients!$BX$8,Nutrients!$BX$9)*S$7)+(((IF($A$8=Nutrients!$B$79,Nutrients!$BX$79,(IF($A$8=Nutrients!$B$77,Nutrients!$BX$77,Nutrients!$BX$78)))))*S$8))/2000</f>
        <v>0.38641457304023824</v>
      </c>
      <c r="T255" s="23">
        <f>(SUMPRODUCT(T$9:T$229,Nutrients!$BX$8:$BX$228)+(IF($A$7=Nutrients!$B$8,Nutrients!$BX$8,Nutrients!$BX$9)*T$7)+(((IF($A$8=Nutrients!$B$79,Nutrients!$BX$79,(IF($A$8=Nutrients!$B$77,Nutrients!$BX$77,Nutrients!$BX$78)))))*T$8))/2000</f>
        <v>0.36009014696163977</v>
      </c>
      <c r="U255" s="23">
        <f>(SUMPRODUCT(U$9:U$229,Nutrients!$BX$8:$BX$228)+(IF($A$7=Nutrients!$B$8,Nutrients!$BX$8,Nutrients!$BX$9)*U$7)+(((IF($A$8=Nutrients!$B$79,Nutrients!$BX$79,(IF($A$8=Nutrients!$B$77,Nutrients!$BX$77,Nutrients!$BX$78)))))*U$8))/2000</f>
        <v>0.3465831188072182</v>
      </c>
      <c r="W255" s="23">
        <f>(SUMPRODUCT(W$9:W$229,Nutrients!$BX$8:$BX$228)+(IF($A$7=Nutrients!$B$8,Nutrients!$BX$8,Nutrients!$BX$9)*W$7)+(((IF($A$8=Nutrients!$B$79,Nutrients!$BX$79,(IF($A$8=Nutrients!$B$77,Nutrients!$BX$77,Nutrients!$BX$78)))))*W$8))/2000</f>
        <v>0.53200797512823772</v>
      </c>
      <c r="X255" s="23">
        <f>(SUMPRODUCT(X$9:X$229,Nutrients!$BX$8:$BX$228)+(IF($A$7=Nutrients!$B$8,Nutrients!$BX$8,Nutrients!$BX$9)*X$7)+(((IF($A$8=Nutrients!$B$79,Nutrients!$BX$79,(IF($A$8=Nutrients!$B$77,Nutrients!$BX$77,Nutrients!$BX$78)))))*X$8))/2000</f>
        <v>0.47852551135639965</v>
      </c>
      <c r="Y255" s="23">
        <f>(SUMPRODUCT(Y$9:Y$229,Nutrients!$BX$8:$BX$228)+(IF($A$7=Nutrients!$B$8,Nutrients!$BX$8,Nutrients!$BX$9)*Y$7)+(((IF($A$8=Nutrients!$B$79,Nutrients!$BX$79,(IF($A$8=Nutrients!$B$77,Nutrients!$BX$77,Nutrients!$BX$78)))))*Y$8))/2000</f>
        <v>0.42453690265371458</v>
      </c>
      <c r="Z255" s="23">
        <f>(SUMPRODUCT(Z$9:Z$229,Nutrients!$BX$8:$BX$228)+(IF($A$7=Nutrients!$B$8,Nutrients!$BX$8,Nutrients!$BX$9)*Z$7)+(((IF($A$8=Nutrients!$B$79,Nutrients!$BX$79,(IF($A$8=Nutrients!$B$77,Nutrients!$BX$77,Nutrients!$BX$78)))))*Z$8))/2000</f>
        <v>0.38517267213028716</v>
      </c>
      <c r="AA255" s="23">
        <f>(SUMPRODUCT(AA$9:AA$229,Nutrients!$BX$8:$BX$228)+(IF($A$7=Nutrients!$B$8,Nutrients!$BX$8,Nutrients!$BX$9)*AA$7)+(((IF($A$8=Nutrients!$B$79,Nutrients!$BX$79,(IF($A$8=Nutrients!$B$77,Nutrients!$BX$77,Nutrients!$BX$78)))))*AA$8))/2000</f>
        <v>0.35882206995636079</v>
      </c>
      <c r="AB255" s="23">
        <f>(SUMPRODUCT(AB$9:AB$229,Nutrients!$BX$8:$BX$228)+(IF($A$7=Nutrients!$B$8,Nutrients!$BX$8,Nutrients!$BX$9)*AB$7)+(((IF($A$8=Nutrients!$B$79,Nutrients!$BX$79,(IF($A$8=Nutrients!$B$77,Nutrients!$BX$77,Nutrients!$BX$78)))))*AB$8))/2000</f>
        <v>0.35050859844683713</v>
      </c>
      <c r="AD255" s="23">
        <f>(SUMPRODUCT(AD$9:AD$229,Nutrients!$BX$8:$BX$228)+(IF($A$7=Nutrients!$B$8,Nutrients!$BX$8,Nutrients!$BX$9)*AD$7)+(((IF($A$8=Nutrients!$B$79,Nutrients!$BX$79,(IF($A$8=Nutrients!$B$77,Nutrients!$BX$77,Nutrients!$BX$78)))))*AD$8))/2000</f>
        <v>0.53075508692466766</v>
      </c>
      <c r="AE255" s="23">
        <f>(SUMPRODUCT(AE$9:AE$229,Nutrients!$BX$8:$BX$228)+(IF($A$7=Nutrients!$B$8,Nutrients!$BX$8,Nutrients!$BX$9)*AE$7)+(((IF($A$8=Nutrients!$B$79,Nutrients!$BX$79,(IF($A$8=Nutrients!$B$77,Nutrients!$BX$77,Nutrients!$BX$78)))))*AE$8))/2000</f>
        <v>0.47727445274538483</v>
      </c>
      <c r="AF255" s="23">
        <f>(SUMPRODUCT(AF$9:AF$229,Nutrients!$BX$8:$BX$228)+(IF($A$7=Nutrients!$B$8,Nutrients!$BX$8,Nutrients!$BX$9)*AF$7)+(((IF($A$8=Nutrients!$B$79,Nutrients!$BX$79,(IF($A$8=Nutrients!$B$77,Nutrients!$BX$77,Nutrients!$BX$78)))))*AF$8))/2000</f>
        <v>0.4233010616413011</v>
      </c>
      <c r="AG255" s="23">
        <f>(SUMPRODUCT(AG$9:AG$229,Nutrients!$BX$8:$BX$228)+(IF($A$7=Nutrients!$B$8,Nutrients!$BX$8,Nutrients!$BX$9)*AG$7)+(((IF($A$8=Nutrients!$B$79,Nutrients!$BX$79,(IF($A$8=Nutrients!$B$77,Nutrients!$BX$77,Nutrients!$BX$78)))))*AG$8))/2000</f>
        <v>0.38389780266593476</v>
      </c>
      <c r="AH255" s="23">
        <f>(SUMPRODUCT(AH$9:AH$229,Nutrients!$BX$8:$BX$228)+(IF($A$7=Nutrients!$B$8,Nutrients!$BX$8,Nutrients!$BX$9)*AH$7)+(((IF($A$8=Nutrients!$B$79,Nutrients!$BX$79,(IF($A$8=Nutrients!$B$77,Nutrients!$BX$77,Nutrients!$BX$78)))))*AH$8))/2000</f>
        <v>0.36922162898605482</v>
      </c>
      <c r="AI255" s="23">
        <f>(SUMPRODUCT(AI$9:AI$229,Nutrients!$BX$8:$BX$228)+(IF($A$7=Nutrients!$B$8,Nutrients!$BX$8,Nutrients!$BX$9)*AI$7)+(((IF($A$8=Nutrients!$B$79,Nutrients!$BX$79,(IF($A$8=Nutrients!$B$77,Nutrients!$BX$77,Nutrients!$BX$78)))))*AI$8))/2000</f>
        <v>0.36308478209611611</v>
      </c>
      <c r="AK255" s="23">
        <f>(SUMPRODUCT(AK$9:AK$229,Nutrients!$BX$8:$BX$228)+(IF($A$7=Nutrients!$B$8,Nutrients!$BX$8,Nutrients!$BX$9)*AK$7)+(((IF($A$8=Nutrients!$B$79,Nutrients!$BX$79,(IF($A$8=Nutrients!$B$77,Nutrients!$BX$77,Nutrients!$BX$78)))))*AK$8))/2000</f>
        <v>0.52947297763174184</v>
      </c>
      <c r="AL255" s="23">
        <f>(SUMPRODUCT(AL$9:AL$229,Nutrients!$BX$8:$BX$228)+(IF($A$7=Nutrients!$B$8,Nutrients!$BX$8,Nutrients!$BX$9)*AL$7)+(((IF($A$8=Nutrients!$B$79,Nutrients!$BX$79,(IF($A$8=Nutrients!$B$77,Nutrients!$BX$77,Nutrients!$BX$78)))))*AL$8))/2000</f>
        <v>0.4760237238684763</v>
      </c>
      <c r="AM255" s="23">
        <f>(SUMPRODUCT(AM$9:AM$229,Nutrients!$BX$8:$BX$228)+(IF($A$7=Nutrients!$B$8,Nutrients!$BX$8,Nutrients!$BX$9)*AM$7)+(((IF($A$8=Nutrients!$B$79,Nutrients!$BX$79,(IF($A$8=Nutrients!$B$77,Nutrients!$BX$77,Nutrients!$BX$78)))))*AM$8))/2000</f>
        <v>0.42203362358339697</v>
      </c>
      <c r="AN255" s="23">
        <f>(SUMPRODUCT(AN$9:AN$229,Nutrients!$BX$8:$BX$228)+(IF($A$7=Nutrients!$B$8,Nutrients!$BX$8,Nutrients!$BX$9)*AN$7)+(((IF($A$8=Nutrients!$B$79,Nutrients!$BX$79,(IF($A$8=Nutrients!$B$77,Nutrients!$BX$77,Nutrients!$BX$78)))))*AN$8))/2000</f>
        <v>0.39380428584002719</v>
      </c>
      <c r="AO255" s="23">
        <f>(SUMPRODUCT(AO$9:AO$229,Nutrients!$BX$8:$BX$228)+(IF($A$7=Nutrients!$B$8,Nutrients!$BX$8,Nutrients!$BX$9)*AO$7)+(((IF($A$8=Nutrients!$B$79,Nutrients!$BX$79,(IF($A$8=Nutrients!$B$77,Nutrients!$BX$77,Nutrients!$BX$78)))))*AO$8))/2000</f>
        <v>0.3818198565876384</v>
      </c>
      <c r="AP255" s="23">
        <f>(SUMPRODUCT(AP$9:AP$229,Nutrients!$BX$8:$BX$228)+(IF($A$7=Nutrients!$B$8,Nutrients!$BX$8,Nutrients!$BX$9)*AP$7)+(((IF($A$8=Nutrients!$B$79,Nutrients!$BX$79,(IF($A$8=Nutrients!$B$77,Nutrients!$BX$77,Nutrients!$BX$78)))))*AP$8))/2000</f>
        <v>0.37568106188559464</v>
      </c>
      <c r="AR255" s="23">
        <f>(SUMPRODUCT(AR$9:AR$229,Nutrients!$BX$8:$BX$228)+(IF($A$7=Nutrients!$B$8,Nutrients!$BX$8,Nutrients!$BX$9)*AR$7)+(((IF($A$8=Nutrients!$B$79,Nutrients!$BX$79,(IF($A$8=Nutrients!$B$77,Nutrients!$BX$77,Nutrients!$BX$78)))))*AR$8))/2000</f>
        <v>0.52823493918782216</v>
      </c>
      <c r="AS255" s="23">
        <f>(SUMPRODUCT(AS$9:AS$229,Nutrients!$BX$8:$BX$228)+(IF($A$7=Nutrients!$B$8,Nutrients!$BX$8,Nutrients!$BX$9)*AS$7)+(((IF($A$8=Nutrients!$B$79,Nutrients!$BX$79,(IF($A$8=Nutrients!$B$77,Nutrients!$BX$77,Nutrients!$BX$78)))))*AS$8))/2000</f>
        <v>0.47477305818982823</v>
      </c>
      <c r="AT255" s="23">
        <f>(SUMPRODUCT(AT$9:AT$229,Nutrients!$BX$8:$BX$228)+(IF($A$7=Nutrients!$B$8,Nutrients!$BX$8,Nutrients!$BX$9)*AT$7)+(((IF($A$8=Nutrients!$B$79,Nutrients!$BX$79,(IF($A$8=Nutrients!$B$77,Nutrients!$BX$77,Nutrients!$BX$78)))))*AT$8))/2000</f>
        <v>0.42446001255490406</v>
      </c>
      <c r="AU255" s="23">
        <f>(SUMPRODUCT(AU$9:AU$229,Nutrients!$BX$8:$BX$228)+(IF($A$7=Nutrients!$B$8,Nutrients!$BX$8,Nutrients!$BX$9)*AU$7)+(((IF($A$8=Nutrients!$B$79,Nutrients!$BX$79,(IF($A$8=Nutrients!$B$77,Nutrients!$BX$77,Nutrients!$BX$78)))))*AU$8))/2000</f>
        <v>0.40640352560061455</v>
      </c>
      <c r="AV255" s="23">
        <f>(SUMPRODUCT(AV$9:AV$229,Nutrients!$BX$8:$BX$228)+(IF($A$7=Nutrients!$B$8,Nutrients!$BX$8,Nutrients!$BX$9)*AV$7)+(((IF($A$8=Nutrients!$B$79,Nutrients!$BX$79,(IF($A$8=Nutrients!$B$77,Nutrients!$BX$77,Nutrients!$BX$78)))))*AV$8))/2000</f>
        <v>0.39441331284495029</v>
      </c>
      <c r="AW255" s="23">
        <f>(SUMPRODUCT(AW$9:AW$229,Nutrients!$BX$8:$BX$228)+(IF($A$7=Nutrients!$B$8,Nutrients!$BX$8,Nutrients!$BX$9)*AW$7)+(((IF($A$8=Nutrients!$B$79,Nutrients!$BX$79,(IF($A$8=Nutrients!$B$77,Nutrients!$BX$77,Nutrients!$BX$78)))))*AW$8))/2000</f>
        <v>0.38827278456160014</v>
      </c>
    </row>
    <row r="256" spans="1:56" x14ac:dyDescent="0.25">
      <c r="A256" s="48" t="s">
        <v>156</v>
      </c>
      <c r="B256" s="23">
        <f>(SUMPRODUCT(B$9:B$229,Nutrients!$EB$8:$EB$228)+(IF($A$7=Nutrients!$B$8,Nutrients!$EB$8,Nutrients!$EB$9)*B$7)+(((IF($A$8=Nutrients!$B$79,Nutrients!$EB$79,(IF($A$8=Nutrients!$B$77,Nutrients!$EB$77,Nutrients!$EB$78)))))*B$8))/2000</f>
        <v>0.21736490825429733</v>
      </c>
      <c r="C256" s="23">
        <f>(SUMPRODUCT(C$9:C$229,Nutrients!$EB$8:$EB$228)+(IF($A$7=Nutrients!$B$8,Nutrients!$EB$8,Nutrients!$EB$9)*C$7)+(((IF($A$8=Nutrients!$B$79,Nutrients!$EB$79,(IF($A$8=Nutrients!$B$77,Nutrients!$EB$77,Nutrients!$EB$78)))))*C$8))/2000</f>
        <v>0.18121360963694014</v>
      </c>
      <c r="D256" s="23">
        <f>(SUMPRODUCT(D$9:D$229,Nutrients!$EB$8:$EB$228)+(IF($A$7=Nutrients!$B$8,Nutrients!$EB$8,Nutrients!$EB$9)*D$7)+(((IF($A$8=Nutrients!$B$79,Nutrients!$EB$79,(IF($A$8=Nutrients!$B$77,Nutrients!$EB$77,Nutrients!$EB$78)))))*D$8))/2000</f>
        <v>0.1446187906188299</v>
      </c>
      <c r="E256" s="23">
        <f>(SUMPRODUCT(E$9:E$229,Nutrients!$EB$8:$EB$228)+(IF($A$7=Nutrients!$B$8,Nutrients!$EB$8,Nutrients!$EB$9)*E$7)+(((IF($A$8=Nutrients!$B$79,Nutrients!$EB$79,(IF($A$8=Nutrients!$B$77,Nutrients!$EB$77,Nutrients!$EB$78)))))*E$8))/2000</f>
        <v>0.11837941481999412</v>
      </c>
      <c r="F256" s="23">
        <f>(SUMPRODUCT(F$9:F$229,Nutrients!$EB$8:$EB$228)+(IF($A$7=Nutrients!$B$8,Nutrients!$EB$8,Nutrients!$EB$9)*F$7)+(((IF($A$8=Nutrients!$B$79,Nutrients!$EB$79,(IF($A$8=Nutrients!$B$77,Nutrients!$EB$77,Nutrients!$EB$78)))))*F$8))/2000</f>
        <v>9.9071678699147347E-2</v>
      </c>
      <c r="G256" s="23">
        <f>(SUMPRODUCT(G$9:G$229,Nutrients!$EB$8:$EB$228)+(IF($A$7=Nutrients!$B$8,Nutrients!$EB$8,Nutrients!$EB$9)*G$7)+(((IF($A$8=Nutrients!$B$79,Nutrients!$EB$79,(IF($A$8=Nutrients!$B$77,Nutrients!$EB$77,Nutrients!$EB$78)))))*G$8))/2000</f>
        <v>9.0636415067427589E-2</v>
      </c>
      <c r="H256" s="227"/>
      <c r="I256" s="23">
        <f>(SUMPRODUCT(I$9:I$229,Nutrients!$EB$8:$EB$228)+(IF($A$7=Nutrients!$B$8,Nutrients!$EB$8,Nutrients!$EB$9)*I$7)+(((IF($A$8=Nutrients!$B$79,Nutrients!$EB$79,(IF($A$8=Nutrients!$B$77,Nutrients!$EB$77,Nutrients!$EB$78)))))*I$8))/2000</f>
        <v>0.20032876812813466</v>
      </c>
      <c r="J256" s="23">
        <f>(SUMPRODUCT(J$9:J$229,Nutrients!$EB$8:$EB$228)+(IF($A$7=Nutrients!$B$8,Nutrients!$EB$8,Nutrients!$EB$9)*J$7)+(((IF($A$8=Nutrients!$B$79,Nutrients!$EB$79,(IF($A$8=Nutrients!$B$77,Nutrients!$EB$77,Nutrients!$EB$78)))))*J$8))/2000</f>
        <v>0.16417568719866785</v>
      </c>
      <c r="K256" s="23">
        <f>(SUMPRODUCT(K$9:K$229,Nutrients!$EB$8:$EB$228)+(IF($A$7=Nutrients!$B$8,Nutrients!$EB$8,Nutrients!$EB$9)*K$7)+(((IF($A$8=Nutrients!$B$79,Nutrients!$EB$79,(IF($A$8=Nutrients!$B$77,Nutrients!$EB$77,Nutrients!$EB$78)))))*K$8))/2000</f>
        <v>0.12501672494352439</v>
      </c>
      <c r="L256" s="23">
        <f>(SUMPRODUCT(L$9:L$229,Nutrients!$EB$8:$EB$228)+(IF($A$7=Nutrients!$B$8,Nutrients!$EB$8,Nutrients!$EB$9)*L$7)+(((IF($A$8=Nutrients!$B$79,Nutrients!$EB$79,(IF($A$8=Nutrients!$B$77,Nutrients!$EB$77,Nutrients!$EB$78)))))*L$8))/2000</f>
        <v>9.8157072418378358E-2</v>
      </c>
      <c r="M256" s="23">
        <f>(SUMPRODUCT(M$9:M$229,Nutrients!$EB$8:$EB$228)+(IF($A$7=Nutrients!$B$8,Nutrients!$EB$8,Nutrients!$EB$9)*M$7)+(((IF($A$8=Nutrients!$B$79,Nutrients!$EB$79,(IF($A$8=Nutrients!$B$77,Nutrients!$EB$77,Nutrients!$EB$78)))))*M$8))/2000</f>
        <v>8.0111141837727329E-2</v>
      </c>
      <c r="N256" s="23">
        <f>(SUMPRODUCT(N$9:N$229,Nutrients!$EB$8:$EB$228)+(IF($A$7=Nutrients!$B$8,Nutrients!$EB$8,Nutrients!$EB$9)*N$7)+(((IF($A$8=Nutrients!$B$79,Nutrients!$EB$79,(IF($A$8=Nutrients!$B$77,Nutrients!$EB$77,Nutrients!$EB$78)))))*N$8))/2000</f>
        <v>7.0862353745697854E-2</v>
      </c>
      <c r="O256" s="198"/>
      <c r="P256" s="23">
        <f>(SUMPRODUCT(P$9:P$229,Nutrients!$EB$8:$EB$228)+(IF($A$7=Nutrients!$B$8,Nutrients!$EB$8,Nutrients!$EB$9)*P$7)+(((IF($A$8=Nutrients!$B$79,Nutrients!$EB$79,(IF($A$8=Nutrients!$B$77,Nutrients!$EB$77,Nutrients!$EB$78)))))*P$8))/2000</f>
        <v>0.18221735980300099</v>
      </c>
      <c r="Q256" s="23">
        <f>(SUMPRODUCT(Q$9:Q$229,Nutrients!$EB$8:$EB$228)+(IF($A$7=Nutrients!$B$8,Nutrients!$EB$8,Nutrients!$EB$9)*Q$7)+(((IF($A$8=Nutrients!$B$79,Nutrients!$EB$79,(IF($A$8=Nutrients!$B$77,Nutrients!$EB$77,Nutrients!$EB$78)))))*Q$8))/2000</f>
        <v>0.14606377031514869</v>
      </c>
      <c r="R256" s="23">
        <f>(SUMPRODUCT(R$9:R$229,Nutrients!$EB$8:$EB$228)+(IF($A$7=Nutrients!$B$8,Nutrients!$EB$8,Nutrients!$EB$9)*R$7)+(((IF($A$8=Nutrients!$B$79,Nutrients!$EB$79,(IF($A$8=Nutrients!$B$77,Nutrients!$EB$77,Nutrients!$EB$78)))))*R$8))/2000</f>
        <v>0.10690404044474559</v>
      </c>
      <c r="S256" s="23">
        <f>(SUMPRODUCT(S$9:S$229,Nutrients!$EB$8:$EB$228)+(IF($A$7=Nutrients!$B$8,Nutrients!$EB$8,Nutrients!$EB$9)*S$7)+(((IF($A$8=Nutrients!$B$79,Nutrients!$EB$79,(IF($A$8=Nutrients!$B$77,Nutrients!$EB$77,Nutrients!$EB$78)))))*S$8))/2000</f>
        <v>8.0044689847537889E-2</v>
      </c>
      <c r="T256" s="23">
        <f>(SUMPRODUCT(T$9:T$229,Nutrients!$EB$8:$EB$228)+(IF($A$7=Nutrients!$B$8,Nutrients!$EB$8,Nutrients!$EB$9)*T$7)+(((IF($A$8=Nutrients!$B$79,Nutrients!$EB$79,(IF($A$8=Nutrients!$B$77,Nutrients!$EB$77,Nutrients!$EB$78)))))*T$8))/2000</f>
        <v>6.1998006411845524E-2</v>
      </c>
      <c r="U256" s="23">
        <f>(SUMPRODUCT(U$9:U$229,Nutrients!$EB$8:$EB$228)+(IF($A$7=Nutrients!$B$8,Nutrients!$EB$8,Nutrients!$EB$9)*U$7)+(((IF($A$8=Nutrients!$B$79,Nutrients!$EB$79,(IF($A$8=Nutrients!$B$77,Nutrients!$EB$77,Nutrients!$EB$78)))))*U$8))/2000</f>
        <v>5.2748436519366122E-2</v>
      </c>
      <c r="W256" s="23">
        <f>(SUMPRODUCT(W$9:W$229,Nutrients!$EB$8:$EB$228)+(IF($A$7=Nutrients!$B$8,Nutrients!$EB$8,Nutrients!$EB$9)*W$7)+(((IF($A$8=Nutrients!$B$79,Nutrients!$EB$79,(IF($A$8=Nutrients!$B$77,Nutrients!$EB$77,Nutrients!$EB$78)))))*W$8))/2000</f>
        <v>0.16410555024538293</v>
      </c>
      <c r="X256" s="23">
        <f>(SUMPRODUCT(X$9:X$229,Nutrients!$EB$8:$EB$228)+(IF($A$7=Nutrients!$B$8,Nutrients!$EB$8,Nutrients!$EB$9)*X$7)+(((IF($A$8=Nutrients!$B$79,Nutrients!$EB$79,(IF($A$8=Nutrients!$B$77,Nutrients!$EB$77,Nutrients!$EB$78)))))*X$8))/2000</f>
        <v>0.12795137185888245</v>
      </c>
      <c r="Y256" s="23">
        <f>(SUMPRODUCT(Y$9:Y$229,Nutrients!$EB$8:$EB$228)+(IF($A$7=Nutrients!$B$8,Nutrients!$EB$8,Nutrients!$EB$9)*Y$7)+(((IF($A$8=Nutrients!$B$79,Nutrients!$EB$79,(IF($A$8=Nutrients!$B$77,Nutrients!$EB$77,Nutrients!$EB$78)))))*Y$8))/2000</f>
        <v>8.8792505397998461E-2</v>
      </c>
      <c r="Z256" s="23">
        <f>(SUMPRODUCT(Z$9:Z$229,Nutrients!$EB$8:$EB$228)+(IF($A$7=Nutrients!$B$8,Nutrients!$EB$8,Nutrients!$EB$9)*Z$7)+(((IF($A$8=Nutrients!$B$79,Nutrients!$EB$79,(IF($A$8=Nutrients!$B$77,Nutrients!$EB$77,Nutrients!$EB$78)))))*Z$8))/2000</f>
        <v>6.1933715169259072E-2</v>
      </c>
      <c r="AA256" s="23">
        <f>(SUMPRODUCT(AA$9:AA$229,Nutrients!$EB$8:$EB$228)+(IF($A$7=Nutrients!$B$8,Nutrients!$EB$8,Nutrients!$EB$9)*AA$7)+(((IF($A$8=Nutrients!$B$79,Nutrients!$EB$79,(IF($A$8=Nutrients!$B$77,Nutrients!$EB$77,Nutrients!$EB$78)))))*AA$8))/2000</f>
        <v>4.3883926047100688E-2</v>
      </c>
      <c r="AB256" s="23">
        <f>(SUMPRODUCT(AB$9:AB$229,Nutrients!$EB$8:$EB$228)+(IF($A$7=Nutrients!$B$8,Nutrients!$EB$8,Nutrients!$EB$9)*AB$7)+(((IF($A$8=Nutrients!$B$79,Nutrients!$EB$79,(IF($A$8=Nutrients!$B$77,Nutrients!$EB$77,Nutrients!$EB$78)))))*AB$8))/2000</f>
        <v>3.9906587302750381E-2</v>
      </c>
      <c r="AD256" s="23">
        <f>(SUMPRODUCT(AD$9:AD$229,Nutrients!$EB$8:$EB$228)+(IF($A$7=Nutrients!$B$8,Nutrients!$EB$8,Nutrients!$EB$9)*AD$7)+(((IF($A$8=Nutrients!$B$79,Nutrients!$EB$79,(IF($A$8=Nutrients!$B$77,Nutrients!$EB$77,Nutrients!$EB$78)))))*AD$8))/2000</f>
        <v>0.14599324824055099</v>
      </c>
      <c r="AE256" s="23">
        <f>(SUMPRODUCT(AE$9:AE$229,Nutrients!$EB$8:$EB$228)+(IF($A$7=Nutrients!$B$8,Nutrients!$EB$8,Nutrients!$EB$9)*AE$7)+(((IF($A$8=Nutrients!$B$79,Nutrients!$EB$79,(IF($A$8=Nutrients!$B$77,Nutrients!$EB$77,Nutrients!$EB$78)))))*AE$8))/2000</f>
        <v>0.10983928692771132</v>
      </c>
      <c r="AF256" s="23">
        <f>(SUMPRODUCT(AF$9:AF$229,Nutrients!$EB$8:$EB$228)+(IF($A$7=Nutrients!$B$8,Nutrients!$EB$8,Nutrients!$EB$9)*AF$7)+(((IF($A$8=Nutrients!$B$79,Nutrients!$EB$79,(IF($A$8=Nutrients!$B$77,Nutrients!$EB$77,Nutrients!$EB$78)))))*AF$8))/2000</f>
        <v>7.0682225972554191E-2</v>
      </c>
      <c r="AG256" s="23">
        <f>(SUMPRODUCT(AG$9:AG$229,Nutrients!$EB$8:$EB$228)+(IF($A$7=Nutrients!$B$8,Nutrients!$EB$8,Nutrients!$EB$9)*AG$7)+(((IF($A$8=Nutrients!$B$79,Nutrients!$EB$79,(IF($A$8=Nutrients!$B$77,Nutrients!$EB$77,Nutrients!$EB$78)))))*AG$8))/2000</f>
        <v>4.3818805177893598E-2</v>
      </c>
      <c r="AH256" s="23">
        <f>(SUMPRODUCT(AH$9:AH$229,Nutrients!$EB$8:$EB$228)+(IF($A$7=Nutrients!$B$8,Nutrients!$EB$8,Nutrients!$EB$9)*AH$7)+(((IF($A$8=Nutrients!$B$79,Nutrients!$EB$79,(IF($A$8=Nutrients!$B$77,Nutrients!$EB$77,Nutrients!$EB$78)))))*AH$8))/2000</f>
        <v>3.7664280280643996E-2</v>
      </c>
      <c r="AI256" s="23">
        <f>(SUMPRODUCT(AI$9:AI$229,Nutrients!$EB$8:$EB$228)+(IF($A$7=Nutrients!$B$8,Nutrients!$EB$8,Nutrients!$EB$9)*AI$7)+(((IF($A$8=Nutrients!$B$79,Nutrients!$EB$79,(IF($A$8=Nutrients!$B$77,Nutrients!$EB$77,Nutrients!$EB$78)))))*AI$8))/2000</f>
        <v>3.5940627482818059E-2</v>
      </c>
      <c r="AK256" s="23">
        <f>(SUMPRODUCT(AK$9:AK$229,Nutrients!$EB$8:$EB$228)+(IF($A$7=Nutrients!$B$8,Nutrients!$EB$8,Nutrients!$EB$9)*AK$7)+(((IF($A$8=Nutrients!$B$79,Nutrients!$EB$79,(IF($A$8=Nutrients!$B$77,Nutrients!$EB$77,Nutrients!$EB$78)))))*AK$8))/2000</f>
        <v>0.12787749113777752</v>
      </c>
      <c r="AL256" s="23">
        <f>(SUMPRODUCT(AL$9:AL$229,Nutrients!$EB$8:$EB$228)+(IF($A$7=Nutrients!$B$8,Nutrients!$EB$8,Nutrients!$EB$9)*AL$7)+(((IF($A$8=Nutrients!$B$79,Nutrients!$EB$79,(IF($A$8=Nutrients!$B$77,Nutrients!$EB$77,Nutrients!$EB$78)))))*AL$8))/2000</f>
        <v>9.1727252982731253E-2</v>
      </c>
      <c r="AM256" s="23">
        <f>(SUMPRODUCT(AM$9:AM$229,Nutrients!$EB$8:$EB$228)+(IF($A$7=Nutrients!$B$8,Nutrients!$EB$8,Nutrients!$EB$9)*AM$7)+(((IF($A$8=Nutrients!$B$79,Nutrients!$EB$79,(IF($A$8=Nutrients!$B$77,Nutrients!$EB$77,Nutrients!$EB$78)))))*AM$8))/2000</f>
        <v>5.2568209551707296E-2</v>
      </c>
      <c r="AN256" s="23">
        <f>(SUMPRODUCT(AN$9:AN$229,Nutrients!$EB$8:$EB$228)+(IF($A$7=Nutrients!$B$8,Nutrients!$EB$8,Nutrients!$EB$9)*AN$7)+(((IF($A$8=Nutrients!$B$79,Nutrients!$EB$79,(IF($A$8=Nutrients!$B$77,Nutrients!$EB$77,Nutrients!$EB$78)))))*AN$8))/2000</f>
        <v>3.7080067628940186E-2</v>
      </c>
      <c r="AO256" s="23">
        <f>(SUMPRODUCT(AO$9:AO$229,Nutrients!$EB$8:$EB$228)+(IF($A$7=Nutrients!$B$8,Nutrients!$EB$8,Nutrients!$EB$9)*AO$7)+(((IF($A$8=Nutrients!$B$79,Nutrients!$EB$79,(IF($A$8=Nutrients!$B$77,Nutrients!$EB$77,Nutrients!$EB$78)))))*AO$8))/2000</f>
        <v>3.3701143823074049E-2</v>
      </c>
      <c r="AP256" s="23">
        <f>(SUMPRODUCT(AP$9:AP$229,Nutrients!$EB$8:$EB$228)+(IF($A$7=Nutrients!$B$8,Nutrients!$EB$8,Nutrients!$EB$9)*AP$7)+(((IF($A$8=Nutrients!$B$79,Nutrients!$EB$79,(IF($A$8=Nutrients!$B$77,Nutrients!$EB$77,Nutrients!$EB$78)))))*AP$8))/2000</f>
        <v>3.1977260028172153E-2</v>
      </c>
      <c r="AR256" s="23">
        <f>(SUMPRODUCT(AR$9:AR$229,Nutrients!$EB$8:$EB$228)+(IF($A$7=Nutrients!$B$8,Nutrients!$EB$8,Nutrients!$EB$9)*AR$7)+(((IF($A$8=Nutrients!$B$79,Nutrients!$EB$79,(IF($A$8=Nutrients!$B$77,Nutrients!$EB$77,Nutrients!$EB$78)))))*AR$8))/2000</f>
        <v>0.1097669272669074</v>
      </c>
      <c r="AS256" s="23">
        <f>(SUMPRODUCT(AS$9:AS$229,Nutrients!$EB$8:$EB$228)+(IF($A$7=Nutrients!$B$8,Nutrients!$EB$8,Nutrients!$EB$9)*AS$7)+(((IF($A$8=Nutrients!$B$79,Nutrients!$EB$79,(IF($A$8=Nutrients!$B$77,Nutrients!$EB$77,Nutrients!$EB$78)))))*AS$8))/2000</f>
        <v>7.3615190942195E-2</v>
      </c>
      <c r="AT256" s="23">
        <f>(SUMPRODUCT(AT$9:AT$229,Nutrients!$EB$8:$EB$228)+(IF($A$7=Nutrients!$B$8,Nutrients!$EB$8,Nutrients!$EB$9)*AT$7)+(((IF($A$8=Nutrients!$B$79,Nutrients!$EB$79,(IF($A$8=Nutrients!$B$77,Nutrients!$EB$77,Nutrients!$EB$78)))))*AT$8))/2000</f>
        <v>3.8198301972294811E-2</v>
      </c>
      <c r="AU256" s="23">
        <f>(SUMPRODUCT(AU$9:AU$229,Nutrients!$EB$8:$EB$228)+(IF($A$7=Nutrients!$B$8,Nutrients!$EB$8,Nutrients!$EB$9)*AU$7)+(((IF($A$8=Nutrients!$B$79,Nutrients!$EB$79,(IF($A$8=Nutrients!$B$77,Nutrients!$EB$77,Nutrients!$EB$78)))))*AU$8))/2000</f>
        <v>3.3117036251500136E-2</v>
      </c>
      <c r="AV256" s="23">
        <f>(SUMPRODUCT(AV$9:AV$229,Nutrients!$EB$8:$EB$228)+(IF($A$7=Nutrients!$B$8,Nutrients!$EB$8,Nutrients!$EB$9)*AV$7)+(((IF($A$8=Nutrients!$B$79,Nutrients!$EB$79,(IF($A$8=Nutrients!$B$77,Nutrients!$EB$77,Nutrients!$EB$78)))))*AV$8))/2000</f>
        <v>2.9737441431680514E-2</v>
      </c>
      <c r="AW256" s="23">
        <f>(SUMPRODUCT(AW$9:AW$229,Nutrients!$EB$8:$EB$228)+(IF($A$7=Nutrients!$B$8,Nutrients!$EB$8,Nutrients!$EB$9)*AW$7)+(((IF($A$8=Nutrients!$B$79,Nutrients!$EB$79,(IF($A$8=Nutrients!$B$77,Nutrients!$EB$77,Nutrients!$EB$78)))))*AW$8))/2000</f>
        <v>2.801335201410177E-2</v>
      </c>
    </row>
    <row r="257" spans="1:59" x14ac:dyDescent="0.25">
      <c r="A257" s="48" t="s">
        <v>146</v>
      </c>
      <c r="B257" s="23">
        <f>IF((SUMPRODUCT(B$9:B$229,Nutrients!$EE$8:$EE$228))=0,B256,IF((SUMPRODUCT(B$9:B$229,Nutrients!$EE$8:$EE$228))&gt;(1500*907),B256+0.14,B256+0.00000000006666*((SUMPRODUCT(B$9:B$229,Nutrients!$EE$8:$EE$228)/907))^3-0.00000023623322*((SUMPRODUCT(B$9:B$229,Nutrients!$EE$8:$EE$228)/907))^2+0.00029262722672*((SUMPRODUCT(B$9:B$229,Nutrients!$EE$8:$EE$228)/907))+0.007028328))</f>
        <v>0.32997934872513002</v>
      </c>
      <c r="C257" s="23">
        <f>IF((SUMPRODUCT(C$9:C$229,Nutrients!$EE$8:$EE$228))=0,C256,IF((SUMPRODUCT(C$9:C$229,Nutrients!$EE$8:$EE$228))&gt;(1500*907),C256+0.14,C256+0.00000000006666*((SUMPRODUCT(C$9:C$229,Nutrients!$EE$8:$EE$228)/907))^3-0.00000023623322*((SUMPRODUCT(C$9:C$229,Nutrients!$EE$8:$EE$228)/907))^2+0.00029262722672*((SUMPRODUCT(C$9:C$229,Nutrients!$EE$8:$EE$228)/907))+0.007028328))</f>
        <v>0.2938280501077728</v>
      </c>
      <c r="D257" s="23">
        <f>IF((SUMPRODUCT(D$9:D$229,Nutrients!$EE$8:$EE$228))=0,D256,IF((SUMPRODUCT(D$9:D$229,Nutrients!$EE$8:$EE$228))&gt;(1500*907),D256+0.14,D256+0.00000000006666*((SUMPRODUCT(D$9:D$229,Nutrients!$EE$8:$EE$228)/907))^3-0.00000023623322*((SUMPRODUCT(D$9:D$229,Nutrients!$EE$8:$EE$228)/907))^2+0.00029262722672*((SUMPRODUCT(D$9:D$229,Nutrients!$EE$8:$EE$228)/907))+0.007028328))</f>
        <v>0.25723323108966256</v>
      </c>
      <c r="E257" s="23">
        <f>IF((SUMPRODUCT(E$9:E$229,Nutrients!$EE$8:$EE$228))=0,E256,IF((SUMPRODUCT(E$9:E$229,Nutrients!$EE$8:$EE$228))&gt;(1500*907),E256+0.14,E256+0.00000000006666*((SUMPRODUCT(E$9:E$229,Nutrients!$EE$8:$EE$228)/907))^3-0.00000023623322*((SUMPRODUCT(E$9:E$229,Nutrients!$EE$8:$EE$228)/907))^2+0.00029262722672*((SUMPRODUCT(E$9:E$229,Nutrients!$EE$8:$EE$228)/907))+0.007028328))</f>
        <v>0.23099385529082681</v>
      </c>
      <c r="F257" s="23">
        <f>IF((SUMPRODUCT(F$9:F$229,Nutrients!$EE$8:$EE$228))=0,F256,IF((SUMPRODUCT(F$9:F$229,Nutrients!$EE$8:$EE$228))&gt;(1500*907),F256+0.14,F256+0.00000000006666*((SUMPRODUCT(F$9:F$229,Nutrients!$EE$8:$EE$228)/907))^3-0.00000023623322*((SUMPRODUCT(F$9:F$229,Nutrients!$EE$8:$EE$228)/907))^2+0.00029262722672*((SUMPRODUCT(F$9:F$229,Nutrients!$EE$8:$EE$228)/907))+0.007028328))</f>
        <v>0.21168611916998004</v>
      </c>
      <c r="G257" s="23">
        <f>IF((SUMPRODUCT(G$9:G$229,Nutrients!$EE$8:$EE$228))=0,G256,IF((SUMPRODUCT(G$9:G$229,Nutrients!$EE$8:$EE$228))&gt;(1500*907),G256+0.14,G256+0.00000000006666*((SUMPRODUCT(G$9:G$229,Nutrients!$EE$8:$EE$228)/907))^3-0.00000023623322*((SUMPRODUCT(G$9:G$229,Nutrients!$EE$8:$EE$228)/907))^2+0.00029262722672*((SUMPRODUCT(G$9:G$229,Nutrients!$EE$8:$EE$228)/907))+0.007028328))</f>
        <v>0.20325085553826028</v>
      </c>
      <c r="H257" s="227"/>
      <c r="I257" s="23">
        <f>IF((SUMPRODUCT(I$9:I$229,Nutrients!$EE$8:$EE$228))=0,I256,IF((SUMPRODUCT(I$9:I$229,Nutrients!$EE$8:$EE$228))&gt;(1500*907),I256+0.14,I256+0.00000000006666*((SUMPRODUCT(I$9:I$229,Nutrients!$EE$8:$EE$228)/907))^3-0.00000023623322*((SUMPRODUCT(I$9:I$229,Nutrients!$EE$8:$EE$228)/907))^2+0.00029262722672*((SUMPRODUCT(I$9:I$229,Nutrients!$EE$8:$EE$228)/907))+0.007028328))</f>
        <v>0.31294320859896729</v>
      </c>
      <c r="J257" s="23">
        <f>IF((SUMPRODUCT(J$9:J$229,Nutrients!$EE$8:$EE$228))=0,J256,IF((SUMPRODUCT(J$9:J$229,Nutrients!$EE$8:$EE$228))&gt;(1500*907),J256+0.14,J256+0.00000000006666*((SUMPRODUCT(J$9:J$229,Nutrients!$EE$8:$EE$228)/907))^3-0.00000023623322*((SUMPRODUCT(J$9:J$229,Nutrients!$EE$8:$EE$228)/907))^2+0.00029262722672*((SUMPRODUCT(J$9:J$229,Nutrients!$EE$8:$EE$228)/907))+0.007028328))</f>
        <v>0.27679012766950051</v>
      </c>
      <c r="K257" s="23">
        <f>IF((SUMPRODUCT(K$9:K$229,Nutrients!$EE$8:$EE$228))=0,K256,IF((SUMPRODUCT(K$9:K$229,Nutrients!$EE$8:$EE$228))&gt;(1500*907),K256+0.14,K256+0.00000000006666*((SUMPRODUCT(K$9:K$229,Nutrients!$EE$8:$EE$228)/907))^3-0.00000023623322*((SUMPRODUCT(K$9:K$229,Nutrients!$EE$8:$EE$228)/907))^2+0.00029262722672*((SUMPRODUCT(K$9:K$229,Nutrients!$EE$8:$EE$228)/907))+0.007028328))</f>
        <v>0.23763116541435705</v>
      </c>
      <c r="L257" s="23">
        <f>IF((SUMPRODUCT(L$9:L$229,Nutrients!$EE$8:$EE$228))=0,L256,IF((SUMPRODUCT(L$9:L$229,Nutrients!$EE$8:$EE$228))&gt;(1500*907),L256+0.14,L256+0.00000000006666*((SUMPRODUCT(L$9:L$229,Nutrients!$EE$8:$EE$228)/907))^3-0.00000023623322*((SUMPRODUCT(L$9:L$229,Nutrients!$EE$8:$EE$228)/907))^2+0.00029262722672*((SUMPRODUCT(L$9:L$229,Nutrients!$EE$8:$EE$228)/907))+0.007028328))</f>
        <v>0.21077151288921106</v>
      </c>
      <c r="M257" s="23">
        <f>IF((SUMPRODUCT(M$9:M$229,Nutrients!$EE$8:$EE$228))=0,M256,IF((SUMPRODUCT(M$9:M$229,Nutrients!$EE$8:$EE$228))&gt;(1500*907),M256+0.14,M256+0.00000000006666*((SUMPRODUCT(M$9:M$229,Nutrients!$EE$8:$EE$228)/907))^3-0.00000023623322*((SUMPRODUCT(M$9:M$229,Nutrients!$EE$8:$EE$228)/907))^2+0.00029262722672*((SUMPRODUCT(M$9:M$229,Nutrients!$EE$8:$EE$228)/907))+0.007028328))</f>
        <v>0.19272558230856002</v>
      </c>
      <c r="N257" s="23">
        <f>IF((SUMPRODUCT(N$9:N$229,Nutrients!$EE$8:$EE$228))=0,N256,IF((SUMPRODUCT(N$9:N$229,Nutrients!$EE$8:$EE$228))&gt;(1500*907),N256+0.14,N256+0.00000000006666*((SUMPRODUCT(N$9:N$229,Nutrients!$EE$8:$EE$228)/907))^3-0.00000023623322*((SUMPRODUCT(N$9:N$229,Nutrients!$EE$8:$EE$228)/907))^2+0.00029262722672*((SUMPRODUCT(N$9:N$229,Nutrients!$EE$8:$EE$228)/907))+0.007028328))</f>
        <v>0.18347679421653054</v>
      </c>
      <c r="O257" s="198"/>
      <c r="P257" s="23">
        <f>IF((SUMPRODUCT(P$9:P$229,Nutrients!$EE$8:$EE$228))=0,P256,IF((SUMPRODUCT(P$9:P$229,Nutrients!$EE$8:$EE$228))&gt;(1500*907),P256+0.14,P256+0.00000000006666*((SUMPRODUCT(P$9:P$229,Nutrients!$EE$8:$EE$228)/907))^3-0.00000023623322*((SUMPRODUCT(P$9:P$229,Nutrients!$EE$8:$EE$228)/907))^2+0.00029262722672*((SUMPRODUCT(P$9:P$229,Nutrients!$EE$8:$EE$228)/907))+0.007028328))</f>
        <v>0.29483180027383371</v>
      </c>
      <c r="Q257" s="23">
        <f>IF((SUMPRODUCT(Q$9:Q$229,Nutrients!$EE$8:$EE$228))=0,Q256,IF((SUMPRODUCT(Q$9:Q$229,Nutrients!$EE$8:$EE$228))&gt;(1500*907),Q256+0.14,Q256+0.00000000006666*((SUMPRODUCT(Q$9:Q$229,Nutrients!$EE$8:$EE$228)/907))^3-0.00000023623322*((SUMPRODUCT(Q$9:Q$229,Nutrients!$EE$8:$EE$228)/907))^2+0.00029262722672*((SUMPRODUCT(Q$9:Q$229,Nutrients!$EE$8:$EE$228)/907))+0.007028328))</f>
        <v>0.25867821078598141</v>
      </c>
      <c r="R257" s="23">
        <f>IF((SUMPRODUCT(R$9:R$229,Nutrients!$EE$8:$EE$228))=0,R256,IF((SUMPRODUCT(R$9:R$229,Nutrients!$EE$8:$EE$228))&gt;(1500*907),R256+0.14,R256+0.00000000006666*((SUMPRODUCT(R$9:R$229,Nutrients!$EE$8:$EE$228)/907))^3-0.00000023623322*((SUMPRODUCT(R$9:R$229,Nutrients!$EE$8:$EE$228)/907))^2+0.00029262722672*((SUMPRODUCT(R$9:R$229,Nutrients!$EE$8:$EE$228)/907))+0.007028328))</f>
        <v>0.21951848091557827</v>
      </c>
      <c r="S257" s="23">
        <f>IF((SUMPRODUCT(S$9:S$229,Nutrients!$EE$8:$EE$228))=0,S256,IF((SUMPRODUCT(S$9:S$229,Nutrients!$EE$8:$EE$228))&gt;(1500*907),S256+0.14,S256+0.00000000006666*((SUMPRODUCT(S$9:S$229,Nutrients!$EE$8:$EE$228)/907))^3-0.00000023623322*((SUMPRODUCT(S$9:S$229,Nutrients!$EE$8:$EE$228)/907))^2+0.00029262722672*((SUMPRODUCT(S$9:S$229,Nutrients!$EE$8:$EE$228)/907))+0.007028328))</f>
        <v>0.19265913031837059</v>
      </c>
      <c r="T257" s="23">
        <f>IF((SUMPRODUCT(T$9:T$229,Nutrients!$EE$8:$EE$228))=0,T256,IF((SUMPRODUCT(T$9:T$229,Nutrients!$EE$8:$EE$228))&gt;(1500*907),T256+0.14,T256+0.00000000006666*((SUMPRODUCT(T$9:T$229,Nutrients!$EE$8:$EE$228)/907))^3-0.00000023623322*((SUMPRODUCT(T$9:T$229,Nutrients!$EE$8:$EE$228)/907))^2+0.00029262722672*((SUMPRODUCT(T$9:T$229,Nutrients!$EE$8:$EE$228)/907))+0.007028328))</f>
        <v>0.17461244688267821</v>
      </c>
      <c r="U257" s="23">
        <f>IF((SUMPRODUCT(U$9:U$229,Nutrients!$EE$8:$EE$228))=0,U256,IF((SUMPRODUCT(U$9:U$229,Nutrients!$EE$8:$EE$228))&gt;(1500*907),U256+0.14,U256+0.00000000006666*((SUMPRODUCT(U$9:U$229,Nutrients!$EE$8:$EE$228)/907))^3-0.00000023623322*((SUMPRODUCT(U$9:U$229,Nutrients!$EE$8:$EE$228)/907))^2+0.00029262722672*((SUMPRODUCT(U$9:U$229,Nutrients!$EE$8:$EE$228)/907))+0.007028328))</f>
        <v>0.1653628769901988</v>
      </c>
      <c r="W257" s="23">
        <f>IF((SUMPRODUCT(W$9:W$229,Nutrients!$EE$8:$EE$228))=0,W256,IF((SUMPRODUCT(W$9:W$229,Nutrients!$EE$8:$EE$228))&gt;(1500*907),W256+0.14,W256+0.00000000006666*((SUMPRODUCT(W$9:W$229,Nutrients!$EE$8:$EE$228)/907))^3-0.00000023623322*((SUMPRODUCT(W$9:W$229,Nutrients!$EE$8:$EE$228)/907))^2+0.00029262722672*((SUMPRODUCT(W$9:W$229,Nutrients!$EE$8:$EE$228)/907))+0.007028328))</f>
        <v>0.27671999071621556</v>
      </c>
      <c r="X257" s="23">
        <f>IF((SUMPRODUCT(X$9:X$229,Nutrients!$EE$8:$EE$228))=0,X256,IF((SUMPRODUCT(X$9:X$229,Nutrients!$EE$8:$EE$228))&gt;(1500*907),X256+0.14,X256+0.00000000006666*((SUMPRODUCT(X$9:X$229,Nutrients!$EE$8:$EE$228)/907))^3-0.00000023623322*((SUMPRODUCT(X$9:X$229,Nutrients!$EE$8:$EE$228)/907))^2+0.00029262722672*((SUMPRODUCT(X$9:X$229,Nutrients!$EE$8:$EE$228)/907))+0.007028328))</f>
        <v>0.24056581232971511</v>
      </c>
      <c r="Y257" s="23">
        <f>IF((SUMPRODUCT(Y$9:Y$229,Nutrients!$EE$8:$EE$228))=0,Y256,IF((SUMPRODUCT(Y$9:Y$229,Nutrients!$EE$8:$EE$228))&gt;(1500*907),Y256+0.14,Y256+0.00000000006666*((SUMPRODUCT(Y$9:Y$229,Nutrients!$EE$8:$EE$228)/907))^3-0.00000023623322*((SUMPRODUCT(Y$9:Y$229,Nutrients!$EE$8:$EE$228)/907))^2+0.00029262722672*((SUMPRODUCT(Y$9:Y$229,Nutrients!$EE$8:$EE$228)/907))+0.007028328))</f>
        <v>0.20140694586883115</v>
      </c>
      <c r="Z257" s="23">
        <f>IF((SUMPRODUCT(Z$9:Z$229,Nutrients!$EE$8:$EE$228))=0,Z256,IF((SUMPRODUCT(Z$9:Z$229,Nutrients!$EE$8:$EE$228))&gt;(1500*907),Z256+0.14,Z256+0.00000000006666*((SUMPRODUCT(Z$9:Z$229,Nutrients!$EE$8:$EE$228)/907))^3-0.00000023623322*((SUMPRODUCT(Z$9:Z$229,Nutrients!$EE$8:$EE$228)/907))^2+0.00029262722672*((SUMPRODUCT(Z$9:Z$229,Nutrients!$EE$8:$EE$228)/907))+0.007028328))</f>
        <v>0.17454815564009177</v>
      </c>
      <c r="AA257" s="23">
        <f>IF((SUMPRODUCT(AA$9:AA$229,Nutrients!$EE$8:$EE$228))=0,AA256,IF((SUMPRODUCT(AA$9:AA$229,Nutrients!$EE$8:$EE$228))&gt;(1500*907),AA256+0.14,AA256+0.00000000006666*((SUMPRODUCT(AA$9:AA$229,Nutrients!$EE$8:$EE$228)/907))^3-0.00000023623322*((SUMPRODUCT(AA$9:AA$229,Nutrients!$EE$8:$EE$228)/907))^2+0.00029262722672*((SUMPRODUCT(AA$9:AA$229,Nutrients!$EE$8:$EE$228)/907))+0.007028328))</f>
        <v>0.15649836651793339</v>
      </c>
      <c r="AB257" s="23">
        <f>IF((SUMPRODUCT(AB$9:AB$229,Nutrients!$EE$8:$EE$228))=0,AB256,IF((SUMPRODUCT(AB$9:AB$229,Nutrients!$EE$8:$EE$228))&gt;(1500*907),AB256+0.14,AB256+0.00000000006666*((SUMPRODUCT(AB$9:AB$229,Nutrients!$EE$8:$EE$228)/907))^3-0.00000023623322*((SUMPRODUCT(AB$9:AB$229,Nutrients!$EE$8:$EE$228)/907))^2+0.00029262722672*((SUMPRODUCT(AB$9:AB$229,Nutrients!$EE$8:$EE$228)/907))+0.007028328))</f>
        <v>0.15252102777358306</v>
      </c>
      <c r="AD257" s="23">
        <f>IF((SUMPRODUCT(AD$9:AD$229,Nutrients!$EE$8:$EE$228))=0,AD256,IF((SUMPRODUCT(AD$9:AD$229,Nutrients!$EE$8:$EE$228))&gt;(1500*907),AD256+0.14,AD256+0.00000000006666*((SUMPRODUCT(AD$9:AD$229,Nutrients!$EE$8:$EE$228)/907))^3-0.00000023623322*((SUMPRODUCT(AD$9:AD$229,Nutrients!$EE$8:$EE$228)/907))^2+0.00029262722672*((SUMPRODUCT(AD$9:AD$229,Nutrients!$EE$8:$EE$228)/907))+0.007028328))</f>
        <v>0.25860768871138362</v>
      </c>
      <c r="AE257" s="23">
        <f>IF((SUMPRODUCT(AE$9:AE$229,Nutrients!$EE$8:$EE$228))=0,AE256,IF((SUMPRODUCT(AE$9:AE$229,Nutrients!$EE$8:$EE$228))&gt;(1500*907),AE256+0.14,AE256+0.00000000006666*((SUMPRODUCT(AE$9:AE$229,Nutrients!$EE$8:$EE$228)/907))^3-0.00000023623322*((SUMPRODUCT(AE$9:AE$229,Nutrients!$EE$8:$EE$228)/907))^2+0.00029262722672*((SUMPRODUCT(AE$9:AE$229,Nutrients!$EE$8:$EE$228)/907))+0.007028328))</f>
        <v>0.22245372739854399</v>
      </c>
      <c r="AF257" s="23">
        <f>IF((SUMPRODUCT(AF$9:AF$229,Nutrients!$EE$8:$EE$228))=0,AF256,IF((SUMPRODUCT(AF$9:AF$229,Nutrients!$EE$8:$EE$228))&gt;(1500*907),AF256+0.14,AF256+0.00000000006666*((SUMPRODUCT(AF$9:AF$229,Nutrients!$EE$8:$EE$228)/907))^3-0.00000023623322*((SUMPRODUCT(AF$9:AF$229,Nutrients!$EE$8:$EE$228)/907))^2+0.00029262722672*((SUMPRODUCT(AF$9:AF$229,Nutrients!$EE$8:$EE$228)/907))+0.007028328))</f>
        <v>0.18329666644338688</v>
      </c>
      <c r="AG257" s="23">
        <f>IF((SUMPRODUCT(AG$9:AG$229,Nutrients!$EE$8:$EE$228))=0,AG256,IF((SUMPRODUCT(AG$9:AG$229,Nutrients!$EE$8:$EE$228))&gt;(1500*907),AG256+0.14,AG256+0.00000000006666*((SUMPRODUCT(AG$9:AG$229,Nutrients!$EE$8:$EE$228)/907))^3-0.00000023623322*((SUMPRODUCT(AG$9:AG$229,Nutrients!$EE$8:$EE$228)/907))^2+0.00029262722672*((SUMPRODUCT(AG$9:AG$229,Nutrients!$EE$8:$EE$228)/907))+0.007028328))</f>
        <v>0.15643324564872627</v>
      </c>
      <c r="AH257" s="23">
        <f>IF((SUMPRODUCT(AH$9:AH$229,Nutrients!$EE$8:$EE$228))=0,AH256,IF((SUMPRODUCT(AH$9:AH$229,Nutrients!$EE$8:$EE$228))&gt;(1500*907),AH256+0.14,AH256+0.00000000006666*((SUMPRODUCT(AH$9:AH$229,Nutrients!$EE$8:$EE$228)/907))^3-0.00000023623322*((SUMPRODUCT(AH$9:AH$229,Nutrients!$EE$8:$EE$228)/907))^2+0.00029262722672*((SUMPRODUCT(AH$9:AH$229,Nutrients!$EE$8:$EE$228)/907))+0.007028328))</f>
        <v>0.15027872075147666</v>
      </c>
      <c r="AI257" s="23">
        <f>IF((SUMPRODUCT(AI$9:AI$229,Nutrients!$EE$8:$EE$228))=0,AI256,IF((SUMPRODUCT(AI$9:AI$229,Nutrients!$EE$8:$EE$228))&gt;(1500*907),AI256+0.14,AI256+0.00000000006666*((SUMPRODUCT(AI$9:AI$229,Nutrients!$EE$8:$EE$228)/907))^3-0.00000023623322*((SUMPRODUCT(AI$9:AI$229,Nutrients!$EE$8:$EE$228)/907))^2+0.00029262722672*((SUMPRODUCT(AI$9:AI$229,Nutrients!$EE$8:$EE$228)/907))+0.007028328))</f>
        <v>0.14855506795365073</v>
      </c>
      <c r="AK257" s="23">
        <f>IF((SUMPRODUCT(AK$9:AK$229,Nutrients!$EE$8:$EE$228))=0,AK256,IF((SUMPRODUCT(AK$9:AK$229,Nutrients!$EE$8:$EE$228))&gt;(1500*907),AK256+0.14,AK256+0.00000000006666*((SUMPRODUCT(AK$9:AK$229,Nutrients!$EE$8:$EE$228)/907))^3-0.00000023623322*((SUMPRODUCT(AK$9:AK$229,Nutrients!$EE$8:$EE$228)/907))^2+0.00029262722672*((SUMPRODUCT(AK$9:AK$229,Nutrients!$EE$8:$EE$228)/907))+0.007028328))</f>
        <v>0.24049193160861018</v>
      </c>
      <c r="AL257" s="23">
        <f>IF((SUMPRODUCT(AL$9:AL$229,Nutrients!$EE$8:$EE$228))=0,AL256,IF((SUMPRODUCT(AL$9:AL$229,Nutrients!$EE$8:$EE$228))&gt;(1500*907),AL256+0.14,AL256+0.00000000006666*((SUMPRODUCT(AL$9:AL$229,Nutrients!$EE$8:$EE$228)/907))^3-0.00000023623322*((SUMPRODUCT(AL$9:AL$229,Nutrients!$EE$8:$EE$228)/907))^2+0.00029262722672*((SUMPRODUCT(AL$9:AL$229,Nutrients!$EE$8:$EE$228)/907))+0.007028328))</f>
        <v>0.20434169345356393</v>
      </c>
      <c r="AM257" s="23">
        <f>IF((SUMPRODUCT(AM$9:AM$229,Nutrients!$EE$8:$EE$228))=0,AM256,IF((SUMPRODUCT(AM$9:AM$229,Nutrients!$EE$8:$EE$228))&gt;(1500*907),AM256+0.14,AM256+0.00000000006666*((SUMPRODUCT(AM$9:AM$229,Nutrients!$EE$8:$EE$228)/907))^3-0.00000023623322*((SUMPRODUCT(AM$9:AM$229,Nutrients!$EE$8:$EE$228)/907))^2+0.00029262722672*((SUMPRODUCT(AM$9:AM$229,Nutrients!$EE$8:$EE$228)/907))+0.007028328))</f>
        <v>0.16518265002253998</v>
      </c>
      <c r="AN257" s="23">
        <f>IF((SUMPRODUCT(AN$9:AN$229,Nutrients!$EE$8:$EE$228))=0,AN256,IF((SUMPRODUCT(AN$9:AN$229,Nutrients!$EE$8:$EE$228))&gt;(1500*907),AN256+0.14,AN256+0.00000000006666*((SUMPRODUCT(AN$9:AN$229,Nutrients!$EE$8:$EE$228)/907))^3-0.00000023623322*((SUMPRODUCT(AN$9:AN$229,Nutrients!$EE$8:$EE$228)/907))^2+0.00029262722672*((SUMPRODUCT(AN$9:AN$229,Nutrients!$EE$8:$EE$228)/907))+0.007028328))</f>
        <v>0.14969450809977289</v>
      </c>
      <c r="AO257" s="23">
        <f>IF((SUMPRODUCT(AO$9:AO$229,Nutrients!$EE$8:$EE$228))=0,AO256,IF((SUMPRODUCT(AO$9:AO$229,Nutrients!$EE$8:$EE$228))&gt;(1500*907),AO256+0.14,AO256+0.00000000006666*((SUMPRODUCT(AO$9:AO$229,Nutrients!$EE$8:$EE$228)/907))^3-0.00000023623322*((SUMPRODUCT(AO$9:AO$229,Nutrients!$EE$8:$EE$228)/907))^2+0.00029262722672*((SUMPRODUCT(AO$9:AO$229,Nutrients!$EE$8:$EE$228)/907))+0.007028328))</f>
        <v>0.14631558429390673</v>
      </c>
      <c r="AP257" s="23">
        <f>IF((SUMPRODUCT(AP$9:AP$229,Nutrients!$EE$8:$EE$228))=0,AP256,IF((SUMPRODUCT(AP$9:AP$229,Nutrients!$EE$8:$EE$228))&gt;(1500*907),AP256+0.14,AP256+0.00000000006666*((SUMPRODUCT(AP$9:AP$229,Nutrients!$EE$8:$EE$228)/907))^3-0.00000023623322*((SUMPRODUCT(AP$9:AP$229,Nutrients!$EE$8:$EE$228)/907))^2+0.00029262722672*((SUMPRODUCT(AP$9:AP$229,Nutrients!$EE$8:$EE$228)/907))+0.007028328))</f>
        <v>0.14459170049900485</v>
      </c>
      <c r="AR257" s="23">
        <f>IF((SUMPRODUCT(AR$9:AR$229,Nutrients!$EE$8:$EE$228))=0,AR256,IF((SUMPRODUCT(AR$9:AR$229,Nutrients!$EE$8:$EE$228))&gt;(1500*907),AR256+0.14,AR256+0.00000000006666*((SUMPRODUCT(AR$9:AR$229,Nutrients!$EE$8:$EE$228)/907))^3-0.00000023623322*((SUMPRODUCT(AR$9:AR$229,Nutrients!$EE$8:$EE$228)/907))^2+0.00029262722672*((SUMPRODUCT(AR$9:AR$229,Nutrients!$EE$8:$EE$228)/907))+0.007028328))</f>
        <v>0.22238136773774009</v>
      </c>
      <c r="AS257" s="23">
        <f>IF((SUMPRODUCT(AS$9:AS$229,Nutrients!$EE$8:$EE$228))=0,AS256,IF((SUMPRODUCT(AS$9:AS$229,Nutrients!$EE$8:$EE$228))&gt;(1500*907),AS256+0.14,AS256+0.00000000006666*((SUMPRODUCT(AS$9:AS$229,Nutrients!$EE$8:$EE$228)/907))^3-0.00000023623322*((SUMPRODUCT(AS$9:AS$229,Nutrients!$EE$8:$EE$228)/907))^2+0.00029262722672*((SUMPRODUCT(AS$9:AS$229,Nutrients!$EE$8:$EE$228)/907))+0.007028328))</f>
        <v>0.1862296314130277</v>
      </c>
      <c r="AT257" s="23">
        <f>IF((SUMPRODUCT(AT$9:AT$229,Nutrients!$EE$8:$EE$228))=0,AT256,IF((SUMPRODUCT(AT$9:AT$229,Nutrients!$EE$8:$EE$228))&gt;(1500*907),AT256+0.14,AT256+0.00000000006666*((SUMPRODUCT(AT$9:AT$229,Nutrients!$EE$8:$EE$228)/907))^3-0.00000023623322*((SUMPRODUCT(AT$9:AT$229,Nutrients!$EE$8:$EE$228)/907))^2+0.00029262722672*((SUMPRODUCT(AT$9:AT$229,Nutrients!$EE$8:$EE$228)/907))+0.007028328))</f>
        <v>0.15081274244312751</v>
      </c>
      <c r="AU257" s="23">
        <f>IF((SUMPRODUCT(AU$9:AU$229,Nutrients!$EE$8:$EE$228))=0,AU256,IF((SUMPRODUCT(AU$9:AU$229,Nutrients!$EE$8:$EE$228))&gt;(1500*907),AU256+0.14,AU256+0.00000000006666*((SUMPRODUCT(AU$9:AU$229,Nutrients!$EE$8:$EE$228)/907))^3-0.00000023623322*((SUMPRODUCT(AU$9:AU$229,Nutrients!$EE$8:$EE$228)/907))^2+0.00029262722672*((SUMPRODUCT(AU$9:AU$229,Nutrients!$EE$8:$EE$228)/907))+0.007028328))</f>
        <v>0.1457314767223328</v>
      </c>
      <c r="AV257" s="23">
        <f>IF((SUMPRODUCT(AV$9:AV$229,Nutrients!$EE$8:$EE$228))=0,AV256,IF((SUMPRODUCT(AV$9:AV$229,Nutrients!$EE$8:$EE$228))&gt;(1500*907),AV256+0.14,AV256+0.00000000006666*((SUMPRODUCT(AV$9:AV$229,Nutrients!$EE$8:$EE$228)/907))^3-0.00000023623322*((SUMPRODUCT(AV$9:AV$229,Nutrients!$EE$8:$EE$228)/907))^2+0.00029262722672*((SUMPRODUCT(AV$9:AV$229,Nutrients!$EE$8:$EE$228)/907))+0.007028328))</f>
        <v>0.14235188190251322</v>
      </c>
      <c r="AW257" s="23">
        <f>IF((SUMPRODUCT(AW$9:AW$229,Nutrients!$EE$8:$EE$228))=0,AW256,IF((SUMPRODUCT(AW$9:AW$229,Nutrients!$EE$8:$EE$228))&gt;(1500*907),AW256+0.14,AW256+0.00000000006666*((SUMPRODUCT(AW$9:AW$229,Nutrients!$EE$8:$EE$228)/907))^3-0.00000023623322*((SUMPRODUCT(AW$9:AW$229,Nutrients!$EE$8:$EE$228)/907))^2+0.00029262722672*((SUMPRODUCT(AW$9:AW$229,Nutrients!$EE$8:$EE$228)/907))+0.007028328))</f>
        <v>0.14062779248493446</v>
      </c>
    </row>
    <row r="258" spans="1:59" x14ac:dyDescent="0.25">
      <c r="A258" t="s">
        <v>28</v>
      </c>
      <c r="B258" s="23">
        <f t="shared" ref="B258:G258" si="48">IF(B$5="","",(B257)/(B246*2.2046)*10000)</f>
        <v>1.0033088419067715</v>
      </c>
      <c r="C258" s="23">
        <f t="shared" si="48"/>
        <v>0.89010895745377694</v>
      </c>
      <c r="D258" s="23">
        <f t="shared" si="48"/>
        <v>0.77668715413339373</v>
      </c>
      <c r="E258" s="23">
        <f t="shared" si="48"/>
        <v>0.69541943453482424</v>
      </c>
      <c r="F258" s="23">
        <f t="shared" si="48"/>
        <v>0.63585195401614236</v>
      </c>
      <c r="G258" s="23">
        <f t="shared" si="48"/>
        <v>0.60998469661164556</v>
      </c>
      <c r="H258" s="227"/>
      <c r="I258" s="23">
        <f t="shared" ref="I258:N258" si="49">IF(I$5="","",(I257)/(I246*2.2046)*10000)</f>
        <v>0.94302978854330266</v>
      </c>
      <c r="J258" s="23">
        <f t="shared" si="49"/>
        <v>0.8310093042883554</v>
      </c>
      <c r="K258" s="23">
        <f t="shared" si="49"/>
        <v>0.71097367964041902</v>
      </c>
      <c r="L258" s="23">
        <f t="shared" si="49"/>
        <v>0.62883445148104844</v>
      </c>
      <c r="M258" s="23">
        <f t="shared" si="49"/>
        <v>0.57372597585416241</v>
      </c>
      <c r="N258" s="23">
        <f t="shared" si="49"/>
        <v>0.54571197827220963</v>
      </c>
      <c r="O258" s="198"/>
      <c r="P258" s="23">
        <f t="shared" ref="P258:U258" si="50">IF(P$5="","",(P257)/(P246*2.2046)*10000)</f>
        <v>0.88048392023312938</v>
      </c>
      <c r="Q258" s="23">
        <f t="shared" si="50"/>
        <v>0.76967106088733794</v>
      </c>
      <c r="R258" s="23">
        <f t="shared" si="50"/>
        <v>0.65088954538218047</v>
      </c>
      <c r="S258" s="23">
        <f t="shared" si="50"/>
        <v>0.56966285127162175</v>
      </c>
      <c r="T258" s="23">
        <f t="shared" si="50"/>
        <v>0.51516800075999702</v>
      </c>
      <c r="U258" s="23">
        <f t="shared" si="50"/>
        <v>0.48744435791615065</v>
      </c>
      <c r="W258" s="23">
        <f t="shared" ref="W258:AB258" si="51">IF(W$5="","",(W257)/(W246*2.2046)*10000)</f>
        <v>0.81903171735349201</v>
      </c>
      <c r="X258" s="23">
        <f t="shared" si="51"/>
        <v>0.70940339956122989</v>
      </c>
      <c r="Y258" s="23">
        <f t="shared" si="51"/>
        <v>0.59188425004749656</v>
      </c>
      <c r="Z258" s="23">
        <f t="shared" si="51"/>
        <v>0.51153721860401025</v>
      </c>
      <c r="AA258" s="23">
        <f t="shared" si="51"/>
        <v>0.45761659630429302</v>
      </c>
      <c r="AB258" s="23">
        <f t="shared" si="51"/>
        <v>0.44563014200359419</v>
      </c>
      <c r="AD258" s="23">
        <f t="shared" ref="AD258:AI258" si="52">IF(AD$5="","",(AD257)/(AD246*2.2046)*10000)</f>
        <v>0.7586261038797022</v>
      </c>
      <c r="AE258" s="23">
        <f t="shared" si="52"/>
        <v>0.65019593377556328</v>
      </c>
      <c r="AF258" s="23">
        <f t="shared" si="52"/>
        <v>0.53392499630836199</v>
      </c>
      <c r="AG258" s="23">
        <f t="shared" si="52"/>
        <v>0.45438810164298332</v>
      </c>
      <c r="AH258" s="23">
        <f t="shared" si="52"/>
        <v>0.43567790380288546</v>
      </c>
      <c r="AI258" s="23">
        <f t="shared" si="52"/>
        <v>0.43033209953305934</v>
      </c>
      <c r="AK258" s="23">
        <f t="shared" ref="AK258:AP258" si="53">IF(AK$5="","",(AK257)/(AK246*2.2046)*10000)</f>
        <v>0.69914190052454295</v>
      </c>
      <c r="AL258" s="23">
        <f t="shared" si="53"/>
        <v>0.59202042189890325</v>
      </c>
      <c r="AM258" s="23">
        <f t="shared" si="53"/>
        <v>0.47694022646098433</v>
      </c>
      <c r="AN258" s="23">
        <f t="shared" si="53"/>
        <v>0.43116751664028624</v>
      </c>
      <c r="AO258" s="23">
        <f t="shared" si="53"/>
        <v>0.42056223632993189</v>
      </c>
      <c r="AP258" s="23">
        <f t="shared" si="53"/>
        <v>0.41526875333962243</v>
      </c>
      <c r="AR258" s="23">
        <f t="shared" ref="AR258:AW258" si="54">IF(AR$5="","",(AR257)/(AR246*2.2046)*10000)</f>
        <v>0.64091660667815353</v>
      </c>
      <c r="AS258" s="23">
        <f t="shared" si="54"/>
        <v>0.53486807163997718</v>
      </c>
      <c r="AT258" s="23">
        <f t="shared" si="54"/>
        <v>0.43177171675165033</v>
      </c>
      <c r="AU258" s="23">
        <f t="shared" si="54"/>
        <v>0.41619543851599911</v>
      </c>
      <c r="AV258" s="23">
        <f t="shared" si="54"/>
        <v>0.40569389319367288</v>
      </c>
      <c r="AW258" s="23">
        <f t="shared" si="54"/>
        <v>0.40045246951213159</v>
      </c>
    </row>
    <row r="259" spans="1:59" x14ac:dyDescent="0.25">
      <c r="A259" s="34" t="s">
        <v>346</v>
      </c>
      <c r="B259" s="227">
        <f>((SUMPRODUCT(B$9:B$229,Nutrients!$DR$8:$DR$228)+(IF($A$7=Nutrients!$B$8,Nutrients!$DR$8,Nutrients!$DR$9)*B$7)+(((IF($A$8=Nutrients!$B$79,Nutrients!$DR$79,(IF($A$8=Nutrients!$B$77,Nutrients!$DR$77,Nutrients!$DR$78)))))*B$8))/2000)</f>
        <v>0.28998961246592625</v>
      </c>
      <c r="C259" s="227">
        <f>((SUMPRODUCT(C$9:C$229,Nutrients!$DR$8:$DR$228)+(IF($A$7=Nutrients!$B$8,Nutrients!$DR$8,Nutrients!$DR$9)*C$7)+(((IF($A$8=Nutrients!$B$79,Nutrients!$DR$79,(IF($A$8=Nutrients!$B$77,Nutrients!$DR$77,Nutrients!$DR$78)))))*C$8))/2000)</f>
        <v>0.25045553392749997</v>
      </c>
      <c r="D259" s="227">
        <f>((SUMPRODUCT(D$9:D$229,Nutrients!$DR$8:$DR$228)+(IF($A$7=Nutrients!$B$8,Nutrients!$DR$8,Nutrients!$DR$9)*D$7)+(((IF($A$8=Nutrients!$B$79,Nutrients!$DR$79,(IF($A$8=Nutrients!$B$77,Nutrients!$DR$77,Nutrients!$DR$78)))))*D$8))/2000)</f>
        <v>0.21159356316179678</v>
      </c>
      <c r="E259" s="227">
        <f>((SUMPRODUCT(E$9:E$229,Nutrients!$DR$8:$DR$228)+(IF($A$7=Nutrients!$B$8,Nutrients!$DR$8,Nutrients!$DR$9)*E$7)+(((IF($A$8=Nutrients!$B$79,Nutrients!$DR$79,(IF($A$8=Nutrients!$B$77,Nutrients!$DR$77,Nutrients!$DR$78)))))*E$8))/2000)</f>
        <v>0.18289955187368459</v>
      </c>
      <c r="F259" s="227">
        <f>((SUMPRODUCT(F$9:F$229,Nutrients!$DR$8:$DR$228)+(IF($A$7=Nutrients!$B$8,Nutrients!$DR$8,Nutrients!$DR$9)*F$7)+(((IF($A$8=Nutrients!$B$79,Nutrients!$DR$79,(IF($A$8=Nutrients!$B$77,Nutrients!$DR$77,Nutrients!$DR$78)))))*F$8))/2000)</f>
        <v>0.16219699119534683</v>
      </c>
      <c r="G259" s="227">
        <f>((SUMPRODUCT(G$9:G$229,Nutrients!$DR$8:$DR$228)+(IF($A$7=Nutrients!$B$8,Nutrients!$DR$8,Nutrients!$DR$9)*G$7)+(((IF($A$8=Nutrients!$B$79,Nutrients!$DR$79,(IF($A$8=Nutrients!$B$77,Nutrients!$DR$77,Nutrients!$DR$78)))))*G$8))/2000)</f>
        <v>0.15287313523350393</v>
      </c>
      <c r="H259" s="227"/>
      <c r="I259" s="227">
        <f>((SUMPRODUCT(I$9:I$229,Nutrients!$DR$8:$DR$228)+(IF($A$7=Nutrients!$B$8,Nutrients!$DR$8,Nutrients!$DR$9)*I$7)+(((IF($A$8=Nutrients!$B$79,Nutrients!$DR$79,(IF($A$8=Nutrients!$B$77,Nutrients!$DR$77,Nutrients!$DR$78)))))*I$8))/2000)</f>
        <v>0.29063539005684463</v>
      </c>
      <c r="J259" s="227">
        <f>((SUMPRODUCT(J$9:J$229,Nutrients!$DR$8:$DR$228)+(IF($A$7=Nutrients!$B$8,Nutrients!$DR$8,Nutrients!$DR$9)*J$7)+(((IF($A$8=Nutrients!$B$79,Nutrients!$DR$79,(IF($A$8=Nutrients!$B$77,Nutrients!$DR$77,Nutrients!$DR$78)))))*J$8))/2000)</f>
        <v>0.25109670299693432</v>
      </c>
      <c r="K259" s="227">
        <f>((SUMPRODUCT(K$9:K$229,Nutrients!$DR$8:$DR$228)+(IF($A$7=Nutrients!$B$8,Nutrients!$DR$8,Nutrients!$DR$9)*K$7)+(((IF($A$8=Nutrients!$B$79,Nutrients!$DR$79,(IF($A$8=Nutrients!$B$77,Nutrients!$DR$77,Nutrients!$DR$78)))))*K$8))/2000)</f>
        <v>0.2099760712944779</v>
      </c>
      <c r="L259" s="227">
        <f>((SUMPRODUCT(L$9:L$229,Nutrients!$DR$8:$DR$228)+(IF($A$7=Nutrients!$B$8,Nutrients!$DR$8,Nutrients!$DR$9)*L$7)+(((IF($A$8=Nutrients!$B$79,Nutrients!$DR$79,(IF($A$8=Nutrients!$B$77,Nutrients!$DR$77,Nutrients!$DR$78)))))*L$8))/2000)</f>
        <v>0.18074246472987032</v>
      </c>
      <c r="M259" s="227">
        <f>((SUMPRODUCT(M$9:M$229,Nutrients!$DR$8:$DR$228)+(IF($A$7=Nutrients!$B$8,Nutrients!$DR$8,Nutrients!$DR$9)*M$7)+(((IF($A$8=Nutrients!$B$79,Nutrients!$DR$79,(IF($A$8=Nutrients!$B$77,Nutrients!$DR$77,Nutrients!$DR$78)))))*M$8))/2000)</f>
        <v>0.16114825179142095</v>
      </c>
      <c r="N259" s="227">
        <f>((SUMPRODUCT(N$9:N$229,Nutrients!$DR$8:$DR$228)+(IF($A$7=Nutrients!$B$8,Nutrients!$DR$8,Nutrients!$DR$9)*N$7)+(((IF($A$8=Nutrients!$B$79,Nutrients!$DR$79,(IF($A$8=Nutrients!$B$77,Nutrients!$DR$77,Nutrients!$DR$78)))))*N$8))/2000)</f>
        <v>0.15111004508100334</v>
      </c>
      <c r="O259" s="198"/>
      <c r="P259" s="227">
        <f>((SUMPRODUCT(P$9:P$229,Nutrients!$DR$8:$DR$228)+(IF($A$7=Nutrients!$B$8,Nutrients!$DR$8,Nutrients!$DR$9)*P$7)+(((IF($A$8=Nutrients!$B$79,Nutrients!$DR$79,(IF($A$8=Nutrients!$B$77,Nutrients!$DR$77,Nutrients!$DR$78)))))*P$8))/2000)</f>
        <v>0.29033124916612574</v>
      </c>
      <c r="Q259" s="227">
        <f>((SUMPRODUCT(Q$9:Q$229,Nutrients!$DR$8:$DR$228)+(IF($A$7=Nutrients!$B$8,Nutrients!$DR$8,Nutrients!$DR$9)*Q$7)+(((IF($A$8=Nutrients!$B$79,Nutrients!$DR$79,(IF($A$8=Nutrients!$B$77,Nutrients!$DR$77,Nutrients!$DR$78)))))*Q$8))/2000)</f>
        <v>0.2507912471276364</v>
      </c>
      <c r="R259" s="227">
        <f>((SUMPRODUCT(R$9:R$229,Nutrients!$DR$8:$DR$228)+(IF($A$7=Nutrients!$B$8,Nutrients!$DR$8,Nutrients!$DR$9)*R$7)+(((IF($A$8=Nutrients!$B$79,Nutrients!$DR$79,(IF($A$8=Nutrients!$B$77,Nutrients!$DR$77,Nutrients!$DR$78)))))*R$8))/2000)</f>
        <v>0.20966863060366833</v>
      </c>
      <c r="S259" s="227">
        <f>((SUMPRODUCT(S$9:S$229,Nutrients!$DR$8:$DR$228)+(IF($A$7=Nutrients!$B$8,Nutrients!$DR$8,Nutrients!$DR$9)*S$7)+(((IF($A$8=Nutrients!$B$79,Nutrients!$DR$79,(IF($A$8=Nutrients!$B$77,Nutrients!$DR$77,Nutrients!$DR$78)))))*S$8))/2000)</f>
        <v>0.18043580473363321</v>
      </c>
      <c r="T259" s="227">
        <f>((SUMPRODUCT(T$9:T$229,Nutrients!$DR$8:$DR$228)+(IF($A$7=Nutrients!$B$8,Nutrients!$DR$8,Nutrients!$DR$9)*T$7)+(((IF($A$8=Nutrients!$B$79,Nutrients!$DR$79,(IF($A$8=Nutrients!$B$77,Nutrients!$DR$77,Nutrients!$DR$78)))))*T$8))/2000)</f>
        <v>0.16083964513914442</v>
      </c>
      <c r="U259" s="227">
        <f>((SUMPRODUCT(U$9:U$229,Nutrients!$DR$8:$DR$228)+(IF($A$7=Nutrients!$B$8,Nutrients!$DR$8,Nutrients!$DR$9)*U$7)+(((IF($A$8=Nutrients!$B$79,Nutrients!$DR$79,(IF($A$8=Nutrients!$B$77,Nutrients!$DR$77,Nutrients!$DR$78)))))*U$8))/2000)</f>
        <v>0.15079941692859203</v>
      </c>
      <c r="W259" s="227">
        <f>((SUMPRODUCT(W$9:W$229,Nutrients!$DR$8:$DR$228)+(IF($A$7=Nutrients!$B$8,Nutrients!$DR$8,Nutrients!$DR$9)*W$7)+(((IF($A$8=Nutrients!$B$79,Nutrients!$DR$79,(IF($A$8=Nutrients!$B$77,Nutrients!$DR$77,Nutrients!$DR$78)))))*W$8))/2000)</f>
        <v>0.29002607080923326</v>
      </c>
      <c r="X259" s="227">
        <f>((SUMPRODUCT(X$9:X$229,Nutrients!$DR$8:$DR$228)+(IF($A$7=Nutrients!$B$8,Nutrients!$DR$8,Nutrients!$DR$9)*X$7)+(((IF($A$8=Nutrients!$B$79,Nutrients!$DR$79,(IF($A$8=Nutrients!$B$77,Nutrients!$DR$77,Nutrients!$DR$78)))))*X$8))/2000)</f>
        <v>0.25048454605647996</v>
      </c>
      <c r="Y259" s="227">
        <f>((SUMPRODUCT(Y$9:Y$229,Nutrients!$DR$8:$DR$228)+(IF($A$7=Nutrients!$B$8,Nutrients!$DR$8,Nutrients!$DR$9)*Y$7)+(((IF($A$8=Nutrients!$B$79,Nutrients!$DR$79,(IF($A$8=Nutrients!$B$77,Nutrients!$DR$77,Nutrients!$DR$78)))))*Y$8))/2000)</f>
        <v>0.20936416204908243</v>
      </c>
      <c r="Z259" s="227">
        <f>((SUMPRODUCT(Z$9:Z$229,Nutrients!$DR$8:$DR$228)+(IF($A$7=Nutrients!$B$8,Nutrients!$DR$8,Nutrients!$DR$9)*Z$7)+(((IF($A$8=Nutrients!$B$79,Nutrients!$DR$79,(IF($A$8=Nutrients!$B$77,Nutrients!$DR$77,Nutrients!$DR$78)))))*Z$8))/2000)</f>
        <v>0.18013278512287215</v>
      </c>
      <c r="AA259" s="227">
        <f>((SUMPRODUCT(AA$9:AA$229,Nutrients!$DR$8:$DR$228)+(IF($A$7=Nutrients!$B$8,Nutrients!$DR$8,Nutrients!$DR$9)*AA$7)+(((IF($A$8=Nutrients!$B$79,Nutrients!$DR$79,(IF($A$8=Nutrients!$B$77,Nutrients!$DR$77,Nutrients!$DR$78)))))*AA$8))/2000)</f>
        <v>0.16052859516000723</v>
      </c>
      <c r="AB259" s="227">
        <f>((SUMPRODUCT(AB$9:AB$229,Nutrients!$DR$8:$DR$228)+(IF($A$7=Nutrients!$B$8,Nutrients!$DR$8,Nutrients!$DR$9)*AB$7)+(((IF($A$8=Nutrients!$B$79,Nutrients!$DR$79,(IF($A$8=Nutrients!$B$77,Nutrients!$DR$77,Nutrients!$DR$78)))))*AB$8))/2000)</f>
        <v>0.15512562211623898</v>
      </c>
      <c r="AD259" s="227">
        <f>((SUMPRODUCT(AD$9:AD$229,Nutrients!$DR$8:$DR$228)+(IF($A$7=Nutrients!$B$8,Nutrients!$DR$8,Nutrients!$DR$9)*AD$7)+(((IF($A$8=Nutrients!$B$79,Nutrients!$DR$79,(IF($A$8=Nutrients!$B$77,Nutrients!$DR$77,Nutrients!$DR$78)))))*AD$8))/2000)</f>
        <v>0.2897196191323918</v>
      </c>
      <c r="AE259" s="227">
        <f>((SUMPRODUCT(AE$9:AE$229,Nutrients!$DR$8:$DR$228)+(IF($A$7=Nutrients!$B$8,Nutrients!$DR$8,Nutrients!$DR$9)*AE$7)+(((IF($A$8=Nutrients!$B$79,Nutrients!$DR$79,(IF($A$8=Nutrients!$B$77,Nutrients!$DR$77,Nutrients!$DR$78)))))*AE$8))/2000)</f>
        <v>0.25017865566664527</v>
      </c>
      <c r="AF259" s="227">
        <f>((SUMPRODUCT(AF$9:AF$229,Nutrients!$DR$8:$DR$228)+(IF($A$7=Nutrients!$B$8,Nutrients!$DR$8,Nutrients!$DR$9)*AF$7)+(((IF($A$8=Nutrients!$B$79,Nutrients!$DR$79,(IF($A$8=Nutrients!$B$77,Nutrients!$DR$77,Nutrients!$DR$78)))))*AF$8))/2000)</f>
        <v>0.20906294015242968</v>
      </c>
      <c r="AG259" s="227">
        <f>((SUMPRODUCT(AG$9:AG$229,Nutrients!$DR$8:$DR$228)+(IF($A$7=Nutrients!$B$8,Nutrients!$DR$8,Nutrients!$DR$9)*AG$7)+(((IF($A$8=Nutrients!$B$79,Nutrients!$DR$79,(IF($A$8=Nutrients!$B$77,Nutrients!$DR$77,Nutrients!$DR$78)))))*AG$8))/2000)</f>
        <v>0.17981958997954944</v>
      </c>
      <c r="AH259" s="227">
        <f>((SUMPRODUCT(AH$9:AH$229,Nutrients!$DR$8:$DR$228)+(IF($A$7=Nutrients!$B$8,Nutrients!$DR$8,Nutrients!$DR$9)*AH$7)+(((IF($A$8=Nutrients!$B$79,Nutrients!$DR$79,(IF($A$8=Nutrients!$B$77,Nutrients!$DR$77,Nutrients!$DR$78)))))*AH$8))/2000)</f>
        <v>0.1706672322404624</v>
      </c>
      <c r="AI259" s="227">
        <f>((SUMPRODUCT(AI$9:AI$229,Nutrients!$DR$8:$DR$228)+(IF($A$7=Nutrients!$B$8,Nutrients!$DR$8,Nutrients!$DR$9)*AI$7)+(((IF($A$8=Nutrients!$B$79,Nutrients!$DR$79,(IF($A$8=Nutrients!$B$77,Nutrients!$DR$77,Nutrients!$DR$78)))))*AI$8))/2000)</f>
        <v>0.16723605449885276</v>
      </c>
      <c r="AK259" s="227">
        <f>((SUMPRODUCT(AK$9:AK$229,Nutrients!$DR$8:$DR$228)+(IF($A$7=Nutrients!$B$8,Nutrients!$DR$8,Nutrients!$DR$9)*AK$7)+(((IF($A$8=Nutrients!$B$79,Nutrients!$DR$79,(IF($A$8=Nutrients!$B$77,Nutrients!$DR$77,Nutrients!$DR$78)))))*AK$8))/2000)</f>
        <v>0.28940423361449769</v>
      </c>
      <c r="AL259" s="227">
        <f>((SUMPRODUCT(AL$9:AL$229,Nutrients!$DR$8:$DR$228)+(IF($A$7=Nutrients!$B$8,Nutrients!$DR$8,Nutrients!$DR$9)*AL$7)+(((IF($A$8=Nutrients!$B$79,Nutrients!$DR$79,(IF($A$8=Nutrients!$B$77,Nutrients!$DR$77,Nutrients!$DR$78)))))*AL$8))/2000)</f>
        <v>0.24987289711172081</v>
      </c>
      <c r="AM259" s="227">
        <f>((SUMPRODUCT(AM$9:AM$229,Nutrients!$DR$8:$DR$228)+(IF($A$7=Nutrients!$B$8,Nutrients!$DR$8,Nutrients!$DR$9)*AM$7)+(((IF($A$8=Nutrients!$B$79,Nutrients!$DR$79,(IF($A$8=Nutrients!$B$77,Nutrients!$DR$77,Nutrients!$DR$78)))))*AM$8))/2000)</f>
        <v>0.20875205551292406</v>
      </c>
      <c r="AN259" s="227">
        <f>((SUMPRODUCT(AN$9:AN$229,Nutrients!$DR$8:$DR$228)+(IF($A$7=Nutrients!$B$8,Nutrients!$DR$8,Nutrients!$DR$9)*AN$7)+(((IF($A$8=Nutrients!$B$79,Nutrients!$DR$79,(IF($A$8=Nutrients!$B$77,Nutrients!$DR$77,Nutrients!$DR$78)))))*AN$8))/2000)</f>
        <v>0.1895058823612876</v>
      </c>
      <c r="AO259" s="227">
        <f>((SUMPRODUCT(AO$9:AO$229,Nutrients!$DR$8:$DR$228)+(IF($A$7=Nutrients!$B$8,Nutrients!$DR$8,Nutrients!$DR$9)*AO$7)+(((IF($A$8=Nutrients!$B$79,Nutrients!$DR$79,(IF($A$8=Nutrients!$B$77,Nutrients!$DR$77,Nutrients!$DR$78)))))*AO$8))/2000)</f>
        <v>0.18278496498648283</v>
      </c>
      <c r="AP259" s="227">
        <f>((SUMPRODUCT(AP$9:AP$229,Nutrients!$DR$8:$DR$228)+(IF($A$7=Nutrients!$B$8,Nutrients!$DR$8,Nutrients!$DR$9)*AP$7)+(((IF($A$8=Nutrients!$B$79,Nutrients!$DR$79,(IF($A$8=Nutrients!$B$77,Nutrients!$DR$77,Nutrients!$DR$78)))))*AP$8))/2000)</f>
        <v>0.17935318995611466</v>
      </c>
      <c r="AR259" s="227">
        <f>((SUMPRODUCT(AR$9:AR$229,Nutrients!$DR$8:$DR$228)+(IF($A$7=Nutrients!$B$8,Nutrients!$DR$8,Nutrients!$DR$9)*AR$7)+(((IF($A$8=Nutrients!$B$79,Nutrients!$DR$79,(IF($A$8=Nutrients!$B$77,Nutrients!$DR$77,Nutrients!$DR$78)))))*AR$8))/2000)</f>
        <v>0.28910227622777618</v>
      </c>
      <c r="AS259" s="227">
        <f>((SUMPRODUCT(AS$9:AS$229,Nutrients!$DR$8:$DR$228)+(IF($A$7=Nutrients!$B$8,Nutrients!$DR$8,Nutrients!$DR$9)*AS$7)+(((IF($A$8=Nutrients!$B$79,Nutrients!$DR$79,(IF($A$8=Nutrients!$B$77,Nutrients!$DR$77,Nutrients!$DR$78)))))*AS$8))/2000)</f>
        <v>0.24956706591016301</v>
      </c>
      <c r="AT259" s="227">
        <f>((SUMPRODUCT(AT$9:AT$229,Nutrients!$DR$8:$DR$228)+(IF($A$7=Nutrients!$B$8,Nutrients!$DR$8,Nutrients!$DR$9)*AT$7)+(((IF($A$8=Nutrients!$B$79,Nutrients!$DR$79,(IF($A$8=Nutrients!$B$77,Nutrients!$DR$77,Nutrients!$DR$78)))))*AT$8))/2000)</f>
        <v>0.21173528142680961</v>
      </c>
      <c r="AU259" s="227">
        <f>((SUMPRODUCT(AU$9:AU$229,Nutrients!$DR$8:$DR$228)+(IF($A$7=Nutrients!$B$8,Nutrients!$DR$8,Nutrients!$DR$9)*AU$7)+(((IF($A$8=Nutrients!$B$79,Nutrients!$DR$79,(IF($A$8=Nutrients!$B$77,Nutrients!$DR$77,Nutrients!$DR$78)))))*AU$8))/2000)</f>
        <v>0.20162388681282672</v>
      </c>
      <c r="AV259" s="227">
        <f>((SUMPRODUCT(AV$9:AV$229,Nutrients!$DR$8:$DR$228)+(IF($A$7=Nutrients!$B$8,Nutrients!$DR$8,Nutrients!$DR$9)*AV$7)+(((IF($A$8=Nutrients!$B$79,Nutrients!$DR$79,(IF($A$8=Nutrients!$B$77,Nutrients!$DR$77,Nutrients!$DR$78)))))*AV$8))/2000)</f>
        <v>0.19490123439834847</v>
      </c>
      <c r="AW259" s="227">
        <f>((SUMPRODUCT(AW$9:AW$229,Nutrients!$DR$8:$DR$228)+(IF($A$7=Nutrients!$B$8,Nutrients!$DR$8,Nutrients!$DR$9)*AW$7)+(((IF($A$8=Nutrients!$B$79,Nutrients!$DR$79,(IF($A$8=Nutrients!$B$77,Nutrients!$DR$77,Nutrients!$DR$78)))))*AW$8))/2000)</f>
        <v>0.19146892768976367</v>
      </c>
    </row>
    <row r="260" spans="1:59" x14ac:dyDescent="0.25">
      <c r="A260" s="15" t="s">
        <v>347</v>
      </c>
      <c r="B260" s="227">
        <f t="shared" ref="B260:G260" si="55">B259+0.11</f>
        <v>0.39998961246592624</v>
      </c>
      <c r="C260" s="227">
        <f t="shared" si="55"/>
        <v>0.36045553392749996</v>
      </c>
      <c r="D260" s="227">
        <f t="shared" si="55"/>
        <v>0.32159356316179677</v>
      </c>
      <c r="E260" s="227">
        <f t="shared" si="55"/>
        <v>0.2928995518736846</v>
      </c>
      <c r="F260" s="227">
        <f t="shared" si="55"/>
        <v>0.27219699119534685</v>
      </c>
      <c r="G260" s="227">
        <f t="shared" si="55"/>
        <v>0.26287313523350392</v>
      </c>
      <c r="H260" s="227"/>
      <c r="I260" s="232">
        <f t="shared" ref="I260:N260" si="56">I259+0.11</f>
        <v>0.40063539005684462</v>
      </c>
      <c r="J260" s="232">
        <f t="shared" si="56"/>
        <v>0.3610967029969343</v>
      </c>
      <c r="K260" s="232">
        <f t="shared" si="56"/>
        <v>0.31997607129447792</v>
      </c>
      <c r="L260" s="232">
        <f t="shared" si="56"/>
        <v>0.29074246472987031</v>
      </c>
      <c r="M260" s="232">
        <f t="shared" si="56"/>
        <v>0.27114825179142094</v>
      </c>
      <c r="N260" s="232">
        <f t="shared" si="56"/>
        <v>0.26111004508100333</v>
      </c>
      <c r="O260" s="238"/>
      <c r="P260" s="232">
        <f t="shared" ref="P260:U260" si="57">P259+0.11</f>
        <v>0.40033124916612572</v>
      </c>
      <c r="Q260" s="232">
        <f t="shared" si="57"/>
        <v>0.36079124712763638</v>
      </c>
      <c r="R260" s="232">
        <f t="shared" si="57"/>
        <v>0.31966863060366835</v>
      </c>
      <c r="S260" s="232">
        <f t="shared" si="57"/>
        <v>0.29043580473363323</v>
      </c>
      <c r="T260" s="232">
        <f t="shared" si="57"/>
        <v>0.27083964513914444</v>
      </c>
      <c r="U260" s="232">
        <f t="shared" si="57"/>
        <v>0.26079941692859204</v>
      </c>
      <c r="V260" s="382"/>
      <c r="W260" s="232">
        <f t="shared" ref="W260:AB260" si="58">W259+0.11</f>
        <v>0.40002607080923325</v>
      </c>
      <c r="X260" s="232">
        <f t="shared" si="58"/>
        <v>0.36048454605647995</v>
      </c>
      <c r="Y260" s="232">
        <f t="shared" si="58"/>
        <v>0.31936416204908241</v>
      </c>
      <c r="Z260" s="232">
        <f t="shared" si="58"/>
        <v>0.29013278512287216</v>
      </c>
      <c r="AA260" s="232">
        <f t="shared" si="58"/>
        <v>0.27052859516000721</v>
      </c>
      <c r="AB260" s="232">
        <f t="shared" si="58"/>
        <v>0.26512562211623897</v>
      </c>
      <c r="AC260" s="382"/>
      <c r="AD260" s="232">
        <f t="shared" ref="AD260:AI260" si="59">AD259+0.11</f>
        <v>0.39971961913239179</v>
      </c>
      <c r="AE260" s="232">
        <f t="shared" si="59"/>
        <v>0.36017865566664525</v>
      </c>
      <c r="AF260" s="232">
        <f t="shared" si="59"/>
        <v>0.3190629401524297</v>
      </c>
      <c r="AG260" s="232">
        <f t="shared" si="59"/>
        <v>0.28981958997954943</v>
      </c>
      <c r="AH260" s="232">
        <f t="shared" si="59"/>
        <v>0.28066723224046242</v>
      </c>
      <c r="AI260" s="232">
        <f t="shared" si="59"/>
        <v>0.27723605449885275</v>
      </c>
      <c r="AJ260" s="382"/>
      <c r="AK260" s="232">
        <f t="shared" ref="AK260:AP260" si="60">AK259+0.11</f>
        <v>0.39940423361449767</v>
      </c>
      <c r="AL260" s="232">
        <f t="shared" si="60"/>
        <v>0.35987289711172082</v>
      </c>
      <c r="AM260" s="232">
        <f t="shared" si="60"/>
        <v>0.31875205551292407</v>
      </c>
      <c r="AN260" s="232">
        <f t="shared" si="60"/>
        <v>0.29950588236128761</v>
      </c>
      <c r="AO260" s="232">
        <f t="shared" si="60"/>
        <v>0.29278496498648282</v>
      </c>
      <c r="AP260" s="232">
        <f t="shared" si="60"/>
        <v>0.28935318995611464</v>
      </c>
      <c r="AQ260" s="382"/>
      <c r="AR260" s="232">
        <f t="shared" ref="AR260:AW260" si="61">AR259+0.11</f>
        <v>0.39910227622777616</v>
      </c>
      <c r="AS260" s="232">
        <f t="shared" si="61"/>
        <v>0.35956706591016302</v>
      </c>
      <c r="AT260" s="232">
        <f t="shared" si="61"/>
        <v>0.32173528142680963</v>
      </c>
      <c r="AU260" s="232">
        <f t="shared" si="61"/>
        <v>0.31162388681282671</v>
      </c>
      <c r="AV260" s="232">
        <f t="shared" si="61"/>
        <v>0.30490123439834849</v>
      </c>
      <c r="AW260" s="232">
        <f t="shared" si="61"/>
        <v>0.30146892768976369</v>
      </c>
      <c r="AX260" s="332"/>
    </row>
    <row r="261" spans="1:59" x14ac:dyDescent="0.25">
      <c r="A261" s="34" t="s">
        <v>142</v>
      </c>
      <c r="B261" s="227">
        <f t="shared" ref="B261:G261" si="62">B254/B255</f>
        <v>1.3017138684764227</v>
      </c>
      <c r="C261" s="227">
        <f t="shared" si="62"/>
        <v>1.3021894221424188</v>
      </c>
      <c r="D261" s="227">
        <f t="shared" si="62"/>
        <v>1.3373095283032115</v>
      </c>
      <c r="E261" s="227">
        <f t="shared" si="62"/>
        <v>1.3415645597438779</v>
      </c>
      <c r="F261" s="227">
        <f t="shared" si="62"/>
        <v>1.3249751835185248</v>
      </c>
      <c r="G261" s="227">
        <f t="shared" si="62"/>
        <v>1.3266649538806439</v>
      </c>
      <c r="H261" s="227"/>
      <c r="I261" s="232">
        <f t="shared" ref="I261:N261" si="63">I254/I255</f>
        <v>1.3035373793667819</v>
      </c>
      <c r="J261" s="232">
        <f t="shared" si="63"/>
        <v>1.3057816051169919</v>
      </c>
      <c r="K261" s="232">
        <f t="shared" si="63"/>
        <v>1.3413429570053543</v>
      </c>
      <c r="L261" s="232">
        <f t="shared" si="63"/>
        <v>1.3427101194906674</v>
      </c>
      <c r="M261" s="232">
        <f t="shared" si="63"/>
        <v>1.3275661168740231</v>
      </c>
      <c r="N261" s="232">
        <f t="shared" si="63"/>
        <v>1.3280665200209849</v>
      </c>
      <c r="O261" s="238"/>
      <c r="P261" s="232">
        <f t="shared" ref="P261:U261" si="64">P254/P255</f>
        <v>1.30624373983498</v>
      </c>
      <c r="Q261" s="232">
        <f t="shared" si="64"/>
        <v>1.3088072492290455</v>
      </c>
      <c r="R261" s="232">
        <f t="shared" si="64"/>
        <v>1.3448772608278659</v>
      </c>
      <c r="S261" s="232">
        <f t="shared" si="64"/>
        <v>1.3466000091149726</v>
      </c>
      <c r="T261" s="232">
        <f t="shared" si="64"/>
        <v>1.3317113255983364</v>
      </c>
      <c r="U261" s="232">
        <f t="shared" si="64"/>
        <v>1.3324006313504164</v>
      </c>
      <c r="V261" s="382"/>
      <c r="W261" s="232">
        <f t="shared" ref="W261:AB261" si="65">W254/W255</f>
        <v>1.3089711851814325</v>
      </c>
      <c r="X261" s="232">
        <f t="shared" si="65"/>
        <v>1.3118599486446652</v>
      </c>
      <c r="Y261" s="232">
        <f t="shared" si="65"/>
        <v>1.3465888892835964</v>
      </c>
      <c r="Z261" s="232">
        <f t="shared" si="65"/>
        <v>1.3484754424927274</v>
      </c>
      <c r="AA261" s="232">
        <f t="shared" si="65"/>
        <v>1.3337712039295542</v>
      </c>
      <c r="AB261" s="232">
        <f t="shared" si="65"/>
        <v>1.3295885287660878</v>
      </c>
      <c r="AC261" s="382"/>
      <c r="AD261" s="232">
        <f t="shared" ref="AD261:AI261" si="66">AD254/AD255</f>
        <v>1.3109969508789856</v>
      </c>
      <c r="AE261" s="232">
        <f t="shared" si="66"/>
        <v>1.3141152064639363</v>
      </c>
      <c r="AF261" s="232">
        <f t="shared" si="66"/>
        <v>1.3491853939261091</v>
      </c>
      <c r="AG261" s="232">
        <f t="shared" si="66"/>
        <v>1.3514831520307136</v>
      </c>
      <c r="AH261" s="232">
        <f t="shared" si="66"/>
        <v>1.346009901834416</v>
      </c>
      <c r="AI261" s="232">
        <f t="shared" si="66"/>
        <v>1.3520351039276515</v>
      </c>
      <c r="AJ261" s="382"/>
      <c r="AK261" s="232">
        <f t="shared" ref="AK261:AP261" si="67">AK254/AK255</f>
        <v>1.3127420298103183</v>
      </c>
      <c r="AL261" s="232">
        <f t="shared" si="67"/>
        <v>1.3159770014902363</v>
      </c>
      <c r="AM261" s="232">
        <f t="shared" si="67"/>
        <v>1.3514433137183299</v>
      </c>
      <c r="AN261" s="232">
        <f t="shared" si="67"/>
        <v>1.362000676020483</v>
      </c>
      <c r="AO261" s="232">
        <f t="shared" si="67"/>
        <v>1.3578996010096973</v>
      </c>
      <c r="AP261" s="232">
        <f t="shared" si="67"/>
        <v>1.3639196810931227</v>
      </c>
      <c r="AQ261" s="382"/>
      <c r="AR261" s="232">
        <f t="shared" ref="AR261:AW261" si="68">AR254/AR255</f>
        <v>1.3154779236355407</v>
      </c>
      <c r="AS261" s="232">
        <f t="shared" si="68"/>
        <v>1.3190648085728622</v>
      </c>
      <c r="AT261" s="232">
        <f t="shared" si="68"/>
        <v>1.3574925460813911</v>
      </c>
      <c r="AU261" s="232">
        <f t="shared" si="68"/>
        <v>1.3732712062672605</v>
      </c>
      <c r="AV261" s="232">
        <f t="shared" si="68"/>
        <v>1.3690396450906208</v>
      </c>
      <c r="AW261" s="232">
        <f t="shared" si="68"/>
        <v>1.3750443110061765</v>
      </c>
      <c r="AX261" s="332"/>
    </row>
    <row r="262" spans="1:59" x14ac:dyDescent="0.25">
      <c r="A262" s="34" t="s">
        <v>477</v>
      </c>
      <c r="B262" s="227">
        <f t="shared" ref="B262:G262" si="69">B254/B260</f>
        <v>1.7400120914159756</v>
      </c>
      <c r="C262" s="227">
        <f t="shared" si="69"/>
        <v>1.7384331182595809</v>
      </c>
      <c r="D262" s="227">
        <f t="shared" si="69"/>
        <v>1.7871189885452841</v>
      </c>
      <c r="E262" s="227">
        <f t="shared" si="69"/>
        <v>1.7907878953733971</v>
      </c>
      <c r="F262" s="227">
        <f t="shared" si="69"/>
        <v>1.7690318502967193</v>
      </c>
      <c r="G262" s="227">
        <f t="shared" si="69"/>
        <v>1.7699999245766229</v>
      </c>
      <c r="H262" s="227"/>
      <c r="I262" s="232">
        <f t="shared" ref="I262:N262" si="70">I254/I260</f>
        <v>1.7390947522525178</v>
      </c>
      <c r="J262" s="232">
        <f t="shared" si="70"/>
        <v>1.7394733945411514</v>
      </c>
      <c r="K262" s="232">
        <f t="shared" si="70"/>
        <v>1.7901536857091915</v>
      </c>
      <c r="L262" s="232">
        <f t="shared" si="70"/>
        <v>1.7903324404732424</v>
      </c>
      <c r="M262" s="232">
        <f t="shared" si="70"/>
        <v>1.7692012645478592</v>
      </c>
      <c r="N262" s="232">
        <f t="shared" si="70"/>
        <v>1.7692431926283587</v>
      </c>
      <c r="O262" s="238"/>
      <c r="P262" s="232">
        <f t="shared" ref="P262:U262" si="71">P254/P260</f>
        <v>1.7399665476584543</v>
      </c>
      <c r="Q262" s="232">
        <f t="shared" si="71"/>
        <v>1.7404475706682694</v>
      </c>
      <c r="R262" s="232">
        <f t="shared" si="71"/>
        <v>1.7913130289733596</v>
      </c>
      <c r="S262" s="232">
        <f t="shared" si="71"/>
        <v>1.7916037179209594</v>
      </c>
      <c r="T262" s="232">
        <f t="shared" si="71"/>
        <v>1.7705536672772642</v>
      </c>
      <c r="U262" s="232">
        <f t="shared" si="71"/>
        <v>1.7706618049708802</v>
      </c>
      <c r="V262" s="382"/>
      <c r="W262" s="232">
        <f t="shared" ref="W262:AB262" si="72">W254/W260</f>
        <v>1.7408443112740986</v>
      </c>
      <c r="X262" s="232">
        <f t="shared" si="72"/>
        <v>1.7414295831001108</v>
      </c>
      <c r="Y262" s="232">
        <f t="shared" si="72"/>
        <v>1.7900464239206151</v>
      </c>
      <c r="Z262" s="232">
        <f t="shared" si="72"/>
        <v>1.7902006119957432</v>
      </c>
      <c r="AA262" s="232">
        <f t="shared" si="72"/>
        <v>1.7690793239772846</v>
      </c>
      <c r="AB262" s="232">
        <f t="shared" si="72"/>
        <v>1.7577788521867992</v>
      </c>
      <c r="AC262" s="382"/>
      <c r="AD262" s="232">
        <f t="shared" ref="AD262:AI262" si="73">AD254/AD260</f>
        <v>1.7407659452194344</v>
      </c>
      <c r="AE262" s="232">
        <f t="shared" si="73"/>
        <v>1.7413403213708134</v>
      </c>
      <c r="AF262" s="232">
        <f t="shared" si="73"/>
        <v>1.789965357076617</v>
      </c>
      <c r="AG262" s="232">
        <f t="shared" si="73"/>
        <v>1.7901875178321547</v>
      </c>
      <c r="AH262" s="232">
        <f t="shared" si="73"/>
        <v>1.770694657226239</v>
      </c>
      <c r="AI262" s="232">
        <f t="shared" si="73"/>
        <v>1.7707053722981851</v>
      </c>
      <c r="AJ262" s="382"/>
      <c r="AK262" s="232">
        <f t="shared" ref="AK262:AP262" si="74">AK254/AK260</f>
        <v>1.7402455279351765</v>
      </c>
      <c r="AL262" s="232">
        <f t="shared" si="74"/>
        <v>1.7407153408948701</v>
      </c>
      <c r="AM262" s="232">
        <f t="shared" si="74"/>
        <v>1.7893359709894476</v>
      </c>
      <c r="AN262" s="232">
        <f t="shared" si="74"/>
        <v>1.7908219341310927</v>
      </c>
      <c r="AO262" s="232">
        <f t="shared" si="74"/>
        <v>1.7708321564321812</v>
      </c>
      <c r="AP262" s="232">
        <f t="shared" si="74"/>
        <v>1.7708420432394054</v>
      </c>
      <c r="AQ262" s="382"/>
      <c r="AR262" s="232">
        <f t="shared" ref="AR262:AW262" si="75">AR254/AR260</f>
        <v>1.741111094535474</v>
      </c>
      <c r="AS262" s="232">
        <f t="shared" si="75"/>
        <v>1.7416957571781251</v>
      </c>
      <c r="AT262" s="232">
        <f t="shared" si="75"/>
        <v>1.7909173672144312</v>
      </c>
      <c r="AU262" s="232">
        <f t="shared" si="75"/>
        <v>1.7909482663247864</v>
      </c>
      <c r="AV262" s="232">
        <f t="shared" si="75"/>
        <v>1.7709585954998401</v>
      </c>
      <c r="AW262" s="232">
        <f t="shared" si="75"/>
        <v>1.7709695245255066</v>
      </c>
      <c r="AX262" s="332"/>
    </row>
    <row r="263" spans="1:59" x14ac:dyDescent="0.25">
      <c r="A263" t="s">
        <v>20</v>
      </c>
      <c r="B263" s="24">
        <f>(SUMPRODUCT(B$9:B$229,Nutrients!$DX$8:$DX$228)+(IF($A$7=Nutrients!$B$8,Nutrients!$DX$8,Nutrients!$DX$9)*B$7)+(((IF($A$8=Nutrients!$B$79,Nutrients!$DX$79,(IF($A$8=Nutrients!$B$77,Nutrients!$DX$77,Nutrients!$DX$78)))))*B$8))</f>
        <v>219.06090724554412</v>
      </c>
      <c r="C263" s="24">
        <f>(SUMPRODUCT(C$9:C$229,Nutrients!$DX$8:$DX$228)+(IF($A$7=Nutrients!$B$8,Nutrients!$DX$8,Nutrients!$DX$9)*C$7)+(((IF($A$8=Nutrients!$B$79,Nutrients!$DX$79,(IF($A$8=Nutrients!$B$77,Nutrients!$DX$77,Nutrients!$DX$78)))))*C$8))</f>
        <v>210.20700601537649</v>
      </c>
      <c r="D263" s="24">
        <f>(SUMPRODUCT(D$9:D$229,Nutrients!$DX$8:$DX$228)+(IF($A$7=Nutrients!$B$8,Nutrients!$DX$8,Nutrients!$DX$9)*D$7)+(((IF($A$8=Nutrients!$B$79,Nutrients!$DX$79,(IF($A$8=Nutrients!$B$77,Nutrients!$DX$77,Nutrients!$DX$78)))))*D$8))</f>
        <v>201.64110105420281</v>
      </c>
      <c r="E263" s="24">
        <f>(SUMPRODUCT(E$9:E$229,Nutrients!$DX$8:$DX$228)+(IF($A$7=Nutrients!$B$8,Nutrients!$DX$8,Nutrients!$DX$9)*E$7)+(((IF($A$8=Nutrients!$B$79,Nutrients!$DX$79,(IF($A$8=Nutrients!$B$77,Nutrients!$DX$77,Nutrients!$DX$78)))))*E$8))</f>
        <v>194.82283976807454</v>
      </c>
      <c r="F263" s="24">
        <f>(SUMPRODUCT(F$9:F$229,Nutrients!$DX$8:$DX$228)+(IF($A$7=Nutrients!$B$8,Nutrients!$DX$8,Nutrients!$DX$9)*F$7)+(((IF($A$8=Nutrients!$B$79,Nutrients!$DX$79,(IF($A$8=Nutrients!$B$77,Nutrients!$DX$77,Nutrients!$DX$78)))))*F$8))</f>
        <v>189.69608954240206</v>
      </c>
      <c r="G263" s="24">
        <f>(SUMPRODUCT(G$9:G$229,Nutrients!$DX$8:$DX$228)+(IF($A$7=Nutrients!$B$8,Nutrients!$DX$8,Nutrients!$DX$9)*G$7)+(((IF($A$8=Nutrients!$B$79,Nutrients!$DX$79,(IF($A$8=Nutrients!$B$77,Nutrients!$DX$77,Nutrients!$DX$78)))))*G$8))</f>
        <v>187.52702006837634</v>
      </c>
      <c r="H263" s="229"/>
      <c r="I263" s="24">
        <f>(SUMPRODUCT(I$9:I$229,Nutrients!$DX$8:$DX$228)+(IF($A$7=Nutrients!$B$8,Nutrients!$DX$8,Nutrients!$DX$9)*I$7)+(((IF($A$8=Nutrients!$B$79,Nutrients!$DX$79,(IF($A$8=Nutrients!$B$77,Nutrients!$DX$77,Nutrients!$DX$78)))))*I$8))</f>
        <v>221.12341011021954</v>
      </c>
      <c r="J263" s="24">
        <f>(SUMPRODUCT(J$9:J$229,Nutrients!$DX$8:$DX$228)+(IF($A$7=Nutrients!$B$8,Nutrients!$DX$8,Nutrients!$DX$9)*J$7)+(((IF($A$8=Nutrients!$B$79,Nutrients!$DX$79,(IF($A$8=Nutrients!$B$77,Nutrients!$DX$77,Nutrients!$DX$78)))))*J$8))</f>
        <v>212.29854094844274</v>
      </c>
      <c r="K263" s="24">
        <f>(SUMPRODUCT(K$9:K$229,Nutrients!$DX$8:$DX$228)+(IF($A$7=Nutrients!$B$8,Nutrients!$DX$8,Nutrients!$DX$9)*K$7)+(((IF($A$8=Nutrients!$B$79,Nutrients!$DX$79,(IF($A$8=Nutrients!$B$77,Nutrients!$DX$77,Nutrients!$DX$78)))))*K$8))</f>
        <v>203.69694872551875</v>
      </c>
      <c r="L263" s="24">
        <f>(SUMPRODUCT(L$9:L$229,Nutrients!$DX$8:$DX$228)+(IF($A$7=Nutrients!$B$8,Nutrients!$DX$8,Nutrients!$DX$9)*L$7)+(((IF($A$8=Nutrients!$B$79,Nutrients!$DX$79,(IF($A$8=Nutrients!$B$77,Nutrients!$DX$77,Nutrients!$DX$78)))))*L$8))</f>
        <v>196.79554869619744</v>
      </c>
      <c r="M263" s="24">
        <f>(SUMPRODUCT(M$9:M$229,Nutrients!$DX$8:$DX$228)+(IF($A$7=Nutrients!$B$8,Nutrients!$DX$8,Nutrients!$DX$9)*M$7)+(((IF($A$8=Nutrients!$B$79,Nutrients!$DX$79,(IF($A$8=Nutrients!$B$77,Nutrients!$DX$77,Nutrients!$DX$78)))))*M$8))</f>
        <v>191.72160983318818</v>
      </c>
      <c r="N263" s="24">
        <f>(SUMPRODUCT(N$9:N$229,Nutrients!$DX$8:$DX$228)+(IF($A$7=Nutrients!$B$8,Nutrients!$DX$8,Nutrients!$DX$9)*N$7)+(((IF($A$8=Nutrients!$B$79,Nutrients!$DX$79,(IF($A$8=Nutrients!$B$77,Nutrients!$DX$77,Nutrients!$DX$78)))))*N$8))</f>
        <v>189.51667887287192</v>
      </c>
      <c r="O263" s="236"/>
      <c r="P263" s="24">
        <f>(SUMPRODUCT(P$9:P$229,Nutrients!$DX$8:$DX$228)+(IF($A$7=Nutrients!$B$8,Nutrients!$DX$8,Nutrients!$DX$9)*P$7)+(((IF($A$8=Nutrients!$B$79,Nutrients!$DX$79,(IF($A$8=Nutrients!$B$77,Nutrients!$DX$77,Nutrients!$DX$78)))))*P$8))</f>
        <v>223.23155012037256</v>
      </c>
      <c r="Q263" s="24">
        <f>(SUMPRODUCT(Q$9:Q$229,Nutrients!$DX$8:$DX$228)+(IF($A$7=Nutrients!$B$8,Nutrients!$DX$8,Nutrients!$DX$9)*Q$7)+(((IF($A$8=Nutrients!$B$79,Nutrients!$DX$79,(IF($A$8=Nutrients!$B$77,Nutrients!$DX$77,Nutrients!$DX$78)))))*Q$8))</f>
        <v>214.41900462645975</v>
      </c>
      <c r="R263" s="24">
        <f>(SUMPRODUCT(R$9:R$229,Nutrients!$DX$8:$DX$228)+(IF($A$7=Nutrients!$B$8,Nutrients!$DX$8,Nutrients!$DX$9)*R$7)+(((IF($A$8=Nutrients!$B$79,Nutrients!$DX$79,(IF($A$8=Nutrients!$B$77,Nutrients!$DX$77,Nutrients!$DX$78)))))*R$8))</f>
        <v>205.83601368074918</v>
      </c>
      <c r="S263" s="24">
        <f>(SUMPRODUCT(S$9:S$229,Nutrients!$DX$8:$DX$228)+(IF($A$7=Nutrients!$B$8,Nutrients!$DX$8,Nutrients!$DX$9)*S$7)+(((IF($A$8=Nutrients!$B$79,Nutrients!$DX$79,(IF($A$8=Nutrients!$B$77,Nutrients!$DX$77,Nutrients!$DX$78)))))*S$8))</f>
        <v>198.92729716675862</v>
      </c>
      <c r="T263" s="24">
        <f>(SUMPRODUCT(T$9:T$229,Nutrients!$DX$8:$DX$228)+(IF($A$7=Nutrients!$B$8,Nutrients!$DX$8,Nutrients!$DX$9)*T$7)+(((IF($A$8=Nutrients!$B$79,Nutrients!$DX$79,(IF($A$8=Nutrients!$B$77,Nutrients!$DX$77,Nutrients!$DX$78)))))*T$8))</f>
        <v>193.93421060165059</v>
      </c>
      <c r="U263" s="24">
        <f>(SUMPRODUCT(U$9:U$229,Nutrients!$DX$8:$DX$228)+(IF($A$7=Nutrients!$B$8,Nutrients!$DX$8,Nutrients!$DX$9)*U$7)+(((IF($A$8=Nutrients!$B$79,Nutrients!$DX$79,(IF($A$8=Nutrients!$B$77,Nutrients!$DX$77,Nutrients!$DX$78)))))*U$8))</f>
        <v>191.79788761190926</v>
      </c>
      <c r="W263" s="24">
        <f>(SUMPRODUCT(W$9:W$229,Nutrients!$DX$8:$DX$228)+(IF($A$7=Nutrients!$B$8,Nutrients!$DX$8,Nutrients!$DX$9)*W$7)+(((IF($A$8=Nutrients!$B$79,Nutrients!$DX$79,(IF($A$8=Nutrients!$B$77,Nutrients!$DX$77,Nutrients!$DX$78)))))*W$8))</f>
        <v>225.34941301783888</v>
      </c>
      <c r="X263" s="24">
        <f>(SUMPRODUCT(X$9:X$229,Nutrients!$DX$8:$DX$228)+(IF($A$7=Nutrients!$B$8,Nutrients!$DX$8,Nutrients!$DX$9)*X$7)+(((IF($A$8=Nutrients!$B$79,Nutrients!$DX$79,(IF($A$8=Nutrients!$B$77,Nutrients!$DX$77,Nutrients!$DX$78)))))*X$8))</f>
        <v>216.55113804143812</v>
      </c>
      <c r="Y263" s="24">
        <f>(SUMPRODUCT(Y$9:Y$229,Nutrients!$DX$8:$DX$228)+(IF($A$7=Nutrients!$B$8,Nutrients!$DX$8,Nutrients!$DX$9)*Y$7)+(((IF($A$8=Nutrients!$B$79,Nutrients!$DX$79,(IF($A$8=Nutrients!$B$77,Nutrients!$DX$77,Nutrients!$DX$78)))))*Y$8))</f>
        <v>207.9614844790747</v>
      </c>
      <c r="Z263" s="24">
        <f>(SUMPRODUCT(Z$9:Z$229,Nutrients!$DX$8:$DX$228)+(IF($A$7=Nutrients!$B$8,Nutrients!$DX$8,Nutrients!$DX$9)*Z$7)+(((IF($A$8=Nutrients!$B$79,Nutrients!$DX$79,(IF($A$8=Nutrients!$B$77,Nutrients!$DX$77,Nutrients!$DX$78)))))*Z$8))</f>
        <v>200.96333027121486</v>
      </c>
      <c r="AA263" s="24">
        <f>(SUMPRODUCT(AA$9:AA$229,Nutrients!$DX$8:$DX$228)+(IF($A$7=Nutrients!$B$8,Nutrients!$DX$8,Nutrients!$DX$9)*AA$7)+(((IF($A$8=Nutrients!$B$79,Nutrients!$DX$79,(IF($A$8=Nutrients!$B$77,Nutrients!$DX$77,Nutrients!$DX$78)))))*AA$8))</f>
        <v>196.26586095243016</v>
      </c>
      <c r="AB263" s="24">
        <f>(SUMPRODUCT(AB$9:AB$229,Nutrients!$DX$8:$DX$228)+(IF($A$7=Nutrients!$B$8,Nutrients!$DX$8,Nutrients!$DX$9)*AB$7)+(((IF($A$8=Nutrients!$B$79,Nutrients!$DX$79,(IF($A$8=Nutrients!$B$77,Nutrients!$DX$77,Nutrients!$DX$78)))))*AB$8))</f>
        <v>194.33391497632641</v>
      </c>
      <c r="AD263" s="24">
        <f>(SUMPRODUCT(AD$9:AD$229,Nutrients!$DX$8:$DX$228)+(IF($A$7=Nutrients!$B$8,Nutrients!$DX$8,Nutrients!$DX$9)*AD$7)+(((IF($A$8=Nutrients!$B$79,Nutrients!$DX$79,(IF($A$8=Nutrients!$B$77,Nutrients!$DX$77,Nutrients!$DX$78)))))*AD$8))</f>
        <v>227.48633916835263</v>
      </c>
      <c r="AE263" s="24">
        <f>(SUMPRODUCT(AE$9:AE$229,Nutrients!$DX$8:$DX$228)+(IF($A$7=Nutrients!$B$8,Nutrients!$DX$8,Nutrients!$DX$9)*AE$7)+(((IF($A$8=Nutrients!$B$79,Nutrients!$DX$79,(IF($A$8=Nutrients!$B$77,Nutrients!$DX$77,Nutrients!$DX$78)))))*AE$8))</f>
        <v>218.68280394303346</v>
      </c>
      <c r="AF263" s="24">
        <f>(SUMPRODUCT(AF$9:AF$229,Nutrients!$DX$8:$DX$228)+(IF($A$7=Nutrients!$B$8,Nutrients!$DX$8,Nutrients!$DX$9)*AF$7)+(((IF($A$8=Nutrients!$B$79,Nutrients!$DX$79,(IF($A$8=Nutrients!$B$77,Nutrients!$DX$77,Nutrients!$DX$78)))))*AF$8))</f>
        <v>209.843696131456</v>
      </c>
      <c r="AG263" s="24">
        <f>(SUMPRODUCT(AG$9:AG$229,Nutrients!$DX$8:$DX$228)+(IF($A$7=Nutrients!$B$8,Nutrients!$DX$8,Nutrients!$DX$9)*AG$7)+(((IF($A$8=Nutrients!$B$79,Nutrients!$DX$79,(IF($A$8=Nutrients!$B$77,Nutrients!$DX$77,Nutrients!$DX$78)))))*AG$8))</f>
        <v>203.30795459277886</v>
      </c>
      <c r="AH263" s="24">
        <f>(SUMPRODUCT(AH$9:AH$229,Nutrients!$DX$8:$DX$228)+(IF($A$7=Nutrients!$B$8,Nutrients!$DX$8,Nutrients!$DX$9)*AH$7)+(((IF($A$8=Nutrients!$B$79,Nutrients!$DX$79,(IF($A$8=Nutrients!$B$77,Nutrients!$DX$77,Nutrients!$DX$78)))))*AH$8))</f>
        <v>199.06270951004774</v>
      </c>
      <c r="AI263" s="24">
        <f>(SUMPRODUCT(AI$9:AI$229,Nutrients!$DX$8:$DX$228)+(IF($A$7=Nutrients!$B$8,Nutrients!$DX$8,Nutrients!$DX$9)*AI$7)+(((IF($A$8=Nutrients!$B$79,Nutrients!$DX$79,(IF($A$8=Nutrients!$B$77,Nutrients!$DX$77,Nutrients!$DX$78)))))*AI$8))</f>
        <v>197.28607248489175</v>
      </c>
      <c r="AK263" s="24">
        <f>(SUMPRODUCT(AK$9:AK$229,Nutrients!$DX$8:$DX$228)+(IF($A$7=Nutrients!$B$8,Nutrients!$DX$8,Nutrients!$DX$9)*AK$7)+(((IF($A$8=Nutrients!$B$79,Nutrients!$DX$79,(IF($A$8=Nutrients!$B$77,Nutrients!$DX$77,Nutrients!$DX$78)))))*AK$8))</f>
        <v>229.71055616173334</v>
      </c>
      <c r="AL263" s="24">
        <f>(SUMPRODUCT(AL$9:AL$229,Nutrients!$DX$8:$DX$228)+(IF($A$7=Nutrients!$B$8,Nutrients!$DX$8,Nutrients!$DX$9)*AL$7)+(((IF($A$8=Nutrients!$B$79,Nutrients!$DX$79,(IF($A$8=Nutrients!$B$77,Nutrients!$DX$77,Nutrients!$DX$78)))))*AL$8))</f>
        <v>220.81679931906831</v>
      </c>
      <c r="AM263" s="24">
        <f>(SUMPRODUCT(AM$9:AM$229,Nutrients!$DX$8:$DX$228)+(IF($A$7=Nutrients!$B$8,Nutrients!$DX$8,Nutrients!$DX$9)*AM$7)+(((IF($A$8=Nutrients!$B$79,Nutrients!$DX$79,(IF($A$8=Nutrients!$B$77,Nutrients!$DX$77,Nutrients!$DX$78)))))*AM$8))</f>
        <v>212.17023195836035</v>
      </c>
      <c r="AN263" s="24">
        <f>(SUMPRODUCT(AN$9:AN$229,Nutrients!$DX$8:$DX$228)+(IF($A$7=Nutrients!$B$8,Nutrients!$DX$8,Nutrients!$DX$9)*AN$7)+(((IF($A$8=Nutrients!$B$79,Nutrients!$DX$79,(IF($A$8=Nutrients!$B$77,Nutrients!$DX$77,Nutrients!$DX$78)))))*AN$8))</f>
        <v>206.01965830470911</v>
      </c>
      <c r="AO263" s="24">
        <f>(SUMPRODUCT(AO$9:AO$229,Nutrients!$DX$8:$DX$228)+(IF($A$7=Nutrients!$B$8,Nutrients!$DX$8,Nutrients!$DX$9)*AO$7)+(((IF($A$8=Nutrients!$B$79,Nutrients!$DX$79,(IF($A$8=Nutrients!$B$77,Nutrients!$DX$77,Nutrients!$DX$78)))))*AO$8))</f>
        <v>201.9606867839482</v>
      </c>
      <c r="AP263" s="24">
        <f>(SUMPRODUCT(AP$9:AP$229,Nutrients!$DX$8:$DX$228)+(IF($A$7=Nutrients!$B$8,Nutrients!$DX$8,Nutrients!$DX$9)*AP$7)+(((IF($A$8=Nutrients!$B$79,Nutrients!$DX$79,(IF($A$8=Nutrients!$B$77,Nutrients!$DX$77,Nutrients!$DX$78)))))*AP$8))</f>
        <v>200.19211060992478</v>
      </c>
      <c r="AR263" s="24">
        <f>(SUMPRODUCT(AR$9:AR$229,Nutrients!$DX$8:$DX$228)+(IF($A$7=Nutrients!$B$8,Nutrients!$DX$8,Nutrients!$DX$9)*AR$7)+(((IF($A$8=Nutrients!$B$79,Nutrients!$DX$79,(IF($A$8=Nutrients!$B$77,Nutrients!$DX$77,Nutrients!$DX$78)))))*AR$8))</f>
        <v>231.66117750955806</v>
      </c>
      <c r="AS263" s="24">
        <f>(SUMPRODUCT(AS$9:AS$229,Nutrients!$DX$8:$DX$228)+(IF($A$7=Nutrients!$B$8,Nutrients!$DX$8,Nutrients!$DX$9)*AS$7)+(((IF($A$8=Nutrients!$B$79,Nutrients!$DX$79,(IF($A$8=Nutrients!$B$77,Nutrients!$DX$77,Nutrients!$DX$78)))))*AS$8))</f>
        <v>222.80373013763227</v>
      </c>
      <c r="AT263" s="24">
        <f>(SUMPRODUCT(AT$9:AT$229,Nutrients!$DX$8:$DX$228)+(IF($A$7=Nutrients!$B$8,Nutrients!$DX$8,Nutrients!$DX$9)*AT$7)+(((IF($A$8=Nutrients!$B$79,Nutrients!$DX$79,(IF($A$8=Nutrients!$B$77,Nutrients!$DX$77,Nutrients!$DX$78)))))*AT$8))</f>
        <v>214.45712763674561</v>
      </c>
      <c r="AU263" s="24">
        <f>(SUMPRODUCT(AU$9:AU$229,Nutrients!$DX$8:$DX$228)+(IF($A$7=Nutrients!$B$8,Nutrients!$DX$8,Nutrients!$DX$9)*AU$7)+(((IF($A$8=Nutrients!$B$79,Nutrients!$DX$79,(IF($A$8=Nutrients!$B$77,Nutrients!$DX$77,Nutrients!$DX$78)))))*AU$8))</f>
        <v>208.8931643521492</v>
      </c>
      <c r="AV263" s="24">
        <f>(SUMPRODUCT(AV$9:AV$229,Nutrients!$DX$8:$DX$228)+(IF($A$7=Nutrients!$B$8,Nutrients!$DX$8,Nutrients!$DX$9)*AV$7)+(((IF($A$8=Nutrients!$B$79,Nutrients!$DX$79,(IF($A$8=Nutrients!$B$77,Nutrients!$DX$77,Nutrients!$DX$78)))))*AV$8))</f>
        <v>205.00139313868357</v>
      </c>
      <c r="AW263" s="24">
        <f>(SUMPRODUCT(AW$9:AW$229,Nutrients!$DX$8:$DX$228)+(IF($A$7=Nutrients!$B$8,Nutrients!$DX$8,Nutrients!$DX$9)*AW$7)+(((IF($A$8=Nutrients!$B$79,Nutrients!$DX$79,(IF($A$8=Nutrients!$B$77,Nutrients!$DX$77,Nutrients!$DX$78)))))*AW$8))</f>
        <v>203.23379561952365</v>
      </c>
    </row>
    <row r="264" spans="1:59" x14ac:dyDescent="0.25">
      <c r="A264" t="s">
        <v>21</v>
      </c>
      <c r="B264" s="25">
        <f>IF(B$5="","",B263+Nutrients!$DV$5)</f>
        <v>231.06090724554412</v>
      </c>
      <c r="C264" s="25">
        <f>IF(C$5="","",C263+Nutrients!$DV$5)</f>
        <v>222.20700601537649</v>
      </c>
      <c r="D264" s="25">
        <f>IF(D$5="","",D263+Nutrients!$DV$5)</f>
        <v>213.64110105420281</v>
      </c>
      <c r="E264" s="25">
        <f>IF(E$5="","",E263+Nutrients!$DV$5)</f>
        <v>206.82283976807454</v>
      </c>
      <c r="F264" s="25">
        <f>IF(F$5="","",F263+Nutrients!$DV$5)</f>
        <v>201.69608954240206</v>
      </c>
      <c r="G264" s="25">
        <f>IF(G$5="","",G263+Nutrients!$DV$5)</f>
        <v>199.52702006837634</v>
      </c>
      <c r="H264" s="230"/>
      <c r="I264" s="25">
        <f>IF(I$5="","",I263+Nutrients!$DV$5)</f>
        <v>233.12341011021954</v>
      </c>
      <c r="J264" s="25">
        <f>IF(J$5="","",J263+Nutrients!$DV$5)</f>
        <v>224.29854094844274</v>
      </c>
      <c r="K264" s="25">
        <f>IF(K$5="","",K263+Nutrients!$DV$5)</f>
        <v>215.69694872551875</v>
      </c>
      <c r="L264" s="25">
        <f>IF(L$5="","",L263+Nutrients!$DV$5)</f>
        <v>208.79554869619744</v>
      </c>
      <c r="M264" s="25">
        <f>IF(M$5="","",M263+Nutrients!$DV$5)</f>
        <v>203.72160983318818</v>
      </c>
      <c r="N264" s="25">
        <f>IF(N$5="","",N263+Nutrients!$DV$5)</f>
        <v>201.51667887287192</v>
      </c>
      <c r="O264" s="199"/>
      <c r="P264" s="25">
        <f>IF(P$5="","",P263+Nutrients!$DV$5)</f>
        <v>235.23155012037256</v>
      </c>
      <c r="Q264" s="25">
        <f>IF(Q$5="","",Q263+Nutrients!$DV$5)</f>
        <v>226.41900462645975</v>
      </c>
      <c r="R264" s="25">
        <f>IF(R$5="","",R263+Nutrients!$DV$5)</f>
        <v>217.83601368074918</v>
      </c>
      <c r="S264" s="25">
        <f>IF(S$5="","",S263+Nutrients!$DV$5)</f>
        <v>210.92729716675862</v>
      </c>
      <c r="T264" s="25">
        <f>IF(T$5="","",T263+Nutrients!$DV$5)</f>
        <v>205.93421060165059</v>
      </c>
      <c r="U264" s="25">
        <f>IF(U$5="","",U263+Nutrients!$DV$5)</f>
        <v>203.79788761190926</v>
      </c>
      <c r="W264" s="25">
        <f>IF(W$5="","",W263+Nutrients!$DV$5)</f>
        <v>237.34941301783888</v>
      </c>
      <c r="X264" s="25">
        <f>IF(X$5="","",X263+Nutrients!$DV$5)</f>
        <v>228.55113804143812</v>
      </c>
      <c r="Y264" s="25">
        <f>IF(Y$5="","",Y263+Nutrients!$DV$5)</f>
        <v>219.9614844790747</v>
      </c>
      <c r="Z264" s="25">
        <f>IF(Z$5="","",Z263+Nutrients!$DV$5)</f>
        <v>212.96333027121486</v>
      </c>
      <c r="AA264" s="25">
        <f>IF(AA$5="","",AA263+Nutrients!$DV$5)</f>
        <v>208.26586095243016</v>
      </c>
      <c r="AB264" s="25">
        <f>IF(AB$5="","",AB263+Nutrients!$DV$5)</f>
        <v>206.33391497632641</v>
      </c>
      <c r="AD264" s="25">
        <f>IF(AD$5="","",AD263+Nutrients!$DV$5)</f>
        <v>239.48633916835263</v>
      </c>
      <c r="AE264" s="25">
        <f>IF(AE$5="","",AE263+Nutrients!$DV$5)</f>
        <v>230.68280394303346</v>
      </c>
      <c r="AF264" s="25">
        <f>IF(AF$5="","",AF263+Nutrients!$DV$5)</f>
        <v>221.843696131456</v>
      </c>
      <c r="AG264" s="25">
        <f>IF(AG$5="","",AG263+Nutrients!$DV$5)</f>
        <v>215.30795459277886</v>
      </c>
      <c r="AH264" s="25">
        <f>IF(AH$5="","",AH263+Nutrients!$DV$5)</f>
        <v>211.06270951004774</v>
      </c>
      <c r="AI264" s="25">
        <f>IF(AI$5="","",AI263+Nutrients!$DV$5)</f>
        <v>209.28607248489175</v>
      </c>
      <c r="AK264" s="25">
        <f>IF(AK$5="","",AK263+Nutrients!$DV$5)</f>
        <v>241.71055616173334</v>
      </c>
      <c r="AL264" s="25">
        <f>IF(AL$5="","",AL263+Nutrients!$DV$5)</f>
        <v>232.81679931906831</v>
      </c>
      <c r="AM264" s="25">
        <f>IF(AM$5="","",AM263+Nutrients!$DV$5)</f>
        <v>224.17023195836035</v>
      </c>
      <c r="AN264" s="25">
        <f>IF(AN$5="","",AN263+Nutrients!$DV$5)</f>
        <v>218.01965830470911</v>
      </c>
      <c r="AO264" s="25">
        <f>IF(AO$5="","",AO263+Nutrients!$DV$5)</f>
        <v>213.9606867839482</v>
      </c>
      <c r="AP264" s="25">
        <f>IF(AP$5="","",AP263+Nutrients!$DV$5)</f>
        <v>212.19211060992478</v>
      </c>
      <c r="AR264" s="25">
        <f>IF(AR$5="","",AR263+Nutrients!$DV$5)</f>
        <v>243.66117750955806</v>
      </c>
      <c r="AS264" s="25">
        <f>IF(AS$5="","",AS263+Nutrients!$DV$5)</f>
        <v>234.80373013763227</v>
      </c>
      <c r="AT264" s="25">
        <f>IF(AT$5="","",AT263+Nutrients!$DV$5)</f>
        <v>226.45712763674561</v>
      </c>
      <c r="AU264" s="25">
        <f>IF(AU$5="","",AU263+Nutrients!$DV$5)</f>
        <v>220.8931643521492</v>
      </c>
      <c r="AV264" s="25">
        <f>IF(AV$5="","",AV263+Nutrients!$DV$5)</f>
        <v>217.00139313868357</v>
      </c>
      <c r="AW264" s="25">
        <f>IF(AW$5="","",AW263+Nutrients!$DV$5)</f>
        <v>215.23379561952365</v>
      </c>
    </row>
    <row r="265" spans="1:59" x14ac:dyDescent="0.25">
      <c r="A265" s="34" t="s">
        <v>541</v>
      </c>
      <c r="B265" s="371">
        <v>64.919933148666814</v>
      </c>
      <c r="C265" s="371">
        <v>74.047956546633458</v>
      </c>
      <c r="D265" s="371">
        <v>95.803407561009578</v>
      </c>
      <c r="E265" s="371">
        <v>107.72572383590483</v>
      </c>
      <c r="F265" s="371">
        <v>119.6480401107998</v>
      </c>
      <c r="G265" s="371">
        <v>148.85493879698549</v>
      </c>
      <c r="H265" s="91">
        <f>SUM(B265:G265)</f>
        <v>611</v>
      </c>
      <c r="I265" s="371">
        <f>($B$265*$B$250/I250)-($B$265*$B$250/I250)/(I6-I5)*I268</f>
        <v>64.661847743707668</v>
      </c>
      <c r="J265" s="371">
        <f>($C$265*$C$250/J250)-($C$265*$C$250/J250)/(J6-J5)*J268</f>
        <v>73.839631445831316</v>
      </c>
      <c r="K265" s="371">
        <f>($D$265*$D$250/K250)-($D$265*$D$250/K250)/(K6-K5)*K268</f>
        <v>95.538431994731098</v>
      </c>
      <c r="L265" s="371">
        <f>($E$265*$E$250/L250)-($E$265*$E$250/L250)/(L6-L5)*L268</f>
        <v>107.36851717976371</v>
      </c>
      <c r="M265" s="371">
        <f>($F$265*$F$250/M250)-($F$265*$F$250/M250)/(M6-M5)*M268</f>
        <v>119.06602662228403</v>
      </c>
      <c r="N265" s="371">
        <f>($G$265*$G$250/N250)-($G$265*$G$250/N250)/(N6-N5)*N268</f>
        <v>147.68018846992726</v>
      </c>
      <c r="O265" s="91">
        <f>SUM(I265:N265)</f>
        <v>608.15464345624514</v>
      </c>
      <c r="P265" s="371">
        <f>($B$265*$B$250/P250)-($B$265*$B$250/P250)/(P6-P5)*P268</f>
        <v>64.39516783310323</v>
      </c>
      <c r="Q265" s="371">
        <f>($C$265*$C$250/Q250)-($C$265*$C$250/Q250)/(Q6-Q5)*Q268</f>
        <v>73.623174096984698</v>
      </c>
      <c r="R265" s="371">
        <f>($D$265*$D$250/R250)-($D$265*$D$250/R250)/(R6-R5)*R268</f>
        <v>95.276800183866698</v>
      </c>
      <c r="S265" s="371">
        <f>($E$265*$E$250/S250)-($E$265*$E$250/S250)/(S6-S5)*S268</f>
        <v>107.00781693180063</v>
      </c>
      <c r="T265" s="371">
        <f>($F$265*$F$250/T250)-($F$265*$F$250/T250)/(T6-T5)*T268</f>
        <v>118.4749320166067</v>
      </c>
      <c r="U265" s="371">
        <f>($G$265*$G$250/U250)-($G$265*$G$250/U250)/(U6-U5)*U268</f>
        <v>146.4873671562984</v>
      </c>
      <c r="V265" s="91">
        <f>SUM(P265:U265)</f>
        <v>605.26525821866039</v>
      </c>
      <c r="W265" s="371">
        <f>($B$265*$B$250/W250)-($B$265*$B$250/W250)/(W6-W5)*W268</f>
        <v>64.12699870145272</v>
      </c>
      <c r="X265" s="371">
        <f>($C$265*$C$250/X250)-($C$265*$C$250/X250)/(X6-X5)*X268</f>
        <v>73.40467201363505</v>
      </c>
      <c r="Y265" s="371">
        <f>($D$265*$D$250/Y250)-($D$265*$D$250/Y250)/(Y6-Y5)*Y268</f>
        <v>95.016608030100357</v>
      </c>
      <c r="Z265" s="371">
        <f>($E$265*$E$250/Z250)-($E$265*$E$250/Z250)/(Z6-Z5)*Z268</f>
        <v>106.64697445661967</v>
      </c>
      <c r="AA265" s="371">
        <f>($F$265*$F$250/AA250)-($F$265*$F$250/AA250)/(AA6-AA5)*AA268</f>
        <v>117.87476310098526</v>
      </c>
      <c r="AB265" s="371">
        <f>($G$265*$G$250/AB250)-($G$265*$G$250/AB250)/(AB6-AB5)*AB268</f>
        <v>145.29824536753983</v>
      </c>
      <c r="AC265" s="91">
        <f>SUM(W265:AB265)</f>
        <v>602.36826167033291</v>
      </c>
      <c r="AD265" s="371">
        <f>($B$265*$B$250/AD250)-($B$265*$B$250/AD250)/(AD6-AD5)*AD268</f>
        <v>63.855488888837613</v>
      </c>
      <c r="AE265" s="371">
        <f>($C$265*$C$250/AE250)-($C$265*$C$250/AE250)/(AE6-AE5)*AE268</f>
        <v>73.185681511568674</v>
      </c>
      <c r="AF265" s="371">
        <f>($D$265*$D$250/AF250)-($D$265*$D$250/AF250)/(AF6-AF5)*AF268</f>
        <v>94.753657163706094</v>
      </c>
      <c r="AG265" s="371">
        <f>($E$265*$E$250/AG250)-($E$265*$E$250/AG250)/(AG6-AG5)*AG268</f>
        <v>106.27685287565144</v>
      </c>
      <c r="AH265" s="371">
        <f>($F$265*$F$250/AH250)-($F$265*$F$250/AH250)/(AH6-AH5)*AH268</f>
        <v>117.29975771564472</v>
      </c>
      <c r="AI265" s="371">
        <f>($G$265*$G$250/AI250)-($G$265*$G$250/AI250)/(AI6-AI5)*AI268</f>
        <v>144.13921730626748</v>
      </c>
      <c r="AJ265" s="91">
        <f>SUM(AD265:AI265)</f>
        <v>599.51065546167604</v>
      </c>
      <c r="AK265" s="371">
        <f>($B$265*$B$250/AK250)-($B$265*$B$250/AK250)/(AK6-AK5)*AK268</f>
        <v>63.570827890920569</v>
      </c>
      <c r="AL265" s="371">
        <f>($C$265*$C$250/AL250)-($C$265*$C$250/AL250)/(AL6-AL5)*AL268</f>
        <v>72.966007793673185</v>
      </c>
      <c r="AM265" s="371">
        <f>($D$265*$D$250/AM250)-($D$265*$D$250/AM250)/(AM6-AM5)*AM268</f>
        <v>94.491449961372965</v>
      </c>
      <c r="AN265" s="371">
        <f>($E$265*$E$250/AN250)-($E$265*$E$250/AN250)/(AN6-AN5)*AN268</f>
        <v>105.93866721130277</v>
      </c>
      <c r="AO265" s="371">
        <f>($F$265*$F$250/AO250)-($F$265*$F$250/AO250)/(AO6-AO5)*AO268</f>
        <v>116.71933164459944</v>
      </c>
      <c r="AP265" s="371">
        <f>($G$265*$G$250/AP250)-($G$265*$G$250/AP250)/(AP6-AP5)*AP268</f>
        <v>142.97683845425547</v>
      </c>
      <c r="AQ265" s="91">
        <f>SUM(AK265:AP265)</f>
        <v>596.66312295612443</v>
      </c>
      <c r="AR265" s="371">
        <f>($B$265*$B$250/AR250)-($B$265*$B$250/AR250)/(AR6-AR5)*AR268</f>
        <v>63.304326350000231</v>
      </c>
      <c r="AS265" s="371">
        <f>($C$265*$C$250/AS250)-($C$265*$C$250/AS250)/(AS6-AS5)*AS268</f>
        <v>72.746447860413653</v>
      </c>
      <c r="AT265" s="371">
        <f>($D$265*$D$250/AT250)-($D$265*$D$250/AT250)/(AT6-AT5)*AT268</f>
        <v>94.250062723826375</v>
      </c>
      <c r="AU265" s="371">
        <f>($E$265*$E$250/AU250)-($E$265*$E$250/AU250)/(AU6-AU5)*AU268</f>
        <v>105.58373366139794</v>
      </c>
      <c r="AV265" s="371">
        <f>($F$265*$F$250/AV250)-($F$265*$F$250/AV250)/(AV6-AV5)*AV268</f>
        <v>116.13478502558662</v>
      </c>
      <c r="AW265" s="371">
        <f>($G$265*$G$250/AW250)-($G$265*$G$250/AW250)/(AW6-AW5)*AW268</f>
        <v>141.80693050407351</v>
      </c>
      <c r="AX265" s="91">
        <f>SUM(AR265:AW265)</f>
        <v>593.82628612529834</v>
      </c>
      <c r="AY265" s="91"/>
      <c r="AZ265" s="117"/>
      <c r="BA265" s="117"/>
      <c r="BB265" s="117"/>
      <c r="BC265" s="117"/>
      <c r="BD265" s="117"/>
      <c r="BE265" s="117"/>
    </row>
    <row r="266" spans="1:59" x14ac:dyDescent="0.25">
      <c r="A266" s="34" t="s">
        <v>111</v>
      </c>
      <c r="B266" s="25">
        <f t="shared" ref="B266:G266" si="76">IF(B$265="","",B265*B264/2000)</f>
        <v>7.5002293258255142</v>
      </c>
      <c r="C266" s="25">
        <f t="shared" si="76"/>
        <v>8.2269873628920589</v>
      </c>
      <c r="D266" s="25">
        <f t="shared" si="76"/>
        <v>10.233772738039312</v>
      </c>
      <c r="E266" s="25">
        <f t="shared" si="76"/>
        <v>11.140070059906597</v>
      </c>
      <c r="F266" s="25">
        <f t="shared" si="76"/>
        <v>12.066270905880396</v>
      </c>
      <c r="G266" s="25">
        <f t="shared" si="76"/>
        <v>14.85029118031153</v>
      </c>
      <c r="H266" s="230"/>
      <c r="I266" s="25">
        <f>IF(I$265="","",I265*I264/2000)</f>
        <v>7.5370952250204679</v>
      </c>
      <c r="J266" s="25">
        <f t="shared" ref="J266:N266" si="77">IF(J$265="","",J265*J264/2000)</f>
        <v>8.2810607987353571</v>
      </c>
      <c r="K266" s="25">
        <f t="shared" si="77"/>
        <v>10.303674133641987</v>
      </c>
      <c r="L266" s="25">
        <f t="shared" si="77"/>
        <v>11.209034228622933</v>
      </c>
      <c r="M266" s="25">
        <f t="shared" si="77"/>
        <v>12.128161309966472</v>
      </c>
      <c r="N266" s="25">
        <f t="shared" si="77"/>
        <v>14.880010557889767</v>
      </c>
      <c r="O266" s="199"/>
      <c r="P266" s="25">
        <f t="shared" ref="P266:U266" si="78">IF(P$265="","",P265*P264/2000)</f>
        <v>7.573887574821212</v>
      </c>
      <c r="Q266" s="25">
        <f t="shared" si="78"/>
        <v>8.3348428982399145</v>
      </c>
      <c r="R266" s="25">
        <f t="shared" si="78"/>
        <v>10.377359174155396</v>
      </c>
      <c r="S266" s="25">
        <f t="shared" si="78"/>
        <v>11.285434800570009</v>
      </c>
      <c r="T266" s="25">
        <f t="shared" si="78"/>
        <v>12.19902080046206</v>
      </c>
      <c r="U266" s="25">
        <f t="shared" si="78"/>
        <v>14.926907994141896</v>
      </c>
      <c r="W266" s="25">
        <f t="shared" ref="W266:AB266" si="79">IF(W$265="","",W265*W264/2000)</f>
        <v>7.6102527501927595</v>
      </c>
      <c r="X266" s="25">
        <f t="shared" si="79"/>
        <v>8.3883606631373961</v>
      </c>
      <c r="Y266" s="25">
        <f t="shared" si="79"/>
        <v>10.449997076233622</v>
      </c>
      <c r="Z266" s="25">
        <f t="shared" si="79"/>
        <v>11.355947421815456</v>
      </c>
      <c r="AA266" s="25">
        <f t="shared" si="79"/>
        <v>12.274644510895222</v>
      </c>
      <c r="AB266" s="25">
        <f t="shared" si="79"/>
        <v>14.989977902937687</v>
      </c>
      <c r="AD266" s="25">
        <f t="shared" ref="AD266:AI266" si="80">IF(AD$265="","",AD265*AD264/2000)</f>
        <v>7.6462586348965687</v>
      </c>
      <c r="AE266" s="25">
        <f t="shared" si="80"/>
        <v>8.4413391097852415</v>
      </c>
      <c r="AF266" s="25">
        <f t="shared" si="80"/>
        <v>10.510250763584686</v>
      </c>
      <c r="AG266" s="25">
        <f t="shared" si="80"/>
        <v>11.4411259066071</v>
      </c>
      <c r="AH266" s="25">
        <f t="shared" si="80"/>
        <v>12.378802344168051</v>
      </c>
      <c r="AI266" s="25">
        <f t="shared" si="80"/>
        <v>15.08316534053753</v>
      </c>
      <c r="AK266" s="25">
        <f t="shared" ref="AK266:AP266" si="81">IF(AK$265="","",AK265*AK264/2000)</f>
        <v>7.6828700825881198</v>
      </c>
      <c r="AL266" s="25">
        <f t="shared" si="81"/>
        <v>8.4938561968065915</v>
      </c>
      <c r="AM266" s="25">
        <f t="shared" si="81"/>
        <v>10.591085127961389</v>
      </c>
      <c r="AN266" s="25">
        <f t="shared" si="81"/>
        <v>11.548356013332262</v>
      </c>
      <c r="AO266" s="25">
        <f t="shared" si="81"/>
        <v>12.486674179820957</v>
      </c>
      <c r="AP266" s="25">
        <f t="shared" si="81"/>
        <v>15.169278559971362</v>
      </c>
      <c r="AR266" s="25">
        <f t="shared" ref="AR266:AW266" si="82">IF(AR$265="","",AR265*AR264/2000)</f>
        <v>7.7124033499452</v>
      </c>
      <c r="AS266" s="25">
        <f t="shared" si="82"/>
        <v>8.540568655943952</v>
      </c>
      <c r="AT266" s="25">
        <f t="shared" si="82"/>
        <v>10.671799242010415</v>
      </c>
      <c r="AU266" s="25">
        <f t="shared" si="82"/>
        <v>11.661362516290362</v>
      </c>
      <c r="AV266" s="25">
        <f t="shared" si="82"/>
        <v>12.600705071206912</v>
      </c>
      <c r="AW266" s="25">
        <f t="shared" si="82"/>
        <v>15.260821948772875</v>
      </c>
      <c r="AZ266" s="369"/>
    </row>
    <row r="267" spans="1:59" x14ac:dyDescent="0.25">
      <c r="A267" s="34" t="s">
        <v>517</v>
      </c>
      <c r="B267" s="370">
        <f t="shared" ref="B267:G267" si="83">B342*0.00220462</f>
        <v>1.669925476729073</v>
      </c>
      <c r="C267" s="370">
        <f t="shared" si="83"/>
        <v>1.9189525389204525</v>
      </c>
      <c r="D267" s="370">
        <f t="shared" si="83"/>
        <v>2.0860530832674886</v>
      </c>
      <c r="E267" s="370">
        <f t="shared" si="83"/>
        <v>2.166293944697927</v>
      </c>
      <c r="F267" s="370">
        <f t="shared" si="83"/>
        <v>2.1531120876854954</v>
      </c>
      <c r="G267" s="370">
        <f t="shared" si="83"/>
        <v>2.0276943879552971</v>
      </c>
      <c r="H267" s="230"/>
      <c r="I267" s="370">
        <f t="shared" ref="I267:N267" si="84">I342*0.00220462</f>
        <v>1.6629124701852978</v>
      </c>
      <c r="J267" s="370">
        <f t="shared" si="84"/>
        <v>1.9132473031982666</v>
      </c>
      <c r="K267" s="370">
        <f t="shared" si="84"/>
        <v>2.080400780313989</v>
      </c>
      <c r="L267" s="370">
        <f t="shared" si="84"/>
        <v>2.1589864260295188</v>
      </c>
      <c r="M267" s="370">
        <f t="shared" si="84"/>
        <v>2.14246496436779</v>
      </c>
      <c r="N267" s="370">
        <f t="shared" si="84"/>
        <v>2.01155699850039</v>
      </c>
      <c r="O267" s="94"/>
      <c r="P267" s="370">
        <f t="shared" ref="P267:U267" si="85">P342*0.00220462</f>
        <v>1.6559454057269123</v>
      </c>
      <c r="Q267" s="370">
        <f t="shared" si="85"/>
        <v>1.9075775620311994</v>
      </c>
      <c r="R267" s="370">
        <f t="shared" si="85"/>
        <v>2.0747406551115013</v>
      </c>
      <c r="S267" s="370">
        <f t="shared" si="85"/>
        <v>2.1517297907499815</v>
      </c>
      <c r="T267" s="370">
        <f t="shared" si="85"/>
        <v>2.1318369060974223</v>
      </c>
      <c r="U267" s="370">
        <f t="shared" si="85"/>
        <v>1.9953492267979323</v>
      </c>
      <c r="W267" s="370">
        <f t="shared" ref="W267:AB267" si="86">W342*0.00220462</f>
        <v>1.6489844257671697</v>
      </c>
      <c r="X267" s="370">
        <f t="shared" si="86"/>
        <v>1.9019149100730077</v>
      </c>
      <c r="Y267" s="370">
        <f t="shared" si="86"/>
        <v>2.0690729486326238</v>
      </c>
      <c r="Z267" s="370">
        <f t="shared" si="86"/>
        <v>2.1445064196202157</v>
      </c>
      <c r="AA267" s="370">
        <f t="shared" si="86"/>
        <v>2.1211721165973674</v>
      </c>
      <c r="AB267" s="370">
        <f t="shared" si="86"/>
        <v>1.9791779243688492</v>
      </c>
      <c r="AD267" s="370">
        <f t="shared" ref="AD267:AI267" si="87">AD342*0.00220462</f>
        <v>1.6420376336269249</v>
      </c>
      <c r="AE267" s="370">
        <f t="shared" si="87"/>
        <v>1.8962540252550233</v>
      </c>
      <c r="AF267" s="370">
        <f t="shared" si="87"/>
        <v>2.0633650549899287</v>
      </c>
      <c r="AG267" s="370">
        <f t="shared" si="87"/>
        <v>2.1372550188547921</v>
      </c>
      <c r="AH267" s="370">
        <f t="shared" si="87"/>
        <v>2.1105447980945446</v>
      </c>
      <c r="AI267" s="370">
        <f t="shared" si="87"/>
        <v>1.9632616841856263</v>
      </c>
      <c r="AK267" s="370">
        <f t="shared" ref="AK267:AP267" si="88">AK342*0.00220462</f>
        <v>1.6351465950415662</v>
      </c>
      <c r="AL267" s="370">
        <f t="shared" si="88"/>
        <v>1.8905955811153681</v>
      </c>
      <c r="AM267" s="370">
        <f t="shared" si="88"/>
        <v>2.0577499760104576</v>
      </c>
      <c r="AN267" s="370">
        <f t="shared" si="88"/>
        <v>2.1298971316510085</v>
      </c>
      <c r="AO267" s="370">
        <f t="shared" si="88"/>
        <v>2.1001044777411368</v>
      </c>
      <c r="AP267" s="370">
        <f t="shared" si="88"/>
        <v>1.947460671473312</v>
      </c>
      <c r="AR267" s="370">
        <f t="shared" ref="AR267:AW267" si="89">AR342*0.00220462</f>
        <v>1.6281251388194953</v>
      </c>
      <c r="AS267" s="370">
        <f t="shared" si="89"/>
        <v>1.8848993573449198</v>
      </c>
      <c r="AT267" s="370">
        <f t="shared" si="89"/>
        <v>2.0520410379053153</v>
      </c>
      <c r="AU267" s="370">
        <f t="shared" si="89"/>
        <v>2.1227178379408125</v>
      </c>
      <c r="AV267" s="370">
        <f t="shared" si="89"/>
        <v>2.0896299772767546</v>
      </c>
      <c r="AW267" s="370">
        <f t="shared" si="89"/>
        <v>1.9315919311434824</v>
      </c>
      <c r="AZ267" s="375"/>
      <c r="BA267" s="378"/>
    </row>
    <row r="268" spans="1:59" x14ac:dyDescent="0.25">
      <c r="A268" s="302" t="s">
        <v>545</v>
      </c>
      <c r="B268" s="303"/>
      <c r="C268" s="303"/>
      <c r="D268" s="303"/>
      <c r="E268" s="303"/>
      <c r="F268" s="303"/>
      <c r="G268" s="303"/>
      <c r="H268" s="303"/>
      <c r="I268" s="304">
        <f>($B$6-$B$5)-(($B$6-$B$5)/$B$267)*I267</f>
        <v>0.14698573825756256</v>
      </c>
      <c r="J268" s="304">
        <f>($C$6-$C$5)-(($C$6-$C$5)/$C$267)*J267</f>
        <v>0.10405846222170823</v>
      </c>
      <c r="K268" s="304">
        <f>($D$6-$D$5)-(($D$6-$D$5)/$D$267)*K267</f>
        <v>0.10838272523048431</v>
      </c>
      <c r="L268" s="304">
        <f>($E$6-$E$5)-(($E$6-$E$5)/$E$267)*L267</f>
        <v>0.13493124857397021</v>
      </c>
      <c r="M268" s="304">
        <f>($F$6-$F$5)-(($F$6-$F$5)/$F$267)*M267</f>
        <v>0.19779970357512866</v>
      </c>
      <c r="N268" s="304">
        <f>($G$6-$G$5)-(($G$6-$G$5)/$G$267)*N267</f>
        <v>0.35813213755702122</v>
      </c>
      <c r="O268" s="305"/>
      <c r="P268" s="304">
        <f>($B$6-$B$5)-(($B$6-$B$5)/$B$267)*P267</f>
        <v>0.29300857546891024</v>
      </c>
      <c r="Q268" s="304">
        <f>($C$6-$C$5)-(($C$6-$C$5)/$C$267)*Q267</f>
        <v>0.20746953509743093</v>
      </c>
      <c r="R268" s="304">
        <f>($D$6-$D$5)-(($D$6-$D$5)/$D$267)*R267</f>
        <v>0.2169154418308139</v>
      </c>
      <c r="S268" s="304">
        <f>($E$6-$E$5)-(($E$6-$E$5)/$E$267)*S267</f>
        <v>0.26892294988114429</v>
      </c>
      <c r="T268" s="304">
        <f>($F$6-$F$5)-(($F$6-$F$5)/$F$267)*T267</f>
        <v>0.39524522127304351</v>
      </c>
      <c r="U268" s="304">
        <f>($G$6-$G$5)-(($G$6-$G$5)/$G$267)*U267</f>
        <v>0.71782624675957862</v>
      </c>
      <c r="V268" s="305"/>
      <c r="W268" s="304">
        <f>($B$6-$B$5)-(($B$6-$B$5)/$B$267)*W267</f>
        <v>0.43890388755684739</v>
      </c>
      <c r="X268" s="304">
        <f>($C$6-$C$5)-(($C$6-$C$5)/$C$267)*X267</f>
        <v>0.31075130706256715</v>
      </c>
      <c r="Y268" s="304">
        <f>($D$6-$D$5)-(($D$6-$D$5)/$D$267)*Y267</f>
        <v>0.32559352915924933</v>
      </c>
      <c r="Z268" s="304">
        <f>($E$6-$E$5)-(($E$6-$E$5)/$E$267)*Z267</f>
        <v>0.40230043814759142</v>
      </c>
      <c r="AA268" s="304">
        <f>($F$6-$F$5)-(($F$6-$F$5)/$F$267)*AA267</f>
        <v>0.59337312294711353</v>
      </c>
      <c r="AB268" s="304">
        <f>($G$6-$G$5)-(($G$6-$G$5)/$G$267)*AB267</f>
        <v>1.0767110045571044</v>
      </c>
      <c r="AC268" s="305"/>
      <c r="AD268" s="304">
        <f>($B$6-$B$5)-(($B$6-$B$5)/$B$267)*AD267</f>
        <v>0.58450183686462509</v>
      </c>
      <c r="AE268" s="304">
        <f>($C$6-$C$5)-(($C$6-$C$5)/$C$267)*AE267</f>
        <v>0.41400084795059655</v>
      </c>
      <c r="AF268" s="304">
        <f>($D$6-$D$5)-(($D$6-$D$5)/$D$267)*AF267</f>
        <v>0.43504220404636129</v>
      </c>
      <c r="AG268" s="304">
        <f>($E$6-$E$5)-(($E$6-$E$5)/$E$267)*AG267</f>
        <v>0.53619548564419972</v>
      </c>
      <c r="AH268" s="304">
        <f>($F$6-$F$5)-(($F$6-$F$5)/$F$267)*AH267</f>
        <v>0.79080489742099047</v>
      </c>
      <c r="AI268" s="304">
        <f>($G$6-$G$5)-(($G$6-$G$5)/$G$267)*AI267</f>
        <v>1.4299352441168267</v>
      </c>
      <c r="AJ268" s="305"/>
      <c r="AK268" s="304">
        <f>($B$6-$B$5)-(($B$6-$B$5)/$B$267)*AK267</f>
        <v>0.7289312463493971</v>
      </c>
      <c r="AL268" s="304">
        <f>($C$6-$C$5)-(($C$6-$C$5)/$C$267)*AL267</f>
        <v>0.51720587302086329</v>
      </c>
      <c r="AM268" s="304">
        <f>($D$6-$D$5)-(($D$6-$D$5)/$D$267)*AM267</f>
        <v>0.54271116078596293</v>
      </c>
      <c r="AN268" s="304">
        <f>($E$6-$E$5)-(($E$6-$E$5)/$E$267)*AN267</f>
        <v>0.67205677486198567</v>
      </c>
      <c r="AO268" s="304">
        <f>($F$6-$F$5)-(($F$6-$F$5)/$F$267)*AO267</f>
        <v>0.98476266512143695</v>
      </c>
      <c r="AP268" s="304">
        <f>($G$6-$G$5)-(($G$6-$G$5)/$G$267)*AP267</f>
        <v>1.7806022757355109</v>
      </c>
      <c r="AQ268" s="305"/>
      <c r="AR268" s="304">
        <f>($B$6-$B$5)-(($B$6-$B$5)/$B$267)*AR267</f>
        <v>0.8760940815759426</v>
      </c>
      <c r="AS268" s="304">
        <f>($C$6-$C$5)-(($C$6-$C$5)/$C$267)*AS267</f>
        <v>0.62109996519984634</v>
      </c>
      <c r="AT268" s="304">
        <f>($D$6-$D$5)-(($D$6-$D$5)/$D$267)*AT267</f>
        <v>0.65217986320651988</v>
      </c>
      <c r="AU268" s="304">
        <f>($E$6-$E$5)-(($E$6-$E$5)/$E$267)*AU267</f>
        <v>0.80462038614415121</v>
      </c>
      <c r="AV268" s="304">
        <f>($F$6-$F$5)-(($F$6-$F$5)/$F$267)*AV267</f>
        <v>1.1793554227263954</v>
      </c>
      <c r="AW268" s="304">
        <f>($G$6-$G$5)-(($G$6-$G$5)/$G$267)*AW267</f>
        <v>2.1327723656090711</v>
      </c>
      <c r="AX268" s="305"/>
    </row>
    <row r="269" spans="1:59" x14ac:dyDescent="0.25">
      <c r="A269" s="34" t="s">
        <v>543</v>
      </c>
      <c r="B269" s="371">
        <v>64.919933148666814</v>
      </c>
      <c r="C269" s="371">
        <v>74.047956546633458</v>
      </c>
      <c r="D269" s="371">
        <v>95.803407561009578</v>
      </c>
      <c r="E269" s="371">
        <v>107.72572383590483</v>
      </c>
      <c r="F269" s="371">
        <v>119.6480401107998</v>
      </c>
      <c r="G269" s="371">
        <v>148.85493879698549</v>
      </c>
      <c r="H269" s="91">
        <f>SUM(B269:G269)</f>
        <v>611</v>
      </c>
      <c r="I269" s="371">
        <f>($B$269*$B$250/I250)</f>
        <v>64.934546379077631</v>
      </c>
      <c r="J269" s="371">
        <f>($C$269*$C$250/J250)</f>
        <v>74.059818612609803</v>
      </c>
      <c r="K269" s="371">
        <f>($D$269*$D$250/K250)</f>
        <v>95.798003211222877</v>
      </c>
      <c r="L269" s="371">
        <f>($E$269*$E$250/L250)</f>
        <v>107.73192726619641</v>
      </c>
      <c r="M269" s="371">
        <f>($F$269*$F$250/M250)</f>
        <v>119.65773322635012</v>
      </c>
      <c r="N269" s="371">
        <f>($G$269*$G$250/N250)</f>
        <v>148.86492880683539</v>
      </c>
      <c r="O269" s="91">
        <f>SUM(I269:N269)</f>
        <v>611.04695750229223</v>
      </c>
      <c r="P269" s="371">
        <f>($B$269*$B$250/P250)</f>
        <v>64.938814390163273</v>
      </c>
      <c r="Q269" s="371">
        <f>($C$269*$C$250/Q250)</f>
        <v>74.062192630508932</v>
      </c>
      <c r="R269" s="371">
        <f>($D$269*$D$250/R250)</f>
        <v>95.796292562037905</v>
      </c>
      <c r="S269" s="371">
        <f>($E$269*$E$250/S250)</f>
        <v>107.73210783771644</v>
      </c>
      <c r="T269" s="371">
        <f>($F$269*$F$250/T250)</f>
        <v>119.65728123153896</v>
      </c>
      <c r="U269" s="371">
        <f>($G$269*$G$250/U250)</f>
        <v>148.86196776984221</v>
      </c>
      <c r="V269" s="91">
        <f>SUM(P269:U269)</f>
        <v>611.04865642180766</v>
      </c>
      <c r="W269" s="371">
        <f>($B$269*$B$250/W250)</f>
        <v>64.941370703308507</v>
      </c>
      <c r="X269" s="371">
        <f>($C$269*$C$250/X250)</f>
        <v>74.062241682400469</v>
      </c>
      <c r="Y269" s="371">
        <f>($D$269*$D$250/Y250)</f>
        <v>95.796375025732644</v>
      </c>
      <c r="Z269" s="371">
        <f>($E$269*$E$250/Z250)</f>
        <v>107.73047488785043</v>
      </c>
      <c r="AA269" s="371">
        <f>($F$269*$F$250/AA250)</f>
        <v>119.64968579396542</v>
      </c>
      <c r="AB269" s="371">
        <f>($G$269*$G$250/AB250)</f>
        <v>148.860005502267</v>
      </c>
      <c r="AC269" s="91">
        <f>SUM(W269:AB269)</f>
        <v>611.04015359552454</v>
      </c>
      <c r="AD269" s="371">
        <f>($B$269*$B$250/AD250)</f>
        <v>64.939990132216209</v>
      </c>
      <c r="AE269" s="371">
        <f>($C$269*$C$250/AE250)</f>
        <v>74.061727742600752</v>
      </c>
      <c r="AF269" s="371">
        <f>($D$269*$D$250/AF250)</f>
        <v>95.795534677301418</v>
      </c>
      <c r="AG269" s="371">
        <f>($E$269*$E$250/AG250)</f>
        <v>107.72083855928383</v>
      </c>
      <c r="AH269" s="371">
        <f>($F$269*$F$250/AH250)</f>
        <v>119.66556049800599</v>
      </c>
      <c r="AI269" s="371">
        <f>($G$269*$G$250/AI250)</f>
        <v>148.86975300871478</v>
      </c>
      <c r="AJ269" s="91">
        <f>SUM(AD269:AI269)</f>
        <v>611.05340461812307</v>
      </c>
      <c r="AK269" s="371">
        <f>($B$269*$B$250/AK250)</f>
        <v>64.922952714896354</v>
      </c>
      <c r="AL269" s="371">
        <f>($C$269*$C$250/AL250)</f>
        <v>74.060421651865951</v>
      </c>
      <c r="AM269" s="371">
        <f>($D$269*$D$250/AM250)</f>
        <v>95.791122746846256</v>
      </c>
      <c r="AN269" s="371">
        <f>($E$269*$E$250/AN250)</f>
        <v>107.74900340436605</v>
      </c>
      <c r="AO269" s="371">
        <f>($F$269*$F$250/AO250)</f>
        <v>119.66538164847253</v>
      </c>
      <c r="AP269" s="371">
        <f>($G$269*$G$250/AP250)</f>
        <v>148.8673620925843</v>
      </c>
      <c r="AQ269" s="91">
        <f>SUM(AK269:AP269)</f>
        <v>611.05624425903147</v>
      </c>
      <c r="AR269" s="371">
        <f>($B$269*$B$250/AR250)</f>
        <v>64.92959591280966</v>
      </c>
      <c r="AS269" s="371">
        <f>($C$269*$C$250/AS250)</f>
        <v>74.060707949851619</v>
      </c>
      <c r="AT269" s="371">
        <f>($D$269*$D$250/AT250)</f>
        <v>95.812232948269212</v>
      </c>
      <c r="AU269" s="371">
        <f>($E$269*$E$250/AU250)</f>
        <v>107.75120404658445</v>
      </c>
      <c r="AV269" s="371">
        <f>($F$269*$F$250/AV250)</f>
        <v>119.66291264887889</v>
      </c>
      <c r="AW269" s="371">
        <f>($G$269*$G$250/AW250)</f>
        <v>148.8622480349953</v>
      </c>
      <c r="AX269" s="91">
        <f>SUM(AR269:AW269)</f>
        <v>611.07890154138909</v>
      </c>
      <c r="AY269" s="91"/>
      <c r="AZ269" s="117"/>
      <c r="BA269" s="117"/>
      <c r="BB269" s="117"/>
      <c r="BC269" s="117"/>
      <c r="BD269" s="117"/>
      <c r="BE269" s="117"/>
    </row>
    <row r="270" spans="1:59" x14ac:dyDescent="0.25">
      <c r="A270" s="34" t="s">
        <v>544</v>
      </c>
      <c r="B270" s="25">
        <f t="shared" ref="B270:G270" si="90">B269*B264/2000</f>
        <v>7.5002293258255142</v>
      </c>
      <c r="C270" s="25">
        <f t="shared" si="90"/>
        <v>8.2269873628920589</v>
      </c>
      <c r="D270" s="25">
        <f t="shared" si="90"/>
        <v>10.233772738039312</v>
      </c>
      <c r="E270" s="25">
        <f t="shared" si="90"/>
        <v>11.140070059906597</v>
      </c>
      <c r="F270" s="25">
        <f t="shared" si="90"/>
        <v>12.066270905880396</v>
      </c>
      <c r="G270" s="25">
        <f t="shared" si="90"/>
        <v>14.85029118031153</v>
      </c>
      <c r="H270" s="230"/>
      <c r="I270" s="25">
        <f t="shared" ref="I270:N270" si="91">I269*I264/2000</f>
        <v>7.5688814429253926</v>
      </c>
      <c r="J270" s="25">
        <f t="shared" si="91"/>
        <v>8.3057546288573505</v>
      </c>
      <c r="K270" s="25">
        <f t="shared" si="91"/>
        <v>10.331668493329111</v>
      </c>
      <c r="L270" s="25">
        <f t="shared" si="91"/>
        <v>11.246973432822157</v>
      </c>
      <c r="M270" s="25">
        <f t="shared" si="91"/>
        <v>12.188433020931109</v>
      </c>
      <c r="N270" s="25">
        <f t="shared" si="91"/>
        <v>14.999383026899993</v>
      </c>
      <c r="O270" s="199"/>
      <c r="P270" s="25">
        <f t="shared" ref="P270:U270" si="92">P269*P264/2000</f>
        <v>7.6378289859886319</v>
      </c>
      <c r="Q270" s="25">
        <f t="shared" si="92"/>
        <v>8.3845439679264775</v>
      </c>
      <c r="R270" s="25">
        <f t="shared" si="92"/>
        <v>10.43394124855457</v>
      </c>
      <c r="S270" s="25">
        <f t="shared" si="92"/>
        <v>11.36182116214365</v>
      </c>
      <c r="T270" s="25">
        <f t="shared" si="92"/>
        <v>12.320763876578338</v>
      </c>
      <c r="U270" s="25">
        <f t="shared" si="92"/>
        <v>15.16887728862298</v>
      </c>
      <c r="W270" s="25">
        <f t="shared" ref="W270:AB270" si="93">W269*W264/2000</f>
        <v>7.7068981085020765</v>
      </c>
      <c r="X270" s="25">
        <f t="shared" si="93"/>
        <v>8.4635048112063309</v>
      </c>
      <c r="Y270" s="25">
        <f t="shared" si="93"/>
        <v>10.535756429187154</v>
      </c>
      <c r="Z270" s="25">
        <f t="shared" si="93"/>
        <v>11.471320351908055</v>
      </c>
      <c r="AA270" s="25">
        <f t="shared" si="93"/>
        <v>12.459472412283979</v>
      </c>
      <c r="AB270" s="25">
        <f t="shared" si="93"/>
        <v>15.357433859340121</v>
      </c>
      <c r="AD270" s="25">
        <f t="shared" ref="AD270:AI270" si="94">AD269*AD264/2000</f>
        <v>7.7761202511967022</v>
      </c>
      <c r="AE270" s="25">
        <f t="shared" si="94"/>
        <v>8.5423835102643455</v>
      </c>
      <c r="AF270" s="25">
        <f t="shared" si="94"/>
        <v>10.625817742850806</v>
      </c>
      <c r="AG270" s="25">
        <f t="shared" si="94"/>
        <v>11.596576708609172</v>
      </c>
      <c r="AH270" s="25">
        <f t="shared" si="94"/>
        <v>12.62846871687384</v>
      </c>
      <c r="AI270" s="25">
        <f t="shared" si="94"/>
        <v>15.578182959494907</v>
      </c>
      <c r="AK270" s="25">
        <f t="shared" ref="AK270:AP270" si="95">AK269*AK264/2000</f>
        <v>7.8462815041897569</v>
      </c>
      <c r="AL270" s="25">
        <f t="shared" si="95"/>
        <v>8.6212551626040277</v>
      </c>
      <c r="AM270" s="25">
        <f t="shared" si="95"/>
        <v>10.736759102856148</v>
      </c>
      <c r="AN270" s="25">
        <f t="shared" si="95"/>
        <v>11.745700452446412</v>
      </c>
      <c r="AO270" s="25">
        <f t="shared" si="95"/>
        <v>12.801843620885228</v>
      </c>
      <c r="AP270" s="25">
        <f t="shared" si="95"/>
        <v>15.794239881678687</v>
      </c>
      <c r="AR270" s="25">
        <f t="shared" ref="AR270:AW270" si="96">AR269*AR264/2000</f>
        <v>7.9104108976674956</v>
      </c>
      <c r="AS270" s="25">
        <f t="shared" si="96"/>
        <v>8.6948652416294792</v>
      </c>
      <c r="AT270" s="25">
        <f t="shared" si="96"/>
        <v>10.848681532963903</v>
      </c>
      <c r="AU270" s="25">
        <f t="shared" si="96"/>
        <v>11.900752212302072</v>
      </c>
      <c r="AV270" s="25">
        <f t="shared" si="96"/>
        <v>12.98350937591966</v>
      </c>
      <c r="AW270" s="25">
        <f t="shared" si="96"/>
        <v>16.020093334513508</v>
      </c>
      <c r="AZ270" s="369"/>
    </row>
    <row r="271" spans="1:59" x14ac:dyDescent="0.25">
      <c r="A271" s="34"/>
      <c r="B271" s="489"/>
      <c r="C271" s="489"/>
      <c r="D271" s="489"/>
      <c r="E271" s="489"/>
      <c r="F271" s="489"/>
      <c r="G271" s="489"/>
      <c r="H271" s="379"/>
      <c r="I271" s="398"/>
      <c r="J271" s="398"/>
      <c r="K271" s="398"/>
      <c r="L271" s="398"/>
      <c r="M271" s="398"/>
      <c r="N271" s="398"/>
      <c r="P271" s="398"/>
      <c r="Q271" s="398"/>
      <c r="R271" s="398"/>
      <c r="S271" s="398"/>
      <c r="T271" s="398"/>
      <c r="U271" s="398"/>
      <c r="W271" s="398"/>
      <c r="X271" s="398"/>
      <c r="Y271" s="398"/>
      <c r="Z271" s="398"/>
      <c r="AA271" s="398"/>
      <c r="AB271" s="398"/>
      <c r="AD271" s="398"/>
      <c r="AE271" s="398"/>
      <c r="AF271" s="398"/>
      <c r="AG271" s="398"/>
      <c r="AH271" s="398"/>
      <c r="AI271" s="398"/>
      <c r="AK271" s="398"/>
      <c r="AL271" s="398"/>
      <c r="AM271" s="398"/>
      <c r="AN271" s="398"/>
      <c r="AO271" s="398"/>
      <c r="AP271" s="398"/>
      <c r="AR271" s="398"/>
      <c r="AS271" s="398"/>
      <c r="AT271" s="398"/>
      <c r="AU271" s="398"/>
      <c r="AV271" s="398"/>
      <c r="AW271" s="398"/>
      <c r="AY271" s="2"/>
      <c r="AZ271" s="13"/>
      <c r="BB271" s="379"/>
      <c r="BC271" s="379"/>
      <c r="BD271" s="379"/>
      <c r="BE271" s="379"/>
      <c r="BF271" s="379"/>
      <c r="BG271" s="379"/>
    </row>
    <row r="272" spans="1:59" x14ac:dyDescent="0.25">
      <c r="A272" s="17" t="s">
        <v>49</v>
      </c>
      <c r="B272" s="293"/>
      <c r="C272" s="293"/>
      <c r="D272" s="293"/>
      <c r="E272" s="293"/>
      <c r="F272" s="293"/>
      <c r="G272" s="293"/>
      <c r="H272" s="293"/>
      <c r="I272" s="293"/>
      <c r="J272" s="293"/>
      <c r="K272" s="293"/>
      <c r="L272" s="293"/>
      <c r="M272" s="293"/>
      <c r="N272" s="293"/>
      <c r="P272" s="293"/>
      <c r="Q272" s="293"/>
      <c r="R272" s="293"/>
      <c r="S272" s="293"/>
      <c r="T272" s="293"/>
      <c r="U272" s="293"/>
      <c r="W272" s="293"/>
      <c r="X272" s="293"/>
      <c r="Y272" s="293"/>
      <c r="Z272" s="293"/>
      <c r="AA272" s="293"/>
      <c r="AB272" s="293"/>
      <c r="AD272" s="293"/>
      <c r="AE272" s="293"/>
      <c r="AF272" s="293"/>
      <c r="AG272" s="293"/>
      <c r="AH272" s="293"/>
      <c r="AI272" s="293"/>
      <c r="AK272" s="293"/>
      <c r="AL272" s="293"/>
      <c r="AM272" s="293"/>
      <c r="AN272" s="293"/>
      <c r="AO272" s="293"/>
      <c r="AP272" s="293"/>
      <c r="AR272" s="293"/>
      <c r="AS272" s="293"/>
      <c r="AT272" s="293"/>
      <c r="AU272" s="293"/>
      <c r="AV272" s="293"/>
      <c r="AW272" s="293"/>
    </row>
    <row r="273" spans="1:53" x14ac:dyDescent="0.25">
      <c r="A273" s="42" t="s">
        <v>402</v>
      </c>
      <c r="B273" s="14">
        <v>0.56000000000000005</v>
      </c>
      <c r="C273" s="14">
        <v>0.56000000000000005</v>
      </c>
      <c r="D273" s="14">
        <v>0.56000000000000005</v>
      </c>
      <c r="E273" s="14">
        <v>0.56000000000000005</v>
      </c>
      <c r="F273" s="14">
        <v>0.56000000000000005</v>
      </c>
      <c r="G273" s="14">
        <v>0.56000000000000005</v>
      </c>
      <c r="H273" s="403"/>
      <c r="I273" s="14">
        <v>0.56000000000000005</v>
      </c>
      <c r="J273" s="14">
        <v>0.56000000000000005</v>
      </c>
      <c r="K273" s="14">
        <v>0.56000000000000005</v>
      </c>
      <c r="L273" s="14">
        <v>0.56000000000000005</v>
      </c>
      <c r="M273" s="14">
        <v>0.56000000000000005</v>
      </c>
      <c r="N273" s="14">
        <v>0.56000000000000005</v>
      </c>
      <c r="P273" s="14">
        <v>0.56000000000000005</v>
      </c>
      <c r="Q273" s="14">
        <v>0.56000000000000005</v>
      </c>
      <c r="R273" s="14">
        <v>0.56000000000000005</v>
      </c>
      <c r="S273" s="14">
        <v>0.56000000000000005</v>
      </c>
      <c r="T273" s="14">
        <v>0.56000000000000005</v>
      </c>
      <c r="U273" s="14">
        <v>0.56000000000000005</v>
      </c>
      <c r="W273" s="14">
        <v>0.56000000000000005</v>
      </c>
      <c r="X273" s="14">
        <v>0.56000000000000005</v>
      </c>
      <c r="Y273" s="14">
        <v>0.56000000000000005</v>
      </c>
      <c r="Z273" s="14">
        <v>0.56000000000000005</v>
      </c>
      <c r="AA273" s="14">
        <v>0.56000000000000005</v>
      </c>
      <c r="AB273" s="14">
        <v>0.56000000000000005</v>
      </c>
      <c r="AD273" s="14">
        <v>0.56000000000000005</v>
      </c>
      <c r="AE273" s="14">
        <v>0.56000000000000005</v>
      </c>
      <c r="AF273" s="14">
        <v>0.56000000000000005</v>
      </c>
      <c r="AG273" s="14">
        <v>0.56000000000000005</v>
      </c>
      <c r="AH273" s="14">
        <v>0.56000000000000005</v>
      </c>
      <c r="AI273" s="14">
        <v>0.56000000000000005</v>
      </c>
      <c r="AK273" s="14">
        <v>0.56000000000000005</v>
      </c>
      <c r="AL273" s="14">
        <v>0.56000000000000005</v>
      </c>
      <c r="AM273" s="14">
        <v>0.56000000000000005</v>
      </c>
      <c r="AN273" s="14">
        <v>0.56000000000000005</v>
      </c>
      <c r="AO273" s="14">
        <v>0.56000000000000005</v>
      </c>
      <c r="AP273" s="14">
        <v>0.56000000000000005</v>
      </c>
      <c r="AR273" s="14">
        <v>0.56000000000000005</v>
      </c>
      <c r="AS273" s="14">
        <v>0.56000000000000005</v>
      </c>
      <c r="AT273" s="14">
        <v>0.56000000000000005</v>
      </c>
      <c r="AU273" s="14">
        <v>0.56000000000000005</v>
      </c>
      <c r="AV273" s="14">
        <v>0.56000000000000005</v>
      </c>
      <c r="AW273" s="14">
        <v>0.56000000000000005</v>
      </c>
      <c r="BA273" s="2"/>
    </row>
    <row r="274" spans="1:53" x14ac:dyDescent="0.25">
      <c r="A274" s="42" t="s">
        <v>401</v>
      </c>
      <c r="B274" s="14"/>
      <c r="C274" s="14"/>
      <c r="D274" s="14"/>
      <c r="E274" s="14"/>
      <c r="F274" s="14"/>
      <c r="G274" s="14"/>
      <c r="H274" s="231"/>
      <c r="I274" s="14"/>
      <c r="J274" s="14"/>
      <c r="K274" s="14"/>
      <c r="L274" s="14"/>
      <c r="M274" s="14"/>
      <c r="N274" s="14"/>
      <c r="O274" s="200"/>
      <c r="P274" s="14"/>
      <c r="Q274" s="14"/>
      <c r="R274" s="14"/>
      <c r="S274" s="14"/>
      <c r="T274" s="14"/>
      <c r="U274" s="14"/>
      <c r="W274" s="14"/>
      <c r="X274" s="14"/>
      <c r="Y274" s="14"/>
      <c r="Z274" s="14"/>
      <c r="AA274" s="14"/>
      <c r="AB274" s="14"/>
      <c r="AD274" s="14"/>
      <c r="AE274" s="14"/>
      <c r="AF274" s="14"/>
      <c r="AG274" s="14"/>
      <c r="AH274" s="14"/>
      <c r="AI274" s="14"/>
      <c r="AK274" s="14"/>
      <c r="AL274" s="14"/>
      <c r="AM274" s="14"/>
      <c r="AN274" s="14"/>
      <c r="AO274" s="14"/>
      <c r="AP274" s="14"/>
      <c r="AR274" s="14"/>
      <c r="AS274" s="14"/>
      <c r="AT274" s="14"/>
      <c r="AU274" s="14"/>
      <c r="AV274" s="14"/>
      <c r="AW274" s="14"/>
    </row>
    <row r="275" spans="1:53" x14ac:dyDescent="0.25">
      <c r="A275" s="43" t="s">
        <v>400</v>
      </c>
      <c r="B275" s="14">
        <f t="shared" ref="B275:G275" si="97" xml:space="preserve"> 0.000000416*((B5+B6)/2)^2 - 0.000036654*((B5+B6)/2) + 0.280606061</f>
        <v>0.28002731600000003</v>
      </c>
      <c r="C275" s="14">
        <f t="shared" si="97"/>
        <v>0.281219626</v>
      </c>
      <c r="D275" s="14">
        <f t="shared" si="97"/>
        <v>0.28362810100000002</v>
      </c>
      <c r="E275" s="14">
        <f t="shared" si="97"/>
        <v>0.28748674100000005</v>
      </c>
      <c r="F275" s="14">
        <f t="shared" si="97"/>
        <v>0.29267658100000005</v>
      </c>
      <c r="G275" s="14">
        <f t="shared" si="97"/>
        <v>0.29964938600000002</v>
      </c>
      <c r="H275" s="231"/>
      <c r="I275" s="14">
        <f t="shared" ref="I275:N275" si="98" xml:space="preserve"> 0.000000416*((I5+I6)/2)^2 - 0.000036654*((I5+I6)/2) + 0.280606061</f>
        <v>0.28002731600000003</v>
      </c>
      <c r="J275" s="14">
        <f t="shared" si="98"/>
        <v>0.281219626</v>
      </c>
      <c r="K275" s="14">
        <f t="shared" si="98"/>
        <v>0.28362810100000002</v>
      </c>
      <c r="L275" s="14">
        <f t="shared" si="98"/>
        <v>0.28748674100000005</v>
      </c>
      <c r="M275" s="14">
        <f t="shared" si="98"/>
        <v>0.29267658100000005</v>
      </c>
      <c r="N275" s="14">
        <f t="shared" si="98"/>
        <v>0.29964938600000002</v>
      </c>
      <c r="O275" s="200"/>
      <c r="P275" s="14">
        <f t="shared" ref="P275:U275" si="99" xml:space="preserve"> 0.000000416*((P5+P6)/2)^2 - 0.000036654*((P5+P6)/2) + 0.280606061</f>
        <v>0.28002731600000003</v>
      </c>
      <c r="Q275" s="14">
        <f t="shared" si="99"/>
        <v>0.281219626</v>
      </c>
      <c r="R275" s="14">
        <f t="shared" si="99"/>
        <v>0.28362810100000002</v>
      </c>
      <c r="S275" s="14">
        <f t="shared" si="99"/>
        <v>0.28748674100000005</v>
      </c>
      <c r="T275" s="14">
        <f t="shared" si="99"/>
        <v>0.29267658100000005</v>
      </c>
      <c r="U275" s="14">
        <f t="shared" si="99"/>
        <v>0.29964938600000002</v>
      </c>
      <c r="W275" s="14">
        <f t="shared" ref="W275:AB275" si="100" xml:space="preserve"> 0.000000416*((W5+W6)/2)^2 - 0.000036654*((W5+W6)/2) + 0.280606061</f>
        <v>0.28002731600000003</v>
      </c>
      <c r="X275" s="14">
        <f t="shared" si="100"/>
        <v>0.281219626</v>
      </c>
      <c r="Y275" s="14">
        <f t="shared" si="100"/>
        <v>0.28362810100000002</v>
      </c>
      <c r="Z275" s="14">
        <f t="shared" si="100"/>
        <v>0.28748674100000005</v>
      </c>
      <c r="AA275" s="14">
        <f t="shared" si="100"/>
        <v>0.29267658100000005</v>
      </c>
      <c r="AB275" s="14">
        <f t="shared" si="100"/>
        <v>0.29964938600000002</v>
      </c>
      <c r="AD275" s="14">
        <f t="shared" ref="AD275:AI275" si="101" xml:space="preserve"> 0.000000416*((AD5+AD6)/2)^2 - 0.000036654*((AD5+AD6)/2) + 0.280606061</f>
        <v>0.28002731600000003</v>
      </c>
      <c r="AE275" s="14">
        <f t="shared" si="101"/>
        <v>0.281219626</v>
      </c>
      <c r="AF275" s="14">
        <f t="shared" si="101"/>
        <v>0.28362810100000002</v>
      </c>
      <c r="AG275" s="14">
        <f t="shared" si="101"/>
        <v>0.28748674100000005</v>
      </c>
      <c r="AH275" s="14">
        <f t="shared" si="101"/>
        <v>0.29267658100000005</v>
      </c>
      <c r="AI275" s="14">
        <f t="shared" si="101"/>
        <v>0.29964938600000002</v>
      </c>
      <c r="AK275" s="14">
        <f t="shared" ref="AK275:AP275" si="102" xml:space="preserve"> 0.000000416*((AK5+AK6)/2)^2 - 0.000036654*((AK5+AK6)/2) + 0.280606061</f>
        <v>0.28002731600000003</v>
      </c>
      <c r="AL275" s="14">
        <f t="shared" si="102"/>
        <v>0.281219626</v>
      </c>
      <c r="AM275" s="14">
        <f t="shared" si="102"/>
        <v>0.28362810100000002</v>
      </c>
      <c r="AN275" s="14">
        <f t="shared" si="102"/>
        <v>0.28748674100000005</v>
      </c>
      <c r="AO275" s="14">
        <f t="shared" si="102"/>
        <v>0.29267658100000005</v>
      </c>
      <c r="AP275" s="14">
        <f t="shared" si="102"/>
        <v>0.29964938600000002</v>
      </c>
      <c r="AR275" s="14">
        <f t="shared" ref="AR275:AW275" si="103" xml:space="preserve"> 0.000000416*((AR5+AR6)/2)^2 - 0.000036654*((AR5+AR6)/2) + 0.280606061</f>
        <v>0.28002731600000003</v>
      </c>
      <c r="AS275" s="14">
        <f t="shared" si="103"/>
        <v>0.281219626</v>
      </c>
      <c r="AT275" s="14">
        <f t="shared" si="103"/>
        <v>0.28362810100000002</v>
      </c>
      <c r="AU275" s="14">
        <f t="shared" si="103"/>
        <v>0.28748674100000005</v>
      </c>
      <c r="AV275" s="14">
        <f t="shared" si="103"/>
        <v>0.29267658100000005</v>
      </c>
      <c r="AW275" s="14">
        <f t="shared" si="103"/>
        <v>0.29964938600000002</v>
      </c>
    </row>
    <row r="276" spans="1:53" x14ac:dyDescent="0.25">
      <c r="A276" s="43" t="s">
        <v>399</v>
      </c>
      <c r="B276" s="14">
        <v>0.55900000000000005</v>
      </c>
      <c r="C276" s="14">
        <v>0.55900000000000005</v>
      </c>
      <c r="D276" s="14">
        <v>0.55900000000000005</v>
      </c>
      <c r="E276" s="14">
        <v>0.56899999999999995</v>
      </c>
      <c r="F276" s="14">
        <v>0.56899999999999995</v>
      </c>
      <c r="G276" s="14">
        <v>0.57899999999999996</v>
      </c>
      <c r="H276" s="231"/>
      <c r="I276" s="14">
        <v>0.55900000000000005</v>
      </c>
      <c r="J276" s="14">
        <v>0.55900000000000005</v>
      </c>
      <c r="K276" s="14">
        <v>0.55900000000000005</v>
      </c>
      <c r="L276" s="14">
        <v>0.56899999999999995</v>
      </c>
      <c r="M276" s="14">
        <v>0.56899999999999995</v>
      </c>
      <c r="N276" s="14">
        <v>0.57899999999999996</v>
      </c>
      <c r="O276" s="200"/>
      <c r="P276" s="14">
        <v>0.55900000000000005</v>
      </c>
      <c r="Q276" s="14">
        <v>0.55900000000000005</v>
      </c>
      <c r="R276" s="14">
        <v>0.55900000000000005</v>
      </c>
      <c r="S276" s="14">
        <v>0.56899999999999995</v>
      </c>
      <c r="T276" s="14">
        <v>0.56899999999999995</v>
      </c>
      <c r="U276" s="14">
        <v>0.57899999999999996</v>
      </c>
      <c r="W276" s="14">
        <v>0.55900000000000005</v>
      </c>
      <c r="X276" s="14">
        <v>0.55900000000000005</v>
      </c>
      <c r="Y276" s="14">
        <v>0.55900000000000005</v>
      </c>
      <c r="Z276" s="14">
        <v>0.56899999999999995</v>
      </c>
      <c r="AA276" s="14">
        <v>0.56899999999999995</v>
      </c>
      <c r="AB276" s="14">
        <v>0.57899999999999996</v>
      </c>
      <c r="AD276" s="14">
        <v>0.55900000000000005</v>
      </c>
      <c r="AE276" s="14">
        <v>0.55900000000000005</v>
      </c>
      <c r="AF276" s="14">
        <v>0.55900000000000005</v>
      </c>
      <c r="AG276" s="14">
        <v>0.56899999999999995</v>
      </c>
      <c r="AH276" s="14">
        <v>0.56899999999999995</v>
      </c>
      <c r="AI276" s="14">
        <v>0.57899999999999996</v>
      </c>
      <c r="AK276" s="14">
        <v>0.55900000000000005</v>
      </c>
      <c r="AL276" s="14">
        <v>0.55900000000000005</v>
      </c>
      <c r="AM276" s="14">
        <v>0.55900000000000005</v>
      </c>
      <c r="AN276" s="14">
        <v>0.56899999999999995</v>
      </c>
      <c r="AO276" s="14">
        <v>0.56899999999999995</v>
      </c>
      <c r="AP276" s="14">
        <v>0.57899999999999996</v>
      </c>
      <c r="AR276" s="14">
        <v>0.55900000000000005</v>
      </c>
      <c r="AS276" s="14">
        <v>0.55900000000000005</v>
      </c>
      <c r="AT276" s="14">
        <v>0.55900000000000005</v>
      </c>
      <c r="AU276" s="14">
        <v>0.56899999999999995</v>
      </c>
      <c r="AV276" s="14">
        <v>0.56899999999999995</v>
      </c>
      <c r="AW276" s="14">
        <v>0.57899999999999996</v>
      </c>
    </row>
    <row r="277" spans="1:53" x14ac:dyDescent="0.25">
      <c r="A277" s="43" t="s">
        <v>398</v>
      </c>
      <c r="B277" s="14">
        <v>0.61899999999999999</v>
      </c>
      <c r="C277" s="14">
        <v>0.61899999999999999</v>
      </c>
      <c r="D277" s="14">
        <v>0.61899999999999999</v>
      </c>
      <c r="E277" s="14">
        <v>0.629</v>
      </c>
      <c r="F277" s="14">
        <v>0.629</v>
      </c>
      <c r="G277" s="14">
        <v>0.63900000000000001</v>
      </c>
      <c r="H277" s="231"/>
      <c r="I277" s="14">
        <v>0.61899999999999999</v>
      </c>
      <c r="J277" s="14">
        <v>0.61899999999999999</v>
      </c>
      <c r="K277" s="14">
        <v>0.61899999999999999</v>
      </c>
      <c r="L277" s="14">
        <v>0.629</v>
      </c>
      <c r="M277" s="14">
        <v>0.629</v>
      </c>
      <c r="N277" s="14">
        <v>0.63900000000000001</v>
      </c>
      <c r="O277" s="200"/>
      <c r="P277" s="14">
        <v>0.61899999999999999</v>
      </c>
      <c r="Q277" s="14">
        <v>0.61899999999999999</v>
      </c>
      <c r="R277" s="14">
        <v>0.61899999999999999</v>
      </c>
      <c r="S277" s="14">
        <v>0.629</v>
      </c>
      <c r="T277" s="14">
        <v>0.629</v>
      </c>
      <c r="U277" s="14">
        <v>0.63900000000000001</v>
      </c>
      <c r="W277" s="14">
        <v>0.61899999999999999</v>
      </c>
      <c r="X277" s="14">
        <v>0.61899999999999999</v>
      </c>
      <c r="Y277" s="14">
        <v>0.61899999999999999</v>
      </c>
      <c r="Z277" s="14">
        <v>0.629</v>
      </c>
      <c r="AA277" s="14">
        <v>0.629</v>
      </c>
      <c r="AB277" s="14">
        <v>0.63900000000000001</v>
      </c>
      <c r="AD277" s="14">
        <v>0.61899999999999999</v>
      </c>
      <c r="AE277" s="14">
        <v>0.61899999999999999</v>
      </c>
      <c r="AF277" s="14">
        <v>0.61899999999999999</v>
      </c>
      <c r="AG277" s="14">
        <v>0.629</v>
      </c>
      <c r="AH277" s="14">
        <v>0.629</v>
      </c>
      <c r="AI277" s="14">
        <v>0.63900000000000001</v>
      </c>
      <c r="AK277" s="14">
        <v>0.61899999999999999</v>
      </c>
      <c r="AL277" s="14">
        <v>0.61899999999999999</v>
      </c>
      <c r="AM277" s="14">
        <v>0.61899999999999999</v>
      </c>
      <c r="AN277" s="14">
        <v>0.629</v>
      </c>
      <c r="AO277" s="14">
        <v>0.629</v>
      </c>
      <c r="AP277" s="14">
        <v>0.63900000000000001</v>
      </c>
      <c r="AR277" s="14">
        <v>0.61899999999999999</v>
      </c>
      <c r="AS277" s="14">
        <v>0.61899999999999999</v>
      </c>
      <c r="AT277" s="14">
        <v>0.61899999999999999</v>
      </c>
      <c r="AU277" s="14">
        <v>0.629</v>
      </c>
      <c r="AV277" s="14">
        <v>0.629</v>
      </c>
      <c r="AW277" s="14">
        <v>0.63900000000000001</v>
      </c>
    </row>
    <row r="278" spans="1:53" x14ac:dyDescent="0.25">
      <c r="A278" s="43" t="s">
        <v>397</v>
      </c>
      <c r="B278" s="14">
        <v>0.189</v>
      </c>
      <c r="C278" s="14">
        <v>0.189</v>
      </c>
      <c r="D278" s="14">
        <v>0.189</v>
      </c>
      <c r="E278" s="14">
        <v>0.189</v>
      </c>
      <c r="F278" s="14">
        <v>0.189</v>
      </c>
      <c r="G278" s="14">
        <v>0.189</v>
      </c>
      <c r="H278" s="231"/>
      <c r="I278" s="14">
        <v>0.189</v>
      </c>
      <c r="J278" s="14">
        <v>0.189</v>
      </c>
      <c r="K278" s="14">
        <v>0.189</v>
      </c>
      <c r="L278" s="14">
        <v>0.189</v>
      </c>
      <c r="M278" s="14">
        <v>0.189</v>
      </c>
      <c r="N278" s="14">
        <v>0.189</v>
      </c>
      <c r="O278" s="200"/>
      <c r="P278" s="14">
        <v>0.189</v>
      </c>
      <c r="Q278" s="14">
        <v>0.189</v>
      </c>
      <c r="R278" s="14">
        <v>0.189</v>
      </c>
      <c r="S278" s="14">
        <v>0.189</v>
      </c>
      <c r="T278" s="14">
        <v>0.189</v>
      </c>
      <c r="U278" s="14">
        <v>0.189</v>
      </c>
      <c r="W278" s="14">
        <v>0.189</v>
      </c>
      <c r="X278" s="14">
        <v>0.189</v>
      </c>
      <c r="Y278" s="14">
        <v>0.189</v>
      </c>
      <c r="Z278" s="14">
        <v>0.189</v>
      </c>
      <c r="AA278" s="14">
        <v>0.189</v>
      </c>
      <c r="AB278" s="14">
        <v>0.189</v>
      </c>
      <c r="AD278" s="14">
        <v>0.189</v>
      </c>
      <c r="AE278" s="14">
        <v>0.189</v>
      </c>
      <c r="AF278" s="14">
        <v>0.189</v>
      </c>
      <c r="AG278" s="14">
        <v>0.189</v>
      </c>
      <c r="AH278" s="14">
        <v>0.189</v>
      </c>
      <c r="AI278" s="14">
        <v>0.189</v>
      </c>
      <c r="AK278" s="14">
        <v>0.189</v>
      </c>
      <c r="AL278" s="14">
        <v>0.189</v>
      </c>
      <c r="AM278" s="14">
        <v>0.189</v>
      </c>
      <c r="AN278" s="14">
        <v>0.189</v>
      </c>
      <c r="AO278" s="14">
        <v>0.189</v>
      </c>
      <c r="AP278" s="14">
        <v>0.189</v>
      </c>
      <c r="AR278" s="14">
        <v>0.189</v>
      </c>
      <c r="AS278" s="14">
        <v>0.189</v>
      </c>
      <c r="AT278" s="14">
        <v>0.189</v>
      </c>
      <c r="AU278" s="14">
        <v>0.189</v>
      </c>
      <c r="AV278" s="14">
        <v>0.189</v>
      </c>
      <c r="AW278" s="14">
        <v>0.189</v>
      </c>
    </row>
    <row r="279" spans="1:53" x14ac:dyDescent="0.25">
      <c r="A279" s="43" t="s">
        <v>396</v>
      </c>
      <c r="B279" s="14">
        <v>0.67900000000000005</v>
      </c>
      <c r="C279" s="14">
        <v>0.67900000000000005</v>
      </c>
      <c r="D279" s="14">
        <v>0.67900000000000005</v>
      </c>
      <c r="E279" s="14">
        <v>0.67900000000000005</v>
      </c>
      <c r="F279" s="14">
        <v>0.67900000000000005</v>
      </c>
      <c r="G279" s="14">
        <v>0.67900000000000005</v>
      </c>
      <c r="H279" s="231"/>
      <c r="I279" s="14">
        <v>0.67900000000000005</v>
      </c>
      <c r="J279" s="14">
        <v>0.67900000000000005</v>
      </c>
      <c r="K279" s="14">
        <v>0.67900000000000005</v>
      </c>
      <c r="L279" s="14">
        <v>0.67900000000000005</v>
      </c>
      <c r="M279" s="14">
        <v>0.67900000000000005</v>
      </c>
      <c r="N279" s="14">
        <v>0.67900000000000005</v>
      </c>
      <c r="O279" s="200"/>
      <c r="P279" s="14">
        <v>0.67900000000000005</v>
      </c>
      <c r="Q279" s="14">
        <v>0.67900000000000005</v>
      </c>
      <c r="R279" s="14">
        <v>0.67900000000000005</v>
      </c>
      <c r="S279" s="14">
        <v>0.67900000000000005</v>
      </c>
      <c r="T279" s="14">
        <v>0.67900000000000005</v>
      </c>
      <c r="U279" s="14">
        <v>0.67900000000000005</v>
      </c>
      <c r="W279" s="14">
        <v>0.67900000000000005</v>
      </c>
      <c r="X279" s="14">
        <v>0.67900000000000005</v>
      </c>
      <c r="Y279" s="14">
        <v>0.67900000000000005</v>
      </c>
      <c r="Z279" s="14">
        <v>0.67900000000000005</v>
      </c>
      <c r="AA279" s="14">
        <v>0.67900000000000005</v>
      </c>
      <c r="AB279" s="14">
        <v>0.67900000000000005</v>
      </c>
      <c r="AD279" s="14">
        <v>0.67900000000000005</v>
      </c>
      <c r="AE279" s="14">
        <v>0.67900000000000005</v>
      </c>
      <c r="AF279" s="14">
        <v>0.67900000000000005</v>
      </c>
      <c r="AG279" s="14">
        <v>0.67900000000000005</v>
      </c>
      <c r="AH279" s="14">
        <v>0.67900000000000005</v>
      </c>
      <c r="AI279" s="14">
        <v>0.67900000000000005</v>
      </c>
      <c r="AK279" s="14">
        <v>0.67900000000000005</v>
      </c>
      <c r="AL279" s="14">
        <v>0.67900000000000005</v>
      </c>
      <c r="AM279" s="14">
        <v>0.67900000000000005</v>
      </c>
      <c r="AN279" s="14">
        <v>0.67900000000000005</v>
      </c>
      <c r="AO279" s="14">
        <v>0.67900000000000005</v>
      </c>
      <c r="AP279" s="14">
        <v>0.67900000000000005</v>
      </c>
      <c r="AR279" s="14">
        <v>0.67900000000000005</v>
      </c>
      <c r="AS279" s="14">
        <v>0.67900000000000005</v>
      </c>
      <c r="AT279" s="14">
        <v>0.67900000000000005</v>
      </c>
      <c r="AU279" s="14">
        <v>0.67900000000000005</v>
      </c>
      <c r="AV279" s="14">
        <v>0.67900000000000005</v>
      </c>
      <c r="AW279" s="14">
        <v>0.67900000000000005</v>
      </c>
    </row>
    <row r="280" spans="1:53" x14ac:dyDescent="0.25">
      <c r="A280" s="43" t="s">
        <v>395</v>
      </c>
      <c r="B280" s="14">
        <v>0.31</v>
      </c>
      <c r="C280" s="14">
        <v>0.31</v>
      </c>
      <c r="D280" s="14">
        <v>0.31</v>
      </c>
      <c r="E280" s="14">
        <v>0.31</v>
      </c>
      <c r="F280" s="14">
        <v>0.31</v>
      </c>
      <c r="G280" s="14">
        <v>0.31</v>
      </c>
      <c r="H280" s="231"/>
      <c r="I280" s="14">
        <v>0.31</v>
      </c>
      <c r="J280" s="14">
        <v>0.31</v>
      </c>
      <c r="K280" s="14">
        <v>0.31</v>
      </c>
      <c r="L280" s="14">
        <v>0.31</v>
      </c>
      <c r="M280" s="14">
        <v>0.31</v>
      </c>
      <c r="N280" s="14">
        <v>0.31</v>
      </c>
      <c r="O280" s="200"/>
      <c r="P280" s="14">
        <v>0.31</v>
      </c>
      <c r="Q280" s="14">
        <v>0.31</v>
      </c>
      <c r="R280" s="14">
        <v>0.31</v>
      </c>
      <c r="S280" s="14">
        <v>0.31</v>
      </c>
      <c r="T280" s="14">
        <v>0.31</v>
      </c>
      <c r="U280" s="14">
        <v>0.31</v>
      </c>
      <c r="W280" s="14">
        <v>0.31</v>
      </c>
      <c r="X280" s="14">
        <v>0.31</v>
      </c>
      <c r="Y280" s="14">
        <v>0.31</v>
      </c>
      <c r="Z280" s="14">
        <v>0.31</v>
      </c>
      <c r="AA280" s="14">
        <v>0.31</v>
      </c>
      <c r="AB280" s="14">
        <v>0.31</v>
      </c>
      <c r="AD280" s="14">
        <v>0.31</v>
      </c>
      <c r="AE280" s="14">
        <v>0.31</v>
      </c>
      <c r="AF280" s="14">
        <v>0.31</v>
      </c>
      <c r="AG280" s="14">
        <v>0.31</v>
      </c>
      <c r="AH280" s="14">
        <v>0.31</v>
      </c>
      <c r="AI280" s="14">
        <v>0.31</v>
      </c>
      <c r="AK280" s="14">
        <v>0.31</v>
      </c>
      <c r="AL280" s="14">
        <v>0.31</v>
      </c>
      <c r="AM280" s="14">
        <v>0.31</v>
      </c>
      <c r="AN280" s="14">
        <v>0.31</v>
      </c>
      <c r="AO280" s="14">
        <v>0.31</v>
      </c>
      <c r="AP280" s="14">
        <v>0.31</v>
      </c>
      <c r="AR280" s="14">
        <v>0.31</v>
      </c>
      <c r="AS280" s="14">
        <v>0.31</v>
      </c>
      <c r="AT280" s="14">
        <v>0.31</v>
      </c>
      <c r="AU280" s="14">
        <v>0.31</v>
      </c>
      <c r="AV280" s="14">
        <v>0.31</v>
      </c>
      <c r="AW280" s="14">
        <v>0.31</v>
      </c>
    </row>
    <row r="281" spans="1:53" x14ac:dyDescent="0.25">
      <c r="A281" s="50" t="s">
        <v>149</v>
      </c>
      <c r="B281" s="28">
        <f t="shared" ref="B281:G281" si="104">IF(AVERAGE(B5:B6)&lt;51,0.000025*((B6+B5)/2)^2 - 0.01005*((B6+B5)/2) + 1.5955,(0.00000649518*((B5+B6)/2)^2 - 0.00338103746*((B5+B6)/2) + 1.049852))</f>
        <v>0.85122563532500006</v>
      </c>
      <c r="C281" s="28">
        <f t="shared" si="104"/>
        <v>0.77153564522499996</v>
      </c>
      <c r="D281" s="28">
        <f t="shared" si="104"/>
        <v>0.70381228360000003</v>
      </c>
      <c r="E281" s="28">
        <f t="shared" si="104"/>
        <v>0.65170908920000004</v>
      </c>
      <c r="F281" s="28">
        <f t="shared" si="104"/>
        <v>0.62039047080000009</v>
      </c>
      <c r="G281" s="28">
        <f t="shared" si="104"/>
        <v>0.60988816362500009</v>
      </c>
      <c r="H281" s="28"/>
      <c r="I281" s="28">
        <f t="shared" ref="I281:N281" si="105">IF(AVERAGE(I5:I6)&lt;51,0.000025*((I6+I5)/2)^2 - 0.01005*((I6+I5)/2) + 1.5955,(0.00000649518*((I5+I6)/2)^2 - 0.00338103746*((I5+I6)/2) + 1.049852))</f>
        <v>0.85122563532500006</v>
      </c>
      <c r="J281" s="28">
        <f t="shared" si="105"/>
        <v>0.77153564522499996</v>
      </c>
      <c r="K281" s="28">
        <f t="shared" si="105"/>
        <v>0.70381228360000003</v>
      </c>
      <c r="L281" s="28">
        <f t="shared" si="105"/>
        <v>0.65170908920000004</v>
      </c>
      <c r="M281" s="28">
        <f t="shared" si="105"/>
        <v>0.62039047080000009</v>
      </c>
      <c r="N281" s="28">
        <f t="shared" si="105"/>
        <v>0.60988816362500009</v>
      </c>
      <c r="O281" s="200"/>
      <c r="P281" s="28">
        <f t="shared" ref="P281:U281" si="106">IF(AVERAGE(P5:P6)&lt;51,0.000025*((P6+P5)/2)^2 - 0.01005*((P6+P5)/2) + 1.5955,(0.00000649518*((P5+P6)/2)^2 - 0.00338103746*((P5+P6)/2) + 1.049852))</f>
        <v>0.85122563532500006</v>
      </c>
      <c r="Q281" s="28">
        <f t="shared" si="106"/>
        <v>0.77153564522499996</v>
      </c>
      <c r="R281" s="28">
        <f t="shared" si="106"/>
        <v>0.70381228360000003</v>
      </c>
      <c r="S281" s="28">
        <f t="shared" si="106"/>
        <v>0.65170908920000004</v>
      </c>
      <c r="T281" s="28">
        <f t="shared" si="106"/>
        <v>0.62039047080000009</v>
      </c>
      <c r="U281" s="28">
        <f t="shared" si="106"/>
        <v>0.60988816362500009</v>
      </c>
      <c r="W281" s="28">
        <f t="shared" ref="W281:AB281" si="107">IF(AVERAGE(W5:W6)&lt;51,0.000025*((W6+W5)/2)^2 - 0.01005*((W6+W5)/2) + 1.5955,(0.00000649518*((W5+W6)/2)^2 - 0.00338103746*((W5+W6)/2) + 1.049852))</f>
        <v>0.85122563532500006</v>
      </c>
      <c r="X281" s="28">
        <f t="shared" si="107"/>
        <v>0.77153564522499996</v>
      </c>
      <c r="Y281" s="28">
        <f t="shared" si="107"/>
        <v>0.70381228360000003</v>
      </c>
      <c r="Z281" s="28">
        <f t="shared" si="107"/>
        <v>0.65170908920000004</v>
      </c>
      <c r="AA281" s="28">
        <f t="shared" si="107"/>
        <v>0.62039047080000009</v>
      </c>
      <c r="AB281" s="28">
        <f t="shared" si="107"/>
        <v>0.60988816362500009</v>
      </c>
      <c r="AD281" s="28">
        <f t="shared" ref="AD281:AI281" si="108">IF(AVERAGE(AD5:AD6)&lt;51,0.000025*((AD6+AD5)/2)^2 - 0.01005*((AD6+AD5)/2) + 1.5955,(0.00000649518*((AD5+AD6)/2)^2 - 0.00338103746*((AD5+AD6)/2) + 1.049852))</f>
        <v>0.85122563532500006</v>
      </c>
      <c r="AE281" s="28">
        <f t="shared" si="108"/>
        <v>0.77153564522499996</v>
      </c>
      <c r="AF281" s="28">
        <f t="shared" si="108"/>
        <v>0.70381228360000003</v>
      </c>
      <c r="AG281" s="28">
        <f t="shared" si="108"/>
        <v>0.65170908920000004</v>
      </c>
      <c r="AH281" s="28">
        <f t="shared" si="108"/>
        <v>0.62039047080000009</v>
      </c>
      <c r="AI281" s="28">
        <f t="shared" si="108"/>
        <v>0.60988816362500009</v>
      </c>
      <c r="AK281" s="28">
        <f t="shared" ref="AK281:AP281" si="109">IF(AVERAGE(AK5:AK6)&lt;51,0.000025*((AK6+AK5)/2)^2 - 0.01005*((AK6+AK5)/2) + 1.5955,(0.00000649518*((AK5+AK6)/2)^2 - 0.00338103746*((AK5+AK6)/2) + 1.049852))</f>
        <v>0.85122563532500006</v>
      </c>
      <c r="AL281" s="28">
        <f t="shared" si="109"/>
        <v>0.77153564522499996</v>
      </c>
      <c r="AM281" s="28">
        <f t="shared" si="109"/>
        <v>0.70381228360000003</v>
      </c>
      <c r="AN281" s="28">
        <f t="shared" si="109"/>
        <v>0.65170908920000004</v>
      </c>
      <c r="AO281" s="28">
        <f t="shared" si="109"/>
        <v>0.62039047080000009</v>
      </c>
      <c r="AP281" s="28">
        <f t="shared" si="109"/>
        <v>0.60988816362500009</v>
      </c>
      <c r="AR281" s="28">
        <f t="shared" ref="AR281:AW281" si="110">IF(AVERAGE(AR5:AR6)&lt;51,0.000025*((AR6+AR5)/2)^2 - 0.01005*((AR6+AR5)/2) + 1.5955,(0.00000649518*((AR5+AR6)/2)^2 - 0.00338103746*((AR5+AR6)/2) + 1.049852))</f>
        <v>0.85122563532500006</v>
      </c>
      <c r="AS281" s="28">
        <f t="shared" si="110"/>
        <v>0.77153564522499996</v>
      </c>
      <c r="AT281" s="28">
        <f t="shared" si="110"/>
        <v>0.70381228360000003</v>
      </c>
      <c r="AU281" s="28">
        <f t="shared" si="110"/>
        <v>0.65170908920000004</v>
      </c>
      <c r="AV281" s="28">
        <f t="shared" si="110"/>
        <v>0.62039047080000009</v>
      </c>
      <c r="AW281" s="28">
        <f t="shared" si="110"/>
        <v>0.60988816362500009</v>
      </c>
    </row>
    <row r="282" spans="1:53" x14ac:dyDescent="0.25">
      <c r="A282" s="50" t="s">
        <v>150</v>
      </c>
      <c r="B282" s="28">
        <f t="shared" ref="B282:G282" si="111">IF(AVERAGE(B5:B6)&lt;51,0.000025*((B6+B5)/2)^2 - 0.01005*((B6+B5)/2) + 1.5955,0.00000649518*((B6+B5)/2)^2 - 0.00338103746*((B6+B5)/2) + 1.3529)</f>
        <v>1.154273635325</v>
      </c>
      <c r="C282" s="28">
        <f t="shared" si="111"/>
        <v>1.0745836452249999</v>
      </c>
      <c r="D282" s="28">
        <f t="shared" si="111"/>
        <v>1.0068602836</v>
      </c>
      <c r="E282" s="28">
        <f t="shared" si="111"/>
        <v>0.95475708920000002</v>
      </c>
      <c r="F282" s="28">
        <f t="shared" si="111"/>
        <v>0.92343847080000008</v>
      </c>
      <c r="G282" s="28">
        <f t="shared" si="111"/>
        <v>0.91293616362500007</v>
      </c>
      <c r="H282" s="28"/>
      <c r="I282" s="28">
        <f t="shared" ref="I282:N282" si="112">IF(AVERAGE(I5:I6)&lt;51,0.000025*((I6+I5)/2)^2 - 0.01005*((I6+I5)/2) + 1.5955,0.00000649518*((I6+I5)/2)^2 - 0.00338103746*((I6+I5)/2) + 1.3529)</f>
        <v>1.154273635325</v>
      </c>
      <c r="J282" s="28">
        <f t="shared" si="112"/>
        <v>1.0745836452249999</v>
      </c>
      <c r="K282" s="28">
        <f t="shared" si="112"/>
        <v>1.0068602836</v>
      </c>
      <c r="L282" s="28">
        <f t="shared" si="112"/>
        <v>0.95475708920000002</v>
      </c>
      <c r="M282" s="28">
        <f t="shared" si="112"/>
        <v>0.92343847080000008</v>
      </c>
      <c r="N282" s="28">
        <f t="shared" si="112"/>
        <v>0.91293616362500007</v>
      </c>
      <c r="O282" s="28"/>
      <c r="P282" s="28">
        <f t="shared" ref="P282:U282" si="113">IF(AVERAGE(P5:P6)&lt;51,0.000025*((P6+P5)/2)^2 - 0.01005*((P6+P5)/2) + 1.5955,0.00000649518*((P6+P5)/2)^2 - 0.00338103746*((P6+P5)/2) + 1.3529)</f>
        <v>1.154273635325</v>
      </c>
      <c r="Q282" s="28">
        <f t="shared" si="113"/>
        <v>1.0745836452249999</v>
      </c>
      <c r="R282" s="28">
        <f t="shared" si="113"/>
        <v>1.0068602836</v>
      </c>
      <c r="S282" s="28">
        <f t="shared" si="113"/>
        <v>0.95475708920000002</v>
      </c>
      <c r="T282" s="28">
        <f t="shared" si="113"/>
        <v>0.92343847080000008</v>
      </c>
      <c r="U282" s="28">
        <f t="shared" si="113"/>
        <v>0.91293616362500007</v>
      </c>
      <c r="W282" s="28">
        <f t="shared" ref="W282:AB282" si="114">IF(AVERAGE(W5:W6)&lt;51,0.000025*((W6+W5)/2)^2 - 0.01005*((W6+W5)/2) + 1.5955,0.00000649518*((W6+W5)/2)^2 - 0.00338103746*((W6+W5)/2) + 1.3529)</f>
        <v>1.154273635325</v>
      </c>
      <c r="X282" s="28">
        <f t="shared" si="114"/>
        <v>1.0745836452249999</v>
      </c>
      <c r="Y282" s="28">
        <f t="shared" si="114"/>
        <v>1.0068602836</v>
      </c>
      <c r="Z282" s="28">
        <f t="shared" si="114"/>
        <v>0.95475708920000002</v>
      </c>
      <c r="AA282" s="28">
        <f t="shared" si="114"/>
        <v>0.92343847080000008</v>
      </c>
      <c r="AB282" s="28">
        <f t="shared" si="114"/>
        <v>0.91293616362500007</v>
      </c>
      <c r="AD282" s="28">
        <f t="shared" ref="AD282:AI282" si="115">IF(AVERAGE(AD5:AD6)&lt;51,0.000025*((AD6+AD5)/2)^2 - 0.01005*((AD6+AD5)/2) + 1.5955,0.00000649518*((AD6+AD5)/2)^2 - 0.00338103746*((AD6+AD5)/2) + 1.3529)</f>
        <v>1.154273635325</v>
      </c>
      <c r="AE282" s="28">
        <f t="shared" si="115"/>
        <v>1.0745836452249999</v>
      </c>
      <c r="AF282" s="28">
        <f t="shared" si="115"/>
        <v>1.0068602836</v>
      </c>
      <c r="AG282" s="28">
        <f t="shared" si="115"/>
        <v>0.95475708920000002</v>
      </c>
      <c r="AH282" s="28">
        <f t="shared" si="115"/>
        <v>0.92343847080000008</v>
      </c>
      <c r="AI282" s="28">
        <f t="shared" si="115"/>
        <v>0.91293616362500007</v>
      </c>
      <c r="AK282" s="28">
        <f t="shared" ref="AK282:AP282" si="116">IF(AVERAGE(AK5:AK6)&lt;51,0.000025*((AK6+AK5)/2)^2 - 0.01005*((AK6+AK5)/2) + 1.5955,0.00000649518*((AK6+AK5)/2)^2 - 0.00338103746*((AK6+AK5)/2) + 1.3529)</f>
        <v>1.154273635325</v>
      </c>
      <c r="AL282" s="28">
        <f t="shared" si="116"/>
        <v>1.0745836452249999</v>
      </c>
      <c r="AM282" s="28">
        <f t="shared" si="116"/>
        <v>1.0068602836</v>
      </c>
      <c r="AN282" s="28">
        <f t="shared" si="116"/>
        <v>0.95475708920000002</v>
      </c>
      <c r="AO282" s="28">
        <f t="shared" si="116"/>
        <v>0.92343847080000008</v>
      </c>
      <c r="AP282" s="28">
        <f t="shared" si="116"/>
        <v>0.91293616362500007</v>
      </c>
      <c r="AR282" s="28">
        <f t="shared" ref="AR282:AW282" si="117">IF(AVERAGE(AR5:AR6)&lt;51,0.000025*((AR6+AR5)/2)^2 - 0.01005*((AR6+AR5)/2) + 1.5955,0.00000649518*((AR6+AR5)/2)^2 - 0.00338103746*((AR6+AR5)/2) + 1.3529)</f>
        <v>1.154273635325</v>
      </c>
      <c r="AS282" s="28">
        <f t="shared" si="117"/>
        <v>1.0745836452249999</v>
      </c>
      <c r="AT282" s="28">
        <f t="shared" si="117"/>
        <v>1.0068602836</v>
      </c>
      <c r="AU282" s="28">
        <f t="shared" si="117"/>
        <v>0.95475708920000002</v>
      </c>
      <c r="AV282" s="28">
        <f t="shared" si="117"/>
        <v>0.92343847080000008</v>
      </c>
      <c r="AW282" s="28">
        <f t="shared" si="117"/>
        <v>0.91293616362500007</v>
      </c>
    </row>
    <row r="283" spans="1:53" x14ac:dyDescent="0.25">
      <c r="A283" s="15" t="s">
        <v>51</v>
      </c>
      <c r="B283" s="28">
        <f t="shared" ref="B283:G283" si="118">B281*(B246*2.2046)/10000</f>
        <v>0.27996053561020928</v>
      </c>
      <c r="C283" s="28">
        <f t="shared" si="118"/>
        <v>0.25468658901444263</v>
      </c>
      <c r="D283" s="28">
        <f t="shared" si="118"/>
        <v>0.23309759512248635</v>
      </c>
      <c r="E283" s="28">
        <f t="shared" si="118"/>
        <v>0.21647481730659451</v>
      </c>
      <c r="F283" s="28">
        <f t="shared" si="118"/>
        <v>0.20653872384003844</v>
      </c>
      <c r="G283" s="28">
        <f t="shared" si="118"/>
        <v>0.20321869012127139</v>
      </c>
      <c r="H283" s="28"/>
      <c r="I283" s="28">
        <f t="shared" ref="I283:N283" si="119">I281*(I246*2.2046)/10000</f>
        <v>0.28247811977581866</v>
      </c>
      <c r="J283" s="28">
        <f t="shared" si="119"/>
        <v>0.25698081675063461</v>
      </c>
      <c r="K283" s="28">
        <f t="shared" si="119"/>
        <v>0.23523758751434365</v>
      </c>
      <c r="L283" s="28">
        <f t="shared" si="119"/>
        <v>0.21843858963327417</v>
      </c>
      <c r="M283" s="28">
        <f t="shared" si="119"/>
        <v>0.20840108305293892</v>
      </c>
      <c r="N283" s="28">
        <f t="shared" si="119"/>
        <v>0.20505381876866963</v>
      </c>
      <c r="O283" s="28"/>
      <c r="P283" s="28">
        <f t="shared" ref="P283:U283" si="120">P281*(P246*2.2046)/10000</f>
        <v>0.28503460510176915</v>
      </c>
      <c r="Q283" s="28">
        <f t="shared" si="120"/>
        <v>0.25930487763736321</v>
      </c>
      <c r="R283" s="28">
        <f t="shared" si="120"/>
        <v>0.23736716074442257</v>
      </c>
      <c r="S283" s="28">
        <f t="shared" si="120"/>
        <v>0.22040704614242446</v>
      </c>
      <c r="T283" s="28">
        <f t="shared" si="120"/>
        <v>0.21027683778743048</v>
      </c>
      <c r="U283" s="28">
        <f t="shared" si="120"/>
        <v>0.20690127958491553</v>
      </c>
      <c r="W283" s="28">
        <f t="shared" ref="W283:AB283" si="121">W281*(W246*2.2046)/10000</f>
        <v>0.28759710388953769</v>
      </c>
      <c r="X283" s="28">
        <f t="shared" si="121"/>
        <v>0.26163548039053774</v>
      </c>
      <c r="Y283" s="28">
        <f t="shared" si="121"/>
        <v>0.23949392553268395</v>
      </c>
      <c r="Z283" s="28">
        <f t="shared" si="121"/>
        <v>0.22237799205340611</v>
      </c>
      <c r="AA283" s="28">
        <f t="shared" si="121"/>
        <v>0.21216471620039634</v>
      </c>
      <c r="AB283" s="28">
        <f t="shared" si="121"/>
        <v>0.20873985122460131</v>
      </c>
      <c r="AD283" s="28">
        <f t="shared" ref="AD283:AI283" si="122">AD281*(AD246*2.2046)/10000</f>
        <v>0.29017389857465892</v>
      </c>
      <c r="AE283" s="28">
        <f t="shared" si="122"/>
        <v>0.26396809205574945</v>
      </c>
      <c r="AF283" s="28">
        <f t="shared" si="122"/>
        <v>0.24161904064757719</v>
      </c>
      <c r="AG283" s="28">
        <f t="shared" si="122"/>
        <v>0.22436539969621266</v>
      </c>
      <c r="AH283" s="28">
        <f t="shared" si="122"/>
        <v>0.21399177122466886</v>
      </c>
      <c r="AI283" s="28">
        <f t="shared" si="122"/>
        <v>0.21053966852518943</v>
      </c>
      <c r="AK283" s="28">
        <f t="shared" ref="AK283:AP283" si="123">AK281*(AK246*2.2046)/10000</f>
        <v>0.2928059341322361</v>
      </c>
      <c r="AL283" s="28">
        <f t="shared" si="123"/>
        <v>0.26630314508303732</v>
      </c>
      <c r="AM283" s="28">
        <f t="shared" si="123"/>
        <v>0.24375712442232803</v>
      </c>
      <c r="AN283" s="28">
        <f t="shared" si="123"/>
        <v>0.22626303644607565</v>
      </c>
      <c r="AO283" s="28">
        <f t="shared" si="123"/>
        <v>0.21583676893486567</v>
      </c>
      <c r="AP283" s="28">
        <f t="shared" si="123"/>
        <v>0.21235589237949057</v>
      </c>
      <c r="AR283" s="28">
        <f t="shared" ref="AR283:AW283" si="124">AR281*(AR246*2.2046)/10000</f>
        <v>0.29535312248830309</v>
      </c>
      <c r="AS283" s="28">
        <f t="shared" si="124"/>
        <v>0.26863222250622204</v>
      </c>
      <c r="AT283" s="28">
        <f t="shared" si="124"/>
        <v>0.24583328767671192</v>
      </c>
      <c r="AU283" s="28">
        <f t="shared" si="124"/>
        <v>0.22819694588947678</v>
      </c>
      <c r="AV283" s="28">
        <f t="shared" si="124"/>
        <v>0.21768568005189659</v>
      </c>
      <c r="AW283" s="28">
        <f t="shared" si="124"/>
        <v>0.21417579523922992</v>
      </c>
    </row>
    <row r="284" spans="1:53" x14ac:dyDescent="0.25">
      <c r="A284" s="15" t="s">
        <v>375</v>
      </c>
      <c r="B284" s="28">
        <f t="shared" ref="B284:G284" si="125" xml:space="preserve"> -0.096629122*LN(AVERAGE(B5:B6)/2.2046) + 0.7201091526</f>
        <v>0.38948473530861316</v>
      </c>
      <c r="C284" s="28">
        <f t="shared" si="125"/>
        <v>0.34911934963648045</v>
      </c>
      <c r="D284" s="28">
        <f t="shared" si="125"/>
        <v>0.31899235830889017</v>
      </c>
      <c r="E284" s="28">
        <f t="shared" si="125"/>
        <v>0.29470806575817415</v>
      </c>
      <c r="F284" s="28">
        <f t="shared" si="125"/>
        <v>0.27531743264453717</v>
      </c>
      <c r="G284" s="28">
        <f t="shared" si="125"/>
        <v>0.25825045546730907</v>
      </c>
      <c r="H284" s="28"/>
      <c r="I284" s="28">
        <f t="shared" ref="I284:N284" si="126" xml:space="preserve"> -0.096629122*LN(AVERAGE(I5:I6)/2.2046) + 0.7201091526</f>
        <v>0.38948473530861316</v>
      </c>
      <c r="J284" s="28">
        <f t="shared" si="126"/>
        <v>0.34911934963648045</v>
      </c>
      <c r="K284" s="28">
        <f t="shared" si="126"/>
        <v>0.31899235830889017</v>
      </c>
      <c r="L284" s="28">
        <f t="shared" si="126"/>
        <v>0.29470806575817415</v>
      </c>
      <c r="M284" s="28">
        <f t="shared" si="126"/>
        <v>0.27531743264453717</v>
      </c>
      <c r="N284" s="28">
        <f t="shared" si="126"/>
        <v>0.25825045546730907</v>
      </c>
      <c r="O284" s="28"/>
      <c r="P284" s="28">
        <f t="shared" ref="P284:U284" si="127" xml:space="preserve"> -0.096629122*LN(AVERAGE(P5:P6)/2.2046) + 0.7201091526</f>
        <v>0.38948473530861316</v>
      </c>
      <c r="Q284" s="28">
        <f t="shared" si="127"/>
        <v>0.34911934963648045</v>
      </c>
      <c r="R284" s="28">
        <f t="shared" si="127"/>
        <v>0.31899235830889017</v>
      </c>
      <c r="S284" s="28">
        <f t="shared" si="127"/>
        <v>0.29470806575817415</v>
      </c>
      <c r="T284" s="28">
        <f t="shared" si="127"/>
        <v>0.27531743264453717</v>
      </c>
      <c r="U284" s="28">
        <f t="shared" si="127"/>
        <v>0.25825045546730907</v>
      </c>
      <c r="W284" s="28">
        <f t="shared" ref="W284:AB284" si="128" xml:space="preserve"> -0.096629122*LN(AVERAGE(W5:W6)/2.2046) + 0.7201091526</f>
        <v>0.38948473530861316</v>
      </c>
      <c r="X284" s="28">
        <f t="shared" si="128"/>
        <v>0.34911934963648045</v>
      </c>
      <c r="Y284" s="28">
        <f t="shared" si="128"/>
        <v>0.31899235830889017</v>
      </c>
      <c r="Z284" s="28">
        <f t="shared" si="128"/>
        <v>0.29470806575817415</v>
      </c>
      <c r="AA284" s="28">
        <f t="shared" si="128"/>
        <v>0.27531743264453717</v>
      </c>
      <c r="AB284" s="28">
        <f t="shared" si="128"/>
        <v>0.25825045546730907</v>
      </c>
      <c r="AD284" s="28">
        <f t="shared" ref="AD284:AI284" si="129" xml:space="preserve"> -0.096629122*LN(AVERAGE(AD5:AD6)/2.2046) + 0.7201091526</f>
        <v>0.38948473530861316</v>
      </c>
      <c r="AE284" s="28">
        <f t="shared" si="129"/>
        <v>0.34911934963648045</v>
      </c>
      <c r="AF284" s="28">
        <f t="shared" si="129"/>
        <v>0.31899235830889017</v>
      </c>
      <c r="AG284" s="28">
        <f t="shared" si="129"/>
        <v>0.29470806575817415</v>
      </c>
      <c r="AH284" s="28">
        <f t="shared" si="129"/>
        <v>0.27531743264453717</v>
      </c>
      <c r="AI284" s="28">
        <f t="shared" si="129"/>
        <v>0.25825045546730907</v>
      </c>
      <c r="AK284" s="28">
        <f t="shared" ref="AK284:AP284" si="130" xml:space="preserve"> -0.096629122*LN(AVERAGE(AK5:AK6)/2.2046) + 0.7201091526</f>
        <v>0.38948473530861316</v>
      </c>
      <c r="AL284" s="28">
        <f t="shared" si="130"/>
        <v>0.34911934963648045</v>
      </c>
      <c r="AM284" s="28">
        <f t="shared" si="130"/>
        <v>0.31899235830889017</v>
      </c>
      <c r="AN284" s="28">
        <f t="shared" si="130"/>
        <v>0.29470806575817415</v>
      </c>
      <c r="AO284" s="28">
        <f t="shared" si="130"/>
        <v>0.27531743264453717</v>
      </c>
      <c r="AP284" s="28">
        <f t="shared" si="130"/>
        <v>0.25825045546730907</v>
      </c>
      <c r="AR284" s="28">
        <f t="shared" ref="AR284:AW284" si="131" xml:space="preserve"> -0.096629122*LN(AVERAGE(AR5:AR6)/2.2046) + 0.7201091526</f>
        <v>0.38948473530861316</v>
      </c>
      <c r="AS284" s="28">
        <f t="shared" si="131"/>
        <v>0.34911934963648045</v>
      </c>
      <c r="AT284" s="28">
        <f t="shared" si="131"/>
        <v>0.31899235830889017</v>
      </c>
      <c r="AU284" s="28">
        <f t="shared" si="131"/>
        <v>0.29470806575817415</v>
      </c>
      <c r="AV284" s="28">
        <f t="shared" si="131"/>
        <v>0.27531743264453717</v>
      </c>
      <c r="AW284" s="28">
        <f t="shared" si="131"/>
        <v>0.25825045546730907</v>
      </c>
    </row>
    <row r="285" spans="1:53" x14ac:dyDescent="0.25">
      <c r="A285" s="50" t="s">
        <v>154</v>
      </c>
      <c r="B285" s="26">
        <v>1</v>
      </c>
      <c r="C285" s="26">
        <v>1</v>
      </c>
      <c r="D285" s="26">
        <v>1</v>
      </c>
      <c r="E285" s="26">
        <v>1</v>
      </c>
      <c r="F285" s="26">
        <v>1</v>
      </c>
      <c r="G285" s="26">
        <v>1</v>
      </c>
      <c r="H285" s="26"/>
      <c r="I285" s="26">
        <v>1</v>
      </c>
      <c r="J285" s="26">
        <v>1</v>
      </c>
      <c r="K285" s="26">
        <v>1</v>
      </c>
      <c r="L285" s="26">
        <v>1</v>
      </c>
      <c r="M285" s="26">
        <v>1</v>
      </c>
      <c r="N285" s="26">
        <v>1</v>
      </c>
      <c r="O285" s="28"/>
      <c r="P285" s="26">
        <v>1</v>
      </c>
      <c r="Q285" s="26">
        <v>1</v>
      </c>
      <c r="R285" s="26">
        <v>1</v>
      </c>
      <c r="S285" s="26">
        <v>1</v>
      </c>
      <c r="T285" s="26">
        <v>1</v>
      </c>
      <c r="U285" s="26">
        <v>1</v>
      </c>
      <c r="W285" s="26">
        <v>1</v>
      </c>
      <c r="X285" s="26">
        <v>1</v>
      </c>
      <c r="Y285" s="26">
        <v>1</v>
      </c>
      <c r="Z285" s="26">
        <v>1</v>
      </c>
      <c r="AA285" s="26">
        <v>1</v>
      </c>
      <c r="AB285" s="26">
        <v>1</v>
      </c>
      <c r="AD285" s="26">
        <v>1</v>
      </c>
      <c r="AE285" s="26">
        <v>1</v>
      </c>
      <c r="AF285" s="26">
        <v>1</v>
      </c>
      <c r="AG285" s="26">
        <v>1</v>
      </c>
      <c r="AH285" s="26">
        <v>1</v>
      </c>
      <c r="AI285" s="26">
        <v>1</v>
      </c>
      <c r="AK285" s="26">
        <v>1</v>
      </c>
      <c r="AL285" s="26">
        <v>1</v>
      </c>
      <c r="AM285" s="26">
        <v>1</v>
      </c>
      <c r="AN285" s="26">
        <v>1</v>
      </c>
      <c r="AO285" s="26">
        <v>1</v>
      </c>
      <c r="AP285" s="26">
        <v>1</v>
      </c>
      <c r="AR285" s="26">
        <v>1</v>
      </c>
      <c r="AS285" s="26">
        <v>1</v>
      </c>
      <c r="AT285" s="26">
        <v>1</v>
      </c>
      <c r="AU285" s="26">
        <v>1</v>
      </c>
      <c r="AV285" s="26">
        <v>1</v>
      </c>
      <c r="AW285" s="26">
        <v>1</v>
      </c>
    </row>
    <row r="286" spans="1:53" x14ac:dyDescent="0.25">
      <c r="A286" s="50" t="s">
        <v>153</v>
      </c>
      <c r="B286" s="26">
        <v>1.5</v>
      </c>
      <c r="C286" s="26">
        <v>1.5</v>
      </c>
      <c r="D286" s="26">
        <v>1.5</v>
      </c>
      <c r="E286" s="26">
        <v>1.5</v>
      </c>
      <c r="F286" s="26">
        <v>1.5</v>
      </c>
      <c r="G286" s="26">
        <v>1.5</v>
      </c>
      <c r="H286" s="26"/>
      <c r="I286" s="26">
        <v>1.5</v>
      </c>
      <c r="J286" s="26">
        <v>1.5</v>
      </c>
      <c r="K286" s="26">
        <v>1.5</v>
      </c>
      <c r="L286" s="26">
        <v>1.5</v>
      </c>
      <c r="M286" s="26">
        <v>1.5</v>
      </c>
      <c r="N286" s="26">
        <v>1.5</v>
      </c>
      <c r="O286" s="26"/>
      <c r="P286" s="26">
        <v>1.5</v>
      </c>
      <c r="Q286" s="26">
        <v>1.5</v>
      </c>
      <c r="R286" s="26">
        <v>1.5</v>
      </c>
      <c r="S286" s="26">
        <v>1.5</v>
      </c>
      <c r="T286" s="26">
        <v>1.5</v>
      </c>
      <c r="U286" s="26">
        <v>1.5</v>
      </c>
      <c r="W286" s="26">
        <v>1.5</v>
      </c>
      <c r="X286" s="26">
        <v>1.5</v>
      </c>
      <c r="Y286" s="26">
        <v>1.5</v>
      </c>
      <c r="Z286" s="26">
        <v>1.5</v>
      </c>
      <c r="AA286" s="26">
        <v>1.5</v>
      </c>
      <c r="AB286" s="26">
        <v>1.5</v>
      </c>
      <c r="AD286" s="26">
        <v>1.5</v>
      </c>
      <c r="AE286" s="26">
        <v>1.5</v>
      </c>
      <c r="AF286" s="26">
        <v>1.5</v>
      </c>
      <c r="AG286" s="26">
        <v>1.5</v>
      </c>
      <c r="AH286" s="26">
        <v>1.5</v>
      </c>
      <c r="AI286" s="26">
        <v>1.5</v>
      </c>
      <c r="AK286" s="26">
        <v>1.5</v>
      </c>
      <c r="AL286" s="26">
        <v>1.5</v>
      </c>
      <c r="AM286" s="26">
        <v>1.5</v>
      </c>
      <c r="AN286" s="26">
        <v>1.5</v>
      </c>
      <c r="AO286" s="26">
        <v>1.5</v>
      </c>
      <c r="AP286" s="26">
        <v>1.5</v>
      </c>
      <c r="AR286" s="26">
        <v>1.5</v>
      </c>
      <c r="AS286" s="26">
        <v>1.5</v>
      </c>
      <c r="AT286" s="26">
        <v>1.5</v>
      </c>
      <c r="AU286" s="26">
        <v>1.5</v>
      </c>
      <c r="AV286" s="26">
        <v>1.5</v>
      </c>
      <c r="AW286" s="26">
        <v>1.5</v>
      </c>
    </row>
    <row r="287" spans="1:53" x14ac:dyDescent="0.25">
      <c r="A287" s="50" t="s">
        <v>368</v>
      </c>
      <c r="B287" s="33">
        <f t="shared" ref="B287:G287" si="132">-0.12264*LN(AVERAGE(B5:B6)/2.2046) + 1.07262</f>
        <v>0.65299724345031629</v>
      </c>
      <c r="C287" s="33">
        <f t="shared" si="132"/>
        <v>0.60176619843647083</v>
      </c>
      <c r="D287" s="33">
        <f t="shared" si="132"/>
        <v>0.56352954534532851</v>
      </c>
      <c r="E287" s="33">
        <f t="shared" si="132"/>
        <v>0.53270834386095811</v>
      </c>
      <c r="F287" s="33">
        <f t="shared" si="132"/>
        <v>0.50809808976948001</v>
      </c>
      <c r="G287" s="33">
        <f t="shared" si="132"/>
        <v>0.48643697935376851</v>
      </c>
      <c r="H287" s="33"/>
      <c r="I287" s="33">
        <f t="shared" ref="I287:N287" si="133">-0.12264*LN(AVERAGE(I5:I6)/2.2046) + 1.07262</f>
        <v>0.65299724345031629</v>
      </c>
      <c r="J287" s="33">
        <f t="shared" si="133"/>
        <v>0.60176619843647083</v>
      </c>
      <c r="K287" s="33">
        <f t="shared" si="133"/>
        <v>0.56352954534532851</v>
      </c>
      <c r="L287" s="33">
        <f t="shared" si="133"/>
        <v>0.53270834386095811</v>
      </c>
      <c r="M287" s="33">
        <f t="shared" si="133"/>
        <v>0.50809808976948001</v>
      </c>
      <c r="N287" s="33">
        <f t="shared" si="133"/>
        <v>0.48643697935376851</v>
      </c>
      <c r="O287" s="26"/>
      <c r="P287" s="33">
        <f t="shared" ref="P287:U287" si="134">-0.12264*LN(AVERAGE(P5:P6)/2.2046) + 1.07262</f>
        <v>0.65299724345031629</v>
      </c>
      <c r="Q287" s="33">
        <f t="shared" si="134"/>
        <v>0.60176619843647083</v>
      </c>
      <c r="R287" s="33">
        <f t="shared" si="134"/>
        <v>0.56352954534532851</v>
      </c>
      <c r="S287" s="33">
        <f t="shared" si="134"/>
        <v>0.53270834386095811</v>
      </c>
      <c r="T287" s="33">
        <f t="shared" si="134"/>
        <v>0.50809808976948001</v>
      </c>
      <c r="U287" s="33">
        <f t="shared" si="134"/>
        <v>0.48643697935376851</v>
      </c>
      <c r="W287" s="33">
        <f t="shared" ref="W287:AB287" si="135">-0.12264*LN(AVERAGE(W5:W6)/2.2046) + 1.07262</f>
        <v>0.65299724345031629</v>
      </c>
      <c r="X287" s="33">
        <f t="shared" si="135"/>
        <v>0.60176619843647083</v>
      </c>
      <c r="Y287" s="33">
        <f t="shared" si="135"/>
        <v>0.56352954534532851</v>
      </c>
      <c r="Z287" s="33">
        <f t="shared" si="135"/>
        <v>0.53270834386095811</v>
      </c>
      <c r="AA287" s="33">
        <f t="shared" si="135"/>
        <v>0.50809808976948001</v>
      </c>
      <c r="AB287" s="33">
        <f t="shared" si="135"/>
        <v>0.48643697935376851</v>
      </c>
      <c r="AD287" s="33">
        <f t="shared" ref="AD287:AI287" si="136">-0.12264*LN(AVERAGE(AD5:AD6)/2.2046) + 1.07262</f>
        <v>0.65299724345031629</v>
      </c>
      <c r="AE287" s="33">
        <f t="shared" si="136"/>
        <v>0.60176619843647083</v>
      </c>
      <c r="AF287" s="33">
        <f t="shared" si="136"/>
        <v>0.56352954534532851</v>
      </c>
      <c r="AG287" s="33">
        <f t="shared" si="136"/>
        <v>0.53270834386095811</v>
      </c>
      <c r="AH287" s="33">
        <f t="shared" si="136"/>
        <v>0.50809808976948001</v>
      </c>
      <c r="AI287" s="33">
        <f t="shared" si="136"/>
        <v>0.48643697935376851</v>
      </c>
      <c r="AK287" s="33">
        <f t="shared" ref="AK287:AP287" si="137">-0.12264*LN(AVERAGE(AK5:AK6)/2.2046) + 1.07262</f>
        <v>0.65299724345031629</v>
      </c>
      <c r="AL287" s="33">
        <f t="shared" si="137"/>
        <v>0.60176619843647083</v>
      </c>
      <c r="AM287" s="33">
        <f t="shared" si="137"/>
        <v>0.56352954534532851</v>
      </c>
      <c r="AN287" s="33">
        <f t="shared" si="137"/>
        <v>0.53270834386095811</v>
      </c>
      <c r="AO287" s="33">
        <f t="shared" si="137"/>
        <v>0.50809808976948001</v>
      </c>
      <c r="AP287" s="33">
        <f t="shared" si="137"/>
        <v>0.48643697935376851</v>
      </c>
      <c r="AR287" s="33">
        <f t="shared" ref="AR287:AW287" si="138">-0.12264*LN(AVERAGE(AR5:AR6)/2.2046) + 1.07262</f>
        <v>0.65299724345031629</v>
      </c>
      <c r="AS287" s="33">
        <f t="shared" si="138"/>
        <v>0.60176619843647083</v>
      </c>
      <c r="AT287" s="33">
        <f t="shared" si="138"/>
        <v>0.56352954534532851</v>
      </c>
      <c r="AU287" s="33">
        <f t="shared" si="138"/>
        <v>0.53270834386095811</v>
      </c>
      <c r="AV287" s="33">
        <f t="shared" si="138"/>
        <v>0.50809808976948001</v>
      </c>
      <c r="AW287" s="33">
        <f t="shared" si="138"/>
        <v>0.48643697935376851</v>
      </c>
    </row>
    <row r="288" spans="1:53" x14ac:dyDescent="0.25">
      <c r="A288" s="50" t="s">
        <v>370</v>
      </c>
      <c r="B288" s="33">
        <v>0.4</v>
      </c>
      <c r="C288" s="33">
        <v>0.36</v>
      </c>
      <c r="D288" s="33">
        <v>0.32</v>
      </c>
      <c r="E288" s="33">
        <v>0.28999999999999998</v>
      </c>
      <c r="F288" s="33">
        <v>0.27</v>
      </c>
      <c r="G288" s="33">
        <v>0.26</v>
      </c>
      <c r="H288" s="33"/>
      <c r="I288" s="33">
        <v>0.4</v>
      </c>
      <c r="J288" s="33">
        <v>0.36</v>
      </c>
      <c r="K288" s="33">
        <v>0.32</v>
      </c>
      <c r="L288" s="33">
        <v>0.28999999999999998</v>
      </c>
      <c r="M288" s="33">
        <v>0.27</v>
      </c>
      <c r="N288" s="33">
        <v>0.26</v>
      </c>
      <c r="O288" s="33"/>
      <c r="P288" s="33">
        <v>0.4</v>
      </c>
      <c r="Q288" s="33">
        <v>0.36</v>
      </c>
      <c r="R288" s="33">
        <v>0.32</v>
      </c>
      <c r="S288" s="33">
        <v>0.28999999999999998</v>
      </c>
      <c r="T288" s="33">
        <v>0.27</v>
      </c>
      <c r="U288" s="33">
        <v>0.26</v>
      </c>
      <c r="W288" s="33">
        <v>0.4</v>
      </c>
      <c r="X288" s="33">
        <v>0.36</v>
      </c>
      <c r="Y288" s="33">
        <v>0.32</v>
      </c>
      <c r="Z288" s="33">
        <v>0.28999999999999998</v>
      </c>
      <c r="AA288" s="33">
        <v>0.27</v>
      </c>
      <c r="AB288" s="33">
        <v>0.26</v>
      </c>
      <c r="AD288" s="33">
        <v>0.4</v>
      </c>
      <c r="AE288" s="33">
        <v>0.36</v>
      </c>
      <c r="AF288" s="33">
        <v>0.32</v>
      </c>
      <c r="AG288" s="33">
        <v>0.28999999999999998</v>
      </c>
      <c r="AH288" s="33">
        <v>0.27</v>
      </c>
      <c r="AI288" s="33">
        <v>0.26</v>
      </c>
      <c r="AK288" s="33">
        <v>0.4</v>
      </c>
      <c r="AL288" s="33">
        <v>0.36</v>
      </c>
      <c r="AM288" s="33">
        <v>0.32</v>
      </c>
      <c r="AN288" s="33">
        <v>0.28999999999999998</v>
      </c>
      <c r="AO288" s="33">
        <v>0.27</v>
      </c>
      <c r="AP288" s="33">
        <v>0.26</v>
      </c>
      <c r="AR288" s="33">
        <v>0.4</v>
      </c>
      <c r="AS288" s="33">
        <v>0.36</v>
      </c>
      <c r="AT288" s="33">
        <v>0.32</v>
      </c>
      <c r="AU288" s="33">
        <v>0.28999999999999998</v>
      </c>
      <c r="AV288" s="33">
        <v>0.27</v>
      </c>
      <c r="AW288" s="33">
        <v>0.26</v>
      </c>
    </row>
    <row r="289" spans="1:49" x14ac:dyDescent="0.25">
      <c r="A289" s="50" t="s">
        <v>369</v>
      </c>
      <c r="B289" s="33">
        <v>1.74</v>
      </c>
      <c r="C289" s="33">
        <v>1.74</v>
      </c>
      <c r="D289" s="33">
        <v>1.79</v>
      </c>
      <c r="E289" s="33">
        <v>1.79</v>
      </c>
      <c r="F289" s="33">
        <v>1.77</v>
      </c>
      <c r="G289" s="33">
        <v>1.77</v>
      </c>
      <c r="H289" s="33"/>
      <c r="I289" s="33">
        <v>1.74</v>
      </c>
      <c r="J289" s="33">
        <v>1.74</v>
      </c>
      <c r="K289" s="33">
        <v>1.79</v>
      </c>
      <c r="L289" s="33">
        <v>1.79</v>
      </c>
      <c r="M289" s="33">
        <v>1.77</v>
      </c>
      <c r="N289" s="33">
        <v>1.77</v>
      </c>
      <c r="O289" s="33"/>
      <c r="P289" s="33">
        <v>1.74</v>
      </c>
      <c r="Q289" s="33">
        <v>1.74</v>
      </c>
      <c r="R289" s="33">
        <v>1.79</v>
      </c>
      <c r="S289" s="33">
        <v>1.79</v>
      </c>
      <c r="T289" s="33">
        <v>1.77</v>
      </c>
      <c r="U289" s="33">
        <v>1.77</v>
      </c>
      <c r="W289" s="33">
        <v>1.74</v>
      </c>
      <c r="X289" s="33">
        <v>1.74</v>
      </c>
      <c r="Y289" s="33">
        <v>1.79</v>
      </c>
      <c r="Z289" s="33">
        <v>1.79</v>
      </c>
      <c r="AA289" s="33">
        <v>1.77</v>
      </c>
      <c r="AB289" s="33">
        <v>1.77</v>
      </c>
      <c r="AD289" s="33">
        <v>1.74</v>
      </c>
      <c r="AE289" s="33">
        <v>1.74</v>
      </c>
      <c r="AF289" s="33">
        <v>1.79</v>
      </c>
      <c r="AG289" s="33">
        <v>1.79</v>
      </c>
      <c r="AH289" s="33">
        <v>1.77</v>
      </c>
      <c r="AI289" s="33">
        <v>1.77</v>
      </c>
      <c r="AK289" s="33">
        <v>1.74</v>
      </c>
      <c r="AL289" s="33">
        <v>1.74</v>
      </c>
      <c r="AM289" s="33">
        <v>1.79</v>
      </c>
      <c r="AN289" s="33">
        <v>1.79</v>
      </c>
      <c r="AO289" s="33">
        <v>1.77</v>
      </c>
      <c r="AP289" s="33">
        <v>1.77</v>
      </c>
      <c r="AR289" s="33">
        <v>1.74</v>
      </c>
      <c r="AS289" s="33">
        <v>1.74</v>
      </c>
      <c r="AT289" s="33">
        <v>1.79</v>
      </c>
      <c r="AU289" s="33">
        <v>1.79</v>
      </c>
      <c r="AV289" s="33">
        <v>1.77</v>
      </c>
      <c r="AW289" s="33">
        <v>1.77</v>
      </c>
    </row>
    <row r="290" spans="1:49" x14ac:dyDescent="0.25">
      <c r="A290" s="50" t="s">
        <v>152</v>
      </c>
      <c r="B290" s="26">
        <v>7.3</v>
      </c>
      <c r="C290" s="26">
        <v>8.3000000000000007</v>
      </c>
      <c r="D290" s="26">
        <v>9.3000000000000007</v>
      </c>
      <c r="E290" s="26">
        <v>10.3</v>
      </c>
      <c r="F290" s="26">
        <v>11.3</v>
      </c>
      <c r="G290" s="26">
        <v>11.3</v>
      </c>
      <c r="H290" s="26"/>
      <c r="I290" s="26">
        <v>7.3</v>
      </c>
      <c r="J290" s="26">
        <v>8.3000000000000007</v>
      </c>
      <c r="K290" s="26">
        <v>9.3000000000000007</v>
      </c>
      <c r="L290" s="26">
        <v>10.3</v>
      </c>
      <c r="M290" s="26">
        <v>11.3</v>
      </c>
      <c r="N290" s="26">
        <v>11.3</v>
      </c>
      <c r="O290" s="33"/>
      <c r="P290" s="26">
        <v>7.3</v>
      </c>
      <c r="Q290" s="26">
        <v>8.3000000000000007</v>
      </c>
      <c r="R290" s="26">
        <v>9.3000000000000007</v>
      </c>
      <c r="S290" s="26">
        <v>10.3</v>
      </c>
      <c r="T290" s="26">
        <v>11.3</v>
      </c>
      <c r="U290" s="26">
        <v>11.3</v>
      </c>
      <c r="W290" s="26">
        <v>7.3</v>
      </c>
      <c r="X290" s="26">
        <v>8.3000000000000007</v>
      </c>
      <c r="Y290" s="26">
        <v>9.3000000000000007</v>
      </c>
      <c r="Z290" s="26">
        <v>10.3</v>
      </c>
      <c r="AA290" s="26">
        <v>11.3</v>
      </c>
      <c r="AB290" s="26">
        <v>11.3</v>
      </c>
      <c r="AD290" s="26">
        <v>7.3</v>
      </c>
      <c r="AE290" s="26">
        <v>8.3000000000000007</v>
      </c>
      <c r="AF290" s="26">
        <v>9.3000000000000007</v>
      </c>
      <c r="AG290" s="26">
        <v>10.3</v>
      </c>
      <c r="AH290" s="26">
        <v>11.3</v>
      </c>
      <c r="AI290" s="26">
        <v>11.3</v>
      </c>
      <c r="AK290" s="26">
        <v>7.3</v>
      </c>
      <c r="AL290" s="26">
        <v>8.3000000000000007</v>
      </c>
      <c r="AM290" s="26">
        <v>9.3000000000000007</v>
      </c>
      <c r="AN290" s="26">
        <v>10.3</v>
      </c>
      <c r="AO290" s="26">
        <v>11.3</v>
      </c>
      <c r="AP290" s="26">
        <v>11.3</v>
      </c>
      <c r="AR290" s="26">
        <v>7.3</v>
      </c>
      <c r="AS290" s="26">
        <v>8.3000000000000007</v>
      </c>
      <c r="AT290" s="26">
        <v>9.3000000000000007</v>
      </c>
      <c r="AU290" s="26">
        <v>10.3</v>
      </c>
      <c r="AV290" s="26">
        <v>11.3</v>
      </c>
      <c r="AW290" s="26">
        <v>11.3</v>
      </c>
    </row>
    <row r="291" spans="1:49" x14ac:dyDescent="0.25">
      <c r="A291" s="15"/>
      <c r="B291" s="26"/>
      <c r="C291" s="26"/>
      <c r="D291" s="26"/>
      <c r="E291" s="26"/>
      <c r="F291" s="26"/>
      <c r="G291" s="26"/>
      <c r="H291" s="26"/>
      <c r="I291" s="26"/>
      <c r="J291" s="26"/>
      <c r="K291" s="26"/>
      <c r="L291" s="26"/>
      <c r="M291" s="26"/>
      <c r="N291" s="26"/>
      <c r="O291" s="26"/>
      <c r="P291" s="26"/>
      <c r="Q291" s="26"/>
      <c r="R291" s="26"/>
      <c r="S291" s="26"/>
      <c r="T291" s="26"/>
      <c r="U291" s="26"/>
      <c r="W291" s="26"/>
      <c r="X291" s="26"/>
      <c r="Y291" s="26"/>
      <c r="Z291" s="26"/>
      <c r="AA291" s="26"/>
      <c r="AB291" s="26"/>
      <c r="AD291" s="26"/>
      <c r="AE291" s="26"/>
      <c r="AF291" s="26"/>
      <c r="AG291" s="26"/>
      <c r="AH291" s="26"/>
      <c r="AI291" s="26"/>
      <c r="AK291" s="26"/>
      <c r="AL291" s="26"/>
      <c r="AM291" s="26"/>
      <c r="AN291" s="26"/>
      <c r="AO291" s="26"/>
      <c r="AP291" s="26"/>
      <c r="AR291" s="26"/>
      <c r="AS291" s="26"/>
      <c r="AT291" s="26"/>
      <c r="AU291" s="26"/>
      <c r="AV291" s="26"/>
      <c r="AW291" s="26"/>
    </row>
    <row r="292" spans="1:49" x14ac:dyDescent="0.25">
      <c r="A292" s="41" t="s">
        <v>349</v>
      </c>
      <c r="B292" s="33">
        <f t="shared" ref="B292:G292" si="139">IF(AVERAGE(B5:B6)&lt;15,-0.0525*((B5+B6)/2) + 5.0586,IF(AVERAGE(B5:B6)&lt;50,(-0.007855*((B5+B6)/2) + 4.1),(0.000025*((B5+B6)/2)^2 - 0.016*((B5+B6)/2)+ 4.53)*0.87))</f>
        <v>3.1005984375</v>
      </c>
      <c r="C292" s="33">
        <f t="shared" si="139"/>
        <v>2.7428109375000003</v>
      </c>
      <c r="D292" s="33">
        <f t="shared" si="139"/>
        <v>2.4186000000000001</v>
      </c>
      <c r="E292" s="33">
        <f t="shared" si="139"/>
        <v>2.1402000000000005</v>
      </c>
      <c r="F292" s="33">
        <f t="shared" si="139"/>
        <v>1.9314000000000002</v>
      </c>
      <c r="G292" s="33">
        <f t="shared" si="139"/>
        <v>1.7858109375</v>
      </c>
      <c r="H292" s="33"/>
      <c r="I292" s="33">
        <f t="shared" ref="I292:N292" si="140">IF(AVERAGE(I5:I6)&lt;15,-0.0525*((I5+I6)/2) + 5.0586,IF(AVERAGE(I5:I6)&lt;50,(-0.007855*((I5+I6)/2) + 4.1),(0.000025*((I5+I6)/2)^2 - 0.016*((I5+I6)/2)+ 4.53)*0.87))</f>
        <v>3.1005984375</v>
      </c>
      <c r="J292" s="33">
        <f t="shared" si="140"/>
        <v>2.7428109375000003</v>
      </c>
      <c r="K292" s="33">
        <f t="shared" si="140"/>
        <v>2.4186000000000001</v>
      </c>
      <c r="L292" s="33">
        <f t="shared" si="140"/>
        <v>2.1402000000000005</v>
      </c>
      <c r="M292" s="33">
        <f t="shared" si="140"/>
        <v>1.9314000000000002</v>
      </c>
      <c r="N292" s="33">
        <f t="shared" si="140"/>
        <v>1.7858109375</v>
      </c>
      <c r="O292" s="33"/>
      <c r="P292" s="33">
        <f t="shared" ref="P292:U292" si="141">IF(AVERAGE(P5:P6)&lt;15,-0.0525*((P5+P6)/2) + 5.0586,IF(AVERAGE(P5:P6)&lt;50,(-0.007855*((P5+P6)/2) + 4.1),(0.000025*((P5+P6)/2)^2 - 0.016*((P5+P6)/2)+ 4.53)*0.87))</f>
        <v>3.1005984375</v>
      </c>
      <c r="Q292" s="33">
        <f t="shared" si="141"/>
        <v>2.7428109375000003</v>
      </c>
      <c r="R292" s="33">
        <f t="shared" si="141"/>
        <v>2.4186000000000001</v>
      </c>
      <c r="S292" s="33">
        <f t="shared" si="141"/>
        <v>2.1402000000000005</v>
      </c>
      <c r="T292" s="33">
        <f t="shared" si="141"/>
        <v>1.9314000000000002</v>
      </c>
      <c r="U292" s="33">
        <f t="shared" si="141"/>
        <v>1.7858109375</v>
      </c>
      <c r="W292" s="33">
        <f t="shared" ref="W292:AB292" si="142">IF(AVERAGE(W5:W6)&lt;15,-0.0525*((W5+W6)/2) + 5.0586,IF(AVERAGE(W5:W6)&lt;50,(-0.007855*((W5+W6)/2) + 4.1),(0.000025*((W5+W6)/2)^2 - 0.016*((W5+W6)/2)+ 4.53)*0.87))</f>
        <v>3.1005984375</v>
      </c>
      <c r="X292" s="33">
        <f t="shared" si="142"/>
        <v>2.7428109375000003</v>
      </c>
      <c r="Y292" s="33">
        <f t="shared" si="142"/>
        <v>2.4186000000000001</v>
      </c>
      <c r="Z292" s="33">
        <f t="shared" si="142"/>
        <v>2.1402000000000005</v>
      </c>
      <c r="AA292" s="33">
        <f t="shared" si="142"/>
        <v>1.9314000000000002</v>
      </c>
      <c r="AB292" s="33">
        <f t="shared" si="142"/>
        <v>1.7858109375</v>
      </c>
      <c r="AD292" s="33">
        <f t="shared" ref="AD292:AI292" si="143">IF(AVERAGE(AD5:AD6)&lt;15,-0.0525*((AD5+AD6)/2) + 5.0586,IF(AVERAGE(AD5:AD6)&lt;50,(-0.007855*((AD5+AD6)/2) + 4.1),(0.000025*((AD5+AD6)/2)^2 - 0.016*((AD5+AD6)/2)+ 4.53)*0.87))</f>
        <v>3.1005984375</v>
      </c>
      <c r="AE292" s="33">
        <f t="shared" si="143"/>
        <v>2.7428109375000003</v>
      </c>
      <c r="AF292" s="33">
        <f t="shared" si="143"/>
        <v>2.4186000000000001</v>
      </c>
      <c r="AG292" s="33">
        <f t="shared" si="143"/>
        <v>2.1402000000000005</v>
      </c>
      <c r="AH292" s="33">
        <f t="shared" si="143"/>
        <v>1.9314000000000002</v>
      </c>
      <c r="AI292" s="33">
        <f t="shared" si="143"/>
        <v>1.7858109375</v>
      </c>
      <c r="AK292" s="33">
        <f t="shared" ref="AK292:AP292" si="144">IF(AVERAGE(AK5:AK6)&lt;15,-0.0525*((AK5+AK6)/2) + 5.0586,IF(AVERAGE(AK5:AK6)&lt;50,(-0.007855*((AK5+AK6)/2) + 4.1),(0.000025*((AK5+AK6)/2)^2 - 0.016*((AK5+AK6)/2)+ 4.53)*0.87))</f>
        <v>3.1005984375</v>
      </c>
      <c r="AL292" s="33">
        <f t="shared" si="144"/>
        <v>2.7428109375000003</v>
      </c>
      <c r="AM292" s="33">
        <f t="shared" si="144"/>
        <v>2.4186000000000001</v>
      </c>
      <c r="AN292" s="33">
        <f t="shared" si="144"/>
        <v>2.1402000000000005</v>
      </c>
      <c r="AO292" s="33">
        <f t="shared" si="144"/>
        <v>1.9314000000000002</v>
      </c>
      <c r="AP292" s="33">
        <f t="shared" si="144"/>
        <v>1.7858109375</v>
      </c>
      <c r="AR292" s="33">
        <f t="shared" ref="AR292:AW292" si="145">IF(AVERAGE(AR5:AR6)&lt;15,-0.0525*((AR5+AR6)/2) + 5.0586,IF(AVERAGE(AR5:AR6)&lt;50,(-0.007855*((AR5+AR6)/2) + 4.1),(0.000025*((AR5+AR6)/2)^2 - 0.016*((AR5+AR6)/2)+ 4.53)*0.87))</f>
        <v>3.1005984375</v>
      </c>
      <c r="AS292" s="33">
        <f t="shared" si="145"/>
        <v>2.7428109375000003</v>
      </c>
      <c r="AT292" s="33">
        <f t="shared" si="145"/>
        <v>2.4186000000000001</v>
      </c>
      <c r="AU292" s="33">
        <f t="shared" si="145"/>
        <v>2.1402000000000005</v>
      </c>
      <c r="AV292" s="33">
        <f t="shared" si="145"/>
        <v>1.9314000000000002</v>
      </c>
      <c r="AW292" s="33">
        <f t="shared" si="145"/>
        <v>1.7858109375</v>
      </c>
    </row>
    <row r="293" spans="1:49" x14ac:dyDescent="0.25">
      <c r="A293" s="40" t="s">
        <v>108</v>
      </c>
      <c r="B293" s="26">
        <f t="shared" ref="B293:G293" si="146">IF(B292="","",B246*2.2046*B292/10000)</f>
        <v>1.0197592309861019</v>
      </c>
      <c r="C293" s="26">
        <f t="shared" si="146"/>
        <v>0.90541139130346093</v>
      </c>
      <c r="D293" s="26">
        <f t="shared" si="146"/>
        <v>0.80102302375224621</v>
      </c>
      <c r="E293" s="26">
        <f t="shared" si="146"/>
        <v>0.71089909850466104</v>
      </c>
      <c r="F293" s="26">
        <f t="shared" si="146"/>
        <v>0.6429964836665738</v>
      </c>
      <c r="G293" s="26">
        <f t="shared" si="146"/>
        <v>0.59504378206974184</v>
      </c>
      <c r="H293" s="26"/>
      <c r="I293" s="26">
        <f t="shared" ref="I293:N293" si="147">IF(I292="","",I246*2.2046*I292/10000)</f>
        <v>1.0289295581076325</v>
      </c>
      <c r="J293" s="26">
        <f t="shared" si="147"/>
        <v>0.91356737601640048</v>
      </c>
      <c r="K293" s="26">
        <f t="shared" si="147"/>
        <v>0.80837695280343014</v>
      </c>
      <c r="L293" s="26">
        <f t="shared" si="147"/>
        <v>0.71734808871088784</v>
      </c>
      <c r="M293" s="26">
        <f t="shared" si="147"/>
        <v>0.64879438152783153</v>
      </c>
      <c r="N293" s="26">
        <f t="shared" si="147"/>
        <v>0.60041721445571361</v>
      </c>
      <c r="O293" s="26"/>
      <c r="P293" s="26">
        <f t="shared" ref="P293:U293" si="148">IF(P292="","",P246*2.2046*P292/10000)</f>
        <v>1.0382415831197873</v>
      </c>
      <c r="Q293" s="26">
        <f t="shared" si="148"/>
        <v>0.92182941764595649</v>
      </c>
      <c r="R293" s="26">
        <f t="shared" si="148"/>
        <v>0.81569507715886702</v>
      </c>
      <c r="S293" s="26">
        <f t="shared" si="148"/>
        <v>0.72381246168143343</v>
      </c>
      <c r="T293" s="26">
        <f t="shared" si="148"/>
        <v>0.65463398233524772</v>
      </c>
      <c r="U293" s="26">
        <f t="shared" si="148"/>
        <v>0.60582675661282814</v>
      </c>
      <c r="W293" s="26">
        <f t="shared" ref="W293:AB293" si="149">IF(W292="","",W246*2.2046*W292/10000)</f>
        <v>1.0475755122306245</v>
      </c>
      <c r="X293" s="26">
        <f t="shared" si="149"/>
        <v>0.93011471562530079</v>
      </c>
      <c r="Y293" s="26">
        <f t="shared" si="149"/>
        <v>0.82300355050715612</v>
      </c>
      <c r="Z293" s="26">
        <f t="shared" si="149"/>
        <v>0.73028500979927702</v>
      </c>
      <c r="AA293" s="26">
        <f t="shared" si="149"/>
        <v>0.66051132658603928</v>
      </c>
      <c r="AB293" s="26">
        <f t="shared" si="149"/>
        <v>0.61121027040987064</v>
      </c>
      <c r="AD293" s="26">
        <f t="shared" ref="AD293:AI293" si="150">IF(AD292="","",AD246*2.2046*AD292/10000)</f>
        <v>1.0569615142997406</v>
      </c>
      <c r="AE293" s="26">
        <f t="shared" si="150"/>
        <v>0.93840715529141239</v>
      </c>
      <c r="AF293" s="26">
        <f t="shared" si="150"/>
        <v>0.83030635487224991</v>
      </c>
      <c r="AG293" s="26">
        <f t="shared" si="150"/>
        <v>0.73681161792492988</v>
      </c>
      <c r="AH293" s="26">
        <f t="shared" si="150"/>
        <v>0.66619931542527722</v>
      </c>
      <c r="AI293" s="26">
        <f t="shared" si="150"/>
        <v>0.61648030779145901</v>
      </c>
      <c r="AK293" s="26">
        <f t="shared" ref="AK293:AP293" si="151">IF(AK292="","",AK246*2.2046*AK292/10000)</f>
        <v>1.0665487318347864</v>
      </c>
      <c r="AL293" s="26">
        <f t="shared" si="151"/>
        <v>0.94670827400514312</v>
      </c>
      <c r="AM293" s="26">
        <f t="shared" si="151"/>
        <v>0.83765372509881364</v>
      </c>
      <c r="AN293" s="26">
        <f t="shared" si="151"/>
        <v>0.74304342018050706</v>
      </c>
      <c r="AO293" s="26">
        <f t="shared" si="151"/>
        <v>0.67194316344550731</v>
      </c>
      <c r="AP293" s="26">
        <f t="shared" si="151"/>
        <v>0.62179838513318242</v>
      </c>
      <c r="AR293" s="26">
        <f t="shared" ref="AR293:AW293" si="152">IF(AR292="","",AR246*2.2046*AR292/10000)</f>
        <v>1.0758268925351795</v>
      </c>
      <c r="AS293" s="26">
        <f t="shared" si="152"/>
        <v>0.9549881494329755</v>
      </c>
      <c r="AT293" s="26">
        <f t="shared" si="152"/>
        <v>0.84478830993636189</v>
      </c>
      <c r="AU293" s="26">
        <f t="shared" si="152"/>
        <v>0.74939434125765192</v>
      </c>
      <c r="AV293" s="26">
        <f t="shared" si="152"/>
        <v>0.67769919468632989</v>
      </c>
      <c r="AW293" s="26">
        <f t="shared" si="152"/>
        <v>0.62712723495507916</v>
      </c>
    </row>
    <row r="294" spans="1:49" x14ac:dyDescent="0.25">
      <c r="A294" s="15"/>
      <c r="B294" s="26"/>
      <c r="C294" s="26"/>
      <c r="D294" s="26"/>
      <c r="E294" s="26"/>
      <c r="F294" s="26"/>
      <c r="G294" s="26"/>
      <c r="H294" s="26"/>
      <c r="I294" s="26"/>
      <c r="J294" s="26"/>
      <c r="K294" s="26"/>
      <c r="L294" s="26"/>
      <c r="M294" s="26"/>
      <c r="N294" s="26"/>
      <c r="O294" s="26"/>
      <c r="P294" s="26"/>
      <c r="Q294" s="26"/>
      <c r="R294" s="26"/>
      <c r="S294" s="26"/>
      <c r="T294" s="26"/>
      <c r="U294" s="26"/>
      <c r="W294" s="26"/>
      <c r="X294" s="26"/>
      <c r="Y294" s="26"/>
      <c r="Z294" s="26"/>
      <c r="AA294" s="26"/>
      <c r="AB294" s="26"/>
      <c r="AD294" s="26"/>
      <c r="AE294" s="26"/>
      <c r="AF294" s="26"/>
      <c r="AG294" s="26"/>
      <c r="AH294" s="26"/>
      <c r="AI294" s="26"/>
      <c r="AK294" s="26"/>
      <c r="AL294" s="26"/>
      <c r="AM294" s="26"/>
      <c r="AN294" s="26"/>
      <c r="AO294" s="26"/>
      <c r="AP294" s="26"/>
      <c r="AR294" s="26"/>
      <c r="AS294" s="26"/>
      <c r="AT294" s="26"/>
      <c r="AU294" s="26"/>
      <c r="AV294" s="26"/>
      <c r="AW294" s="26"/>
    </row>
    <row r="295" spans="1:49" x14ac:dyDescent="0.25">
      <c r="B295" s="26"/>
      <c r="C295" s="26"/>
      <c r="D295" s="26"/>
      <c r="E295" s="26"/>
      <c r="F295" s="26"/>
      <c r="G295" s="26"/>
      <c r="H295" s="26"/>
      <c r="I295" s="26"/>
      <c r="J295" s="26"/>
      <c r="K295" s="26"/>
      <c r="L295" s="26"/>
      <c r="M295" s="26"/>
      <c r="N295" s="26"/>
      <c r="O295" s="26"/>
      <c r="P295" s="26"/>
      <c r="Q295" s="26"/>
      <c r="R295" s="26"/>
      <c r="S295" s="26"/>
      <c r="T295" s="26"/>
      <c r="U295" s="26"/>
      <c r="W295" s="26"/>
      <c r="X295" s="26"/>
      <c r="Y295" s="26"/>
      <c r="Z295" s="26"/>
      <c r="AA295" s="26"/>
      <c r="AB295" s="26"/>
      <c r="AD295" s="26"/>
      <c r="AE295" s="26"/>
      <c r="AF295" s="26"/>
      <c r="AG295" s="26"/>
      <c r="AH295" s="26"/>
      <c r="AI295" s="26"/>
      <c r="AK295" s="26"/>
      <c r="AL295" s="26"/>
      <c r="AM295" s="26"/>
      <c r="AN295" s="26"/>
      <c r="AO295" s="26"/>
      <c r="AP295" s="26"/>
      <c r="AR295" s="26"/>
      <c r="AS295" s="26"/>
      <c r="AT295" s="26"/>
      <c r="AU295" s="26"/>
      <c r="AV295" s="26"/>
      <c r="AW295" s="26"/>
    </row>
    <row r="296" spans="1:49" x14ac:dyDescent="0.25">
      <c r="A296" s="17" t="s">
        <v>50</v>
      </c>
      <c r="B296" s="294"/>
      <c r="C296" s="294"/>
      <c r="D296" s="294"/>
      <c r="E296" s="294"/>
      <c r="F296" s="294"/>
      <c r="G296" s="294"/>
      <c r="H296" s="295"/>
      <c r="I296" s="294"/>
      <c r="J296" s="294"/>
      <c r="K296" s="294"/>
      <c r="L296" s="294"/>
      <c r="M296" s="294"/>
      <c r="N296" s="294"/>
      <c r="O296" s="201"/>
      <c r="P296" s="294"/>
      <c r="Q296" s="294"/>
      <c r="R296" s="294"/>
      <c r="S296" s="294"/>
      <c r="T296" s="294"/>
      <c r="U296" s="294"/>
      <c r="W296" s="294"/>
      <c r="X296" s="294"/>
      <c r="Y296" s="294"/>
      <c r="Z296" s="294"/>
      <c r="AA296" s="294"/>
      <c r="AB296" s="294"/>
      <c r="AD296" s="294"/>
      <c r="AE296" s="294"/>
      <c r="AF296" s="294"/>
      <c r="AG296" s="294"/>
      <c r="AH296" s="294"/>
      <c r="AI296" s="294"/>
      <c r="AK296" s="294"/>
      <c r="AL296" s="294"/>
      <c r="AM296" s="294"/>
      <c r="AN296" s="294"/>
      <c r="AO296" s="294"/>
      <c r="AP296" s="294"/>
      <c r="AR296" s="294"/>
      <c r="AS296" s="294"/>
      <c r="AT296" s="294"/>
      <c r="AU296" s="294"/>
      <c r="AV296" s="294"/>
      <c r="AW296" s="294"/>
    </row>
    <row r="297" spans="1:49" x14ac:dyDescent="0.25">
      <c r="A297" s="3" t="s">
        <v>48</v>
      </c>
      <c r="B297" s="20">
        <f>SUMPRODUCT(B$9:B$229,Nutrients!$DA$8:$DA$228)/2000</f>
        <v>0.24855419080599378</v>
      </c>
      <c r="C297" s="20">
        <f>SUMPRODUCT(C$9:C$229,Nutrients!$DA$8:$DA$228)/2000</f>
        <v>0.24598837503388346</v>
      </c>
      <c r="D297" s="20">
        <f>SUMPRODUCT(D$9:D$229,Nutrients!$DA$8:$DA$228)/2000</f>
        <v>0.24037497861787219</v>
      </c>
      <c r="E297" s="20">
        <f>SUMPRODUCT(E$9:E$229,Nutrients!$DA$8:$DA$228)/2000</f>
        <v>0.23743614434297908</v>
      </c>
      <c r="F297" s="20">
        <f>SUMPRODUCT(F$9:F$229,Nutrients!$DA$8:$DA$228)/2000</f>
        <v>0.23330638337529597</v>
      </c>
      <c r="G297" s="20">
        <f>SUMPRODUCT(G$9:G$229,Nutrients!$DA$8:$DA$228)/2000</f>
        <v>0.2281455840399364</v>
      </c>
      <c r="H297" s="192"/>
      <c r="I297" s="20">
        <f>SUMPRODUCT(I$9:I$229,Nutrients!$DA$8:$DA$228)/2000</f>
        <v>0.29595419080599378</v>
      </c>
      <c r="J297" s="20">
        <f>SUMPRODUCT(J$9:J$229,Nutrients!$DA$8:$DA$228)/2000</f>
        <v>0.29338837503388343</v>
      </c>
      <c r="K297" s="20">
        <f>SUMPRODUCT(K$9:K$229,Nutrients!$DA$8:$DA$228)/2000</f>
        <v>0.28777497861787221</v>
      </c>
      <c r="L297" s="20">
        <f>SUMPRODUCT(L$9:L$229,Nutrients!$DA$8:$DA$228)/2000</f>
        <v>0.2848361443429791</v>
      </c>
      <c r="M297" s="20">
        <f>SUMPRODUCT(M$9:M$229,Nutrients!$DA$8:$DA$228)/2000</f>
        <v>0.28070638337529596</v>
      </c>
      <c r="N297" s="20">
        <f>SUMPRODUCT(N$9:N$229,Nutrients!$DA$8:$DA$228)/2000</f>
        <v>0.2755455840399364</v>
      </c>
      <c r="O297" s="237"/>
      <c r="P297" s="20">
        <f>SUMPRODUCT(P$9:P$229,Nutrients!$DA$8:$DA$228)/2000</f>
        <v>0.34335419080599378</v>
      </c>
      <c r="Q297" s="20">
        <f>SUMPRODUCT(Q$9:Q$229,Nutrients!$DA$8:$DA$228)/2000</f>
        <v>0.34078837503388343</v>
      </c>
      <c r="R297" s="20">
        <f>SUMPRODUCT(R$9:R$229,Nutrients!$DA$8:$DA$228)/2000</f>
        <v>0.33517497861787215</v>
      </c>
      <c r="S297" s="20">
        <f>SUMPRODUCT(S$9:S$229,Nutrients!$DA$8:$DA$228)/2000</f>
        <v>0.33223614434297905</v>
      </c>
      <c r="T297" s="20">
        <f>SUMPRODUCT(T$9:T$229,Nutrients!$DA$8:$DA$228)/2000</f>
        <v>0.32810638337529602</v>
      </c>
      <c r="U297" s="20">
        <f>SUMPRODUCT(U$9:U$229,Nutrients!$DA$8:$DA$228)/2000</f>
        <v>0.3229455840399364</v>
      </c>
      <c r="W297" s="20">
        <f>SUMPRODUCT(W$9:W$229,Nutrients!$DA$8:$DA$228)/2000</f>
        <v>0.39075419080599372</v>
      </c>
      <c r="X297" s="20">
        <f>SUMPRODUCT(X$9:X$229,Nutrients!$DA$8:$DA$228)/2000</f>
        <v>0.38818837503388348</v>
      </c>
      <c r="Y297" s="20">
        <f>SUMPRODUCT(Y$9:Y$229,Nutrients!$DA$8:$DA$228)/2000</f>
        <v>0.38257497861787215</v>
      </c>
      <c r="Z297" s="20">
        <f>SUMPRODUCT(Z$9:Z$229,Nutrients!$DA$8:$DA$228)/2000</f>
        <v>0.37963614434297904</v>
      </c>
      <c r="AA297" s="20">
        <f>SUMPRODUCT(AA$9:AA$229,Nutrients!$DA$8:$DA$228)/2000</f>
        <v>0.37550638337529596</v>
      </c>
      <c r="AB297" s="20">
        <f>SUMPRODUCT(AB$9:AB$229,Nutrients!$DA$8:$DA$228)/2000</f>
        <v>0.37034558403993639</v>
      </c>
      <c r="AD297" s="20">
        <f>SUMPRODUCT(AD$9:AD$229,Nutrients!$DA$8:$DA$228)/2000</f>
        <v>0.43815419080599377</v>
      </c>
      <c r="AE297" s="20">
        <f>SUMPRODUCT(AE$9:AE$229,Nutrients!$DA$8:$DA$228)/2000</f>
        <v>0.43558837503388342</v>
      </c>
      <c r="AF297" s="20">
        <f>SUMPRODUCT(AF$9:AF$229,Nutrients!$DA$8:$DA$228)/2000</f>
        <v>0.42997497861787221</v>
      </c>
      <c r="AG297" s="20">
        <f>SUMPRODUCT(AG$9:AG$229,Nutrients!$DA$8:$DA$228)/2000</f>
        <v>0.4270361443429791</v>
      </c>
      <c r="AH297" s="20">
        <f>SUMPRODUCT(AH$9:AH$229,Nutrients!$DA$8:$DA$228)/2000</f>
        <v>0.42290638337529601</v>
      </c>
      <c r="AI297" s="20">
        <f>SUMPRODUCT(AI$9:AI$229,Nutrients!$DA$8:$DA$228)/2000</f>
        <v>0.41774558403993639</v>
      </c>
      <c r="AK297" s="20">
        <f>SUMPRODUCT(AK$9:AK$229,Nutrients!$DA$8:$DA$228)/2000</f>
        <v>0.48555419080599382</v>
      </c>
      <c r="AL297" s="20">
        <f>SUMPRODUCT(AL$9:AL$229,Nutrients!$DA$8:$DA$228)/2000</f>
        <v>0.48298837503388348</v>
      </c>
      <c r="AM297" s="20">
        <f>SUMPRODUCT(AM$9:AM$229,Nutrients!$DA$8:$DA$228)/2000</f>
        <v>0.4773749786178722</v>
      </c>
      <c r="AN297" s="20">
        <f>SUMPRODUCT(AN$9:AN$229,Nutrients!$DA$8:$DA$228)/2000</f>
        <v>0.47443614434297909</v>
      </c>
      <c r="AO297" s="20">
        <f>SUMPRODUCT(AO$9:AO$229,Nutrients!$DA$8:$DA$228)/2000</f>
        <v>0.47030638337529601</v>
      </c>
      <c r="AP297" s="20">
        <f>SUMPRODUCT(AP$9:AP$229,Nutrients!$DA$8:$DA$228)/2000</f>
        <v>0.46514558403993644</v>
      </c>
      <c r="AR297" s="20">
        <f>SUMPRODUCT(AR$9:AR$229,Nutrients!$DA$8:$DA$228)/2000</f>
        <v>0.53295419080599382</v>
      </c>
      <c r="AS297" s="20">
        <f>SUMPRODUCT(AS$9:AS$229,Nutrients!$DA$8:$DA$228)/2000</f>
        <v>0.53038837503388359</v>
      </c>
      <c r="AT297" s="20">
        <f>SUMPRODUCT(AT$9:AT$229,Nutrients!$DA$8:$DA$228)/2000</f>
        <v>0.52477497861787226</v>
      </c>
      <c r="AU297" s="20">
        <f>SUMPRODUCT(AU$9:AU$229,Nutrients!$DA$8:$DA$228)/2000</f>
        <v>0.5218361443429792</v>
      </c>
      <c r="AV297" s="20">
        <f>SUMPRODUCT(AV$9:AV$229,Nutrients!$DA$8:$DA$228)/2000</f>
        <v>0.51770638337529606</v>
      </c>
      <c r="AW297" s="20">
        <f>SUMPRODUCT(AW$9:AW$229,Nutrients!$DA$8:$DA$228)/2000</f>
        <v>0.51254558403993644</v>
      </c>
    </row>
    <row r="298" spans="1:49" x14ac:dyDescent="0.25">
      <c r="A298" s="34" t="s">
        <v>391</v>
      </c>
      <c r="B298" s="23">
        <f t="shared" ref="B298:G298" si="153">IF(B$5="","",B245/(B246*2.2046)*10000)</f>
        <v>4.0434845516419928</v>
      </c>
      <c r="C298" s="23">
        <f t="shared" si="153"/>
        <v>3.5693197159555714</v>
      </c>
      <c r="D298" s="23">
        <f t="shared" si="153"/>
        <v>3.1528272192975133</v>
      </c>
      <c r="E298" s="23">
        <f t="shared" si="153"/>
        <v>2.8088586731646132</v>
      </c>
      <c r="F298" s="23">
        <f t="shared" si="153"/>
        <v>2.5736429013234892</v>
      </c>
      <c r="G298" s="23">
        <f t="shared" si="153"/>
        <v>2.4458370650662657</v>
      </c>
      <c r="H298" s="227"/>
      <c r="I298" s="23">
        <f t="shared" ref="I298:N298" si="154">IF(I$5="","",I245/(I246*2.2046)*10000)</f>
        <v>4.0323091111899432</v>
      </c>
      <c r="J298" s="23">
        <f t="shared" si="154"/>
        <v>3.5622155309279555</v>
      </c>
      <c r="K298" s="23">
        <f t="shared" si="154"/>
        <v>3.1488374182162602</v>
      </c>
      <c r="L298" s="23">
        <f t="shared" si="154"/>
        <v>2.8082532866660155</v>
      </c>
      <c r="M298" s="23">
        <f t="shared" si="154"/>
        <v>2.5752185320725345</v>
      </c>
      <c r="N298" s="23">
        <f t="shared" si="154"/>
        <v>2.4485129631058822</v>
      </c>
      <c r="O298" s="198"/>
      <c r="P298" s="23">
        <f t="shared" ref="P298:U298" si="155">IF(P$5="","",P245/(P246*2.2046)*10000)</f>
        <v>4.0207809333635325</v>
      </c>
      <c r="Q298" s="23">
        <f t="shared" si="155"/>
        <v>3.5548330949797315</v>
      </c>
      <c r="R298" s="23">
        <f t="shared" si="155"/>
        <v>3.1450426720584019</v>
      </c>
      <c r="S298" s="23">
        <f t="shared" si="155"/>
        <v>2.8075618430917633</v>
      </c>
      <c r="T298" s="23">
        <f t="shared" si="155"/>
        <v>2.5765783146723584</v>
      </c>
      <c r="U298" s="23">
        <f t="shared" si="155"/>
        <v>2.4509559553936691</v>
      </c>
      <c r="W298" s="23">
        <f t="shared" ref="W298:AB298" si="156">IF(W$5="","",W245/(W246*2.2046)*10000)</f>
        <v>4.0093718685426092</v>
      </c>
      <c r="X298" s="23">
        <f t="shared" si="156"/>
        <v>3.547490713246451</v>
      </c>
      <c r="Y298" s="23">
        <f t="shared" si="156"/>
        <v>3.1413579561417566</v>
      </c>
      <c r="Z298" s="23">
        <f t="shared" si="156"/>
        <v>2.8068581920746225</v>
      </c>
      <c r="AA298" s="23">
        <f t="shared" si="156"/>
        <v>2.5777620734582865</v>
      </c>
      <c r="AB298" s="23">
        <f t="shared" si="156"/>
        <v>2.4534068155571691</v>
      </c>
      <c r="AD298" s="23">
        <f t="shared" ref="AD298:AI298" si="157">IF(AD$5="","",AD245/(AD246*2.2046)*10000)</f>
        <v>3.9979649009332054</v>
      </c>
      <c r="AE298" s="23">
        <f t="shared" si="157"/>
        <v>3.5402525914631071</v>
      </c>
      <c r="AF298" s="23">
        <f t="shared" si="157"/>
        <v>3.1377657107801658</v>
      </c>
      <c r="AG298" s="23">
        <f t="shared" si="157"/>
        <v>2.8059416977353226</v>
      </c>
      <c r="AH298" s="23">
        <f t="shared" si="157"/>
        <v>2.5795051760984089</v>
      </c>
      <c r="AI298" s="23">
        <f t="shared" si="157"/>
        <v>2.4561140154833168</v>
      </c>
      <c r="AK298" s="23">
        <f t="shared" ref="AK298:AP298" si="158">IF(AK$5="","",AK245/(AK246*2.2046)*10000)</f>
        <v>3.9859896237134458</v>
      </c>
      <c r="AL298" s="23">
        <f t="shared" si="158"/>
        <v>3.5331091308468845</v>
      </c>
      <c r="AM298" s="23">
        <f t="shared" si="158"/>
        <v>3.1340511181367496</v>
      </c>
      <c r="AN298" s="23">
        <f t="shared" si="158"/>
        <v>2.8060236417305022</v>
      </c>
      <c r="AO298" s="23">
        <f t="shared" si="158"/>
        <v>2.5809659525798745</v>
      </c>
      <c r="AP298" s="23">
        <f t="shared" si="158"/>
        <v>2.4585979403159359</v>
      </c>
      <c r="AR298" s="23">
        <f t="shared" ref="AR298:AW298" si="159">IF(AR$5="","",AR245/(AR246*2.2046)*10000)</f>
        <v>3.9753947057160897</v>
      </c>
      <c r="AS298" s="23">
        <f t="shared" si="159"/>
        <v>3.5261681547282162</v>
      </c>
      <c r="AT298" s="23">
        <f t="shared" si="159"/>
        <v>3.1311556875424227</v>
      </c>
      <c r="AU298" s="23">
        <f t="shared" si="159"/>
        <v>2.8056036557981519</v>
      </c>
      <c r="AV298" s="23">
        <f t="shared" si="159"/>
        <v>2.5823528165599265</v>
      </c>
      <c r="AW298" s="23">
        <f t="shared" si="159"/>
        <v>2.4609948608673804</v>
      </c>
    </row>
    <row r="299" spans="1:49" x14ac:dyDescent="0.25">
      <c r="A299" s="34" t="s">
        <v>392</v>
      </c>
      <c r="B299" s="23">
        <f t="shared" ref="B299:G299" si="160">IF(B$5="","",B236/(B246*2.2046)*10000)</f>
        <v>3.6063972315389758</v>
      </c>
      <c r="C299" s="23">
        <f t="shared" si="160"/>
        <v>3.1769527308876992</v>
      </c>
      <c r="D299" s="23">
        <f t="shared" si="160"/>
        <v>2.7987491648675547</v>
      </c>
      <c r="E299" s="23">
        <f t="shared" si="160"/>
        <v>2.4869234391841561</v>
      </c>
      <c r="F299" s="23">
        <f t="shared" si="160"/>
        <v>2.2730285254980038</v>
      </c>
      <c r="G299" s="23">
        <f t="shared" si="160"/>
        <v>2.1560010424593594</v>
      </c>
      <c r="H299" s="227"/>
      <c r="I299" s="23">
        <f t="shared" ref="I299:N299" si="161">IF(I$5="","",I236/(I246*2.2046)*10000)</f>
        <v>3.5742552427285665</v>
      </c>
      <c r="J299" s="23">
        <f t="shared" si="161"/>
        <v>3.1485900960267239</v>
      </c>
      <c r="K299" s="23">
        <f t="shared" si="161"/>
        <v>2.7732885147103237</v>
      </c>
      <c r="L299" s="23">
        <f t="shared" si="161"/>
        <v>2.4645658903799825</v>
      </c>
      <c r="M299" s="23">
        <f t="shared" si="161"/>
        <v>2.2527157922164234</v>
      </c>
      <c r="N299" s="23">
        <f t="shared" si="161"/>
        <v>2.1367059164256363</v>
      </c>
      <c r="O299" s="198"/>
      <c r="P299" s="23">
        <f t="shared" ref="P299:U299" si="162">IF(P$5="","",P236/(P246*2.2046)*10000)</f>
        <v>3.5421976226512615</v>
      </c>
      <c r="Q299" s="23">
        <f t="shared" si="162"/>
        <v>3.1203703604120689</v>
      </c>
      <c r="R299" s="23">
        <f t="shared" si="162"/>
        <v>2.7484075625108271</v>
      </c>
      <c r="S299" s="23">
        <f t="shared" si="162"/>
        <v>2.442554839217792</v>
      </c>
      <c r="T299" s="23">
        <f t="shared" si="162"/>
        <v>2.2326206530790094</v>
      </c>
      <c r="U299" s="23">
        <f t="shared" si="162"/>
        <v>2.117626863534535</v>
      </c>
      <c r="W299" s="23">
        <f t="shared" ref="W299:AB299" si="163">IF(W$5="","",W236/(W246*2.2046)*10000)</f>
        <v>3.5106365360084459</v>
      </c>
      <c r="X299" s="23">
        <f t="shared" si="163"/>
        <v>3.0925746511220087</v>
      </c>
      <c r="Y299" s="23">
        <f t="shared" si="163"/>
        <v>2.7240010293816943</v>
      </c>
      <c r="Z299" s="23">
        <f t="shared" si="163"/>
        <v>2.4209063683945251</v>
      </c>
      <c r="AA299" s="23">
        <f t="shared" si="163"/>
        <v>2.2127544075940224</v>
      </c>
      <c r="AB299" s="23">
        <f t="shared" si="163"/>
        <v>2.0989748971184907</v>
      </c>
      <c r="AD299" s="23">
        <f t="shared" ref="AD299:AI299" si="164">IF(AD$5="","",AD236/(AD246*2.2046)*10000)</f>
        <v>3.4794614730141036</v>
      </c>
      <c r="AE299" s="23">
        <f t="shared" si="164"/>
        <v>3.0652464401607324</v>
      </c>
      <c r="AF299" s="23">
        <f t="shared" si="164"/>
        <v>2.7000425874269176</v>
      </c>
      <c r="AG299" s="23">
        <f t="shared" si="164"/>
        <v>2.3994622071041447</v>
      </c>
      <c r="AH299" s="23">
        <f t="shared" si="164"/>
        <v>2.1938619799331884</v>
      </c>
      <c r="AI299" s="23">
        <f t="shared" si="164"/>
        <v>2.0810316213462956</v>
      </c>
      <c r="AK299" s="23">
        <f t="shared" ref="AK299:AP299" si="165">IF(AK$5="","",AK236/(AK246*2.2046)*10000)</f>
        <v>3.4481845579975618</v>
      </c>
      <c r="AL299" s="23">
        <f t="shared" si="165"/>
        <v>3.0383691271750042</v>
      </c>
      <c r="AM299" s="23">
        <f t="shared" si="165"/>
        <v>2.6763595165792666</v>
      </c>
      <c r="AN299" s="23">
        <f t="shared" si="165"/>
        <v>2.3793382498920996</v>
      </c>
      <c r="AO299" s="23">
        <f t="shared" si="165"/>
        <v>2.1751085935225247</v>
      </c>
      <c r="AP299" s="23">
        <f t="shared" si="165"/>
        <v>2.0632331075876578</v>
      </c>
      <c r="AR299" s="23">
        <f t="shared" ref="AR299:AW299" si="166">IF(AR$5="","",AR236/(AR246*2.2046)*10000)</f>
        <v>3.4184466785341434</v>
      </c>
      <c r="AS299" s="23">
        <f t="shared" si="166"/>
        <v>3.0120260590524119</v>
      </c>
      <c r="AT299" s="23">
        <f t="shared" si="166"/>
        <v>2.6537565593623835</v>
      </c>
      <c r="AU299" s="23">
        <f t="shared" si="166"/>
        <v>2.359173980416116</v>
      </c>
      <c r="AV299" s="23">
        <f t="shared" si="166"/>
        <v>2.1566343307306202</v>
      </c>
      <c r="AW299" s="23">
        <f t="shared" si="166"/>
        <v>2.0457013233418539</v>
      </c>
    </row>
    <row r="300" spans="1:49" x14ac:dyDescent="0.25">
      <c r="A300" s="34" t="s">
        <v>151</v>
      </c>
      <c r="B300" s="23">
        <f t="shared" ref="B300:G300" si="167">B245/B253*100</f>
        <v>6.4370478420696102</v>
      </c>
      <c r="C300" s="23">
        <f t="shared" si="167"/>
        <v>6.3776088080946991</v>
      </c>
      <c r="D300" s="23">
        <f t="shared" si="167"/>
        <v>6.2955955211424843</v>
      </c>
      <c r="E300" s="23">
        <f t="shared" si="167"/>
        <v>6.2166350165421349</v>
      </c>
      <c r="F300" s="23">
        <f t="shared" si="167"/>
        <v>6.1431562205295167</v>
      </c>
      <c r="G300" s="23">
        <f t="shared" si="167"/>
        <v>6.0778386851000716</v>
      </c>
      <c r="H300" s="227"/>
      <c r="I300" s="23">
        <f t="shared" ref="I300:N300" si="168">I245/I253*100</f>
        <v>6.37084815218142</v>
      </c>
      <c r="J300" s="23">
        <f t="shared" si="168"/>
        <v>6.3049180961614244</v>
      </c>
      <c r="K300" s="23">
        <f t="shared" si="168"/>
        <v>6.2162640539522558</v>
      </c>
      <c r="L300" s="23">
        <f t="shared" si="168"/>
        <v>6.1306164795804952</v>
      </c>
      <c r="M300" s="23">
        <f t="shared" si="168"/>
        <v>6.052770100566029</v>
      </c>
      <c r="N300" s="23">
        <f t="shared" si="168"/>
        <v>5.9853853173214855</v>
      </c>
      <c r="O300" s="198"/>
      <c r="P300" s="23">
        <f t="shared" ref="P300:U300" si="169">P245/P253*100</f>
        <v>6.3067057997087117</v>
      </c>
      <c r="Q300" s="23">
        <f t="shared" si="169"/>
        <v>6.2346743221838974</v>
      </c>
      <c r="R300" s="23">
        <f t="shared" si="169"/>
        <v>6.1401563589347283</v>
      </c>
      <c r="S300" s="23">
        <f t="shared" si="169"/>
        <v>6.048721163939085</v>
      </c>
      <c r="T300" s="23">
        <f t="shared" si="169"/>
        <v>5.9659369220641123</v>
      </c>
      <c r="U300" s="23">
        <f t="shared" si="169"/>
        <v>5.8962309264196193</v>
      </c>
      <c r="W300" s="23">
        <f t="shared" ref="W300:AB300" si="170">W245/W253*100</f>
        <v>6.2446198502468757</v>
      </c>
      <c r="X300" s="23">
        <f t="shared" si="170"/>
        <v>6.1669360471271331</v>
      </c>
      <c r="Y300" s="23">
        <f t="shared" si="170"/>
        <v>6.0669555840387135</v>
      </c>
      <c r="Z300" s="23">
        <f t="shared" si="170"/>
        <v>5.971227494136838</v>
      </c>
      <c r="AA300" s="23">
        <f t="shared" si="170"/>
        <v>5.8820690044773354</v>
      </c>
      <c r="AB300" s="23">
        <f t="shared" si="170"/>
        <v>5.8116469501979537</v>
      </c>
      <c r="AD300" s="23">
        <f t="shared" ref="AD300:AI300" si="171">AD245/AD253*100</f>
        <v>6.1844975565342857</v>
      </c>
      <c r="AE300" s="23">
        <f t="shared" si="171"/>
        <v>6.1015308173977889</v>
      </c>
      <c r="AF300" s="23">
        <f t="shared" si="171"/>
        <v>5.9985556470150003</v>
      </c>
      <c r="AG300" s="23">
        <f t="shared" si="171"/>
        <v>5.8944681967351462</v>
      </c>
      <c r="AH300" s="23">
        <f t="shared" si="171"/>
        <v>5.804123741029577</v>
      </c>
      <c r="AI300" s="23">
        <f t="shared" si="171"/>
        <v>5.7331943518327382</v>
      </c>
      <c r="AK300" s="23">
        <f t="shared" ref="AK300:AP300" si="172">AK245/AK253*100</f>
        <v>6.1263841543621478</v>
      </c>
      <c r="AL300" s="23">
        <f t="shared" si="172"/>
        <v>6.0383531012962353</v>
      </c>
      <c r="AM300" s="23">
        <f t="shared" si="172"/>
        <v>5.9292692854908218</v>
      </c>
      <c r="AN300" s="23">
        <f t="shared" si="172"/>
        <v>5.8226410234786341</v>
      </c>
      <c r="AO300" s="23">
        <f t="shared" si="172"/>
        <v>5.730296001533957</v>
      </c>
      <c r="AP300" s="23">
        <f t="shared" si="172"/>
        <v>5.6583259271547961</v>
      </c>
      <c r="AR300" s="23">
        <f t="shared" ref="AR300:AW300" si="173">AR245/AR253*100</f>
        <v>6.0702563864006516</v>
      </c>
      <c r="AS300" s="23">
        <f t="shared" si="173"/>
        <v>5.9777978088090977</v>
      </c>
      <c r="AT300" s="23">
        <f t="shared" si="173"/>
        <v>5.8634088183468602</v>
      </c>
      <c r="AU300" s="23">
        <f t="shared" si="173"/>
        <v>5.7545742427694435</v>
      </c>
      <c r="AV300" s="23">
        <f t="shared" si="173"/>
        <v>5.6590646150332073</v>
      </c>
      <c r="AW300" s="23">
        <f t="shared" si="173"/>
        <v>5.5862252625515341</v>
      </c>
    </row>
    <row r="301" spans="1:49" x14ac:dyDescent="0.25">
      <c r="A301" t="s">
        <v>56</v>
      </c>
      <c r="B301" s="22">
        <f>(SUMPRODUCT(B$9:B$229,Nutrients!$K$8:$K$228)+(IF($A$7=Nutrients!$B$8,Nutrients!$K$8,Nutrients!$K$9)*B$7)+(((IF($A$8=Nutrients!$B$79,Nutrients!$K$79,(IF($A$8=Nutrients!$B$77,Nutrients!$K$77,Nutrients!$K$78)))))*B$8))/2000</f>
        <v>2.7726851771066428</v>
      </c>
      <c r="C301" s="22">
        <f>(SUMPRODUCT(C$9:C$229,Nutrients!$K$8:$K$228)+(IF($A$7=Nutrients!$B$8,Nutrients!$K$8,Nutrients!$K$9)*C$7)+(((IF($A$8=Nutrients!$B$79,Nutrients!$K$79,(IF($A$8=Nutrients!$B$77,Nutrients!$K$77,Nutrients!$K$78)))))*C$8))/2000</f>
        <v>2.8895248185748268</v>
      </c>
      <c r="D301" s="22">
        <f>(SUMPRODUCT(D$9:D$229,Nutrients!$K$8:$K$228)+(IF($A$7=Nutrients!$B$8,Nutrients!$K$8,Nutrients!$K$9)*D$7)+(((IF($A$8=Nutrients!$B$79,Nutrients!$K$79,(IF($A$8=Nutrients!$B$77,Nutrients!$K$77,Nutrients!$K$78)))))*D$8))/2000</f>
        <v>2.9911114387020761</v>
      </c>
      <c r="E301" s="22">
        <f>(SUMPRODUCT(E$9:E$229,Nutrients!$K$8:$K$228)+(IF($A$7=Nutrients!$B$8,Nutrients!$K$8,Nutrients!$K$9)*E$7)+(((IF($A$8=Nutrients!$B$79,Nutrients!$K$79,(IF($A$8=Nutrients!$B$77,Nutrients!$K$77,Nutrients!$K$78)))))*E$8))/2000</f>
        <v>3.0762951752970258</v>
      </c>
      <c r="F301" s="22">
        <f>(SUMPRODUCT(F$9:F$229,Nutrients!$K$8:$K$228)+(IF($A$7=Nutrients!$B$8,Nutrients!$K$8,Nutrients!$K$9)*F$7)+(((IF($A$8=Nutrients!$B$79,Nutrients!$K$79,(IF($A$8=Nutrients!$B$77,Nutrients!$K$77,Nutrients!$K$78)))))*F$8))/2000</f>
        <v>3.1350305214620882</v>
      </c>
      <c r="G301" s="22">
        <f>(SUMPRODUCT(G$9:G$229,Nutrients!$K$8:$K$228)+(IF($A$7=Nutrients!$B$8,Nutrients!$K$8,Nutrients!$K$9)*G$7)+(((IF($A$8=Nutrients!$B$79,Nutrients!$K$79,(IF($A$8=Nutrients!$B$77,Nutrients!$K$77,Nutrients!$K$78)))))*G$8))/2000</f>
        <v>3.1635989425624271</v>
      </c>
      <c r="H301" s="228"/>
      <c r="I301" s="22">
        <f>(SUMPRODUCT(I$9:I$229,Nutrients!$K$8:$K$228)+(IF($A$7=Nutrients!$B$8,Nutrients!$K$8,Nutrients!$K$9)*I$7)+(((IF($A$8=Nutrients!$B$79,Nutrients!$K$79,(IF($A$8=Nutrients!$B$77,Nutrients!$K$77,Nutrients!$K$78)))))*I$8))/2000</f>
        <v>3.6711713178515257</v>
      </c>
      <c r="J301" s="22">
        <f>(SUMPRODUCT(J$9:J$229,Nutrients!$K$8:$K$228)+(IF($A$7=Nutrients!$B$8,Nutrients!$K$8,Nutrients!$K$9)*J$7)+(((IF($A$8=Nutrients!$B$79,Nutrients!$K$79,(IF($A$8=Nutrients!$B$77,Nutrients!$K$77,Nutrients!$K$78)))))*J$8))/2000</f>
        <v>3.792400289663433</v>
      </c>
      <c r="K301" s="22">
        <f>(SUMPRODUCT(K$9:K$229,Nutrients!$K$8:$K$228)+(IF($A$7=Nutrients!$B$8,Nutrients!$K$8,Nutrients!$K$9)*K$7)+(((IF($A$8=Nutrients!$B$79,Nutrients!$K$79,(IF($A$8=Nutrients!$B$77,Nutrients!$K$77,Nutrients!$K$78)))))*K$8))/2000</f>
        <v>3.8975528769669689</v>
      </c>
      <c r="L301" s="22">
        <f>(SUMPRODUCT(L$9:L$229,Nutrients!$K$8:$K$228)+(IF($A$7=Nutrients!$B$8,Nutrients!$K$8,Nutrients!$K$9)*L$7)+(((IF($A$8=Nutrients!$B$79,Nutrients!$K$79,(IF($A$8=Nutrients!$B$77,Nutrients!$K$77,Nutrients!$K$78)))))*L$8))/2000</f>
        <v>3.972947157110859</v>
      </c>
      <c r="M301" s="22">
        <f>(SUMPRODUCT(M$9:M$229,Nutrients!$K$8:$K$228)+(IF($A$7=Nutrients!$B$8,Nutrients!$K$8,Nutrients!$K$9)*M$7)+(((IF($A$8=Nutrients!$B$79,Nutrients!$K$79,(IF($A$8=Nutrients!$B$77,Nutrients!$K$77,Nutrients!$K$78)))))*M$8))/2000</f>
        <v>4.0350426378319115</v>
      </c>
      <c r="N301" s="22">
        <f>(SUMPRODUCT(N$9:N$229,Nutrients!$K$8:$K$228)+(IF($A$7=Nutrients!$B$8,Nutrients!$K$8,Nutrients!$K$9)*N$7)+(((IF($A$8=Nutrients!$B$79,Nutrients!$K$79,(IF($A$8=Nutrients!$B$77,Nutrients!$K$77,Nutrients!$K$78)))))*N$8))/2000</f>
        <v>4.0612335527843122</v>
      </c>
      <c r="O301" s="235"/>
      <c r="P301" s="22">
        <f>(SUMPRODUCT(P$9:P$229,Nutrients!$K$8:$K$228)+(IF($A$7=Nutrients!$B$8,Nutrients!$K$8,Nutrients!$K$9)*P$7)+(((IF($A$8=Nutrients!$B$79,Nutrients!$K$79,(IF($A$8=Nutrients!$B$77,Nutrients!$K$77,Nutrients!$K$78)))))*P$8))/2000</f>
        <v>4.5752487345595556</v>
      </c>
      <c r="Q301" s="22">
        <f>(SUMPRODUCT(Q$9:Q$229,Nutrients!$K$8:$K$228)+(IF($A$7=Nutrients!$B$8,Nutrients!$K$8,Nutrients!$K$9)*Q$7)+(((IF($A$8=Nutrients!$B$79,Nutrients!$K$79,(IF($A$8=Nutrients!$B$77,Nutrients!$K$77,Nutrients!$K$78)))))*Q$8))/2000</f>
        <v>4.6982485202031041</v>
      </c>
      <c r="R301" s="22">
        <f>(SUMPRODUCT(R$9:R$229,Nutrients!$K$8:$K$228)+(IF($A$7=Nutrients!$B$8,Nutrients!$K$8,Nutrients!$K$9)*R$7)+(((IF($A$8=Nutrients!$B$79,Nutrients!$K$79,(IF($A$8=Nutrients!$B$77,Nutrients!$K$77,Nutrients!$K$78)))))*R$8))/2000</f>
        <v>4.8060739642680526</v>
      </c>
      <c r="S301" s="22">
        <f>(SUMPRODUCT(S$9:S$229,Nutrients!$K$8:$K$228)+(IF($A$7=Nutrients!$B$8,Nutrients!$K$8,Nutrients!$K$9)*S$7)+(((IF($A$8=Nutrients!$B$79,Nutrients!$K$79,(IF($A$8=Nutrients!$B$77,Nutrients!$K$77,Nutrients!$K$78)))))*S$8))/2000</f>
        <v>4.8804169232959946</v>
      </c>
      <c r="T301" s="22">
        <f>(SUMPRODUCT(T$9:T$229,Nutrients!$K$8:$K$228)+(IF($A$7=Nutrients!$B$8,Nutrients!$K$8,Nutrients!$K$9)*T$7)+(((IF($A$8=Nutrients!$B$79,Nutrients!$K$79,(IF($A$8=Nutrients!$B$77,Nutrients!$K$77,Nutrients!$K$78)))))*T$8))/2000</f>
        <v>4.9415614866287925</v>
      </c>
      <c r="U301" s="22">
        <f>(SUMPRODUCT(U$9:U$229,Nutrients!$K$8:$K$228)+(IF($A$7=Nutrients!$B$8,Nutrients!$K$8,Nutrients!$K$9)*U$7)+(((IF($A$8=Nutrients!$B$79,Nutrients!$K$79,(IF($A$8=Nutrients!$B$77,Nutrients!$K$77,Nutrients!$K$78)))))*U$8))/2000</f>
        <v>4.9676409420532099</v>
      </c>
      <c r="W301" s="22">
        <f>(SUMPRODUCT(W$9:W$229,Nutrients!$K$8:$K$228)+(IF($A$7=Nutrients!$B$8,Nutrients!$K$8,Nutrients!$K$9)*W$7)+(((IF($A$8=Nutrients!$B$79,Nutrients!$K$79,(IF($A$8=Nutrients!$B$77,Nutrients!$K$77,Nutrients!$K$78)))))*W$8))/2000</f>
        <v>5.4807232534556682</v>
      </c>
      <c r="X301" s="22">
        <f>(SUMPRODUCT(X$9:X$229,Nutrients!$K$8:$K$228)+(IF($A$7=Nutrients!$B$8,Nutrients!$K$8,Nutrients!$K$9)*X$7)+(((IF($A$8=Nutrients!$B$79,Nutrients!$K$79,(IF($A$8=Nutrients!$B$77,Nutrients!$K$77,Nutrients!$K$78)))))*X$8))/2000</f>
        <v>5.6057735998635767</v>
      </c>
      <c r="Y301" s="22">
        <f>(SUMPRODUCT(Y$9:Y$229,Nutrients!$K$8:$K$228)+(IF($A$7=Nutrients!$B$8,Nutrients!$K$8,Nutrients!$K$9)*Y$7)+(((IF($A$8=Nutrients!$B$79,Nutrients!$K$79,(IF($A$8=Nutrients!$B$77,Nutrients!$K$77,Nutrients!$K$78)))))*Y$8))/2000</f>
        <v>5.7125326290062963</v>
      </c>
      <c r="Z301" s="22">
        <f>(SUMPRODUCT(Z$9:Z$229,Nutrients!$K$8:$K$228)+(IF($A$7=Nutrients!$B$8,Nutrients!$K$8,Nutrients!$K$9)*Z$7)+(((IF($A$8=Nutrients!$B$79,Nutrients!$K$79,(IF($A$8=Nutrients!$B$77,Nutrients!$K$77,Nutrients!$K$78)))))*Z$8))/2000</f>
        <v>5.7892527689027142</v>
      </c>
      <c r="AA301" s="22">
        <f>(SUMPRODUCT(AA$9:AA$229,Nutrients!$K$8:$K$228)+(IF($A$7=Nutrients!$B$8,Nutrients!$K$8,Nutrients!$K$9)*AA$7)+(((IF($A$8=Nutrients!$B$79,Nutrients!$K$79,(IF($A$8=Nutrients!$B$77,Nutrients!$K$77,Nutrients!$K$78)))))*AA$8))/2000</f>
        <v>5.8486380163695797</v>
      </c>
      <c r="AB301" s="22">
        <f>(SUMPRODUCT(AB$9:AB$229,Nutrients!$K$8:$K$228)+(IF($A$7=Nutrients!$B$8,Nutrients!$K$8,Nutrients!$K$9)*AB$7)+(((IF($A$8=Nutrients!$B$79,Nutrients!$K$79,(IF($A$8=Nutrients!$B$77,Nutrients!$K$77,Nutrients!$K$78)))))*AB$8))/2000</f>
        <v>5.8860086875794426</v>
      </c>
      <c r="AD301" s="22">
        <f>(SUMPRODUCT(AD$9:AD$229,Nutrients!$K$8:$K$228)+(IF($A$7=Nutrients!$B$8,Nutrients!$K$8,Nutrients!$K$9)*AD$7)+(((IF($A$8=Nutrients!$B$79,Nutrients!$K$79,(IF($A$8=Nutrients!$B$77,Nutrients!$K$77,Nutrients!$K$78)))))*AD$8))/2000</f>
        <v>6.3888824866548513</v>
      </c>
      <c r="AE301" s="22">
        <f>(SUMPRODUCT(AE$9:AE$229,Nutrients!$K$8:$K$228)+(IF($A$7=Nutrients!$B$8,Nutrients!$K$8,Nutrients!$K$9)*AE$7)+(((IF($A$8=Nutrients!$B$79,Nutrients!$K$79,(IF($A$8=Nutrients!$B$77,Nutrients!$K$77,Nutrients!$K$78)))))*AE$8))/2000</f>
        <v>6.5131769767994037</v>
      </c>
      <c r="AF301" s="22">
        <f>(SUMPRODUCT(AF$9:AF$229,Nutrients!$K$8:$K$228)+(IF($A$7=Nutrients!$B$8,Nutrients!$K$8,Nutrients!$K$9)*AF$7)+(((IF($A$8=Nutrients!$B$79,Nutrients!$K$79,(IF($A$8=Nutrients!$B$77,Nutrients!$K$77,Nutrients!$K$78)))))*AF$8))/2000</f>
        <v>6.6235904113595403</v>
      </c>
      <c r="AG301" s="22">
        <f>(SUMPRODUCT(AG$9:AG$229,Nutrients!$K$8:$K$228)+(IF($A$7=Nutrients!$B$8,Nutrients!$K$8,Nutrients!$K$9)*AG$7)+(((IF($A$8=Nutrients!$B$79,Nutrients!$K$79,(IF($A$8=Nutrients!$B$77,Nutrients!$K$77,Nutrients!$K$78)))))*AG$8))/2000</f>
        <v>6.6982480806140074</v>
      </c>
      <c r="AH301" s="22">
        <f>(SUMPRODUCT(AH$9:AH$229,Nutrients!$K$8:$K$228)+(IF($A$7=Nutrients!$B$8,Nutrients!$K$8,Nutrients!$K$9)*AH$7)+(((IF($A$8=Nutrients!$B$79,Nutrients!$K$79,(IF($A$8=Nutrients!$B$77,Nutrients!$K$77,Nutrients!$K$78)))))*AH$8))/2000</f>
        <v>6.7873461210862658</v>
      </c>
      <c r="AI301" s="22">
        <f>(SUMPRODUCT(AI$9:AI$229,Nutrients!$K$8:$K$228)+(IF($A$7=Nutrients!$B$8,Nutrients!$K$8,Nutrients!$K$9)*AI$7)+(((IF($A$8=Nutrients!$B$79,Nutrients!$K$79,(IF($A$8=Nutrients!$B$77,Nutrients!$K$77,Nutrients!$K$78)))))*AI$8))/2000</f>
        <v>6.8402179897473561</v>
      </c>
      <c r="AK301" s="22">
        <f>(SUMPRODUCT(AK$9:AK$229,Nutrients!$K$8:$K$228)+(IF($A$7=Nutrients!$B$8,Nutrients!$K$8,Nutrients!$K$9)*AK$7)+(((IF($A$8=Nutrients!$B$79,Nutrients!$K$79,(IF($A$8=Nutrients!$B$77,Nutrients!$K$77,Nutrients!$K$78)))))*AK$8))/2000</f>
        <v>7.3095574628317488</v>
      </c>
      <c r="AL301" s="22">
        <f>(SUMPRODUCT(AL$9:AL$229,Nutrients!$K$8:$K$228)+(IF($A$7=Nutrients!$B$8,Nutrients!$K$8,Nutrients!$K$9)*AL$7)+(((IF($A$8=Nutrients!$B$79,Nutrients!$K$79,(IF($A$8=Nutrients!$B$77,Nutrients!$K$77,Nutrients!$K$78)))))*AL$8))/2000</f>
        <v>7.4208878184611544</v>
      </c>
      <c r="AM301" s="22">
        <f>(SUMPRODUCT(AM$9:AM$229,Nutrients!$K$8:$K$228)+(IF($A$7=Nutrients!$B$8,Nutrients!$K$8,Nutrients!$K$9)*AM$7)+(((IF($A$8=Nutrients!$B$79,Nutrients!$K$79,(IF($A$8=Nutrients!$B$77,Nutrients!$K$77,Nutrients!$K$78)))))*AM$8))/2000</f>
        <v>7.5299592867460463</v>
      </c>
      <c r="AN301" s="22">
        <f>(SUMPRODUCT(AN$9:AN$229,Nutrients!$K$8:$K$228)+(IF($A$7=Nutrients!$B$8,Nutrients!$K$8,Nutrients!$K$9)*AN$7)+(((IF($A$8=Nutrients!$B$79,Nutrients!$K$79,(IF($A$8=Nutrients!$B$77,Nutrients!$K$77,Nutrients!$K$78)))))*AN$8))/2000</f>
        <v>7.6282383083872691</v>
      </c>
      <c r="AO301" s="22">
        <f>(SUMPRODUCT(AO$9:AO$229,Nutrients!$K$8:$K$228)+(IF($A$7=Nutrients!$B$8,Nutrients!$K$8,Nutrients!$K$9)*AO$7)+(((IF($A$8=Nutrients!$B$79,Nutrients!$K$79,(IF($A$8=Nutrients!$B$77,Nutrients!$K$77,Nutrients!$K$78)))))*AO$8))/2000</f>
        <v>7.7409126362231016</v>
      </c>
      <c r="AP301" s="22">
        <f>(SUMPRODUCT(AP$9:AP$229,Nutrients!$K$8:$K$228)+(IF($A$7=Nutrients!$B$8,Nutrients!$K$8,Nutrients!$K$9)*AP$7)+(((IF($A$8=Nutrients!$B$79,Nutrients!$K$79,(IF($A$8=Nutrients!$B$77,Nutrients!$K$77,Nutrients!$K$78)))))*AP$8))/2000</f>
        <v>7.7945583511233254</v>
      </c>
      <c r="AR301" s="22">
        <f>(SUMPRODUCT(AR$9:AR$229,Nutrients!$K$8:$K$228)+(IF($A$7=Nutrients!$B$8,Nutrients!$K$8,Nutrients!$K$9)*AR$7)+(((IF($A$8=Nutrients!$B$79,Nutrients!$K$79,(IF($A$8=Nutrients!$B$77,Nutrients!$K$77,Nutrients!$K$78)))))*AR$8))/2000</f>
        <v>8.2126495220058491</v>
      </c>
      <c r="AS301" s="22">
        <f>(SUMPRODUCT(AS$9:AS$229,Nutrients!$K$8:$K$228)+(IF($A$7=Nutrients!$B$8,Nutrients!$K$8,Nutrients!$K$9)*AS$7)+(((IF($A$8=Nutrients!$B$79,Nutrients!$K$79,(IF($A$8=Nutrients!$B$77,Nutrients!$K$77,Nutrients!$K$78)))))*AS$8))/2000</f>
        <v>8.3291964730234405</v>
      </c>
      <c r="AT301" s="22">
        <f>(SUMPRODUCT(AT$9:AT$229,Nutrients!$K$8:$K$228)+(IF($A$7=Nutrients!$B$8,Nutrients!$K$8,Nutrients!$K$9)*AT$7)+(((IF($A$8=Nutrients!$B$79,Nutrients!$K$79,(IF($A$8=Nutrients!$B$77,Nutrients!$K$77,Nutrients!$K$78)))))*AT$8))/2000</f>
        <v>8.4367691585733695</v>
      </c>
      <c r="AU301" s="22">
        <f>(SUMPRODUCT(AU$9:AU$229,Nutrients!$K$8:$K$228)+(IF($A$7=Nutrients!$B$8,Nutrients!$K$8,Nutrients!$K$9)*AU$7)+(((IF($A$8=Nutrients!$B$79,Nutrients!$K$79,(IF($A$8=Nutrients!$B$77,Nutrients!$K$77,Nutrients!$K$78)))))*AU$8))/2000</f>
        <v>8.5810738429376237</v>
      </c>
      <c r="AV301" s="22">
        <f>(SUMPRODUCT(AV$9:AV$229,Nutrients!$K$8:$K$228)+(IF($A$7=Nutrients!$B$8,Nutrients!$K$8,Nutrients!$K$9)*AV$7)+(((IF($A$8=Nutrients!$B$79,Nutrients!$K$79,(IF($A$8=Nutrients!$B$77,Nutrients!$K$77,Nutrients!$K$78)))))*AV$8))/2000</f>
        <v>8.6946169116219973</v>
      </c>
      <c r="AW301" s="22">
        <f>(SUMPRODUCT(AW$9:AW$229,Nutrients!$K$8:$K$228)+(IF($A$7=Nutrients!$B$8,Nutrients!$K$8,Nutrients!$K$9)*AW$7)+(((IF($A$8=Nutrients!$B$79,Nutrients!$K$79,(IF($A$8=Nutrients!$B$77,Nutrients!$K$77,Nutrients!$K$78)))))*AW$8))/2000</f>
        <v>8.7490384212752783</v>
      </c>
    </row>
    <row r="302" spans="1:49" x14ac:dyDescent="0.25">
      <c r="A302" t="s">
        <v>53</v>
      </c>
      <c r="B302" s="22">
        <f>(SUMPRODUCT(B$9:B$229,Nutrients!$J$8:$J$228)+(IF($A$7=Nutrients!$B$8,Nutrients!$J$8,Nutrients!$J$9)*B$7)+(((IF($A$8=Nutrients!$B$79,Nutrients!$J$79,(IF($A$8=Nutrients!$B$77,Nutrients!$J$77,Nutrients!$J$78)))))*B$8))/2000</f>
        <v>2.513641643841301</v>
      </c>
      <c r="C302" s="22">
        <f>(SUMPRODUCT(C$9:C$229,Nutrients!$J$8:$J$228)+(IF($A$7=Nutrients!$B$8,Nutrients!$J$8,Nutrients!$J$9)*C$7)+(((IF($A$8=Nutrients!$B$79,Nutrients!$J$79,(IF($A$8=Nutrients!$B$77,Nutrients!$J$77,Nutrients!$J$78)))))*C$8))/2000</f>
        <v>2.4130399696967721</v>
      </c>
      <c r="D302" s="22">
        <f>(SUMPRODUCT(D$9:D$229,Nutrients!$J$8:$J$228)+(IF($A$7=Nutrients!$B$8,Nutrients!$J$8,Nutrients!$J$9)*D$7)+(((IF($A$8=Nutrients!$B$79,Nutrients!$J$79,(IF($A$8=Nutrients!$B$77,Nutrients!$J$77,Nutrients!$J$78)))))*D$8))/2000</f>
        <v>2.3268016052434768</v>
      </c>
      <c r="E302" s="22">
        <f>(SUMPRODUCT(E$9:E$229,Nutrients!$J$8:$J$228)+(IF($A$7=Nutrients!$B$8,Nutrients!$J$8,Nutrients!$J$9)*E$7)+(((IF($A$8=Nutrients!$B$79,Nutrients!$J$79,(IF($A$8=Nutrients!$B$77,Nutrients!$J$77,Nutrients!$J$78)))))*E$8))/2000</f>
        <v>2.2539022615675171</v>
      </c>
      <c r="F302" s="22">
        <f>(SUMPRODUCT(F$9:F$229,Nutrients!$J$8:$J$228)+(IF($A$7=Nutrients!$B$8,Nutrients!$J$8,Nutrients!$J$9)*F$7)+(((IF($A$8=Nutrients!$B$79,Nutrients!$J$79,(IF($A$8=Nutrients!$B$77,Nutrients!$J$77,Nutrients!$J$78)))))*F$8))/2000</f>
        <v>2.2063713720102678</v>
      </c>
      <c r="G302" s="22">
        <f>(SUMPRODUCT(G$9:G$229,Nutrients!$J$8:$J$228)+(IF($A$7=Nutrients!$B$8,Nutrients!$J$8,Nutrients!$J$9)*G$7)+(((IF($A$8=Nutrients!$B$79,Nutrients!$J$79,(IF($A$8=Nutrients!$B$77,Nutrients!$J$77,Nutrients!$J$78)))))*G$8))/2000</f>
        <v>2.1815237128108387</v>
      </c>
      <c r="H302" s="228"/>
      <c r="I302" s="22">
        <f>(SUMPRODUCT(I$9:I$229,Nutrients!$J$8:$J$228)+(IF($A$7=Nutrients!$B$8,Nutrients!$J$8,Nutrients!$J$9)*I$7)+(((IF($A$8=Nutrients!$B$79,Nutrients!$J$79,(IF($A$8=Nutrients!$B$77,Nutrients!$J$77,Nutrients!$J$78)))))*I$8))/2000</f>
        <v>2.7578601504386424</v>
      </c>
      <c r="J302" s="22">
        <f>(SUMPRODUCT(J$9:J$229,Nutrients!$J$8:$J$228)+(IF($A$7=Nutrients!$B$8,Nutrients!$J$8,Nutrients!$J$9)*J$7)+(((IF($A$8=Nutrients!$B$79,Nutrients!$J$79,(IF($A$8=Nutrients!$B$77,Nutrients!$J$77,Nutrients!$J$78)))))*J$8))/2000</f>
        <v>2.6571364620412314</v>
      </c>
      <c r="K302" s="22">
        <f>(SUMPRODUCT(K$9:K$229,Nutrients!$J$8:$J$228)+(IF($A$7=Nutrients!$B$8,Nutrients!$J$8,Nutrients!$J$9)*K$7)+(((IF($A$8=Nutrients!$B$79,Nutrients!$J$79,(IF($A$8=Nutrients!$B$77,Nutrients!$J$77,Nutrients!$J$78)))))*K$8))/2000</f>
        <v>2.5711183267223752</v>
      </c>
      <c r="L302" s="22">
        <f>(SUMPRODUCT(L$9:L$229,Nutrients!$J$8:$J$228)+(IF($A$7=Nutrients!$B$8,Nutrients!$J$8,Nutrients!$J$9)*L$7)+(((IF($A$8=Nutrients!$B$79,Nutrients!$J$79,(IF($A$8=Nutrients!$B$77,Nutrients!$J$77,Nutrients!$J$78)))))*L$8))/2000</f>
        <v>2.4985450150950168</v>
      </c>
      <c r="M302" s="22">
        <f>(SUMPRODUCT(M$9:M$229,Nutrients!$J$8:$J$228)+(IF($A$7=Nutrients!$B$8,Nutrients!$J$8,Nutrients!$J$9)*M$7)+(((IF($A$8=Nutrients!$B$79,Nutrients!$J$79,(IF($A$8=Nutrients!$B$77,Nutrients!$J$77,Nutrients!$J$78)))))*M$8))/2000</f>
        <v>2.4507798641422696</v>
      </c>
      <c r="N302" s="22">
        <f>(SUMPRODUCT(N$9:N$229,Nutrients!$J$8:$J$228)+(IF($A$7=Nutrients!$B$8,Nutrients!$J$8,Nutrients!$J$9)*N$7)+(((IF($A$8=Nutrients!$B$79,Nutrients!$J$79,(IF($A$8=Nutrients!$B$77,Nutrients!$J$77,Nutrients!$J$78)))))*N$8))/2000</f>
        <v>2.4260926804995271</v>
      </c>
      <c r="O302" s="235"/>
      <c r="P302" s="22">
        <f>(SUMPRODUCT(P$9:P$229,Nutrients!$J$8:$J$228)+(IF($A$7=Nutrients!$B$8,Nutrients!$J$8,Nutrients!$J$9)*P$7)+(((IF($A$8=Nutrients!$B$79,Nutrients!$J$79,(IF($A$8=Nutrients!$B$77,Nutrients!$J$77,Nutrients!$J$78)))))*P$8))/2000</f>
        <v>3.0020602965609049</v>
      </c>
      <c r="Q302" s="22">
        <f>(SUMPRODUCT(Q$9:Q$229,Nutrients!$J$8:$J$228)+(IF($A$7=Nutrients!$B$8,Nutrients!$J$8,Nutrients!$J$9)*Q$7)+(((IF($A$8=Nutrients!$B$79,Nutrients!$J$79,(IF($A$8=Nutrients!$B$77,Nutrients!$J$77,Nutrients!$J$78)))))*Q$8))/2000</f>
        <v>2.9013017930651079</v>
      </c>
      <c r="R302" s="22">
        <f>(SUMPRODUCT(R$9:R$229,Nutrients!$J$8:$J$228)+(IF($A$7=Nutrients!$B$8,Nutrients!$J$8,Nutrients!$J$9)*R$7)+(((IF($A$8=Nutrients!$B$79,Nutrients!$J$79,(IF($A$8=Nutrients!$B$77,Nutrients!$J$77,Nutrients!$J$78)))))*R$8))/2000</f>
        <v>2.8152311080261985</v>
      </c>
      <c r="S302" s="22">
        <f>(SUMPRODUCT(S$9:S$229,Nutrients!$J$8:$J$228)+(IF($A$7=Nutrients!$B$8,Nutrients!$J$8,Nutrients!$J$9)*S$7)+(((IF($A$8=Nutrients!$B$79,Nutrients!$J$79,(IF($A$8=Nutrients!$B$77,Nutrients!$J$77,Nutrients!$J$78)))))*S$8))/2000</f>
        <v>2.7426784659053878</v>
      </c>
      <c r="T302" s="22">
        <f>(SUMPRODUCT(T$9:T$229,Nutrients!$J$8:$J$228)+(IF($A$7=Nutrients!$B$8,Nutrients!$J$8,Nutrients!$J$9)*T$7)+(((IF($A$8=Nutrients!$B$79,Nutrients!$J$79,(IF($A$8=Nutrients!$B$77,Nutrients!$J$77,Nutrients!$J$78)))))*T$8))/2000</f>
        <v>2.694861775693663</v>
      </c>
      <c r="U302" s="22">
        <f>(SUMPRODUCT(U$9:U$229,Nutrients!$J$8:$J$228)+(IF($A$7=Nutrients!$B$8,Nutrients!$J$8,Nutrients!$J$9)*U$7)+(((IF($A$8=Nutrients!$B$79,Nutrients!$J$79,(IF($A$8=Nutrients!$B$77,Nutrients!$J$77,Nutrients!$J$78)))))*U$8))/2000</f>
        <v>2.6701210712352967</v>
      </c>
      <c r="W302" s="22">
        <f>(SUMPRODUCT(W$9:W$229,Nutrients!$J$8:$J$228)+(IF($A$7=Nutrients!$B$8,Nutrients!$J$8,Nutrients!$J$9)*W$7)+(((IF($A$8=Nutrients!$B$79,Nutrients!$J$79,(IF($A$8=Nutrients!$B$77,Nutrients!$J$77,Nutrients!$J$78)))))*W$8))/2000</f>
        <v>3.2462329749453041</v>
      </c>
      <c r="X302" s="22">
        <f>(SUMPRODUCT(X$9:X$229,Nutrients!$J$8:$J$228)+(IF($A$7=Nutrients!$B$8,Nutrients!$J$8,Nutrients!$J$9)*X$7)+(((IF($A$8=Nutrients!$B$79,Nutrients!$J$79,(IF($A$8=Nutrients!$B$77,Nutrients!$J$77,Nutrients!$J$78)))))*X$8))/2000</f>
        <v>3.1454341563844892</v>
      </c>
      <c r="Y302" s="22">
        <f>(SUMPRODUCT(Y$9:Y$229,Nutrients!$J$8:$J$228)+(IF($A$7=Nutrients!$B$8,Nutrients!$J$8,Nutrients!$J$9)*Y$7)+(((IF($A$8=Nutrients!$B$79,Nutrients!$J$79,(IF($A$8=Nutrients!$B$77,Nutrients!$J$77,Nutrients!$J$78)))))*Y$8))/2000</f>
        <v>3.059422578988312</v>
      </c>
      <c r="Z302" s="22">
        <f>(SUMPRODUCT(Z$9:Z$229,Nutrients!$J$8:$J$228)+(IF($A$7=Nutrients!$B$8,Nutrients!$J$8,Nutrients!$J$9)*Z$7)+(((IF($A$8=Nutrients!$B$79,Nutrients!$J$79,(IF($A$8=Nutrients!$B$77,Nutrients!$J$77,Nutrients!$J$78)))))*Z$8))/2000</f>
        <v>2.9869082988017697</v>
      </c>
      <c r="AA302" s="22">
        <f>(SUMPRODUCT(AA$9:AA$229,Nutrients!$J$8:$J$228)+(IF($A$7=Nutrients!$B$8,Nutrients!$J$8,Nutrients!$J$9)*AA$7)+(((IF($A$8=Nutrients!$B$79,Nutrients!$J$79,(IF($A$8=Nutrients!$B$77,Nutrients!$J$77,Nutrients!$J$78)))))*AA$8))/2000</f>
        <v>2.9388789982330858</v>
      </c>
      <c r="AB302" s="22">
        <f>(SUMPRODUCT(AB$9:AB$229,Nutrients!$J$8:$J$228)+(IF($A$7=Nutrients!$B$8,Nutrients!$J$8,Nutrients!$J$9)*AB$7)+(((IF($A$8=Nutrients!$B$79,Nutrients!$J$79,(IF($A$8=Nutrients!$B$77,Nutrients!$J$77,Nutrients!$J$78)))))*AB$8))/2000</f>
        <v>2.9134095655385197</v>
      </c>
      <c r="AD302" s="22">
        <f>(SUMPRODUCT(AD$9:AD$229,Nutrients!$J$8:$J$228)+(IF($A$7=Nutrients!$B$8,Nutrients!$J$8,Nutrients!$J$9)*AD$7)+(((IF($A$8=Nutrients!$B$79,Nutrients!$J$79,(IF($A$8=Nutrients!$B$77,Nutrients!$J$77,Nutrients!$J$78)))))*AD$8))/2000</f>
        <v>3.4903719411765124</v>
      </c>
      <c r="AE302" s="22">
        <f>(SUMPRODUCT(AE$9:AE$229,Nutrients!$J$8:$J$228)+(IF($A$7=Nutrients!$B$8,Nutrients!$J$8,Nutrients!$J$9)*AE$7)+(((IF($A$8=Nutrients!$B$79,Nutrients!$J$79,(IF($A$8=Nutrients!$B$77,Nutrients!$J$77,Nutrients!$J$78)))))*AE$8))/2000</f>
        <v>3.3895879831333326</v>
      </c>
      <c r="AF302" s="22">
        <f>(SUMPRODUCT(AF$9:AF$229,Nutrients!$J$8:$J$228)+(IF($A$7=Nutrients!$B$8,Nutrients!$J$8,Nutrients!$J$9)*AF$7)+(((IF($A$8=Nutrients!$B$79,Nutrients!$J$79,(IF($A$8=Nutrients!$B$77,Nutrients!$J$77,Nutrients!$J$78)))))*AF$8))/2000</f>
        <v>3.3037000077881928</v>
      </c>
      <c r="AG302" s="22">
        <f>(SUMPRODUCT(AG$9:AG$229,Nutrients!$J$8:$J$228)+(IF($A$7=Nutrients!$B$8,Nutrients!$J$8,Nutrients!$J$9)*AG$7)+(((IF($A$8=Nutrients!$B$79,Nutrients!$J$79,(IF($A$8=Nutrients!$B$77,Nutrients!$J$77,Nutrients!$J$78)))))*AG$8))/2000</f>
        <v>3.2308687264219733</v>
      </c>
      <c r="AH302" s="22">
        <f>(SUMPRODUCT(AH$9:AH$229,Nutrients!$J$8:$J$228)+(IF($A$7=Nutrients!$B$8,Nutrients!$J$8,Nutrients!$J$9)*AH$7)+(((IF($A$8=Nutrients!$B$79,Nutrients!$J$79,(IF($A$8=Nutrients!$B$77,Nutrients!$J$77,Nutrients!$J$78)))))*AH$8))/2000</f>
        <v>3.1807613435486108</v>
      </c>
      <c r="AI302" s="22">
        <f>(SUMPRODUCT(AI$9:AI$229,Nutrients!$J$8:$J$228)+(IF($A$7=Nutrients!$B$8,Nutrients!$J$8,Nutrients!$J$9)*AI$7)+(((IF($A$8=Nutrients!$B$79,Nutrients!$J$79,(IF($A$8=Nutrients!$B$77,Nutrients!$J$77,Nutrients!$J$78)))))*AI$8))/2000</f>
        <v>3.1545597871703652</v>
      </c>
      <c r="AK302" s="22">
        <f>(SUMPRODUCT(AK$9:AK$229,Nutrients!$J$8:$J$228)+(IF($A$7=Nutrients!$B$8,Nutrients!$J$8,Nutrients!$J$9)*AK$7)+(((IF($A$8=Nutrients!$B$79,Nutrients!$J$79,(IF($A$8=Nutrients!$B$77,Nutrients!$J$77,Nutrients!$J$78)))))*AK$8))/2000</f>
        <v>3.7342743768967552</v>
      </c>
      <c r="AL302" s="22">
        <f>(SUMPRODUCT(AL$9:AL$229,Nutrients!$J$8:$J$228)+(IF($A$7=Nutrients!$B$8,Nutrients!$J$8,Nutrients!$J$9)*AL$7)+(((IF($A$8=Nutrients!$B$79,Nutrients!$J$79,(IF($A$8=Nutrients!$B$77,Nutrients!$J$77,Nutrients!$J$78)))))*AL$8))/2000</f>
        <v>3.6337453003157409</v>
      </c>
      <c r="AM302" s="22">
        <f>(SUMPRODUCT(AM$9:AM$229,Nutrients!$J$8:$J$228)+(IF($A$7=Nutrients!$B$8,Nutrients!$J$8,Nutrients!$J$9)*AM$7)+(((IF($A$8=Nutrients!$B$79,Nutrients!$J$79,(IF($A$8=Nutrients!$B$77,Nutrients!$J$77,Nutrients!$J$78)))))*AM$8))/2000</f>
        <v>3.5477216078251881</v>
      </c>
      <c r="AN302" s="22">
        <f>(SUMPRODUCT(AN$9:AN$229,Nutrients!$J$8:$J$228)+(IF($A$7=Nutrients!$B$8,Nutrients!$J$8,Nutrients!$J$9)*AN$7)+(((IF($A$8=Nutrients!$B$79,Nutrients!$J$79,(IF($A$8=Nutrients!$B$77,Nutrients!$J$77,Nutrients!$J$78)))))*AN$8))/2000</f>
        <v>3.4729928433065824</v>
      </c>
      <c r="AO302" s="22">
        <f>(SUMPRODUCT(AO$9:AO$229,Nutrients!$J$8:$J$228)+(IF($A$7=Nutrients!$B$8,Nutrients!$J$8,Nutrients!$J$9)*AO$7)+(((IF($A$8=Nutrients!$B$79,Nutrients!$J$79,(IF($A$8=Nutrients!$B$77,Nutrients!$J$77,Nutrients!$J$78)))))*AO$8))/2000</f>
        <v>3.4221048480782179</v>
      </c>
      <c r="AP302" s="22">
        <f>(SUMPRODUCT(AP$9:AP$229,Nutrients!$J$8:$J$228)+(IF($A$7=Nutrients!$B$8,Nutrients!$J$8,Nutrients!$J$9)*AP$7)+(((IF($A$8=Nutrients!$B$79,Nutrients!$J$79,(IF($A$8=Nutrients!$B$77,Nutrients!$J$77,Nutrients!$J$78)))))*AP$8))/2000</f>
        <v>3.3958874780074715</v>
      </c>
      <c r="AR302" s="22">
        <f>(SUMPRODUCT(AR$9:AR$229,Nutrients!$J$8:$J$228)+(IF($A$7=Nutrients!$B$8,Nutrients!$J$8,Nutrients!$J$9)*AR$7)+(((IF($A$8=Nutrients!$B$79,Nutrients!$J$79,(IF($A$8=Nutrients!$B$77,Nutrients!$J$77,Nutrients!$J$78)))))*AR$8))/2000</f>
        <v>3.9785323330150946</v>
      </c>
      <c r="AS302" s="22">
        <f>(SUMPRODUCT(AS$9:AS$229,Nutrients!$J$8:$J$228)+(IF($A$7=Nutrients!$B$8,Nutrients!$J$8,Nutrients!$J$9)*AS$7)+(((IF($A$8=Nutrients!$B$79,Nutrients!$J$79,(IF($A$8=Nutrients!$B$77,Nutrients!$J$77,Nutrients!$J$78)))))*AS$8))/2000</f>
        <v>3.8779006941210472</v>
      </c>
      <c r="AT302" s="22">
        <f>(SUMPRODUCT(AT$9:AT$229,Nutrients!$J$8:$J$228)+(IF($A$7=Nutrients!$B$8,Nutrients!$J$8,Nutrients!$J$9)*AT$7)+(((IF($A$8=Nutrients!$B$79,Nutrients!$J$79,(IF($A$8=Nutrients!$B$77,Nutrients!$J$77,Nutrients!$J$78)))))*AT$8))/2000</f>
        <v>3.7912632485459445</v>
      </c>
      <c r="AU302" s="22">
        <f>(SUMPRODUCT(AU$9:AU$229,Nutrients!$J$8:$J$228)+(IF($A$7=Nutrients!$B$8,Nutrients!$J$8,Nutrients!$J$9)*AU$7)+(((IF($A$8=Nutrients!$B$79,Nutrients!$J$79,(IF($A$8=Nutrients!$B$77,Nutrients!$J$77,Nutrients!$J$78)))))*AU$8))/2000</f>
        <v>3.7143435414547894</v>
      </c>
      <c r="AV302" s="22">
        <f>(SUMPRODUCT(AV$9:AV$229,Nutrients!$J$8:$J$228)+(IF($A$7=Nutrients!$B$8,Nutrients!$J$8,Nutrients!$J$9)*AV$7)+(((IF($A$8=Nutrients!$B$79,Nutrients!$J$79,(IF($A$8=Nutrients!$B$77,Nutrients!$J$77,Nutrients!$J$78)))))*AV$8))/2000</f>
        <v>3.6634096096781814</v>
      </c>
      <c r="AW302" s="22">
        <f>(SUMPRODUCT(AW$9:AW$229,Nutrients!$J$8:$J$228)+(IF($A$7=Nutrients!$B$8,Nutrients!$J$8,Nutrients!$J$9)*AW$7)+(((IF($A$8=Nutrients!$B$79,Nutrients!$J$79,(IF($A$8=Nutrients!$B$77,Nutrients!$J$77,Nutrients!$J$78)))))*AW$8))/2000</f>
        <v>3.6371781630059496</v>
      </c>
    </row>
    <row r="303" spans="1:49" x14ac:dyDescent="0.25">
      <c r="A303" t="s">
        <v>54</v>
      </c>
      <c r="B303" s="22">
        <f>(SUMPRODUCT(B$9:B$229,Nutrients!$ED$8:$ED$228)+(IF($A$7=Nutrients!$B$8,Nutrients!$ED$8,Nutrients!$ED$9)*B$7)+(((IF($A$8=Nutrients!$B$79,Nutrients!$ED$79,(IF($A$8=Nutrients!$B$77,Nutrients!$ED$77,Nutrients!$ED$78)))))*B$8))/2000</f>
        <v>0</v>
      </c>
      <c r="C303" s="22">
        <f>(SUMPRODUCT(C$9:C$229,Nutrients!$ED$8:$ED$228)+(IF($A$7=Nutrients!$B$8,Nutrients!$ED$8,Nutrients!$ED$9)*C$7)+(((IF($A$8=Nutrients!$B$79,Nutrients!$ED$79,(IF($A$8=Nutrients!$B$77,Nutrients!$ED$77,Nutrients!$ED$78)))))*C$8))/2000</f>
        <v>0</v>
      </c>
      <c r="D303" s="22">
        <f>(SUMPRODUCT(D$9:D$229,Nutrients!$ED$8:$ED$228)+(IF($A$7=Nutrients!$B$8,Nutrients!$ED$8,Nutrients!$ED$9)*D$7)+(((IF($A$8=Nutrients!$B$79,Nutrients!$ED$79,(IF($A$8=Nutrients!$B$77,Nutrients!$ED$77,Nutrients!$ED$78)))))*D$8))/2000</f>
        <v>0</v>
      </c>
      <c r="E303" s="22">
        <f>(SUMPRODUCT(E$9:E$229,Nutrients!$ED$8:$ED$228)+(IF($A$7=Nutrients!$B$8,Nutrients!$ED$8,Nutrients!$ED$9)*E$7)+(((IF($A$8=Nutrients!$B$79,Nutrients!$ED$79,(IF($A$8=Nutrients!$B$77,Nutrients!$ED$77,Nutrients!$ED$78)))))*E$8))/2000</f>
        <v>0</v>
      </c>
      <c r="F303" s="22">
        <f>(SUMPRODUCT(F$9:F$229,Nutrients!$ED$8:$ED$228)+(IF($A$7=Nutrients!$B$8,Nutrients!$ED$8,Nutrients!$ED$9)*F$7)+(((IF($A$8=Nutrients!$B$79,Nutrients!$ED$79,(IF($A$8=Nutrients!$B$77,Nutrients!$ED$77,Nutrients!$ED$78)))))*F$8))/2000</f>
        <v>0</v>
      </c>
      <c r="G303" s="22">
        <f>(SUMPRODUCT(G$9:G$229,Nutrients!$ED$8:$ED$228)+(IF($A$7=Nutrients!$B$8,Nutrients!$ED$8,Nutrients!$ED$9)*G$7)+(((IF($A$8=Nutrients!$B$79,Nutrients!$ED$79,(IF($A$8=Nutrients!$B$77,Nutrients!$ED$77,Nutrients!$ED$78)))))*G$8))/2000</f>
        <v>0</v>
      </c>
      <c r="H303" s="228"/>
      <c r="I303" s="22">
        <f>(SUMPRODUCT(I$9:I$229,Nutrients!$ED$8:$ED$228)+(IF($A$7=Nutrients!$B$8,Nutrients!$ED$8,Nutrients!$ED$9)*I$7)+(((IF($A$8=Nutrients!$B$79,Nutrients!$ED$79,(IF($A$8=Nutrients!$B$77,Nutrients!$ED$77,Nutrients!$ED$78)))))*I$8))/2000</f>
        <v>0</v>
      </c>
      <c r="J303" s="22">
        <f>(SUMPRODUCT(J$9:J$229,Nutrients!$ED$8:$ED$228)+(IF($A$7=Nutrients!$B$8,Nutrients!$ED$8,Nutrients!$ED$9)*J$7)+(((IF($A$8=Nutrients!$B$79,Nutrients!$ED$79,(IF($A$8=Nutrients!$B$77,Nutrients!$ED$77,Nutrients!$ED$78)))))*J$8))/2000</f>
        <v>0</v>
      </c>
      <c r="K303" s="22">
        <f>(SUMPRODUCT(K$9:K$229,Nutrients!$ED$8:$ED$228)+(IF($A$7=Nutrients!$B$8,Nutrients!$ED$8,Nutrients!$ED$9)*K$7)+(((IF($A$8=Nutrients!$B$79,Nutrients!$ED$79,(IF($A$8=Nutrients!$B$77,Nutrients!$ED$77,Nutrients!$ED$78)))))*K$8))/2000</f>
        <v>0</v>
      </c>
      <c r="L303" s="22">
        <f>(SUMPRODUCT(L$9:L$229,Nutrients!$ED$8:$ED$228)+(IF($A$7=Nutrients!$B$8,Nutrients!$ED$8,Nutrients!$ED$9)*L$7)+(((IF($A$8=Nutrients!$B$79,Nutrients!$ED$79,(IF($A$8=Nutrients!$B$77,Nutrients!$ED$77,Nutrients!$ED$78)))))*L$8))/2000</f>
        <v>0</v>
      </c>
      <c r="M303" s="22">
        <f>(SUMPRODUCT(M$9:M$229,Nutrients!$ED$8:$ED$228)+(IF($A$7=Nutrients!$B$8,Nutrients!$ED$8,Nutrients!$ED$9)*M$7)+(((IF($A$8=Nutrients!$B$79,Nutrients!$ED$79,(IF($A$8=Nutrients!$B$77,Nutrients!$ED$77,Nutrients!$ED$78)))))*M$8))/2000</f>
        <v>0</v>
      </c>
      <c r="N303" s="22">
        <f>(SUMPRODUCT(N$9:N$229,Nutrients!$ED$8:$ED$228)+(IF($A$7=Nutrients!$B$8,Nutrients!$ED$8,Nutrients!$ED$9)*N$7)+(((IF($A$8=Nutrients!$B$79,Nutrients!$ED$79,(IF($A$8=Nutrients!$B$77,Nutrients!$ED$77,Nutrients!$ED$78)))))*N$8))/2000</f>
        <v>0</v>
      </c>
      <c r="O303" s="235"/>
      <c r="P303" s="22">
        <f>(SUMPRODUCT(P$9:P$229,Nutrients!$ED$8:$ED$228)+(IF($A$7=Nutrients!$B$8,Nutrients!$ED$8,Nutrients!$ED$9)*P$7)+(((IF($A$8=Nutrients!$B$79,Nutrients!$ED$79,(IF($A$8=Nutrients!$B$77,Nutrients!$ED$77,Nutrients!$ED$78)))))*P$8))/2000</f>
        <v>0</v>
      </c>
      <c r="Q303" s="22">
        <f>(SUMPRODUCT(Q$9:Q$229,Nutrients!$ED$8:$ED$228)+(IF($A$7=Nutrients!$B$8,Nutrients!$ED$8,Nutrients!$ED$9)*Q$7)+(((IF($A$8=Nutrients!$B$79,Nutrients!$ED$79,(IF($A$8=Nutrients!$B$77,Nutrients!$ED$77,Nutrients!$ED$78)))))*Q$8))/2000</f>
        <v>0</v>
      </c>
      <c r="R303" s="22">
        <f>(SUMPRODUCT(R$9:R$229,Nutrients!$ED$8:$ED$228)+(IF($A$7=Nutrients!$B$8,Nutrients!$ED$8,Nutrients!$ED$9)*R$7)+(((IF($A$8=Nutrients!$B$79,Nutrients!$ED$79,(IF($A$8=Nutrients!$B$77,Nutrients!$ED$77,Nutrients!$ED$78)))))*R$8))/2000</f>
        <v>0</v>
      </c>
      <c r="S303" s="22">
        <f>(SUMPRODUCT(S$9:S$229,Nutrients!$ED$8:$ED$228)+(IF($A$7=Nutrients!$B$8,Nutrients!$ED$8,Nutrients!$ED$9)*S$7)+(((IF($A$8=Nutrients!$B$79,Nutrients!$ED$79,(IF($A$8=Nutrients!$B$77,Nutrients!$ED$77,Nutrients!$ED$78)))))*S$8))/2000</f>
        <v>0</v>
      </c>
      <c r="T303" s="22">
        <f>(SUMPRODUCT(T$9:T$229,Nutrients!$ED$8:$ED$228)+(IF($A$7=Nutrients!$B$8,Nutrients!$ED$8,Nutrients!$ED$9)*T$7)+(((IF($A$8=Nutrients!$B$79,Nutrients!$ED$79,(IF($A$8=Nutrients!$B$77,Nutrients!$ED$77,Nutrients!$ED$78)))))*T$8))/2000</f>
        <v>0</v>
      </c>
      <c r="U303" s="22">
        <f>(SUMPRODUCT(U$9:U$229,Nutrients!$ED$8:$ED$228)+(IF($A$7=Nutrients!$B$8,Nutrients!$ED$8,Nutrients!$ED$9)*U$7)+(((IF($A$8=Nutrients!$B$79,Nutrients!$ED$79,(IF($A$8=Nutrients!$B$77,Nutrients!$ED$77,Nutrients!$ED$78)))))*U$8))/2000</f>
        <v>0</v>
      </c>
      <c r="W303" s="22">
        <f>(SUMPRODUCT(W$9:W$229,Nutrients!$ED$8:$ED$228)+(IF($A$7=Nutrients!$B$8,Nutrients!$ED$8,Nutrients!$ED$9)*W$7)+(((IF($A$8=Nutrients!$B$79,Nutrients!$ED$79,(IF($A$8=Nutrients!$B$77,Nutrients!$ED$77,Nutrients!$ED$78)))))*W$8))/2000</f>
        <v>0</v>
      </c>
      <c r="X303" s="22">
        <f>(SUMPRODUCT(X$9:X$229,Nutrients!$ED$8:$ED$228)+(IF($A$7=Nutrients!$B$8,Nutrients!$ED$8,Nutrients!$ED$9)*X$7)+(((IF($A$8=Nutrients!$B$79,Nutrients!$ED$79,(IF($A$8=Nutrients!$B$77,Nutrients!$ED$77,Nutrients!$ED$78)))))*X$8))/2000</f>
        <v>0</v>
      </c>
      <c r="Y303" s="22">
        <f>(SUMPRODUCT(Y$9:Y$229,Nutrients!$ED$8:$ED$228)+(IF($A$7=Nutrients!$B$8,Nutrients!$ED$8,Nutrients!$ED$9)*Y$7)+(((IF($A$8=Nutrients!$B$79,Nutrients!$ED$79,(IF($A$8=Nutrients!$B$77,Nutrients!$ED$77,Nutrients!$ED$78)))))*Y$8))/2000</f>
        <v>0</v>
      </c>
      <c r="Z303" s="22">
        <f>(SUMPRODUCT(Z$9:Z$229,Nutrients!$ED$8:$ED$228)+(IF($A$7=Nutrients!$B$8,Nutrients!$ED$8,Nutrients!$ED$9)*Z$7)+(((IF($A$8=Nutrients!$B$79,Nutrients!$ED$79,(IF($A$8=Nutrients!$B$77,Nutrients!$ED$77,Nutrients!$ED$78)))))*Z$8))/2000</f>
        <v>0</v>
      </c>
      <c r="AA303" s="22">
        <f>(SUMPRODUCT(AA$9:AA$229,Nutrients!$ED$8:$ED$228)+(IF($A$7=Nutrients!$B$8,Nutrients!$ED$8,Nutrients!$ED$9)*AA$7)+(((IF($A$8=Nutrients!$B$79,Nutrients!$ED$79,(IF($A$8=Nutrients!$B$77,Nutrients!$ED$77,Nutrients!$ED$78)))))*AA$8))/2000</f>
        <v>0</v>
      </c>
      <c r="AB303" s="22">
        <f>(SUMPRODUCT(AB$9:AB$229,Nutrients!$ED$8:$ED$228)+(IF($A$7=Nutrients!$B$8,Nutrients!$ED$8,Nutrients!$ED$9)*AB$7)+(((IF($A$8=Nutrients!$B$79,Nutrients!$ED$79,(IF($A$8=Nutrients!$B$77,Nutrients!$ED$77,Nutrients!$ED$78)))))*AB$8))/2000</f>
        <v>0</v>
      </c>
      <c r="AD303" s="22">
        <f>(SUMPRODUCT(AD$9:AD$229,Nutrients!$ED$8:$ED$228)+(IF($A$7=Nutrients!$B$8,Nutrients!$ED$8,Nutrients!$ED$9)*AD$7)+(((IF($A$8=Nutrients!$B$79,Nutrients!$ED$79,(IF($A$8=Nutrients!$B$77,Nutrients!$ED$77,Nutrients!$ED$78)))))*AD$8))/2000</f>
        <v>0</v>
      </c>
      <c r="AE303" s="22">
        <f>(SUMPRODUCT(AE$9:AE$229,Nutrients!$ED$8:$ED$228)+(IF($A$7=Nutrients!$B$8,Nutrients!$ED$8,Nutrients!$ED$9)*AE$7)+(((IF($A$8=Nutrients!$B$79,Nutrients!$ED$79,(IF($A$8=Nutrients!$B$77,Nutrients!$ED$77,Nutrients!$ED$78)))))*AE$8))/2000</f>
        <v>0</v>
      </c>
      <c r="AF303" s="22">
        <f>(SUMPRODUCT(AF$9:AF$229,Nutrients!$ED$8:$ED$228)+(IF($A$7=Nutrients!$B$8,Nutrients!$ED$8,Nutrients!$ED$9)*AF$7)+(((IF($A$8=Nutrients!$B$79,Nutrients!$ED$79,(IF($A$8=Nutrients!$B$77,Nutrients!$ED$77,Nutrients!$ED$78)))))*AF$8))/2000</f>
        <v>0</v>
      </c>
      <c r="AG303" s="22">
        <f>(SUMPRODUCT(AG$9:AG$229,Nutrients!$ED$8:$ED$228)+(IF($A$7=Nutrients!$B$8,Nutrients!$ED$8,Nutrients!$ED$9)*AG$7)+(((IF($A$8=Nutrients!$B$79,Nutrients!$ED$79,(IF($A$8=Nutrients!$B$77,Nutrients!$ED$77,Nutrients!$ED$78)))))*AG$8))/2000</f>
        <v>0</v>
      </c>
      <c r="AH303" s="22">
        <f>(SUMPRODUCT(AH$9:AH$229,Nutrients!$ED$8:$ED$228)+(IF($A$7=Nutrients!$B$8,Nutrients!$ED$8,Nutrients!$ED$9)*AH$7)+(((IF($A$8=Nutrients!$B$79,Nutrients!$ED$79,(IF($A$8=Nutrients!$B$77,Nutrients!$ED$77,Nutrients!$ED$78)))))*AH$8))/2000</f>
        <v>0</v>
      </c>
      <c r="AI303" s="22">
        <f>(SUMPRODUCT(AI$9:AI$229,Nutrients!$ED$8:$ED$228)+(IF($A$7=Nutrients!$B$8,Nutrients!$ED$8,Nutrients!$ED$9)*AI$7)+(((IF($A$8=Nutrients!$B$79,Nutrients!$ED$79,(IF($A$8=Nutrients!$B$77,Nutrients!$ED$77,Nutrients!$ED$78)))))*AI$8))/2000</f>
        <v>0</v>
      </c>
      <c r="AK303" s="22">
        <f>(SUMPRODUCT(AK$9:AK$229,Nutrients!$ED$8:$ED$228)+(IF($A$7=Nutrients!$B$8,Nutrients!$ED$8,Nutrients!$ED$9)*AK$7)+(((IF($A$8=Nutrients!$B$79,Nutrients!$ED$79,(IF($A$8=Nutrients!$B$77,Nutrients!$ED$77,Nutrients!$ED$78)))))*AK$8))/2000</f>
        <v>0</v>
      </c>
      <c r="AL303" s="22">
        <f>(SUMPRODUCT(AL$9:AL$229,Nutrients!$ED$8:$ED$228)+(IF($A$7=Nutrients!$B$8,Nutrients!$ED$8,Nutrients!$ED$9)*AL$7)+(((IF($A$8=Nutrients!$B$79,Nutrients!$ED$79,(IF($A$8=Nutrients!$B$77,Nutrients!$ED$77,Nutrients!$ED$78)))))*AL$8))/2000</f>
        <v>0</v>
      </c>
      <c r="AM303" s="22">
        <f>(SUMPRODUCT(AM$9:AM$229,Nutrients!$ED$8:$ED$228)+(IF($A$7=Nutrients!$B$8,Nutrients!$ED$8,Nutrients!$ED$9)*AM$7)+(((IF($A$8=Nutrients!$B$79,Nutrients!$ED$79,(IF($A$8=Nutrients!$B$77,Nutrients!$ED$77,Nutrients!$ED$78)))))*AM$8))/2000</f>
        <v>0</v>
      </c>
      <c r="AN303" s="22">
        <f>(SUMPRODUCT(AN$9:AN$229,Nutrients!$ED$8:$ED$228)+(IF($A$7=Nutrients!$B$8,Nutrients!$ED$8,Nutrients!$ED$9)*AN$7)+(((IF($A$8=Nutrients!$B$79,Nutrients!$ED$79,(IF($A$8=Nutrients!$B$77,Nutrients!$ED$77,Nutrients!$ED$78)))))*AN$8))/2000</f>
        <v>0</v>
      </c>
      <c r="AO303" s="22">
        <f>(SUMPRODUCT(AO$9:AO$229,Nutrients!$ED$8:$ED$228)+(IF($A$7=Nutrients!$B$8,Nutrients!$ED$8,Nutrients!$ED$9)*AO$7)+(((IF($A$8=Nutrients!$B$79,Nutrients!$ED$79,(IF($A$8=Nutrients!$B$77,Nutrients!$ED$77,Nutrients!$ED$78)))))*AO$8))/2000</f>
        <v>0</v>
      </c>
      <c r="AP303" s="22">
        <f>(SUMPRODUCT(AP$9:AP$229,Nutrients!$ED$8:$ED$228)+(IF($A$7=Nutrients!$B$8,Nutrients!$ED$8,Nutrients!$ED$9)*AP$7)+(((IF($A$8=Nutrients!$B$79,Nutrients!$ED$79,(IF($A$8=Nutrients!$B$77,Nutrients!$ED$77,Nutrients!$ED$78)))))*AP$8))/2000</f>
        <v>0</v>
      </c>
      <c r="AR303" s="22">
        <f>(SUMPRODUCT(AR$9:AR$229,Nutrients!$ED$8:$ED$228)+(IF($A$7=Nutrients!$B$8,Nutrients!$ED$8,Nutrients!$ED$9)*AR$7)+(((IF($A$8=Nutrients!$B$79,Nutrients!$ED$79,(IF($A$8=Nutrients!$B$77,Nutrients!$ED$77,Nutrients!$ED$78)))))*AR$8))/2000</f>
        <v>0</v>
      </c>
      <c r="AS303" s="22">
        <f>(SUMPRODUCT(AS$9:AS$229,Nutrients!$ED$8:$ED$228)+(IF($A$7=Nutrients!$B$8,Nutrients!$ED$8,Nutrients!$ED$9)*AS$7)+(((IF($A$8=Nutrients!$B$79,Nutrients!$ED$79,(IF($A$8=Nutrients!$B$77,Nutrients!$ED$77,Nutrients!$ED$78)))))*AS$8))/2000</f>
        <v>0</v>
      </c>
      <c r="AT303" s="22">
        <f>(SUMPRODUCT(AT$9:AT$229,Nutrients!$ED$8:$ED$228)+(IF($A$7=Nutrients!$B$8,Nutrients!$ED$8,Nutrients!$ED$9)*AT$7)+(((IF($A$8=Nutrients!$B$79,Nutrients!$ED$79,(IF($A$8=Nutrients!$B$77,Nutrients!$ED$77,Nutrients!$ED$78)))))*AT$8))/2000</f>
        <v>0</v>
      </c>
      <c r="AU303" s="22">
        <f>(SUMPRODUCT(AU$9:AU$229,Nutrients!$ED$8:$ED$228)+(IF($A$7=Nutrients!$B$8,Nutrients!$ED$8,Nutrients!$ED$9)*AU$7)+(((IF($A$8=Nutrients!$B$79,Nutrients!$ED$79,(IF($A$8=Nutrients!$B$77,Nutrients!$ED$77,Nutrients!$ED$78)))))*AU$8))/2000</f>
        <v>0</v>
      </c>
      <c r="AV303" s="22">
        <f>(SUMPRODUCT(AV$9:AV$229,Nutrients!$ED$8:$ED$228)+(IF($A$7=Nutrients!$B$8,Nutrients!$ED$8,Nutrients!$ED$9)*AV$7)+(((IF($A$8=Nutrients!$B$79,Nutrients!$ED$79,(IF($A$8=Nutrients!$B$77,Nutrients!$ED$77,Nutrients!$ED$78)))))*AV$8))/2000</f>
        <v>0</v>
      </c>
      <c r="AW303" s="22">
        <f>(SUMPRODUCT(AW$9:AW$229,Nutrients!$ED$8:$ED$228)+(IF($A$7=Nutrients!$B$8,Nutrients!$ED$8,Nutrients!$ED$9)*AW$7)+(((IF($A$8=Nutrients!$B$79,Nutrients!$ED$79,(IF($A$8=Nutrients!$B$77,Nutrients!$ED$77,Nutrients!$ED$78)))))*AW$8))/2000</f>
        <v>0</v>
      </c>
    </row>
    <row r="304" spans="1:49" x14ac:dyDescent="0.25">
      <c r="A304" t="s">
        <v>57</v>
      </c>
      <c r="B304" s="22">
        <f>(SUMPRODUCT(B$9:B$229,Nutrients!$EH$8:$EH$228)+(IF($A$7=Nutrients!$B$8,Nutrients!$EH$8,Nutrients!$EH$9)*B$7)+(((IF($A$8=Nutrients!$B$79,Nutrients!$EH$79,(IF($A$8=Nutrients!$B$77,Nutrients!$EH$77,Nutrients!$EH$78)))))*B$8))/2000</f>
        <v>34.658564713833037</v>
      </c>
      <c r="C304" s="22">
        <f>(SUMPRODUCT(C$9:C$229,Nutrients!$EH$8:$EH$228)+(IF($A$7=Nutrients!$B$8,Nutrients!$EH$8,Nutrients!$EH$9)*C$7)+(((IF($A$8=Nutrients!$B$79,Nutrients!$EH$79,(IF($A$8=Nutrients!$B$77,Nutrients!$EH$77,Nutrients!$EH$78)))))*C$8))/2000</f>
        <v>36.119060232185333</v>
      </c>
      <c r="D304" s="22">
        <f>(SUMPRODUCT(D$9:D$229,Nutrients!$EH$8:$EH$228)+(IF($A$7=Nutrients!$B$8,Nutrients!$EH$8,Nutrients!$EH$9)*D$7)+(((IF($A$8=Nutrients!$B$79,Nutrients!$EH$79,(IF($A$8=Nutrients!$B$77,Nutrients!$EH$77,Nutrients!$EH$78)))))*D$8))/2000</f>
        <v>37.38889298377596</v>
      </c>
      <c r="E304" s="22">
        <f>(SUMPRODUCT(E$9:E$229,Nutrients!$EH$8:$EH$228)+(IF($A$7=Nutrients!$B$8,Nutrients!$EH$8,Nutrients!$EH$9)*E$7)+(((IF($A$8=Nutrients!$B$79,Nutrients!$EH$79,(IF($A$8=Nutrients!$B$77,Nutrients!$EH$77,Nutrients!$EH$78)))))*E$8))/2000</f>
        <v>38.453689691212816</v>
      </c>
      <c r="F304" s="22">
        <f>(SUMPRODUCT(F$9:F$229,Nutrients!$EH$8:$EH$228)+(IF($A$7=Nutrients!$B$8,Nutrients!$EH$8,Nutrients!$EH$9)*F$7)+(((IF($A$8=Nutrients!$B$79,Nutrients!$EH$79,(IF($A$8=Nutrients!$B$77,Nutrients!$EH$77,Nutrients!$EH$78)))))*F$8))/2000</f>
        <v>39.1878815182761</v>
      </c>
      <c r="G304" s="22">
        <f>(SUMPRODUCT(G$9:G$229,Nutrients!$EH$8:$EH$228)+(IF($A$7=Nutrients!$B$8,Nutrients!$EH$8,Nutrients!$EH$9)*G$7)+(((IF($A$8=Nutrients!$B$79,Nutrients!$EH$79,(IF($A$8=Nutrients!$B$77,Nutrients!$EH$77,Nutrients!$EH$78)))))*G$8))/2000</f>
        <v>39.544986782030342</v>
      </c>
      <c r="H304" s="228"/>
      <c r="I304" s="22">
        <f>(SUMPRODUCT(I$9:I$229,Nutrients!$EH$8:$EH$228)+(IF($A$7=Nutrients!$B$8,Nutrients!$EH$8,Nutrients!$EH$9)*I$7)+(((IF($A$8=Nutrients!$B$79,Nutrients!$EH$79,(IF($A$8=Nutrients!$B$77,Nutrients!$EH$77,Nutrients!$EH$78)))))*I$8))/2000</f>
        <v>36.229938874171069</v>
      </c>
      <c r="J304" s="22">
        <f>(SUMPRODUCT(J$9:J$229,Nutrients!$EH$8:$EH$228)+(IF($A$7=Nutrients!$B$8,Nutrients!$EH$8,Nutrients!$EH$9)*J$7)+(((IF($A$8=Nutrients!$B$79,Nutrients!$EH$79,(IF($A$8=Nutrients!$B$77,Nutrients!$EH$77,Nutrients!$EH$78)))))*J$8))/2000</f>
        <v>37.71606222111928</v>
      </c>
      <c r="K304" s="22">
        <f>(SUMPRODUCT(K$9:K$229,Nutrients!$EH$8:$EH$228)+(IF($A$7=Nutrients!$B$8,Nutrients!$EH$8,Nutrients!$EH$9)*K$7)+(((IF($A$8=Nutrients!$B$79,Nutrients!$EH$79,(IF($A$8=Nutrients!$B$77,Nutrients!$EH$77,Nutrients!$EH$78)))))*K$8))/2000</f>
        <v>39.010700835788739</v>
      </c>
      <c r="L304" s="22">
        <f>(SUMPRODUCT(L$9:L$229,Nutrients!$EH$8:$EH$228)+(IF($A$7=Nutrients!$B$8,Nutrients!$EH$8,Nutrients!$EH$9)*L$7)+(((IF($A$8=Nutrients!$B$79,Nutrients!$EH$79,(IF($A$8=Nutrients!$B$77,Nutrients!$EH$77,Nutrients!$EH$78)))))*L$8))/2000</f>
        <v>40.019012898608928</v>
      </c>
      <c r="M304" s="22">
        <f>(SUMPRODUCT(M$9:M$229,Nutrients!$EH$8:$EH$228)+(IF($A$7=Nutrients!$B$8,Nutrients!$EH$8,Nutrients!$EH$9)*M$7)+(((IF($A$8=Nutrients!$B$79,Nutrients!$EH$79,(IF($A$8=Nutrients!$B$77,Nutrients!$EH$77,Nutrients!$EH$78)))))*M$8))/2000</f>
        <v>40.771065614353446</v>
      </c>
      <c r="N304" s="22">
        <f>(SUMPRODUCT(N$9:N$229,Nutrients!$EH$8:$EH$228)+(IF($A$7=Nutrients!$B$8,Nutrients!$EH$8,Nutrients!$EH$9)*N$7)+(((IF($A$8=Nutrients!$B$79,Nutrients!$EH$79,(IF($A$8=Nutrients!$B$77,Nutrients!$EH$77,Nutrients!$EH$78)))))*N$8))/2000</f>
        <v>41.115467298051364</v>
      </c>
      <c r="O304" s="235"/>
      <c r="P304" s="22">
        <f>(SUMPRODUCT(P$9:P$229,Nutrients!$EH$8:$EH$228)+(IF($A$7=Nutrients!$B$8,Nutrients!$EH$8,Nutrients!$EH$9)*P$7)+(((IF($A$8=Nutrients!$B$79,Nutrients!$EH$79,(IF($A$8=Nutrients!$B$77,Nutrients!$EH$77,Nutrients!$EH$78)))))*P$8))/2000</f>
        <v>37.835669118381595</v>
      </c>
      <c r="Q304" s="22">
        <f>(SUMPRODUCT(Q$9:Q$229,Nutrients!$EH$8:$EH$228)+(IF($A$7=Nutrients!$B$8,Nutrients!$EH$8,Nutrients!$EH$9)*Q$7)+(((IF($A$8=Nutrients!$B$79,Nutrients!$EH$79,(IF($A$8=Nutrients!$B$77,Nutrients!$EH$77,Nutrients!$EH$78)))))*Q$8))/2000</f>
        <v>39.332311480351322</v>
      </c>
      <c r="R304" s="22">
        <f>(SUMPRODUCT(R$9:R$229,Nutrients!$EH$8:$EH$228)+(IF($A$7=Nutrients!$B$8,Nutrients!$EH$8,Nutrients!$EH$9)*R$7)+(((IF($A$8=Nutrients!$B$79,Nutrients!$EH$79,(IF($A$8=Nutrients!$B$77,Nutrients!$EH$77,Nutrients!$EH$78)))))*R$8))/2000</f>
        <v>40.642827439053967</v>
      </c>
      <c r="S304" s="22">
        <f>(SUMPRODUCT(S$9:S$229,Nutrients!$EH$8:$EH$228)+(IF($A$7=Nutrients!$B$8,Nutrients!$EH$8,Nutrients!$EH$9)*S$7)+(((IF($A$8=Nutrients!$B$79,Nutrients!$EH$79,(IF($A$8=Nutrients!$B$77,Nutrients!$EH$77,Nutrients!$EH$78)))))*S$8))/2000</f>
        <v>41.644894428330289</v>
      </c>
      <c r="T304" s="22">
        <f>(SUMPRODUCT(T$9:T$229,Nutrients!$EH$8:$EH$228)+(IF($A$7=Nutrients!$B$8,Nutrients!$EH$8,Nutrients!$EH$9)*T$7)+(((IF($A$8=Nutrients!$B$79,Nutrients!$EH$79,(IF($A$8=Nutrients!$B$77,Nutrients!$EH$77,Nutrients!$EH$78)))))*T$8))/2000</f>
        <v>42.390422000253672</v>
      </c>
      <c r="U304" s="22">
        <f>(SUMPRODUCT(U$9:U$229,Nutrients!$EH$8:$EH$228)+(IF($A$7=Nutrients!$B$8,Nutrients!$EH$8,Nutrients!$EH$9)*U$7)+(((IF($A$8=Nutrients!$B$79,Nutrients!$EH$79,(IF($A$8=Nutrients!$B$77,Nutrients!$EH$77,Nutrients!$EH$78)))))*U$8))/2000</f>
        <v>42.733466334279257</v>
      </c>
      <c r="W304" s="22">
        <f>(SUMPRODUCT(W$9:W$229,Nutrients!$EH$8:$EH$228)+(IF($A$7=Nutrients!$B$8,Nutrients!$EH$8,Nutrients!$EH$9)*W$7)+(((IF($A$8=Nutrients!$B$79,Nutrients!$EH$79,(IF($A$8=Nutrients!$B$77,Nutrients!$EH$77,Nutrients!$EH$78)))))*W$8))/2000</f>
        <v>39.449698450074074</v>
      </c>
      <c r="X304" s="22">
        <f>(SUMPRODUCT(X$9:X$229,Nutrients!$EH$8:$EH$228)+(IF($A$7=Nutrients!$B$8,Nutrients!$EH$8,Nutrients!$EH$9)*X$7)+(((IF($A$8=Nutrients!$B$79,Nutrients!$EH$79,(IF($A$8=Nutrients!$B$77,Nutrients!$EH$77,Nutrients!$EH$78)))))*X$8))/2000</f>
        <v>40.958521584012857</v>
      </c>
      <c r="Y304" s="22">
        <f>(SUMPRODUCT(Y$9:Y$229,Nutrients!$EH$8:$EH$228)+(IF($A$7=Nutrients!$B$8,Nutrients!$EH$8,Nutrients!$EH$9)*Y$7)+(((IF($A$8=Nutrients!$B$79,Nutrients!$EH$79,(IF($A$8=Nutrients!$B$77,Nutrients!$EH$77,Nutrients!$EH$78)))))*Y$8))/2000</f>
        <v>42.263178791466338</v>
      </c>
      <c r="Z304" s="22">
        <f>(SUMPRODUCT(Z$9:Z$229,Nutrients!$EH$8:$EH$228)+(IF($A$7=Nutrients!$B$8,Nutrients!$EH$8,Nutrients!$EH$9)*Z$7)+(((IF($A$8=Nutrients!$B$79,Nutrients!$EH$79,(IF($A$8=Nutrients!$B$77,Nutrients!$EH$77,Nutrients!$EH$78)))))*Z$8))/2000</f>
        <v>43.280428727388596</v>
      </c>
      <c r="AA304" s="22">
        <f>(SUMPRODUCT(AA$9:AA$229,Nutrients!$EH$8:$EH$228)+(IF($A$7=Nutrients!$B$8,Nutrients!$EH$8,Nutrients!$EH$9)*AA$7)+(((IF($A$8=Nutrients!$B$79,Nutrients!$EH$79,(IF($A$8=Nutrients!$B$77,Nutrients!$EH$77,Nutrients!$EH$78)))))*AA$8))/2000</f>
        <v>44.012420676980831</v>
      </c>
      <c r="AB304" s="22">
        <f>(SUMPRODUCT(AB$9:AB$229,Nutrients!$EH$8:$EH$228)+(IF($A$7=Nutrients!$B$8,Nutrients!$EH$8,Nutrients!$EH$9)*AB$7)+(((IF($A$8=Nutrients!$B$79,Nutrients!$EH$79,(IF($A$8=Nutrients!$B$77,Nutrients!$EH$77,Nutrients!$EH$78)))))*AB$8))/2000</f>
        <v>44.416213469577315</v>
      </c>
      <c r="AD304" s="22">
        <f>(SUMPRODUCT(AD$9:AD$229,Nutrients!$EH$8:$EH$228)+(IF($A$7=Nutrients!$B$8,Nutrients!$EH$8,Nutrients!$EH$9)*AD$7)+(((IF($A$8=Nutrients!$B$79,Nutrients!$EH$79,(IF($A$8=Nutrients!$B$77,Nutrients!$EH$77,Nutrients!$EH$78)))))*AD$8))/2000</f>
        <v>41.079913553522651</v>
      </c>
      <c r="AE304" s="22">
        <f>(SUMPRODUCT(AE$9:AE$229,Nutrients!$EH$8:$EH$228)+(IF($A$7=Nutrients!$B$8,Nutrients!$EH$8,Nutrients!$EH$9)*AE$7)+(((IF($A$8=Nutrients!$B$79,Nutrients!$EH$79,(IF($A$8=Nutrients!$B$77,Nutrients!$EH$77,Nutrients!$EH$78)))))*AE$8))/2000</f>
        <v>42.5842467386897</v>
      </c>
      <c r="AF304" s="22">
        <f>(SUMPRODUCT(AF$9:AF$229,Nutrients!$EH$8:$EH$228)+(IF($A$7=Nutrients!$B$8,Nutrients!$EH$8,Nutrients!$EH$9)*AF$7)+(((IF($A$8=Nutrients!$B$79,Nutrients!$EH$79,(IF($A$8=Nutrients!$B$77,Nutrients!$EH$77,Nutrients!$EH$78)))))*AF$8))/2000</f>
        <v>43.913050998927581</v>
      </c>
      <c r="AG304" s="22">
        <f>(SUMPRODUCT(AG$9:AG$229,Nutrients!$EH$8:$EH$228)+(IF($A$7=Nutrients!$B$8,Nutrients!$EH$8,Nutrients!$EH$9)*AG$7)+(((IF($A$8=Nutrients!$B$79,Nutrients!$EH$79,(IF($A$8=Nutrients!$B$77,Nutrients!$EH$77,Nutrients!$EH$78)))))*AG$8))/2000</f>
        <v>44.913587390331529</v>
      </c>
      <c r="AH304" s="22">
        <f>(SUMPRODUCT(AH$9:AH$229,Nutrients!$EH$8:$EH$228)+(IF($A$7=Nutrients!$B$8,Nutrients!$EH$8,Nutrients!$EH$9)*AH$7)+(((IF($A$8=Nutrients!$B$79,Nutrients!$EH$79,(IF($A$8=Nutrients!$B$77,Nutrients!$EH$77,Nutrients!$EH$78)))))*AH$8))/2000</f>
        <v>45.803436528653449</v>
      </c>
      <c r="AI304" s="22">
        <f>(SUMPRODUCT(AI$9:AI$229,Nutrients!$EH$8:$EH$228)+(IF($A$7=Nutrients!$B$8,Nutrients!$EH$8,Nutrients!$EH$9)*AI$7)+(((IF($A$8=Nutrients!$B$79,Nutrients!$EH$79,(IF($A$8=Nutrients!$B$77,Nutrients!$EH$77,Nutrients!$EH$78)))))*AI$8))/2000</f>
        <v>46.293976530276261</v>
      </c>
      <c r="AK304" s="22">
        <f>(SUMPRODUCT(AK$9:AK$229,Nutrients!$EH$8:$EH$228)+(IF($A$7=Nutrients!$B$8,Nutrients!$EH$8,Nutrients!$EH$9)*AK$7)+(((IF($A$8=Nutrients!$B$79,Nutrients!$EH$79,(IF($A$8=Nutrients!$B$77,Nutrients!$EH$77,Nutrients!$EH$78)))))*AK$8))/2000</f>
        <v>42.784593857796679</v>
      </c>
      <c r="AL304" s="22">
        <f>(SUMPRODUCT(AL$9:AL$229,Nutrients!$EH$8:$EH$228)+(IF($A$7=Nutrients!$B$8,Nutrients!$EH$8,Nutrients!$EH$9)*AL$7)+(((IF($A$8=Nutrients!$B$79,Nutrients!$EH$79,(IF($A$8=Nutrients!$B$77,Nutrients!$EH$77,Nutrients!$EH$78)))))*AL$8))/2000</f>
        <v>44.211917295654729</v>
      </c>
      <c r="AM304" s="22">
        <f>(SUMPRODUCT(AM$9:AM$229,Nutrients!$EH$8:$EH$228)+(IF($A$7=Nutrients!$B$8,Nutrients!$EH$8,Nutrients!$EH$9)*AM$7)+(((IF($A$8=Nutrients!$B$79,Nutrients!$EH$79,(IF($A$8=Nutrients!$B$77,Nutrients!$EH$77,Nutrients!$EH$78)))))*AM$8))/2000</f>
        <v>45.530727060902443</v>
      </c>
      <c r="AN304" s="22">
        <f>(SUMPRODUCT(AN$9:AN$229,Nutrients!$EH$8:$EH$228)+(IF($A$7=Nutrients!$B$8,Nutrients!$EH$8,Nutrients!$EH$9)*AN$7)+(((IF($A$8=Nutrients!$B$79,Nutrients!$EH$79,(IF($A$8=Nutrients!$B$77,Nutrients!$EH$77,Nutrients!$EH$78)))))*AN$8))/2000</f>
        <v>46.653695401449951</v>
      </c>
      <c r="AO304" s="22">
        <f>(SUMPRODUCT(AO$9:AO$229,Nutrients!$EH$8:$EH$228)+(IF($A$7=Nutrients!$B$8,Nutrients!$EH$8,Nutrients!$EH$9)*AO$7)+(((IF($A$8=Nutrients!$B$79,Nutrients!$EH$79,(IF($A$8=Nutrients!$B$77,Nutrients!$EH$77,Nutrients!$EH$78)))))*AO$8))/2000</f>
        <v>47.679635647566734</v>
      </c>
      <c r="AP304" s="22">
        <f>(SUMPRODUCT(AP$9:AP$229,Nutrients!$EH$8:$EH$228)+(IF($A$7=Nutrients!$B$8,Nutrients!$EH$8,Nutrients!$EH$9)*AP$7)+(((IF($A$8=Nutrients!$B$79,Nutrients!$EH$79,(IF($A$8=Nutrients!$B$77,Nutrients!$EH$77,Nutrients!$EH$78)))))*AP$8))/2000</f>
        <v>48.174764981082582</v>
      </c>
      <c r="AR304" s="22">
        <f>(SUMPRODUCT(AR$9:AR$229,Nutrients!$EH$8:$EH$228)+(IF($A$7=Nutrients!$B$8,Nutrients!$EH$8,Nutrients!$EH$9)*AR$7)+(((IF($A$8=Nutrients!$B$79,Nutrients!$EH$79,(IF($A$8=Nutrients!$B$77,Nutrients!$EH$77,Nutrients!$EH$78)))))*AR$8))/2000</f>
        <v>44.384950542773936</v>
      </c>
      <c r="AS304" s="22">
        <f>(SUMPRODUCT(AS$9:AS$229,Nutrients!$EH$8:$EH$228)+(IF($A$7=Nutrients!$B$8,Nutrients!$EH$8,Nutrients!$EH$9)*AS$7)+(((IF($A$8=Nutrients!$B$79,Nutrients!$EH$79,(IF($A$8=Nutrients!$B$77,Nutrients!$EH$77,Nutrients!$EH$78)))))*AS$8))/2000</f>
        <v>45.843261661725016</v>
      </c>
      <c r="AT304" s="22">
        <f>(SUMPRODUCT(AT$9:AT$229,Nutrients!$EH$8:$EH$228)+(IF($A$7=Nutrients!$B$8,Nutrients!$EH$8,Nutrients!$EH$9)*AT$7)+(((IF($A$8=Nutrients!$B$79,Nutrients!$EH$79,(IF($A$8=Nutrients!$B$77,Nutrients!$EH$77,Nutrients!$EH$78)))))*AT$8))/2000</f>
        <v>47.145141317035616</v>
      </c>
      <c r="AU304" s="22">
        <f>(SUMPRODUCT(AU$9:AU$229,Nutrients!$EH$8:$EH$228)+(IF($A$7=Nutrients!$B$8,Nutrients!$EH$8,Nutrients!$EH$9)*AU$7)+(((IF($A$8=Nutrients!$B$79,Nutrients!$EH$79,(IF($A$8=Nutrients!$B$77,Nutrients!$EH$77,Nutrients!$EH$78)))))*AU$8))/2000</f>
        <v>48.525462763224894</v>
      </c>
      <c r="AV304" s="22">
        <f>(SUMPRODUCT(AV$9:AV$229,Nutrients!$EH$8:$EH$228)+(IF($A$7=Nutrients!$B$8,Nutrients!$EH$8,Nutrients!$EH$9)*AV$7)+(((IF($A$8=Nutrients!$B$79,Nutrients!$EH$79,(IF($A$8=Nutrients!$B$77,Nutrients!$EH$77,Nutrients!$EH$78)))))*AV$8))/2000</f>
        <v>49.556203402118712</v>
      </c>
      <c r="AW304" s="22">
        <f>(SUMPRODUCT(AW$9:AW$229,Nutrients!$EH$8:$EH$228)+(IF($A$7=Nutrients!$B$8,Nutrients!$EH$8,Nutrients!$EH$9)*AW$7)+(((IF($A$8=Nutrients!$B$79,Nutrients!$EH$79,(IF($A$8=Nutrients!$B$77,Nutrients!$EH$77,Nutrients!$EH$78)))))*AW$8))/2000</f>
        <v>50.055955798097436</v>
      </c>
    </row>
    <row r="305" spans="1:49" x14ac:dyDescent="0.25">
      <c r="A305" t="s">
        <v>58</v>
      </c>
      <c r="B305" s="23">
        <f t="shared" ref="B305:G305" si="174">(0.4472*B304)+51.796</f>
        <v>67.295310140026132</v>
      </c>
      <c r="C305" s="23">
        <f t="shared" si="174"/>
        <v>67.94844373583328</v>
      </c>
      <c r="D305" s="23">
        <f t="shared" si="174"/>
        <v>68.516312942344612</v>
      </c>
      <c r="E305" s="23">
        <f t="shared" si="174"/>
        <v>68.992490029910371</v>
      </c>
      <c r="F305" s="23">
        <f t="shared" si="174"/>
        <v>69.320820614973073</v>
      </c>
      <c r="G305" s="23">
        <f t="shared" si="174"/>
        <v>69.480518088923972</v>
      </c>
      <c r="H305" s="227"/>
      <c r="I305" s="23">
        <f t="shared" ref="I305:N305" si="175">(0.4472*I304)+51.796</f>
        <v>67.998028664529301</v>
      </c>
      <c r="J305" s="23">
        <f t="shared" si="175"/>
        <v>68.662623025284546</v>
      </c>
      <c r="K305" s="23">
        <f t="shared" si="175"/>
        <v>69.241585413764724</v>
      </c>
      <c r="L305" s="23">
        <f t="shared" si="175"/>
        <v>69.692502568257908</v>
      </c>
      <c r="M305" s="23">
        <f t="shared" si="175"/>
        <v>70.028820542738856</v>
      </c>
      <c r="N305" s="23">
        <f t="shared" si="175"/>
        <v>70.182836975688573</v>
      </c>
      <c r="O305" s="198"/>
      <c r="P305" s="23">
        <f t="shared" ref="P305:U305" si="176">(0.4472*P304)+51.796</f>
        <v>68.71611122974025</v>
      </c>
      <c r="Q305" s="23">
        <f t="shared" si="176"/>
        <v>69.385409694013106</v>
      </c>
      <c r="R305" s="23">
        <f t="shared" si="176"/>
        <v>69.971472430744939</v>
      </c>
      <c r="S305" s="23">
        <f t="shared" si="176"/>
        <v>70.41959678834931</v>
      </c>
      <c r="T305" s="23">
        <f t="shared" si="176"/>
        <v>70.752996718513444</v>
      </c>
      <c r="U305" s="23">
        <f t="shared" si="176"/>
        <v>70.906406144689683</v>
      </c>
      <c r="W305" s="23">
        <f t="shared" ref="W305:AB305" si="177">(0.4472*W304)+51.796</f>
        <v>69.437905146873121</v>
      </c>
      <c r="X305" s="23">
        <f t="shared" si="177"/>
        <v>70.11265085237055</v>
      </c>
      <c r="Y305" s="23">
        <f t="shared" si="177"/>
        <v>70.69609355554374</v>
      </c>
      <c r="Z305" s="23">
        <f t="shared" si="177"/>
        <v>71.151007726888182</v>
      </c>
      <c r="AA305" s="23">
        <f t="shared" si="177"/>
        <v>71.478354526745818</v>
      </c>
      <c r="AB305" s="23">
        <f t="shared" si="177"/>
        <v>71.658930663594973</v>
      </c>
      <c r="AD305" s="23">
        <f t="shared" ref="AD305:AI305" si="178">(0.4472*AD304)+51.796</f>
        <v>70.166937341135323</v>
      </c>
      <c r="AE305" s="23">
        <f t="shared" si="178"/>
        <v>70.839675141542031</v>
      </c>
      <c r="AF305" s="23">
        <f t="shared" si="178"/>
        <v>71.433916406720414</v>
      </c>
      <c r="AG305" s="23">
        <f t="shared" si="178"/>
        <v>71.881356280956254</v>
      </c>
      <c r="AH305" s="23">
        <f t="shared" si="178"/>
        <v>72.279296815613819</v>
      </c>
      <c r="AI305" s="23">
        <f t="shared" si="178"/>
        <v>72.498666304339537</v>
      </c>
      <c r="AK305" s="23">
        <f t="shared" ref="AK305:AP305" si="179">(0.4472*AK304)+51.796</f>
        <v>70.929270373206677</v>
      </c>
      <c r="AL305" s="23">
        <f t="shared" si="179"/>
        <v>71.567569414616798</v>
      </c>
      <c r="AM305" s="23">
        <f t="shared" si="179"/>
        <v>72.15734114163557</v>
      </c>
      <c r="AN305" s="23">
        <f t="shared" si="179"/>
        <v>72.659532583528417</v>
      </c>
      <c r="AO305" s="23">
        <f t="shared" si="179"/>
        <v>73.118333061591841</v>
      </c>
      <c r="AP305" s="23">
        <f t="shared" si="179"/>
        <v>73.339754899540125</v>
      </c>
      <c r="AR305" s="23">
        <f t="shared" ref="AR305:AW305" si="180">(0.4472*AR304)+51.796</f>
        <v>71.644949882728497</v>
      </c>
      <c r="AS305" s="23">
        <f t="shared" si="180"/>
        <v>72.297106615123425</v>
      </c>
      <c r="AT305" s="23">
        <f t="shared" si="180"/>
        <v>72.879307196978331</v>
      </c>
      <c r="AU305" s="23">
        <f t="shared" si="180"/>
        <v>73.496586947714178</v>
      </c>
      <c r="AV305" s="23">
        <f t="shared" si="180"/>
        <v>73.957534161427489</v>
      </c>
      <c r="AW305" s="23">
        <f t="shared" si="180"/>
        <v>74.181023432909171</v>
      </c>
    </row>
    <row r="306" spans="1:49" x14ac:dyDescent="0.25">
      <c r="A306" t="s">
        <v>65</v>
      </c>
      <c r="B306" s="23">
        <f>(SUMPRODUCT(B$9:B$229,Nutrients!$BW$8:$BW$228)+(IF($A$7=Nutrients!$B$8,Nutrients!$BW$8,Nutrients!$BW$9)*B$7)+(((IF($A$8=Nutrients!$B$79,Nutrients!$BW$79,(IF($A$8=Nutrients!$B$77,Nutrients!$BW$77,Nutrients!$BW$78)))))*B$8))/2000</f>
        <v>0.17839028042000546</v>
      </c>
      <c r="C306" s="23">
        <f>(SUMPRODUCT(C$9:C$229,Nutrients!$BW$8:$BW$228)+(IF($A$7=Nutrients!$B$8,Nutrients!$BW$8,Nutrients!$BW$9)*C$7)+(((IF($A$8=Nutrients!$B$79,Nutrients!$BW$79,(IF($A$8=Nutrients!$B$77,Nutrients!$BW$77,Nutrients!$BW$78)))))*C$8))/2000</f>
        <v>0.1747961379454851</v>
      </c>
      <c r="D306" s="23">
        <f>(SUMPRODUCT(D$9:D$229,Nutrients!$BW$8:$BW$228)+(IF($A$7=Nutrients!$B$8,Nutrients!$BW$8,Nutrients!$BW$9)*D$7)+(((IF($A$8=Nutrients!$B$79,Nutrients!$BW$79,(IF($A$8=Nutrients!$B$77,Nutrients!$BW$77,Nutrients!$BW$78)))))*D$8))/2000</f>
        <v>0.17169952789434653</v>
      </c>
      <c r="E306" s="23">
        <f>(SUMPRODUCT(E$9:E$229,Nutrients!$BW$8:$BW$228)+(IF($A$7=Nutrients!$B$8,Nutrients!$BW$8,Nutrients!$BW$9)*E$7)+(((IF($A$8=Nutrients!$B$79,Nutrients!$BW$79,(IF($A$8=Nutrients!$B$77,Nutrients!$BW$77,Nutrients!$BW$78)))))*E$8))/2000</f>
        <v>0.16911270535843034</v>
      </c>
      <c r="F306" s="23">
        <f>(SUMPRODUCT(F$9:F$229,Nutrients!$BW$8:$BW$228)+(IF($A$7=Nutrients!$B$8,Nutrients!$BW$8,Nutrients!$BW$9)*F$7)+(((IF($A$8=Nutrients!$B$79,Nutrients!$BW$79,(IF($A$8=Nutrients!$B$77,Nutrients!$BW$77,Nutrients!$BW$78)))))*F$8))/2000</f>
        <v>0.16737197925804595</v>
      </c>
      <c r="G306" s="23">
        <f>(SUMPRODUCT(G$9:G$229,Nutrients!$BW$8:$BW$228)+(IF($A$7=Nutrients!$B$8,Nutrients!$BW$8,Nutrients!$BW$9)*G$7)+(((IF($A$8=Nutrients!$B$79,Nutrients!$BW$79,(IF($A$8=Nutrients!$B$77,Nutrients!$BW$77,Nutrients!$BW$78)))))*G$8))/2000</f>
        <v>0.1664919947730959</v>
      </c>
      <c r="H306" s="227"/>
      <c r="I306" s="23">
        <f>(SUMPRODUCT(I$9:I$229,Nutrients!$BW$8:$BW$228)+(IF($A$7=Nutrients!$B$8,Nutrients!$BW$8,Nutrients!$BW$9)*I$7)+(((IF($A$8=Nutrients!$B$79,Nutrients!$BW$79,(IF($A$8=Nutrients!$B$77,Nutrients!$BW$77,Nutrients!$BW$78)))))*I$8))/2000</f>
        <v>0.18578794211770608</v>
      </c>
      <c r="J306" s="23">
        <f>(SUMPRODUCT(J$9:J$229,Nutrients!$BW$8:$BW$228)+(IF($A$7=Nutrients!$B$8,Nutrients!$BW$8,Nutrients!$BW$9)*J$7)+(((IF($A$8=Nutrients!$B$79,Nutrients!$BW$79,(IF($A$8=Nutrients!$B$77,Nutrients!$BW$77,Nutrients!$BW$78)))))*J$8))/2000</f>
        <v>0.18219429651752395</v>
      </c>
      <c r="K306" s="23">
        <f>(SUMPRODUCT(K$9:K$229,Nutrients!$BW$8:$BW$228)+(IF($A$7=Nutrients!$B$8,Nutrients!$BW$8,Nutrients!$BW$9)*K$7)+(((IF($A$8=Nutrients!$B$79,Nutrients!$BW$79,(IF($A$8=Nutrients!$B$77,Nutrients!$BW$77,Nutrients!$BW$78)))))*K$8))/2000</f>
        <v>0.17907304142467681</v>
      </c>
      <c r="L306" s="23">
        <f>(SUMPRODUCT(L$9:L$229,Nutrients!$BW$8:$BW$228)+(IF($A$7=Nutrients!$B$8,Nutrients!$BW$8,Nutrients!$BW$9)*L$7)+(((IF($A$8=Nutrients!$B$79,Nutrients!$BW$79,(IF($A$8=Nutrients!$B$77,Nutrients!$BW$77,Nutrients!$BW$78)))))*L$8))/2000</f>
        <v>0.17647992727520151</v>
      </c>
      <c r="M306" s="23">
        <f>(SUMPRODUCT(M$9:M$229,Nutrients!$BW$8:$BW$228)+(IF($A$7=Nutrients!$B$8,Nutrients!$BW$8,Nutrients!$BW$9)*M$7)+(((IF($A$8=Nutrients!$B$79,Nutrients!$BW$79,(IF($A$8=Nutrients!$B$77,Nutrients!$BW$77,Nutrients!$BW$78)))))*M$8))/2000</f>
        <v>0.17475133715260913</v>
      </c>
      <c r="N306" s="23">
        <f>(SUMPRODUCT(N$9:N$229,Nutrients!$BW$8:$BW$228)+(IF($A$7=Nutrients!$B$8,Nutrients!$BW$8,Nutrients!$BW$9)*N$7)+(((IF($A$8=Nutrients!$B$79,Nutrients!$BW$79,(IF($A$8=Nutrients!$B$77,Nutrients!$BW$77,Nutrients!$BW$78)))))*N$8))/2000</f>
        <v>0.17386339987354416</v>
      </c>
      <c r="O306" s="198"/>
      <c r="P306" s="23">
        <f>(SUMPRODUCT(P$9:P$229,Nutrients!$BW$8:$BW$228)+(IF($A$7=Nutrients!$B$8,Nutrients!$BW$8,Nutrients!$BW$9)*P$7)+(((IF($A$8=Nutrients!$B$79,Nutrients!$BW$79,(IF($A$8=Nutrients!$B$77,Nutrients!$BW$77,Nutrients!$BW$78)))))*P$8))/2000</f>
        <v>0.19317537409517643</v>
      </c>
      <c r="Q306" s="23">
        <f>(SUMPRODUCT(Q$9:Q$229,Nutrients!$BW$8:$BW$228)+(IF($A$7=Nutrients!$B$8,Nutrients!$BW$8,Nutrients!$BW$9)*Q$7)+(((IF($A$8=Nutrients!$B$79,Nutrients!$BW$79,(IF($A$8=Nutrients!$B$77,Nutrients!$BW$77,Nutrients!$BW$78)))))*Q$8))/2000</f>
        <v>0.18958143513669443</v>
      </c>
      <c r="R306" s="23">
        <f>(SUMPRODUCT(R$9:R$229,Nutrients!$BW$8:$BW$228)+(IF($A$7=Nutrients!$B$8,Nutrients!$BW$8,Nutrients!$BW$9)*R$7)+(((IF($A$8=Nutrients!$B$79,Nutrients!$BW$79,(IF($A$8=Nutrients!$B$77,Nutrients!$BW$77,Nutrients!$BW$78)))))*R$8))/2000</f>
        <v>0.18645973725042586</v>
      </c>
      <c r="S306" s="23">
        <f>(SUMPRODUCT(S$9:S$229,Nutrients!$BW$8:$BW$228)+(IF($A$7=Nutrients!$B$8,Nutrients!$BW$8,Nutrients!$BW$9)*S$7)+(((IF($A$8=Nutrients!$B$79,Nutrients!$BW$79,(IF($A$8=Nutrients!$B$77,Nutrients!$BW$77,Nutrients!$BW$78)))))*S$8))/2000</f>
        <v>0.1838667972659416</v>
      </c>
      <c r="T306" s="23">
        <f>(SUMPRODUCT(T$9:T$229,Nutrients!$BW$8:$BW$228)+(IF($A$7=Nutrients!$B$8,Nutrients!$BW$8,Nutrients!$BW$9)*T$7)+(((IF($A$8=Nutrients!$B$79,Nutrients!$BW$79,(IF($A$8=Nutrients!$B$77,Nutrients!$BW$77,Nutrients!$BW$78)))))*T$8))/2000</f>
        <v>0.18213777286425512</v>
      </c>
      <c r="U306" s="23">
        <f>(SUMPRODUCT(U$9:U$229,Nutrients!$BW$8:$BW$228)+(IF($A$7=Nutrients!$B$8,Nutrients!$BW$8,Nutrients!$BW$9)*U$7)+(((IF($A$8=Nutrients!$B$79,Nutrients!$BW$79,(IF($A$8=Nutrients!$B$77,Nutrients!$BW$77,Nutrients!$BW$78)))))*U$8))/2000</f>
        <v>0.18124938460914225</v>
      </c>
      <c r="W306" s="23">
        <f>(SUMPRODUCT(W$9:W$229,Nutrients!$BW$8:$BW$228)+(IF($A$7=Nutrients!$B$8,Nutrients!$BW$8,Nutrients!$BW$9)*W$7)+(((IF($A$8=Nutrients!$B$79,Nutrients!$BW$79,(IF($A$8=Nutrients!$B$77,Nutrients!$BW$77,Nutrients!$BW$78)))))*W$8))/2000</f>
        <v>0.2005625746245322</v>
      </c>
      <c r="X306" s="23">
        <f>(SUMPRODUCT(X$9:X$229,Nutrients!$BW$8:$BW$228)+(IF($A$7=Nutrients!$B$8,Nutrients!$BW$8,Nutrients!$BW$9)*X$7)+(((IF($A$8=Nutrients!$B$79,Nutrients!$BW$79,(IF($A$8=Nutrients!$B$77,Nutrients!$BW$77,Nutrients!$BW$78)))))*X$8))/2000</f>
        <v>0.19696829596403931</v>
      </c>
      <c r="Y306" s="23">
        <f>(SUMPRODUCT(Y$9:Y$229,Nutrients!$BW$8:$BW$228)+(IF($A$7=Nutrients!$B$8,Nutrients!$BW$8,Nutrients!$BW$9)*Y$7)+(((IF($A$8=Nutrients!$B$79,Nutrients!$BW$79,(IF($A$8=Nutrients!$B$77,Nutrients!$BW$77,Nutrients!$BW$78)))))*Y$8))/2000</f>
        <v>0.19384549612943172</v>
      </c>
      <c r="Z306" s="23">
        <f>(SUMPRODUCT(Z$9:Z$229,Nutrients!$BW$8:$BW$228)+(IF($A$7=Nutrients!$B$8,Nutrients!$BW$8,Nutrients!$BW$9)*Z$7)+(((IF($A$8=Nutrients!$B$79,Nutrients!$BW$79,(IF($A$8=Nutrients!$B$77,Nutrients!$BW$77,Nutrients!$BW$78)))))*Z$8))/2000</f>
        <v>0.1912528793895264</v>
      </c>
      <c r="AA306" s="23">
        <f>(SUMPRODUCT(AA$9:AA$229,Nutrients!$BW$8:$BW$228)+(IF($A$7=Nutrients!$B$8,Nutrients!$BW$8,Nutrients!$BW$9)*AA$7)+(((IF($A$8=Nutrients!$B$79,Nutrients!$BW$79,(IF($A$8=Nutrients!$B$77,Nutrients!$BW$77,Nutrients!$BW$78)))))*AA$8))/2000</f>
        <v>0.18952206349461595</v>
      </c>
      <c r="AB306" s="23">
        <f>(SUMPRODUCT(AB$9:AB$229,Nutrients!$BW$8:$BW$228)+(IF($A$7=Nutrients!$B$8,Nutrients!$BW$8,Nutrients!$BW$9)*AB$7)+(((IF($A$8=Nutrients!$B$79,Nutrients!$BW$79,(IF($A$8=Nutrients!$B$77,Nutrients!$BW$77,Nutrients!$BW$78)))))*AB$8))/2000</f>
        <v>0.18867827787628652</v>
      </c>
      <c r="AD306" s="23">
        <f>(SUMPRODUCT(AD$9:AD$229,Nutrients!$BW$8:$BW$228)+(IF($A$7=Nutrients!$B$8,Nutrients!$BW$8,Nutrients!$BW$9)*AD$7)+(((IF($A$8=Nutrients!$B$79,Nutrients!$BW$79,(IF($A$8=Nutrients!$B$77,Nutrients!$BW$77,Nutrients!$BW$78)))))*AD$8))/2000</f>
        <v>0.20794869108920333</v>
      </c>
      <c r="AE306" s="23">
        <f>(SUMPRODUCT(AE$9:AE$229,Nutrients!$BW$8:$BW$228)+(IF($A$7=Nutrients!$B$8,Nutrients!$BW$8,Nutrients!$BW$9)*AE$7)+(((IF($A$8=Nutrients!$B$79,Nutrients!$BW$79,(IF($A$8=Nutrients!$B$77,Nutrients!$BW$77,Nutrients!$BW$78)))))*AE$8))/2000</f>
        <v>0.20435453764611294</v>
      </c>
      <c r="AF306" s="23">
        <f>(SUMPRODUCT(AF$9:AF$229,Nutrients!$BW$8:$BW$228)+(IF($A$7=Nutrients!$B$8,Nutrients!$BW$8,Nutrients!$BW$9)*AF$7)+(((IF($A$8=Nutrients!$B$79,Nutrients!$BW$79,(IF($A$8=Nutrients!$B$77,Nutrients!$BW$77,Nutrients!$BW$78)))))*AF$8))/2000</f>
        <v>0.20123277930468592</v>
      </c>
      <c r="AG306" s="23">
        <f>(SUMPRODUCT(AG$9:AG$229,Nutrients!$BW$8:$BW$228)+(IF($A$7=Nutrients!$B$8,Nutrients!$BW$8,Nutrients!$BW$9)*AG$7)+(((IF($A$8=Nutrients!$B$79,Nutrients!$BW$79,(IF($A$8=Nutrients!$B$77,Nutrients!$BW$77,Nutrients!$BW$78)))))*AG$8))/2000</f>
        <v>0.19863749145565177</v>
      </c>
      <c r="AH306" s="23">
        <f>(SUMPRODUCT(AH$9:AH$229,Nutrients!$BW$8:$BW$228)+(IF($A$7=Nutrients!$B$8,Nutrients!$BW$8,Nutrients!$BW$9)*AH$7)+(((IF($A$8=Nutrients!$B$79,Nutrients!$BW$79,(IF($A$8=Nutrients!$B$77,Nutrients!$BW$77,Nutrients!$BW$78)))))*AH$8))/2000</f>
        <v>0.19701873148871532</v>
      </c>
      <c r="AI306" s="23">
        <f>(SUMPRODUCT(AI$9:AI$229,Nutrients!$BW$8:$BW$228)+(IF($A$7=Nutrients!$B$8,Nutrients!$BW$8,Nutrients!$BW$9)*AI$7)+(((IF($A$8=Nutrients!$B$79,Nutrients!$BW$79,(IF($A$8=Nutrients!$B$77,Nutrients!$BW$77,Nutrients!$BW$78)))))*AI$8))/2000</f>
        <v>0.19619936733661458</v>
      </c>
      <c r="AK306" s="23">
        <f>(SUMPRODUCT(AK$9:AK$229,Nutrients!$BW$8:$BW$228)+(IF($A$7=Nutrients!$B$8,Nutrients!$BW$8,Nutrients!$BW$9)*AK$7)+(((IF($A$8=Nutrients!$B$79,Nutrients!$BW$79,(IF($A$8=Nutrients!$B$77,Nutrients!$BW$77,Nutrients!$BW$78)))))*AK$8))/2000</f>
        <v>0.21533241450511756</v>
      </c>
      <c r="AL306" s="23">
        <f>(SUMPRODUCT(AL$9:AL$229,Nutrients!$BW$8:$BW$228)+(IF($A$7=Nutrients!$B$8,Nutrients!$BW$8,Nutrients!$BW$9)*AL$7)+(((IF($A$8=Nutrients!$B$79,Nutrients!$BW$79,(IF($A$8=Nutrients!$B$77,Nutrients!$BW$77,Nutrients!$BW$78)))))*AL$8))/2000</f>
        <v>0.21174040873920949</v>
      </c>
      <c r="AM306" s="23">
        <f>(SUMPRODUCT(AM$9:AM$229,Nutrients!$BW$8:$BW$228)+(IF($A$7=Nutrients!$B$8,Nutrients!$BW$8,Nutrients!$BW$9)*AM$7)+(((IF($A$8=Nutrients!$B$79,Nutrients!$BW$79,(IF($A$8=Nutrients!$B$77,Nutrients!$BW$77,Nutrients!$BW$78)))))*AM$8))/2000</f>
        <v>0.2086175068206311</v>
      </c>
      <c r="AN306" s="23">
        <f>(SUMPRODUCT(AN$9:AN$229,Nutrients!$BW$8:$BW$228)+(IF($A$7=Nutrients!$B$8,Nutrients!$BW$8,Nutrients!$BW$9)*AN$7)+(((IF($A$8=Nutrients!$B$79,Nutrients!$BW$79,(IF($A$8=Nutrients!$B$77,Nutrients!$BW$77,Nutrients!$BW$78)))))*AN$8))/2000</f>
        <v>0.20613045995446339</v>
      </c>
      <c r="AO306" s="23">
        <f>(SUMPRODUCT(AO$9:AO$229,Nutrients!$BW$8:$BW$228)+(IF($A$7=Nutrients!$B$8,Nutrients!$BW$8,Nutrients!$BW$9)*AO$7)+(((IF($A$8=Nutrients!$B$79,Nutrients!$BW$79,(IF($A$8=Nutrients!$B$77,Nutrients!$BW$77,Nutrients!$BW$78)))))*AO$8))/2000</f>
        <v>0.2045344392217846</v>
      </c>
      <c r="AP306" s="23">
        <f>(SUMPRODUCT(AP$9:AP$229,Nutrients!$BW$8:$BW$228)+(IF($A$7=Nutrients!$B$8,Nutrients!$BW$8,Nutrients!$BW$9)*AP$7)+(((IF($A$8=Nutrients!$B$79,Nutrients!$BW$79,(IF($A$8=Nutrients!$B$77,Nutrients!$BW$77,Nutrients!$BW$78)))))*AP$8))/2000</f>
        <v>0.20371493835319637</v>
      </c>
      <c r="AR306" s="23">
        <f>(SUMPRODUCT(AR$9:AR$229,Nutrients!$BW$8:$BW$228)+(IF($A$7=Nutrients!$B$8,Nutrients!$BW$8,Nutrients!$BW$9)*AR$7)+(((IF($A$8=Nutrients!$B$79,Nutrients!$BW$79,(IF($A$8=Nutrients!$B$77,Nutrients!$BW$77,Nutrients!$BW$78)))))*AR$8))/2000</f>
        <v>0.22272033360004412</v>
      </c>
      <c r="AS306" s="23">
        <f>(SUMPRODUCT(AS$9:AS$229,Nutrients!$BW$8:$BW$228)+(IF($A$7=Nutrients!$B$8,Nutrients!$BW$8,Nutrients!$BW$9)*AS$7)+(((IF($A$8=Nutrients!$B$79,Nutrients!$BW$79,(IF($A$8=Nutrients!$B$77,Nutrients!$BW$77,Nutrients!$BW$78)))))*AS$8))/2000</f>
        <v>0.21912746362558358</v>
      </c>
      <c r="AT306" s="23">
        <f>(SUMPRODUCT(AT$9:AT$229,Nutrients!$BW$8:$BW$228)+(IF($A$7=Nutrients!$B$8,Nutrients!$BW$8,Nutrients!$BW$9)*AT$7)+(((IF($A$8=Nutrients!$B$79,Nutrients!$BW$79,(IF($A$8=Nutrients!$B$77,Nutrients!$BW$77,Nutrients!$BW$78)))))*AT$8))/2000</f>
        <v>0.21604027907704085</v>
      </c>
      <c r="AU306" s="23">
        <f>(SUMPRODUCT(AU$9:AU$229,Nutrients!$BW$8:$BW$228)+(IF($A$7=Nutrients!$B$8,Nutrients!$BW$8,Nutrients!$BW$9)*AU$7)+(((IF($A$8=Nutrients!$B$79,Nutrients!$BW$79,(IF($A$8=Nutrients!$B$77,Nutrients!$BW$77,Nutrients!$BW$78)))))*AU$8))/2000</f>
        <v>0.21364673429155018</v>
      </c>
      <c r="AV306" s="23">
        <f>(SUMPRODUCT(AV$9:AV$229,Nutrients!$BW$8:$BW$228)+(IF($A$7=Nutrients!$B$8,Nutrients!$BW$8,Nutrients!$BW$9)*AV$7)+(((IF($A$8=Nutrients!$B$79,Nutrients!$BW$79,(IF($A$8=Nutrients!$B$77,Nutrients!$BW$77,Nutrients!$BW$78)))))*AV$8))/2000</f>
        <v>0.21204981488235475</v>
      </c>
      <c r="AW306" s="23">
        <f>(SUMPRODUCT(AW$9:AW$229,Nutrients!$BW$8:$BW$228)+(IF($A$7=Nutrients!$B$8,Nutrients!$BW$8,Nutrients!$BW$9)*AW$7)+(((IF($A$8=Nutrients!$B$79,Nutrients!$BW$79,(IF($A$8=Nutrients!$B$77,Nutrients!$BW$77,Nutrients!$BW$78)))))*AW$8))/2000</f>
        <v>0.21123019339100649</v>
      </c>
    </row>
    <row r="307" spans="1:49" x14ac:dyDescent="0.25">
      <c r="A307" t="s">
        <v>66</v>
      </c>
      <c r="B307" s="23">
        <f>(SUMPRODUCT(B$9:B$229,Nutrients!$BT$8:$BT$228)+(IF($A$7=Nutrients!$B$8,Nutrients!$BT$8,Nutrients!$BT$9)*B$7)+(((IF($A$8=Nutrients!$B$79,Nutrients!$BT$79,(IF($A$8=Nutrients!$B$77,Nutrients!$BT$77,Nutrients!$BT$78)))))*B$8))/2000</f>
        <v>0.31519434822612252</v>
      </c>
      <c r="C307" s="23">
        <f>(SUMPRODUCT(C$9:C$229,Nutrients!$BT$8:$BT$228)+(IF($A$7=Nutrients!$B$8,Nutrients!$BT$8,Nutrients!$BT$9)*C$7)+(((IF($A$8=Nutrients!$B$79,Nutrients!$BT$79,(IF($A$8=Nutrients!$B$77,Nutrients!$BT$77,Nutrients!$BT$78)))))*C$8))/2000</f>
        <v>0.3147366231672945</v>
      </c>
      <c r="D307" s="23">
        <f>(SUMPRODUCT(D$9:D$229,Nutrients!$BT$8:$BT$228)+(IF($A$7=Nutrients!$B$8,Nutrients!$BT$8,Nutrients!$BT$9)*D$7)+(((IF($A$8=Nutrients!$B$79,Nutrients!$BT$79,(IF($A$8=Nutrients!$B$77,Nutrients!$BT$77,Nutrients!$BT$78)))))*D$8))/2000</f>
        <v>0.31354180150272754</v>
      </c>
      <c r="E307" s="23">
        <f>(SUMPRODUCT(E$9:E$229,Nutrients!$BT$8:$BT$228)+(IF($A$7=Nutrients!$B$8,Nutrients!$BT$8,Nutrients!$BT$9)*E$7)+(((IF($A$8=Nutrients!$B$79,Nutrients!$BT$79,(IF($A$8=Nutrients!$B$77,Nutrients!$BT$77,Nutrients!$BT$78)))))*E$8))/2000</f>
        <v>0.31295871729246166</v>
      </c>
      <c r="F307" s="23">
        <f>(SUMPRODUCT(F$9:F$229,Nutrients!$BT$8:$BT$228)+(IF($A$7=Nutrients!$B$8,Nutrients!$BT$8,Nutrients!$BT$9)*F$7)+(((IF($A$8=Nutrients!$B$79,Nutrients!$BT$79,(IF($A$8=Nutrients!$B$77,Nutrients!$BT$77,Nutrients!$BT$78)))))*F$8))/2000</f>
        <v>0.31206915279820541</v>
      </c>
      <c r="G307" s="23">
        <f>(SUMPRODUCT(G$9:G$229,Nutrients!$BT$8:$BT$228)+(IF($A$7=Nutrients!$B$8,Nutrients!$BT$8,Nutrients!$BT$9)*G$7)+(((IF($A$8=Nutrients!$B$79,Nutrients!$BT$79,(IF($A$8=Nutrients!$B$77,Nutrients!$BT$77,Nutrients!$BT$78)))))*G$8))/2000</f>
        <v>0.31085636054251664</v>
      </c>
      <c r="H307" s="227"/>
      <c r="I307" s="23">
        <f>(SUMPRODUCT(I$9:I$229,Nutrients!$BT$8:$BT$228)+(IF($A$7=Nutrients!$B$8,Nutrients!$BT$8,Nutrients!$BT$9)*I$7)+(((IF($A$8=Nutrients!$B$79,Nutrients!$BT$79,(IF($A$8=Nutrients!$B$77,Nutrients!$BT$77,Nutrients!$BT$78)))))*I$8))/2000</f>
        <v>0.32773618409760291</v>
      </c>
      <c r="J307" s="23">
        <f>(SUMPRODUCT(J$9:J$229,Nutrients!$BT$8:$BT$228)+(IF($A$7=Nutrients!$B$8,Nutrients!$BT$8,Nutrients!$BT$9)*J$7)+(((IF($A$8=Nutrients!$B$79,Nutrients!$BT$79,(IF($A$8=Nutrients!$B$77,Nutrients!$BT$77,Nutrients!$BT$78)))))*J$8))/2000</f>
        <v>0.32727551196726867</v>
      </c>
      <c r="K307" s="23">
        <f>(SUMPRODUCT(K$9:K$229,Nutrients!$BT$8:$BT$228)+(IF($A$7=Nutrients!$B$8,Nutrients!$BT$8,Nutrients!$BT$9)*K$7)+(((IF($A$8=Nutrients!$B$79,Nutrients!$BT$79,(IF($A$8=Nutrients!$B$77,Nutrients!$BT$77,Nutrients!$BT$78)))))*K$8))/2000</f>
        <v>0.32608604316010609</v>
      </c>
      <c r="L307" s="23">
        <f>(SUMPRODUCT(L$9:L$229,Nutrients!$BT$8:$BT$228)+(IF($A$7=Nutrients!$B$8,Nutrients!$BT$8,Nutrients!$BT$9)*L$7)+(((IF($A$8=Nutrients!$B$79,Nutrients!$BT$79,(IF($A$8=Nutrients!$B$77,Nutrients!$BT$77,Nutrients!$BT$78)))))*L$8))/2000</f>
        <v>0.32551104636396283</v>
      </c>
      <c r="M307" s="23">
        <f>(SUMPRODUCT(M$9:M$229,Nutrients!$BT$8:$BT$228)+(IF($A$7=Nutrients!$B$8,Nutrients!$BT$8,Nutrients!$BT$9)*M$7)+(((IF($A$8=Nutrients!$B$79,Nutrients!$BT$79,(IF($A$8=Nutrients!$B$77,Nutrients!$BT$77,Nutrients!$BT$78)))))*M$8))/2000</f>
        <v>0.32461567674793873</v>
      </c>
      <c r="N307" s="23">
        <f>(SUMPRODUCT(N$9:N$229,Nutrients!$BT$8:$BT$228)+(IF($A$7=Nutrients!$B$8,Nutrients!$BT$8,Nutrients!$BT$9)*N$7)+(((IF($A$8=Nutrients!$B$79,Nutrients!$BT$79,(IF($A$8=Nutrients!$B$77,Nutrients!$BT$77,Nutrients!$BT$78)))))*N$8))/2000</f>
        <v>0.32340683308396428</v>
      </c>
      <c r="O307" s="198"/>
      <c r="P307" s="23">
        <f>(SUMPRODUCT(P$9:P$229,Nutrients!$BT$8:$BT$228)+(IF($A$7=Nutrients!$B$8,Nutrients!$BT$8,Nutrients!$BT$9)*P$7)+(((IF($A$8=Nutrients!$B$79,Nutrients!$BT$79,(IF($A$8=Nutrients!$B$77,Nutrients!$BT$77,Nutrients!$BT$78)))))*P$8))/2000</f>
        <v>0.34027750037707466</v>
      </c>
      <c r="Q307" s="23">
        <f>(SUMPRODUCT(Q$9:Q$229,Nutrients!$BT$8:$BT$228)+(IF($A$7=Nutrients!$B$8,Nutrients!$BT$8,Nutrients!$BT$9)*Q$7)+(((IF($A$8=Nutrients!$B$79,Nutrients!$BT$79,(IF($A$8=Nutrients!$B$77,Nutrients!$BT$77,Nutrients!$BT$78)))))*Q$8))/2000</f>
        <v>0.33981587855654122</v>
      </c>
      <c r="R307" s="23">
        <f>(SUMPRODUCT(R$9:R$229,Nutrients!$BT$8:$BT$228)+(IF($A$7=Nutrients!$B$8,Nutrients!$BT$8,Nutrients!$BT$9)*R$7)+(((IF($A$8=Nutrients!$B$79,Nutrients!$BT$79,(IF($A$8=Nutrients!$B$77,Nutrients!$BT$77,Nutrients!$BT$78)))))*R$8))/2000</f>
        <v>0.33862497629215982</v>
      </c>
      <c r="S307" s="23">
        <f>(SUMPRODUCT(S$9:S$229,Nutrients!$BT$8:$BT$228)+(IF($A$7=Nutrients!$B$8,Nutrients!$BT$8,Nutrients!$BT$9)*S$7)+(((IF($A$8=Nutrients!$B$79,Nutrients!$BT$79,(IF($A$8=Nutrients!$B$77,Nutrients!$BT$77,Nutrients!$BT$78)))))*S$8))/2000</f>
        <v>0.33805054332115853</v>
      </c>
      <c r="T307" s="23">
        <f>(SUMPRODUCT(T$9:T$229,Nutrients!$BT$8:$BT$228)+(IF($A$7=Nutrients!$B$8,Nutrients!$BT$8,Nutrients!$BT$9)*T$7)+(((IF($A$8=Nutrients!$B$79,Nutrients!$BT$79,(IF($A$8=Nutrients!$B$77,Nutrients!$BT$77,Nutrients!$BT$78)))))*T$8))/2000</f>
        <v>0.33715376781138728</v>
      </c>
      <c r="U307" s="23">
        <f>(SUMPRODUCT(U$9:U$229,Nutrients!$BT$8:$BT$228)+(IF($A$7=Nutrients!$B$8,Nutrients!$BT$8,Nutrients!$BT$9)*U$7)+(((IF($A$8=Nutrients!$B$79,Nutrients!$BT$79,(IF($A$8=Nutrients!$B$77,Nutrients!$BT$77,Nutrients!$BT$78)))))*U$8))/2000</f>
        <v>0.33594346420053894</v>
      </c>
      <c r="W307" s="23">
        <f>(SUMPRODUCT(W$9:W$229,Nutrients!$BT$8:$BT$228)+(IF($A$7=Nutrients!$B$8,Nutrients!$BT$8,Nutrients!$BT$9)*W$7)+(((IF($A$8=Nutrients!$B$79,Nutrients!$BT$79,(IF($A$8=Nutrients!$B$77,Nutrients!$BT$77,Nutrients!$BT$78)))))*W$8))/2000</f>
        <v>0.35281806738848021</v>
      </c>
      <c r="X307" s="23">
        <f>(SUMPRODUCT(X$9:X$229,Nutrients!$BT$8:$BT$228)+(IF($A$7=Nutrients!$B$8,Nutrients!$BT$8,Nutrients!$BT$9)*X$7)+(((IF($A$8=Nutrients!$B$79,Nutrients!$BT$79,(IF($A$8=Nutrients!$B$77,Nutrients!$BT$77,Nutrients!$BT$78)))))*X$8))/2000</f>
        <v>0.3523553458490345</v>
      </c>
      <c r="Y307" s="23">
        <f>(SUMPRODUCT(Y$9:Y$229,Nutrients!$BT$8:$BT$228)+(IF($A$7=Nutrients!$B$8,Nutrients!$BT$8,Nutrients!$BT$9)*Y$7)+(((IF($A$8=Nutrients!$B$79,Nutrients!$BT$79,(IF($A$8=Nutrients!$B$77,Nutrients!$BT$77,Nutrients!$BT$78)))))*Y$8))/2000</f>
        <v>0.35116565592962989</v>
      </c>
      <c r="Z307" s="23">
        <f>(SUMPRODUCT(Z$9:Z$229,Nutrients!$BT$8:$BT$228)+(IF($A$7=Nutrients!$B$8,Nutrients!$BT$8,Nutrients!$BT$9)*Z$7)+(((IF($A$8=Nutrients!$B$79,Nutrients!$BT$79,(IF($A$8=Nutrients!$B$77,Nutrients!$BT$77,Nutrients!$BT$78)))))*Z$8))/2000</f>
        <v>0.35059226939981891</v>
      </c>
      <c r="AA307" s="23">
        <f>(SUMPRODUCT(AA$9:AA$229,Nutrients!$BT$8:$BT$228)+(IF($A$7=Nutrients!$B$8,Nutrients!$BT$8,Nutrients!$BT$9)*AA$7)+(((IF($A$8=Nutrients!$B$79,Nutrients!$BT$79,(IF($A$8=Nutrients!$B$77,Nutrients!$BT$77,Nutrients!$BT$78)))))*AA$8))/2000</f>
        <v>0.3496896942806364</v>
      </c>
      <c r="AB307" s="23">
        <f>(SUMPRODUCT(AB$9:AB$229,Nutrients!$BT$8:$BT$228)+(IF($A$7=Nutrients!$B$8,Nutrients!$BT$8,Nutrients!$BT$9)*AB$7)+(((IF($A$8=Nutrients!$B$79,Nutrients!$BT$79,(IF($A$8=Nutrients!$B$77,Nutrients!$BT$77,Nutrients!$BT$78)))))*AB$8))/2000</f>
        <v>0.34845991233837753</v>
      </c>
      <c r="AD307" s="23">
        <f>(SUMPRODUCT(AD$9:AD$229,Nutrients!$BT$8:$BT$228)+(IF($A$7=Nutrients!$B$8,Nutrients!$BT$8,Nutrients!$BT$9)*AD$7)+(((IF($A$8=Nutrients!$B$79,Nutrients!$BT$79,(IF($A$8=Nutrients!$B$77,Nutrients!$BT$77,Nutrients!$BT$78)))))*AD$8))/2000</f>
        <v>0.36535751479595047</v>
      </c>
      <c r="AE307" s="23">
        <f>(SUMPRODUCT(AE$9:AE$229,Nutrients!$BT$8:$BT$228)+(IF($A$7=Nutrients!$B$8,Nutrients!$BT$8,Nutrients!$BT$9)*AE$7)+(((IF($A$8=Nutrients!$B$79,Nutrients!$BT$79,(IF($A$8=Nutrients!$B$77,Nutrients!$BT$77,Nutrients!$BT$78)))))*AE$8))/2000</f>
        <v>0.36489519862338887</v>
      </c>
      <c r="AF307" s="23">
        <f>(SUMPRODUCT(AF$9:AF$229,Nutrients!$BT$8:$BT$228)+(IF($A$7=Nutrients!$B$8,Nutrients!$BT$8,Nutrients!$BT$9)*AF$7)+(((IF($A$8=Nutrients!$B$79,Nutrients!$BT$79,(IF($A$8=Nutrients!$B$77,Nutrients!$BT$77,Nutrients!$BT$78)))))*AF$8))/2000</f>
        <v>0.36370888033473975</v>
      </c>
      <c r="AG307" s="23">
        <f>(SUMPRODUCT(AG$9:AG$229,Nutrients!$BT$8:$BT$228)+(IF($A$7=Nutrients!$B$8,Nutrients!$BT$8,Nutrients!$BT$9)*AG$7)+(((IF($A$8=Nutrients!$B$79,Nutrients!$BT$79,(IF($A$8=Nutrients!$B$77,Nutrients!$BT$77,Nutrients!$BT$78)))))*AG$8))/2000</f>
        <v>0.36312684661082534</v>
      </c>
      <c r="AH307" s="23">
        <f>(SUMPRODUCT(AH$9:AH$229,Nutrients!$BT$8:$BT$228)+(IF($A$7=Nutrients!$B$8,Nutrients!$BT$8,Nutrients!$BT$9)*AH$7)+(((IF($A$8=Nutrients!$B$79,Nutrients!$BT$79,(IF($A$8=Nutrients!$B$77,Nutrients!$BT$77,Nutrients!$BT$78)))))*AH$8))/2000</f>
        <v>0.36217224288400485</v>
      </c>
      <c r="AI307" s="23">
        <f>(SUMPRODUCT(AI$9:AI$229,Nutrients!$BT$8:$BT$228)+(IF($A$7=Nutrients!$B$8,Nutrients!$BT$8,Nutrients!$BT$9)*AI$7)+(((IF($A$8=Nutrients!$B$79,Nutrients!$BT$79,(IF($A$8=Nutrients!$B$77,Nutrients!$BT$77,Nutrients!$BT$78)))))*AI$8))/2000</f>
        <v>0.36092487160617487</v>
      </c>
      <c r="AK307" s="23">
        <f>(SUMPRODUCT(AK$9:AK$229,Nutrients!$BT$8:$BT$228)+(IF($A$7=Nutrients!$B$8,Nutrients!$BT$8,Nutrients!$BT$9)*AK$7)+(((IF($A$8=Nutrients!$B$79,Nutrients!$BT$79,(IF($A$8=Nutrients!$B$77,Nutrients!$BT$77,Nutrients!$BT$78)))))*AK$8))/2000</f>
        <v>0.37789041009733776</v>
      </c>
      <c r="AL307" s="23">
        <f>(SUMPRODUCT(AL$9:AL$229,Nutrients!$BT$8:$BT$228)+(IF($A$7=Nutrients!$B$8,Nutrients!$BT$8,Nutrients!$BT$9)*AL$7)+(((IF($A$8=Nutrients!$B$79,Nutrients!$BT$79,(IF($A$8=Nutrients!$B$77,Nutrients!$BT$77,Nutrients!$BT$78)))))*AL$8))/2000</f>
        <v>0.37743504661018573</v>
      </c>
      <c r="AM307" s="23">
        <f>(SUMPRODUCT(AM$9:AM$229,Nutrients!$BT$8:$BT$228)+(IF($A$7=Nutrients!$B$8,Nutrients!$BT$8,Nutrients!$BT$9)*AM$7)+(((IF($A$8=Nutrients!$B$79,Nutrients!$BT$79,(IF($A$8=Nutrients!$B$77,Nutrients!$BT$77,Nutrients!$BT$78)))))*AM$8))/2000</f>
        <v>0.37624502621386391</v>
      </c>
      <c r="AN307" s="23">
        <f>(SUMPRODUCT(AN$9:AN$229,Nutrients!$BT$8:$BT$228)+(IF($A$7=Nutrients!$B$8,Nutrients!$BT$8,Nutrients!$BT$9)*AN$7)+(((IF($A$8=Nutrients!$B$79,Nutrients!$BT$79,(IF($A$8=Nutrients!$B$77,Nutrients!$BT$77,Nutrients!$BT$78)))))*AN$8))/2000</f>
        <v>0.37561577151326347</v>
      </c>
      <c r="AO307" s="23">
        <f>(SUMPRODUCT(AO$9:AO$229,Nutrients!$BT$8:$BT$228)+(IF($A$7=Nutrients!$B$8,Nutrients!$BT$8,Nutrients!$BT$9)*AO$7)+(((IF($A$8=Nutrients!$B$79,Nutrients!$BT$79,(IF($A$8=Nutrients!$B$77,Nutrients!$BT$77,Nutrients!$BT$78)))))*AO$8))/2000</f>
        <v>0.37464072195363507</v>
      </c>
      <c r="AP307" s="23">
        <f>(SUMPRODUCT(AP$9:AP$229,Nutrients!$BT$8:$BT$228)+(IF($A$7=Nutrients!$B$8,Nutrients!$BT$8,Nutrients!$BT$9)*AP$7)+(((IF($A$8=Nutrients!$B$79,Nutrients!$BT$79,(IF($A$8=Nutrients!$B$77,Nutrients!$BT$77,Nutrients!$BT$78)))))*AP$8))/2000</f>
        <v>0.3733929184412435</v>
      </c>
      <c r="AR307" s="23">
        <f>(SUMPRODUCT(AR$9:AR$229,Nutrients!$BT$8:$BT$228)+(IF($A$7=Nutrients!$B$8,Nutrients!$BT$8,Nutrients!$BT$9)*AR$7)+(((IF($A$8=Nutrients!$B$79,Nutrients!$BT$79,(IF($A$8=Nutrients!$B$77,Nutrients!$BT$77,Nutrients!$BT$78)))))*AR$8))/2000</f>
        <v>0.39043330332443382</v>
      </c>
      <c r="AS307" s="23">
        <f>(SUMPRODUCT(AS$9:AS$229,Nutrients!$BT$8:$BT$228)+(IF($A$7=Nutrients!$B$8,Nutrients!$BT$8,Nutrients!$BT$9)*AS$7)+(((IF($A$8=Nutrients!$B$79,Nutrients!$BT$79,(IF($A$8=Nutrients!$B$77,Nutrients!$BT$77,Nutrients!$BT$78)))))*AS$8))/2000</f>
        <v>0.38997514213088402</v>
      </c>
      <c r="AT307" s="23">
        <f>(SUMPRODUCT(AT$9:AT$229,Nutrients!$BT$8:$BT$228)+(IF($A$7=Nutrients!$B$8,Nutrients!$BT$8,Nutrients!$BT$9)*AT$7)+(((IF($A$8=Nutrients!$B$79,Nutrients!$BT$79,(IF($A$8=Nutrients!$B$77,Nutrients!$BT$77,Nutrients!$BT$78)))))*AT$8))/2000</f>
        <v>0.38876987841500377</v>
      </c>
      <c r="AU307" s="23">
        <f>(SUMPRODUCT(AU$9:AU$229,Nutrients!$BT$8:$BT$228)+(IF($A$7=Nutrients!$B$8,Nutrients!$BT$8,Nutrients!$BT$9)*AU$7)+(((IF($A$8=Nutrients!$B$79,Nutrients!$BT$79,(IF($A$8=Nutrients!$B$77,Nutrients!$BT$77,Nutrients!$BT$78)))))*AU$8))/2000</f>
        <v>0.38808457330855944</v>
      </c>
      <c r="AV307" s="23">
        <f>(SUMPRODUCT(AV$9:AV$229,Nutrients!$BT$8:$BT$228)+(IF($A$7=Nutrients!$B$8,Nutrients!$BT$8,Nutrients!$BT$9)*AV$7)+(((IF($A$8=Nutrients!$B$79,Nutrients!$BT$79,(IF($A$8=Nutrients!$B$77,Nutrients!$BT$77,Nutrients!$BT$78)))))*AV$8))/2000</f>
        <v>0.38710814278484379</v>
      </c>
      <c r="AW307" s="23">
        <f>(SUMPRODUCT(AW$9:AW$229,Nutrients!$BT$8:$BT$228)+(IF($A$7=Nutrients!$B$8,Nutrients!$BT$8,Nutrients!$BT$9)*AW$7)+(((IF($A$8=Nutrients!$B$79,Nutrients!$BT$79,(IF($A$8=Nutrients!$B$77,Nutrients!$BT$77,Nutrients!$BT$78)))))*AW$8))/2000</f>
        <v>0.3858599547866276</v>
      </c>
    </row>
    <row r="308" spans="1:49" x14ac:dyDescent="0.25">
      <c r="A308" t="s">
        <v>67</v>
      </c>
      <c r="B308" s="23">
        <f>(SUMPRODUCT(B$9:B$229,Nutrients!$BU$8:$BU$228)+(IF($A$7=Nutrients!$B$8,Nutrients!$BU$8,Nutrients!$BU$9)*B$7)+(((IF($A$8=Nutrients!$B$79,Nutrients!$BU$79,(IF($A$8=Nutrients!$B$77,Nutrients!$BU$77,Nutrients!$BU$78)))))*B$8))/2000</f>
        <v>0.90672227094333946</v>
      </c>
      <c r="C308" s="23">
        <f>(SUMPRODUCT(C$9:C$229,Nutrients!$BU$8:$BU$228)+(IF($A$7=Nutrients!$B$8,Nutrients!$BU$8,Nutrients!$BU$9)*C$7)+(((IF($A$8=Nutrients!$B$79,Nutrients!$BU$79,(IF($A$8=Nutrients!$B$77,Nutrients!$BU$77,Nutrients!$BU$78)))))*C$8))/2000</f>
        <v>0.80119571619411978</v>
      </c>
      <c r="D308" s="23">
        <f>(SUMPRODUCT(D$9:D$229,Nutrients!$BU$8:$BU$228)+(IF($A$7=Nutrients!$B$8,Nutrients!$BU$8,Nutrients!$BU$9)*D$7)+(((IF($A$8=Nutrients!$B$79,Nutrients!$BU$79,(IF($A$8=Nutrients!$B$77,Nutrients!$BU$77,Nutrients!$BU$78)))))*D$8))/2000</f>
        <v>0.71030836475916248</v>
      </c>
      <c r="E308" s="23">
        <f>(SUMPRODUCT(E$9:E$229,Nutrients!$BU$8:$BU$228)+(IF($A$7=Nutrients!$B$8,Nutrients!$BU$8,Nutrients!$BU$9)*E$7)+(((IF($A$8=Nutrients!$B$79,Nutrients!$BU$79,(IF($A$8=Nutrients!$B$77,Nutrients!$BU$77,Nutrients!$BU$78)))))*E$8))/2000</f>
        <v>0.63370500360255355</v>
      </c>
      <c r="F308" s="23">
        <f>(SUMPRODUCT(F$9:F$229,Nutrients!$BU$8:$BU$228)+(IF($A$7=Nutrients!$B$8,Nutrients!$BU$8,Nutrients!$BU$9)*F$7)+(((IF($A$8=Nutrients!$B$79,Nutrients!$BU$79,(IF($A$8=Nutrients!$B$77,Nutrients!$BU$77,Nutrients!$BU$78)))))*F$8))/2000</f>
        <v>0.58276518762548057</v>
      </c>
      <c r="G308" s="23">
        <f>(SUMPRODUCT(G$9:G$229,Nutrients!$BU$8:$BU$228)+(IF($A$7=Nutrients!$B$8,Nutrients!$BU$8,Nutrients!$BU$9)*G$7)+(((IF($A$8=Nutrients!$B$79,Nutrients!$BU$79,(IF($A$8=Nutrients!$B$77,Nutrients!$BU$77,Nutrients!$BU$78)))))*G$8))/2000</f>
        <v>0.55679357869744972</v>
      </c>
      <c r="H308" s="227"/>
      <c r="I308" s="23">
        <f>(SUMPRODUCT(I$9:I$229,Nutrients!$BU$8:$BU$228)+(IF($A$7=Nutrients!$B$8,Nutrients!$BU$8,Nutrients!$BU$9)*I$7)+(((IF($A$8=Nutrients!$B$79,Nutrients!$BU$79,(IF($A$8=Nutrients!$B$77,Nutrients!$BU$77,Nutrients!$BU$78)))))*I$8))/2000</f>
        <v>0.90643292507164752</v>
      </c>
      <c r="J308" s="23">
        <f>(SUMPRODUCT(J$9:J$229,Nutrients!$BU$8:$BU$228)+(IF($A$7=Nutrients!$B$8,Nutrients!$BU$8,Nutrients!$BU$9)*J$7)+(((IF($A$8=Nutrients!$B$79,Nutrients!$BU$79,(IF($A$8=Nutrients!$B$77,Nutrients!$BU$77,Nutrients!$BU$78)))))*J$8))/2000</f>
        <v>0.80089626477003872</v>
      </c>
      <c r="K308" s="23">
        <f>(SUMPRODUCT(K$9:K$229,Nutrients!$BU$8:$BU$228)+(IF($A$7=Nutrients!$B$8,Nutrients!$BU$8,Nutrients!$BU$9)*K$7)+(((IF($A$8=Nutrients!$B$79,Nutrients!$BU$79,(IF($A$8=Nutrients!$B$77,Nutrients!$BU$77,Nutrients!$BU$78)))))*K$8))/2000</f>
        <v>0.71000818158492163</v>
      </c>
      <c r="L308" s="23">
        <f>(SUMPRODUCT(L$9:L$229,Nutrients!$BU$8:$BU$228)+(IF($A$7=Nutrients!$B$8,Nutrients!$BU$8,Nutrients!$BU$9)*L$7)+(((IF($A$8=Nutrients!$B$79,Nutrients!$BU$79,(IF($A$8=Nutrients!$B$77,Nutrients!$BU$77,Nutrients!$BU$78)))))*L$8))/2000</f>
        <v>0.63342802222851446</v>
      </c>
      <c r="M308" s="23">
        <f>(SUMPRODUCT(M$9:M$229,Nutrients!$BU$8:$BU$228)+(IF($A$7=Nutrients!$B$8,Nutrients!$BU$8,Nutrients!$BU$9)*M$7)+(((IF($A$8=Nutrients!$B$79,Nutrients!$BU$79,(IF($A$8=Nutrients!$B$77,Nutrients!$BU$77,Nutrients!$BU$78)))))*M$8))/2000</f>
        <v>0.58247763217707049</v>
      </c>
      <c r="N308" s="23">
        <f>(SUMPRODUCT(N$9:N$229,Nutrients!$BU$8:$BU$228)+(IF($A$7=Nutrients!$B$8,Nutrients!$BU$8,Nutrients!$BU$9)*N$7)+(((IF($A$8=Nutrients!$B$79,Nutrients!$BU$79,(IF($A$8=Nutrients!$B$77,Nutrients!$BU$77,Nutrients!$BU$78)))))*N$8))/2000</f>
        <v>0.55651353287114103</v>
      </c>
      <c r="O308" s="198"/>
      <c r="P308" s="23">
        <f>(SUMPRODUCT(P$9:P$229,Nutrients!$BU$8:$BU$228)+(IF($A$7=Nutrients!$B$8,Nutrients!$BU$8,Nutrients!$BU$9)*P$7)+(((IF($A$8=Nutrients!$B$79,Nutrients!$BU$79,(IF($A$8=Nutrients!$B$77,Nutrients!$BU$77,Nutrients!$BU$78)))))*P$8))/2000</f>
        <v>0.90613375404651042</v>
      </c>
      <c r="Q308" s="23">
        <f>(SUMPRODUCT(Q$9:Q$229,Nutrients!$BU$8:$BU$228)+(IF($A$7=Nutrients!$B$8,Nutrients!$BU$8,Nutrients!$BU$9)*Q$7)+(((IF($A$8=Nutrients!$B$79,Nutrients!$BU$79,(IF($A$8=Nutrients!$B$77,Nutrients!$BU$77,Nutrients!$BU$78)))))*Q$8))/2000</f>
        <v>0.80059377512913465</v>
      </c>
      <c r="R308" s="23">
        <f>(SUMPRODUCT(R$9:R$229,Nutrients!$BU$8:$BU$228)+(IF($A$7=Nutrients!$B$8,Nutrients!$BU$8,Nutrients!$BU$9)*R$7)+(((IF($A$8=Nutrients!$B$79,Nutrients!$BU$79,(IF($A$8=Nutrients!$B$77,Nutrients!$BU$77,Nutrients!$BU$78)))))*R$8))/2000</f>
        <v>0.70970068284343757</v>
      </c>
      <c r="S308" s="23">
        <f>(SUMPRODUCT(S$9:S$229,Nutrients!$BU$8:$BU$228)+(IF($A$7=Nutrients!$B$8,Nutrients!$BU$8,Nutrients!$BU$9)*S$7)+(((IF($A$8=Nutrients!$B$79,Nutrients!$BU$79,(IF($A$8=Nutrients!$B$77,Nutrients!$BU$77,Nutrients!$BU$78)))))*S$8))/2000</f>
        <v>0.63312249372849194</v>
      </c>
      <c r="T308" s="23">
        <f>(SUMPRODUCT(T$9:T$229,Nutrients!$BU$8:$BU$228)+(IF($A$7=Nutrients!$B$8,Nutrients!$BU$8,Nutrients!$BU$9)*T$7)+(((IF($A$8=Nutrients!$B$79,Nutrients!$BU$79,(IF($A$8=Nutrients!$B$77,Nutrients!$BU$77,Nutrients!$BU$78)))))*T$8))/2000</f>
        <v>0.58216719089479552</v>
      </c>
      <c r="U308" s="23">
        <f>(SUMPRODUCT(U$9:U$229,Nutrients!$BU$8:$BU$228)+(IF($A$7=Nutrients!$B$8,Nutrients!$BU$8,Nutrients!$BU$9)*U$7)+(((IF($A$8=Nutrients!$B$79,Nutrients!$BU$79,(IF($A$8=Nutrients!$B$77,Nutrients!$BU$77,Nutrients!$BU$78)))))*U$8))/2000</f>
        <v>0.55619798992232405</v>
      </c>
      <c r="W308" s="23">
        <f>(SUMPRODUCT(W$9:W$229,Nutrients!$BU$8:$BU$228)+(IF($A$7=Nutrients!$B$8,Nutrients!$BU$8,Nutrients!$BU$9)*W$7)+(((IF($A$8=Nutrients!$B$79,Nutrients!$BU$79,(IF($A$8=Nutrients!$B$77,Nutrients!$BU$77,Nutrients!$BU$78)))))*W$8))/2000</f>
        <v>0.90583196476457739</v>
      </c>
      <c r="X308" s="23">
        <f>(SUMPRODUCT(X$9:X$229,Nutrients!$BU$8:$BU$228)+(IF($A$7=Nutrients!$B$8,Nutrients!$BU$8,Nutrients!$BU$9)*X$7)+(((IF($A$8=Nutrients!$B$79,Nutrients!$BU$79,(IF($A$8=Nutrients!$B$77,Nutrients!$BU$77,Nutrients!$BU$78)))))*X$8))/2000</f>
        <v>0.80028814296820305</v>
      </c>
      <c r="Y308" s="23">
        <f>(SUMPRODUCT(Y$9:Y$229,Nutrients!$BU$8:$BU$228)+(IF($A$7=Nutrients!$B$8,Nutrients!$BU$8,Nutrients!$BU$9)*Y$7)+(((IF($A$8=Nutrients!$B$79,Nutrients!$BU$79,(IF($A$8=Nutrients!$B$77,Nutrients!$BU$77,Nutrients!$BU$78)))))*Y$8))/2000</f>
        <v>0.70939908489192138</v>
      </c>
      <c r="Z308" s="23">
        <f>(SUMPRODUCT(Z$9:Z$229,Nutrients!$BU$8:$BU$228)+(IF($A$7=Nutrients!$B$8,Nutrients!$BU$8,Nutrients!$BU$9)*Z$7)+(((IF($A$8=Nutrients!$B$79,Nutrients!$BU$79,(IF($A$8=Nutrients!$B$77,Nutrients!$BU$77,Nutrients!$BU$78)))))*Z$8))/2000</f>
        <v>0.63282455248127445</v>
      </c>
      <c r="AA308" s="23">
        <f>(SUMPRODUCT(AA$9:AA$229,Nutrients!$BU$8:$BU$228)+(IF($A$7=Nutrients!$B$8,Nutrients!$BU$8,Nutrients!$BU$9)*AA$7)+(((IF($A$8=Nutrients!$B$79,Nutrients!$BU$79,(IF($A$8=Nutrients!$B$77,Nutrients!$BU$77,Nutrients!$BU$78)))))*AA$8))/2000</f>
        <v>0.58184898338048263</v>
      </c>
      <c r="AB308" s="23">
        <f>(SUMPRODUCT(AB$9:AB$229,Nutrients!$BU$8:$BU$228)+(IF($A$7=Nutrients!$B$8,Nutrients!$BU$8,Nutrients!$BU$9)*AB$7)+(((IF($A$8=Nutrients!$B$79,Nutrients!$BU$79,(IF($A$8=Nutrients!$B$77,Nutrients!$BU$77,Nutrients!$BU$78)))))*AB$8))/2000</f>
        <v>0.55585123360885014</v>
      </c>
      <c r="AD308" s="23">
        <f>(SUMPRODUCT(AD$9:AD$229,Nutrients!$BU$8:$BU$228)+(IF($A$7=Nutrients!$B$8,Nutrients!$BU$8,Nutrients!$BU$9)*AD$7)+(((IF($A$8=Nutrients!$B$79,Nutrients!$BU$79,(IF($A$8=Nutrients!$B$77,Nutrients!$BU$77,Nutrients!$BU$78)))))*AD$8))/2000</f>
        <v>0.90552616200089908</v>
      </c>
      <c r="AE308" s="23">
        <f>(SUMPRODUCT(AE$9:AE$229,Nutrients!$BU$8:$BU$228)+(IF($A$7=Nutrients!$B$8,Nutrients!$BU$8,Nutrients!$BU$9)*AE$7)+(((IF($A$8=Nutrients!$B$79,Nutrients!$BU$79,(IF($A$8=Nutrients!$B$77,Nutrients!$BU$77,Nutrients!$BU$78)))))*AE$8))/2000</f>
        <v>0.79998375672639099</v>
      </c>
      <c r="AF308" s="23">
        <f>(SUMPRODUCT(AF$9:AF$229,Nutrients!$BU$8:$BU$228)+(IF($A$7=Nutrients!$B$8,Nutrients!$BU$8,Nutrients!$BU$9)*AF$7)+(((IF($A$8=Nutrients!$B$79,Nutrients!$BU$79,(IF($A$8=Nutrients!$B$77,Nutrients!$BU$77,Nutrients!$BU$78)))))*AF$8))/2000</f>
        <v>0.7091064805417141</v>
      </c>
      <c r="AG308" s="23">
        <f>(SUMPRODUCT(AG$9:AG$229,Nutrients!$BU$8:$BU$228)+(IF($A$7=Nutrients!$B$8,Nutrients!$BU$8,Nutrients!$BU$9)*AG$7)+(((IF($A$8=Nutrients!$B$79,Nutrients!$BU$79,(IF($A$8=Nutrients!$B$77,Nutrients!$BU$77,Nutrients!$BU$78)))))*AG$8))/2000</f>
        <v>0.6325017312090474</v>
      </c>
      <c r="AH308" s="23">
        <f>(SUMPRODUCT(AH$9:AH$229,Nutrients!$BU$8:$BU$228)+(IF($A$7=Nutrients!$B$8,Nutrients!$BU$8,Nutrients!$BU$9)*AH$7)+(((IF($A$8=Nutrients!$B$79,Nutrients!$BU$79,(IF($A$8=Nutrients!$B$77,Nutrients!$BU$77,Nutrients!$BU$78)))))*AH$8))/2000</f>
        <v>0.58143545590533219</v>
      </c>
      <c r="AI308" s="23">
        <f>(SUMPRODUCT(AI$9:AI$229,Nutrients!$BU$8:$BU$228)+(IF($A$7=Nutrients!$B$8,Nutrients!$BU$8,Nutrients!$BU$9)*AI$7)+(((IF($A$8=Nutrients!$B$79,Nutrients!$BU$79,(IF($A$8=Nutrients!$B$77,Nutrients!$BU$77,Nutrients!$BU$78)))))*AI$8))/2000</f>
        <v>0.55539429692239728</v>
      </c>
      <c r="AK308" s="23">
        <f>(SUMPRODUCT(AK$9:AK$229,Nutrients!$BU$8:$BU$228)+(IF($A$7=Nutrients!$B$8,Nutrients!$BU$8,Nutrients!$BU$9)*AK$7)+(((IF($A$8=Nutrients!$B$79,Nutrients!$BU$79,(IF($A$8=Nutrients!$B$77,Nutrients!$BU$77,Nutrients!$BU$78)))))*AK$8))/2000</f>
        <v>0.90519741287315858</v>
      </c>
      <c r="AL308" s="23">
        <f>(SUMPRODUCT(AL$9:AL$229,Nutrients!$BU$8:$BU$228)+(IF($A$7=Nutrients!$B$8,Nutrients!$BU$8,Nutrients!$BU$9)*AL$7)+(((IF($A$8=Nutrients!$B$79,Nutrients!$BU$79,(IF($A$8=Nutrients!$B$77,Nutrients!$BU$77,Nutrients!$BU$78)))))*AL$8))/2000</f>
        <v>0.79967930319677516</v>
      </c>
      <c r="AM308" s="23">
        <f>(SUMPRODUCT(AM$9:AM$229,Nutrients!$BU$8:$BU$228)+(IF($A$7=Nutrients!$B$8,Nutrients!$BU$8,Nutrients!$BU$9)*AM$7)+(((IF($A$8=Nutrients!$B$79,Nutrients!$BU$79,(IF($A$8=Nutrients!$B$77,Nutrients!$BU$77,Nutrients!$BU$78)))))*AM$8))/2000</f>
        <v>0.70878909029557324</v>
      </c>
      <c r="AN308" s="23">
        <f>(SUMPRODUCT(AN$9:AN$229,Nutrients!$BU$8:$BU$228)+(IF($A$7=Nutrients!$B$8,Nutrients!$BU$8,Nutrients!$BU$9)*AN$7)+(((IF($A$8=Nutrients!$B$79,Nutrients!$BU$79,(IF($A$8=Nutrients!$B$77,Nutrients!$BU$77,Nutrients!$BU$78)))))*AN$8))/2000</f>
        <v>0.63210648529826008</v>
      </c>
      <c r="AO308" s="23">
        <f>(SUMPRODUCT(AO$9:AO$229,Nutrients!$BU$8:$BU$228)+(IF($A$7=Nutrients!$B$8,Nutrients!$BU$8,Nutrients!$BU$9)*AO$7)+(((IF($A$8=Nutrients!$B$79,Nutrients!$BU$79,(IF($A$8=Nutrients!$B$77,Nutrients!$BU$77,Nutrients!$BU$78)))))*AO$8))/2000</f>
        <v>0.58098993280620703</v>
      </c>
      <c r="AP308" s="23">
        <f>(SUMPRODUCT(AP$9:AP$229,Nutrients!$BU$8:$BU$228)+(IF($A$7=Nutrients!$B$8,Nutrients!$BU$8,Nutrients!$BU$9)*AP$7)+(((IF($A$8=Nutrients!$B$79,Nutrients!$BU$79,(IF($A$8=Nutrients!$B$77,Nutrients!$BU$77,Nutrients!$BU$78)))))*AP$8))/2000</f>
        <v>0.554947262976205</v>
      </c>
      <c r="AR308" s="23">
        <f>(SUMPRODUCT(AR$9:AR$229,Nutrients!$BU$8:$BU$228)+(IF($A$7=Nutrients!$B$8,Nutrients!$BU$8,Nutrients!$BU$9)*AR$7)+(((IF($A$8=Nutrients!$B$79,Nutrients!$BU$79,(IF($A$8=Nutrients!$B$77,Nutrients!$BU$77,Nutrients!$BU$78)))))*AR$8))/2000</f>
        <v>0.90490375236424492</v>
      </c>
      <c r="AS308" s="23">
        <f>(SUMPRODUCT(AS$9:AS$229,Nutrients!$BU$8:$BU$228)+(IF($A$7=Nutrients!$B$8,Nutrients!$BU$8,Nutrients!$BU$9)*AS$7)+(((IF($A$8=Nutrients!$B$79,Nutrients!$BU$79,(IF($A$8=Nutrients!$B$77,Nutrients!$BU$77,Nutrients!$BU$78)))))*AS$8))/2000</f>
        <v>0.79937586632861191</v>
      </c>
      <c r="AT308" s="23">
        <f>(SUMPRODUCT(AT$9:AT$229,Nutrients!$BU$8:$BU$228)+(IF($A$7=Nutrients!$B$8,Nutrients!$BU$8,Nutrients!$BU$9)*AT$7)+(((IF($A$8=Nutrients!$B$79,Nutrients!$BU$79,(IF($A$8=Nutrients!$B$77,Nutrients!$BU$77,Nutrients!$BU$78)))))*AT$8))/2000</f>
        <v>0.70846105990456132</v>
      </c>
      <c r="AU308" s="23">
        <f>(SUMPRODUCT(AU$9:AU$229,Nutrients!$BU$8:$BU$228)+(IF($A$7=Nutrients!$B$8,Nutrients!$BU$8,Nutrients!$BU$9)*AU$7)+(((IF($A$8=Nutrients!$B$79,Nutrients!$BU$79,(IF($A$8=Nutrients!$B$77,Nutrients!$BU$77,Nutrients!$BU$78)))))*AU$8))/2000</f>
        <v>0.63166215389253555</v>
      </c>
      <c r="AV308" s="23">
        <f>(SUMPRODUCT(AV$9:AV$229,Nutrients!$BU$8:$BU$228)+(IF($A$7=Nutrients!$B$8,Nutrients!$BU$8,Nutrients!$BU$9)*AV$7)+(((IF($A$8=Nutrients!$B$79,Nutrients!$BU$79,(IF($A$8=Nutrients!$B$77,Nutrients!$BU$77,Nutrients!$BU$78)))))*AV$8))/2000</f>
        <v>0.58054071106827532</v>
      </c>
      <c r="AW308" s="23">
        <f>(SUMPRODUCT(AW$9:AW$229,Nutrients!$BU$8:$BU$228)+(IF($A$7=Nutrients!$B$8,Nutrients!$BU$8,Nutrients!$BU$9)*AW$7)+(((IF($A$8=Nutrients!$B$79,Nutrients!$BU$79,(IF($A$8=Nutrients!$B$77,Nutrients!$BU$77,Nutrients!$BU$78)))))*AW$8))/2000</f>
        <v>0.55449669742943208</v>
      </c>
    </row>
    <row r="309" spans="1:49" x14ac:dyDescent="0.25">
      <c r="A309" t="s">
        <v>42</v>
      </c>
      <c r="B309" s="8">
        <f t="shared" ref="B309:G309" si="181">(B306 * 434.98) + (B308* 255.74) - (B307*282.06)</f>
        <v>220.57763988748351</v>
      </c>
      <c r="C309" s="8">
        <f t="shared" si="181"/>
        <v>192.15600461244421</v>
      </c>
      <c r="D309" s="8">
        <f t="shared" si="181"/>
        <v>167.90252131513171</v>
      </c>
      <c r="E309" s="8">
        <f t="shared" si="181"/>
        <v>147.35122639861532</v>
      </c>
      <c r="F309" s="8">
        <f t="shared" si="181"/>
        <v>133.81760738274346</v>
      </c>
      <c r="G309" s="8">
        <f t="shared" si="181"/>
        <v>127.13493264786482</v>
      </c>
      <c r="H309" s="8"/>
      <c r="I309" s="8">
        <f t="shared" ref="I309:N309" si="182">(I306 * 434.98) + (I308* 255.74) - (I307*282.06)</f>
        <v>220.18392723361302</v>
      </c>
      <c r="J309" s="8">
        <f t="shared" si="182"/>
        <v>191.76075494599445</v>
      </c>
      <c r="K309" s="8">
        <f t="shared" si="182"/>
        <v>167.49485458369429</v>
      </c>
      <c r="L309" s="8">
        <f t="shared" si="182"/>
        <v>146.94447543346809</v>
      </c>
      <c r="M309" s="8">
        <f t="shared" si="182"/>
        <v>133.41506850408234</v>
      </c>
      <c r="N309" s="8">
        <f t="shared" si="182"/>
        <v>126.72974123379689</v>
      </c>
      <c r="O309" s="8"/>
      <c r="P309" s="8">
        <f t="shared" ref="P309:U309" si="183">(P306 * 434.98) + (P308* 255.74) - (P307*282.06)</f>
        <v>219.78339872741674</v>
      </c>
      <c r="Q309" s="8">
        <f t="shared" si="183"/>
        <v>191.35951800162624</v>
      </c>
      <c r="R309" s="8">
        <f t="shared" si="183"/>
        <v>167.09254832660437</v>
      </c>
      <c r="S309" s="8">
        <f t="shared" si="183"/>
        <v>146.54258977169786</v>
      </c>
      <c r="T309" s="8">
        <f t="shared" si="183"/>
        <v>133.01213409104884</v>
      </c>
      <c r="U309" s="8">
        <f t="shared" si="183"/>
        <v>126.32571774761583</v>
      </c>
      <c r="W309" s="8">
        <f t="shared" ref="W309:AB309" si="184">(W306 * 434.98) + (W308* 255.74) - (W307*282.06)</f>
        <v>219.38231129147732</v>
      </c>
      <c r="X309" s="8">
        <f t="shared" si="184"/>
        <v>190.95761021094739</v>
      </c>
      <c r="Y309" s="8">
        <f t="shared" si="184"/>
        <v>166.69085096512882</v>
      </c>
      <c r="Z309" s="8">
        <f t="shared" si="184"/>
        <v>146.1416730215044</v>
      </c>
      <c r="AA309" s="8">
        <f t="shared" si="184"/>
        <v>132.6068910198164</v>
      </c>
      <c r="AB309" s="8">
        <f t="shared" si="184"/>
        <v>125.93806891959169</v>
      </c>
      <c r="AD309" s="8">
        <f t="shared" ref="AD309:AI309" si="185">(AD306 * 434.98) + (AD308* 255.74) - (AD307*282.06)</f>
        <v>218.98004169674581</v>
      </c>
      <c r="AE309" s="8">
        <f t="shared" si="185"/>
        <v>190.55564300680041</v>
      </c>
      <c r="AF309" s="8">
        <f t="shared" si="185"/>
        <v>166.29139888847357</v>
      </c>
      <c r="AG309" s="8">
        <f t="shared" si="185"/>
        <v>145.73577041773177</v>
      </c>
      <c r="AH309" s="8">
        <f t="shared" si="185"/>
        <v>132.24120848832865</v>
      </c>
      <c r="AI309" s="8">
        <f t="shared" si="185"/>
        <v>125.57686901377683</v>
      </c>
      <c r="AK309" s="8">
        <f t="shared" ref="AK309:AP309" si="186">(AK306 * 434.98) + (AK308* 255.74) - (AK307*282.06)</f>
        <v>218.57271095756249</v>
      </c>
      <c r="AL309" s="8">
        <f t="shared" si="186"/>
        <v>190.15349874605562</v>
      </c>
      <c r="AM309" s="8">
        <f t="shared" si="186"/>
        <v>165.88649297514559</v>
      </c>
      <c r="AN309" s="8">
        <f t="shared" si="186"/>
        <v>145.37135550813844</v>
      </c>
      <c r="AO309" s="8">
        <f t="shared" si="186"/>
        <v>131.87959375430896</v>
      </c>
      <c r="AP309" s="8">
        <f t="shared" si="186"/>
        <v>125.21493034287089</v>
      </c>
      <c r="AR309" s="8">
        <f t="shared" ref="AR309:AW309" si="187">(AR306 * 434.98) + (AR308* 255.74) - (AR307*282.06)</f>
        <v>218.17335880328937</v>
      </c>
      <c r="AS309" s="8">
        <f t="shared" si="187"/>
        <v>189.75205959329841</v>
      </c>
      <c r="AT309" s="8">
        <f t="shared" si="187"/>
        <v>165.49860014718777</v>
      </c>
      <c r="AU309" s="8">
        <f t="shared" si="187"/>
        <v>145.01020097120326</v>
      </c>
      <c r="AV309" s="8">
        <f t="shared" si="187"/>
        <v>131.51718717223437</v>
      </c>
      <c r="AW309" s="8">
        <f t="shared" si="187"/>
        <v>124.85223607470681</v>
      </c>
    </row>
    <row r="310" spans="1:49" x14ac:dyDescent="0.25">
      <c r="A310" t="s">
        <v>73</v>
      </c>
      <c r="B310" s="202">
        <f>(SUMPRODUCT(B$9:B$229,Nutrients!$EG$8:$EG$228)+(IF($A$7=Nutrients!$B$8,Nutrients!$EG$8,Nutrients!$EG$9)*B$7)+(((IF($A$8=Nutrients!$B$79,Nutrients!$EG$79,(IF($A$8=Nutrients!$B$77,Nutrients!$EG$77,Nutrients!$EG$78)))))*B$8))/2000</f>
        <v>0.27113524017910468</v>
      </c>
      <c r="C310" s="202">
        <f>(SUMPRODUCT(C$9:C$229,Nutrients!$EG$8:$EG$228)+(IF($A$7=Nutrients!$B$8,Nutrients!$EG$8,Nutrients!$EG$9)*C$7)+(((IF($A$8=Nutrients!$B$79,Nutrients!$EG$79,(IF($A$8=Nutrients!$B$77,Nutrients!$EG$77,Nutrients!$EG$78)))))*C$8))/2000</f>
        <v>0.25613988263521914</v>
      </c>
      <c r="D310" s="202">
        <f>(SUMPRODUCT(D$9:D$229,Nutrients!$EG$8:$EG$228)+(IF($A$7=Nutrients!$B$8,Nutrients!$EG$8,Nutrients!$EG$9)*D$7)+(((IF($A$8=Nutrients!$B$79,Nutrients!$EG$79,(IF($A$8=Nutrients!$B$77,Nutrients!$EG$77,Nutrients!$EG$78)))))*D$8))/2000</f>
        <v>0.24325948567864156</v>
      </c>
      <c r="E310" s="202">
        <f>(SUMPRODUCT(E$9:E$229,Nutrients!$EG$8:$EG$228)+(IF($A$7=Nutrients!$B$8,Nutrients!$EG$8,Nutrients!$EG$9)*E$7)+(((IF($A$8=Nutrients!$B$79,Nutrients!$EG$79,(IF($A$8=Nutrients!$B$77,Nutrients!$EG$77,Nutrients!$EG$78)))))*E$8))/2000</f>
        <v>0.23238392794271739</v>
      </c>
      <c r="F310" s="202">
        <f>(SUMPRODUCT(F$9:F$229,Nutrients!$EG$8:$EG$228)+(IF($A$7=Nutrients!$B$8,Nutrients!$EG$8,Nutrients!$EG$9)*F$7)+(((IF($A$8=Nutrients!$B$79,Nutrients!$EG$79,(IF($A$8=Nutrients!$B$77,Nutrients!$EG$77,Nutrients!$EG$78)))))*F$8))/2000</f>
        <v>0.2252348701473687</v>
      </c>
      <c r="G310" s="202">
        <f>(SUMPRODUCT(G$9:G$229,Nutrients!$EG$8:$EG$228)+(IF($A$7=Nutrients!$B$8,Nutrients!$EG$8,Nutrients!$EG$9)*G$7)+(((IF($A$8=Nutrients!$B$79,Nutrients!$EG$79,(IF($A$8=Nutrients!$B$77,Nutrients!$EG$77,Nutrients!$EG$78)))))*G$8))/2000</f>
        <v>0.2215364317520549</v>
      </c>
      <c r="H310" s="232"/>
      <c r="I310" s="202">
        <f>(SUMPRODUCT(I$9:I$229,Nutrients!$EG$8:$EG$228)+(IF($A$7=Nutrients!$B$8,Nutrients!$EG$8,Nutrients!$EG$9)*I$7)+(((IF($A$8=Nutrients!$B$79,Nutrients!$EG$79,(IF($A$8=Nutrients!$B$77,Nutrients!$EG$77,Nutrients!$EG$78)))))*I$8))/2000</f>
        <v>0.26548932440567385</v>
      </c>
      <c r="J310" s="202">
        <f>(SUMPRODUCT(J$9:J$229,Nutrients!$EG$8:$EG$228)+(IF($A$7=Nutrients!$B$8,Nutrients!$EG$8,Nutrients!$EG$9)*J$7)+(((IF($A$8=Nutrients!$B$79,Nutrients!$EG$79,(IF($A$8=Nutrients!$B$77,Nutrients!$EG$77,Nutrients!$EG$78)))))*J$8))/2000</f>
        <v>0.25048274395213355</v>
      </c>
      <c r="K310" s="202">
        <f>(SUMPRODUCT(K$9:K$229,Nutrients!$EG$8:$EG$228)+(IF($A$7=Nutrients!$B$8,Nutrients!$EG$8,Nutrients!$EG$9)*K$7)+(((IF($A$8=Nutrients!$B$79,Nutrients!$EG$79,(IF($A$8=Nutrients!$B$77,Nutrients!$EG$77,Nutrients!$EG$78)))))*K$8))/2000</f>
        <v>0.23762260374114752</v>
      </c>
      <c r="L310" s="202">
        <f>(SUMPRODUCT(L$9:L$229,Nutrients!$EG$8:$EG$228)+(IF($A$7=Nutrients!$B$8,Nutrients!$EG$8,Nutrients!$EG$9)*L$7)+(((IF($A$8=Nutrients!$B$79,Nutrients!$EG$79,(IF($A$8=Nutrients!$B$77,Nutrients!$EG$77,Nutrients!$EG$78)))))*L$8))/2000</f>
        <v>0.22677703453639583</v>
      </c>
      <c r="M310" s="202">
        <f>(SUMPRODUCT(M$9:M$229,Nutrients!$EG$8:$EG$228)+(IF($A$7=Nutrients!$B$8,Nutrients!$EG$8,Nutrients!$EG$9)*M$7)+(((IF($A$8=Nutrients!$B$79,Nutrients!$EG$79,(IF($A$8=Nutrients!$B$77,Nutrients!$EG$77,Nutrients!$EG$78)))))*M$8))/2000</f>
        <v>0.21960642930363558</v>
      </c>
      <c r="N310" s="202">
        <f>(SUMPRODUCT(N$9:N$229,Nutrients!$EG$8:$EG$228)+(IF($A$7=Nutrients!$B$8,Nutrients!$EG$8,Nutrients!$EG$9)*N$7)+(((IF($A$8=Nutrients!$B$79,Nutrients!$EG$79,(IF($A$8=Nutrients!$B$77,Nutrients!$EG$77,Nutrients!$EG$78)))))*N$8))/2000</f>
        <v>0.2159227515008916</v>
      </c>
      <c r="O310" s="238"/>
      <c r="P310" s="202">
        <f>(SUMPRODUCT(P$9:P$229,Nutrients!$EG$8:$EG$228)+(IF($A$7=Nutrients!$B$8,Nutrients!$EG$8,Nutrients!$EG$9)*P$7)+(((IF($A$8=Nutrients!$B$79,Nutrients!$EG$79,(IF($A$8=Nutrients!$B$77,Nutrients!$EG$77,Nutrients!$EG$78)))))*P$8))/2000</f>
        <v>0.25984171982992577</v>
      </c>
      <c r="Q310" s="202">
        <f>(SUMPRODUCT(Q$9:Q$229,Nutrients!$EG$8:$EG$228)+(IF($A$7=Nutrients!$B$8,Nutrients!$EG$8,Nutrients!$EG$9)*Q$7)+(((IF($A$8=Nutrients!$B$79,Nutrients!$EG$79,(IF($A$8=Nutrients!$B$77,Nutrients!$EG$77,Nutrients!$EG$78)))))*Q$8))/2000</f>
        <v>0.24483193707260048</v>
      </c>
      <c r="R310" s="202">
        <f>(SUMPRODUCT(R$9:R$229,Nutrients!$EG$8:$EG$228)+(IF($A$7=Nutrients!$B$8,Nutrients!$EG$8,Nutrients!$EG$9)*R$7)+(((IF($A$8=Nutrients!$B$79,Nutrients!$EG$79,(IF($A$8=Nutrients!$B$77,Nutrients!$EG$77,Nutrients!$EG$78)))))*R$8))/2000</f>
        <v>0.23196696332170727</v>
      </c>
      <c r="S310" s="202">
        <f>(SUMPRODUCT(S$9:S$229,Nutrients!$EG$8:$EG$228)+(IF($A$7=Nutrients!$B$8,Nutrients!$EG$8,Nutrients!$EG$9)*S$7)+(((IF($A$8=Nutrients!$B$79,Nutrients!$EG$79,(IF($A$8=Nutrients!$B$77,Nutrients!$EG$77,Nutrients!$EG$78)))))*S$8))/2000</f>
        <v>0.22112329530471947</v>
      </c>
      <c r="T310" s="202">
        <f>(SUMPRODUCT(T$9:T$229,Nutrients!$EG$8:$EG$228)+(IF($A$7=Nutrients!$B$8,Nutrients!$EG$8,Nutrients!$EG$9)*T$7)+(((IF($A$8=Nutrients!$B$79,Nutrients!$EG$79,(IF($A$8=Nutrients!$B$77,Nutrients!$EG$77,Nutrients!$EG$78)))))*T$8))/2000</f>
        <v>0.21394794947458215</v>
      </c>
      <c r="U310" s="202">
        <f>(SUMPRODUCT(U$9:U$229,Nutrients!$EG$8:$EG$228)+(IF($A$7=Nutrients!$B$8,Nutrients!$EG$8,Nutrients!$EG$9)*U$7)+(((IF($A$8=Nutrients!$B$79,Nutrients!$EG$79,(IF($A$8=Nutrients!$B$77,Nutrients!$EG$77,Nutrients!$EG$78)))))*U$8))/2000</f>
        <v>0.21025934881025263</v>
      </c>
      <c r="W310" s="202">
        <f>(SUMPRODUCT(W$9:W$229,Nutrients!$EG$8:$EG$228)+(IF($A$7=Nutrients!$B$8,Nutrients!$EG$8,Nutrients!$EG$9)*W$7)+(((IF($A$8=Nutrients!$B$79,Nutrients!$EG$79,(IF($A$8=Nutrients!$B$77,Nutrients!$EG$77,Nutrients!$EG$78)))))*W$8))/2000</f>
        <v>0.2541915887629424</v>
      </c>
      <c r="X310" s="202">
        <f>(SUMPRODUCT(X$9:X$229,Nutrients!$EG$8:$EG$228)+(IF($A$7=Nutrients!$B$8,Nutrients!$EG$8,Nutrients!$EG$9)*X$7)+(((IF($A$8=Nutrients!$B$79,Nutrients!$EG$79,(IF($A$8=Nutrients!$B$77,Nutrients!$EG$77,Nutrients!$EG$78)))))*X$8))/2000</f>
        <v>0.23917809781315819</v>
      </c>
      <c r="Y310" s="202">
        <f>(SUMPRODUCT(Y$9:Y$229,Nutrients!$EG$8:$EG$228)+(IF($A$7=Nutrients!$B$8,Nutrients!$EG$8,Nutrients!$EG$9)*Y$7)+(((IF($A$8=Nutrients!$B$79,Nutrients!$EG$79,(IF($A$8=Nutrients!$B$77,Nutrients!$EG$77,Nutrients!$EG$78)))))*Y$8))/2000</f>
        <v>0.22631856080197885</v>
      </c>
      <c r="Z310" s="202">
        <f>(SUMPRODUCT(Z$9:Z$229,Nutrients!$EG$8:$EG$228)+(IF($A$7=Nutrients!$B$8,Nutrients!$EG$8,Nutrients!$EG$9)*Z$7)+(((IF($A$8=Nutrients!$B$79,Nutrients!$EG$79,(IF($A$8=Nutrients!$B$77,Nutrients!$EG$77,Nutrients!$EG$78)))))*Z$8))/2000</f>
        <v>0.21547842132786457</v>
      </c>
      <c r="AA310" s="202">
        <f>(SUMPRODUCT(AA$9:AA$229,Nutrients!$EG$8:$EG$228)+(IF($A$7=Nutrients!$B$8,Nutrients!$EG$8,Nutrients!$EG$9)*AA$7)+(((IF($A$8=Nutrients!$B$79,Nutrients!$EG$79,(IF($A$8=Nutrients!$B$77,Nutrients!$EG$77,Nutrients!$EG$78)))))*AA$8))/2000</f>
        <v>0.2082835195297032</v>
      </c>
      <c r="AB310" s="202">
        <f>(SUMPRODUCT(AB$9:AB$229,Nutrients!$EG$8:$EG$228)+(IF($A$7=Nutrients!$B$8,Nutrients!$EG$8,Nutrients!$EG$9)*AB$7)+(((IF($A$8=Nutrients!$B$79,Nutrients!$EG$79,(IF($A$8=Nutrients!$B$77,Nutrients!$EG$77,Nutrients!$EG$78)))))*AB$8))/2000</f>
        <v>0.20452789021122361</v>
      </c>
      <c r="AD310" s="202">
        <f>(SUMPRODUCT(AD$9:AD$229,Nutrients!$EG$8:$EG$228)+(IF($A$7=Nutrients!$B$8,Nutrients!$EG$8,Nutrients!$EG$9)*AD$7)+(((IF($A$8=Nutrients!$B$79,Nutrients!$EG$79,(IF($A$8=Nutrients!$B$77,Nutrients!$EG$77,Nutrients!$EG$78)))))*AD$8))/2000</f>
        <v>0.24853835684142286</v>
      </c>
      <c r="AE310" s="202">
        <f>(SUMPRODUCT(AE$9:AE$229,Nutrients!$EG$8:$EG$228)+(IF($A$7=Nutrients!$B$8,Nutrients!$EG$8,Nutrients!$EG$9)*AE$7)+(((IF($A$8=Nutrients!$B$79,Nutrients!$EG$79,(IF($A$8=Nutrients!$B$77,Nutrients!$EG$77,Nutrients!$EG$78)))))*AE$8))/2000</f>
        <v>0.2335262327667611</v>
      </c>
      <c r="AF310" s="202">
        <f>(SUMPRODUCT(AF$9:AF$229,Nutrients!$EG$8:$EG$228)+(IF($A$7=Nutrients!$B$8,Nutrients!$EG$8,Nutrients!$EG$9)*AF$7)+(((IF($A$8=Nutrients!$B$79,Nutrients!$EG$79,(IF($A$8=Nutrients!$B$77,Nutrients!$EG$77,Nutrients!$EG$78)))))*AF$8))/2000</f>
        <v>0.22067806471141418</v>
      </c>
      <c r="AG310" s="202">
        <f>(SUMPRODUCT(AG$9:AG$229,Nutrients!$EG$8:$EG$228)+(IF($A$7=Nutrients!$B$8,Nutrients!$EG$8,Nutrients!$EG$9)*AG$7)+(((IF($A$8=Nutrients!$B$79,Nutrients!$EG$79,(IF($A$8=Nutrients!$B$77,Nutrients!$EG$77,Nutrients!$EG$78)))))*AG$8))/2000</f>
        <v>0.20980876736831364</v>
      </c>
      <c r="AH310" s="202">
        <f>(SUMPRODUCT(AH$9:AH$229,Nutrients!$EG$8:$EG$228)+(IF($A$7=Nutrients!$B$8,Nutrients!$EG$8,Nutrients!$EG$9)*AH$7)+(((IF($A$8=Nutrients!$B$79,Nutrients!$EG$79,(IF($A$8=Nutrients!$B$77,Nutrients!$EG$77,Nutrients!$EG$78)))))*AH$8))/2000</f>
        <v>0.20242272290107982</v>
      </c>
      <c r="AI310" s="202">
        <f>(SUMPRODUCT(AI$9:AI$229,Nutrients!$EG$8:$EG$228)+(IF($A$7=Nutrients!$B$8,Nutrients!$EG$8,Nutrients!$EG$9)*AI$7)+(((IF($A$8=Nutrients!$B$79,Nutrients!$EG$79,(IF($A$8=Nutrients!$B$77,Nutrients!$EG$77,Nutrients!$EG$78)))))*AI$8))/2000</f>
        <v>0.19859975261411467</v>
      </c>
      <c r="AK310" s="202">
        <f>(SUMPRODUCT(AK$9:AK$229,Nutrients!$EG$8:$EG$228)+(IF($A$7=Nutrients!$B$8,Nutrients!$EG$8,Nutrients!$EG$9)*AK$7)+(((IF($A$8=Nutrients!$B$79,Nutrients!$EG$79,(IF($A$8=Nutrients!$B$77,Nutrients!$EG$77,Nutrients!$EG$78)))))*AK$8))/2000</f>
        <v>0.24286336876853187</v>
      </c>
      <c r="AL310" s="202">
        <f>(SUMPRODUCT(AL$9:AL$229,Nutrients!$EG$8:$EG$228)+(IF($A$7=Nutrients!$B$8,Nutrients!$EG$8,Nutrients!$EG$9)*AL$7)+(((IF($A$8=Nutrients!$B$79,Nutrients!$EG$79,(IF($A$8=Nutrients!$B$77,Nutrients!$EG$77,Nutrients!$EG$78)))))*AL$8))/2000</f>
        <v>0.22787468877154962</v>
      </c>
      <c r="AM310" s="202">
        <f>(SUMPRODUCT(AM$9:AM$229,Nutrients!$EG$8:$EG$228)+(IF($A$7=Nutrients!$B$8,Nutrients!$EG$8,Nutrients!$EG$9)*AM$7)+(((IF($A$8=Nutrients!$B$79,Nutrients!$EG$79,(IF($A$8=Nutrients!$B$77,Nutrients!$EG$77,Nutrients!$EG$78)))))*AM$8))/2000</f>
        <v>0.21501403741014952</v>
      </c>
      <c r="AN310" s="202">
        <f>(SUMPRODUCT(AN$9:AN$229,Nutrients!$EG$8:$EG$228)+(IF($A$7=Nutrients!$B$8,Nutrients!$EG$8,Nutrients!$EG$9)*AN$7)+(((IF($A$8=Nutrients!$B$79,Nutrients!$EG$79,(IF($A$8=Nutrients!$B$77,Nutrients!$EG$77,Nutrients!$EG$78)))))*AN$8))/2000</f>
        <v>0.20397020896524867</v>
      </c>
      <c r="AO310" s="202">
        <f>(SUMPRODUCT(AO$9:AO$229,Nutrients!$EG$8:$EG$228)+(IF($A$7=Nutrients!$B$8,Nutrients!$EG$8,Nutrients!$EG$9)*AO$7)+(((IF($A$8=Nutrients!$B$79,Nutrients!$EG$79,(IF($A$8=Nutrients!$B$77,Nutrients!$EG$77,Nutrients!$EG$78)))))*AO$8))/2000</f>
        <v>0.19651236352617171</v>
      </c>
      <c r="AP310" s="202">
        <f>(SUMPRODUCT(AP$9:AP$229,Nutrients!$EG$8:$EG$228)+(IF($A$7=Nutrients!$B$8,Nutrients!$EG$8,Nutrients!$EG$9)*AP$7)+(((IF($A$8=Nutrients!$B$79,Nutrients!$EG$79,(IF($A$8=Nutrients!$B$77,Nutrients!$EG$77,Nutrients!$EG$78)))))*AP$8))/2000</f>
        <v>0.19268793869075793</v>
      </c>
      <c r="AR310" s="202">
        <f>(SUMPRODUCT(AR$9:AR$229,Nutrients!$EG$8:$EG$228)+(IF($A$7=Nutrients!$B$8,Nutrients!$EG$8,Nutrients!$EG$9)*AR$7)+(((IF($A$8=Nutrients!$B$79,Nutrients!$EG$79,(IF($A$8=Nutrients!$B$77,Nutrients!$EG$77,Nutrients!$EG$78)))))*AR$8))/2000</f>
        <v>0.23722108157454677</v>
      </c>
      <c r="AS310" s="202">
        <f>(SUMPRODUCT(AS$9:AS$229,Nutrients!$EG$8:$EG$228)+(IF($A$7=Nutrients!$B$8,Nutrients!$EG$8,Nutrients!$EG$9)*AS$7)+(((IF($A$8=Nutrients!$B$79,Nutrients!$EG$79,(IF($A$8=Nutrients!$B$77,Nutrients!$EG$77,Nutrients!$EG$78)))))*AS$8))/2000</f>
        <v>0.22222296786350268</v>
      </c>
      <c r="AT310" s="202">
        <f>(SUMPRODUCT(AT$9:AT$229,Nutrients!$EG$8:$EG$228)+(IF($A$7=Nutrients!$B$8,Nutrients!$EG$8,Nutrients!$EG$9)*AT$7)+(((IF($A$8=Nutrients!$B$79,Nutrients!$EG$79,(IF($A$8=Nutrients!$B$77,Nutrients!$EG$77,Nutrients!$EG$78)))))*AT$8))/2000</f>
        <v>0.20930586329884476</v>
      </c>
      <c r="AU310" s="202">
        <f>(SUMPRODUCT(AU$9:AU$229,Nutrients!$EG$8:$EG$228)+(IF($A$7=Nutrients!$B$8,Nutrients!$EG$8,Nutrients!$EG$9)*AU$7)+(((IF($A$8=Nutrients!$B$79,Nutrients!$EG$79,(IF($A$8=Nutrients!$B$77,Nutrients!$EG$77,Nutrients!$EG$78)))))*AU$8))/2000</f>
        <v>0.19806051126165961</v>
      </c>
      <c r="AV310" s="202">
        <f>(SUMPRODUCT(AV$9:AV$229,Nutrients!$EG$8:$EG$228)+(IF($A$7=Nutrients!$B$8,Nutrients!$EG$8,Nutrients!$EG$9)*AV$7)+(((IF($A$8=Nutrients!$B$79,Nutrients!$EG$79,(IF($A$8=Nutrients!$B$77,Nutrients!$EG$77,Nutrients!$EG$78)))))*AV$8))/2000</f>
        <v>0.19059844056431474</v>
      </c>
      <c r="AW310" s="202">
        <f>(SUMPRODUCT(AW$9:AW$229,Nutrients!$EG$8:$EG$228)+(IF($A$7=Nutrients!$B$8,Nutrients!$EG$8,Nutrients!$EG$9)*AW$7)+(((IF($A$8=Nutrients!$B$79,Nutrients!$EG$79,(IF($A$8=Nutrients!$B$77,Nutrients!$EG$77,Nutrients!$EG$78)))))*AW$8))/2000</f>
        <v>0.18677272095863437</v>
      </c>
    </row>
    <row r="311" spans="1:49" x14ac:dyDescent="0.25">
      <c r="A311" t="s">
        <v>74</v>
      </c>
      <c r="B311" s="23">
        <f t="shared" ref="B311:G311" si="188">B255-B256</f>
        <v>0.31730463701690137</v>
      </c>
      <c r="C311" s="23">
        <f t="shared" si="188"/>
        <v>0.29999736257979814</v>
      </c>
      <c r="D311" s="23">
        <f t="shared" si="188"/>
        <v>0.2851440661893474</v>
      </c>
      <c r="E311" s="23">
        <f t="shared" si="188"/>
        <v>0.27259764867356195</v>
      </c>
      <c r="F311" s="23">
        <f t="shared" si="188"/>
        <v>0.26435033325189533</v>
      </c>
      <c r="G311" s="23">
        <f t="shared" si="188"/>
        <v>0.26008169818001309</v>
      </c>
      <c r="H311" s="227"/>
      <c r="I311" s="23">
        <f t="shared" ref="I311:N311" si="189">I255-I256</f>
        <v>0.33417290051826437</v>
      </c>
      <c r="J311" s="23">
        <f t="shared" si="189"/>
        <v>0.31685276752781666</v>
      </c>
      <c r="K311" s="23">
        <f t="shared" si="189"/>
        <v>0.30202271368400491</v>
      </c>
      <c r="L311" s="23">
        <f t="shared" si="189"/>
        <v>0.28951086787128466</v>
      </c>
      <c r="M311" s="23">
        <f t="shared" si="189"/>
        <v>0.28123871776767945</v>
      </c>
      <c r="N311" s="23">
        <f t="shared" si="189"/>
        <v>0.27698706706429999</v>
      </c>
      <c r="O311" s="198"/>
      <c r="P311" s="23">
        <f t="shared" ref="P311:U311" si="190">P255-P256</f>
        <v>0.35103915296649035</v>
      </c>
      <c r="Q311" s="23">
        <f t="shared" si="190"/>
        <v>0.33371524218005089</v>
      </c>
      <c r="R311" s="23">
        <f t="shared" si="190"/>
        <v>0.31887948615152645</v>
      </c>
      <c r="S311" s="23">
        <f t="shared" si="190"/>
        <v>0.30636988319270037</v>
      </c>
      <c r="T311" s="23">
        <f t="shared" si="190"/>
        <v>0.29809214054979427</v>
      </c>
      <c r="U311" s="23">
        <f t="shared" si="190"/>
        <v>0.29383468228785209</v>
      </c>
      <c r="W311" s="23">
        <f t="shared" ref="W311:AB311" si="191">W255-W256</f>
        <v>0.36790242488285479</v>
      </c>
      <c r="X311" s="23">
        <f t="shared" si="191"/>
        <v>0.3505741394975172</v>
      </c>
      <c r="Y311" s="23">
        <f t="shared" si="191"/>
        <v>0.33574439725571614</v>
      </c>
      <c r="Z311" s="23">
        <f t="shared" si="191"/>
        <v>0.32323895696102811</v>
      </c>
      <c r="AA311" s="23">
        <f t="shared" si="191"/>
        <v>0.31493814390926012</v>
      </c>
      <c r="AB311" s="23">
        <f t="shared" si="191"/>
        <v>0.31060201114408675</v>
      </c>
      <c r="AD311" s="23">
        <f t="shared" ref="AD311:AI311" si="192">AD255-AD256</f>
        <v>0.38476183868411667</v>
      </c>
      <c r="AE311" s="23">
        <f t="shared" si="192"/>
        <v>0.36743516581767349</v>
      </c>
      <c r="AF311" s="23">
        <f t="shared" si="192"/>
        <v>0.35261883566874691</v>
      </c>
      <c r="AG311" s="23">
        <f t="shared" si="192"/>
        <v>0.34007899748804116</v>
      </c>
      <c r="AH311" s="23">
        <f t="shared" si="192"/>
        <v>0.33155734870541081</v>
      </c>
      <c r="AI311" s="23">
        <f t="shared" si="192"/>
        <v>0.32714415461329804</v>
      </c>
      <c r="AK311" s="23">
        <f t="shared" ref="AK311:AP311" si="193">AK255-AK256</f>
        <v>0.40159548649396432</v>
      </c>
      <c r="AL311" s="23">
        <f t="shared" si="193"/>
        <v>0.38429647088574503</v>
      </c>
      <c r="AM311" s="23">
        <f t="shared" si="193"/>
        <v>0.36946541403168964</v>
      </c>
      <c r="AN311" s="23">
        <f t="shared" si="193"/>
        <v>0.35672421821108702</v>
      </c>
      <c r="AO311" s="23">
        <f t="shared" si="193"/>
        <v>0.34811871276456435</v>
      </c>
      <c r="AP311" s="23">
        <f t="shared" si="193"/>
        <v>0.3437038018574225</v>
      </c>
      <c r="AR311" s="23">
        <f t="shared" ref="AR311:AW311" si="194">AR255-AR256</f>
        <v>0.41846801192091476</v>
      </c>
      <c r="AS311" s="23">
        <f t="shared" si="194"/>
        <v>0.40115786724763325</v>
      </c>
      <c r="AT311" s="23">
        <f t="shared" si="194"/>
        <v>0.38626171058260927</v>
      </c>
      <c r="AU311" s="23">
        <f t="shared" si="194"/>
        <v>0.3732864893491144</v>
      </c>
      <c r="AV311" s="23">
        <f t="shared" si="194"/>
        <v>0.36467587141326979</v>
      </c>
      <c r="AW311" s="23">
        <f t="shared" si="194"/>
        <v>0.36025943254749837</v>
      </c>
    </row>
    <row r="312" spans="1:49" x14ac:dyDescent="0.25">
      <c r="A312" s="34" t="s">
        <v>109</v>
      </c>
      <c r="B312" s="45">
        <f t="shared" ref="B312:G312" si="195">B257-B256</f>
        <v>0.11261444047083269</v>
      </c>
      <c r="C312" s="45">
        <f t="shared" si="195"/>
        <v>0.11261444047083266</v>
      </c>
      <c r="D312" s="45">
        <f t="shared" si="195"/>
        <v>0.11261444047083266</v>
      </c>
      <c r="E312" s="45">
        <f t="shared" si="195"/>
        <v>0.11261444047083269</v>
      </c>
      <c r="F312" s="45">
        <f t="shared" si="195"/>
        <v>0.11261444047083269</v>
      </c>
      <c r="G312" s="45">
        <f t="shared" si="195"/>
        <v>0.11261444047083269</v>
      </c>
      <c r="H312" s="233"/>
      <c r="I312" s="45">
        <f t="shared" ref="I312:N312" si="196">I257-I256</f>
        <v>0.11261444047083263</v>
      </c>
      <c r="J312" s="45">
        <f t="shared" si="196"/>
        <v>0.11261444047083266</v>
      </c>
      <c r="K312" s="45">
        <f t="shared" si="196"/>
        <v>0.11261444047083266</v>
      </c>
      <c r="L312" s="45">
        <f t="shared" si="196"/>
        <v>0.1126144404708327</v>
      </c>
      <c r="M312" s="45">
        <f t="shared" si="196"/>
        <v>0.11261444047083269</v>
      </c>
      <c r="N312" s="45">
        <f t="shared" si="196"/>
        <v>0.11261444047083269</v>
      </c>
      <c r="O312" s="239"/>
      <c r="P312" s="45">
        <f t="shared" ref="P312:U312" si="197">P257-P256</f>
        <v>0.11261444047083272</v>
      </c>
      <c r="Q312" s="45">
        <f t="shared" si="197"/>
        <v>0.11261444047083272</v>
      </c>
      <c r="R312" s="45">
        <f t="shared" si="197"/>
        <v>0.11261444047083267</v>
      </c>
      <c r="S312" s="45">
        <f t="shared" si="197"/>
        <v>0.1126144404708327</v>
      </c>
      <c r="T312" s="45">
        <f t="shared" si="197"/>
        <v>0.11261444047083269</v>
      </c>
      <c r="U312" s="45">
        <f t="shared" si="197"/>
        <v>0.11261444047083269</v>
      </c>
      <c r="W312" s="45">
        <f t="shared" ref="W312:AB312" si="198">W257-W256</f>
        <v>0.11261444047083263</v>
      </c>
      <c r="X312" s="45">
        <f t="shared" si="198"/>
        <v>0.11261444047083266</v>
      </c>
      <c r="Y312" s="45">
        <f t="shared" si="198"/>
        <v>0.11261444047083269</v>
      </c>
      <c r="Z312" s="45">
        <f t="shared" si="198"/>
        <v>0.11261444047083269</v>
      </c>
      <c r="AA312" s="45">
        <f t="shared" si="198"/>
        <v>0.1126144404708327</v>
      </c>
      <c r="AB312" s="45">
        <f t="shared" si="198"/>
        <v>0.11261444047083269</v>
      </c>
      <c r="AD312" s="45">
        <f t="shared" ref="AD312:AI312" si="199">AD257-AD256</f>
        <v>0.11261444047083263</v>
      </c>
      <c r="AE312" s="45">
        <f t="shared" si="199"/>
        <v>0.11261444047083267</v>
      </c>
      <c r="AF312" s="45">
        <f t="shared" si="199"/>
        <v>0.11261444047083269</v>
      </c>
      <c r="AG312" s="45">
        <f t="shared" si="199"/>
        <v>0.11261444047083266</v>
      </c>
      <c r="AH312" s="45">
        <f t="shared" si="199"/>
        <v>0.11261444047083266</v>
      </c>
      <c r="AI312" s="45">
        <f t="shared" si="199"/>
        <v>0.11261444047083266</v>
      </c>
      <c r="AK312" s="45">
        <f t="shared" ref="AK312:AP312" si="200">AK257-AK256</f>
        <v>0.11261444047083266</v>
      </c>
      <c r="AL312" s="45">
        <f t="shared" si="200"/>
        <v>0.11261444047083267</v>
      </c>
      <c r="AM312" s="45">
        <f t="shared" si="200"/>
        <v>0.11261444047083269</v>
      </c>
      <c r="AN312" s="45">
        <f t="shared" si="200"/>
        <v>0.1126144404708327</v>
      </c>
      <c r="AO312" s="45">
        <f t="shared" si="200"/>
        <v>0.11261444047083269</v>
      </c>
      <c r="AP312" s="45">
        <f t="shared" si="200"/>
        <v>0.1126144404708327</v>
      </c>
      <c r="AR312" s="45">
        <f t="shared" ref="AR312:AW312" si="201">AR257-AR256</f>
        <v>0.11261444047083269</v>
      </c>
      <c r="AS312" s="45">
        <f t="shared" si="201"/>
        <v>0.1126144404708327</v>
      </c>
      <c r="AT312" s="45">
        <f t="shared" si="201"/>
        <v>0.11261444047083269</v>
      </c>
      <c r="AU312" s="45">
        <f t="shared" si="201"/>
        <v>0.11261444047083266</v>
      </c>
      <c r="AV312" s="45">
        <f t="shared" si="201"/>
        <v>0.1126144404708327</v>
      </c>
      <c r="AW312" s="45">
        <f t="shared" si="201"/>
        <v>0.11261444047083269</v>
      </c>
    </row>
    <row r="313" spans="1:49" x14ac:dyDescent="0.25">
      <c r="A313" s="44" t="s">
        <v>110</v>
      </c>
      <c r="B313" s="46">
        <f t="shared" ref="B313:G313" si="202">B312/B310</f>
        <v>0.41534416697896814</v>
      </c>
      <c r="C313" s="46">
        <f t="shared" si="202"/>
        <v>0.4396599206348985</v>
      </c>
      <c r="D313" s="46">
        <f t="shared" si="202"/>
        <v>0.46293956495329519</v>
      </c>
      <c r="E313" s="46">
        <f t="shared" si="202"/>
        <v>0.48460511648891713</v>
      </c>
      <c r="F313" s="46">
        <f t="shared" si="202"/>
        <v>0.49998670453269645</v>
      </c>
      <c r="G313" s="46">
        <f t="shared" si="202"/>
        <v>0.50833372904042951</v>
      </c>
      <c r="H313" s="46"/>
      <c r="I313" s="46">
        <f t="shared" ref="I313:N313" si="203">I312/I310</f>
        <v>0.42417690701097704</v>
      </c>
      <c r="J313" s="46">
        <f t="shared" si="203"/>
        <v>0.44958961521258695</v>
      </c>
      <c r="K313" s="46">
        <f t="shared" si="203"/>
        <v>0.47392141445225638</v>
      </c>
      <c r="L313" s="46">
        <f t="shared" si="203"/>
        <v>0.49658661734003323</v>
      </c>
      <c r="M313" s="46">
        <f t="shared" si="203"/>
        <v>0.51280119998275642</v>
      </c>
      <c r="N313" s="46">
        <f t="shared" si="203"/>
        <v>0.52154967314950906</v>
      </c>
      <c r="O313" s="46"/>
      <c r="P313" s="46">
        <f t="shared" ref="P313:U313" si="204">P312/P310</f>
        <v>0.43339630196622103</v>
      </c>
      <c r="Q313" s="46">
        <f t="shared" si="204"/>
        <v>0.45996630103628572</v>
      </c>
      <c r="R313" s="46">
        <f t="shared" si="204"/>
        <v>0.48547620255153079</v>
      </c>
      <c r="S313" s="46">
        <f t="shared" si="204"/>
        <v>0.50928347606091939</v>
      </c>
      <c r="T313" s="46">
        <f t="shared" si="204"/>
        <v>0.52636372887608218</v>
      </c>
      <c r="U313" s="46">
        <f t="shared" si="204"/>
        <v>0.53559778011326842</v>
      </c>
      <c r="W313" s="46">
        <f t="shared" ref="W313:AB313" si="205">W312/W310</f>
        <v>0.44302976750287443</v>
      </c>
      <c r="X313" s="46">
        <f t="shared" si="205"/>
        <v>0.47083926789486019</v>
      </c>
      <c r="Y313" s="46">
        <f t="shared" si="205"/>
        <v>0.49759259723008997</v>
      </c>
      <c r="Z313" s="46">
        <f t="shared" si="205"/>
        <v>0.52262514165853491</v>
      </c>
      <c r="AA313" s="46">
        <f t="shared" si="205"/>
        <v>0.54067859389505279</v>
      </c>
      <c r="AB313" s="46">
        <f t="shared" si="205"/>
        <v>0.55060676739261105</v>
      </c>
      <c r="AD313" s="46">
        <f t="shared" ref="AD313:AI313" si="206">AD312/AD310</f>
        <v>0.45310688419286937</v>
      </c>
      <c r="AE313" s="46">
        <f t="shared" si="206"/>
        <v>0.48223464720260595</v>
      </c>
      <c r="AF313" s="46">
        <f t="shared" si="206"/>
        <v>0.51031098454711032</v>
      </c>
      <c r="AG313" s="46">
        <f t="shared" si="206"/>
        <v>0.53674802003455391</v>
      </c>
      <c r="AH313" s="46">
        <f t="shared" si="206"/>
        <v>0.55633299886922882</v>
      </c>
      <c r="AI313" s="46">
        <f t="shared" si="206"/>
        <v>0.56704219913932086</v>
      </c>
      <c r="AK313" s="46">
        <f t="shared" ref="AK313:AP313" si="207">AK312/AK310</f>
        <v>0.46369463226116736</v>
      </c>
      <c r="AL313" s="46">
        <f t="shared" si="207"/>
        <v>0.49419459913659658</v>
      </c>
      <c r="AM313" s="46">
        <f t="shared" si="207"/>
        <v>0.52375389917457005</v>
      </c>
      <c r="AN313" s="46">
        <f t="shared" si="207"/>
        <v>0.55211219835549286</v>
      </c>
      <c r="AO313" s="46">
        <f t="shared" si="207"/>
        <v>0.57306542168699015</v>
      </c>
      <c r="AP313" s="46">
        <f t="shared" si="207"/>
        <v>0.58443948923843114</v>
      </c>
      <c r="AR313" s="46">
        <f t="shared" ref="AR313:AW313" si="208">AR312/AR310</f>
        <v>0.47472357736234155</v>
      </c>
      <c r="AS313" s="46">
        <f t="shared" si="208"/>
        <v>0.50676328173244689</v>
      </c>
      <c r="AT313" s="46">
        <f t="shared" si="208"/>
        <v>0.53803767699542626</v>
      </c>
      <c r="AU313" s="46">
        <f t="shared" si="208"/>
        <v>0.56858603339691804</v>
      </c>
      <c r="AV313" s="46">
        <f t="shared" si="208"/>
        <v>0.59084659946539575</v>
      </c>
      <c r="AW313" s="46">
        <f t="shared" si="208"/>
        <v>0.60294908106936052</v>
      </c>
    </row>
    <row r="314" spans="1:49" x14ac:dyDescent="0.25">
      <c r="A314" s="34" t="s">
        <v>359</v>
      </c>
      <c r="B314" s="21">
        <f>((SUMPRODUCT(B$9:B$229,Nutrients!$EE$8:$EE$228)+(IF($A$7=Nutrients!$B$8,Nutrients!$EE$8,Nutrients!$EE$9)*B$7)+(((IF($A$8=Nutrients!$B$79,Nutrients!$EE$79,(IF($A$8=Nutrients!$B$77,Nutrients!$EE$77,Nutrients!$EE$78)))))*B$8))/2000)*2.2046</f>
        <v>608.03970300000003</v>
      </c>
      <c r="C314" s="21">
        <f>((SUMPRODUCT(C$9:C$229,Nutrients!$EE$8:$EE$228)+(IF($A$7=Nutrients!$B$8,Nutrients!$EE$8,Nutrients!$EE$9)*C$7)+(((IF($A$8=Nutrients!$B$79,Nutrients!$EE$79,(IF($A$8=Nutrients!$B$77,Nutrients!$EE$77,Nutrients!$EE$78)))))*C$8))/2000)*2.2046</f>
        <v>608.03970300000003</v>
      </c>
      <c r="D314" s="21">
        <f>((SUMPRODUCT(D$9:D$229,Nutrients!$EE$8:$EE$228)+(IF($A$7=Nutrients!$B$8,Nutrients!$EE$8,Nutrients!$EE$9)*D$7)+(((IF($A$8=Nutrients!$B$79,Nutrients!$EE$79,(IF($A$8=Nutrients!$B$77,Nutrients!$EE$77,Nutrients!$EE$78)))))*D$8))/2000)*2.2046</f>
        <v>608.03970300000003</v>
      </c>
      <c r="E314" s="21">
        <f>((SUMPRODUCT(E$9:E$229,Nutrients!$EE$8:$EE$228)+(IF($A$7=Nutrients!$B$8,Nutrients!$EE$8,Nutrients!$EE$9)*E$7)+(((IF($A$8=Nutrients!$B$79,Nutrients!$EE$79,(IF($A$8=Nutrients!$B$77,Nutrients!$EE$77,Nutrients!$EE$78)))))*E$8))/2000)*2.2046</f>
        <v>608.03970300000003</v>
      </c>
      <c r="F314" s="21">
        <f>((SUMPRODUCT(F$9:F$229,Nutrients!$EE$8:$EE$228)+(IF($A$7=Nutrients!$B$8,Nutrients!$EE$8,Nutrients!$EE$9)*F$7)+(((IF($A$8=Nutrients!$B$79,Nutrients!$EE$79,(IF($A$8=Nutrients!$B$77,Nutrients!$EE$77,Nutrients!$EE$78)))))*F$8))/2000)*2.2046</f>
        <v>608.03970300000003</v>
      </c>
      <c r="G314" s="21">
        <f>((SUMPRODUCT(G$9:G$229,Nutrients!$EE$8:$EE$228)+(IF($A$7=Nutrients!$B$8,Nutrients!$EE$8,Nutrients!$EE$9)*G$7)+(((IF($A$8=Nutrients!$B$79,Nutrients!$EE$79,(IF($A$8=Nutrients!$B$77,Nutrients!$EE$77,Nutrients!$EE$78)))))*G$8))/2000)*2.2046</f>
        <v>608.03970300000003</v>
      </c>
      <c r="H314" s="226"/>
      <c r="I314" s="21">
        <f>((SUMPRODUCT(I$9:I$229,Nutrients!$EE$8:$EE$228)+(IF($A$7=Nutrients!$B$8,Nutrients!$EE$8,Nutrients!$EE$9)*I$7)+(((IF($A$8=Nutrients!$B$79,Nutrients!$EE$79,(IF($A$8=Nutrients!$B$77,Nutrients!$EE$77,Nutrients!$EE$78)))))*I$8))/2000)*2.2046</f>
        <v>608.03970300000003</v>
      </c>
      <c r="J314" s="21">
        <f>((SUMPRODUCT(J$9:J$229,Nutrients!$EE$8:$EE$228)+(IF($A$7=Nutrients!$B$8,Nutrients!$EE$8,Nutrients!$EE$9)*J$7)+(((IF($A$8=Nutrients!$B$79,Nutrients!$EE$79,(IF($A$8=Nutrients!$B$77,Nutrients!$EE$77,Nutrients!$EE$78)))))*J$8))/2000)*2.2046</f>
        <v>608.03970300000003</v>
      </c>
      <c r="K314" s="21">
        <f>((SUMPRODUCT(K$9:K$229,Nutrients!$EE$8:$EE$228)+(IF($A$7=Nutrients!$B$8,Nutrients!$EE$8,Nutrients!$EE$9)*K$7)+(((IF($A$8=Nutrients!$B$79,Nutrients!$EE$79,(IF($A$8=Nutrients!$B$77,Nutrients!$EE$77,Nutrients!$EE$78)))))*K$8))/2000)*2.2046</f>
        <v>608.03970300000003</v>
      </c>
      <c r="L314" s="21">
        <f>((SUMPRODUCT(L$9:L$229,Nutrients!$EE$8:$EE$228)+(IF($A$7=Nutrients!$B$8,Nutrients!$EE$8,Nutrients!$EE$9)*L$7)+(((IF($A$8=Nutrients!$B$79,Nutrients!$EE$79,(IF($A$8=Nutrients!$B$77,Nutrients!$EE$77,Nutrients!$EE$78)))))*L$8))/2000)*2.2046</f>
        <v>608.03970300000003</v>
      </c>
      <c r="M314" s="21">
        <f>((SUMPRODUCT(M$9:M$229,Nutrients!$EE$8:$EE$228)+(IF($A$7=Nutrients!$B$8,Nutrients!$EE$8,Nutrients!$EE$9)*M$7)+(((IF($A$8=Nutrients!$B$79,Nutrients!$EE$79,(IF($A$8=Nutrients!$B$77,Nutrients!$EE$77,Nutrients!$EE$78)))))*M$8))/2000)*2.2046</f>
        <v>608.03970300000003</v>
      </c>
      <c r="N314" s="21">
        <f>((SUMPRODUCT(N$9:N$229,Nutrients!$EE$8:$EE$228)+(IF($A$7=Nutrients!$B$8,Nutrients!$EE$8,Nutrients!$EE$9)*N$7)+(((IF($A$8=Nutrients!$B$79,Nutrients!$EE$79,(IF($A$8=Nutrients!$B$77,Nutrients!$EE$77,Nutrients!$EE$78)))))*N$8))/2000)*2.2046</f>
        <v>608.03970300000003</v>
      </c>
      <c r="O314" s="234"/>
      <c r="P314" s="21">
        <f>((SUMPRODUCT(P$9:P$229,Nutrients!$EE$8:$EE$228)+(IF($A$7=Nutrients!$B$8,Nutrients!$EE$8,Nutrients!$EE$9)*P$7)+(((IF($A$8=Nutrients!$B$79,Nutrients!$EE$79,(IF($A$8=Nutrients!$B$77,Nutrients!$EE$77,Nutrients!$EE$78)))))*P$8))/2000)*2.2046</f>
        <v>608.03970300000003</v>
      </c>
      <c r="Q314" s="21">
        <f>((SUMPRODUCT(Q$9:Q$229,Nutrients!$EE$8:$EE$228)+(IF($A$7=Nutrients!$B$8,Nutrients!$EE$8,Nutrients!$EE$9)*Q$7)+(((IF($A$8=Nutrients!$B$79,Nutrients!$EE$79,(IF($A$8=Nutrients!$B$77,Nutrients!$EE$77,Nutrients!$EE$78)))))*Q$8))/2000)*2.2046</f>
        <v>608.03970300000003</v>
      </c>
      <c r="R314" s="21">
        <f>((SUMPRODUCT(R$9:R$229,Nutrients!$EE$8:$EE$228)+(IF($A$7=Nutrients!$B$8,Nutrients!$EE$8,Nutrients!$EE$9)*R$7)+(((IF($A$8=Nutrients!$B$79,Nutrients!$EE$79,(IF($A$8=Nutrients!$B$77,Nutrients!$EE$77,Nutrients!$EE$78)))))*R$8))/2000)*2.2046</f>
        <v>608.03970300000003</v>
      </c>
      <c r="S314" s="21">
        <f>((SUMPRODUCT(S$9:S$229,Nutrients!$EE$8:$EE$228)+(IF($A$7=Nutrients!$B$8,Nutrients!$EE$8,Nutrients!$EE$9)*S$7)+(((IF($A$8=Nutrients!$B$79,Nutrients!$EE$79,(IF($A$8=Nutrients!$B$77,Nutrients!$EE$77,Nutrients!$EE$78)))))*S$8))/2000)*2.2046</f>
        <v>608.03970300000003</v>
      </c>
      <c r="T314" s="21">
        <f>((SUMPRODUCT(T$9:T$229,Nutrients!$EE$8:$EE$228)+(IF($A$7=Nutrients!$B$8,Nutrients!$EE$8,Nutrients!$EE$9)*T$7)+(((IF($A$8=Nutrients!$B$79,Nutrients!$EE$79,(IF($A$8=Nutrients!$B$77,Nutrients!$EE$77,Nutrients!$EE$78)))))*T$8))/2000)*2.2046</f>
        <v>608.03970300000003</v>
      </c>
      <c r="U314" s="21">
        <f>((SUMPRODUCT(U$9:U$229,Nutrients!$EE$8:$EE$228)+(IF($A$7=Nutrients!$B$8,Nutrients!$EE$8,Nutrients!$EE$9)*U$7)+(((IF($A$8=Nutrients!$B$79,Nutrients!$EE$79,(IF($A$8=Nutrients!$B$77,Nutrients!$EE$77,Nutrients!$EE$78)))))*U$8))/2000)*2.2046</f>
        <v>608.03970300000003</v>
      </c>
      <c r="W314" s="21">
        <f>((SUMPRODUCT(W$9:W$229,Nutrients!$EE$8:$EE$228)+(IF($A$7=Nutrients!$B$8,Nutrients!$EE$8,Nutrients!$EE$9)*W$7)+(((IF($A$8=Nutrients!$B$79,Nutrients!$EE$79,(IF($A$8=Nutrients!$B$77,Nutrients!$EE$77,Nutrients!$EE$78)))))*W$8))/2000)*2.2046</f>
        <v>608.03970300000003</v>
      </c>
      <c r="X314" s="21">
        <f>((SUMPRODUCT(X$9:X$229,Nutrients!$EE$8:$EE$228)+(IF($A$7=Nutrients!$B$8,Nutrients!$EE$8,Nutrients!$EE$9)*X$7)+(((IF($A$8=Nutrients!$B$79,Nutrients!$EE$79,(IF($A$8=Nutrients!$B$77,Nutrients!$EE$77,Nutrients!$EE$78)))))*X$8))/2000)*2.2046</f>
        <v>608.03970300000003</v>
      </c>
      <c r="Y314" s="21">
        <f>((SUMPRODUCT(Y$9:Y$229,Nutrients!$EE$8:$EE$228)+(IF($A$7=Nutrients!$B$8,Nutrients!$EE$8,Nutrients!$EE$9)*Y$7)+(((IF($A$8=Nutrients!$B$79,Nutrients!$EE$79,(IF($A$8=Nutrients!$B$77,Nutrients!$EE$77,Nutrients!$EE$78)))))*Y$8))/2000)*2.2046</f>
        <v>608.03970300000003</v>
      </c>
      <c r="Z314" s="21">
        <f>((SUMPRODUCT(Z$9:Z$229,Nutrients!$EE$8:$EE$228)+(IF($A$7=Nutrients!$B$8,Nutrients!$EE$8,Nutrients!$EE$9)*Z$7)+(((IF($A$8=Nutrients!$B$79,Nutrients!$EE$79,(IF($A$8=Nutrients!$B$77,Nutrients!$EE$77,Nutrients!$EE$78)))))*Z$8))/2000)*2.2046</f>
        <v>608.03970300000003</v>
      </c>
      <c r="AA314" s="21">
        <f>((SUMPRODUCT(AA$9:AA$229,Nutrients!$EE$8:$EE$228)+(IF($A$7=Nutrients!$B$8,Nutrients!$EE$8,Nutrients!$EE$9)*AA$7)+(((IF($A$8=Nutrients!$B$79,Nutrients!$EE$79,(IF($A$8=Nutrients!$B$77,Nutrients!$EE$77,Nutrients!$EE$78)))))*AA$8))/2000)*2.2046</f>
        <v>608.03970300000003</v>
      </c>
      <c r="AB314" s="21">
        <f>((SUMPRODUCT(AB$9:AB$229,Nutrients!$EE$8:$EE$228)+(IF($A$7=Nutrients!$B$8,Nutrients!$EE$8,Nutrients!$EE$9)*AB$7)+(((IF($A$8=Nutrients!$B$79,Nutrients!$EE$79,(IF($A$8=Nutrients!$B$77,Nutrients!$EE$77,Nutrients!$EE$78)))))*AB$8))/2000)*2.2046</f>
        <v>608.03970300000003</v>
      </c>
      <c r="AD314" s="21">
        <f>((SUMPRODUCT(AD$9:AD$229,Nutrients!$EE$8:$EE$228)+(IF($A$7=Nutrients!$B$8,Nutrients!$EE$8,Nutrients!$EE$9)*AD$7)+(((IF($A$8=Nutrients!$B$79,Nutrients!$EE$79,(IF($A$8=Nutrients!$B$77,Nutrients!$EE$77,Nutrients!$EE$78)))))*AD$8))/2000)*2.2046</f>
        <v>608.03970300000003</v>
      </c>
      <c r="AE314" s="21">
        <f>((SUMPRODUCT(AE$9:AE$229,Nutrients!$EE$8:$EE$228)+(IF($A$7=Nutrients!$B$8,Nutrients!$EE$8,Nutrients!$EE$9)*AE$7)+(((IF($A$8=Nutrients!$B$79,Nutrients!$EE$79,(IF($A$8=Nutrients!$B$77,Nutrients!$EE$77,Nutrients!$EE$78)))))*AE$8))/2000)*2.2046</f>
        <v>608.03970300000003</v>
      </c>
      <c r="AF314" s="21">
        <f>((SUMPRODUCT(AF$9:AF$229,Nutrients!$EE$8:$EE$228)+(IF($A$7=Nutrients!$B$8,Nutrients!$EE$8,Nutrients!$EE$9)*AF$7)+(((IF($A$8=Nutrients!$B$79,Nutrients!$EE$79,(IF($A$8=Nutrients!$B$77,Nutrients!$EE$77,Nutrients!$EE$78)))))*AF$8))/2000)*2.2046</f>
        <v>608.03970300000003</v>
      </c>
      <c r="AG314" s="21">
        <f>((SUMPRODUCT(AG$9:AG$229,Nutrients!$EE$8:$EE$228)+(IF($A$7=Nutrients!$B$8,Nutrients!$EE$8,Nutrients!$EE$9)*AG$7)+(((IF($A$8=Nutrients!$B$79,Nutrients!$EE$79,(IF($A$8=Nutrients!$B$77,Nutrients!$EE$77,Nutrients!$EE$78)))))*AG$8))/2000)*2.2046</f>
        <v>608.03970300000003</v>
      </c>
      <c r="AH314" s="21">
        <f>((SUMPRODUCT(AH$9:AH$229,Nutrients!$EE$8:$EE$228)+(IF($A$7=Nutrients!$B$8,Nutrients!$EE$8,Nutrients!$EE$9)*AH$7)+(((IF($A$8=Nutrients!$B$79,Nutrients!$EE$79,(IF($A$8=Nutrients!$B$77,Nutrients!$EE$77,Nutrients!$EE$78)))))*AH$8))/2000)*2.2046</f>
        <v>608.03970300000003</v>
      </c>
      <c r="AI314" s="21">
        <f>((SUMPRODUCT(AI$9:AI$229,Nutrients!$EE$8:$EE$228)+(IF($A$7=Nutrients!$B$8,Nutrients!$EE$8,Nutrients!$EE$9)*AI$7)+(((IF($A$8=Nutrients!$B$79,Nutrients!$EE$79,(IF($A$8=Nutrients!$B$77,Nutrients!$EE$77,Nutrients!$EE$78)))))*AI$8))/2000)*2.2046</f>
        <v>608.03970300000003</v>
      </c>
      <c r="AK314" s="21">
        <f>((SUMPRODUCT(AK$9:AK$229,Nutrients!$EE$8:$EE$228)+(IF($A$7=Nutrients!$B$8,Nutrients!$EE$8,Nutrients!$EE$9)*AK$7)+(((IF($A$8=Nutrients!$B$79,Nutrients!$EE$79,(IF($A$8=Nutrients!$B$77,Nutrients!$EE$77,Nutrients!$EE$78)))))*AK$8))/2000)*2.2046</f>
        <v>608.03970300000003</v>
      </c>
      <c r="AL314" s="21">
        <f>((SUMPRODUCT(AL$9:AL$229,Nutrients!$EE$8:$EE$228)+(IF($A$7=Nutrients!$B$8,Nutrients!$EE$8,Nutrients!$EE$9)*AL$7)+(((IF($A$8=Nutrients!$B$79,Nutrients!$EE$79,(IF($A$8=Nutrients!$B$77,Nutrients!$EE$77,Nutrients!$EE$78)))))*AL$8))/2000)*2.2046</f>
        <v>608.03970300000003</v>
      </c>
      <c r="AM314" s="21">
        <f>((SUMPRODUCT(AM$9:AM$229,Nutrients!$EE$8:$EE$228)+(IF($A$7=Nutrients!$B$8,Nutrients!$EE$8,Nutrients!$EE$9)*AM$7)+(((IF($A$8=Nutrients!$B$79,Nutrients!$EE$79,(IF($A$8=Nutrients!$B$77,Nutrients!$EE$77,Nutrients!$EE$78)))))*AM$8))/2000)*2.2046</f>
        <v>608.03970300000003</v>
      </c>
      <c r="AN314" s="21">
        <f>((SUMPRODUCT(AN$9:AN$229,Nutrients!$EE$8:$EE$228)+(IF($A$7=Nutrients!$B$8,Nutrients!$EE$8,Nutrients!$EE$9)*AN$7)+(((IF($A$8=Nutrients!$B$79,Nutrients!$EE$79,(IF($A$8=Nutrients!$B$77,Nutrients!$EE$77,Nutrients!$EE$78)))))*AN$8))/2000)*2.2046</f>
        <v>608.03970300000003</v>
      </c>
      <c r="AO314" s="21">
        <f>((SUMPRODUCT(AO$9:AO$229,Nutrients!$EE$8:$EE$228)+(IF($A$7=Nutrients!$B$8,Nutrients!$EE$8,Nutrients!$EE$9)*AO$7)+(((IF($A$8=Nutrients!$B$79,Nutrients!$EE$79,(IF($A$8=Nutrients!$B$77,Nutrients!$EE$77,Nutrients!$EE$78)))))*AO$8))/2000)*2.2046</f>
        <v>608.03970300000003</v>
      </c>
      <c r="AP314" s="21">
        <f>((SUMPRODUCT(AP$9:AP$229,Nutrients!$EE$8:$EE$228)+(IF($A$7=Nutrients!$B$8,Nutrients!$EE$8,Nutrients!$EE$9)*AP$7)+(((IF($A$8=Nutrients!$B$79,Nutrients!$EE$79,(IF($A$8=Nutrients!$B$77,Nutrients!$EE$77,Nutrients!$EE$78)))))*AP$8))/2000)*2.2046</f>
        <v>608.03970300000003</v>
      </c>
      <c r="AR314" s="21">
        <f>((SUMPRODUCT(AR$9:AR$229,Nutrients!$EE$8:$EE$228)+(IF($A$7=Nutrients!$B$8,Nutrients!$EE$8,Nutrients!$EE$9)*AR$7)+(((IF($A$8=Nutrients!$B$79,Nutrients!$EE$79,(IF($A$8=Nutrients!$B$77,Nutrients!$EE$77,Nutrients!$EE$78)))))*AR$8))/2000)*2.2046</f>
        <v>608.03970300000003</v>
      </c>
      <c r="AS314" s="21">
        <f>((SUMPRODUCT(AS$9:AS$229,Nutrients!$EE$8:$EE$228)+(IF($A$7=Nutrients!$B$8,Nutrients!$EE$8,Nutrients!$EE$9)*AS$7)+(((IF($A$8=Nutrients!$B$79,Nutrients!$EE$79,(IF($A$8=Nutrients!$B$77,Nutrients!$EE$77,Nutrients!$EE$78)))))*AS$8))/2000)*2.2046</f>
        <v>608.03970300000003</v>
      </c>
      <c r="AT314" s="21">
        <f>((SUMPRODUCT(AT$9:AT$229,Nutrients!$EE$8:$EE$228)+(IF($A$7=Nutrients!$B$8,Nutrients!$EE$8,Nutrients!$EE$9)*AT$7)+(((IF($A$8=Nutrients!$B$79,Nutrients!$EE$79,(IF($A$8=Nutrients!$B$77,Nutrients!$EE$77,Nutrients!$EE$78)))))*AT$8))/2000)*2.2046</f>
        <v>608.03970300000003</v>
      </c>
      <c r="AU314" s="21">
        <f>((SUMPRODUCT(AU$9:AU$229,Nutrients!$EE$8:$EE$228)+(IF($A$7=Nutrients!$B$8,Nutrients!$EE$8,Nutrients!$EE$9)*AU$7)+(((IF($A$8=Nutrients!$B$79,Nutrients!$EE$79,(IF($A$8=Nutrients!$B$77,Nutrients!$EE$77,Nutrients!$EE$78)))))*AU$8))/2000)*2.2046</f>
        <v>608.03970300000003</v>
      </c>
      <c r="AV314" s="21">
        <f>((SUMPRODUCT(AV$9:AV$229,Nutrients!$EE$8:$EE$228)+(IF($A$7=Nutrients!$B$8,Nutrients!$EE$8,Nutrients!$EE$9)*AV$7)+(((IF($A$8=Nutrients!$B$79,Nutrients!$EE$79,(IF($A$8=Nutrients!$B$77,Nutrients!$EE$77,Nutrients!$EE$78)))))*AV$8))/2000)*2.2046</f>
        <v>608.03970300000003</v>
      </c>
      <c r="AW314" s="21">
        <f>((SUMPRODUCT(AW$9:AW$229,Nutrients!$EE$8:$EE$228)+(IF($A$7=Nutrients!$B$8,Nutrients!$EE$8,Nutrients!$EE$9)*AW$7)+(((IF($A$8=Nutrients!$B$79,Nutrients!$EE$79,(IF($A$8=Nutrients!$B$77,Nutrients!$EE$77,Nutrients!$EE$78)))))*AW$8))/2000)*2.2046</f>
        <v>608.03970300000003</v>
      </c>
    </row>
    <row r="315" spans="1:49" x14ac:dyDescent="0.25">
      <c r="A315" s="34" t="s">
        <v>360</v>
      </c>
      <c r="B315" s="23">
        <f>((SUMPRODUCT(B$9:B$229,Nutrients!$FK$8:$FK$228)+(IF($A$7=Nutrients!$B$8,Nutrients!$FK$8,Nutrients!$FK$9)*B$7)+(((IF($A$8=Nutrients!$B$79,Nutrients!$FK$79,(IF($A$8=Nutrients!$B$77,Nutrients!$FK$77,Nutrients!$FK$78)))))*B$8))/2000)</f>
        <v>1.5203643016438457</v>
      </c>
      <c r="C315" s="23">
        <f>((SUMPRODUCT(C$9:C$229,Nutrients!$FK$8:$FK$228)+(IF($A$7=Nutrients!$B$8,Nutrients!$FK$8,Nutrients!$FK$9)*C$7)+(((IF($A$8=Nutrients!$B$79,Nutrients!$FK$79,(IF($A$8=Nutrients!$B$77,Nutrients!$FK$77,Nutrients!$FK$78)))))*C$8))/2000)</f>
        <v>1.5749887728173662</v>
      </c>
      <c r="D315" s="23">
        <f>((SUMPRODUCT(D$9:D$229,Nutrients!$FK$8:$FK$228)+(IF($A$7=Nutrients!$B$8,Nutrients!$FK$8,Nutrients!$FK$9)*D$7)+(((IF($A$8=Nutrients!$B$79,Nutrients!$FK$79,(IF($A$8=Nutrients!$B$77,Nutrients!$FK$77,Nutrients!$FK$78)))))*D$8))/2000)</f>
        <v>1.622538447302484</v>
      </c>
      <c r="E315" s="23">
        <f>((SUMPRODUCT(E$9:E$229,Nutrients!$FK$8:$FK$228)+(IF($A$7=Nutrients!$B$8,Nutrients!$FK$8,Nutrients!$FK$9)*E$7)+(((IF($A$8=Nutrients!$B$79,Nutrients!$FK$79,(IF($A$8=Nutrients!$B$77,Nutrients!$FK$77,Nutrients!$FK$78)))))*E$8))/2000)</f>
        <v>1.6623836434171375</v>
      </c>
      <c r="F315" s="23">
        <f>((SUMPRODUCT(F$9:F$229,Nutrients!$FK$8:$FK$228)+(IF($A$7=Nutrients!$B$8,Nutrients!$FK$8,Nutrients!$FK$9)*F$7)+(((IF($A$8=Nutrients!$B$79,Nutrients!$FK$79,(IF($A$8=Nutrients!$B$77,Nutrients!$FK$77,Nutrients!$FK$78)))))*F$8))/2000)</f>
        <v>1.689982464517773</v>
      </c>
      <c r="G315" s="23">
        <f>((SUMPRODUCT(G$9:G$229,Nutrients!$FK$8:$FK$228)+(IF($A$7=Nutrients!$B$8,Nutrients!$FK$8,Nutrients!$FK$9)*G$7)+(((IF($A$8=Nutrients!$B$79,Nutrients!$FK$79,(IF($A$8=Nutrients!$B$77,Nutrients!$FK$77,Nutrients!$FK$78)))))*G$8))/2000)</f>
        <v>1.7033272639768986</v>
      </c>
      <c r="H315" s="227"/>
      <c r="I315" s="23">
        <f>((SUMPRODUCT(I$9:I$229,Nutrients!$FK$8:$FK$228)+(IF($A$7=Nutrients!$B$8,Nutrients!$FK$8,Nutrients!$FK$9)*I$7)+(((IF($A$8=Nutrients!$B$79,Nutrients!$FK$79,(IF($A$8=Nutrients!$B$77,Nutrients!$FK$77,Nutrients!$FK$78)))))*I$8))/2000)</f>
        <v>1.4791564114996694</v>
      </c>
      <c r="J315" s="23">
        <f>((SUMPRODUCT(J$9:J$229,Nutrients!$FK$8:$FK$228)+(IF($A$7=Nutrients!$B$8,Nutrients!$FK$8,Nutrients!$FK$9)*J$7)+(((IF($A$8=Nutrients!$B$79,Nutrients!$FK$79,(IF($A$8=Nutrients!$B$77,Nutrients!$FK$77,Nutrients!$FK$78)))))*J$8))/2000)</f>
        <v>1.534120750639838</v>
      </c>
      <c r="K315" s="23">
        <f>((SUMPRODUCT(K$9:K$229,Nutrients!$FK$8:$FK$228)+(IF($A$7=Nutrients!$B$8,Nutrients!$FK$8,Nutrients!$FK$9)*K$7)+(((IF($A$8=Nutrients!$B$79,Nutrients!$FK$79,(IF($A$8=Nutrients!$B$77,Nutrients!$FK$77,Nutrients!$FK$78)))))*K$8))/2000)</f>
        <v>1.5822173174089862</v>
      </c>
      <c r="L315" s="23">
        <f>((SUMPRODUCT(L$9:L$229,Nutrients!$FK$8:$FK$228)+(IF($A$7=Nutrients!$B$8,Nutrients!$FK$8,Nutrients!$FK$9)*L$7)+(((IF($A$8=Nutrients!$B$79,Nutrients!$FK$79,(IF($A$8=Nutrients!$B$77,Nutrients!$FK$77,Nutrients!$FK$78)))))*L$8))/2000)</f>
        <v>1.6213502170228395</v>
      </c>
      <c r="M315" s="23">
        <f>((SUMPRODUCT(M$9:M$229,Nutrients!$FK$8:$FK$228)+(IF($A$7=Nutrients!$B$8,Nutrients!$FK$8,Nutrients!$FK$9)*M$7)+(((IF($A$8=Nutrients!$B$79,Nutrients!$FK$79,(IF($A$8=Nutrients!$B$77,Nutrients!$FK$77,Nutrients!$FK$78)))))*M$8))/2000)</f>
        <v>1.6490897843312589</v>
      </c>
      <c r="N315" s="23">
        <f>((SUMPRODUCT(N$9:N$229,Nutrients!$FK$8:$FK$228)+(IF($A$7=Nutrients!$B$8,Nutrients!$FK$8,Nutrients!$FK$9)*N$7)+(((IF($A$8=Nutrients!$B$79,Nutrients!$FK$79,(IF($A$8=Nutrients!$B$77,Nutrients!$FK$77,Nutrients!$FK$78)))))*N$8))/2000)</f>
        <v>1.662330520938291</v>
      </c>
      <c r="O315" s="198"/>
      <c r="P315" s="23">
        <f>((SUMPRODUCT(P$9:P$229,Nutrients!$FK$8:$FK$228)+(IF($A$7=Nutrients!$B$8,Nutrients!$FK$8,Nutrients!$FK$9)*P$7)+(((IF($A$8=Nutrients!$B$79,Nutrients!$FK$79,(IF($A$8=Nutrients!$B$77,Nutrients!$FK$77,Nutrients!$FK$78)))))*P$8))/2000)</f>
        <v>1.4384976726047054</v>
      </c>
      <c r="Q315" s="23">
        <f>((SUMPRODUCT(Q$9:Q$229,Nutrients!$FK$8:$FK$228)+(IF($A$7=Nutrients!$B$8,Nutrients!$FK$8,Nutrients!$FK$9)*Q$7)+(((IF($A$8=Nutrients!$B$79,Nutrients!$FK$79,(IF($A$8=Nutrients!$B$77,Nutrients!$FK$77,Nutrients!$FK$78)))))*Q$8))/2000)</f>
        <v>1.4936113446442294</v>
      </c>
      <c r="R315" s="23">
        <f>((SUMPRODUCT(R$9:R$229,Nutrients!$FK$8:$FK$228)+(IF($A$7=Nutrients!$B$8,Nutrients!$FK$8,Nutrients!$FK$9)*R$7)+(((IF($A$8=Nutrients!$B$79,Nutrients!$FK$79,(IF($A$8=Nutrients!$B$77,Nutrients!$FK$77,Nutrients!$FK$78)))))*R$8))/2000)</f>
        <v>1.5419333136790543</v>
      </c>
      <c r="S315" s="23">
        <f>((SUMPRODUCT(S$9:S$229,Nutrients!$FK$8:$FK$228)+(IF($A$7=Nutrients!$B$8,Nutrients!$FK$8,Nutrients!$FK$9)*S$7)+(((IF($A$8=Nutrients!$B$79,Nutrients!$FK$79,(IF($A$8=Nutrients!$B$77,Nutrients!$FK$77,Nutrients!$FK$78)))))*S$8))/2000)</f>
        <v>1.5809775552829053</v>
      </c>
      <c r="T315" s="23">
        <f>((SUMPRODUCT(T$9:T$229,Nutrients!$FK$8:$FK$228)+(IF($A$7=Nutrients!$B$8,Nutrients!$FK$8,Nutrients!$FK$9)*T$7)+(((IF($A$8=Nutrients!$B$79,Nutrients!$FK$79,(IF($A$8=Nutrients!$B$77,Nutrients!$FK$77,Nutrients!$FK$78)))))*T$8))/2000)</f>
        <v>1.6085773804255177</v>
      </c>
      <c r="U315" s="23">
        <f>((SUMPRODUCT(U$9:U$229,Nutrients!$FK$8:$FK$228)+(IF($A$7=Nutrients!$B$8,Nutrients!$FK$8,Nutrients!$FK$9)*U$7)+(((IF($A$8=Nutrients!$B$79,Nutrients!$FK$79,(IF($A$8=Nutrients!$B$77,Nutrients!$FK$77,Nutrients!$FK$78)))))*U$8))/2000)</f>
        <v>1.6217614799728977</v>
      </c>
      <c r="W315" s="23">
        <f>((SUMPRODUCT(W$9:W$229,Nutrients!$FK$8:$FK$228)+(IF($A$7=Nutrients!$B$8,Nutrients!$FK$8,Nutrients!$FK$9)*W$7)+(((IF($A$8=Nutrients!$B$79,Nutrients!$FK$79,(IF($A$8=Nutrients!$B$77,Nutrients!$FK$77,Nutrients!$FK$78)))))*W$8))/2000)</f>
        <v>1.3979567514705442</v>
      </c>
      <c r="X315" s="23">
        <f>((SUMPRODUCT(X$9:X$229,Nutrients!$FK$8:$FK$228)+(IF($A$7=Nutrients!$B$8,Nutrients!$FK$8,Nutrients!$FK$9)*X$7)+(((IF($A$8=Nutrients!$B$79,Nutrients!$FK$79,(IF($A$8=Nutrients!$B$77,Nutrients!$FK$77,Nutrients!$FK$78)))))*X$8))/2000)</f>
        <v>1.4532433474949471</v>
      </c>
      <c r="Y315" s="23">
        <f>((SUMPRODUCT(Y$9:Y$229,Nutrients!$FK$8:$FK$228)+(IF($A$7=Nutrients!$B$8,Nutrients!$FK$8,Nutrients!$FK$9)*Y$7)+(((IF($A$8=Nutrients!$B$79,Nutrients!$FK$79,(IF($A$8=Nutrients!$B$77,Nutrients!$FK$77,Nutrients!$FK$78)))))*Y$8))/2000)</f>
        <v>1.5015077252725728</v>
      </c>
      <c r="Z315" s="23">
        <f>((SUMPRODUCT(Z$9:Z$229,Nutrients!$FK$8:$FK$228)+(IF($A$7=Nutrients!$B$8,Nutrients!$FK$8,Nutrients!$FK$9)*Z$7)+(((IF($A$8=Nutrients!$B$79,Nutrients!$FK$79,(IF($A$8=Nutrients!$B$77,Nutrients!$FK$77,Nutrients!$FK$78)))))*Z$8))/2000)</f>
        <v>1.5408245887607004</v>
      </c>
      <c r="AA315" s="23">
        <f>((SUMPRODUCT(AA$9:AA$229,Nutrients!$FK$8:$FK$228)+(IF($A$7=Nutrients!$B$8,Nutrients!$FK$8,Nutrients!$FK$9)*AA$7)+(((IF($A$8=Nutrients!$B$79,Nutrients!$FK$79,(IF($A$8=Nutrients!$B$77,Nutrients!$FK$77,Nutrients!$FK$78)))))*AA$8))/2000)</f>
        <v>1.5680664532702053</v>
      </c>
      <c r="AB315" s="23">
        <f>((SUMPRODUCT(AB$9:AB$229,Nutrients!$FK$8:$FK$228)+(IF($A$7=Nutrients!$B$8,Nutrients!$FK$8,Nutrients!$FK$9)*AB$7)+(((IF($A$8=Nutrients!$B$79,Nutrients!$FK$79,(IF($A$8=Nutrients!$B$77,Nutrients!$FK$77,Nutrients!$FK$78)))))*AB$8))/2000)</f>
        <v>1.5817730858212287</v>
      </c>
      <c r="AD315" s="23">
        <f>((SUMPRODUCT(AD$9:AD$229,Nutrients!$FK$8:$FK$228)+(IF($A$7=Nutrients!$B$8,Nutrients!$FK$8,Nutrients!$FK$9)*AD$7)+(((IF($A$8=Nutrients!$B$79,Nutrients!$FK$79,(IF($A$8=Nutrients!$B$77,Nutrients!$FK$77,Nutrients!$FK$78)))))*AD$8))/2000)</f>
        <v>1.3576584023571421</v>
      </c>
      <c r="AE315" s="23">
        <f>((SUMPRODUCT(AE$9:AE$229,Nutrients!$FK$8:$FK$228)+(IF($A$7=Nutrients!$B$8,Nutrients!$FK$8,Nutrients!$FK$9)*AE$7)+(((IF($A$8=Nutrients!$B$79,Nutrients!$FK$79,(IF($A$8=Nutrients!$B$77,Nutrients!$FK$77,Nutrients!$FK$78)))))*AE$8))/2000)</f>
        <v>1.4128812569507483</v>
      </c>
      <c r="AF315" s="23">
        <f>((SUMPRODUCT(AF$9:AF$229,Nutrients!$FK$8:$FK$228)+(IF($A$7=Nutrients!$B$8,Nutrients!$FK$8,Nutrients!$FK$9)*AF$7)+(((IF($A$8=Nutrients!$B$79,Nutrients!$FK$79,(IF($A$8=Nutrients!$B$77,Nutrients!$FK$77,Nutrients!$FK$78)))))*AF$8))/2000)</f>
        <v>1.4616195303483082</v>
      </c>
      <c r="AG315" s="23">
        <f>((SUMPRODUCT(AG$9:AG$229,Nutrients!$FK$8:$FK$228)+(IF($A$7=Nutrients!$B$8,Nutrients!$FK$8,Nutrients!$FK$9)*AG$7)+(((IF($A$8=Nutrients!$B$79,Nutrients!$FK$79,(IF($A$8=Nutrients!$B$77,Nutrients!$FK$77,Nutrients!$FK$78)))))*AG$8))/2000)</f>
        <v>1.5004593028645468</v>
      </c>
      <c r="AH315" s="23">
        <f>((SUMPRODUCT(AH$9:AH$229,Nutrients!$FK$8:$FK$228)+(IF($A$7=Nutrients!$B$8,Nutrients!$FK$8,Nutrients!$FK$9)*AH$7)+(((IF($A$8=Nutrients!$B$79,Nutrients!$FK$79,(IF($A$8=Nutrients!$B$77,Nutrients!$FK$77,Nutrients!$FK$78)))))*AH$8))/2000)</f>
        <v>1.528940178806409</v>
      </c>
      <c r="AI315" s="23">
        <f>((SUMPRODUCT(AI$9:AI$229,Nutrients!$FK$8:$FK$228)+(IF($A$7=Nutrients!$B$8,Nutrients!$FK$8,Nutrients!$FK$9)*AI$7)+(((IF($A$8=Nutrients!$B$79,Nutrients!$FK$79,(IF($A$8=Nutrients!$B$77,Nutrients!$FK$77,Nutrients!$FK$78)))))*AI$8))/2000)</f>
        <v>1.5435916735507806</v>
      </c>
      <c r="AK315" s="23">
        <f>((SUMPRODUCT(AK$9:AK$229,Nutrients!$FK$8:$FK$228)+(IF($A$7=Nutrients!$B$8,Nutrients!$FK$8,Nutrients!$FK$9)*AK$7)+(((IF($A$8=Nutrients!$B$79,Nutrients!$FK$79,(IF($A$8=Nutrients!$B$77,Nutrients!$FK$77,Nutrients!$FK$78)))))*AK$8))/2000)</f>
        <v>1.3184235919467664</v>
      </c>
      <c r="AL315" s="23">
        <f>((SUMPRODUCT(AL$9:AL$229,Nutrients!$FK$8:$FK$228)+(IF($A$7=Nutrients!$B$8,Nutrients!$FK$8,Nutrients!$FK$9)*AL$7)+(((IF($A$8=Nutrients!$B$79,Nutrients!$FK$79,(IF($A$8=Nutrients!$B$77,Nutrients!$FK$77,Nutrients!$FK$78)))))*AL$8))/2000)</f>
        <v>1.3725531798399504</v>
      </c>
      <c r="AM315" s="23">
        <f>((SUMPRODUCT(AM$9:AM$229,Nutrients!$FK$8:$FK$228)+(IF($A$7=Nutrients!$B$8,Nutrients!$FK$8,Nutrients!$FK$9)*AM$7)+(((IF($A$8=Nutrients!$B$79,Nutrients!$FK$79,(IF($A$8=Nutrients!$B$77,Nutrients!$FK$77,Nutrients!$FK$78)))))*AM$8))/2000)</f>
        <v>1.4210408417300584</v>
      </c>
      <c r="AN315" s="23">
        <f>((SUMPRODUCT(AN$9:AN$229,Nutrients!$FK$8:$FK$228)+(IF($A$7=Nutrients!$B$8,Nutrients!$FK$8,Nutrients!$FK$9)*AN$7)+(((IF($A$8=Nutrients!$B$79,Nutrients!$FK$79,(IF($A$8=Nutrients!$B$77,Nutrients!$FK$77,Nutrients!$FK$78)))))*AN$8))/2000)</f>
        <v>1.4606575179964951</v>
      </c>
      <c r="AO315" s="23">
        <f>((SUMPRODUCT(AO$9:AO$229,Nutrients!$FK$8:$FK$228)+(IF($A$7=Nutrients!$B$8,Nutrients!$FK$8,Nutrients!$FK$9)*AO$7)+(((IF($A$8=Nutrients!$B$79,Nutrients!$FK$79,(IF($A$8=Nutrients!$B$77,Nutrients!$FK$77,Nutrients!$FK$78)))))*AO$8))/2000)</f>
        <v>1.4908577272593544</v>
      </c>
      <c r="AP315" s="23">
        <f>((SUMPRODUCT(AP$9:AP$229,Nutrients!$FK$8:$FK$228)+(IF($A$7=Nutrients!$B$8,Nutrients!$FK$8,Nutrients!$FK$9)*AP$7)+(((IF($A$8=Nutrients!$B$79,Nutrients!$FK$79,(IF($A$8=Nutrients!$B$77,Nutrients!$FK$77,Nutrients!$FK$78)))))*AP$8))/2000)</f>
        <v>1.5055739722367234</v>
      </c>
      <c r="AR315" s="23">
        <f>((SUMPRODUCT(AR$9:AR$229,Nutrients!$FK$8:$FK$228)+(IF($A$7=Nutrients!$B$8,Nutrients!$FK$8,Nutrients!$FK$9)*AR$7)+(((IF($A$8=Nutrients!$B$79,Nutrients!$FK$79,(IF($A$8=Nutrients!$B$77,Nutrients!$FK$77,Nutrients!$FK$78)))))*AR$8))/2000)</f>
        <v>1.2777143483320366</v>
      </c>
      <c r="AS315" s="23">
        <f>((SUMPRODUCT(AS$9:AS$229,Nutrients!$FK$8:$FK$228)+(IF($A$7=Nutrients!$B$8,Nutrients!$FK$8,Nutrients!$FK$9)*AS$7)+(((IF($A$8=Nutrients!$B$79,Nutrients!$FK$79,(IF($A$8=Nutrients!$B$77,Nutrients!$FK$77,Nutrients!$FK$78)))))*AS$8))/2000)</f>
        <v>1.3322838510241022</v>
      </c>
      <c r="AT315" s="23">
        <f>((SUMPRODUCT(AT$9:AT$229,Nutrients!$FK$8:$FK$228)+(IF($A$7=Nutrients!$B$8,Nutrients!$FK$8,Nutrients!$FK$9)*AT$7)+(((IF($A$8=Nutrients!$B$79,Nutrients!$FK$79,(IF($A$8=Nutrients!$B$77,Nutrients!$FK$77,Nutrients!$FK$78)))))*AT$8))/2000)</f>
        <v>1.3800997420972081</v>
      </c>
      <c r="AU315" s="23">
        <f>((SUMPRODUCT(AU$9:AU$229,Nutrients!$FK$8:$FK$228)+(IF($A$7=Nutrients!$B$8,Nutrients!$FK$8,Nutrients!$FK$9)*AU$7)+(((IF($A$8=Nutrients!$B$79,Nutrients!$FK$79,(IF($A$8=Nutrients!$B$77,Nutrients!$FK$77,Nutrients!$FK$78)))))*AU$8))/2000)</f>
        <v>1.4225073367917505</v>
      </c>
      <c r="AV315" s="23">
        <f>((SUMPRODUCT(AV$9:AV$229,Nutrients!$FK$8:$FK$228)+(IF($A$7=Nutrients!$B$8,Nutrients!$FK$8,Nutrients!$FK$9)*AV$7)+(((IF($A$8=Nutrients!$B$79,Nutrients!$FK$79,(IF($A$8=Nutrients!$B$77,Nutrients!$FK$77,Nutrients!$FK$78)))))*AV$8))/2000)</f>
        <v>1.4527563398408716</v>
      </c>
      <c r="AW315" s="23">
        <f>((SUMPRODUCT(AW$9:AW$229,Nutrients!$FK$8:$FK$228)+(IF($A$7=Nutrients!$B$8,Nutrients!$FK$8,Nutrients!$FK$9)*AW$7)+(((IF($A$8=Nutrients!$B$79,Nutrients!$FK$79,(IF($A$8=Nutrients!$B$77,Nutrients!$FK$77,Nutrients!$FK$78)))))*AW$8))/2000)</f>
        <v>1.4675390047094463</v>
      </c>
    </row>
    <row r="316" spans="1:49" x14ac:dyDescent="0.25">
      <c r="A316" s="34" t="s">
        <v>403</v>
      </c>
      <c r="B316" s="22">
        <f>(SUMPRODUCT(B$9:B$229,Nutrients!$U$8:$U$228)+(IF($A$7=Nutrients!$B$8,Nutrients!$U$8,Nutrients!$U$9)*B$7)+(((IF($A$8=Nutrients!$B$79,Nutrients!$U$79,(IF($A$8=Nutrients!$B$77,Nutrients!$U$77,Nutrients!$U$78)))))*B$8))/2000</f>
        <v>8.5675537105360302</v>
      </c>
      <c r="C316" s="22">
        <f>(SUMPRODUCT(C$9:C$229,Nutrients!$U$8:$U$228)+(IF($A$7=Nutrients!$B$8,Nutrients!$U$8,Nutrients!$U$9)*C$7)+(((IF($A$8=Nutrients!$B$79,Nutrients!$U$79,(IF($A$8=Nutrients!$B$77,Nutrients!$U$77,Nutrients!$U$78)))))*C$8))/2000</f>
        <v>8.6397459364158564</v>
      </c>
      <c r="D316" s="22">
        <f>(SUMPRODUCT(D$9:D$229,Nutrients!$U$8:$U$228)+(IF($A$7=Nutrients!$B$8,Nutrients!$U$8,Nutrients!$U$9)*D$7)+(((IF($A$8=Nutrients!$B$79,Nutrients!$U$79,(IF($A$8=Nutrients!$B$77,Nutrients!$U$77,Nutrients!$U$78)))))*D$8))/2000</f>
        <v>8.7042340935531328</v>
      </c>
      <c r="E316" s="22">
        <f>(SUMPRODUCT(E$9:E$229,Nutrients!$U$8:$U$228)+(IF($A$7=Nutrients!$B$8,Nutrients!$U$8,Nutrients!$U$9)*E$7)+(((IF($A$8=Nutrients!$B$79,Nutrients!$U$79,(IF($A$8=Nutrients!$B$77,Nutrients!$U$77,Nutrients!$U$78)))))*E$8))/2000</f>
        <v>8.7574905031042753</v>
      </c>
      <c r="F316" s="22">
        <f>(SUMPRODUCT(F$9:F$229,Nutrients!$U$8:$U$228)+(IF($A$7=Nutrients!$B$8,Nutrients!$U$8,Nutrients!$U$9)*F$7)+(((IF($A$8=Nutrients!$B$79,Nutrients!$U$79,(IF($A$8=Nutrients!$B$77,Nutrients!$U$77,Nutrients!$U$78)))))*F$8))/2000</f>
        <v>8.7980354970428483</v>
      </c>
      <c r="G316" s="22">
        <f>(SUMPRODUCT(G$9:G$229,Nutrients!$U$8:$U$228)+(IF($A$7=Nutrients!$B$8,Nutrients!$U$8,Nutrients!$U$9)*G$7)+(((IF($A$8=Nutrients!$B$79,Nutrients!$U$79,(IF($A$8=Nutrients!$B$77,Nutrients!$U$77,Nutrients!$U$78)))))*G$8))/2000</f>
        <v>8.8153381410832843</v>
      </c>
      <c r="H316" s="228"/>
      <c r="I316" s="22">
        <f>(SUMPRODUCT(I$9:I$229,Nutrients!$U$8:$U$228)+(IF($A$7=Nutrients!$B$8,Nutrients!$U$8,Nutrients!$U$9)*I$7)+(((IF($A$8=Nutrients!$B$79,Nutrients!$U$79,(IF($A$8=Nutrients!$B$77,Nutrients!$U$77,Nutrients!$U$78)))))*I$8))/2000</f>
        <v>9.7249109022549316</v>
      </c>
      <c r="J316" s="22">
        <f>(SUMPRODUCT(J$9:J$229,Nutrients!$U$8:$U$228)+(IF($A$7=Nutrients!$B$8,Nutrients!$U$8,Nutrients!$U$9)*J$7)+(((IF($A$8=Nutrients!$B$79,Nutrients!$U$79,(IF($A$8=Nutrients!$B$77,Nutrients!$U$77,Nutrients!$U$78)))))*J$8))/2000</f>
        <v>9.7964931050631989</v>
      </c>
      <c r="K316" s="22">
        <f>(SUMPRODUCT(K$9:K$229,Nutrients!$U$8:$U$228)+(IF($A$7=Nutrients!$B$8,Nutrients!$U$8,Nutrients!$U$9)*K$7)+(((IF($A$8=Nutrients!$B$79,Nutrients!$U$79,(IF($A$8=Nutrients!$B$77,Nutrients!$U$77,Nutrients!$U$78)))))*K$8))/2000</f>
        <v>9.8620823208871773</v>
      </c>
      <c r="L316" s="22">
        <f>(SUMPRODUCT(L$9:L$229,Nutrients!$U$8:$U$228)+(IF($A$7=Nutrients!$B$8,Nutrients!$U$8,Nutrients!$U$9)*L$7)+(((IF($A$8=Nutrients!$B$79,Nutrients!$U$79,(IF($A$8=Nutrients!$B$77,Nutrients!$U$77,Nutrients!$U$78)))))*L$8))/2000</f>
        <v>9.9169687619060998</v>
      </c>
      <c r="M316" s="22">
        <f>(SUMPRODUCT(M$9:M$229,Nutrients!$U$8:$U$228)+(IF($A$7=Nutrients!$B$8,Nutrients!$U$8,Nutrients!$U$9)*M$7)+(((IF($A$8=Nutrients!$B$79,Nutrients!$U$79,(IF($A$8=Nutrients!$B$77,Nutrients!$U$77,Nutrients!$U$78)))))*M$8))/2000</f>
        <v>9.9563425413950952</v>
      </c>
      <c r="N316" s="22">
        <f>(SUMPRODUCT(N$9:N$229,Nutrients!$U$8:$U$228)+(IF($A$7=Nutrients!$B$8,Nutrients!$U$8,Nutrients!$U$9)*N$7)+(((IF($A$8=Nutrients!$B$79,Nutrients!$U$79,(IF($A$8=Nutrients!$B$77,Nutrients!$U$77,Nutrients!$U$78)))))*N$8))/2000</f>
        <v>9.9744474998347776</v>
      </c>
      <c r="O316" s="235"/>
      <c r="P316" s="22">
        <f>(SUMPRODUCT(P$9:P$229,Nutrients!$U$8:$U$228)+(IF($A$7=Nutrients!$B$8,Nutrients!$U$8,Nutrients!$U$9)*P$7)+(((IF($A$8=Nutrients!$B$79,Nutrients!$U$79,(IF($A$8=Nutrients!$B$77,Nutrients!$U$77,Nutrients!$U$78)))))*P$8))/2000</f>
        <v>10.88217629885041</v>
      </c>
      <c r="Q316" s="22">
        <f>(SUMPRODUCT(Q$9:Q$229,Nutrients!$U$8:$U$228)+(IF($A$7=Nutrients!$B$8,Nutrients!$U$8,Nutrients!$U$9)*Q$7)+(((IF($A$8=Nutrients!$B$79,Nutrients!$U$79,(IF($A$8=Nutrients!$B$77,Nutrients!$U$77,Nutrients!$U$78)))))*Q$8))/2000</f>
        <v>10.953584439917918</v>
      </c>
      <c r="R316" s="22">
        <f>(SUMPRODUCT(R$9:R$229,Nutrients!$U$8:$U$228)+(IF($A$7=Nutrients!$B$8,Nutrients!$U$8,Nutrients!$U$9)*R$7)+(((IF($A$8=Nutrients!$B$79,Nutrients!$U$79,(IF($A$8=Nutrients!$B$77,Nutrients!$U$77,Nutrients!$U$78)))))*R$8))/2000</f>
        <v>11.018910927897572</v>
      </c>
      <c r="S316" s="22">
        <f>(SUMPRODUCT(S$9:S$229,Nutrients!$U$8:$U$228)+(IF($A$7=Nutrients!$B$8,Nutrients!$U$8,Nutrients!$U$9)*S$7)+(((IF($A$8=Nutrients!$B$79,Nutrients!$U$79,(IF($A$8=Nutrients!$B$77,Nutrients!$U$77,Nutrients!$U$78)))))*S$8))/2000</f>
        <v>11.073900708285247</v>
      </c>
      <c r="T316" s="22">
        <f>(SUMPRODUCT(T$9:T$229,Nutrients!$U$8:$U$228)+(IF($A$7=Nutrients!$B$8,Nutrients!$U$8,Nutrients!$U$9)*T$7)+(((IF($A$8=Nutrients!$B$79,Nutrients!$U$79,(IF($A$8=Nutrients!$B$77,Nutrients!$U$77,Nutrients!$U$78)))))*T$8))/2000</f>
        <v>11.113016811836189</v>
      </c>
      <c r="U316" s="22">
        <f>(SUMPRODUCT(U$9:U$229,Nutrients!$U$8:$U$228)+(IF($A$7=Nutrients!$B$8,Nutrients!$U$8,Nutrients!$U$9)*U$7)+(((IF($A$8=Nutrients!$B$79,Nutrients!$U$79,(IF($A$8=Nutrients!$B$77,Nutrients!$U$77,Nutrients!$U$78)))))*U$8))/2000</f>
        <v>11.130854187337256</v>
      </c>
      <c r="W316" s="22">
        <f>(SUMPRODUCT(W$9:W$229,Nutrients!$U$8:$U$228)+(IF($A$7=Nutrients!$B$8,Nutrients!$U$8,Nutrients!$U$9)*W$7)+(((IF($A$8=Nutrients!$B$79,Nutrients!$U$79,(IF($A$8=Nutrients!$B$77,Nutrients!$U$77,Nutrients!$U$78)))))*W$8))/2000</f>
        <v>12.039304367605698</v>
      </c>
      <c r="X316" s="22">
        <f>(SUMPRODUCT(X$9:X$229,Nutrients!$U$8:$U$228)+(IF($A$7=Nutrients!$B$8,Nutrients!$U$8,Nutrients!$U$9)*X$7)+(((IF($A$8=Nutrients!$B$79,Nutrients!$U$79,(IF($A$8=Nutrients!$B$77,Nutrients!$U$77,Nutrients!$U$78)))))*X$8))/2000</f>
        <v>12.110510949271651</v>
      </c>
      <c r="Y316" s="22">
        <f>(SUMPRODUCT(Y$9:Y$229,Nutrients!$U$8:$U$228)+(IF($A$7=Nutrients!$B$8,Nutrients!$U$8,Nutrients!$U$9)*Y$7)+(((IF($A$8=Nutrients!$B$79,Nutrients!$U$79,(IF($A$8=Nutrients!$B$77,Nutrients!$U$77,Nutrients!$U$78)))))*Y$8))/2000</f>
        <v>12.176132952118794</v>
      </c>
      <c r="Z316" s="22">
        <f>(SUMPRODUCT(Z$9:Z$229,Nutrients!$U$8:$U$228)+(IF($A$7=Nutrients!$B$8,Nutrients!$U$8,Nutrients!$U$9)*Z$7)+(((IF($A$8=Nutrients!$B$79,Nutrients!$U$79,(IF($A$8=Nutrients!$B$77,Nutrients!$U$77,Nutrients!$U$78)))))*Z$8))/2000</f>
        <v>12.231314527025717</v>
      </c>
      <c r="AA316" s="22">
        <f>(SUMPRODUCT(AA$9:AA$229,Nutrients!$U$8:$U$228)+(IF($A$7=Nutrients!$B$8,Nutrients!$U$8,Nutrients!$U$9)*AA$7)+(((IF($A$8=Nutrients!$B$79,Nutrients!$U$79,(IF($A$8=Nutrients!$B$77,Nutrients!$U$77,Nutrients!$U$78)))))*AA$8))/2000</f>
        <v>12.26936766276811</v>
      </c>
      <c r="AB316" s="22">
        <f>(SUMPRODUCT(AB$9:AB$229,Nutrients!$U$8:$U$228)+(IF($A$7=Nutrients!$B$8,Nutrients!$U$8,Nutrients!$U$9)*AB$7)+(((IF($A$8=Nutrients!$B$79,Nutrients!$U$79,(IF($A$8=Nutrients!$B$77,Nutrients!$U$77,Nutrients!$U$78)))))*AB$8))/2000</f>
        <v>12.283561684919222</v>
      </c>
      <c r="AD316" s="22">
        <f>(SUMPRODUCT(AD$9:AD$229,Nutrients!$U$8:$U$228)+(IF($A$7=Nutrients!$B$8,Nutrients!$U$8,Nutrients!$U$9)*AD$7)+(((IF($A$8=Nutrients!$B$79,Nutrients!$U$79,(IF($A$8=Nutrients!$B$77,Nutrients!$U$77,Nutrients!$U$78)))))*AD$8))/2000</f>
        <v>13.196263888910565</v>
      </c>
      <c r="AE316" s="22">
        <f>(SUMPRODUCT(AE$9:AE$229,Nutrients!$U$8:$U$228)+(IF($A$7=Nutrients!$B$8,Nutrients!$U$8,Nutrients!$U$9)*AE$7)+(((IF($A$8=Nutrients!$B$79,Nutrients!$U$79,(IF($A$8=Nutrients!$B$77,Nutrients!$U$77,Nutrients!$U$78)))))*AE$8))/2000</f>
        <v>13.26754476729513</v>
      </c>
      <c r="AF316" s="22">
        <f>(SUMPRODUCT(AF$9:AF$229,Nutrients!$U$8:$U$228)+(IF($A$7=Nutrients!$B$8,Nutrients!$U$8,Nutrients!$U$9)*AF$7)+(((IF($A$8=Nutrients!$B$79,Nutrients!$U$79,(IF($A$8=Nutrients!$B$77,Nutrients!$U$77,Nutrients!$U$78)))))*AF$8))/2000</f>
        <v>13.333784731577465</v>
      </c>
      <c r="AG316" s="22">
        <f>(SUMPRODUCT(AG$9:AG$229,Nutrients!$U$8:$U$228)+(IF($A$7=Nutrients!$B$8,Nutrients!$U$8,Nutrients!$U$9)*AG$7)+(((IF($A$8=Nutrients!$B$79,Nutrients!$U$79,(IF($A$8=Nutrients!$B$77,Nutrients!$U$77,Nutrients!$U$78)))))*AG$8))/2000</f>
        <v>13.387381425794249</v>
      </c>
      <c r="AH316" s="22">
        <f>(SUMPRODUCT(AH$9:AH$229,Nutrients!$U$8:$U$228)+(IF($A$7=Nutrients!$B$8,Nutrients!$U$8,Nutrients!$U$9)*AH$7)+(((IF($A$8=Nutrients!$B$79,Nutrients!$U$79,(IF($A$8=Nutrients!$B$77,Nutrients!$U$77,Nutrients!$U$78)))))*AH$8))/2000</f>
        <v>13.41504497080839</v>
      </c>
      <c r="AI316" s="22">
        <f>(SUMPRODUCT(AI$9:AI$229,Nutrients!$U$8:$U$228)+(IF($A$7=Nutrients!$B$8,Nutrients!$U$8,Nutrients!$U$9)*AI$7)+(((IF($A$8=Nutrients!$B$79,Nutrients!$U$79,(IF($A$8=Nutrients!$B$77,Nutrients!$U$77,Nutrients!$U$78)))))*AI$8))/2000</f>
        <v>13.425578663713271</v>
      </c>
      <c r="AK316" s="22">
        <f>(SUMPRODUCT(AK$9:AK$229,Nutrients!$U$8:$U$228)+(IF($A$7=Nutrients!$B$8,Nutrients!$U$8,Nutrients!$U$9)*AK$7)+(((IF($A$8=Nutrients!$B$79,Nutrients!$U$79,(IF($A$8=Nutrients!$B$77,Nutrients!$U$77,Nutrients!$U$78)))))*AK$8))/2000</f>
        <v>14.352040851084766</v>
      </c>
      <c r="AL316" s="22">
        <f>(SUMPRODUCT(AL$9:AL$229,Nutrients!$U$8:$U$228)+(IF($A$7=Nutrients!$B$8,Nutrients!$U$8,Nutrients!$U$9)*AL$7)+(((IF($A$8=Nutrients!$B$79,Nutrients!$U$79,(IF($A$8=Nutrients!$B$77,Nutrients!$U$77,Nutrients!$U$78)))))*AL$8))/2000</f>
        <v>14.424596036107788</v>
      </c>
      <c r="AM316" s="22">
        <f>(SUMPRODUCT(AM$9:AM$229,Nutrients!$U$8:$U$228)+(IF($A$7=Nutrients!$B$8,Nutrients!$U$8,Nutrients!$U$9)*AM$7)+(((IF($A$8=Nutrients!$B$79,Nutrients!$U$79,(IF($A$8=Nutrients!$B$77,Nutrients!$U$77,Nutrients!$U$78)))))*AM$8))/2000</f>
        <v>14.490157468268242</v>
      </c>
      <c r="AN316" s="22">
        <f>(SUMPRODUCT(AN$9:AN$229,Nutrients!$U$8:$U$228)+(IF($A$7=Nutrients!$B$8,Nutrients!$U$8,Nutrients!$U$9)*AN$7)+(((IF($A$8=Nutrients!$B$79,Nutrients!$U$79,(IF($A$8=Nutrients!$B$77,Nutrients!$U$77,Nutrients!$U$78)))))*AN$8))/2000</f>
        <v>14.534267496185688</v>
      </c>
      <c r="AO316" s="22">
        <f>(SUMPRODUCT(AO$9:AO$229,Nutrients!$U$8:$U$228)+(IF($A$7=Nutrients!$B$8,Nutrients!$U$8,Nutrients!$U$9)*AO$7)+(((IF($A$8=Nutrients!$B$79,Nutrients!$U$79,(IF($A$8=Nutrients!$B$77,Nutrients!$U$77,Nutrients!$U$78)))))*AO$8))/2000</f>
        <v>14.558028287748904</v>
      </c>
      <c r="AP316" s="22">
        <f>(SUMPRODUCT(AP$9:AP$229,Nutrients!$U$8:$U$228)+(IF($A$7=Nutrients!$B$8,Nutrients!$U$8,Nutrients!$U$9)*AP$7)+(((IF($A$8=Nutrients!$B$79,Nutrients!$U$79,(IF($A$8=Nutrients!$B$77,Nutrients!$U$77,Nutrients!$U$78)))))*AP$8))/2000</f>
        <v>14.568482918437331</v>
      </c>
      <c r="AR316" s="22">
        <f>(SUMPRODUCT(AR$9:AR$229,Nutrients!$U$8:$U$228)+(IF($A$7=Nutrients!$B$8,Nutrients!$U$8,Nutrients!$U$9)*AR$7)+(((IF($A$8=Nutrients!$B$79,Nutrients!$U$79,(IF($A$8=Nutrients!$B$77,Nutrients!$U$77,Nutrients!$U$78)))))*AR$8))/2000</f>
        <v>15.509595274826999</v>
      </c>
      <c r="AS316" s="22">
        <f>(SUMPRODUCT(AS$9:AS$229,Nutrients!$U$8:$U$228)+(IF($A$7=Nutrients!$B$8,Nutrients!$U$8,Nutrients!$U$9)*AS$7)+(((IF($A$8=Nutrients!$B$79,Nutrients!$U$79,(IF($A$8=Nutrients!$B$77,Nutrients!$U$77,Nutrients!$U$78)))))*AS$8))/2000</f>
        <v>15.581637688794629</v>
      </c>
      <c r="AT316" s="22">
        <f>(SUMPRODUCT(AT$9:AT$229,Nutrients!$U$8:$U$228)+(IF($A$7=Nutrients!$B$8,Nutrients!$U$8,Nutrients!$U$9)*AT$7)+(((IF($A$8=Nutrients!$B$79,Nutrients!$U$79,(IF($A$8=Nutrients!$B$77,Nutrients!$U$77,Nutrients!$U$78)))))*AT$8))/2000</f>
        <v>15.644130597950809</v>
      </c>
      <c r="AU316" s="22">
        <f>(SUMPRODUCT(AU$9:AU$229,Nutrients!$U$8:$U$228)+(IF($A$7=Nutrients!$B$8,Nutrients!$U$8,Nutrients!$U$9)*AU$7)+(((IF($A$8=Nutrients!$B$79,Nutrients!$U$79,(IF($A$8=Nutrients!$B$77,Nutrients!$U$77,Nutrients!$U$78)))))*AU$8))/2000</f>
        <v>15.677286778377889</v>
      </c>
      <c r="AV316" s="22">
        <f>(SUMPRODUCT(AV$9:AV$229,Nutrients!$U$8:$U$228)+(IF($A$7=Nutrients!$B$8,Nutrients!$U$8,Nutrients!$U$9)*AV$7)+(((IF($A$8=Nutrients!$B$79,Nutrients!$U$79,(IF($A$8=Nutrients!$B$77,Nutrients!$U$77,Nutrients!$U$78)))))*AV$8))/2000</f>
        <v>15.700817905343778</v>
      </c>
      <c r="AW316" s="22">
        <f>(SUMPRODUCT(AW$9:AW$229,Nutrients!$U$8:$U$228)+(IF($A$7=Nutrients!$B$8,Nutrients!$U$8,Nutrients!$U$9)*AW$7)+(((IF($A$8=Nutrients!$B$79,Nutrients!$U$79,(IF($A$8=Nutrients!$B$77,Nutrients!$U$77,Nutrients!$U$78)))))*AW$8))/2000</f>
        <v>15.711202158584708</v>
      </c>
    </row>
    <row r="317" spans="1:49" x14ac:dyDescent="0.25">
      <c r="A317" s="34" t="s">
        <v>416</v>
      </c>
      <c r="B317" s="23">
        <f t="shared" ref="B317:G317" si="209">B236/B253*100</f>
        <v>5.7412242387563301</v>
      </c>
      <c r="C317" s="23">
        <f t="shared" si="209"/>
        <v>5.6765331580798346</v>
      </c>
      <c r="D317" s="23">
        <f t="shared" si="209"/>
        <v>5.5885690783484616</v>
      </c>
      <c r="E317" s="23">
        <f t="shared" si="209"/>
        <v>5.5041200481878318</v>
      </c>
      <c r="F317" s="23">
        <f t="shared" si="209"/>
        <v>5.4256048182416317</v>
      </c>
      <c r="G317" s="23">
        <f t="shared" si="209"/>
        <v>5.3576040399978782</v>
      </c>
      <c r="H317" s="227"/>
      <c r="I317" s="23">
        <f t="shared" ref="I317:N317" si="210">I236/I253*100</f>
        <v>5.6471457868571635</v>
      </c>
      <c r="J317" s="23">
        <f t="shared" si="210"/>
        <v>5.5728246933621666</v>
      </c>
      <c r="K317" s="23">
        <f t="shared" si="210"/>
        <v>5.474875776532846</v>
      </c>
      <c r="L317" s="23">
        <f t="shared" si="210"/>
        <v>5.3803224710237618</v>
      </c>
      <c r="M317" s="23">
        <f t="shared" si="210"/>
        <v>5.2947626084481865</v>
      </c>
      <c r="N317" s="23">
        <f t="shared" si="210"/>
        <v>5.2231735801738992</v>
      </c>
      <c r="O317" s="198"/>
      <c r="P317" s="23">
        <f t="shared" ref="P317:U317" si="211">P236/P253*100</f>
        <v>5.556034676030265</v>
      </c>
      <c r="Q317" s="23">
        <f t="shared" si="211"/>
        <v>5.4726881521495914</v>
      </c>
      <c r="R317" s="23">
        <f t="shared" si="211"/>
        <v>5.3657943409874909</v>
      </c>
      <c r="S317" s="23">
        <f t="shared" si="211"/>
        <v>5.2623357830610029</v>
      </c>
      <c r="T317" s="23">
        <f t="shared" si="211"/>
        <v>5.1695203329617048</v>
      </c>
      <c r="U317" s="23">
        <f t="shared" si="211"/>
        <v>5.0943457290254806</v>
      </c>
      <c r="W317" s="23">
        <f t="shared" ref="W317:AB317" si="212">W236/W253*100</f>
        <v>5.4678366882763232</v>
      </c>
      <c r="X317" s="23">
        <f t="shared" si="212"/>
        <v>5.3761127614010435</v>
      </c>
      <c r="Y317" s="23">
        <f t="shared" si="212"/>
        <v>5.2609073804604982</v>
      </c>
      <c r="Z317" s="23">
        <f t="shared" si="212"/>
        <v>5.1501649454558676</v>
      </c>
      <c r="AA317" s="23">
        <f t="shared" si="212"/>
        <v>5.049175891539095</v>
      </c>
      <c r="AB317" s="23">
        <f t="shared" si="212"/>
        <v>4.9720661824323091</v>
      </c>
      <c r="AD317" s="23">
        <f t="shared" ref="AD317:AI317" si="213">AD236/AD253*100</f>
        <v>5.3824186832875913</v>
      </c>
      <c r="AE317" s="23">
        <f t="shared" si="213"/>
        <v>5.2828703981910428</v>
      </c>
      <c r="AF317" s="23">
        <f t="shared" si="213"/>
        <v>5.1617479451528947</v>
      </c>
      <c r="AG317" s="23">
        <f t="shared" si="213"/>
        <v>5.0405728958868146</v>
      </c>
      <c r="AH317" s="23">
        <f t="shared" si="213"/>
        <v>4.9363911033247669</v>
      </c>
      <c r="AI317" s="23">
        <f t="shared" si="213"/>
        <v>4.8576567139291047</v>
      </c>
      <c r="AK317" s="23">
        <f t="shared" ref="AK317:AP317" si="214">AK236/AK253*100</f>
        <v>5.2997888182538793</v>
      </c>
      <c r="AL317" s="23">
        <f t="shared" si="214"/>
        <v>5.192804683494793</v>
      </c>
      <c r="AM317" s="23">
        <f t="shared" si="214"/>
        <v>5.063368681752336</v>
      </c>
      <c r="AN317" s="23">
        <f t="shared" si="214"/>
        <v>4.9372472478562859</v>
      </c>
      <c r="AO317" s="23">
        <f t="shared" si="214"/>
        <v>4.8292059273023451</v>
      </c>
      <c r="AP317" s="23">
        <f t="shared" si="214"/>
        <v>4.7484158328576536</v>
      </c>
      <c r="AR317" s="23">
        <f t="shared" ref="AR317:AW317" si="215">AR236/AR253*100</f>
        <v>5.2198207519130149</v>
      </c>
      <c r="AS317" s="23">
        <f t="shared" si="215"/>
        <v>5.1061894912005954</v>
      </c>
      <c r="AT317" s="23">
        <f t="shared" si="215"/>
        <v>4.9694301927618243</v>
      </c>
      <c r="AU317" s="23">
        <f t="shared" si="215"/>
        <v>4.8389022426092705</v>
      </c>
      <c r="AV317" s="23">
        <f t="shared" si="215"/>
        <v>4.72612919130923</v>
      </c>
      <c r="AW317" s="23">
        <f t="shared" si="215"/>
        <v>4.6435482632660383</v>
      </c>
    </row>
    <row r="318" spans="1:49" x14ac:dyDescent="0.25">
      <c r="A318" s="34" t="s">
        <v>120</v>
      </c>
    </row>
    <row r="319" spans="1:49" x14ac:dyDescent="0.25">
      <c r="A319" s="34" t="s">
        <v>112</v>
      </c>
      <c r="B319" s="21">
        <f>(SUMPRODUCT(B$9:B$229,Nutrients!$EK$8:$EK$228)+(IF($A$7=Nutrients!$B$8,Nutrients!$EK$8,Nutrients!$EK$9)*B$7)+(((IF($A$8=Nutrients!$B$79,Nutrients!$EK$79,(IF($A$8=Nutrients!$B$77,Nutrients!$EK$77,Nutrients!$EK$78)))))*B$8))/2000*1000000</f>
        <v>110.11950000000002</v>
      </c>
      <c r="C319" s="21">
        <f>(SUMPRODUCT(C$9:C$229,Nutrients!$EK$8:$EK$228)+(IF($A$7=Nutrients!$B$8,Nutrients!$EK$8,Nutrients!$EK$9)*C$7)+(((IF($A$8=Nutrients!$B$79,Nutrients!$EK$79,(IF($A$8=Nutrients!$B$77,Nutrients!$EK$77,Nutrients!$EK$78)))))*C$8))/2000*1000000</f>
        <v>110.11950000000002</v>
      </c>
      <c r="D319" s="21">
        <f>(SUMPRODUCT(D$9:D$229,Nutrients!$EK$8:$EK$228)+(IF($A$7=Nutrients!$B$8,Nutrients!$EK$8,Nutrients!$EK$9)*D$7)+(((IF($A$8=Nutrients!$B$79,Nutrients!$EK$79,(IF($A$8=Nutrients!$B$77,Nutrients!$EK$77,Nutrients!$EK$78)))))*D$8))/2000*1000000</f>
        <v>91.766249999999999</v>
      </c>
      <c r="E319" s="21">
        <f>(SUMPRODUCT(E$9:E$229,Nutrients!$EK$8:$EK$228)+(IF($A$7=Nutrients!$B$8,Nutrients!$EK$8,Nutrients!$EK$9)*E$7)+(((IF($A$8=Nutrients!$B$79,Nutrients!$EK$79,(IF($A$8=Nutrients!$B$77,Nutrients!$EK$77,Nutrients!$EK$78)))))*E$8))/2000*1000000</f>
        <v>73.413000000000011</v>
      </c>
      <c r="F319" s="21">
        <f>(SUMPRODUCT(F$9:F$229,Nutrients!$EK$8:$EK$228)+(IF($A$7=Nutrients!$B$8,Nutrients!$EK$8,Nutrients!$EK$9)*F$7)+(((IF($A$8=Nutrients!$B$79,Nutrients!$EK$79,(IF($A$8=Nutrients!$B$77,Nutrients!$EK$77,Nutrients!$EK$78)))))*F$8))/2000*1000000</f>
        <v>55.059750000000008</v>
      </c>
      <c r="G319" s="21">
        <f>(SUMPRODUCT(G$9:G$229,Nutrients!$EK$8:$EK$228)+(IF($A$7=Nutrients!$B$8,Nutrients!$EK$8,Nutrients!$EK$9)*G$7)+(((IF($A$8=Nutrients!$B$79,Nutrients!$EK$79,(IF($A$8=Nutrients!$B$77,Nutrients!$EK$77,Nutrients!$EK$78)))))*G$8))/2000*1000000</f>
        <v>55.059750000000008</v>
      </c>
      <c r="H319" s="226"/>
      <c r="I319" s="21">
        <f>(SUMPRODUCT(I$9:I$229,Nutrients!$EK$8:$EK$228)+(IF($A$7=Nutrients!$B$8,Nutrients!$EK$8,Nutrients!$EK$9)*I$7)+(((IF($A$8=Nutrients!$B$79,Nutrients!$EK$79,(IF($A$8=Nutrients!$B$77,Nutrients!$EK$77,Nutrients!$EK$78)))))*I$8))/2000*1000000</f>
        <v>110.11950000000002</v>
      </c>
      <c r="J319" s="21">
        <f>(SUMPRODUCT(J$9:J$229,Nutrients!$EK$8:$EK$228)+(IF($A$7=Nutrients!$B$8,Nutrients!$EK$8,Nutrients!$EK$9)*J$7)+(((IF($A$8=Nutrients!$B$79,Nutrients!$EK$79,(IF($A$8=Nutrients!$B$77,Nutrients!$EK$77,Nutrients!$EK$78)))))*J$8))/2000*1000000</f>
        <v>110.11950000000002</v>
      </c>
      <c r="K319" s="21">
        <f>(SUMPRODUCT(K$9:K$229,Nutrients!$EK$8:$EK$228)+(IF($A$7=Nutrients!$B$8,Nutrients!$EK$8,Nutrients!$EK$9)*K$7)+(((IF($A$8=Nutrients!$B$79,Nutrients!$EK$79,(IF($A$8=Nutrients!$B$77,Nutrients!$EK$77,Nutrients!$EK$78)))))*K$8))/2000*1000000</f>
        <v>91.766249999999999</v>
      </c>
      <c r="L319" s="21">
        <f>(SUMPRODUCT(L$9:L$229,Nutrients!$EK$8:$EK$228)+(IF($A$7=Nutrients!$B$8,Nutrients!$EK$8,Nutrients!$EK$9)*L$7)+(((IF($A$8=Nutrients!$B$79,Nutrients!$EK$79,(IF($A$8=Nutrients!$B$77,Nutrients!$EK$77,Nutrients!$EK$78)))))*L$8))/2000*1000000</f>
        <v>73.413000000000011</v>
      </c>
      <c r="M319" s="21">
        <f>(SUMPRODUCT(M$9:M$229,Nutrients!$EK$8:$EK$228)+(IF($A$7=Nutrients!$B$8,Nutrients!$EK$8,Nutrients!$EK$9)*M$7)+(((IF($A$8=Nutrients!$B$79,Nutrients!$EK$79,(IF($A$8=Nutrients!$B$77,Nutrients!$EK$77,Nutrients!$EK$78)))))*M$8))/2000*1000000</f>
        <v>55.059750000000008</v>
      </c>
      <c r="N319" s="21">
        <f>(SUMPRODUCT(N$9:N$229,Nutrients!$EK$8:$EK$228)+(IF($A$7=Nutrients!$B$8,Nutrients!$EK$8,Nutrients!$EK$9)*N$7)+(((IF($A$8=Nutrients!$B$79,Nutrients!$EK$79,(IF($A$8=Nutrients!$B$77,Nutrients!$EK$77,Nutrients!$EK$78)))))*N$8))/2000*1000000</f>
        <v>55.059750000000008</v>
      </c>
      <c r="O319" s="234"/>
      <c r="P319" s="21">
        <f>(SUMPRODUCT(P$9:P$229,Nutrients!$EK$8:$EK$228)+(IF($A$7=Nutrients!$B$8,Nutrients!$EK$8,Nutrients!$EK$9)*P$7)+(((IF($A$8=Nutrients!$B$79,Nutrients!$EK$79,(IF($A$8=Nutrients!$B$77,Nutrients!$EK$77,Nutrients!$EK$78)))))*P$8))/2000*1000000</f>
        <v>110.11950000000002</v>
      </c>
      <c r="Q319" s="21">
        <f>(SUMPRODUCT(Q$9:Q$229,Nutrients!$EK$8:$EK$228)+(IF($A$7=Nutrients!$B$8,Nutrients!$EK$8,Nutrients!$EK$9)*Q$7)+(((IF($A$8=Nutrients!$B$79,Nutrients!$EK$79,(IF($A$8=Nutrients!$B$77,Nutrients!$EK$77,Nutrients!$EK$78)))))*Q$8))/2000*1000000</f>
        <v>110.11950000000002</v>
      </c>
      <c r="R319" s="21">
        <f>(SUMPRODUCT(R$9:R$229,Nutrients!$EK$8:$EK$228)+(IF($A$7=Nutrients!$B$8,Nutrients!$EK$8,Nutrients!$EK$9)*R$7)+(((IF($A$8=Nutrients!$B$79,Nutrients!$EK$79,(IF($A$8=Nutrients!$B$77,Nutrients!$EK$77,Nutrients!$EK$78)))))*R$8))/2000*1000000</f>
        <v>91.766249999999999</v>
      </c>
      <c r="S319" s="21">
        <f>(SUMPRODUCT(S$9:S$229,Nutrients!$EK$8:$EK$228)+(IF($A$7=Nutrients!$B$8,Nutrients!$EK$8,Nutrients!$EK$9)*S$7)+(((IF($A$8=Nutrients!$B$79,Nutrients!$EK$79,(IF($A$8=Nutrients!$B$77,Nutrients!$EK$77,Nutrients!$EK$78)))))*S$8))/2000*1000000</f>
        <v>73.413000000000011</v>
      </c>
      <c r="T319" s="21">
        <f>(SUMPRODUCT(T$9:T$229,Nutrients!$EK$8:$EK$228)+(IF($A$7=Nutrients!$B$8,Nutrients!$EK$8,Nutrients!$EK$9)*T$7)+(((IF($A$8=Nutrients!$B$79,Nutrients!$EK$79,(IF($A$8=Nutrients!$B$77,Nutrients!$EK$77,Nutrients!$EK$78)))))*T$8))/2000*1000000</f>
        <v>55.059750000000008</v>
      </c>
      <c r="U319" s="21">
        <f>(SUMPRODUCT(U$9:U$229,Nutrients!$EK$8:$EK$228)+(IF($A$7=Nutrients!$B$8,Nutrients!$EK$8,Nutrients!$EK$9)*U$7)+(((IF($A$8=Nutrients!$B$79,Nutrients!$EK$79,(IF($A$8=Nutrients!$B$77,Nutrients!$EK$77,Nutrients!$EK$78)))))*U$8))/2000*1000000</f>
        <v>55.059750000000008</v>
      </c>
      <c r="W319" s="21">
        <f>(SUMPRODUCT(W$9:W$229,Nutrients!$EK$8:$EK$228)+(IF($A$7=Nutrients!$B$8,Nutrients!$EK$8,Nutrients!$EK$9)*W$7)+(((IF($A$8=Nutrients!$B$79,Nutrients!$EK$79,(IF($A$8=Nutrients!$B$77,Nutrients!$EK$77,Nutrients!$EK$78)))))*W$8))/2000*1000000</f>
        <v>110.11950000000002</v>
      </c>
      <c r="X319" s="21">
        <f>(SUMPRODUCT(X$9:X$229,Nutrients!$EK$8:$EK$228)+(IF($A$7=Nutrients!$B$8,Nutrients!$EK$8,Nutrients!$EK$9)*X$7)+(((IF($A$8=Nutrients!$B$79,Nutrients!$EK$79,(IF($A$8=Nutrients!$B$77,Nutrients!$EK$77,Nutrients!$EK$78)))))*X$8))/2000*1000000</f>
        <v>110.11950000000002</v>
      </c>
      <c r="Y319" s="21">
        <f>(SUMPRODUCT(Y$9:Y$229,Nutrients!$EK$8:$EK$228)+(IF($A$7=Nutrients!$B$8,Nutrients!$EK$8,Nutrients!$EK$9)*Y$7)+(((IF($A$8=Nutrients!$B$79,Nutrients!$EK$79,(IF($A$8=Nutrients!$B$77,Nutrients!$EK$77,Nutrients!$EK$78)))))*Y$8))/2000*1000000</f>
        <v>91.766249999999999</v>
      </c>
      <c r="Z319" s="21">
        <f>(SUMPRODUCT(Z$9:Z$229,Nutrients!$EK$8:$EK$228)+(IF($A$7=Nutrients!$B$8,Nutrients!$EK$8,Nutrients!$EK$9)*Z$7)+(((IF($A$8=Nutrients!$B$79,Nutrients!$EK$79,(IF($A$8=Nutrients!$B$77,Nutrients!$EK$77,Nutrients!$EK$78)))))*Z$8))/2000*1000000</f>
        <v>73.413000000000011</v>
      </c>
      <c r="AA319" s="21">
        <f>(SUMPRODUCT(AA$9:AA$229,Nutrients!$EK$8:$EK$228)+(IF($A$7=Nutrients!$B$8,Nutrients!$EK$8,Nutrients!$EK$9)*AA$7)+(((IF($A$8=Nutrients!$B$79,Nutrients!$EK$79,(IF($A$8=Nutrients!$B$77,Nutrients!$EK$77,Nutrients!$EK$78)))))*AA$8))/2000*1000000</f>
        <v>55.059750000000008</v>
      </c>
      <c r="AB319" s="21">
        <f>(SUMPRODUCT(AB$9:AB$229,Nutrients!$EK$8:$EK$228)+(IF($A$7=Nutrients!$B$8,Nutrients!$EK$8,Nutrients!$EK$9)*AB$7)+(((IF($A$8=Nutrients!$B$79,Nutrients!$EK$79,(IF($A$8=Nutrients!$B$77,Nutrients!$EK$77,Nutrients!$EK$78)))))*AB$8))/2000*1000000</f>
        <v>55.059750000000008</v>
      </c>
      <c r="AD319" s="21">
        <f>(SUMPRODUCT(AD$9:AD$229,Nutrients!$EK$8:$EK$228)+(IF($A$7=Nutrients!$B$8,Nutrients!$EK$8,Nutrients!$EK$9)*AD$7)+(((IF($A$8=Nutrients!$B$79,Nutrients!$EK$79,(IF($A$8=Nutrients!$B$77,Nutrients!$EK$77,Nutrients!$EK$78)))))*AD$8))/2000*1000000</f>
        <v>110.11950000000002</v>
      </c>
      <c r="AE319" s="21">
        <f>(SUMPRODUCT(AE$9:AE$229,Nutrients!$EK$8:$EK$228)+(IF($A$7=Nutrients!$B$8,Nutrients!$EK$8,Nutrients!$EK$9)*AE$7)+(((IF($A$8=Nutrients!$B$79,Nutrients!$EK$79,(IF($A$8=Nutrients!$B$77,Nutrients!$EK$77,Nutrients!$EK$78)))))*AE$8))/2000*1000000</f>
        <v>110.11950000000002</v>
      </c>
      <c r="AF319" s="21">
        <f>(SUMPRODUCT(AF$9:AF$229,Nutrients!$EK$8:$EK$228)+(IF($A$7=Nutrients!$B$8,Nutrients!$EK$8,Nutrients!$EK$9)*AF$7)+(((IF($A$8=Nutrients!$B$79,Nutrients!$EK$79,(IF($A$8=Nutrients!$B$77,Nutrients!$EK$77,Nutrients!$EK$78)))))*AF$8))/2000*1000000</f>
        <v>91.766249999999999</v>
      </c>
      <c r="AG319" s="21">
        <f>(SUMPRODUCT(AG$9:AG$229,Nutrients!$EK$8:$EK$228)+(IF($A$7=Nutrients!$B$8,Nutrients!$EK$8,Nutrients!$EK$9)*AG$7)+(((IF($A$8=Nutrients!$B$79,Nutrients!$EK$79,(IF($A$8=Nutrients!$B$77,Nutrients!$EK$77,Nutrients!$EK$78)))))*AG$8))/2000*1000000</f>
        <v>73.413000000000011</v>
      </c>
      <c r="AH319" s="21">
        <f>(SUMPRODUCT(AH$9:AH$229,Nutrients!$EK$8:$EK$228)+(IF($A$7=Nutrients!$B$8,Nutrients!$EK$8,Nutrients!$EK$9)*AH$7)+(((IF($A$8=Nutrients!$B$79,Nutrients!$EK$79,(IF($A$8=Nutrients!$B$77,Nutrients!$EK$77,Nutrients!$EK$78)))))*AH$8))/2000*1000000</f>
        <v>55.059750000000008</v>
      </c>
      <c r="AI319" s="21">
        <f>(SUMPRODUCT(AI$9:AI$229,Nutrients!$EK$8:$EK$228)+(IF($A$7=Nutrients!$B$8,Nutrients!$EK$8,Nutrients!$EK$9)*AI$7)+(((IF($A$8=Nutrients!$B$79,Nutrients!$EK$79,(IF($A$8=Nutrients!$B$77,Nutrients!$EK$77,Nutrients!$EK$78)))))*AI$8))/2000*1000000</f>
        <v>55.059750000000008</v>
      </c>
      <c r="AK319" s="21">
        <f>(SUMPRODUCT(AK$9:AK$229,Nutrients!$EK$8:$EK$228)+(IF($A$7=Nutrients!$B$8,Nutrients!$EK$8,Nutrients!$EK$9)*AK$7)+(((IF($A$8=Nutrients!$B$79,Nutrients!$EK$79,(IF($A$8=Nutrients!$B$77,Nutrients!$EK$77,Nutrients!$EK$78)))))*AK$8))/2000*1000000</f>
        <v>110.11950000000002</v>
      </c>
      <c r="AL319" s="21">
        <f>(SUMPRODUCT(AL$9:AL$229,Nutrients!$EK$8:$EK$228)+(IF($A$7=Nutrients!$B$8,Nutrients!$EK$8,Nutrients!$EK$9)*AL$7)+(((IF($A$8=Nutrients!$B$79,Nutrients!$EK$79,(IF($A$8=Nutrients!$B$77,Nutrients!$EK$77,Nutrients!$EK$78)))))*AL$8))/2000*1000000</f>
        <v>110.11950000000002</v>
      </c>
      <c r="AM319" s="21">
        <f>(SUMPRODUCT(AM$9:AM$229,Nutrients!$EK$8:$EK$228)+(IF($A$7=Nutrients!$B$8,Nutrients!$EK$8,Nutrients!$EK$9)*AM$7)+(((IF($A$8=Nutrients!$B$79,Nutrients!$EK$79,(IF($A$8=Nutrients!$B$77,Nutrients!$EK$77,Nutrients!$EK$78)))))*AM$8))/2000*1000000</f>
        <v>91.766249999999999</v>
      </c>
      <c r="AN319" s="21">
        <f>(SUMPRODUCT(AN$9:AN$229,Nutrients!$EK$8:$EK$228)+(IF($A$7=Nutrients!$B$8,Nutrients!$EK$8,Nutrients!$EK$9)*AN$7)+(((IF($A$8=Nutrients!$B$79,Nutrients!$EK$79,(IF($A$8=Nutrients!$B$77,Nutrients!$EK$77,Nutrients!$EK$78)))))*AN$8))/2000*1000000</f>
        <v>73.413000000000011</v>
      </c>
      <c r="AO319" s="21">
        <f>(SUMPRODUCT(AO$9:AO$229,Nutrients!$EK$8:$EK$228)+(IF($A$7=Nutrients!$B$8,Nutrients!$EK$8,Nutrients!$EK$9)*AO$7)+(((IF($A$8=Nutrients!$B$79,Nutrients!$EK$79,(IF($A$8=Nutrients!$B$77,Nutrients!$EK$77,Nutrients!$EK$78)))))*AO$8))/2000*1000000</f>
        <v>55.059750000000008</v>
      </c>
      <c r="AP319" s="21">
        <f>(SUMPRODUCT(AP$9:AP$229,Nutrients!$EK$8:$EK$228)+(IF($A$7=Nutrients!$B$8,Nutrients!$EK$8,Nutrients!$EK$9)*AP$7)+(((IF($A$8=Nutrients!$B$79,Nutrients!$EK$79,(IF($A$8=Nutrients!$B$77,Nutrients!$EK$77,Nutrients!$EK$78)))))*AP$8))/2000*1000000</f>
        <v>55.059750000000008</v>
      </c>
      <c r="AR319" s="21">
        <f>(SUMPRODUCT(AR$9:AR$229,Nutrients!$EK$8:$EK$228)+(IF($A$7=Nutrients!$B$8,Nutrients!$EK$8,Nutrients!$EK$9)*AR$7)+(((IF($A$8=Nutrients!$B$79,Nutrients!$EK$79,(IF($A$8=Nutrients!$B$77,Nutrients!$EK$77,Nutrients!$EK$78)))))*AR$8))/2000*1000000</f>
        <v>110.11950000000002</v>
      </c>
      <c r="AS319" s="21">
        <f>(SUMPRODUCT(AS$9:AS$229,Nutrients!$EK$8:$EK$228)+(IF($A$7=Nutrients!$B$8,Nutrients!$EK$8,Nutrients!$EK$9)*AS$7)+(((IF($A$8=Nutrients!$B$79,Nutrients!$EK$79,(IF($A$8=Nutrients!$B$77,Nutrients!$EK$77,Nutrients!$EK$78)))))*AS$8))/2000*1000000</f>
        <v>110.11950000000002</v>
      </c>
      <c r="AT319" s="21">
        <f>(SUMPRODUCT(AT$9:AT$229,Nutrients!$EK$8:$EK$228)+(IF($A$7=Nutrients!$B$8,Nutrients!$EK$8,Nutrients!$EK$9)*AT$7)+(((IF($A$8=Nutrients!$B$79,Nutrients!$EK$79,(IF($A$8=Nutrients!$B$77,Nutrients!$EK$77,Nutrients!$EK$78)))))*AT$8))/2000*1000000</f>
        <v>91.766249999999999</v>
      </c>
      <c r="AU319" s="21">
        <f>(SUMPRODUCT(AU$9:AU$229,Nutrients!$EK$8:$EK$228)+(IF($A$7=Nutrients!$B$8,Nutrients!$EK$8,Nutrients!$EK$9)*AU$7)+(((IF($A$8=Nutrients!$B$79,Nutrients!$EK$79,(IF($A$8=Nutrients!$B$77,Nutrients!$EK$77,Nutrients!$EK$78)))))*AU$8))/2000*1000000</f>
        <v>73.413000000000011</v>
      </c>
      <c r="AV319" s="21">
        <f>(SUMPRODUCT(AV$9:AV$229,Nutrients!$EK$8:$EK$228)+(IF($A$7=Nutrients!$B$8,Nutrients!$EK$8,Nutrients!$EK$9)*AV$7)+(((IF($A$8=Nutrients!$B$79,Nutrients!$EK$79,(IF($A$8=Nutrients!$B$77,Nutrients!$EK$77,Nutrients!$EK$78)))))*AV$8))/2000*1000000</f>
        <v>55.059750000000008</v>
      </c>
      <c r="AW319" s="21">
        <f>(SUMPRODUCT(AW$9:AW$229,Nutrients!$EK$8:$EK$228)+(IF($A$7=Nutrients!$B$8,Nutrients!$EK$8,Nutrients!$EK$9)*AW$7)+(((IF($A$8=Nutrients!$B$79,Nutrients!$EK$79,(IF($A$8=Nutrients!$B$77,Nutrients!$EK$77,Nutrients!$EK$78)))))*AW$8))/2000*1000000</f>
        <v>55.059750000000008</v>
      </c>
    </row>
    <row r="320" spans="1:49" x14ac:dyDescent="0.25">
      <c r="A320" s="34" t="s">
        <v>113</v>
      </c>
      <c r="B320" s="21">
        <f>(SUMPRODUCT(B$9:B$229,Nutrients!$EL$8:$EL$228)+(IF($A$7=Nutrients!$B$8,Nutrients!$EL$8,Nutrients!$EL$9)*B$7)+(((IF($A$8=Nutrients!$B$79,Nutrients!$EL$79,(IF($A$8=Nutrients!$B$77,Nutrients!$EL$77,Nutrients!$EL$78)))))*B$8))/2000*1000000</f>
        <v>110.11950000000002</v>
      </c>
      <c r="C320" s="21">
        <f>(SUMPRODUCT(C$9:C$229,Nutrients!$EL$8:$EL$228)+(IF($A$7=Nutrients!$B$8,Nutrients!$EL$8,Nutrients!$EL$9)*C$7)+(((IF($A$8=Nutrients!$B$79,Nutrients!$EL$79,(IF($A$8=Nutrients!$B$77,Nutrients!$EL$77,Nutrients!$EL$78)))))*C$8))/2000*1000000</f>
        <v>110.11950000000002</v>
      </c>
      <c r="D320" s="21">
        <f>(SUMPRODUCT(D$9:D$229,Nutrients!$EL$8:$EL$228)+(IF($A$7=Nutrients!$B$8,Nutrients!$EL$8,Nutrients!$EL$9)*D$7)+(((IF($A$8=Nutrients!$B$79,Nutrients!$EL$79,(IF($A$8=Nutrients!$B$77,Nutrients!$EL$77,Nutrients!$EL$78)))))*D$8))/2000*1000000</f>
        <v>91.766249999999999</v>
      </c>
      <c r="E320" s="21">
        <f>(SUMPRODUCT(E$9:E$229,Nutrients!$EL$8:$EL$228)+(IF($A$7=Nutrients!$B$8,Nutrients!$EL$8,Nutrients!$EL$9)*E$7)+(((IF($A$8=Nutrients!$B$79,Nutrients!$EL$79,(IF($A$8=Nutrients!$B$77,Nutrients!$EL$77,Nutrients!$EL$78)))))*E$8))/2000*1000000</f>
        <v>73.413000000000011</v>
      </c>
      <c r="F320" s="21">
        <f>(SUMPRODUCT(F$9:F$229,Nutrients!$EL$8:$EL$228)+(IF($A$7=Nutrients!$B$8,Nutrients!$EL$8,Nutrients!$EL$9)*F$7)+(((IF($A$8=Nutrients!$B$79,Nutrients!$EL$79,(IF($A$8=Nutrients!$B$77,Nutrients!$EL$77,Nutrients!$EL$78)))))*F$8))/2000*1000000</f>
        <v>55.059750000000008</v>
      </c>
      <c r="G320" s="21">
        <f>(SUMPRODUCT(G$9:G$229,Nutrients!$EL$8:$EL$228)+(IF($A$7=Nutrients!$B$8,Nutrients!$EL$8,Nutrients!$EL$9)*G$7)+(((IF($A$8=Nutrients!$B$79,Nutrients!$EL$79,(IF($A$8=Nutrients!$B$77,Nutrients!$EL$77,Nutrients!$EL$78)))))*G$8))/2000*1000000</f>
        <v>55.059750000000008</v>
      </c>
      <c r="H320" s="226"/>
      <c r="I320" s="21">
        <f>(SUMPRODUCT(I$9:I$229,Nutrients!$EL$8:$EL$228)+(IF($A$7=Nutrients!$B$8,Nutrients!$EL$8,Nutrients!$EL$9)*I$7)+(((IF($A$8=Nutrients!$B$79,Nutrients!$EL$79,(IF($A$8=Nutrients!$B$77,Nutrients!$EL$77,Nutrients!$EL$78)))))*I$8))/2000*1000000</f>
        <v>110.11950000000002</v>
      </c>
      <c r="J320" s="21">
        <f>(SUMPRODUCT(J$9:J$229,Nutrients!$EL$8:$EL$228)+(IF($A$7=Nutrients!$B$8,Nutrients!$EL$8,Nutrients!$EL$9)*J$7)+(((IF($A$8=Nutrients!$B$79,Nutrients!$EL$79,(IF($A$8=Nutrients!$B$77,Nutrients!$EL$77,Nutrients!$EL$78)))))*J$8))/2000*1000000</f>
        <v>110.11950000000002</v>
      </c>
      <c r="K320" s="21">
        <f>(SUMPRODUCT(K$9:K$229,Nutrients!$EL$8:$EL$228)+(IF($A$7=Nutrients!$B$8,Nutrients!$EL$8,Nutrients!$EL$9)*K$7)+(((IF($A$8=Nutrients!$B$79,Nutrients!$EL$79,(IF($A$8=Nutrients!$B$77,Nutrients!$EL$77,Nutrients!$EL$78)))))*K$8))/2000*1000000</f>
        <v>91.766249999999999</v>
      </c>
      <c r="L320" s="21">
        <f>(SUMPRODUCT(L$9:L$229,Nutrients!$EL$8:$EL$228)+(IF($A$7=Nutrients!$B$8,Nutrients!$EL$8,Nutrients!$EL$9)*L$7)+(((IF($A$8=Nutrients!$B$79,Nutrients!$EL$79,(IF($A$8=Nutrients!$B$77,Nutrients!$EL$77,Nutrients!$EL$78)))))*L$8))/2000*1000000</f>
        <v>73.413000000000011</v>
      </c>
      <c r="M320" s="21">
        <f>(SUMPRODUCT(M$9:M$229,Nutrients!$EL$8:$EL$228)+(IF($A$7=Nutrients!$B$8,Nutrients!$EL$8,Nutrients!$EL$9)*M$7)+(((IF($A$8=Nutrients!$B$79,Nutrients!$EL$79,(IF($A$8=Nutrients!$B$77,Nutrients!$EL$77,Nutrients!$EL$78)))))*M$8))/2000*1000000</f>
        <v>55.059750000000008</v>
      </c>
      <c r="N320" s="21">
        <f>(SUMPRODUCT(N$9:N$229,Nutrients!$EL$8:$EL$228)+(IF($A$7=Nutrients!$B$8,Nutrients!$EL$8,Nutrients!$EL$9)*N$7)+(((IF($A$8=Nutrients!$B$79,Nutrients!$EL$79,(IF($A$8=Nutrients!$B$77,Nutrients!$EL$77,Nutrients!$EL$78)))))*N$8))/2000*1000000</f>
        <v>55.059750000000008</v>
      </c>
      <c r="O320" s="234"/>
      <c r="P320" s="21">
        <f>(SUMPRODUCT(P$9:P$229,Nutrients!$EL$8:$EL$228)+(IF($A$7=Nutrients!$B$8,Nutrients!$EL$8,Nutrients!$EL$9)*P$7)+(((IF($A$8=Nutrients!$B$79,Nutrients!$EL$79,(IF($A$8=Nutrients!$B$77,Nutrients!$EL$77,Nutrients!$EL$78)))))*P$8))/2000*1000000</f>
        <v>110.11950000000002</v>
      </c>
      <c r="Q320" s="21">
        <f>(SUMPRODUCT(Q$9:Q$229,Nutrients!$EL$8:$EL$228)+(IF($A$7=Nutrients!$B$8,Nutrients!$EL$8,Nutrients!$EL$9)*Q$7)+(((IF($A$8=Nutrients!$B$79,Nutrients!$EL$79,(IF($A$8=Nutrients!$B$77,Nutrients!$EL$77,Nutrients!$EL$78)))))*Q$8))/2000*1000000</f>
        <v>110.11950000000002</v>
      </c>
      <c r="R320" s="21">
        <f>(SUMPRODUCT(R$9:R$229,Nutrients!$EL$8:$EL$228)+(IF($A$7=Nutrients!$B$8,Nutrients!$EL$8,Nutrients!$EL$9)*R$7)+(((IF($A$8=Nutrients!$B$79,Nutrients!$EL$79,(IF($A$8=Nutrients!$B$77,Nutrients!$EL$77,Nutrients!$EL$78)))))*R$8))/2000*1000000</f>
        <v>91.766249999999999</v>
      </c>
      <c r="S320" s="21">
        <f>(SUMPRODUCT(S$9:S$229,Nutrients!$EL$8:$EL$228)+(IF($A$7=Nutrients!$B$8,Nutrients!$EL$8,Nutrients!$EL$9)*S$7)+(((IF($A$8=Nutrients!$B$79,Nutrients!$EL$79,(IF($A$8=Nutrients!$B$77,Nutrients!$EL$77,Nutrients!$EL$78)))))*S$8))/2000*1000000</f>
        <v>73.413000000000011</v>
      </c>
      <c r="T320" s="21">
        <f>(SUMPRODUCT(T$9:T$229,Nutrients!$EL$8:$EL$228)+(IF($A$7=Nutrients!$B$8,Nutrients!$EL$8,Nutrients!$EL$9)*T$7)+(((IF($A$8=Nutrients!$B$79,Nutrients!$EL$79,(IF($A$8=Nutrients!$B$77,Nutrients!$EL$77,Nutrients!$EL$78)))))*T$8))/2000*1000000</f>
        <v>55.059750000000008</v>
      </c>
      <c r="U320" s="21">
        <f>(SUMPRODUCT(U$9:U$229,Nutrients!$EL$8:$EL$228)+(IF($A$7=Nutrients!$B$8,Nutrients!$EL$8,Nutrients!$EL$9)*U$7)+(((IF($A$8=Nutrients!$B$79,Nutrients!$EL$79,(IF($A$8=Nutrients!$B$77,Nutrients!$EL$77,Nutrients!$EL$78)))))*U$8))/2000*1000000</f>
        <v>55.059750000000008</v>
      </c>
      <c r="W320" s="21">
        <f>(SUMPRODUCT(W$9:W$229,Nutrients!$EL$8:$EL$228)+(IF($A$7=Nutrients!$B$8,Nutrients!$EL$8,Nutrients!$EL$9)*W$7)+(((IF($A$8=Nutrients!$B$79,Nutrients!$EL$79,(IF($A$8=Nutrients!$B$77,Nutrients!$EL$77,Nutrients!$EL$78)))))*W$8))/2000*1000000</f>
        <v>110.11950000000002</v>
      </c>
      <c r="X320" s="21">
        <f>(SUMPRODUCT(X$9:X$229,Nutrients!$EL$8:$EL$228)+(IF($A$7=Nutrients!$B$8,Nutrients!$EL$8,Nutrients!$EL$9)*X$7)+(((IF($A$8=Nutrients!$B$79,Nutrients!$EL$79,(IF($A$8=Nutrients!$B$77,Nutrients!$EL$77,Nutrients!$EL$78)))))*X$8))/2000*1000000</f>
        <v>110.11950000000002</v>
      </c>
      <c r="Y320" s="21">
        <f>(SUMPRODUCT(Y$9:Y$229,Nutrients!$EL$8:$EL$228)+(IF($A$7=Nutrients!$B$8,Nutrients!$EL$8,Nutrients!$EL$9)*Y$7)+(((IF($A$8=Nutrients!$B$79,Nutrients!$EL$79,(IF($A$8=Nutrients!$B$77,Nutrients!$EL$77,Nutrients!$EL$78)))))*Y$8))/2000*1000000</f>
        <v>91.766249999999999</v>
      </c>
      <c r="Z320" s="21">
        <f>(SUMPRODUCT(Z$9:Z$229,Nutrients!$EL$8:$EL$228)+(IF($A$7=Nutrients!$B$8,Nutrients!$EL$8,Nutrients!$EL$9)*Z$7)+(((IF($A$8=Nutrients!$B$79,Nutrients!$EL$79,(IF($A$8=Nutrients!$B$77,Nutrients!$EL$77,Nutrients!$EL$78)))))*Z$8))/2000*1000000</f>
        <v>73.413000000000011</v>
      </c>
      <c r="AA320" s="21">
        <f>(SUMPRODUCT(AA$9:AA$229,Nutrients!$EL$8:$EL$228)+(IF($A$7=Nutrients!$B$8,Nutrients!$EL$8,Nutrients!$EL$9)*AA$7)+(((IF($A$8=Nutrients!$B$79,Nutrients!$EL$79,(IF($A$8=Nutrients!$B$77,Nutrients!$EL$77,Nutrients!$EL$78)))))*AA$8))/2000*1000000</f>
        <v>55.059750000000008</v>
      </c>
      <c r="AB320" s="21">
        <f>(SUMPRODUCT(AB$9:AB$229,Nutrients!$EL$8:$EL$228)+(IF($A$7=Nutrients!$B$8,Nutrients!$EL$8,Nutrients!$EL$9)*AB$7)+(((IF($A$8=Nutrients!$B$79,Nutrients!$EL$79,(IF($A$8=Nutrients!$B$77,Nutrients!$EL$77,Nutrients!$EL$78)))))*AB$8))/2000*1000000</f>
        <v>55.059750000000008</v>
      </c>
      <c r="AD320" s="21">
        <f>(SUMPRODUCT(AD$9:AD$229,Nutrients!$EL$8:$EL$228)+(IF($A$7=Nutrients!$B$8,Nutrients!$EL$8,Nutrients!$EL$9)*AD$7)+(((IF($A$8=Nutrients!$B$79,Nutrients!$EL$79,(IF($A$8=Nutrients!$B$77,Nutrients!$EL$77,Nutrients!$EL$78)))))*AD$8))/2000*1000000</f>
        <v>110.11950000000002</v>
      </c>
      <c r="AE320" s="21">
        <f>(SUMPRODUCT(AE$9:AE$229,Nutrients!$EL$8:$EL$228)+(IF($A$7=Nutrients!$B$8,Nutrients!$EL$8,Nutrients!$EL$9)*AE$7)+(((IF($A$8=Nutrients!$B$79,Nutrients!$EL$79,(IF($A$8=Nutrients!$B$77,Nutrients!$EL$77,Nutrients!$EL$78)))))*AE$8))/2000*1000000</f>
        <v>110.11950000000002</v>
      </c>
      <c r="AF320" s="21">
        <f>(SUMPRODUCT(AF$9:AF$229,Nutrients!$EL$8:$EL$228)+(IF($A$7=Nutrients!$B$8,Nutrients!$EL$8,Nutrients!$EL$9)*AF$7)+(((IF($A$8=Nutrients!$B$79,Nutrients!$EL$79,(IF($A$8=Nutrients!$B$77,Nutrients!$EL$77,Nutrients!$EL$78)))))*AF$8))/2000*1000000</f>
        <v>91.766249999999999</v>
      </c>
      <c r="AG320" s="21">
        <f>(SUMPRODUCT(AG$9:AG$229,Nutrients!$EL$8:$EL$228)+(IF($A$7=Nutrients!$B$8,Nutrients!$EL$8,Nutrients!$EL$9)*AG$7)+(((IF($A$8=Nutrients!$B$79,Nutrients!$EL$79,(IF($A$8=Nutrients!$B$77,Nutrients!$EL$77,Nutrients!$EL$78)))))*AG$8))/2000*1000000</f>
        <v>73.413000000000011</v>
      </c>
      <c r="AH320" s="21">
        <f>(SUMPRODUCT(AH$9:AH$229,Nutrients!$EL$8:$EL$228)+(IF($A$7=Nutrients!$B$8,Nutrients!$EL$8,Nutrients!$EL$9)*AH$7)+(((IF($A$8=Nutrients!$B$79,Nutrients!$EL$79,(IF($A$8=Nutrients!$B$77,Nutrients!$EL$77,Nutrients!$EL$78)))))*AH$8))/2000*1000000</f>
        <v>55.059750000000008</v>
      </c>
      <c r="AI320" s="21">
        <f>(SUMPRODUCT(AI$9:AI$229,Nutrients!$EL$8:$EL$228)+(IF($A$7=Nutrients!$B$8,Nutrients!$EL$8,Nutrients!$EL$9)*AI$7)+(((IF($A$8=Nutrients!$B$79,Nutrients!$EL$79,(IF($A$8=Nutrients!$B$77,Nutrients!$EL$77,Nutrients!$EL$78)))))*AI$8))/2000*1000000</f>
        <v>55.059750000000008</v>
      </c>
      <c r="AK320" s="21">
        <f>(SUMPRODUCT(AK$9:AK$229,Nutrients!$EL$8:$EL$228)+(IF($A$7=Nutrients!$B$8,Nutrients!$EL$8,Nutrients!$EL$9)*AK$7)+(((IF($A$8=Nutrients!$B$79,Nutrients!$EL$79,(IF($A$8=Nutrients!$B$77,Nutrients!$EL$77,Nutrients!$EL$78)))))*AK$8))/2000*1000000</f>
        <v>110.11950000000002</v>
      </c>
      <c r="AL320" s="21">
        <f>(SUMPRODUCT(AL$9:AL$229,Nutrients!$EL$8:$EL$228)+(IF($A$7=Nutrients!$B$8,Nutrients!$EL$8,Nutrients!$EL$9)*AL$7)+(((IF($A$8=Nutrients!$B$79,Nutrients!$EL$79,(IF($A$8=Nutrients!$B$77,Nutrients!$EL$77,Nutrients!$EL$78)))))*AL$8))/2000*1000000</f>
        <v>110.11950000000002</v>
      </c>
      <c r="AM320" s="21">
        <f>(SUMPRODUCT(AM$9:AM$229,Nutrients!$EL$8:$EL$228)+(IF($A$7=Nutrients!$B$8,Nutrients!$EL$8,Nutrients!$EL$9)*AM$7)+(((IF($A$8=Nutrients!$B$79,Nutrients!$EL$79,(IF($A$8=Nutrients!$B$77,Nutrients!$EL$77,Nutrients!$EL$78)))))*AM$8))/2000*1000000</f>
        <v>91.766249999999999</v>
      </c>
      <c r="AN320" s="21">
        <f>(SUMPRODUCT(AN$9:AN$229,Nutrients!$EL$8:$EL$228)+(IF($A$7=Nutrients!$B$8,Nutrients!$EL$8,Nutrients!$EL$9)*AN$7)+(((IF($A$8=Nutrients!$B$79,Nutrients!$EL$79,(IF($A$8=Nutrients!$B$77,Nutrients!$EL$77,Nutrients!$EL$78)))))*AN$8))/2000*1000000</f>
        <v>73.413000000000011</v>
      </c>
      <c r="AO320" s="21">
        <f>(SUMPRODUCT(AO$9:AO$229,Nutrients!$EL$8:$EL$228)+(IF($A$7=Nutrients!$B$8,Nutrients!$EL$8,Nutrients!$EL$9)*AO$7)+(((IF($A$8=Nutrients!$B$79,Nutrients!$EL$79,(IF($A$8=Nutrients!$B$77,Nutrients!$EL$77,Nutrients!$EL$78)))))*AO$8))/2000*1000000</f>
        <v>55.059750000000008</v>
      </c>
      <c r="AP320" s="21">
        <f>(SUMPRODUCT(AP$9:AP$229,Nutrients!$EL$8:$EL$228)+(IF($A$7=Nutrients!$B$8,Nutrients!$EL$8,Nutrients!$EL$9)*AP$7)+(((IF($A$8=Nutrients!$B$79,Nutrients!$EL$79,(IF($A$8=Nutrients!$B$77,Nutrients!$EL$77,Nutrients!$EL$78)))))*AP$8))/2000*1000000</f>
        <v>55.059750000000008</v>
      </c>
      <c r="AR320" s="21">
        <f>(SUMPRODUCT(AR$9:AR$229,Nutrients!$EL$8:$EL$228)+(IF($A$7=Nutrients!$B$8,Nutrients!$EL$8,Nutrients!$EL$9)*AR$7)+(((IF($A$8=Nutrients!$B$79,Nutrients!$EL$79,(IF($A$8=Nutrients!$B$77,Nutrients!$EL$77,Nutrients!$EL$78)))))*AR$8))/2000*1000000</f>
        <v>110.11950000000002</v>
      </c>
      <c r="AS320" s="21">
        <f>(SUMPRODUCT(AS$9:AS$229,Nutrients!$EL$8:$EL$228)+(IF($A$7=Nutrients!$B$8,Nutrients!$EL$8,Nutrients!$EL$9)*AS$7)+(((IF($A$8=Nutrients!$B$79,Nutrients!$EL$79,(IF($A$8=Nutrients!$B$77,Nutrients!$EL$77,Nutrients!$EL$78)))))*AS$8))/2000*1000000</f>
        <v>110.11950000000002</v>
      </c>
      <c r="AT320" s="21">
        <f>(SUMPRODUCT(AT$9:AT$229,Nutrients!$EL$8:$EL$228)+(IF($A$7=Nutrients!$B$8,Nutrients!$EL$8,Nutrients!$EL$9)*AT$7)+(((IF($A$8=Nutrients!$B$79,Nutrients!$EL$79,(IF($A$8=Nutrients!$B$77,Nutrients!$EL$77,Nutrients!$EL$78)))))*AT$8))/2000*1000000</f>
        <v>91.766249999999999</v>
      </c>
      <c r="AU320" s="21">
        <f>(SUMPRODUCT(AU$9:AU$229,Nutrients!$EL$8:$EL$228)+(IF($A$7=Nutrients!$B$8,Nutrients!$EL$8,Nutrients!$EL$9)*AU$7)+(((IF($A$8=Nutrients!$B$79,Nutrients!$EL$79,(IF($A$8=Nutrients!$B$77,Nutrients!$EL$77,Nutrients!$EL$78)))))*AU$8))/2000*1000000</f>
        <v>73.413000000000011</v>
      </c>
      <c r="AV320" s="21">
        <f>(SUMPRODUCT(AV$9:AV$229,Nutrients!$EL$8:$EL$228)+(IF($A$7=Nutrients!$B$8,Nutrients!$EL$8,Nutrients!$EL$9)*AV$7)+(((IF($A$8=Nutrients!$B$79,Nutrients!$EL$79,(IF($A$8=Nutrients!$B$77,Nutrients!$EL$77,Nutrients!$EL$78)))))*AV$8))/2000*1000000</f>
        <v>55.059750000000008</v>
      </c>
      <c r="AW320" s="21">
        <f>(SUMPRODUCT(AW$9:AW$229,Nutrients!$EL$8:$EL$228)+(IF($A$7=Nutrients!$B$8,Nutrients!$EL$8,Nutrients!$EL$9)*AW$7)+(((IF($A$8=Nutrients!$B$79,Nutrients!$EL$79,(IF($A$8=Nutrients!$B$77,Nutrients!$EL$77,Nutrients!$EL$78)))))*AW$8))/2000*1000000</f>
        <v>55.059750000000008</v>
      </c>
    </row>
    <row r="321" spans="1:49" x14ac:dyDescent="0.25">
      <c r="A321" s="34" t="s">
        <v>114</v>
      </c>
      <c r="B321" s="21">
        <f>(SUMPRODUCT(B$9:B$229,Nutrients!$EM$8:$EM$228)+(IF($A$7=Nutrients!$B$8,Nutrients!$EM$8,Nutrients!$EM$9)*B$7)+(((IF($A$8=Nutrients!$B$79,Nutrients!$EM$79,(IF($A$8=Nutrients!$B$77,Nutrients!$EM$77,Nutrients!$EM$78)))))*B$8))/2000*1000000</f>
        <v>33.068999999999996</v>
      </c>
      <c r="C321" s="21">
        <f>(SUMPRODUCT(C$9:C$229,Nutrients!$EM$8:$EM$228)+(IF($A$7=Nutrients!$B$8,Nutrients!$EM$8,Nutrients!$EM$9)*C$7)+(((IF($A$8=Nutrients!$B$79,Nutrients!$EM$79,(IF($A$8=Nutrients!$B$77,Nutrients!$EM$77,Nutrients!$EM$78)))))*C$8))/2000*1000000</f>
        <v>33.068999999999996</v>
      </c>
      <c r="D321" s="21">
        <f>(SUMPRODUCT(D$9:D$229,Nutrients!$EM$8:$EM$228)+(IF($A$7=Nutrients!$B$8,Nutrients!$EM$8,Nutrients!$EM$9)*D$7)+(((IF($A$8=Nutrients!$B$79,Nutrients!$EM$79,(IF($A$8=Nutrients!$B$77,Nutrients!$EM$77,Nutrients!$EM$78)))))*D$8))/2000*1000000</f>
        <v>27.557499999999997</v>
      </c>
      <c r="E321" s="21">
        <f>(SUMPRODUCT(E$9:E$229,Nutrients!$EM$8:$EM$228)+(IF($A$7=Nutrients!$B$8,Nutrients!$EM$8,Nutrients!$EM$9)*E$7)+(((IF($A$8=Nutrients!$B$79,Nutrients!$EM$79,(IF($A$8=Nutrients!$B$77,Nutrients!$EM$77,Nutrients!$EM$78)))))*E$8))/2000*1000000</f>
        <v>22.045999999999999</v>
      </c>
      <c r="F321" s="21">
        <f>(SUMPRODUCT(F$9:F$229,Nutrients!$EM$8:$EM$228)+(IF($A$7=Nutrients!$B$8,Nutrients!$EM$8,Nutrients!$EM$9)*F$7)+(((IF($A$8=Nutrients!$B$79,Nutrients!$EM$79,(IF($A$8=Nutrients!$B$77,Nutrients!$EM$77,Nutrients!$EM$78)))))*F$8))/2000*1000000</f>
        <v>16.534499999999998</v>
      </c>
      <c r="G321" s="21">
        <f>(SUMPRODUCT(G$9:G$229,Nutrients!$EM$8:$EM$228)+(IF($A$7=Nutrients!$B$8,Nutrients!$EM$8,Nutrients!$EM$9)*G$7)+(((IF($A$8=Nutrients!$B$79,Nutrients!$EM$79,(IF($A$8=Nutrients!$B$77,Nutrients!$EM$77,Nutrients!$EM$78)))))*G$8))/2000*1000000</f>
        <v>16.534499999999998</v>
      </c>
      <c r="H321" s="226"/>
      <c r="I321" s="21">
        <f>(SUMPRODUCT(I$9:I$229,Nutrients!$EM$8:$EM$228)+(IF($A$7=Nutrients!$B$8,Nutrients!$EM$8,Nutrients!$EM$9)*I$7)+(((IF($A$8=Nutrients!$B$79,Nutrients!$EM$79,(IF($A$8=Nutrients!$B$77,Nutrients!$EM$77,Nutrients!$EM$78)))))*I$8))/2000*1000000</f>
        <v>33.068999999999996</v>
      </c>
      <c r="J321" s="21">
        <f>(SUMPRODUCT(J$9:J$229,Nutrients!$EM$8:$EM$228)+(IF($A$7=Nutrients!$B$8,Nutrients!$EM$8,Nutrients!$EM$9)*J$7)+(((IF($A$8=Nutrients!$B$79,Nutrients!$EM$79,(IF($A$8=Nutrients!$B$77,Nutrients!$EM$77,Nutrients!$EM$78)))))*J$8))/2000*1000000</f>
        <v>33.068999999999996</v>
      </c>
      <c r="K321" s="21">
        <f>(SUMPRODUCT(K$9:K$229,Nutrients!$EM$8:$EM$228)+(IF($A$7=Nutrients!$B$8,Nutrients!$EM$8,Nutrients!$EM$9)*K$7)+(((IF($A$8=Nutrients!$B$79,Nutrients!$EM$79,(IF($A$8=Nutrients!$B$77,Nutrients!$EM$77,Nutrients!$EM$78)))))*K$8))/2000*1000000</f>
        <v>27.557499999999997</v>
      </c>
      <c r="L321" s="21">
        <f>(SUMPRODUCT(L$9:L$229,Nutrients!$EM$8:$EM$228)+(IF($A$7=Nutrients!$B$8,Nutrients!$EM$8,Nutrients!$EM$9)*L$7)+(((IF($A$8=Nutrients!$B$79,Nutrients!$EM$79,(IF($A$8=Nutrients!$B$77,Nutrients!$EM$77,Nutrients!$EM$78)))))*L$8))/2000*1000000</f>
        <v>22.045999999999999</v>
      </c>
      <c r="M321" s="21">
        <f>(SUMPRODUCT(M$9:M$229,Nutrients!$EM$8:$EM$228)+(IF($A$7=Nutrients!$B$8,Nutrients!$EM$8,Nutrients!$EM$9)*M$7)+(((IF($A$8=Nutrients!$B$79,Nutrients!$EM$79,(IF($A$8=Nutrients!$B$77,Nutrients!$EM$77,Nutrients!$EM$78)))))*M$8))/2000*1000000</f>
        <v>16.534499999999998</v>
      </c>
      <c r="N321" s="21">
        <f>(SUMPRODUCT(N$9:N$229,Nutrients!$EM$8:$EM$228)+(IF($A$7=Nutrients!$B$8,Nutrients!$EM$8,Nutrients!$EM$9)*N$7)+(((IF($A$8=Nutrients!$B$79,Nutrients!$EM$79,(IF($A$8=Nutrients!$B$77,Nutrients!$EM$77,Nutrients!$EM$78)))))*N$8))/2000*1000000</f>
        <v>16.534499999999998</v>
      </c>
      <c r="O321" s="234"/>
      <c r="P321" s="21">
        <f>(SUMPRODUCT(P$9:P$229,Nutrients!$EM$8:$EM$228)+(IF($A$7=Nutrients!$B$8,Nutrients!$EM$8,Nutrients!$EM$9)*P$7)+(((IF($A$8=Nutrients!$B$79,Nutrients!$EM$79,(IF($A$8=Nutrients!$B$77,Nutrients!$EM$77,Nutrients!$EM$78)))))*P$8))/2000*1000000</f>
        <v>33.068999999999996</v>
      </c>
      <c r="Q321" s="21">
        <f>(SUMPRODUCT(Q$9:Q$229,Nutrients!$EM$8:$EM$228)+(IF($A$7=Nutrients!$B$8,Nutrients!$EM$8,Nutrients!$EM$9)*Q$7)+(((IF($A$8=Nutrients!$B$79,Nutrients!$EM$79,(IF($A$8=Nutrients!$B$77,Nutrients!$EM$77,Nutrients!$EM$78)))))*Q$8))/2000*1000000</f>
        <v>33.068999999999996</v>
      </c>
      <c r="R321" s="21">
        <f>(SUMPRODUCT(R$9:R$229,Nutrients!$EM$8:$EM$228)+(IF($A$7=Nutrients!$B$8,Nutrients!$EM$8,Nutrients!$EM$9)*R$7)+(((IF($A$8=Nutrients!$B$79,Nutrients!$EM$79,(IF($A$8=Nutrients!$B$77,Nutrients!$EM$77,Nutrients!$EM$78)))))*R$8))/2000*1000000</f>
        <v>27.557499999999997</v>
      </c>
      <c r="S321" s="21">
        <f>(SUMPRODUCT(S$9:S$229,Nutrients!$EM$8:$EM$228)+(IF($A$7=Nutrients!$B$8,Nutrients!$EM$8,Nutrients!$EM$9)*S$7)+(((IF($A$8=Nutrients!$B$79,Nutrients!$EM$79,(IF($A$8=Nutrients!$B$77,Nutrients!$EM$77,Nutrients!$EM$78)))))*S$8))/2000*1000000</f>
        <v>22.045999999999999</v>
      </c>
      <c r="T321" s="21">
        <f>(SUMPRODUCT(T$9:T$229,Nutrients!$EM$8:$EM$228)+(IF($A$7=Nutrients!$B$8,Nutrients!$EM$8,Nutrients!$EM$9)*T$7)+(((IF($A$8=Nutrients!$B$79,Nutrients!$EM$79,(IF($A$8=Nutrients!$B$77,Nutrients!$EM$77,Nutrients!$EM$78)))))*T$8))/2000*1000000</f>
        <v>16.534499999999998</v>
      </c>
      <c r="U321" s="21">
        <f>(SUMPRODUCT(U$9:U$229,Nutrients!$EM$8:$EM$228)+(IF($A$7=Nutrients!$B$8,Nutrients!$EM$8,Nutrients!$EM$9)*U$7)+(((IF($A$8=Nutrients!$B$79,Nutrients!$EM$79,(IF($A$8=Nutrients!$B$77,Nutrients!$EM$77,Nutrients!$EM$78)))))*U$8))/2000*1000000</f>
        <v>16.534499999999998</v>
      </c>
      <c r="W321" s="21">
        <f>(SUMPRODUCT(W$9:W$229,Nutrients!$EM$8:$EM$228)+(IF($A$7=Nutrients!$B$8,Nutrients!$EM$8,Nutrients!$EM$9)*W$7)+(((IF($A$8=Nutrients!$B$79,Nutrients!$EM$79,(IF($A$8=Nutrients!$B$77,Nutrients!$EM$77,Nutrients!$EM$78)))))*W$8))/2000*1000000</f>
        <v>33.068999999999996</v>
      </c>
      <c r="X321" s="21">
        <f>(SUMPRODUCT(X$9:X$229,Nutrients!$EM$8:$EM$228)+(IF($A$7=Nutrients!$B$8,Nutrients!$EM$8,Nutrients!$EM$9)*X$7)+(((IF($A$8=Nutrients!$B$79,Nutrients!$EM$79,(IF($A$8=Nutrients!$B$77,Nutrients!$EM$77,Nutrients!$EM$78)))))*X$8))/2000*1000000</f>
        <v>33.068999999999996</v>
      </c>
      <c r="Y321" s="21">
        <f>(SUMPRODUCT(Y$9:Y$229,Nutrients!$EM$8:$EM$228)+(IF($A$7=Nutrients!$B$8,Nutrients!$EM$8,Nutrients!$EM$9)*Y$7)+(((IF($A$8=Nutrients!$B$79,Nutrients!$EM$79,(IF($A$8=Nutrients!$B$77,Nutrients!$EM$77,Nutrients!$EM$78)))))*Y$8))/2000*1000000</f>
        <v>27.557499999999997</v>
      </c>
      <c r="Z321" s="21">
        <f>(SUMPRODUCT(Z$9:Z$229,Nutrients!$EM$8:$EM$228)+(IF($A$7=Nutrients!$B$8,Nutrients!$EM$8,Nutrients!$EM$9)*Z$7)+(((IF($A$8=Nutrients!$B$79,Nutrients!$EM$79,(IF($A$8=Nutrients!$B$77,Nutrients!$EM$77,Nutrients!$EM$78)))))*Z$8))/2000*1000000</f>
        <v>22.045999999999999</v>
      </c>
      <c r="AA321" s="21">
        <f>(SUMPRODUCT(AA$9:AA$229,Nutrients!$EM$8:$EM$228)+(IF($A$7=Nutrients!$B$8,Nutrients!$EM$8,Nutrients!$EM$9)*AA$7)+(((IF($A$8=Nutrients!$B$79,Nutrients!$EM$79,(IF($A$8=Nutrients!$B$77,Nutrients!$EM$77,Nutrients!$EM$78)))))*AA$8))/2000*1000000</f>
        <v>16.534499999999998</v>
      </c>
      <c r="AB321" s="21">
        <f>(SUMPRODUCT(AB$9:AB$229,Nutrients!$EM$8:$EM$228)+(IF($A$7=Nutrients!$B$8,Nutrients!$EM$8,Nutrients!$EM$9)*AB$7)+(((IF($A$8=Nutrients!$B$79,Nutrients!$EM$79,(IF($A$8=Nutrients!$B$77,Nutrients!$EM$77,Nutrients!$EM$78)))))*AB$8))/2000*1000000</f>
        <v>16.534499999999998</v>
      </c>
      <c r="AD321" s="21">
        <f>(SUMPRODUCT(AD$9:AD$229,Nutrients!$EM$8:$EM$228)+(IF($A$7=Nutrients!$B$8,Nutrients!$EM$8,Nutrients!$EM$9)*AD$7)+(((IF($A$8=Nutrients!$B$79,Nutrients!$EM$79,(IF($A$8=Nutrients!$B$77,Nutrients!$EM$77,Nutrients!$EM$78)))))*AD$8))/2000*1000000</f>
        <v>33.068999999999996</v>
      </c>
      <c r="AE321" s="21">
        <f>(SUMPRODUCT(AE$9:AE$229,Nutrients!$EM$8:$EM$228)+(IF($A$7=Nutrients!$B$8,Nutrients!$EM$8,Nutrients!$EM$9)*AE$7)+(((IF($A$8=Nutrients!$B$79,Nutrients!$EM$79,(IF($A$8=Nutrients!$B$77,Nutrients!$EM$77,Nutrients!$EM$78)))))*AE$8))/2000*1000000</f>
        <v>33.068999999999996</v>
      </c>
      <c r="AF321" s="21">
        <f>(SUMPRODUCT(AF$9:AF$229,Nutrients!$EM$8:$EM$228)+(IF($A$7=Nutrients!$B$8,Nutrients!$EM$8,Nutrients!$EM$9)*AF$7)+(((IF($A$8=Nutrients!$B$79,Nutrients!$EM$79,(IF($A$8=Nutrients!$B$77,Nutrients!$EM$77,Nutrients!$EM$78)))))*AF$8))/2000*1000000</f>
        <v>27.557499999999997</v>
      </c>
      <c r="AG321" s="21">
        <f>(SUMPRODUCT(AG$9:AG$229,Nutrients!$EM$8:$EM$228)+(IF($A$7=Nutrients!$B$8,Nutrients!$EM$8,Nutrients!$EM$9)*AG$7)+(((IF($A$8=Nutrients!$B$79,Nutrients!$EM$79,(IF($A$8=Nutrients!$B$77,Nutrients!$EM$77,Nutrients!$EM$78)))))*AG$8))/2000*1000000</f>
        <v>22.045999999999999</v>
      </c>
      <c r="AH321" s="21">
        <f>(SUMPRODUCT(AH$9:AH$229,Nutrients!$EM$8:$EM$228)+(IF($A$7=Nutrients!$B$8,Nutrients!$EM$8,Nutrients!$EM$9)*AH$7)+(((IF($A$8=Nutrients!$B$79,Nutrients!$EM$79,(IF($A$8=Nutrients!$B$77,Nutrients!$EM$77,Nutrients!$EM$78)))))*AH$8))/2000*1000000</f>
        <v>16.534499999999998</v>
      </c>
      <c r="AI321" s="21">
        <f>(SUMPRODUCT(AI$9:AI$229,Nutrients!$EM$8:$EM$228)+(IF($A$7=Nutrients!$B$8,Nutrients!$EM$8,Nutrients!$EM$9)*AI$7)+(((IF($A$8=Nutrients!$B$79,Nutrients!$EM$79,(IF($A$8=Nutrients!$B$77,Nutrients!$EM$77,Nutrients!$EM$78)))))*AI$8))/2000*1000000</f>
        <v>16.534499999999998</v>
      </c>
      <c r="AK321" s="21">
        <f>(SUMPRODUCT(AK$9:AK$229,Nutrients!$EM$8:$EM$228)+(IF($A$7=Nutrients!$B$8,Nutrients!$EM$8,Nutrients!$EM$9)*AK$7)+(((IF($A$8=Nutrients!$B$79,Nutrients!$EM$79,(IF($A$8=Nutrients!$B$77,Nutrients!$EM$77,Nutrients!$EM$78)))))*AK$8))/2000*1000000</f>
        <v>33.068999999999996</v>
      </c>
      <c r="AL321" s="21">
        <f>(SUMPRODUCT(AL$9:AL$229,Nutrients!$EM$8:$EM$228)+(IF($A$7=Nutrients!$B$8,Nutrients!$EM$8,Nutrients!$EM$9)*AL$7)+(((IF($A$8=Nutrients!$B$79,Nutrients!$EM$79,(IF($A$8=Nutrients!$B$77,Nutrients!$EM$77,Nutrients!$EM$78)))))*AL$8))/2000*1000000</f>
        <v>33.068999999999996</v>
      </c>
      <c r="AM321" s="21">
        <f>(SUMPRODUCT(AM$9:AM$229,Nutrients!$EM$8:$EM$228)+(IF($A$7=Nutrients!$B$8,Nutrients!$EM$8,Nutrients!$EM$9)*AM$7)+(((IF($A$8=Nutrients!$B$79,Nutrients!$EM$79,(IF($A$8=Nutrients!$B$77,Nutrients!$EM$77,Nutrients!$EM$78)))))*AM$8))/2000*1000000</f>
        <v>27.557499999999997</v>
      </c>
      <c r="AN321" s="21">
        <f>(SUMPRODUCT(AN$9:AN$229,Nutrients!$EM$8:$EM$228)+(IF($A$7=Nutrients!$B$8,Nutrients!$EM$8,Nutrients!$EM$9)*AN$7)+(((IF($A$8=Nutrients!$B$79,Nutrients!$EM$79,(IF($A$8=Nutrients!$B$77,Nutrients!$EM$77,Nutrients!$EM$78)))))*AN$8))/2000*1000000</f>
        <v>22.045999999999999</v>
      </c>
      <c r="AO321" s="21">
        <f>(SUMPRODUCT(AO$9:AO$229,Nutrients!$EM$8:$EM$228)+(IF($A$7=Nutrients!$B$8,Nutrients!$EM$8,Nutrients!$EM$9)*AO$7)+(((IF($A$8=Nutrients!$B$79,Nutrients!$EM$79,(IF($A$8=Nutrients!$B$77,Nutrients!$EM$77,Nutrients!$EM$78)))))*AO$8))/2000*1000000</f>
        <v>16.534499999999998</v>
      </c>
      <c r="AP321" s="21">
        <f>(SUMPRODUCT(AP$9:AP$229,Nutrients!$EM$8:$EM$228)+(IF($A$7=Nutrients!$B$8,Nutrients!$EM$8,Nutrients!$EM$9)*AP$7)+(((IF($A$8=Nutrients!$B$79,Nutrients!$EM$79,(IF($A$8=Nutrients!$B$77,Nutrients!$EM$77,Nutrients!$EM$78)))))*AP$8))/2000*1000000</f>
        <v>16.534499999999998</v>
      </c>
      <c r="AR321" s="21">
        <f>(SUMPRODUCT(AR$9:AR$229,Nutrients!$EM$8:$EM$228)+(IF($A$7=Nutrients!$B$8,Nutrients!$EM$8,Nutrients!$EM$9)*AR$7)+(((IF($A$8=Nutrients!$B$79,Nutrients!$EM$79,(IF($A$8=Nutrients!$B$77,Nutrients!$EM$77,Nutrients!$EM$78)))))*AR$8))/2000*1000000</f>
        <v>33.068999999999996</v>
      </c>
      <c r="AS321" s="21">
        <f>(SUMPRODUCT(AS$9:AS$229,Nutrients!$EM$8:$EM$228)+(IF($A$7=Nutrients!$B$8,Nutrients!$EM$8,Nutrients!$EM$9)*AS$7)+(((IF($A$8=Nutrients!$B$79,Nutrients!$EM$79,(IF($A$8=Nutrients!$B$77,Nutrients!$EM$77,Nutrients!$EM$78)))))*AS$8))/2000*1000000</f>
        <v>33.068999999999996</v>
      </c>
      <c r="AT321" s="21">
        <f>(SUMPRODUCT(AT$9:AT$229,Nutrients!$EM$8:$EM$228)+(IF($A$7=Nutrients!$B$8,Nutrients!$EM$8,Nutrients!$EM$9)*AT$7)+(((IF($A$8=Nutrients!$B$79,Nutrients!$EM$79,(IF($A$8=Nutrients!$B$77,Nutrients!$EM$77,Nutrients!$EM$78)))))*AT$8))/2000*1000000</f>
        <v>27.557499999999997</v>
      </c>
      <c r="AU321" s="21">
        <f>(SUMPRODUCT(AU$9:AU$229,Nutrients!$EM$8:$EM$228)+(IF($A$7=Nutrients!$B$8,Nutrients!$EM$8,Nutrients!$EM$9)*AU$7)+(((IF($A$8=Nutrients!$B$79,Nutrients!$EM$79,(IF($A$8=Nutrients!$B$77,Nutrients!$EM$77,Nutrients!$EM$78)))))*AU$8))/2000*1000000</f>
        <v>22.045999999999999</v>
      </c>
      <c r="AV321" s="21">
        <f>(SUMPRODUCT(AV$9:AV$229,Nutrients!$EM$8:$EM$228)+(IF($A$7=Nutrients!$B$8,Nutrients!$EM$8,Nutrients!$EM$9)*AV$7)+(((IF($A$8=Nutrients!$B$79,Nutrients!$EM$79,(IF($A$8=Nutrients!$B$77,Nutrients!$EM$77,Nutrients!$EM$78)))))*AV$8))/2000*1000000</f>
        <v>16.534499999999998</v>
      </c>
      <c r="AW321" s="21">
        <f>(SUMPRODUCT(AW$9:AW$229,Nutrients!$EM$8:$EM$228)+(IF($A$7=Nutrients!$B$8,Nutrients!$EM$8,Nutrients!$EM$9)*AW$7)+(((IF($A$8=Nutrients!$B$79,Nutrients!$EM$79,(IF($A$8=Nutrients!$B$77,Nutrients!$EM$77,Nutrients!$EM$78)))))*AW$8))/2000*1000000</f>
        <v>16.534499999999998</v>
      </c>
    </row>
    <row r="322" spans="1:49" x14ac:dyDescent="0.25">
      <c r="A322" s="34" t="s">
        <v>115</v>
      </c>
      <c r="B322" s="21">
        <f>(SUMPRODUCT(B$9:B$229,Nutrients!$EN$8:$EN$228)+(IF($A$7=Nutrients!$B$8,Nutrients!$EN$8,Nutrients!$EN$9)*B$7)+(((IF($A$8=Nutrients!$B$79,Nutrients!$EN$79,(IF($A$8=Nutrients!$B$77,Nutrients!$EN$77,Nutrients!$EN$78)))))*B$8))/2000*1000000</f>
        <v>16.5</v>
      </c>
      <c r="C322" s="21">
        <f>(SUMPRODUCT(C$9:C$229,Nutrients!$EN$8:$EN$228)+(IF($A$7=Nutrients!$B$8,Nutrients!$EN$8,Nutrients!$EN$9)*C$7)+(((IF($A$8=Nutrients!$B$79,Nutrients!$EN$79,(IF($A$8=Nutrients!$B$77,Nutrients!$EN$77,Nutrients!$EN$78)))))*C$8))/2000*1000000</f>
        <v>16.5</v>
      </c>
      <c r="D322" s="21">
        <f>(SUMPRODUCT(D$9:D$229,Nutrients!$EN$8:$EN$228)+(IF($A$7=Nutrients!$B$8,Nutrients!$EN$8,Nutrients!$EN$9)*D$7)+(((IF($A$8=Nutrients!$B$79,Nutrients!$EN$79,(IF($A$8=Nutrients!$B$77,Nutrients!$EN$77,Nutrients!$EN$78)))))*D$8))/2000*1000000</f>
        <v>13.749999999999998</v>
      </c>
      <c r="E322" s="21">
        <f>(SUMPRODUCT(E$9:E$229,Nutrients!$EN$8:$EN$228)+(IF($A$7=Nutrients!$B$8,Nutrients!$EN$8,Nutrients!$EN$9)*E$7)+(((IF($A$8=Nutrients!$B$79,Nutrients!$EN$79,(IF($A$8=Nutrients!$B$77,Nutrients!$EN$77,Nutrients!$EN$78)))))*E$8))/2000*1000000</f>
        <v>11</v>
      </c>
      <c r="F322" s="21">
        <f>(SUMPRODUCT(F$9:F$229,Nutrients!$EN$8:$EN$228)+(IF($A$7=Nutrients!$B$8,Nutrients!$EN$8,Nutrients!$EN$9)*F$7)+(((IF($A$8=Nutrients!$B$79,Nutrients!$EN$79,(IF($A$8=Nutrients!$B$77,Nutrients!$EN$77,Nutrients!$EN$78)))))*F$8))/2000*1000000</f>
        <v>8.25</v>
      </c>
      <c r="G322" s="21">
        <f>(SUMPRODUCT(G$9:G$229,Nutrients!$EN$8:$EN$228)+(IF($A$7=Nutrients!$B$8,Nutrients!$EN$8,Nutrients!$EN$9)*G$7)+(((IF($A$8=Nutrients!$B$79,Nutrients!$EN$79,(IF($A$8=Nutrients!$B$77,Nutrients!$EN$77,Nutrients!$EN$78)))))*G$8))/2000*1000000</f>
        <v>8.25</v>
      </c>
      <c r="H322" s="226"/>
      <c r="I322" s="21">
        <f>(SUMPRODUCT(I$9:I$229,Nutrients!$EN$8:$EN$228)+(IF($A$7=Nutrients!$B$8,Nutrients!$EN$8,Nutrients!$EN$9)*I$7)+(((IF($A$8=Nutrients!$B$79,Nutrients!$EN$79,(IF($A$8=Nutrients!$B$77,Nutrients!$EN$77,Nutrients!$EN$78)))))*I$8))/2000*1000000</f>
        <v>16.5</v>
      </c>
      <c r="J322" s="21">
        <f>(SUMPRODUCT(J$9:J$229,Nutrients!$EN$8:$EN$228)+(IF($A$7=Nutrients!$B$8,Nutrients!$EN$8,Nutrients!$EN$9)*J$7)+(((IF($A$8=Nutrients!$B$79,Nutrients!$EN$79,(IF($A$8=Nutrients!$B$77,Nutrients!$EN$77,Nutrients!$EN$78)))))*J$8))/2000*1000000</f>
        <v>16.5</v>
      </c>
      <c r="K322" s="21">
        <f>(SUMPRODUCT(K$9:K$229,Nutrients!$EN$8:$EN$228)+(IF($A$7=Nutrients!$B$8,Nutrients!$EN$8,Nutrients!$EN$9)*K$7)+(((IF($A$8=Nutrients!$B$79,Nutrients!$EN$79,(IF($A$8=Nutrients!$B$77,Nutrients!$EN$77,Nutrients!$EN$78)))))*K$8))/2000*1000000</f>
        <v>13.749999999999998</v>
      </c>
      <c r="L322" s="21">
        <f>(SUMPRODUCT(L$9:L$229,Nutrients!$EN$8:$EN$228)+(IF($A$7=Nutrients!$B$8,Nutrients!$EN$8,Nutrients!$EN$9)*L$7)+(((IF($A$8=Nutrients!$B$79,Nutrients!$EN$79,(IF($A$8=Nutrients!$B$77,Nutrients!$EN$77,Nutrients!$EN$78)))))*L$8))/2000*1000000</f>
        <v>11</v>
      </c>
      <c r="M322" s="21">
        <f>(SUMPRODUCT(M$9:M$229,Nutrients!$EN$8:$EN$228)+(IF($A$7=Nutrients!$B$8,Nutrients!$EN$8,Nutrients!$EN$9)*M$7)+(((IF($A$8=Nutrients!$B$79,Nutrients!$EN$79,(IF($A$8=Nutrients!$B$77,Nutrients!$EN$77,Nutrients!$EN$78)))))*M$8))/2000*1000000</f>
        <v>8.25</v>
      </c>
      <c r="N322" s="21">
        <f>(SUMPRODUCT(N$9:N$229,Nutrients!$EN$8:$EN$228)+(IF($A$7=Nutrients!$B$8,Nutrients!$EN$8,Nutrients!$EN$9)*N$7)+(((IF($A$8=Nutrients!$B$79,Nutrients!$EN$79,(IF($A$8=Nutrients!$B$77,Nutrients!$EN$77,Nutrients!$EN$78)))))*N$8))/2000*1000000</f>
        <v>8.25</v>
      </c>
      <c r="O322" s="234"/>
      <c r="P322" s="21">
        <f>(SUMPRODUCT(P$9:P$229,Nutrients!$EN$8:$EN$228)+(IF($A$7=Nutrients!$B$8,Nutrients!$EN$8,Nutrients!$EN$9)*P$7)+(((IF($A$8=Nutrients!$B$79,Nutrients!$EN$79,(IF($A$8=Nutrients!$B$77,Nutrients!$EN$77,Nutrients!$EN$78)))))*P$8))/2000*1000000</f>
        <v>16.5</v>
      </c>
      <c r="Q322" s="21">
        <f>(SUMPRODUCT(Q$9:Q$229,Nutrients!$EN$8:$EN$228)+(IF($A$7=Nutrients!$B$8,Nutrients!$EN$8,Nutrients!$EN$9)*Q$7)+(((IF($A$8=Nutrients!$B$79,Nutrients!$EN$79,(IF($A$8=Nutrients!$B$77,Nutrients!$EN$77,Nutrients!$EN$78)))))*Q$8))/2000*1000000</f>
        <v>16.5</v>
      </c>
      <c r="R322" s="21">
        <f>(SUMPRODUCT(R$9:R$229,Nutrients!$EN$8:$EN$228)+(IF($A$7=Nutrients!$B$8,Nutrients!$EN$8,Nutrients!$EN$9)*R$7)+(((IF($A$8=Nutrients!$B$79,Nutrients!$EN$79,(IF($A$8=Nutrients!$B$77,Nutrients!$EN$77,Nutrients!$EN$78)))))*R$8))/2000*1000000</f>
        <v>13.749999999999998</v>
      </c>
      <c r="S322" s="21">
        <f>(SUMPRODUCT(S$9:S$229,Nutrients!$EN$8:$EN$228)+(IF($A$7=Nutrients!$B$8,Nutrients!$EN$8,Nutrients!$EN$9)*S$7)+(((IF($A$8=Nutrients!$B$79,Nutrients!$EN$79,(IF($A$8=Nutrients!$B$77,Nutrients!$EN$77,Nutrients!$EN$78)))))*S$8))/2000*1000000</f>
        <v>11</v>
      </c>
      <c r="T322" s="21">
        <f>(SUMPRODUCT(T$9:T$229,Nutrients!$EN$8:$EN$228)+(IF($A$7=Nutrients!$B$8,Nutrients!$EN$8,Nutrients!$EN$9)*T$7)+(((IF($A$8=Nutrients!$B$79,Nutrients!$EN$79,(IF($A$8=Nutrients!$B$77,Nutrients!$EN$77,Nutrients!$EN$78)))))*T$8))/2000*1000000</f>
        <v>8.25</v>
      </c>
      <c r="U322" s="21">
        <f>(SUMPRODUCT(U$9:U$229,Nutrients!$EN$8:$EN$228)+(IF($A$7=Nutrients!$B$8,Nutrients!$EN$8,Nutrients!$EN$9)*U$7)+(((IF($A$8=Nutrients!$B$79,Nutrients!$EN$79,(IF($A$8=Nutrients!$B$77,Nutrients!$EN$77,Nutrients!$EN$78)))))*U$8))/2000*1000000</f>
        <v>8.25</v>
      </c>
      <c r="W322" s="21">
        <f>(SUMPRODUCT(W$9:W$229,Nutrients!$EN$8:$EN$228)+(IF($A$7=Nutrients!$B$8,Nutrients!$EN$8,Nutrients!$EN$9)*W$7)+(((IF($A$8=Nutrients!$B$79,Nutrients!$EN$79,(IF($A$8=Nutrients!$B$77,Nutrients!$EN$77,Nutrients!$EN$78)))))*W$8))/2000*1000000</f>
        <v>16.5</v>
      </c>
      <c r="X322" s="21">
        <f>(SUMPRODUCT(X$9:X$229,Nutrients!$EN$8:$EN$228)+(IF($A$7=Nutrients!$B$8,Nutrients!$EN$8,Nutrients!$EN$9)*X$7)+(((IF($A$8=Nutrients!$B$79,Nutrients!$EN$79,(IF($A$8=Nutrients!$B$77,Nutrients!$EN$77,Nutrients!$EN$78)))))*X$8))/2000*1000000</f>
        <v>16.5</v>
      </c>
      <c r="Y322" s="21">
        <f>(SUMPRODUCT(Y$9:Y$229,Nutrients!$EN$8:$EN$228)+(IF($A$7=Nutrients!$B$8,Nutrients!$EN$8,Nutrients!$EN$9)*Y$7)+(((IF($A$8=Nutrients!$B$79,Nutrients!$EN$79,(IF($A$8=Nutrients!$B$77,Nutrients!$EN$77,Nutrients!$EN$78)))))*Y$8))/2000*1000000</f>
        <v>13.749999999999998</v>
      </c>
      <c r="Z322" s="21">
        <f>(SUMPRODUCT(Z$9:Z$229,Nutrients!$EN$8:$EN$228)+(IF($A$7=Nutrients!$B$8,Nutrients!$EN$8,Nutrients!$EN$9)*Z$7)+(((IF($A$8=Nutrients!$B$79,Nutrients!$EN$79,(IF($A$8=Nutrients!$B$77,Nutrients!$EN$77,Nutrients!$EN$78)))))*Z$8))/2000*1000000</f>
        <v>11</v>
      </c>
      <c r="AA322" s="21">
        <f>(SUMPRODUCT(AA$9:AA$229,Nutrients!$EN$8:$EN$228)+(IF($A$7=Nutrients!$B$8,Nutrients!$EN$8,Nutrients!$EN$9)*AA$7)+(((IF($A$8=Nutrients!$B$79,Nutrients!$EN$79,(IF($A$8=Nutrients!$B$77,Nutrients!$EN$77,Nutrients!$EN$78)))))*AA$8))/2000*1000000</f>
        <v>8.25</v>
      </c>
      <c r="AB322" s="21">
        <f>(SUMPRODUCT(AB$9:AB$229,Nutrients!$EN$8:$EN$228)+(IF($A$7=Nutrients!$B$8,Nutrients!$EN$8,Nutrients!$EN$9)*AB$7)+(((IF($A$8=Nutrients!$B$79,Nutrients!$EN$79,(IF($A$8=Nutrients!$B$77,Nutrients!$EN$77,Nutrients!$EN$78)))))*AB$8))/2000*1000000</f>
        <v>8.25</v>
      </c>
      <c r="AD322" s="21">
        <f>(SUMPRODUCT(AD$9:AD$229,Nutrients!$EN$8:$EN$228)+(IF($A$7=Nutrients!$B$8,Nutrients!$EN$8,Nutrients!$EN$9)*AD$7)+(((IF($A$8=Nutrients!$B$79,Nutrients!$EN$79,(IF($A$8=Nutrients!$B$77,Nutrients!$EN$77,Nutrients!$EN$78)))))*AD$8))/2000*1000000</f>
        <v>16.5</v>
      </c>
      <c r="AE322" s="21">
        <f>(SUMPRODUCT(AE$9:AE$229,Nutrients!$EN$8:$EN$228)+(IF($A$7=Nutrients!$B$8,Nutrients!$EN$8,Nutrients!$EN$9)*AE$7)+(((IF($A$8=Nutrients!$B$79,Nutrients!$EN$79,(IF($A$8=Nutrients!$B$77,Nutrients!$EN$77,Nutrients!$EN$78)))))*AE$8))/2000*1000000</f>
        <v>16.5</v>
      </c>
      <c r="AF322" s="21">
        <f>(SUMPRODUCT(AF$9:AF$229,Nutrients!$EN$8:$EN$228)+(IF($A$7=Nutrients!$B$8,Nutrients!$EN$8,Nutrients!$EN$9)*AF$7)+(((IF($A$8=Nutrients!$B$79,Nutrients!$EN$79,(IF($A$8=Nutrients!$B$77,Nutrients!$EN$77,Nutrients!$EN$78)))))*AF$8))/2000*1000000</f>
        <v>13.749999999999998</v>
      </c>
      <c r="AG322" s="21">
        <f>(SUMPRODUCT(AG$9:AG$229,Nutrients!$EN$8:$EN$228)+(IF($A$7=Nutrients!$B$8,Nutrients!$EN$8,Nutrients!$EN$9)*AG$7)+(((IF($A$8=Nutrients!$B$79,Nutrients!$EN$79,(IF($A$8=Nutrients!$B$77,Nutrients!$EN$77,Nutrients!$EN$78)))))*AG$8))/2000*1000000</f>
        <v>11</v>
      </c>
      <c r="AH322" s="21">
        <f>(SUMPRODUCT(AH$9:AH$229,Nutrients!$EN$8:$EN$228)+(IF($A$7=Nutrients!$B$8,Nutrients!$EN$8,Nutrients!$EN$9)*AH$7)+(((IF($A$8=Nutrients!$B$79,Nutrients!$EN$79,(IF($A$8=Nutrients!$B$77,Nutrients!$EN$77,Nutrients!$EN$78)))))*AH$8))/2000*1000000</f>
        <v>8.25</v>
      </c>
      <c r="AI322" s="21">
        <f>(SUMPRODUCT(AI$9:AI$229,Nutrients!$EN$8:$EN$228)+(IF($A$7=Nutrients!$B$8,Nutrients!$EN$8,Nutrients!$EN$9)*AI$7)+(((IF($A$8=Nutrients!$B$79,Nutrients!$EN$79,(IF($A$8=Nutrients!$B$77,Nutrients!$EN$77,Nutrients!$EN$78)))))*AI$8))/2000*1000000</f>
        <v>8.25</v>
      </c>
      <c r="AK322" s="21">
        <f>(SUMPRODUCT(AK$9:AK$229,Nutrients!$EN$8:$EN$228)+(IF($A$7=Nutrients!$B$8,Nutrients!$EN$8,Nutrients!$EN$9)*AK$7)+(((IF($A$8=Nutrients!$B$79,Nutrients!$EN$79,(IF($A$8=Nutrients!$B$77,Nutrients!$EN$77,Nutrients!$EN$78)))))*AK$8))/2000*1000000</f>
        <v>16.5</v>
      </c>
      <c r="AL322" s="21">
        <f>(SUMPRODUCT(AL$9:AL$229,Nutrients!$EN$8:$EN$228)+(IF($A$7=Nutrients!$B$8,Nutrients!$EN$8,Nutrients!$EN$9)*AL$7)+(((IF($A$8=Nutrients!$B$79,Nutrients!$EN$79,(IF($A$8=Nutrients!$B$77,Nutrients!$EN$77,Nutrients!$EN$78)))))*AL$8))/2000*1000000</f>
        <v>16.5</v>
      </c>
      <c r="AM322" s="21">
        <f>(SUMPRODUCT(AM$9:AM$229,Nutrients!$EN$8:$EN$228)+(IF($A$7=Nutrients!$B$8,Nutrients!$EN$8,Nutrients!$EN$9)*AM$7)+(((IF($A$8=Nutrients!$B$79,Nutrients!$EN$79,(IF($A$8=Nutrients!$B$77,Nutrients!$EN$77,Nutrients!$EN$78)))))*AM$8))/2000*1000000</f>
        <v>13.749999999999998</v>
      </c>
      <c r="AN322" s="21">
        <f>(SUMPRODUCT(AN$9:AN$229,Nutrients!$EN$8:$EN$228)+(IF($A$7=Nutrients!$B$8,Nutrients!$EN$8,Nutrients!$EN$9)*AN$7)+(((IF($A$8=Nutrients!$B$79,Nutrients!$EN$79,(IF($A$8=Nutrients!$B$77,Nutrients!$EN$77,Nutrients!$EN$78)))))*AN$8))/2000*1000000</f>
        <v>11</v>
      </c>
      <c r="AO322" s="21">
        <f>(SUMPRODUCT(AO$9:AO$229,Nutrients!$EN$8:$EN$228)+(IF($A$7=Nutrients!$B$8,Nutrients!$EN$8,Nutrients!$EN$9)*AO$7)+(((IF($A$8=Nutrients!$B$79,Nutrients!$EN$79,(IF($A$8=Nutrients!$B$77,Nutrients!$EN$77,Nutrients!$EN$78)))))*AO$8))/2000*1000000</f>
        <v>8.25</v>
      </c>
      <c r="AP322" s="21">
        <f>(SUMPRODUCT(AP$9:AP$229,Nutrients!$EN$8:$EN$228)+(IF($A$7=Nutrients!$B$8,Nutrients!$EN$8,Nutrients!$EN$9)*AP$7)+(((IF($A$8=Nutrients!$B$79,Nutrients!$EN$79,(IF($A$8=Nutrients!$B$77,Nutrients!$EN$77,Nutrients!$EN$78)))))*AP$8))/2000*1000000</f>
        <v>8.25</v>
      </c>
      <c r="AR322" s="21">
        <f>(SUMPRODUCT(AR$9:AR$229,Nutrients!$EN$8:$EN$228)+(IF($A$7=Nutrients!$B$8,Nutrients!$EN$8,Nutrients!$EN$9)*AR$7)+(((IF($A$8=Nutrients!$B$79,Nutrients!$EN$79,(IF($A$8=Nutrients!$B$77,Nutrients!$EN$77,Nutrients!$EN$78)))))*AR$8))/2000*1000000</f>
        <v>16.5</v>
      </c>
      <c r="AS322" s="21">
        <f>(SUMPRODUCT(AS$9:AS$229,Nutrients!$EN$8:$EN$228)+(IF($A$7=Nutrients!$B$8,Nutrients!$EN$8,Nutrients!$EN$9)*AS$7)+(((IF($A$8=Nutrients!$B$79,Nutrients!$EN$79,(IF($A$8=Nutrients!$B$77,Nutrients!$EN$77,Nutrients!$EN$78)))))*AS$8))/2000*1000000</f>
        <v>16.5</v>
      </c>
      <c r="AT322" s="21">
        <f>(SUMPRODUCT(AT$9:AT$229,Nutrients!$EN$8:$EN$228)+(IF($A$7=Nutrients!$B$8,Nutrients!$EN$8,Nutrients!$EN$9)*AT$7)+(((IF($A$8=Nutrients!$B$79,Nutrients!$EN$79,(IF($A$8=Nutrients!$B$77,Nutrients!$EN$77,Nutrients!$EN$78)))))*AT$8))/2000*1000000</f>
        <v>13.749999999999998</v>
      </c>
      <c r="AU322" s="21">
        <f>(SUMPRODUCT(AU$9:AU$229,Nutrients!$EN$8:$EN$228)+(IF($A$7=Nutrients!$B$8,Nutrients!$EN$8,Nutrients!$EN$9)*AU$7)+(((IF($A$8=Nutrients!$B$79,Nutrients!$EN$79,(IF($A$8=Nutrients!$B$77,Nutrients!$EN$77,Nutrients!$EN$78)))))*AU$8))/2000*1000000</f>
        <v>11</v>
      </c>
      <c r="AV322" s="21">
        <f>(SUMPRODUCT(AV$9:AV$229,Nutrients!$EN$8:$EN$228)+(IF($A$7=Nutrients!$B$8,Nutrients!$EN$8,Nutrients!$EN$9)*AV$7)+(((IF($A$8=Nutrients!$B$79,Nutrients!$EN$79,(IF($A$8=Nutrients!$B$77,Nutrients!$EN$77,Nutrients!$EN$78)))))*AV$8))/2000*1000000</f>
        <v>8.25</v>
      </c>
      <c r="AW322" s="21">
        <f>(SUMPRODUCT(AW$9:AW$229,Nutrients!$EN$8:$EN$228)+(IF($A$7=Nutrients!$B$8,Nutrients!$EN$8,Nutrients!$EN$9)*AW$7)+(((IF($A$8=Nutrients!$B$79,Nutrients!$EN$79,(IF($A$8=Nutrients!$B$77,Nutrients!$EN$77,Nutrients!$EN$78)))))*AW$8))/2000*1000000</f>
        <v>8.25</v>
      </c>
    </row>
    <row r="323" spans="1:49" x14ac:dyDescent="0.25">
      <c r="A323" s="34" t="s">
        <v>116</v>
      </c>
      <c r="B323" s="23">
        <f>(SUMPRODUCT(B$9:B$229,Nutrients!$EO$8:$EO$228)+(IF($A$7=Nutrients!$B$8,Nutrients!$EO$8,Nutrients!$EO$9)*B$7)+(((IF($A$8=Nutrients!$B$79,Nutrients!$EO$79,(IF($A$8=Nutrients!$B$77,Nutrients!$EO$77,Nutrients!$EO$78)))))*B$8))/2000*1000000</f>
        <v>0.29699999999999999</v>
      </c>
      <c r="C323" s="23">
        <f>(SUMPRODUCT(C$9:C$229,Nutrients!$EO$8:$EO$228)+(IF($A$7=Nutrients!$B$8,Nutrients!$EO$8,Nutrients!$EO$9)*C$7)+(((IF($A$8=Nutrients!$B$79,Nutrients!$EO$79,(IF($A$8=Nutrients!$B$77,Nutrients!$EO$77,Nutrients!$EO$78)))))*C$8))/2000*1000000</f>
        <v>0.29699999999999999</v>
      </c>
      <c r="D323" s="23">
        <f>(SUMPRODUCT(D$9:D$229,Nutrients!$EO$8:$EO$228)+(IF($A$7=Nutrients!$B$8,Nutrients!$EO$8,Nutrients!$EO$9)*D$7)+(((IF($A$8=Nutrients!$B$79,Nutrients!$EO$79,(IF($A$8=Nutrients!$B$77,Nutrients!$EO$77,Nutrients!$EO$78)))))*D$8))/2000*1000000</f>
        <v>0.24750000000000003</v>
      </c>
      <c r="E323" s="23">
        <f>(SUMPRODUCT(E$9:E$229,Nutrients!$EO$8:$EO$228)+(IF($A$7=Nutrients!$B$8,Nutrients!$EO$8,Nutrients!$EO$9)*E$7)+(((IF($A$8=Nutrients!$B$79,Nutrients!$EO$79,(IF($A$8=Nutrients!$B$77,Nutrients!$EO$77,Nutrients!$EO$78)))))*E$8))/2000*1000000</f>
        <v>0.19800000000000001</v>
      </c>
      <c r="F323" s="23">
        <f>(SUMPRODUCT(F$9:F$229,Nutrients!$EO$8:$EO$228)+(IF($A$7=Nutrients!$B$8,Nutrients!$EO$8,Nutrients!$EO$9)*F$7)+(((IF($A$8=Nutrients!$B$79,Nutrients!$EO$79,(IF($A$8=Nutrients!$B$77,Nutrients!$EO$77,Nutrients!$EO$78)))))*F$8))/2000*1000000</f>
        <v>0.14849999999999999</v>
      </c>
      <c r="G323" s="23">
        <f>(SUMPRODUCT(G$9:G$229,Nutrients!$EO$8:$EO$228)+(IF($A$7=Nutrients!$B$8,Nutrients!$EO$8,Nutrients!$EO$9)*G$7)+(((IF($A$8=Nutrients!$B$79,Nutrients!$EO$79,(IF($A$8=Nutrients!$B$77,Nutrients!$EO$77,Nutrients!$EO$78)))))*G$8))/2000*1000000</f>
        <v>0.14849999999999999</v>
      </c>
      <c r="H323" s="227"/>
      <c r="I323" s="23">
        <f>(SUMPRODUCT(I$9:I$229,Nutrients!$EO$8:$EO$228)+(IF($A$7=Nutrients!$B$8,Nutrients!$EO$8,Nutrients!$EO$9)*I$7)+(((IF($A$8=Nutrients!$B$79,Nutrients!$EO$79,(IF($A$8=Nutrients!$B$77,Nutrients!$EO$77,Nutrients!$EO$78)))))*I$8))/2000*1000000</f>
        <v>0.29699999999999999</v>
      </c>
      <c r="J323" s="23">
        <f>(SUMPRODUCT(J$9:J$229,Nutrients!$EO$8:$EO$228)+(IF($A$7=Nutrients!$B$8,Nutrients!$EO$8,Nutrients!$EO$9)*J$7)+(((IF($A$8=Nutrients!$B$79,Nutrients!$EO$79,(IF($A$8=Nutrients!$B$77,Nutrients!$EO$77,Nutrients!$EO$78)))))*J$8))/2000*1000000</f>
        <v>0.29699999999999999</v>
      </c>
      <c r="K323" s="23">
        <f>(SUMPRODUCT(K$9:K$229,Nutrients!$EO$8:$EO$228)+(IF($A$7=Nutrients!$B$8,Nutrients!$EO$8,Nutrients!$EO$9)*K$7)+(((IF($A$8=Nutrients!$B$79,Nutrients!$EO$79,(IF($A$8=Nutrients!$B$77,Nutrients!$EO$77,Nutrients!$EO$78)))))*K$8))/2000*1000000</f>
        <v>0.24750000000000003</v>
      </c>
      <c r="L323" s="23">
        <f>(SUMPRODUCT(L$9:L$229,Nutrients!$EO$8:$EO$228)+(IF($A$7=Nutrients!$B$8,Nutrients!$EO$8,Nutrients!$EO$9)*L$7)+(((IF($A$8=Nutrients!$B$79,Nutrients!$EO$79,(IF($A$8=Nutrients!$B$77,Nutrients!$EO$77,Nutrients!$EO$78)))))*L$8))/2000*1000000</f>
        <v>0.19800000000000001</v>
      </c>
      <c r="M323" s="23">
        <f>(SUMPRODUCT(M$9:M$229,Nutrients!$EO$8:$EO$228)+(IF($A$7=Nutrients!$B$8,Nutrients!$EO$8,Nutrients!$EO$9)*M$7)+(((IF($A$8=Nutrients!$B$79,Nutrients!$EO$79,(IF($A$8=Nutrients!$B$77,Nutrients!$EO$77,Nutrients!$EO$78)))))*M$8))/2000*1000000</f>
        <v>0.14849999999999999</v>
      </c>
      <c r="N323" s="23">
        <f>(SUMPRODUCT(N$9:N$229,Nutrients!$EO$8:$EO$228)+(IF($A$7=Nutrients!$B$8,Nutrients!$EO$8,Nutrients!$EO$9)*N$7)+(((IF($A$8=Nutrients!$B$79,Nutrients!$EO$79,(IF($A$8=Nutrients!$B$77,Nutrients!$EO$77,Nutrients!$EO$78)))))*N$8))/2000*1000000</f>
        <v>0.14849999999999999</v>
      </c>
      <c r="O323" s="198"/>
      <c r="P323" s="23">
        <f>(SUMPRODUCT(P$9:P$229,Nutrients!$EO$8:$EO$228)+(IF($A$7=Nutrients!$B$8,Nutrients!$EO$8,Nutrients!$EO$9)*P$7)+(((IF($A$8=Nutrients!$B$79,Nutrients!$EO$79,(IF($A$8=Nutrients!$B$77,Nutrients!$EO$77,Nutrients!$EO$78)))))*P$8))/2000*1000000</f>
        <v>0.29699999999999999</v>
      </c>
      <c r="Q323" s="23">
        <f>(SUMPRODUCT(Q$9:Q$229,Nutrients!$EO$8:$EO$228)+(IF($A$7=Nutrients!$B$8,Nutrients!$EO$8,Nutrients!$EO$9)*Q$7)+(((IF($A$8=Nutrients!$B$79,Nutrients!$EO$79,(IF($A$8=Nutrients!$B$77,Nutrients!$EO$77,Nutrients!$EO$78)))))*Q$8))/2000*1000000</f>
        <v>0.29699999999999999</v>
      </c>
      <c r="R323" s="23">
        <f>(SUMPRODUCT(R$9:R$229,Nutrients!$EO$8:$EO$228)+(IF($A$7=Nutrients!$B$8,Nutrients!$EO$8,Nutrients!$EO$9)*R$7)+(((IF($A$8=Nutrients!$B$79,Nutrients!$EO$79,(IF($A$8=Nutrients!$B$77,Nutrients!$EO$77,Nutrients!$EO$78)))))*R$8))/2000*1000000</f>
        <v>0.24750000000000003</v>
      </c>
      <c r="S323" s="23">
        <f>(SUMPRODUCT(S$9:S$229,Nutrients!$EO$8:$EO$228)+(IF($A$7=Nutrients!$B$8,Nutrients!$EO$8,Nutrients!$EO$9)*S$7)+(((IF($A$8=Nutrients!$B$79,Nutrients!$EO$79,(IF($A$8=Nutrients!$B$77,Nutrients!$EO$77,Nutrients!$EO$78)))))*S$8))/2000*1000000</f>
        <v>0.19800000000000001</v>
      </c>
      <c r="T323" s="23">
        <f>(SUMPRODUCT(T$9:T$229,Nutrients!$EO$8:$EO$228)+(IF($A$7=Nutrients!$B$8,Nutrients!$EO$8,Nutrients!$EO$9)*T$7)+(((IF($A$8=Nutrients!$B$79,Nutrients!$EO$79,(IF($A$8=Nutrients!$B$77,Nutrients!$EO$77,Nutrients!$EO$78)))))*T$8))/2000*1000000</f>
        <v>0.14849999999999999</v>
      </c>
      <c r="U323" s="23">
        <f>(SUMPRODUCT(U$9:U$229,Nutrients!$EO$8:$EO$228)+(IF($A$7=Nutrients!$B$8,Nutrients!$EO$8,Nutrients!$EO$9)*U$7)+(((IF($A$8=Nutrients!$B$79,Nutrients!$EO$79,(IF($A$8=Nutrients!$B$77,Nutrients!$EO$77,Nutrients!$EO$78)))))*U$8))/2000*1000000</f>
        <v>0.14849999999999999</v>
      </c>
      <c r="W323" s="23">
        <f>(SUMPRODUCT(W$9:W$229,Nutrients!$EO$8:$EO$228)+(IF($A$7=Nutrients!$B$8,Nutrients!$EO$8,Nutrients!$EO$9)*W$7)+(((IF($A$8=Nutrients!$B$79,Nutrients!$EO$79,(IF($A$8=Nutrients!$B$77,Nutrients!$EO$77,Nutrients!$EO$78)))))*W$8))/2000*1000000</f>
        <v>0.29699999999999999</v>
      </c>
      <c r="X323" s="23">
        <f>(SUMPRODUCT(X$9:X$229,Nutrients!$EO$8:$EO$228)+(IF($A$7=Nutrients!$B$8,Nutrients!$EO$8,Nutrients!$EO$9)*X$7)+(((IF($A$8=Nutrients!$B$79,Nutrients!$EO$79,(IF($A$8=Nutrients!$B$77,Nutrients!$EO$77,Nutrients!$EO$78)))))*X$8))/2000*1000000</f>
        <v>0.29699999999999999</v>
      </c>
      <c r="Y323" s="23">
        <f>(SUMPRODUCT(Y$9:Y$229,Nutrients!$EO$8:$EO$228)+(IF($A$7=Nutrients!$B$8,Nutrients!$EO$8,Nutrients!$EO$9)*Y$7)+(((IF($A$8=Nutrients!$B$79,Nutrients!$EO$79,(IF($A$8=Nutrients!$B$77,Nutrients!$EO$77,Nutrients!$EO$78)))))*Y$8))/2000*1000000</f>
        <v>0.24750000000000003</v>
      </c>
      <c r="Z323" s="23">
        <f>(SUMPRODUCT(Z$9:Z$229,Nutrients!$EO$8:$EO$228)+(IF($A$7=Nutrients!$B$8,Nutrients!$EO$8,Nutrients!$EO$9)*Z$7)+(((IF($A$8=Nutrients!$B$79,Nutrients!$EO$79,(IF($A$8=Nutrients!$B$77,Nutrients!$EO$77,Nutrients!$EO$78)))))*Z$8))/2000*1000000</f>
        <v>0.19800000000000001</v>
      </c>
      <c r="AA323" s="23">
        <f>(SUMPRODUCT(AA$9:AA$229,Nutrients!$EO$8:$EO$228)+(IF($A$7=Nutrients!$B$8,Nutrients!$EO$8,Nutrients!$EO$9)*AA$7)+(((IF($A$8=Nutrients!$B$79,Nutrients!$EO$79,(IF($A$8=Nutrients!$B$77,Nutrients!$EO$77,Nutrients!$EO$78)))))*AA$8))/2000*1000000</f>
        <v>0.14849999999999999</v>
      </c>
      <c r="AB323" s="23">
        <f>(SUMPRODUCT(AB$9:AB$229,Nutrients!$EO$8:$EO$228)+(IF($A$7=Nutrients!$B$8,Nutrients!$EO$8,Nutrients!$EO$9)*AB$7)+(((IF($A$8=Nutrients!$B$79,Nutrients!$EO$79,(IF($A$8=Nutrients!$B$77,Nutrients!$EO$77,Nutrients!$EO$78)))))*AB$8))/2000*1000000</f>
        <v>0.14849999999999999</v>
      </c>
      <c r="AD323" s="23">
        <f>(SUMPRODUCT(AD$9:AD$229,Nutrients!$EO$8:$EO$228)+(IF($A$7=Nutrients!$B$8,Nutrients!$EO$8,Nutrients!$EO$9)*AD$7)+(((IF($A$8=Nutrients!$B$79,Nutrients!$EO$79,(IF($A$8=Nutrients!$B$77,Nutrients!$EO$77,Nutrients!$EO$78)))))*AD$8))/2000*1000000</f>
        <v>0.29699999999999999</v>
      </c>
      <c r="AE323" s="23">
        <f>(SUMPRODUCT(AE$9:AE$229,Nutrients!$EO$8:$EO$228)+(IF($A$7=Nutrients!$B$8,Nutrients!$EO$8,Nutrients!$EO$9)*AE$7)+(((IF($A$8=Nutrients!$B$79,Nutrients!$EO$79,(IF($A$8=Nutrients!$B$77,Nutrients!$EO$77,Nutrients!$EO$78)))))*AE$8))/2000*1000000</f>
        <v>0.29699999999999999</v>
      </c>
      <c r="AF323" s="23">
        <f>(SUMPRODUCT(AF$9:AF$229,Nutrients!$EO$8:$EO$228)+(IF($A$7=Nutrients!$B$8,Nutrients!$EO$8,Nutrients!$EO$9)*AF$7)+(((IF($A$8=Nutrients!$B$79,Nutrients!$EO$79,(IF($A$8=Nutrients!$B$77,Nutrients!$EO$77,Nutrients!$EO$78)))))*AF$8))/2000*1000000</f>
        <v>0.24750000000000003</v>
      </c>
      <c r="AG323" s="23">
        <f>(SUMPRODUCT(AG$9:AG$229,Nutrients!$EO$8:$EO$228)+(IF($A$7=Nutrients!$B$8,Nutrients!$EO$8,Nutrients!$EO$9)*AG$7)+(((IF($A$8=Nutrients!$B$79,Nutrients!$EO$79,(IF($A$8=Nutrients!$B$77,Nutrients!$EO$77,Nutrients!$EO$78)))))*AG$8))/2000*1000000</f>
        <v>0.19800000000000001</v>
      </c>
      <c r="AH323" s="23">
        <f>(SUMPRODUCT(AH$9:AH$229,Nutrients!$EO$8:$EO$228)+(IF($A$7=Nutrients!$B$8,Nutrients!$EO$8,Nutrients!$EO$9)*AH$7)+(((IF($A$8=Nutrients!$B$79,Nutrients!$EO$79,(IF($A$8=Nutrients!$B$77,Nutrients!$EO$77,Nutrients!$EO$78)))))*AH$8))/2000*1000000</f>
        <v>0.14849999999999999</v>
      </c>
      <c r="AI323" s="23">
        <f>(SUMPRODUCT(AI$9:AI$229,Nutrients!$EO$8:$EO$228)+(IF($A$7=Nutrients!$B$8,Nutrients!$EO$8,Nutrients!$EO$9)*AI$7)+(((IF($A$8=Nutrients!$B$79,Nutrients!$EO$79,(IF($A$8=Nutrients!$B$77,Nutrients!$EO$77,Nutrients!$EO$78)))))*AI$8))/2000*1000000</f>
        <v>0.14849999999999999</v>
      </c>
      <c r="AK323" s="23">
        <f>(SUMPRODUCT(AK$9:AK$229,Nutrients!$EO$8:$EO$228)+(IF($A$7=Nutrients!$B$8,Nutrients!$EO$8,Nutrients!$EO$9)*AK$7)+(((IF($A$8=Nutrients!$B$79,Nutrients!$EO$79,(IF($A$8=Nutrients!$B$77,Nutrients!$EO$77,Nutrients!$EO$78)))))*AK$8))/2000*1000000</f>
        <v>0.29699999999999999</v>
      </c>
      <c r="AL323" s="23">
        <f>(SUMPRODUCT(AL$9:AL$229,Nutrients!$EO$8:$EO$228)+(IF($A$7=Nutrients!$B$8,Nutrients!$EO$8,Nutrients!$EO$9)*AL$7)+(((IF($A$8=Nutrients!$B$79,Nutrients!$EO$79,(IF($A$8=Nutrients!$B$77,Nutrients!$EO$77,Nutrients!$EO$78)))))*AL$8))/2000*1000000</f>
        <v>0.29699999999999999</v>
      </c>
      <c r="AM323" s="23">
        <f>(SUMPRODUCT(AM$9:AM$229,Nutrients!$EO$8:$EO$228)+(IF($A$7=Nutrients!$B$8,Nutrients!$EO$8,Nutrients!$EO$9)*AM$7)+(((IF($A$8=Nutrients!$B$79,Nutrients!$EO$79,(IF($A$8=Nutrients!$B$77,Nutrients!$EO$77,Nutrients!$EO$78)))))*AM$8))/2000*1000000</f>
        <v>0.24750000000000003</v>
      </c>
      <c r="AN323" s="23">
        <f>(SUMPRODUCT(AN$9:AN$229,Nutrients!$EO$8:$EO$228)+(IF($A$7=Nutrients!$B$8,Nutrients!$EO$8,Nutrients!$EO$9)*AN$7)+(((IF($A$8=Nutrients!$B$79,Nutrients!$EO$79,(IF($A$8=Nutrients!$B$77,Nutrients!$EO$77,Nutrients!$EO$78)))))*AN$8))/2000*1000000</f>
        <v>0.19800000000000001</v>
      </c>
      <c r="AO323" s="23">
        <f>(SUMPRODUCT(AO$9:AO$229,Nutrients!$EO$8:$EO$228)+(IF($A$7=Nutrients!$B$8,Nutrients!$EO$8,Nutrients!$EO$9)*AO$7)+(((IF($A$8=Nutrients!$B$79,Nutrients!$EO$79,(IF($A$8=Nutrients!$B$77,Nutrients!$EO$77,Nutrients!$EO$78)))))*AO$8))/2000*1000000</f>
        <v>0.14849999999999999</v>
      </c>
      <c r="AP323" s="23">
        <f>(SUMPRODUCT(AP$9:AP$229,Nutrients!$EO$8:$EO$228)+(IF($A$7=Nutrients!$B$8,Nutrients!$EO$8,Nutrients!$EO$9)*AP$7)+(((IF($A$8=Nutrients!$B$79,Nutrients!$EO$79,(IF($A$8=Nutrients!$B$77,Nutrients!$EO$77,Nutrients!$EO$78)))))*AP$8))/2000*1000000</f>
        <v>0.14849999999999999</v>
      </c>
      <c r="AR323" s="23">
        <f>(SUMPRODUCT(AR$9:AR$229,Nutrients!$EO$8:$EO$228)+(IF($A$7=Nutrients!$B$8,Nutrients!$EO$8,Nutrients!$EO$9)*AR$7)+(((IF($A$8=Nutrients!$B$79,Nutrients!$EO$79,(IF($A$8=Nutrients!$B$77,Nutrients!$EO$77,Nutrients!$EO$78)))))*AR$8))/2000*1000000</f>
        <v>0.29699999999999999</v>
      </c>
      <c r="AS323" s="23">
        <f>(SUMPRODUCT(AS$9:AS$229,Nutrients!$EO$8:$EO$228)+(IF($A$7=Nutrients!$B$8,Nutrients!$EO$8,Nutrients!$EO$9)*AS$7)+(((IF($A$8=Nutrients!$B$79,Nutrients!$EO$79,(IF($A$8=Nutrients!$B$77,Nutrients!$EO$77,Nutrients!$EO$78)))))*AS$8))/2000*1000000</f>
        <v>0.29699999999999999</v>
      </c>
      <c r="AT323" s="23">
        <f>(SUMPRODUCT(AT$9:AT$229,Nutrients!$EO$8:$EO$228)+(IF($A$7=Nutrients!$B$8,Nutrients!$EO$8,Nutrients!$EO$9)*AT$7)+(((IF($A$8=Nutrients!$B$79,Nutrients!$EO$79,(IF($A$8=Nutrients!$B$77,Nutrients!$EO$77,Nutrients!$EO$78)))))*AT$8))/2000*1000000</f>
        <v>0.24750000000000003</v>
      </c>
      <c r="AU323" s="23">
        <f>(SUMPRODUCT(AU$9:AU$229,Nutrients!$EO$8:$EO$228)+(IF($A$7=Nutrients!$B$8,Nutrients!$EO$8,Nutrients!$EO$9)*AU$7)+(((IF($A$8=Nutrients!$B$79,Nutrients!$EO$79,(IF($A$8=Nutrients!$B$77,Nutrients!$EO$77,Nutrients!$EO$78)))))*AU$8))/2000*1000000</f>
        <v>0.19800000000000001</v>
      </c>
      <c r="AV323" s="23">
        <f>(SUMPRODUCT(AV$9:AV$229,Nutrients!$EO$8:$EO$228)+(IF($A$7=Nutrients!$B$8,Nutrients!$EO$8,Nutrients!$EO$9)*AV$7)+(((IF($A$8=Nutrients!$B$79,Nutrients!$EO$79,(IF($A$8=Nutrients!$B$77,Nutrients!$EO$77,Nutrients!$EO$78)))))*AV$8))/2000*1000000</f>
        <v>0.14849999999999999</v>
      </c>
      <c r="AW323" s="23">
        <f>(SUMPRODUCT(AW$9:AW$229,Nutrients!$EO$8:$EO$228)+(IF($A$7=Nutrients!$B$8,Nutrients!$EO$8,Nutrients!$EO$9)*AW$7)+(((IF($A$8=Nutrients!$B$79,Nutrients!$EO$79,(IF($A$8=Nutrients!$B$77,Nutrients!$EO$77,Nutrients!$EO$78)))))*AW$8))/2000*1000000</f>
        <v>0.14849999999999999</v>
      </c>
    </row>
    <row r="324" spans="1:49" x14ac:dyDescent="0.25">
      <c r="A324" s="34" t="s">
        <v>117</v>
      </c>
      <c r="B324" s="23">
        <f>(SUMPRODUCT(B$9:B$229,Nutrients!$EP$8:$EP$228)+(IF($A$7=Nutrients!$B$8,Nutrients!$EP$8,Nutrients!$EP$9)*B$7)+(((IF($A$8=Nutrients!$B$79,Nutrients!$EP$79,(IF($A$8=Nutrients!$B$77,Nutrients!$EP$77,Nutrients!$EP$78)))))*B$8))/2000*1000000</f>
        <v>0.29699999999999999</v>
      </c>
      <c r="C324" s="23">
        <f>(SUMPRODUCT(C$9:C$229,Nutrients!$EP$8:$EP$228)+(IF($A$7=Nutrients!$B$8,Nutrients!$EP$8,Nutrients!$EP$9)*C$7)+(((IF($A$8=Nutrients!$B$79,Nutrients!$EP$79,(IF($A$8=Nutrients!$B$77,Nutrients!$EP$77,Nutrients!$EP$78)))))*C$8))/2000*1000000</f>
        <v>0.29699999999999999</v>
      </c>
      <c r="D324" s="23">
        <f>(SUMPRODUCT(D$9:D$229,Nutrients!$EP$8:$EP$228)+(IF($A$7=Nutrients!$B$8,Nutrients!$EP$8,Nutrients!$EP$9)*D$7)+(((IF($A$8=Nutrients!$B$79,Nutrients!$EP$79,(IF($A$8=Nutrients!$B$77,Nutrients!$EP$77,Nutrients!$EP$78)))))*D$8))/2000*1000000</f>
        <v>0.24750000000000003</v>
      </c>
      <c r="E324" s="23">
        <f>(SUMPRODUCT(E$9:E$229,Nutrients!$EP$8:$EP$228)+(IF($A$7=Nutrients!$B$8,Nutrients!$EP$8,Nutrients!$EP$9)*E$7)+(((IF($A$8=Nutrients!$B$79,Nutrients!$EP$79,(IF($A$8=Nutrients!$B$77,Nutrients!$EP$77,Nutrients!$EP$78)))))*E$8))/2000*1000000</f>
        <v>0.19800000000000001</v>
      </c>
      <c r="F324" s="23">
        <f>(SUMPRODUCT(F$9:F$229,Nutrients!$EP$8:$EP$228)+(IF($A$7=Nutrients!$B$8,Nutrients!$EP$8,Nutrients!$EP$9)*F$7)+(((IF($A$8=Nutrients!$B$79,Nutrients!$EP$79,(IF($A$8=Nutrients!$B$77,Nutrients!$EP$77,Nutrients!$EP$78)))))*F$8))/2000*1000000</f>
        <v>0.14849999999999999</v>
      </c>
      <c r="G324" s="23">
        <f>(SUMPRODUCT(G$9:G$229,Nutrients!$EP$8:$EP$228)+(IF($A$7=Nutrients!$B$8,Nutrients!$EP$8,Nutrients!$EP$9)*G$7)+(((IF($A$8=Nutrients!$B$79,Nutrients!$EP$79,(IF($A$8=Nutrients!$B$77,Nutrients!$EP$77,Nutrients!$EP$78)))))*G$8))/2000*1000000</f>
        <v>0.14849999999999999</v>
      </c>
      <c r="H324" s="227"/>
      <c r="I324" s="23">
        <f>(SUMPRODUCT(I$9:I$229,Nutrients!$EP$8:$EP$228)+(IF($A$7=Nutrients!$B$8,Nutrients!$EP$8,Nutrients!$EP$9)*I$7)+(((IF($A$8=Nutrients!$B$79,Nutrients!$EP$79,(IF($A$8=Nutrients!$B$77,Nutrients!$EP$77,Nutrients!$EP$78)))))*I$8))/2000*1000000</f>
        <v>0.29699999999999999</v>
      </c>
      <c r="J324" s="23">
        <f>(SUMPRODUCT(J$9:J$229,Nutrients!$EP$8:$EP$228)+(IF($A$7=Nutrients!$B$8,Nutrients!$EP$8,Nutrients!$EP$9)*J$7)+(((IF($A$8=Nutrients!$B$79,Nutrients!$EP$79,(IF($A$8=Nutrients!$B$77,Nutrients!$EP$77,Nutrients!$EP$78)))))*J$8))/2000*1000000</f>
        <v>0.29699999999999999</v>
      </c>
      <c r="K324" s="23">
        <f>(SUMPRODUCT(K$9:K$229,Nutrients!$EP$8:$EP$228)+(IF($A$7=Nutrients!$B$8,Nutrients!$EP$8,Nutrients!$EP$9)*K$7)+(((IF($A$8=Nutrients!$B$79,Nutrients!$EP$79,(IF($A$8=Nutrients!$B$77,Nutrients!$EP$77,Nutrients!$EP$78)))))*K$8))/2000*1000000</f>
        <v>0.24750000000000003</v>
      </c>
      <c r="L324" s="23">
        <f>(SUMPRODUCT(L$9:L$229,Nutrients!$EP$8:$EP$228)+(IF($A$7=Nutrients!$B$8,Nutrients!$EP$8,Nutrients!$EP$9)*L$7)+(((IF($A$8=Nutrients!$B$79,Nutrients!$EP$79,(IF($A$8=Nutrients!$B$77,Nutrients!$EP$77,Nutrients!$EP$78)))))*L$8))/2000*1000000</f>
        <v>0.19800000000000001</v>
      </c>
      <c r="M324" s="23">
        <f>(SUMPRODUCT(M$9:M$229,Nutrients!$EP$8:$EP$228)+(IF($A$7=Nutrients!$B$8,Nutrients!$EP$8,Nutrients!$EP$9)*M$7)+(((IF($A$8=Nutrients!$B$79,Nutrients!$EP$79,(IF($A$8=Nutrients!$B$77,Nutrients!$EP$77,Nutrients!$EP$78)))))*M$8))/2000*1000000</f>
        <v>0.14849999999999999</v>
      </c>
      <c r="N324" s="23">
        <f>(SUMPRODUCT(N$9:N$229,Nutrients!$EP$8:$EP$228)+(IF($A$7=Nutrients!$B$8,Nutrients!$EP$8,Nutrients!$EP$9)*N$7)+(((IF($A$8=Nutrients!$B$79,Nutrients!$EP$79,(IF($A$8=Nutrients!$B$77,Nutrients!$EP$77,Nutrients!$EP$78)))))*N$8))/2000*1000000</f>
        <v>0.14849999999999999</v>
      </c>
      <c r="O324" s="198"/>
      <c r="P324" s="23">
        <f>(SUMPRODUCT(P$9:P$229,Nutrients!$EP$8:$EP$228)+(IF($A$7=Nutrients!$B$8,Nutrients!$EP$8,Nutrients!$EP$9)*P$7)+(((IF($A$8=Nutrients!$B$79,Nutrients!$EP$79,(IF($A$8=Nutrients!$B$77,Nutrients!$EP$77,Nutrients!$EP$78)))))*P$8))/2000*1000000</f>
        <v>0.29699999999999999</v>
      </c>
      <c r="Q324" s="23">
        <f>(SUMPRODUCT(Q$9:Q$229,Nutrients!$EP$8:$EP$228)+(IF($A$7=Nutrients!$B$8,Nutrients!$EP$8,Nutrients!$EP$9)*Q$7)+(((IF($A$8=Nutrients!$B$79,Nutrients!$EP$79,(IF($A$8=Nutrients!$B$77,Nutrients!$EP$77,Nutrients!$EP$78)))))*Q$8))/2000*1000000</f>
        <v>0.29699999999999999</v>
      </c>
      <c r="R324" s="23">
        <f>(SUMPRODUCT(R$9:R$229,Nutrients!$EP$8:$EP$228)+(IF($A$7=Nutrients!$B$8,Nutrients!$EP$8,Nutrients!$EP$9)*R$7)+(((IF($A$8=Nutrients!$B$79,Nutrients!$EP$79,(IF($A$8=Nutrients!$B$77,Nutrients!$EP$77,Nutrients!$EP$78)))))*R$8))/2000*1000000</f>
        <v>0.24750000000000003</v>
      </c>
      <c r="S324" s="23">
        <f>(SUMPRODUCT(S$9:S$229,Nutrients!$EP$8:$EP$228)+(IF($A$7=Nutrients!$B$8,Nutrients!$EP$8,Nutrients!$EP$9)*S$7)+(((IF($A$8=Nutrients!$B$79,Nutrients!$EP$79,(IF($A$8=Nutrients!$B$77,Nutrients!$EP$77,Nutrients!$EP$78)))))*S$8))/2000*1000000</f>
        <v>0.19800000000000001</v>
      </c>
      <c r="T324" s="23">
        <f>(SUMPRODUCT(T$9:T$229,Nutrients!$EP$8:$EP$228)+(IF($A$7=Nutrients!$B$8,Nutrients!$EP$8,Nutrients!$EP$9)*T$7)+(((IF($A$8=Nutrients!$B$79,Nutrients!$EP$79,(IF($A$8=Nutrients!$B$77,Nutrients!$EP$77,Nutrients!$EP$78)))))*T$8))/2000*1000000</f>
        <v>0.14849999999999999</v>
      </c>
      <c r="U324" s="23">
        <f>(SUMPRODUCT(U$9:U$229,Nutrients!$EP$8:$EP$228)+(IF($A$7=Nutrients!$B$8,Nutrients!$EP$8,Nutrients!$EP$9)*U$7)+(((IF($A$8=Nutrients!$B$79,Nutrients!$EP$79,(IF($A$8=Nutrients!$B$77,Nutrients!$EP$77,Nutrients!$EP$78)))))*U$8))/2000*1000000</f>
        <v>0.14849999999999999</v>
      </c>
      <c r="W324" s="23">
        <f>(SUMPRODUCT(W$9:W$229,Nutrients!$EP$8:$EP$228)+(IF($A$7=Nutrients!$B$8,Nutrients!$EP$8,Nutrients!$EP$9)*W$7)+(((IF($A$8=Nutrients!$B$79,Nutrients!$EP$79,(IF($A$8=Nutrients!$B$77,Nutrients!$EP$77,Nutrients!$EP$78)))))*W$8))/2000*1000000</f>
        <v>0.29699999999999999</v>
      </c>
      <c r="X324" s="23">
        <f>(SUMPRODUCT(X$9:X$229,Nutrients!$EP$8:$EP$228)+(IF($A$7=Nutrients!$B$8,Nutrients!$EP$8,Nutrients!$EP$9)*X$7)+(((IF($A$8=Nutrients!$B$79,Nutrients!$EP$79,(IF($A$8=Nutrients!$B$77,Nutrients!$EP$77,Nutrients!$EP$78)))))*X$8))/2000*1000000</f>
        <v>0.29699999999999999</v>
      </c>
      <c r="Y324" s="23">
        <f>(SUMPRODUCT(Y$9:Y$229,Nutrients!$EP$8:$EP$228)+(IF($A$7=Nutrients!$B$8,Nutrients!$EP$8,Nutrients!$EP$9)*Y$7)+(((IF($A$8=Nutrients!$B$79,Nutrients!$EP$79,(IF($A$8=Nutrients!$B$77,Nutrients!$EP$77,Nutrients!$EP$78)))))*Y$8))/2000*1000000</f>
        <v>0.24750000000000003</v>
      </c>
      <c r="Z324" s="23">
        <f>(SUMPRODUCT(Z$9:Z$229,Nutrients!$EP$8:$EP$228)+(IF($A$7=Nutrients!$B$8,Nutrients!$EP$8,Nutrients!$EP$9)*Z$7)+(((IF($A$8=Nutrients!$B$79,Nutrients!$EP$79,(IF($A$8=Nutrients!$B$77,Nutrients!$EP$77,Nutrients!$EP$78)))))*Z$8))/2000*1000000</f>
        <v>0.19800000000000001</v>
      </c>
      <c r="AA324" s="23">
        <f>(SUMPRODUCT(AA$9:AA$229,Nutrients!$EP$8:$EP$228)+(IF($A$7=Nutrients!$B$8,Nutrients!$EP$8,Nutrients!$EP$9)*AA$7)+(((IF($A$8=Nutrients!$B$79,Nutrients!$EP$79,(IF($A$8=Nutrients!$B$77,Nutrients!$EP$77,Nutrients!$EP$78)))))*AA$8))/2000*1000000</f>
        <v>0.14849999999999999</v>
      </c>
      <c r="AB324" s="23">
        <f>(SUMPRODUCT(AB$9:AB$229,Nutrients!$EP$8:$EP$228)+(IF($A$7=Nutrients!$B$8,Nutrients!$EP$8,Nutrients!$EP$9)*AB$7)+(((IF($A$8=Nutrients!$B$79,Nutrients!$EP$79,(IF($A$8=Nutrients!$B$77,Nutrients!$EP$77,Nutrients!$EP$78)))))*AB$8))/2000*1000000</f>
        <v>0.14849999999999999</v>
      </c>
      <c r="AD324" s="23">
        <f>(SUMPRODUCT(AD$9:AD$229,Nutrients!$EP$8:$EP$228)+(IF($A$7=Nutrients!$B$8,Nutrients!$EP$8,Nutrients!$EP$9)*AD$7)+(((IF($A$8=Nutrients!$B$79,Nutrients!$EP$79,(IF($A$8=Nutrients!$B$77,Nutrients!$EP$77,Nutrients!$EP$78)))))*AD$8))/2000*1000000</f>
        <v>0.29699999999999999</v>
      </c>
      <c r="AE324" s="23">
        <f>(SUMPRODUCT(AE$9:AE$229,Nutrients!$EP$8:$EP$228)+(IF($A$7=Nutrients!$B$8,Nutrients!$EP$8,Nutrients!$EP$9)*AE$7)+(((IF($A$8=Nutrients!$B$79,Nutrients!$EP$79,(IF($A$8=Nutrients!$B$77,Nutrients!$EP$77,Nutrients!$EP$78)))))*AE$8))/2000*1000000</f>
        <v>0.29699999999999999</v>
      </c>
      <c r="AF324" s="23">
        <f>(SUMPRODUCT(AF$9:AF$229,Nutrients!$EP$8:$EP$228)+(IF($A$7=Nutrients!$B$8,Nutrients!$EP$8,Nutrients!$EP$9)*AF$7)+(((IF($A$8=Nutrients!$B$79,Nutrients!$EP$79,(IF($A$8=Nutrients!$B$77,Nutrients!$EP$77,Nutrients!$EP$78)))))*AF$8))/2000*1000000</f>
        <v>0.24750000000000003</v>
      </c>
      <c r="AG324" s="23">
        <f>(SUMPRODUCT(AG$9:AG$229,Nutrients!$EP$8:$EP$228)+(IF($A$7=Nutrients!$B$8,Nutrients!$EP$8,Nutrients!$EP$9)*AG$7)+(((IF($A$8=Nutrients!$B$79,Nutrients!$EP$79,(IF($A$8=Nutrients!$B$77,Nutrients!$EP$77,Nutrients!$EP$78)))))*AG$8))/2000*1000000</f>
        <v>0.19800000000000001</v>
      </c>
      <c r="AH324" s="23">
        <f>(SUMPRODUCT(AH$9:AH$229,Nutrients!$EP$8:$EP$228)+(IF($A$7=Nutrients!$B$8,Nutrients!$EP$8,Nutrients!$EP$9)*AH$7)+(((IF($A$8=Nutrients!$B$79,Nutrients!$EP$79,(IF($A$8=Nutrients!$B$77,Nutrients!$EP$77,Nutrients!$EP$78)))))*AH$8))/2000*1000000</f>
        <v>0.14849999999999999</v>
      </c>
      <c r="AI324" s="23">
        <f>(SUMPRODUCT(AI$9:AI$229,Nutrients!$EP$8:$EP$228)+(IF($A$7=Nutrients!$B$8,Nutrients!$EP$8,Nutrients!$EP$9)*AI$7)+(((IF($A$8=Nutrients!$B$79,Nutrients!$EP$79,(IF($A$8=Nutrients!$B$77,Nutrients!$EP$77,Nutrients!$EP$78)))))*AI$8))/2000*1000000</f>
        <v>0.14849999999999999</v>
      </c>
      <c r="AK324" s="23">
        <f>(SUMPRODUCT(AK$9:AK$229,Nutrients!$EP$8:$EP$228)+(IF($A$7=Nutrients!$B$8,Nutrients!$EP$8,Nutrients!$EP$9)*AK$7)+(((IF($A$8=Nutrients!$B$79,Nutrients!$EP$79,(IF($A$8=Nutrients!$B$77,Nutrients!$EP$77,Nutrients!$EP$78)))))*AK$8))/2000*1000000</f>
        <v>0.29699999999999999</v>
      </c>
      <c r="AL324" s="23">
        <f>(SUMPRODUCT(AL$9:AL$229,Nutrients!$EP$8:$EP$228)+(IF($A$7=Nutrients!$B$8,Nutrients!$EP$8,Nutrients!$EP$9)*AL$7)+(((IF($A$8=Nutrients!$B$79,Nutrients!$EP$79,(IF($A$8=Nutrients!$B$77,Nutrients!$EP$77,Nutrients!$EP$78)))))*AL$8))/2000*1000000</f>
        <v>0.29699999999999999</v>
      </c>
      <c r="AM324" s="23">
        <f>(SUMPRODUCT(AM$9:AM$229,Nutrients!$EP$8:$EP$228)+(IF($A$7=Nutrients!$B$8,Nutrients!$EP$8,Nutrients!$EP$9)*AM$7)+(((IF($A$8=Nutrients!$B$79,Nutrients!$EP$79,(IF($A$8=Nutrients!$B$77,Nutrients!$EP$77,Nutrients!$EP$78)))))*AM$8))/2000*1000000</f>
        <v>0.24750000000000003</v>
      </c>
      <c r="AN324" s="23">
        <f>(SUMPRODUCT(AN$9:AN$229,Nutrients!$EP$8:$EP$228)+(IF($A$7=Nutrients!$B$8,Nutrients!$EP$8,Nutrients!$EP$9)*AN$7)+(((IF($A$8=Nutrients!$B$79,Nutrients!$EP$79,(IF($A$8=Nutrients!$B$77,Nutrients!$EP$77,Nutrients!$EP$78)))))*AN$8))/2000*1000000</f>
        <v>0.19800000000000001</v>
      </c>
      <c r="AO324" s="23">
        <f>(SUMPRODUCT(AO$9:AO$229,Nutrients!$EP$8:$EP$228)+(IF($A$7=Nutrients!$B$8,Nutrients!$EP$8,Nutrients!$EP$9)*AO$7)+(((IF($A$8=Nutrients!$B$79,Nutrients!$EP$79,(IF($A$8=Nutrients!$B$77,Nutrients!$EP$77,Nutrients!$EP$78)))))*AO$8))/2000*1000000</f>
        <v>0.14849999999999999</v>
      </c>
      <c r="AP324" s="23">
        <f>(SUMPRODUCT(AP$9:AP$229,Nutrients!$EP$8:$EP$228)+(IF($A$7=Nutrients!$B$8,Nutrients!$EP$8,Nutrients!$EP$9)*AP$7)+(((IF($A$8=Nutrients!$B$79,Nutrients!$EP$79,(IF($A$8=Nutrients!$B$77,Nutrients!$EP$77,Nutrients!$EP$78)))))*AP$8))/2000*1000000</f>
        <v>0.14849999999999999</v>
      </c>
      <c r="AR324" s="23">
        <f>(SUMPRODUCT(AR$9:AR$229,Nutrients!$EP$8:$EP$228)+(IF($A$7=Nutrients!$B$8,Nutrients!$EP$8,Nutrients!$EP$9)*AR$7)+(((IF($A$8=Nutrients!$B$79,Nutrients!$EP$79,(IF($A$8=Nutrients!$B$77,Nutrients!$EP$77,Nutrients!$EP$78)))))*AR$8))/2000*1000000</f>
        <v>0.29699999999999999</v>
      </c>
      <c r="AS324" s="23">
        <f>(SUMPRODUCT(AS$9:AS$229,Nutrients!$EP$8:$EP$228)+(IF($A$7=Nutrients!$B$8,Nutrients!$EP$8,Nutrients!$EP$9)*AS$7)+(((IF($A$8=Nutrients!$B$79,Nutrients!$EP$79,(IF($A$8=Nutrients!$B$77,Nutrients!$EP$77,Nutrients!$EP$78)))))*AS$8))/2000*1000000</f>
        <v>0.29699999999999999</v>
      </c>
      <c r="AT324" s="23">
        <f>(SUMPRODUCT(AT$9:AT$229,Nutrients!$EP$8:$EP$228)+(IF($A$7=Nutrients!$B$8,Nutrients!$EP$8,Nutrients!$EP$9)*AT$7)+(((IF($A$8=Nutrients!$B$79,Nutrients!$EP$79,(IF($A$8=Nutrients!$B$77,Nutrients!$EP$77,Nutrients!$EP$78)))))*AT$8))/2000*1000000</f>
        <v>0.24750000000000003</v>
      </c>
      <c r="AU324" s="23">
        <f>(SUMPRODUCT(AU$9:AU$229,Nutrients!$EP$8:$EP$228)+(IF($A$7=Nutrients!$B$8,Nutrients!$EP$8,Nutrients!$EP$9)*AU$7)+(((IF($A$8=Nutrients!$B$79,Nutrients!$EP$79,(IF($A$8=Nutrients!$B$77,Nutrients!$EP$77,Nutrients!$EP$78)))))*AU$8))/2000*1000000</f>
        <v>0.19800000000000001</v>
      </c>
      <c r="AV324" s="23">
        <f>(SUMPRODUCT(AV$9:AV$229,Nutrients!$EP$8:$EP$228)+(IF($A$7=Nutrients!$B$8,Nutrients!$EP$8,Nutrients!$EP$9)*AV$7)+(((IF($A$8=Nutrients!$B$79,Nutrients!$EP$79,(IF($A$8=Nutrients!$B$77,Nutrients!$EP$77,Nutrients!$EP$78)))))*AV$8))/2000*1000000</f>
        <v>0.14849999999999999</v>
      </c>
      <c r="AW324" s="23">
        <f>(SUMPRODUCT(AW$9:AW$229,Nutrients!$EP$8:$EP$228)+(IF($A$7=Nutrients!$B$8,Nutrients!$EP$8,Nutrients!$EP$9)*AW$7)+(((IF($A$8=Nutrients!$B$79,Nutrients!$EP$79,(IF($A$8=Nutrients!$B$77,Nutrients!$EP$77,Nutrients!$EP$78)))))*AW$8))/2000*1000000</f>
        <v>0.14849999999999999</v>
      </c>
    </row>
    <row r="325" spans="1:49" x14ac:dyDescent="0.25">
      <c r="A325" s="34" t="s">
        <v>118</v>
      </c>
      <c r="B325" s="21">
        <f>(SUMPRODUCT(B$9:B$229,Nutrients!$EQ$8:$EQ$228)+(IF($A$7=Nutrients!$B$8,Nutrients!$EQ$8,Nutrients!$EQ$9)*B$7)+(((IF($A$8=Nutrients!$B$79,Nutrients!$EQ$79,(IF($A$8=Nutrients!$B$77,Nutrients!$EQ$77,Nutrients!$EQ$78)))))*B$8))/2000*1000000000</f>
        <v>0</v>
      </c>
      <c r="C325" s="21">
        <f>(SUMPRODUCT(C$9:C$229,Nutrients!$EQ$8:$EQ$228)+(IF($A$7=Nutrients!$B$8,Nutrients!$EQ$8,Nutrients!$EQ$9)*C$7)+(((IF($A$8=Nutrients!$B$79,Nutrients!$EQ$79,(IF($A$8=Nutrients!$B$77,Nutrients!$EQ$77,Nutrients!$EQ$78)))))*C$8))/2000*1000000000</f>
        <v>0</v>
      </c>
      <c r="D325" s="21">
        <f>(SUMPRODUCT(D$9:D$229,Nutrients!$EQ$8:$EQ$228)+(IF($A$7=Nutrients!$B$8,Nutrients!$EQ$8,Nutrients!$EQ$9)*D$7)+(((IF($A$8=Nutrients!$B$79,Nutrients!$EQ$79,(IF($A$8=Nutrients!$B$77,Nutrients!$EQ$77,Nutrients!$EQ$78)))))*D$8))/2000*1000000000</f>
        <v>0</v>
      </c>
      <c r="E325" s="21">
        <f>(SUMPRODUCT(E$9:E$229,Nutrients!$EQ$8:$EQ$228)+(IF($A$7=Nutrients!$B$8,Nutrients!$EQ$8,Nutrients!$EQ$9)*E$7)+(((IF($A$8=Nutrients!$B$79,Nutrients!$EQ$79,(IF($A$8=Nutrients!$B$77,Nutrients!$EQ$77,Nutrients!$EQ$78)))))*E$8))/2000*1000000000</f>
        <v>0</v>
      </c>
      <c r="F325" s="21">
        <f>(SUMPRODUCT(F$9:F$229,Nutrients!$EQ$8:$EQ$228)+(IF($A$7=Nutrients!$B$8,Nutrients!$EQ$8,Nutrients!$EQ$9)*F$7)+(((IF($A$8=Nutrients!$B$79,Nutrients!$EQ$79,(IF($A$8=Nutrients!$B$77,Nutrients!$EQ$77,Nutrients!$EQ$78)))))*F$8))/2000*1000000000</f>
        <v>0</v>
      </c>
      <c r="G325" s="21">
        <f>(SUMPRODUCT(G$9:G$229,Nutrients!$EQ$8:$EQ$228)+(IF($A$7=Nutrients!$B$8,Nutrients!$EQ$8,Nutrients!$EQ$9)*G$7)+(((IF($A$8=Nutrients!$B$79,Nutrients!$EQ$79,(IF($A$8=Nutrients!$B$77,Nutrients!$EQ$77,Nutrients!$EQ$78)))))*G$8))/2000*1000000000</f>
        <v>0</v>
      </c>
      <c r="H325" s="226"/>
      <c r="I325" s="21">
        <f>(SUMPRODUCT(I$9:I$229,Nutrients!$EQ$8:$EQ$228)+(IF($A$7=Nutrients!$B$8,Nutrients!$EQ$8,Nutrients!$EQ$9)*I$7)+(((IF($A$8=Nutrients!$B$79,Nutrients!$EQ$79,(IF($A$8=Nutrients!$B$77,Nutrients!$EQ$77,Nutrients!$EQ$78)))))*I$8))/2000*1000000000</f>
        <v>0</v>
      </c>
      <c r="J325" s="21">
        <f>(SUMPRODUCT(J$9:J$229,Nutrients!$EQ$8:$EQ$228)+(IF($A$7=Nutrients!$B$8,Nutrients!$EQ$8,Nutrients!$EQ$9)*J$7)+(((IF($A$8=Nutrients!$B$79,Nutrients!$EQ$79,(IF($A$8=Nutrients!$B$77,Nutrients!$EQ$77,Nutrients!$EQ$78)))))*J$8))/2000*1000000000</f>
        <v>0</v>
      </c>
      <c r="K325" s="21">
        <f>(SUMPRODUCT(K$9:K$229,Nutrients!$EQ$8:$EQ$228)+(IF($A$7=Nutrients!$B$8,Nutrients!$EQ$8,Nutrients!$EQ$9)*K$7)+(((IF($A$8=Nutrients!$B$79,Nutrients!$EQ$79,(IF($A$8=Nutrients!$B$77,Nutrients!$EQ$77,Nutrients!$EQ$78)))))*K$8))/2000*1000000000</f>
        <v>0</v>
      </c>
      <c r="L325" s="21">
        <f>(SUMPRODUCT(L$9:L$229,Nutrients!$EQ$8:$EQ$228)+(IF($A$7=Nutrients!$B$8,Nutrients!$EQ$8,Nutrients!$EQ$9)*L$7)+(((IF($A$8=Nutrients!$B$79,Nutrients!$EQ$79,(IF($A$8=Nutrients!$B$77,Nutrients!$EQ$77,Nutrients!$EQ$78)))))*L$8))/2000*1000000000</f>
        <v>0</v>
      </c>
      <c r="M325" s="21">
        <f>(SUMPRODUCT(M$9:M$229,Nutrients!$EQ$8:$EQ$228)+(IF($A$7=Nutrients!$B$8,Nutrients!$EQ$8,Nutrients!$EQ$9)*M$7)+(((IF($A$8=Nutrients!$B$79,Nutrients!$EQ$79,(IF($A$8=Nutrients!$B$77,Nutrients!$EQ$77,Nutrients!$EQ$78)))))*M$8))/2000*1000000000</f>
        <v>0</v>
      </c>
      <c r="N325" s="21">
        <f>(SUMPRODUCT(N$9:N$229,Nutrients!$EQ$8:$EQ$228)+(IF($A$7=Nutrients!$B$8,Nutrients!$EQ$8,Nutrients!$EQ$9)*N$7)+(((IF($A$8=Nutrients!$B$79,Nutrients!$EQ$79,(IF($A$8=Nutrients!$B$77,Nutrients!$EQ$77,Nutrients!$EQ$78)))))*N$8))/2000*1000000000</f>
        <v>0</v>
      </c>
      <c r="O325" s="234"/>
      <c r="P325" s="21">
        <f>(SUMPRODUCT(P$9:P$229,Nutrients!$EQ$8:$EQ$228)+(IF($A$7=Nutrients!$B$8,Nutrients!$EQ$8,Nutrients!$EQ$9)*P$7)+(((IF($A$8=Nutrients!$B$79,Nutrients!$EQ$79,(IF($A$8=Nutrients!$B$77,Nutrients!$EQ$77,Nutrients!$EQ$78)))))*P$8))/2000*1000000000</f>
        <v>0</v>
      </c>
      <c r="Q325" s="21">
        <f>(SUMPRODUCT(Q$9:Q$229,Nutrients!$EQ$8:$EQ$228)+(IF($A$7=Nutrients!$B$8,Nutrients!$EQ$8,Nutrients!$EQ$9)*Q$7)+(((IF($A$8=Nutrients!$B$79,Nutrients!$EQ$79,(IF($A$8=Nutrients!$B$77,Nutrients!$EQ$77,Nutrients!$EQ$78)))))*Q$8))/2000*1000000000</f>
        <v>0</v>
      </c>
      <c r="R325" s="21">
        <f>(SUMPRODUCT(R$9:R$229,Nutrients!$EQ$8:$EQ$228)+(IF($A$7=Nutrients!$B$8,Nutrients!$EQ$8,Nutrients!$EQ$9)*R$7)+(((IF($A$8=Nutrients!$B$79,Nutrients!$EQ$79,(IF($A$8=Nutrients!$B$77,Nutrients!$EQ$77,Nutrients!$EQ$78)))))*R$8))/2000*1000000000</f>
        <v>0</v>
      </c>
      <c r="S325" s="21">
        <f>(SUMPRODUCT(S$9:S$229,Nutrients!$EQ$8:$EQ$228)+(IF($A$7=Nutrients!$B$8,Nutrients!$EQ$8,Nutrients!$EQ$9)*S$7)+(((IF($A$8=Nutrients!$B$79,Nutrients!$EQ$79,(IF($A$8=Nutrients!$B$77,Nutrients!$EQ$77,Nutrients!$EQ$78)))))*S$8))/2000*1000000000</f>
        <v>0</v>
      </c>
      <c r="T325" s="21">
        <f>(SUMPRODUCT(T$9:T$229,Nutrients!$EQ$8:$EQ$228)+(IF($A$7=Nutrients!$B$8,Nutrients!$EQ$8,Nutrients!$EQ$9)*T$7)+(((IF($A$8=Nutrients!$B$79,Nutrients!$EQ$79,(IF($A$8=Nutrients!$B$77,Nutrients!$EQ$77,Nutrients!$EQ$78)))))*T$8))/2000*1000000000</f>
        <v>0</v>
      </c>
      <c r="U325" s="21">
        <f>(SUMPRODUCT(U$9:U$229,Nutrients!$EQ$8:$EQ$228)+(IF($A$7=Nutrients!$B$8,Nutrients!$EQ$8,Nutrients!$EQ$9)*U$7)+(((IF($A$8=Nutrients!$B$79,Nutrients!$EQ$79,(IF($A$8=Nutrients!$B$77,Nutrients!$EQ$77,Nutrients!$EQ$78)))))*U$8))/2000*1000000000</f>
        <v>0</v>
      </c>
      <c r="W325" s="21">
        <f>(SUMPRODUCT(W$9:W$229,Nutrients!$EQ$8:$EQ$228)+(IF($A$7=Nutrients!$B$8,Nutrients!$EQ$8,Nutrients!$EQ$9)*W$7)+(((IF($A$8=Nutrients!$B$79,Nutrients!$EQ$79,(IF($A$8=Nutrients!$B$77,Nutrients!$EQ$77,Nutrients!$EQ$78)))))*W$8))/2000*1000000000</f>
        <v>0</v>
      </c>
      <c r="X325" s="21">
        <f>(SUMPRODUCT(X$9:X$229,Nutrients!$EQ$8:$EQ$228)+(IF($A$7=Nutrients!$B$8,Nutrients!$EQ$8,Nutrients!$EQ$9)*X$7)+(((IF($A$8=Nutrients!$B$79,Nutrients!$EQ$79,(IF($A$8=Nutrients!$B$77,Nutrients!$EQ$77,Nutrients!$EQ$78)))))*X$8))/2000*1000000000</f>
        <v>0</v>
      </c>
      <c r="Y325" s="21">
        <f>(SUMPRODUCT(Y$9:Y$229,Nutrients!$EQ$8:$EQ$228)+(IF($A$7=Nutrients!$B$8,Nutrients!$EQ$8,Nutrients!$EQ$9)*Y$7)+(((IF($A$8=Nutrients!$B$79,Nutrients!$EQ$79,(IF($A$8=Nutrients!$B$77,Nutrients!$EQ$77,Nutrients!$EQ$78)))))*Y$8))/2000*1000000000</f>
        <v>0</v>
      </c>
      <c r="Z325" s="21">
        <f>(SUMPRODUCT(Z$9:Z$229,Nutrients!$EQ$8:$EQ$228)+(IF($A$7=Nutrients!$B$8,Nutrients!$EQ$8,Nutrients!$EQ$9)*Z$7)+(((IF($A$8=Nutrients!$B$79,Nutrients!$EQ$79,(IF($A$8=Nutrients!$B$77,Nutrients!$EQ$77,Nutrients!$EQ$78)))))*Z$8))/2000*1000000000</f>
        <v>0</v>
      </c>
      <c r="AA325" s="21">
        <f>(SUMPRODUCT(AA$9:AA$229,Nutrients!$EQ$8:$EQ$228)+(IF($A$7=Nutrients!$B$8,Nutrients!$EQ$8,Nutrients!$EQ$9)*AA$7)+(((IF($A$8=Nutrients!$B$79,Nutrients!$EQ$79,(IF($A$8=Nutrients!$B$77,Nutrients!$EQ$77,Nutrients!$EQ$78)))))*AA$8))/2000*1000000000</f>
        <v>0</v>
      </c>
      <c r="AB325" s="21">
        <f>(SUMPRODUCT(AB$9:AB$229,Nutrients!$EQ$8:$EQ$228)+(IF($A$7=Nutrients!$B$8,Nutrients!$EQ$8,Nutrients!$EQ$9)*AB$7)+(((IF($A$8=Nutrients!$B$79,Nutrients!$EQ$79,(IF($A$8=Nutrients!$B$77,Nutrients!$EQ$77,Nutrients!$EQ$78)))))*AB$8))/2000*1000000000</f>
        <v>0</v>
      </c>
      <c r="AD325" s="21">
        <f>(SUMPRODUCT(AD$9:AD$229,Nutrients!$EQ$8:$EQ$228)+(IF($A$7=Nutrients!$B$8,Nutrients!$EQ$8,Nutrients!$EQ$9)*AD$7)+(((IF($A$8=Nutrients!$B$79,Nutrients!$EQ$79,(IF($A$8=Nutrients!$B$77,Nutrients!$EQ$77,Nutrients!$EQ$78)))))*AD$8))/2000*1000000000</f>
        <v>0</v>
      </c>
      <c r="AE325" s="21">
        <f>(SUMPRODUCT(AE$9:AE$229,Nutrients!$EQ$8:$EQ$228)+(IF($A$7=Nutrients!$B$8,Nutrients!$EQ$8,Nutrients!$EQ$9)*AE$7)+(((IF($A$8=Nutrients!$B$79,Nutrients!$EQ$79,(IF($A$8=Nutrients!$B$77,Nutrients!$EQ$77,Nutrients!$EQ$78)))))*AE$8))/2000*1000000000</f>
        <v>0</v>
      </c>
      <c r="AF325" s="21">
        <f>(SUMPRODUCT(AF$9:AF$229,Nutrients!$EQ$8:$EQ$228)+(IF($A$7=Nutrients!$B$8,Nutrients!$EQ$8,Nutrients!$EQ$9)*AF$7)+(((IF($A$8=Nutrients!$B$79,Nutrients!$EQ$79,(IF($A$8=Nutrients!$B$77,Nutrients!$EQ$77,Nutrients!$EQ$78)))))*AF$8))/2000*1000000000</f>
        <v>0</v>
      </c>
      <c r="AG325" s="21">
        <f>(SUMPRODUCT(AG$9:AG$229,Nutrients!$EQ$8:$EQ$228)+(IF($A$7=Nutrients!$B$8,Nutrients!$EQ$8,Nutrients!$EQ$9)*AG$7)+(((IF($A$8=Nutrients!$B$79,Nutrients!$EQ$79,(IF($A$8=Nutrients!$B$77,Nutrients!$EQ$77,Nutrients!$EQ$78)))))*AG$8))/2000*1000000000</f>
        <v>0</v>
      </c>
      <c r="AH325" s="21">
        <f>(SUMPRODUCT(AH$9:AH$229,Nutrients!$EQ$8:$EQ$228)+(IF($A$7=Nutrients!$B$8,Nutrients!$EQ$8,Nutrients!$EQ$9)*AH$7)+(((IF($A$8=Nutrients!$B$79,Nutrients!$EQ$79,(IF($A$8=Nutrients!$B$77,Nutrients!$EQ$77,Nutrients!$EQ$78)))))*AH$8))/2000*1000000000</f>
        <v>0</v>
      </c>
      <c r="AI325" s="21">
        <f>(SUMPRODUCT(AI$9:AI$229,Nutrients!$EQ$8:$EQ$228)+(IF($A$7=Nutrients!$B$8,Nutrients!$EQ$8,Nutrients!$EQ$9)*AI$7)+(((IF($A$8=Nutrients!$B$79,Nutrients!$EQ$79,(IF($A$8=Nutrients!$B$77,Nutrients!$EQ$77,Nutrients!$EQ$78)))))*AI$8))/2000*1000000000</f>
        <v>0</v>
      </c>
      <c r="AK325" s="21">
        <f>(SUMPRODUCT(AK$9:AK$229,Nutrients!$EQ$8:$EQ$228)+(IF($A$7=Nutrients!$B$8,Nutrients!$EQ$8,Nutrients!$EQ$9)*AK$7)+(((IF($A$8=Nutrients!$B$79,Nutrients!$EQ$79,(IF($A$8=Nutrients!$B$77,Nutrients!$EQ$77,Nutrients!$EQ$78)))))*AK$8))/2000*1000000000</f>
        <v>0</v>
      </c>
      <c r="AL325" s="21">
        <f>(SUMPRODUCT(AL$9:AL$229,Nutrients!$EQ$8:$EQ$228)+(IF($A$7=Nutrients!$B$8,Nutrients!$EQ$8,Nutrients!$EQ$9)*AL$7)+(((IF($A$8=Nutrients!$B$79,Nutrients!$EQ$79,(IF($A$8=Nutrients!$B$77,Nutrients!$EQ$77,Nutrients!$EQ$78)))))*AL$8))/2000*1000000000</f>
        <v>0</v>
      </c>
      <c r="AM325" s="21">
        <f>(SUMPRODUCT(AM$9:AM$229,Nutrients!$EQ$8:$EQ$228)+(IF($A$7=Nutrients!$B$8,Nutrients!$EQ$8,Nutrients!$EQ$9)*AM$7)+(((IF($A$8=Nutrients!$B$79,Nutrients!$EQ$79,(IF($A$8=Nutrients!$B$77,Nutrients!$EQ$77,Nutrients!$EQ$78)))))*AM$8))/2000*1000000000</f>
        <v>0</v>
      </c>
      <c r="AN325" s="21">
        <f>(SUMPRODUCT(AN$9:AN$229,Nutrients!$EQ$8:$EQ$228)+(IF($A$7=Nutrients!$B$8,Nutrients!$EQ$8,Nutrients!$EQ$9)*AN$7)+(((IF($A$8=Nutrients!$B$79,Nutrients!$EQ$79,(IF($A$8=Nutrients!$B$77,Nutrients!$EQ$77,Nutrients!$EQ$78)))))*AN$8))/2000*1000000000</f>
        <v>0</v>
      </c>
      <c r="AO325" s="21">
        <f>(SUMPRODUCT(AO$9:AO$229,Nutrients!$EQ$8:$EQ$228)+(IF($A$7=Nutrients!$B$8,Nutrients!$EQ$8,Nutrients!$EQ$9)*AO$7)+(((IF($A$8=Nutrients!$B$79,Nutrients!$EQ$79,(IF($A$8=Nutrients!$B$77,Nutrients!$EQ$77,Nutrients!$EQ$78)))))*AO$8))/2000*1000000000</f>
        <v>0</v>
      </c>
      <c r="AP325" s="21">
        <f>(SUMPRODUCT(AP$9:AP$229,Nutrients!$EQ$8:$EQ$228)+(IF($A$7=Nutrients!$B$8,Nutrients!$EQ$8,Nutrients!$EQ$9)*AP$7)+(((IF($A$8=Nutrients!$B$79,Nutrients!$EQ$79,(IF($A$8=Nutrients!$B$77,Nutrients!$EQ$77,Nutrients!$EQ$78)))))*AP$8))/2000*1000000000</f>
        <v>0</v>
      </c>
      <c r="AR325" s="21">
        <f>(SUMPRODUCT(AR$9:AR$229,Nutrients!$EQ$8:$EQ$228)+(IF($A$7=Nutrients!$B$8,Nutrients!$EQ$8,Nutrients!$EQ$9)*AR$7)+(((IF($A$8=Nutrients!$B$79,Nutrients!$EQ$79,(IF($A$8=Nutrients!$B$77,Nutrients!$EQ$77,Nutrients!$EQ$78)))))*AR$8))/2000*1000000000</f>
        <v>0</v>
      </c>
      <c r="AS325" s="21">
        <f>(SUMPRODUCT(AS$9:AS$229,Nutrients!$EQ$8:$EQ$228)+(IF($A$7=Nutrients!$B$8,Nutrients!$EQ$8,Nutrients!$EQ$9)*AS$7)+(((IF($A$8=Nutrients!$B$79,Nutrients!$EQ$79,(IF($A$8=Nutrients!$B$77,Nutrients!$EQ$77,Nutrients!$EQ$78)))))*AS$8))/2000*1000000000</f>
        <v>0</v>
      </c>
      <c r="AT325" s="21">
        <f>(SUMPRODUCT(AT$9:AT$229,Nutrients!$EQ$8:$EQ$228)+(IF($A$7=Nutrients!$B$8,Nutrients!$EQ$8,Nutrients!$EQ$9)*AT$7)+(((IF($A$8=Nutrients!$B$79,Nutrients!$EQ$79,(IF($A$8=Nutrients!$B$77,Nutrients!$EQ$77,Nutrients!$EQ$78)))))*AT$8))/2000*1000000000</f>
        <v>0</v>
      </c>
      <c r="AU325" s="21">
        <f>(SUMPRODUCT(AU$9:AU$229,Nutrients!$EQ$8:$EQ$228)+(IF($A$7=Nutrients!$B$8,Nutrients!$EQ$8,Nutrients!$EQ$9)*AU$7)+(((IF($A$8=Nutrients!$B$79,Nutrients!$EQ$79,(IF($A$8=Nutrients!$B$77,Nutrients!$EQ$77,Nutrients!$EQ$78)))))*AU$8))/2000*1000000000</f>
        <v>0</v>
      </c>
      <c r="AV325" s="21">
        <f>(SUMPRODUCT(AV$9:AV$229,Nutrients!$EQ$8:$EQ$228)+(IF($A$7=Nutrients!$B$8,Nutrients!$EQ$8,Nutrients!$EQ$9)*AV$7)+(((IF($A$8=Nutrients!$B$79,Nutrients!$EQ$79,(IF($A$8=Nutrients!$B$77,Nutrients!$EQ$77,Nutrients!$EQ$78)))))*AV$8))/2000*1000000000</f>
        <v>0</v>
      </c>
      <c r="AW325" s="21">
        <f>(SUMPRODUCT(AW$9:AW$229,Nutrients!$EQ$8:$EQ$228)+(IF($A$7=Nutrients!$B$8,Nutrients!$EQ$8,Nutrients!$EQ$9)*AW$7)+(((IF($A$8=Nutrients!$B$79,Nutrients!$EQ$79,(IF($A$8=Nutrients!$B$77,Nutrients!$EQ$77,Nutrients!$EQ$78)))))*AW$8))/2000*1000000000</f>
        <v>0</v>
      </c>
    </row>
    <row r="327" spans="1:49" x14ac:dyDescent="0.25">
      <c r="A327" s="34" t="s">
        <v>119</v>
      </c>
    </row>
    <row r="328" spans="1:49" x14ac:dyDescent="0.25">
      <c r="A328" s="34" t="s">
        <v>121</v>
      </c>
      <c r="B328" s="21">
        <f>(SUMPRODUCT(B$9:B$229,Nutrients!$ES$8:$ES$228)+(IF($A$7=Nutrients!$B$8,Nutrients!$ES$8,Nutrients!$ES$9)*B$7)+(((IF($A$8=Nutrients!$B$79,Nutrients!$ES$79,(IF($A$8=Nutrients!$B$77,Nutrients!$ES$77,Nutrients!$ES$78)))))*B$8))</f>
        <v>2250000</v>
      </c>
      <c r="C328" s="21">
        <f>(SUMPRODUCT(C$9:C$229,Nutrients!$ES$8:$ES$228)+(IF($A$7=Nutrients!$B$8,Nutrients!$ES$8,Nutrients!$ES$9)*C$7)+(((IF($A$8=Nutrients!$B$79,Nutrients!$ES$79,(IF($A$8=Nutrients!$B$77,Nutrients!$ES$77,Nutrients!$ES$78)))))*C$8))</f>
        <v>2250000</v>
      </c>
      <c r="D328" s="21">
        <f>(SUMPRODUCT(D$9:D$229,Nutrients!$ES$8:$ES$228)+(IF($A$7=Nutrients!$B$8,Nutrients!$ES$8,Nutrients!$ES$9)*D$7)+(((IF($A$8=Nutrients!$B$79,Nutrients!$ES$79,(IF($A$8=Nutrients!$B$77,Nutrients!$ES$77,Nutrients!$ES$78)))))*D$8))</f>
        <v>1875000</v>
      </c>
      <c r="E328" s="21">
        <f>(SUMPRODUCT(E$9:E$229,Nutrients!$ES$8:$ES$228)+(IF($A$7=Nutrients!$B$8,Nutrients!$ES$8,Nutrients!$ES$9)*E$7)+(((IF($A$8=Nutrients!$B$79,Nutrients!$ES$79,(IF($A$8=Nutrients!$B$77,Nutrients!$ES$77,Nutrients!$ES$78)))))*E$8))</f>
        <v>1500000</v>
      </c>
      <c r="F328" s="21">
        <f>(SUMPRODUCT(F$9:F$229,Nutrients!$ES$8:$ES$228)+(IF($A$7=Nutrients!$B$8,Nutrients!$ES$8,Nutrients!$ES$9)*F$7)+(((IF($A$8=Nutrients!$B$79,Nutrients!$ES$79,(IF($A$8=Nutrients!$B$77,Nutrients!$ES$77,Nutrients!$ES$78)))))*F$8))</f>
        <v>1125000</v>
      </c>
      <c r="G328" s="21">
        <f>(SUMPRODUCT(G$9:G$229,Nutrients!$ES$8:$ES$228)+(IF($A$7=Nutrients!$B$8,Nutrients!$ES$8,Nutrients!$ES$9)*G$7)+(((IF($A$8=Nutrients!$B$79,Nutrients!$ES$79,(IF($A$8=Nutrients!$B$77,Nutrients!$ES$77,Nutrients!$ES$78)))))*G$8))</f>
        <v>1125000</v>
      </c>
      <c r="H328" s="226"/>
      <c r="I328" s="21">
        <f>(SUMPRODUCT(I$9:I$229,Nutrients!$ES$8:$ES$228)+(IF($A$7=Nutrients!$B$8,Nutrients!$ES$8,Nutrients!$ES$9)*I$7)+(((IF($A$8=Nutrients!$B$79,Nutrients!$ES$79,(IF($A$8=Nutrients!$B$77,Nutrients!$ES$77,Nutrients!$ES$78)))))*I$8))</f>
        <v>2250000</v>
      </c>
      <c r="J328" s="21">
        <f>(SUMPRODUCT(J$9:J$229,Nutrients!$ES$8:$ES$228)+(IF($A$7=Nutrients!$B$8,Nutrients!$ES$8,Nutrients!$ES$9)*J$7)+(((IF($A$8=Nutrients!$B$79,Nutrients!$ES$79,(IF($A$8=Nutrients!$B$77,Nutrients!$ES$77,Nutrients!$ES$78)))))*J$8))</f>
        <v>2250000</v>
      </c>
      <c r="K328" s="21">
        <f>(SUMPRODUCT(K$9:K$229,Nutrients!$ES$8:$ES$228)+(IF($A$7=Nutrients!$B$8,Nutrients!$ES$8,Nutrients!$ES$9)*K$7)+(((IF($A$8=Nutrients!$B$79,Nutrients!$ES$79,(IF($A$8=Nutrients!$B$77,Nutrients!$ES$77,Nutrients!$ES$78)))))*K$8))</f>
        <v>1875000</v>
      </c>
      <c r="L328" s="21">
        <f>(SUMPRODUCT(L$9:L$229,Nutrients!$ES$8:$ES$228)+(IF($A$7=Nutrients!$B$8,Nutrients!$ES$8,Nutrients!$ES$9)*L$7)+(((IF($A$8=Nutrients!$B$79,Nutrients!$ES$79,(IF($A$8=Nutrients!$B$77,Nutrients!$ES$77,Nutrients!$ES$78)))))*L$8))</f>
        <v>1500000</v>
      </c>
      <c r="M328" s="21">
        <f>(SUMPRODUCT(M$9:M$229,Nutrients!$ES$8:$ES$228)+(IF($A$7=Nutrients!$B$8,Nutrients!$ES$8,Nutrients!$ES$9)*M$7)+(((IF($A$8=Nutrients!$B$79,Nutrients!$ES$79,(IF($A$8=Nutrients!$B$77,Nutrients!$ES$77,Nutrients!$ES$78)))))*M$8))</f>
        <v>1125000</v>
      </c>
      <c r="N328" s="21">
        <f>(SUMPRODUCT(N$9:N$229,Nutrients!$ES$8:$ES$228)+(IF($A$7=Nutrients!$B$8,Nutrients!$ES$8,Nutrients!$ES$9)*N$7)+(((IF($A$8=Nutrients!$B$79,Nutrients!$ES$79,(IF($A$8=Nutrients!$B$77,Nutrients!$ES$77,Nutrients!$ES$78)))))*N$8))</f>
        <v>1125000</v>
      </c>
      <c r="O328" s="234"/>
      <c r="P328" s="21">
        <f>(SUMPRODUCT(P$9:P$229,Nutrients!$ES$8:$ES$228)+(IF($A$7=Nutrients!$B$8,Nutrients!$ES$8,Nutrients!$ES$9)*P$7)+(((IF($A$8=Nutrients!$B$79,Nutrients!$ES$79,(IF($A$8=Nutrients!$B$77,Nutrients!$ES$77,Nutrients!$ES$78)))))*P$8))</f>
        <v>2250000</v>
      </c>
      <c r="Q328" s="21">
        <f>(SUMPRODUCT(Q$9:Q$229,Nutrients!$ES$8:$ES$228)+(IF($A$7=Nutrients!$B$8,Nutrients!$ES$8,Nutrients!$ES$9)*Q$7)+(((IF($A$8=Nutrients!$B$79,Nutrients!$ES$79,(IF($A$8=Nutrients!$B$77,Nutrients!$ES$77,Nutrients!$ES$78)))))*Q$8))</f>
        <v>2250000</v>
      </c>
      <c r="R328" s="21">
        <f>(SUMPRODUCT(R$9:R$229,Nutrients!$ES$8:$ES$228)+(IF($A$7=Nutrients!$B$8,Nutrients!$ES$8,Nutrients!$ES$9)*R$7)+(((IF($A$8=Nutrients!$B$79,Nutrients!$ES$79,(IF($A$8=Nutrients!$B$77,Nutrients!$ES$77,Nutrients!$ES$78)))))*R$8))</f>
        <v>1875000</v>
      </c>
      <c r="S328" s="21">
        <f>(SUMPRODUCT(S$9:S$229,Nutrients!$ES$8:$ES$228)+(IF($A$7=Nutrients!$B$8,Nutrients!$ES$8,Nutrients!$ES$9)*S$7)+(((IF($A$8=Nutrients!$B$79,Nutrients!$ES$79,(IF($A$8=Nutrients!$B$77,Nutrients!$ES$77,Nutrients!$ES$78)))))*S$8))</f>
        <v>1500000</v>
      </c>
      <c r="T328" s="21">
        <f>(SUMPRODUCT(T$9:T$229,Nutrients!$ES$8:$ES$228)+(IF($A$7=Nutrients!$B$8,Nutrients!$ES$8,Nutrients!$ES$9)*T$7)+(((IF($A$8=Nutrients!$B$79,Nutrients!$ES$79,(IF($A$8=Nutrients!$B$77,Nutrients!$ES$77,Nutrients!$ES$78)))))*T$8))</f>
        <v>1125000</v>
      </c>
      <c r="U328" s="21">
        <f>(SUMPRODUCT(U$9:U$229,Nutrients!$ES$8:$ES$228)+(IF($A$7=Nutrients!$B$8,Nutrients!$ES$8,Nutrients!$ES$9)*U$7)+(((IF($A$8=Nutrients!$B$79,Nutrients!$ES$79,(IF($A$8=Nutrients!$B$77,Nutrients!$ES$77,Nutrients!$ES$78)))))*U$8))</f>
        <v>1125000</v>
      </c>
      <c r="W328" s="21">
        <f>(SUMPRODUCT(W$9:W$229,Nutrients!$ES$8:$ES$228)+(IF($A$7=Nutrients!$B$8,Nutrients!$ES$8,Nutrients!$ES$9)*W$7)+(((IF($A$8=Nutrients!$B$79,Nutrients!$ES$79,(IF($A$8=Nutrients!$B$77,Nutrients!$ES$77,Nutrients!$ES$78)))))*W$8))</f>
        <v>2250000</v>
      </c>
      <c r="X328" s="21">
        <f>(SUMPRODUCT(X$9:X$229,Nutrients!$ES$8:$ES$228)+(IF($A$7=Nutrients!$B$8,Nutrients!$ES$8,Nutrients!$ES$9)*X$7)+(((IF($A$8=Nutrients!$B$79,Nutrients!$ES$79,(IF($A$8=Nutrients!$B$77,Nutrients!$ES$77,Nutrients!$ES$78)))))*X$8))</f>
        <v>2250000</v>
      </c>
      <c r="Y328" s="21">
        <f>(SUMPRODUCT(Y$9:Y$229,Nutrients!$ES$8:$ES$228)+(IF($A$7=Nutrients!$B$8,Nutrients!$ES$8,Nutrients!$ES$9)*Y$7)+(((IF($A$8=Nutrients!$B$79,Nutrients!$ES$79,(IF($A$8=Nutrients!$B$77,Nutrients!$ES$77,Nutrients!$ES$78)))))*Y$8))</f>
        <v>1875000</v>
      </c>
      <c r="Z328" s="21">
        <f>(SUMPRODUCT(Z$9:Z$229,Nutrients!$ES$8:$ES$228)+(IF($A$7=Nutrients!$B$8,Nutrients!$ES$8,Nutrients!$ES$9)*Z$7)+(((IF($A$8=Nutrients!$B$79,Nutrients!$ES$79,(IF($A$8=Nutrients!$B$77,Nutrients!$ES$77,Nutrients!$ES$78)))))*Z$8))</f>
        <v>1500000</v>
      </c>
      <c r="AA328" s="21">
        <f>(SUMPRODUCT(AA$9:AA$229,Nutrients!$ES$8:$ES$228)+(IF($A$7=Nutrients!$B$8,Nutrients!$ES$8,Nutrients!$ES$9)*AA$7)+(((IF($A$8=Nutrients!$B$79,Nutrients!$ES$79,(IF($A$8=Nutrients!$B$77,Nutrients!$ES$77,Nutrients!$ES$78)))))*AA$8))</f>
        <v>1125000</v>
      </c>
      <c r="AB328" s="21">
        <f>(SUMPRODUCT(AB$9:AB$229,Nutrients!$ES$8:$ES$228)+(IF($A$7=Nutrients!$B$8,Nutrients!$ES$8,Nutrients!$ES$9)*AB$7)+(((IF($A$8=Nutrients!$B$79,Nutrients!$ES$79,(IF($A$8=Nutrients!$B$77,Nutrients!$ES$77,Nutrients!$ES$78)))))*AB$8))</f>
        <v>1125000</v>
      </c>
      <c r="AD328" s="21">
        <f>(SUMPRODUCT(AD$9:AD$229,Nutrients!$ES$8:$ES$228)+(IF($A$7=Nutrients!$B$8,Nutrients!$ES$8,Nutrients!$ES$9)*AD$7)+(((IF($A$8=Nutrients!$B$79,Nutrients!$ES$79,(IF($A$8=Nutrients!$B$77,Nutrients!$ES$77,Nutrients!$ES$78)))))*AD$8))</f>
        <v>2250000</v>
      </c>
      <c r="AE328" s="21">
        <f>(SUMPRODUCT(AE$9:AE$229,Nutrients!$ES$8:$ES$228)+(IF($A$7=Nutrients!$B$8,Nutrients!$ES$8,Nutrients!$ES$9)*AE$7)+(((IF($A$8=Nutrients!$B$79,Nutrients!$ES$79,(IF($A$8=Nutrients!$B$77,Nutrients!$ES$77,Nutrients!$ES$78)))))*AE$8))</f>
        <v>2250000</v>
      </c>
      <c r="AF328" s="21">
        <f>(SUMPRODUCT(AF$9:AF$229,Nutrients!$ES$8:$ES$228)+(IF($A$7=Nutrients!$B$8,Nutrients!$ES$8,Nutrients!$ES$9)*AF$7)+(((IF($A$8=Nutrients!$B$79,Nutrients!$ES$79,(IF($A$8=Nutrients!$B$77,Nutrients!$ES$77,Nutrients!$ES$78)))))*AF$8))</f>
        <v>1875000</v>
      </c>
      <c r="AG328" s="21">
        <f>(SUMPRODUCT(AG$9:AG$229,Nutrients!$ES$8:$ES$228)+(IF($A$7=Nutrients!$B$8,Nutrients!$ES$8,Nutrients!$ES$9)*AG$7)+(((IF($A$8=Nutrients!$B$79,Nutrients!$ES$79,(IF($A$8=Nutrients!$B$77,Nutrients!$ES$77,Nutrients!$ES$78)))))*AG$8))</f>
        <v>1500000</v>
      </c>
      <c r="AH328" s="21">
        <f>(SUMPRODUCT(AH$9:AH$229,Nutrients!$ES$8:$ES$228)+(IF($A$7=Nutrients!$B$8,Nutrients!$ES$8,Nutrients!$ES$9)*AH$7)+(((IF($A$8=Nutrients!$B$79,Nutrients!$ES$79,(IF($A$8=Nutrients!$B$77,Nutrients!$ES$77,Nutrients!$ES$78)))))*AH$8))</f>
        <v>1125000</v>
      </c>
      <c r="AI328" s="21">
        <f>(SUMPRODUCT(AI$9:AI$229,Nutrients!$ES$8:$ES$228)+(IF($A$7=Nutrients!$B$8,Nutrients!$ES$8,Nutrients!$ES$9)*AI$7)+(((IF($A$8=Nutrients!$B$79,Nutrients!$ES$79,(IF($A$8=Nutrients!$B$77,Nutrients!$ES$77,Nutrients!$ES$78)))))*AI$8))</f>
        <v>1125000</v>
      </c>
      <c r="AK328" s="21">
        <f>(SUMPRODUCT(AK$9:AK$229,Nutrients!$ES$8:$ES$228)+(IF($A$7=Nutrients!$B$8,Nutrients!$ES$8,Nutrients!$ES$9)*AK$7)+(((IF($A$8=Nutrients!$B$79,Nutrients!$ES$79,(IF($A$8=Nutrients!$B$77,Nutrients!$ES$77,Nutrients!$ES$78)))))*AK$8))</f>
        <v>2250000</v>
      </c>
      <c r="AL328" s="21">
        <f>(SUMPRODUCT(AL$9:AL$229,Nutrients!$ES$8:$ES$228)+(IF($A$7=Nutrients!$B$8,Nutrients!$ES$8,Nutrients!$ES$9)*AL$7)+(((IF($A$8=Nutrients!$B$79,Nutrients!$ES$79,(IF($A$8=Nutrients!$B$77,Nutrients!$ES$77,Nutrients!$ES$78)))))*AL$8))</f>
        <v>2250000</v>
      </c>
      <c r="AM328" s="21">
        <f>(SUMPRODUCT(AM$9:AM$229,Nutrients!$ES$8:$ES$228)+(IF($A$7=Nutrients!$B$8,Nutrients!$ES$8,Nutrients!$ES$9)*AM$7)+(((IF($A$8=Nutrients!$B$79,Nutrients!$ES$79,(IF($A$8=Nutrients!$B$77,Nutrients!$ES$77,Nutrients!$ES$78)))))*AM$8))</f>
        <v>1875000</v>
      </c>
      <c r="AN328" s="21">
        <f>(SUMPRODUCT(AN$9:AN$229,Nutrients!$ES$8:$ES$228)+(IF($A$7=Nutrients!$B$8,Nutrients!$ES$8,Nutrients!$ES$9)*AN$7)+(((IF($A$8=Nutrients!$B$79,Nutrients!$ES$79,(IF($A$8=Nutrients!$B$77,Nutrients!$ES$77,Nutrients!$ES$78)))))*AN$8))</f>
        <v>1500000</v>
      </c>
      <c r="AO328" s="21">
        <f>(SUMPRODUCT(AO$9:AO$229,Nutrients!$ES$8:$ES$228)+(IF($A$7=Nutrients!$B$8,Nutrients!$ES$8,Nutrients!$ES$9)*AO$7)+(((IF($A$8=Nutrients!$B$79,Nutrients!$ES$79,(IF($A$8=Nutrients!$B$77,Nutrients!$ES$77,Nutrients!$ES$78)))))*AO$8))</f>
        <v>1125000</v>
      </c>
      <c r="AP328" s="21">
        <f>(SUMPRODUCT(AP$9:AP$229,Nutrients!$ES$8:$ES$228)+(IF($A$7=Nutrients!$B$8,Nutrients!$ES$8,Nutrients!$ES$9)*AP$7)+(((IF($A$8=Nutrients!$B$79,Nutrients!$ES$79,(IF($A$8=Nutrients!$B$77,Nutrients!$ES$77,Nutrients!$ES$78)))))*AP$8))</f>
        <v>1125000</v>
      </c>
      <c r="AR328" s="21">
        <f>(SUMPRODUCT(AR$9:AR$229,Nutrients!$ES$8:$ES$228)+(IF($A$7=Nutrients!$B$8,Nutrients!$ES$8,Nutrients!$ES$9)*AR$7)+(((IF($A$8=Nutrients!$B$79,Nutrients!$ES$79,(IF($A$8=Nutrients!$B$77,Nutrients!$ES$77,Nutrients!$ES$78)))))*AR$8))</f>
        <v>2250000</v>
      </c>
      <c r="AS328" s="21">
        <f>(SUMPRODUCT(AS$9:AS$229,Nutrients!$ES$8:$ES$228)+(IF($A$7=Nutrients!$B$8,Nutrients!$ES$8,Nutrients!$ES$9)*AS$7)+(((IF($A$8=Nutrients!$B$79,Nutrients!$ES$79,(IF($A$8=Nutrients!$B$77,Nutrients!$ES$77,Nutrients!$ES$78)))))*AS$8))</f>
        <v>2250000</v>
      </c>
      <c r="AT328" s="21">
        <f>(SUMPRODUCT(AT$9:AT$229,Nutrients!$ES$8:$ES$228)+(IF($A$7=Nutrients!$B$8,Nutrients!$ES$8,Nutrients!$ES$9)*AT$7)+(((IF($A$8=Nutrients!$B$79,Nutrients!$ES$79,(IF($A$8=Nutrients!$B$77,Nutrients!$ES$77,Nutrients!$ES$78)))))*AT$8))</f>
        <v>1875000</v>
      </c>
      <c r="AU328" s="21">
        <f>(SUMPRODUCT(AU$9:AU$229,Nutrients!$ES$8:$ES$228)+(IF($A$7=Nutrients!$B$8,Nutrients!$ES$8,Nutrients!$ES$9)*AU$7)+(((IF($A$8=Nutrients!$B$79,Nutrients!$ES$79,(IF($A$8=Nutrients!$B$77,Nutrients!$ES$77,Nutrients!$ES$78)))))*AU$8))</f>
        <v>1500000</v>
      </c>
      <c r="AV328" s="21">
        <f>(SUMPRODUCT(AV$9:AV$229,Nutrients!$ES$8:$ES$228)+(IF($A$7=Nutrients!$B$8,Nutrients!$ES$8,Nutrients!$ES$9)*AV$7)+(((IF($A$8=Nutrients!$B$79,Nutrients!$ES$79,(IF($A$8=Nutrients!$B$77,Nutrients!$ES$77,Nutrients!$ES$78)))))*AV$8))</f>
        <v>1125000</v>
      </c>
      <c r="AW328" s="21">
        <f>(SUMPRODUCT(AW$9:AW$229,Nutrients!$ES$8:$ES$228)+(IF($A$7=Nutrients!$B$8,Nutrients!$ES$8,Nutrients!$ES$9)*AW$7)+(((IF($A$8=Nutrients!$B$79,Nutrients!$ES$79,(IF($A$8=Nutrients!$B$77,Nutrients!$ES$77,Nutrients!$ES$78)))))*AW$8))</f>
        <v>1125000</v>
      </c>
    </row>
    <row r="329" spans="1:49" x14ac:dyDescent="0.25">
      <c r="A329" s="34" t="s">
        <v>122</v>
      </c>
      <c r="B329" s="21">
        <f>(SUMPRODUCT(B$9:B$229,Nutrients!$ET$8:$ET$228)+(IF($A$7=Nutrients!$B$8,Nutrients!$ET$8,Nutrients!$ET$9)*B$7)+(((IF($A$8=Nutrients!$B$79,Nutrients!$ET$79,(IF($A$8=Nutrients!$B$77,Nutrients!$ET$77,Nutrients!$ET$78)))))*B$8))</f>
        <v>900000</v>
      </c>
      <c r="C329" s="21">
        <f>(SUMPRODUCT(C$9:C$229,Nutrients!$ET$8:$ET$228)+(IF($A$7=Nutrients!$B$8,Nutrients!$ET$8,Nutrients!$ET$9)*C$7)+(((IF($A$8=Nutrients!$B$79,Nutrients!$ET$79,(IF($A$8=Nutrients!$B$77,Nutrients!$ET$77,Nutrients!$ET$78)))))*C$8))</f>
        <v>900000</v>
      </c>
      <c r="D329" s="21">
        <f>(SUMPRODUCT(D$9:D$229,Nutrients!$ET$8:$ET$228)+(IF($A$7=Nutrients!$B$8,Nutrients!$ET$8,Nutrients!$ET$9)*D$7)+(((IF($A$8=Nutrients!$B$79,Nutrients!$ET$79,(IF($A$8=Nutrients!$B$77,Nutrients!$ET$77,Nutrients!$ET$78)))))*D$8))</f>
        <v>750000</v>
      </c>
      <c r="E329" s="21">
        <f>(SUMPRODUCT(E$9:E$229,Nutrients!$ET$8:$ET$228)+(IF($A$7=Nutrients!$B$8,Nutrients!$ET$8,Nutrients!$ET$9)*E$7)+(((IF($A$8=Nutrients!$B$79,Nutrients!$ET$79,(IF($A$8=Nutrients!$B$77,Nutrients!$ET$77,Nutrients!$ET$78)))))*E$8))</f>
        <v>600000</v>
      </c>
      <c r="F329" s="21">
        <f>(SUMPRODUCT(F$9:F$229,Nutrients!$ET$8:$ET$228)+(IF($A$7=Nutrients!$B$8,Nutrients!$ET$8,Nutrients!$ET$9)*F$7)+(((IF($A$8=Nutrients!$B$79,Nutrients!$ET$79,(IF($A$8=Nutrients!$B$77,Nutrients!$ET$77,Nutrients!$ET$78)))))*F$8))</f>
        <v>450000</v>
      </c>
      <c r="G329" s="21">
        <f>(SUMPRODUCT(G$9:G$229,Nutrients!$ET$8:$ET$228)+(IF($A$7=Nutrients!$B$8,Nutrients!$ET$8,Nutrients!$ET$9)*G$7)+(((IF($A$8=Nutrients!$B$79,Nutrients!$ET$79,(IF($A$8=Nutrients!$B$77,Nutrients!$ET$77,Nutrients!$ET$78)))))*G$8))</f>
        <v>450000</v>
      </c>
      <c r="H329" s="226"/>
      <c r="I329" s="21">
        <f>(SUMPRODUCT(I$9:I$229,Nutrients!$ET$8:$ET$228)+(IF($A$7=Nutrients!$B$8,Nutrients!$ET$8,Nutrients!$ET$9)*I$7)+(((IF($A$8=Nutrients!$B$79,Nutrients!$ET$79,(IF($A$8=Nutrients!$B$77,Nutrients!$ET$77,Nutrients!$ET$78)))))*I$8))</f>
        <v>900000</v>
      </c>
      <c r="J329" s="21">
        <f>(SUMPRODUCT(J$9:J$229,Nutrients!$ET$8:$ET$228)+(IF($A$7=Nutrients!$B$8,Nutrients!$ET$8,Nutrients!$ET$9)*J$7)+(((IF($A$8=Nutrients!$B$79,Nutrients!$ET$79,(IF($A$8=Nutrients!$B$77,Nutrients!$ET$77,Nutrients!$ET$78)))))*J$8))</f>
        <v>900000</v>
      </c>
      <c r="K329" s="21">
        <f>(SUMPRODUCT(K$9:K$229,Nutrients!$ET$8:$ET$228)+(IF($A$7=Nutrients!$B$8,Nutrients!$ET$8,Nutrients!$ET$9)*K$7)+(((IF($A$8=Nutrients!$B$79,Nutrients!$ET$79,(IF($A$8=Nutrients!$B$77,Nutrients!$ET$77,Nutrients!$ET$78)))))*K$8))</f>
        <v>750000</v>
      </c>
      <c r="L329" s="21">
        <f>(SUMPRODUCT(L$9:L$229,Nutrients!$ET$8:$ET$228)+(IF($A$7=Nutrients!$B$8,Nutrients!$ET$8,Nutrients!$ET$9)*L$7)+(((IF($A$8=Nutrients!$B$79,Nutrients!$ET$79,(IF($A$8=Nutrients!$B$77,Nutrients!$ET$77,Nutrients!$ET$78)))))*L$8))</f>
        <v>600000</v>
      </c>
      <c r="M329" s="21">
        <f>(SUMPRODUCT(M$9:M$229,Nutrients!$ET$8:$ET$228)+(IF($A$7=Nutrients!$B$8,Nutrients!$ET$8,Nutrients!$ET$9)*M$7)+(((IF($A$8=Nutrients!$B$79,Nutrients!$ET$79,(IF($A$8=Nutrients!$B$77,Nutrients!$ET$77,Nutrients!$ET$78)))))*M$8))</f>
        <v>450000</v>
      </c>
      <c r="N329" s="21">
        <f>(SUMPRODUCT(N$9:N$229,Nutrients!$ET$8:$ET$228)+(IF($A$7=Nutrients!$B$8,Nutrients!$ET$8,Nutrients!$ET$9)*N$7)+(((IF($A$8=Nutrients!$B$79,Nutrients!$ET$79,(IF($A$8=Nutrients!$B$77,Nutrients!$ET$77,Nutrients!$ET$78)))))*N$8))</f>
        <v>450000</v>
      </c>
      <c r="O329" s="234"/>
      <c r="P329" s="21">
        <f>(SUMPRODUCT(P$9:P$229,Nutrients!$ET$8:$ET$228)+(IF($A$7=Nutrients!$B$8,Nutrients!$ET$8,Nutrients!$ET$9)*P$7)+(((IF($A$8=Nutrients!$B$79,Nutrients!$ET$79,(IF($A$8=Nutrients!$B$77,Nutrients!$ET$77,Nutrients!$ET$78)))))*P$8))</f>
        <v>900000</v>
      </c>
      <c r="Q329" s="21">
        <f>(SUMPRODUCT(Q$9:Q$229,Nutrients!$ET$8:$ET$228)+(IF($A$7=Nutrients!$B$8,Nutrients!$ET$8,Nutrients!$ET$9)*Q$7)+(((IF($A$8=Nutrients!$B$79,Nutrients!$ET$79,(IF($A$8=Nutrients!$B$77,Nutrients!$ET$77,Nutrients!$ET$78)))))*Q$8))</f>
        <v>900000</v>
      </c>
      <c r="R329" s="21">
        <f>(SUMPRODUCT(R$9:R$229,Nutrients!$ET$8:$ET$228)+(IF($A$7=Nutrients!$B$8,Nutrients!$ET$8,Nutrients!$ET$9)*R$7)+(((IF($A$8=Nutrients!$B$79,Nutrients!$ET$79,(IF($A$8=Nutrients!$B$77,Nutrients!$ET$77,Nutrients!$ET$78)))))*R$8))</f>
        <v>750000</v>
      </c>
      <c r="S329" s="21">
        <f>(SUMPRODUCT(S$9:S$229,Nutrients!$ET$8:$ET$228)+(IF($A$7=Nutrients!$B$8,Nutrients!$ET$8,Nutrients!$ET$9)*S$7)+(((IF($A$8=Nutrients!$B$79,Nutrients!$ET$79,(IF($A$8=Nutrients!$B$77,Nutrients!$ET$77,Nutrients!$ET$78)))))*S$8))</f>
        <v>600000</v>
      </c>
      <c r="T329" s="21">
        <f>(SUMPRODUCT(T$9:T$229,Nutrients!$ET$8:$ET$228)+(IF($A$7=Nutrients!$B$8,Nutrients!$ET$8,Nutrients!$ET$9)*T$7)+(((IF($A$8=Nutrients!$B$79,Nutrients!$ET$79,(IF($A$8=Nutrients!$B$77,Nutrients!$ET$77,Nutrients!$ET$78)))))*T$8))</f>
        <v>450000</v>
      </c>
      <c r="U329" s="21">
        <f>(SUMPRODUCT(U$9:U$229,Nutrients!$ET$8:$ET$228)+(IF($A$7=Nutrients!$B$8,Nutrients!$ET$8,Nutrients!$ET$9)*U$7)+(((IF($A$8=Nutrients!$B$79,Nutrients!$ET$79,(IF($A$8=Nutrients!$B$77,Nutrients!$ET$77,Nutrients!$ET$78)))))*U$8))</f>
        <v>450000</v>
      </c>
      <c r="W329" s="21">
        <f>(SUMPRODUCT(W$9:W$229,Nutrients!$ET$8:$ET$228)+(IF($A$7=Nutrients!$B$8,Nutrients!$ET$8,Nutrients!$ET$9)*W$7)+(((IF($A$8=Nutrients!$B$79,Nutrients!$ET$79,(IF($A$8=Nutrients!$B$77,Nutrients!$ET$77,Nutrients!$ET$78)))))*W$8))</f>
        <v>900000</v>
      </c>
      <c r="X329" s="21">
        <f>(SUMPRODUCT(X$9:X$229,Nutrients!$ET$8:$ET$228)+(IF($A$7=Nutrients!$B$8,Nutrients!$ET$8,Nutrients!$ET$9)*X$7)+(((IF($A$8=Nutrients!$B$79,Nutrients!$ET$79,(IF($A$8=Nutrients!$B$77,Nutrients!$ET$77,Nutrients!$ET$78)))))*X$8))</f>
        <v>900000</v>
      </c>
      <c r="Y329" s="21">
        <f>(SUMPRODUCT(Y$9:Y$229,Nutrients!$ET$8:$ET$228)+(IF($A$7=Nutrients!$B$8,Nutrients!$ET$8,Nutrients!$ET$9)*Y$7)+(((IF($A$8=Nutrients!$B$79,Nutrients!$ET$79,(IF($A$8=Nutrients!$B$77,Nutrients!$ET$77,Nutrients!$ET$78)))))*Y$8))</f>
        <v>750000</v>
      </c>
      <c r="Z329" s="21">
        <f>(SUMPRODUCT(Z$9:Z$229,Nutrients!$ET$8:$ET$228)+(IF($A$7=Nutrients!$B$8,Nutrients!$ET$8,Nutrients!$ET$9)*Z$7)+(((IF($A$8=Nutrients!$B$79,Nutrients!$ET$79,(IF($A$8=Nutrients!$B$77,Nutrients!$ET$77,Nutrients!$ET$78)))))*Z$8))</f>
        <v>600000</v>
      </c>
      <c r="AA329" s="21">
        <f>(SUMPRODUCT(AA$9:AA$229,Nutrients!$ET$8:$ET$228)+(IF($A$7=Nutrients!$B$8,Nutrients!$ET$8,Nutrients!$ET$9)*AA$7)+(((IF($A$8=Nutrients!$B$79,Nutrients!$ET$79,(IF($A$8=Nutrients!$B$77,Nutrients!$ET$77,Nutrients!$ET$78)))))*AA$8))</f>
        <v>450000</v>
      </c>
      <c r="AB329" s="21">
        <f>(SUMPRODUCT(AB$9:AB$229,Nutrients!$ET$8:$ET$228)+(IF($A$7=Nutrients!$B$8,Nutrients!$ET$8,Nutrients!$ET$9)*AB$7)+(((IF($A$8=Nutrients!$B$79,Nutrients!$ET$79,(IF($A$8=Nutrients!$B$77,Nutrients!$ET$77,Nutrients!$ET$78)))))*AB$8))</f>
        <v>450000</v>
      </c>
      <c r="AD329" s="21">
        <f>(SUMPRODUCT(AD$9:AD$229,Nutrients!$ET$8:$ET$228)+(IF($A$7=Nutrients!$B$8,Nutrients!$ET$8,Nutrients!$ET$9)*AD$7)+(((IF($A$8=Nutrients!$B$79,Nutrients!$ET$79,(IF($A$8=Nutrients!$B$77,Nutrients!$ET$77,Nutrients!$ET$78)))))*AD$8))</f>
        <v>900000</v>
      </c>
      <c r="AE329" s="21">
        <f>(SUMPRODUCT(AE$9:AE$229,Nutrients!$ET$8:$ET$228)+(IF($A$7=Nutrients!$B$8,Nutrients!$ET$8,Nutrients!$ET$9)*AE$7)+(((IF($A$8=Nutrients!$B$79,Nutrients!$ET$79,(IF($A$8=Nutrients!$B$77,Nutrients!$ET$77,Nutrients!$ET$78)))))*AE$8))</f>
        <v>900000</v>
      </c>
      <c r="AF329" s="21">
        <f>(SUMPRODUCT(AF$9:AF$229,Nutrients!$ET$8:$ET$228)+(IF($A$7=Nutrients!$B$8,Nutrients!$ET$8,Nutrients!$ET$9)*AF$7)+(((IF($A$8=Nutrients!$B$79,Nutrients!$ET$79,(IF($A$8=Nutrients!$B$77,Nutrients!$ET$77,Nutrients!$ET$78)))))*AF$8))</f>
        <v>750000</v>
      </c>
      <c r="AG329" s="21">
        <f>(SUMPRODUCT(AG$9:AG$229,Nutrients!$ET$8:$ET$228)+(IF($A$7=Nutrients!$B$8,Nutrients!$ET$8,Nutrients!$ET$9)*AG$7)+(((IF($A$8=Nutrients!$B$79,Nutrients!$ET$79,(IF($A$8=Nutrients!$B$77,Nutrients!$ET$77,Nutrients!$ET$78)))))*AG$8))</f>
        <v>600000</v>
      </c>
      <c r="AH329" s="21">
        <f>(SUMPRODUCT(AH$9:AH$229,Nutrients!$ET$8:$ET$228)+(IF($A$7=Nutrients!$B$8,Nutrients!$ET$8,Nutrients!$ET$9)*AH$7)+(((IF($A$8=Nutrients!$B$79,Nutrients!$ET$79,(IF($A$8=Nutrients!$B$77,Nutrients!$ET$77,Nutrients!$ET$78)))))*AH$8))</f>
        <v>450000</v>
      </c>
      <c r="AI329" s="21">
        <f>(SUMPRODUCT(AI$9:AI$229,Nutrients!$ET$8:$ET$228)+(IF($A$7=Nutrients!$B$8,Nutrients!$ET$8,Nutrients!$ET$9)*AI$7)+(((IF($A$8=Nutrients!$B$79,Nutrients!$ET$79,(IF($A$8=Nutrients!$B$77,Nutrients!$ET$77,Nutrients!$ET$78)))))*AI$8))</f>
        <v>450000</v>
      </c>
      <c r="AK329" s="21">
        <f>(SUMPRODUCT(AK$9:AK$229,Nutrients!$ET$8:$ET$228)+(IF($A$7=Nutrients!$B$8,Nutrients!$ET$8,Nutrients!$ET$9)*AK$7)+(((IF($A$8=Nutrients!$B$79,Nutrients!$ET$79,(IF($A$8=Nutrients!$B$77,Nutrients!$ET$77,Nutrients!$ET$78)))))*AK$8))</f>
        <v>900000</v>
      </c>
      <c r="AL329" s="21">
        <f>(SUMPRODUCT(AL$9:AL$229,Nutrients!$ET$8:$ET$228)+(IF($A$7=Nutrients!$B$8,Nutrients!$ET$8,Nutrients!$ET$9)*AL$7)+(((IF($A$8=Nutrients!$B$79,Nutrients!$ET$79,(IF($A$8=Nutrients!$B$77,Nutrients!$ET$77,Nutrients!$ET$78)))))*AL$8))</f>
        <v>900000</v>
      </c>
      <c r="AM329" s="21">
        <f>(SUMPRODUCT(AM$9:AM$229,Nutrients!$ET$8:$ET$228)+(IF($A$7=Nutrients!$B$8,Nutrients!$ET$8,Nutrients!$ET$9)*AM$7)+(((IF($A$8=Nutrients!$B$79,Nutrients!$ET$79,(IF($A$8=Nutrients!$B$77,Nutrients!$ET$77,Nutrients!$ET$78)))))*AM$8))</f>
        <v>750000</v>
      </c>
      <c r="AN329" s="21">
        <f>(SUMPRODUCT(AN$9:AN$229,Nutrients!$ET$8:$ET$228)+(IF($A$7=Nutrients!$B$8,Nutrients!$ET$8,Nutrients!$ET$9)*AN$7)+(((IF($A$8=Nutrients!$B$79,Nutrients!$ET$79,(IF($A$8=Nutrients!$B$77,Nutrients!$ET$77,Nutrients!$ET$78)))))*AN$8))</f>
        <v>600000</v>
      </c>
      <c r="AO329" s="21">
        <f>(SUMPRODUCT(AO$9:AO$229,Nutrients!$ET$8:$ET$228)+(IF($A$7=Nutrients!$B$8,Nutrients!$ET$8,Nutrients!$ET$9)*AO$7)+(((IF($A$8=Nutrients!$B$79,Nutrients!$ET$79,(IF($A$8=Nutrients!$B$77,Nutrients!$ET$77,Nutrients!$ET$78)))))*AO$8))</f>
        <v>450000</v>
      </c>
      <c r="AP329" s="21">
        <f>(SUMPRODUCT(AP$9:AP$229,Nutrients!$ET$8:$ET$228)+(IF($A$7=Nutrients!$B$8,Nutrients!$ET$8,Nutrients!$ET$9)*AP$7)+(((IF($A$8=Nutrients!$B$79,Nutrients!$ET$79,(IF($A$8=Nutrients!$B$77,Nutrients!$ET$77,Nutrients!$ET$78)))))*AP$8))</f>
        <v>450000</v>
      </c>
      <c r="AR329" s="21">
        <f>(SUMPRODUCT(AR$9:AR$229,Nutrients!$ET$8:$ET$228)+(IF($A$7=Nutrients!$B$8,Nutrients!$ET$8,Nutrients!$ET$9)*AR$7)+(((IF($A$8=Nutrients!$B$79,Nutrients!$ET$79,(IF($A$8=Nutrients!$B$77,Nutrients!$ET$77,Nutrients!$ET$78)))))*AR$8))</f>
        <v>900000</v>
      </c>
      <c r="AS329" s="21">
        <f>(SUMPRODUCT(AS$9:AS$229,Nutrients!$ET$8:$ET$228)+(IF($A$7=Nutrients!$B$8,Nutrients!$ET$8,Nutrients!$ET$9)*AS$7)+(((IF($A$8=Nutrients!$B$79,Nutrients!$ET$79,(IF($A$8=Nutrients!$B$77,Nutrients!$ET$77,Nutrients!$ET$78)))))*AS$8))</f>
        <v>900000</v>
      </c>
      <c r="AT329" s="21">
        <f>(SUMPRODUCT(AT$9:AT$229,Nutrients!$ET$8:$ET$228)+(IF($A$7=Nutrients!$B$8,Nutrients!$ET$8,Nutrients!$ET$9)*AT$7)+(((IF($A$8=Nutrients!$B$79,Nutrients!$ET$79,(IF($A$8=Nutrients!$B$77,Nutrients!$ET$77,Nutrients!$ET$78)))))*AT$8))</f>
        <v>750000</v>
      </c>
      <c r="AU329" s="21">
        <f>(SUMPRODUCT(AU$9:AU$229,Nutrients!$ET$8:$ET$228)+(IF($A$7=Nutrients!$B$8,Nutrients!$ET$8,Nutrients!$ET$9)*AU$7)+(((IF($A$8=Nutrients!$B$79,Nutrients!$ET$79,(IF($A$8=Nutrients!$B$77,Nutrients!$ET$77,Nutrients!$ET$78)))))*AU$8))</f>
        <v>600000</v>
      </c>
      <c r="AV329" s="21">
        <f>(SUMPRODUCT(AV$9:AV$229,Nutrients!$ET$8:$ET$228)+(IF($A$7=Nutrients!$B$8,Nutrients!$ET$8,Nutrients!$ET$9)*AV$7)+(((IF($A$8=Nutrients!$B$79,Nutrients!$ET$79,(IF($A$8=Nutrients!$B$77,Nutrients!$ET$77,Nutrients!$ET$78)))))*AV$8))</f>
        <v>450000</v>
      </c>
      <c r="AW329" s="21">
        <f>(SUMPRODUCT(AW$9:AW$229,Nutrients!$ET$8:$ET$228)+(IF($A$7=Nutrients!$B$8,Nutrients!$ET$8,Nutrients!$ET$9)*AW$7)+(((IF($A$8=Nutrients!$B$79,Nutrients!$ET$79,(IF($A$8=Nutrients!$B$77,Nutrients!$ET$77,Nutrients!$ET$78)))))*AW$8))</f>
        <v>450000</v>
      </c>
    </row>
    <row r="330" spans="1:49" x14ac:dyDescent="0.25">
      <c r="A330" s="34" t="s">
        <v>123</v>
      </c>
      <c r="B330" s="21">
        <f>(SUMPRODUCT(B$9:B$229,Nutrients!$EU$8:$EU$228)+(IF($A$7=Nutrients!$B$8,Nutrients!$EU$8,Nutrients!$EU$9)*B$7)+(((IF($A$8=Nutrients!$B$79,Nutrients!$EU$79,(IF($A$8=Nutrients!$B$77,Nutrients!$EU$77,Nutrients!$EU$78)))))*B$8))</f>
        <v>24000</v>
      </c>
      <c r="C330" s="21">
        <f>(SUMPRODUCT(C$9:C$229,Nutrients!$EU$8:$EU$228)+(IF($A$7=Nutrients!$B$8,Nutrients!$EU$8,Nutrients!$EU$9)*C$7)+(((IF($A$8=Nutrients!$B$79,Nutrients!$EU$79,(IF($A$8=Nutrients!$B$77,Nutrients!$EU$77,Nutrients!$EU$78)))))*C$8))</f>
        <v>24000</v>
      </c>
      <c r="D330" s="21">
        <f>(SUMPRODUCT(D$9:D$229,Nutrients!$EU$8:$EU$228)+(IF($A$7=Nutrients!$B$8,Nutrients!$EU$8,Nutrients!$EU$9)*D$7)+(((IF($A$8=Nutrients!$B$79,Nutrients!$EU$79,(IF($A$8=Nutrients!$B$77,Nutrients!$EU$77,Nutrients!$EU$78)))))*D$8))</f>
        <v>20000</v>
      </c>
      <c r="E330" s="21">
        <f>(SUMPRODUCT(E$9:E$229,Nutrients!$EU$8:$EU$228)+(IF($A$7=Nutrients!$B$8,Nutrients!$EU$8,Nutrients!$EU$9)*E$7)+(((IF($A$8=Nutrients!$B$79,Nutrients!$EU$79,(IF($A$8=Nutrients!$B$77,Nutrients!$EU$77,Nutrients!$EU$78)))))*E$8))</f>
        <v>16000</v>
      </c>
      <c r="F330" s="21">
        <f>(SUMPRODUCT(F$9:F$229,Nutrients!$EU$8:$EU$228)+(IF($A$7=Nutrients!$B$8,Nutrients!$EU$8,Nutrients!$EU$9)*F$7)+(((IF($A$8=Nutrients!$B$79,Nutrients!$EU$79,(IF($A$8=Nutrients!$B$77,Nutrients!$EU$77,Nutrients!$EU$78)))))*F$8))</f>
        <v>12000</v>
      </c>
      <c r="G330" s="21">
        <f>(SUMPRODUCT(G$9:G$229,Nutrients!$EU$8:$EU$228)+(IF($A$7=Nutrients!$B$8,Nutrients!$EU$8,Nutrients!$EU$9)*G$7)+(((IF($A$8=Nutrients!$B$79,Nutrients!$EU$79,(IF($A$8=Nutrients!$B$77,Nutrients!$EU$77,Nutrients!$EU$78)))))*G$8))</f>
        <v>12000</v>
      </c>
      <c r="H330" s="226"/>
      <c r="I330" s="21">
        <f>(SUMPRODUCT(I$9:I$229,Nutrients!$EU$8:$EU$228)+(IF($A$7=Nutrients!$B$8,Nutrients!$EU$8,Nutrients!$EU$9)*I$7)+(((IF($A$8=Nutrients!$B$79,Nutrients!$EU$79,(IF($A$8=Nutrients!$B$77,Nutrients!$EU$77,Nutrients!$EU$78)))))*I$8))</f>
        <v>24000</v>
      </c>
      <c r="J330" s="21">
        <f>(SUMPRODUCT(J$9:J$229,Nutrients!$EU$8:$EU$228)+(IF($A$7=Nutrients!$B$8,Nutrients!$EU$8,Nutrients!$EU$9)*J$7)+(((IF($A$8=Nutrients!$B$79,Nutrients!$EU$79,(IF($A$8=Nutrients!$B$77,Nutrients!$EU$77,Nutrients!$EU$78)))))*J$8))</f>
        <v>24000</v>
      </c>
      <c r="K330" s="21">
        <f>(SUMPRODUCT(K$9:K$229,Nutrients!$EU$8:$EU$228)+(IF($A$7=Nutrients!$B$8,Nutrients!$EU$8,Nutrients!$EU$9)*K$7)+(((IF($A$8=Nutrients!$B$79,Nutrients!$EU$79,(IF($A$8=Nutrients!$B$77,Nutrients!$EU$77,Nutrients!$EU$78)))))*K$8))</f>
        <v>20000</v>
      </c>
      <c r="L330" s="21">
        <f>(SUMPRODUCT(L$9:L$229,Nutrients!$EU$8:$EU$228)+(IF($A$7=Nutrients!$B$8,Nutrients!$EU$8,Nutrients!$EU$9)*L$7)+(((IF($A$8=Nutrients!$B$79,Nutrients!$EU$79,(IF($A$8=Nutrients!$B$77,Nutrients!$EU$77,Nutrients!$EU$78)))))*L$8))</f>
        <v>16000</v>
      </c>
      <c r="M330" s="21">
        <f>(SUMPRODUCT(M$9:M$229,Nutrients!$EU$8:$EU$228)+(IF($A$7=Nutrients!$B$8,Nutrients!$EU$8,Nutrients!$EU$9)*M$7)+(((IF($A$8=Nutrients!$B$79,Nutrients!$EU$79,(IF($A$8=Nutrients!$B$77,Nutrients!$EU$77,Nutrients!$EU$78)))))*M$8))</f>
        <v>12000</v>
      </c>
      <c r="N330" s="21">
        <f>(SUMPRODUCT(N$9:N$229,Nutrients!$EU$8:$EU$228)+(IF($A$7=Nutrients!$B$8,Nutrients!$EU$8,Nutrients!$EU$9)*N$7)+(((IF($A$8=Nutrients!$B$79,Nutrients!$EU$79,(IF($A$8=Nutrients!$B$77,Nutrients!$EU$77,Nutrients!$EU$78)))))*N$8))</f>
        <v>12000</v>
      </c>
      <c r="O330" s="234"/>
      <c r="P330" s="21">
        <f>(SUMPRODUCT(P$9:P$229,Nutrients!$EU$8:$EU$228)+(IF($A$7=Nutrients!$B$8,Nutrients!$EU$8,Nutrients!$EU$9)*P$7)+(((IF($A$8=Nutrients!$B$79,Nutrients!$EU$79,(IF($A$8=Nutrients!$B$77,Nutrients!$EU$77,Nutrients!$EU$78)))))*P$8))</f>
        <v>24000</v>
      </c>
      <c r="Q330" s="21">
        <f>(SUMPRODUCT(Q$9:Q$229,Nutrients!$EU$8:$EU$228)+(IF($A$7=Nutrients!$B$8,Nutrients!$EU$8,Nutrients!$EU$9)*Q$7)+(((IF($A$8=Nutrients!$B$79,Nutrients!$EU$79,(IF($A$8=Nutrients!$B$77,Nutrients!$EU$77,Nutrients!$EU$78)))))*Q$8))</f>
        <v>24000</v>
      </c>
      <c r="R330" s="21">
        <f>(SUMPRODUCT(R$9:R$229,Nutrients!$EU$8:$EU$228)+(IF($A$7=Nutrients!$B$8,Nutrients!$EU$8,Nutrients!$EU$9)*R$7)+(((IF($A$8=Nutrients!$B$79,Nutrients!$EU$79,(IF($A$8=Nutrients!$B$77,Nutrients!$EU$77,Nutrients!$EU$78)))))*R$8))</f>
        <v>20000</v>
      </c>
      <c r="S330" s="21">
        <f>(SUMPRODUCT(S$9:S$229,Nutrients!$EU$8:$EU$228)+(IF($A$7=Nutrients!$B$8,Nutrients!$EU$8,Nutrients!$EU$9)*S$7)+(((IF($A$8=Nutrients!$B$79,Nutrients!$EU$79,(IF($A$8=Nutrients!$B$77,Nutrients!$EU$77,Nutrients!$EU$78)))))*S$8))</f>
        <v>16000</v>
      </c>
      <c r="T330" s="21">
        <f>(SUMPRODUCT(T$9:T$229,Nutrients!$EU$8:$EU$228)+(IF($A$7=Nutrients!$B$8,Nutrients!$EU$8,Nutrients!$EU$9)*T$7)+(((IF($A$8=Nutrients!$B$79,Nutrients!$EU$79,(IF($A$8=Nutrients!$B$77,Nutrients!$EU$77,Nutrients!$EU$78)))))*T$8))</f>
        <v>12000</v>
      </c>
      <c r="U330" s="21">
        <f>(SUMPRODUCT(U$9:U$229,Nutrients!$EU$8:$EU$228)+(IF($A$7=Nutrients!$B$8,Nutrients!$EU$8,Nutrients!$EU$9)*U$7)+(((IF($A$8=Nutrients!$B$79,Nutrients!$EU$79,(IF($A$8=Nutrients!$B$77,Nutrients!$EU$77,Nutrients!$EU$78)))))*U$8))</f>
        <v>12000</v>
      </c>
      <c r="W330" s="21">
        <f>(SUMPRODUCT(W$9:W$229,Nutrients!$EU$8:$EU$228)+(IF($A$7=Nutrients!$B$8,Nutrients!$EU$8,Nutrients!$EU$9)*W$7)+(((IF($A$8=Nutrients!$B$79,Nutrients!$EU$79,(IF($A$8=Nutrients!$B$77,Nutrients!$EU$77,Nutrients!$EU$78)))))*W$8))</f>
        <v>24000</v>
      </c>
      <c r="X330" s="21">
        <f>(SUMPRODUCT(X$9:X$229,Nutrients!$EU$8:$EU$228)+(IF($A$7=Nutrients!$B$8,Nutrients!$EU$8,Nutrients!$EU$9)*X$7)+(((IF($A$8=Nutrients!$B$79,Nutrients!$EU$79,(IF($A$8=Nutrients!$B$77,Nutrients!$EU$77,Nutrients!$EU$78)))))*X$8))</f>
        <v>24000</v>
      </c>
      <c r="Y330" s="21">
        <f>(SUMPRODUCT(Y$9:Y$229,Nutrients!$EU$8:$EU$228)+(IF($A$7=Nutrients!$B$8,Nutrients!$EU$8,Nutrients!$EU$9)*Y$7)+(((IF($A$8=Nutrients!$B$79,Nutrients!$EU$79,(IF($A$8=Nutrients!$B$77,Nutrients!$EU$77,Nutrients!$EU$78)))))*Y$8))</f>
        <v>20000</v>
      </c>
      <c r="Z330" s="21">
        <f>(SUMPRODUCT(Z$9:Z$229,Nutrients!$EU$8:$EU$228)+(IF($A$7=Nutrients!$B$8,Nutrients!$EU$8,Nutrients!$EU$9)*Z$7)+(((IF($A$8=Nutrients!$B$79,Nutrients!$EU$79,(IF($A$8=Nutrients!$B$77,Nutrients!$EU$77,Nutrients!$EU$78)))))*Z$8))</f>
        <v>16000</v>
      </c>
      <c r="AA330" s="21">
        <f>(SUMPRODUCT(AA$9:AA$229,Nutrients!$EU$8:$EU$228)+(IF($A$7=Nutrients!$B$8,Nutrients!$EU$8,Nutrients!$EU$9)*AA$7)+(((IF($A$8=Nutrients!$B$79,Nutrients!$EU$79,(IF($A$8=Nutrients!$B$77,Nutrients!$EU$77,Nutrients!$EU$78)))))*AA$8))</f>
        <v>12000</v>
      </c>
      <c r="AB330" s="21">
        <f>(SUMPRODUCT(AB$9:AB$229,Nutrients!$EU$8:$EU$228)+(IF($A$7=Nutrients!$B$8,Nutrients!$EU$8,Nutrients!$EU$9)*AB$7)+(((IF($A$8=Nutrients!$B$79,Nutrients!$EU$79,(IF($A$8=Nutrients!$B$77,Nutrients!$EU$77,Nutrients!$EU$78)))))*AB$8))</f>
        <v>12000</v>
      </c>
      <c r="AD330" s="21">
        <f>(SUMPRODUCT(AD$9:AD$229,Nutrients!$EU$8:$EU$228)+(IF($A$7=Nutrients!$B$8,Nutrients!$EU$8,Nutrients!$EU$9)*AD$7)+(((IF($A$8=Nutrients!$B$79,Nutrients!$EU$79,(IF($A$8=Nutrients!$B$77,Nutrients!$EU$77,Nutrients!$EU$78)))))*AD$8))</f>
        <v>24000</v>
      </c>
      <c r="AE330" s="21">
        <f>(SUMPRODUCT(AE$9:AE$229,Nutrients!$EU$8:$EU$228)+(IF($A$7=Nutrients!$B$8,Nutrients!$EU$8,Nutrients!$EU$9)*AE$7)+(((IF($A$8=Nutrients!$B$79,Nutrients!$EU$79,(IF($A$8=Nutrients!$B$77,Nutrients!$EU$77,Nutrients!$EU$78)))))*AE$8))</f>
        <v>24000</v>
      </c>
      <c r="AF330" s="21">
        <f>(SUMPRODUCT(AF$9:AF$229,Nutrients!$EU$8:$EU$228)+(IF($A$7=Nutrients!$B$8,Nutrients!$EU$8,Nutrients!$EU$9)*AF$7)+(((IF($A$8=Nutrients!$B$79,Nutrients!$EU$79,(IF($A$8=Nutrients!$B$77,Nutrients!$EU$77,Nutrients!$EU$78)))))*AF$8))</f>
        <v>20000</v>
      </c>
      <c r="AG330" s="21">
        <f>(SUMPRODUCT(AG$9:AG$229,Nutrients!$EU$8:$EU$228)+(IF($A$7=Nutrients!$B$8,Nutrients!$EU$8,Nutrients!$EU$9)*AG$7)+(((IF($A$8=Nutrients!$B$79,Nutrients!$EU$79,(IF($A$8=Nutrients!$B$77,Nutrients!$EU$77,Nutrients!$EU$78)))))*AG$8))</f>
        <v>16000</v>
      </c>
      <c r="AH330" s="21">
        <f>(SUMPRODUCT(AH$9:AH$229,Nutrients!$EU$8:$EU$228)+(IF($A$7=Nutrients!$B$8,Nutrients!$EU$8,Nutrients!$EU$9)*AH$7)+(((IF($A$8=Nutrients!$B$79,Nutrients!$EU$79,(IF($A$8=Nutrients!$B$77,Nutrients!$EU$77,Nutrients!$EU$78)))))*AH$8))</f>
        <v>12000</v>
      </c>
      <c r="AI330" s="21">
        <f>(SUMPRODUCT(AI$9:AI$229,Nutrients!$EU$8:$EU$228)+(IF($A$7=Nutrients!$B$8,Nutrients!$EU$8,Nutrients!$EU$9)*AI$7)+(((IF($A$8=Nutrients!$B$79,Nutrients!$EU$79,(IF($A$8=Nutrients!$B$77,Nutrients!$EU$77,Nutrients!$EU$78)))))*AI$8))</f>
        <v>12000</v>
      </c>
      <c r="AK330" s="21">
        <f>(SUMPRODUCT(AK$9:AK$229,Nutrients!$EU$8:$EU$228)+(IF($A$7=Nutrients!$B$8,Nutrients!$EU$8,Nutrients!$EU$9)*AK$7)+(((IF($A$8=Nutrients!$B$79,Nutrients!$EU$79,(IF($A$8=Nutrients!$B$77,Nutrients!$EU$77,Nutrients!$EU$78)))))*AK$8))</f>
        <v>24000</v>
      </c>
      <c r="AL330" s="21">
        <f>(SUMPRODUCT(AL$9:AL$229,Nutrients!$EU$8:$EU$228)+(IF($A$7=Nutrients!$B$8,Nutrients!$EU$8,Nutrients!$EU$9)*AL$7)+(((IF($A$8=Nutrients!$B$79,Nutrients!$EU$79,(IF($A$8=Nutrients!$B$77,Nutrients!$EU$77,Nutrients!$EU$78)))))*AL$8))</f>
        <v>24000</v>
      </c>
      <c r="AM330" s="21">
        <f>(SUMPRODUCT(AM$9:AM$229,Nutrients!$EU$8:$EU$228)+(IF($A$7=Nutrients!$B$8,Nutrients!$EU$8,Nutrients!$EU$9)*AM$7)+(((IF($A$8=Nutrients!$B$79,Nutrients!$EU$79,(IF($A$8=Nutrients!$B$77,Nutrients!$EU$77,Nutrients!$EU$78)))))*AM$8))</f>
        <v>20000</v>
      </c>
      <c r="AN330" s="21">
        <f>(SUMPRODUCT(AN$9:AN$229,Nutrients!$EU$8:$EU$228)+(IF($A$7=Nutrients!$B$8,Nutrients!$EU$8,Nutrients!$EU$9)*AN$7)+(((IF($A$8=Nutrients!$B$79,Nutrients!$EU$79,(IF($A$8=Nutrients!$B$77,Nutrients!$EU$77,Nutrients!$EU$78)))))*AN$8))</f>
        <v>16000</v>
      </c>
      <c r="AO330" s="21">
        <f>(SUMPRODUCT(AO$9:AO$229,Nutrients!$EU$8:$EU$228)+(IF($A$7=Nutrients!$B$8,Nutrients!$EU$8,Nutrients!$EU$9)*AO$7)+(((IF($A$8=Nutrients!$B$79,Nutrients!$EU$79,(IF($A$8=Nutrients!$B$77,Nutrients!$EU$77,Nutrients!$EU$78)))))*AO$8))</f>
        <v>12000</v>
      </c>
      <c r="AP330" s="21">
        <f>(SUMPRODUCT(AP$9:AP$229,Nutrients!$EU$8:$EU$228)+(IF($A$7=Nutrients!$B$8,Nutrients!$EU$8,Nutrients!$EU$9)*AP$7)+(((IF($A$8=Nutrients!$B$79,Nutrients!$EU$79,(IF($A$8=Nutrients!$B$77,Nutrients!$EU$77,Nutrients!$EU$78)))))*AP$8))</f>
        <v>12000</v>
      </c>
      <c r="AR330" s="21">
        <f>(SUMPRODUCT(AR$9:AR$229,Nutrients!$EU$8:$EU$228)+(IF($A$7=Nutrients!$B$8,Nutrients!$EU$8,Nutrients!$EU$9)*AR$7)+(((IF($A$8=Nutrients!$B$79,Nutrients!$EU$79,(IF($A$8=Nutrients!$B$77,Nutrients!$EU$77,Nutrients!$EU$78)))))*AR$8))</f>
        <v>24000</v>
      </c>
      <c r="AS330" s="21">
        <f>(SUMPRODUCT(AS$9:AS$229,Nutrients!$EU$8:$EU$228)+(IF($A$7=Nutrients!$B$8,Nutrients!$EU$8,Nutrients!$EU$9)*AS$7)+(((IF($A$8=Nutrients!$B$79,Nutrients!$EU$79,(IF($A$8=Nutrients!$B$77,Nutrients!$EU$77,Nutrients!$EU$78)))))*AS$8))</f>
        <v>24000</v>
      </c>
      <c r="AT330" s="21">
        <f>(SUMPRODUCT(AT$9:AT$229,Nutrients!$EU$8:$EU$228)+(IF($A$7=Nutrients!$B$8,Nutrients!$EU$8,Nutrients!$EU$9)*AT$7)+(((IF($A$8=Nutrients!$B$79,Nutrients!$EU$79,(IF($A$8=Nutrients!$B$77,Nutrients!$EU$77,Nutrients!$EU$78)))))*AT$8))</f>
        <v>20000</v>
      </c>
      <c r="AU330" s="21">
        <f>(SUMPRODUCT(AU$9:AU$229,Nutrients!$EU$8:$EU$228)+(IF($A$7=Nutrients!$B$8,Nutrients!$EU$8,Nutrients!$EU$9)*AU$7)+(((IF($A$8=Nutrients!$B$79,Nutrients!$EU$79,(IF($A$8=Nutrients!$B$77,Nutrients!$EU$77,Nutrients!$EU$78)))))*AU$8))</f>
        <v>16000</v>
      </c>
      <c r="AV330" s="21">
        <f>(SUMPRODUCT(AV$9:AV$229,Nutrients!$EU$8:$EU$228)+(IF($A$7=Nutrients!$B$8,Nutrients!$EU$8,Nutrients!$EU$9)*AV$7)+(((IF($A$8=Nutrients!$B$79,Nutrients!$EU$79,(IF($A$8=Nutrients!$B$77,Nutrients!$EU$77,Nutrients!$EU$78)))))*AV$8))</f>
        <v>12000</v>
      </c>
      <c r="AW330" s="21">
        <f>(SUMPRODUCT(AW$9:AW$229,Nutrients!$EU$8:$EU$228)+(IF($A$7=Nutrients!$B$8,Nutrients!$EU$8,Nutrients!$EU$9)*AW$7)+(((IF($A$8=Nutrients!$B$79,Nutrients!$EU$79,(IF($A$8=Nutrients!$B$77,Nutrients!$EU$77,Nutrients!$EU$78)))))*AW$8))</f>
        <v>12000</v>
      </c>
    </row>
    <row r="331" spans="1:49" x14ac:dyDescent="0.25">
      <c r="A331" s="34" t="s">
        <v>124</v>
      </c>
      <c r="B331" s="21">
        <f>(SUMPRODUCT(B$9:B$229,Nutrients!$EV$8:$EV$228)+(IF($A$7=Nutrients!$B$8,Nutrients!$EV$8,Nutrients!$EV$9)*B$7)+(((IF($A$8=Nutrients!$B$79,Nutrients!$EV$79,(IF($A$8=Nutrients!$B$77,Nutrients!$EV$77,Nutrients!$EV$78)))))*B$8))</f>
        <v>1800</v>
      </c>
      <c r="C331" s="21">
        <f>(SUMPRODUCT(C$9:C$229,Nutrients!$EV$8:$EV$228)+(IF($A$7=Nutrients!$B$8,Nutrients!$EV$8,Nutrients!$EV$9)*C$7)+(((IF($A$8=Nutrients!$B$79,Nutrients!$EV$79,(IF($A$8=Nutrients!$B$77,Nutrients!$EV$77,Nutrients!$EV$78)))))*C$8))</f>
        <v>1800</v>
      </c>
      <c r="D331" s="21">
        <f>(SUMPRODUCT(D$9:D$229,Nutrients!$EV$8:$EV$228)+(IF($A$7=Nutrients!$B$8,Nutrients!$EV$8,Nutrients!$EV$9)*D$7)+(((IF($A$8=Nutrients!$B$79,Nutrients!$EV$79,(IF($A$8=Nutrients!$B$77,Nutrients!$EV$77,Nutrients!$EV$78)))))*D$8))</f>
        <v>1500</v>
      </c>
      <c r="E331" s="21">
        <f>(SUMPRODUCT(E$9:E$229,Nutrients!$EV$8:$EV$228)+(IF($A$7=Nutrients!$B$8,Nutrients!$EV$8,Nutrients!$EV$9)*E$7)+(((IF($A$8=Nutrients!$B$79,Nutrients!$EV$79,(IF($A$8=Nutrients!$B$77,Nutrients!$EV$77,Nutrients!$EV$78)))))*E$8))</f>
        <v>1200</v>
      </c>
      <c r="F331" s="21">
        <f>(SUMPRODUCT(F$9:F$229,Nutrients!$EV$8:$EV$228)+(IF($A$7=Nutrients!$B$8,Nutrients!$EV$8,Nutrients!$EV$9)*F$7)+(((IF($A$8=Nutrients!$B$79,Nutrients!$EV$79,(IF($A$8=Nutrients!$B$77,Nutrients!$EV$77,Nutrients!$EV$78)))))*F$8))</f>
        <v>900</v>
      </c>
      <c r="G331" s="21">
        <f>(SUMPRODUCT(G$9:G$229,Nutrients!$EV$8:$EV$228)+(IF($A$7=Nutrients!$B$8,Nutrients!$EV$8,Nutrients!$EV$9)*G$7)+(((IF($A$8=Nutrients!$B$79,Nutrients!$EV$79,(IF($A$8=Nutrients!$B$77,Nutrients!$EV$77,Nutrients!$EV$78)))))*G$8))</f>
        <v>900</v>
      </c>
      <c r="H331" s="226"/>
      <c r="I331" s="21">
        <f>(SUMPRODUCT(I$9:I$229,Nutrients!$EV$8:$EV$228)+(IF($A$7=Nutrients!$B$8,Nutrients!$EV$8,Nutrients!$EV$9)*I$7)+(((IF($A$8=Nutrients!$B$79,Nutrients!$EV$79,(IF($A$8=Nutrients!$B$77,Nutrients!$EV$77,Nutrients!$EV$78)))))*I$8))</f>
        <v>1800</v>
      </c>
      <c r="J331" s="21">
        <f>(SUMPRODUCT(J$9:J$229,Nutrients!$EV$8:$EV$228)+(IF($A$7=Nutrients!$B$8,Nutrients!$EV$8,Nutrients!$EV$9)*J$7)+(((IF($A$8=Nutrients!$B$79,Nutrients!$EV$79,(IF($A$8=Nutrients!$B$77,Nutrients!$EV$77,Nutrients!$EV$78)))))*J$8))</f>
        <v>1800</v>
      </c>
      <c r="K331" s="21">
        <f>(SUMPRODUCT(K$9:K$229,Nutrients!$EV$8:$EV$228)+(IF($A$7=Nutrients!$B$8,Nutrients!$EV$8,Nutrients!$EV$9)*K$7)+(((IF($A$8=Nutrients!$B$79,Nutrients!$EV$79,(IF($A$8=Nutrients!$B$77,Nutrients!$EV$77,Nutrients!$EV$78)))))*K$8))</f>
        <v>1500</v>
      </c>
      <c r="L331" s="21">
        <f>(SUMPRODUCT(L$9:L$229,Nutrients!$EV$8:$EV$228)+(IF($A$7=Nutrients!$B$8,Nutrients!$EV$8,Nutrients!$EV$9)*L$7)+(((IF($A$8=Nutrients!$B$79,Nutrients!$EV$79,(IF($A$8=Nutrients!$B$77,Nutrients!$EV$77,Nutrients!$EV$78)))))*L$8))</f>
        <v>1200</v>
      </c>
      <c r="M331" s="21">
        <f>(SUMPRODUCT(M$9:M$229,Nutrients!$EV$8:$EV$228)+(IF($A$7=Nutrients!$B$8,Nutrients!$EV$8,Nutrients!$EV$9)*M$7)+(((IF($A$8=Nutrients!$B$79,Nutrients!$EV$79,(IF($A$8=Nutrients!$B$77,Nutrients!$EV$77,Nutrients!$EV$78)))))*M$8))</f>
        <v>900</v>
      </c>
      <c r="N331" s="21">
        <f>(SUMPRODUCT(N$9:N$229,Nutrients!$EV$8:$EV$228)+(IF($A$7=Nutrients!$B$8,Nutrients!$EV$8,Nutrients!$EV$9)*N$7)+(((IF($A$8=Nutrients!$B$79,Nutrients!$EV$79,(IF($A$8=Nutrients!$B$77,Nutrients!$EV$77,Nutrients!$EV$78)))))*N$8))</f>
        <v>900</v>
      </c>
      <c r="O331" s="234"/>
      <c r="P331" s="21">
        <f>(SUMPRODUCT(P$9:P$229,Nutrients!$EV$8:$EV$228)+(IF($A$7=Nutrients!$B$8,Nutrients!$EV$8,Nutrients!$EV$9)*P$7)+(((IF($A$8=Nutrients!$B$79,Nutrients!$EV$79,(IF($A$8=Nutrients!$B$77,Nutrients!$EV$77,Nutrients!$EV$78)))))*P$8))</f>
        <v>1800</v>
      </c>
      <c r="Q331" s="21">
        <f>(SUMPRODUCT(Q$9:Q$229,Nutrients!$EV$8:$EV$228)+(IF($A$7=Nutrients!$B$8,Nutrients!$EV$8,Nutrients!$EV$9)*Q$7)+(((IF($A$8=Nutrients!$B$79,Nutrients!$EV$79,(IF($A$8=Nutrients!$B$77,Nutrients!$EV$77,Nutrients!$EV$78)))))*Q$8))</f>
        <v>1800</v>
      </c>
      <c r="R331" s="21">
        <f>(SUMPRODUCT(R$9:R$229,Nutrients!$EV$8:$EV$228)+(IF($A$7=Nutrients!$B$8,Nutrients!$EV$8,Nutrients!$EV$9)*R$7)+(((IF($A$8=Nutrients!$B$79,Nutrients!$EV$79,(IF($A$8=Nutrients!$B$77,Nutrients!$EV$77,Nutrients!$EV$78)))))*R$8))</f>
        <v>1500</v>
      </c>
      <c r="S331" s="21">
        <f>(SUMPRODUCT(S$9:S$229,Nutrients!$EV$8:$EV$228)+(IF($A$7=Nutrients!$B$8,Nutrients!$EV$8,Nutrients!$EV$9)*S$7)+(((IF($A$8=Nutrients!$B$79,Nutrients!$EV$79,(IF($A$8=Nutrients!$B$77,Nutrients!$EV$77,Nutrients!$EV$78)))))*S$8))</f>
        <v>1200</v>
      </c>
      <c r="T331" s="21">
        <f>(SUMPRODUCT(T$9:T$229,Nutrients!$EV$8:$EV$228)+(IF($A$7=Nutrients!$B$8,Nutrients!$EV$8,Nutrients!$EV$9)*T$7)+(((IF($A$8=Nutrients!$B$79,Nutrients!$EV$79,(IF($A$8=Nutrients!$B$77,Nutrients!$EV$77,Nutrients!$EV$78)))))*T$8))</f>
        <v>900</v>
      </c>
      <c r="U331" s="21">
        <f>(SUMPRODUCT(U$9:U$229,Nutrients!$EV$8:$EV$228)+(IF($A$7=Nutrients!$B$8,Nutrients!$EV$8,Nutrients!$EV$9)*U$7)+(((IF($A$8=Nutrients!$B$79,Nutrients!$EV$79,(IF($A$8=Nutrients!$B$77,Nutrients!$EV$77,Nutrients!$EV$78)))))*U$8))</f>
        <v>900</v>
      </c>
      <c r="W331" s="21">
        <f>(SUMPRODUCT(W$9:W$229,Nutrients!$EV$8:$EV$228)+(IF($A$7=Nutrients!$B$8,Nutrients!$EV$8,Nutrients!$EV$9)*W$7)+(((IF($A$8=Nutrients!$B$79,Nutrients!$EV$79,(IF($A$8=Nutrients!$B$77,Nutrients!$EV$77,Nutrients!$EV$78)))))*W$8))</f>
        <v>1800</v>
      </c>
      <c r="X331" s="21">
        <f>(SUMPRODUCT(X$9:X$229,Nutrients!$EV$8:$EV$228)+(IF($A$7=Nutrients!$B$8,Nutrients!$EV$8,Nutrients!$EV$9)*X$7)+(((IF($A$8=Nutrients!$B$79,Nutrients!$EV$79,(IF($A$8=Nutrients!$B$77,Nutrients!$EV$77,Nutrients!$EV$78)))))*X$8))</f>
        <v>1800</v>
      </c>
      <c r="Y331" s="21">
        <f>(SUMPRODUCT(Y$9:Y$229,Nutrients!$EV$8:$EV$228)+(IF($A$7=Nutrients!$B$8,Nutrients!$EV$8,Nutrients!$EV$9)*Y$7)+(((IF($A$8=Nutrients!$B$79,Nutrients!$EV$79,(IF($A$8=Nutrients!$B$77,Nutrients!$EV$77,Nutrients!$EV$78)))))*Y$8))</f>
        <v>1500</v>
      </c>
      <c r="Z331" s="21">
        <f>(SUMPRODUCT(Z$9:Z$229,Nutrients!$EV$8:$EV$228)+(IF($A$7=Nutrients!$B$8,Nutrients!$EV$8,Nutrients!$EV$9)*Z$7)+(((IF($A$8=Nutrients!$B$79,Nutrients!$EV$79,(IF($A$8=Nutrients!$B$77,Nutrients!$EV$77,Nutrients!$EV$78)))))*Z$8))</f>
        <v>1200</v>
      </c>
      <c r="AA331" s="21">
        <f>(SUMPRODUCT(AA$9:AA$229,Nutrients!$EV$8:$EV$228)+(IF($A$7=Nutrients!$B$8,Nutrients!$EV$8,Nutrients!$EV$9)*AA$7)+(((IF($A$8=Nutrients!$B$79,Nutrients!$EV$79,(IF($A$8=Nutrients!$B$77,Nutrients!$EV$77,Nutrients!$EV$78)))))*AA$8))</f>
        <v>900</v>
      </c>
      <c r="AB331" s="21">
        <f>(SUMPRODUCT(AB$9:AB$229,Nutrients!$EV$8:$EV$228)+(IF($A$7=Nutrients!$B$8,Nutrients!$EV$8,Nutrients!$EV$9)*AB$7)+(((IF($A$8=Nutrients!$B$79,Nutrients!$EV$79,(IF($A$8=Nutrients!$B$77,Nutrients!$EV$77,Nutrients!$EV$78)))))*AB$8))</f>
        <v>900</v>
      </c>
      <c r="AD331" s="21">
        <f>(SUMPRODUCT(AD$9:AD$229,Nutrients!$EV$8:$EV$228)+(IF($A$7=Nutrients!$B$8,Nutrients!$EV$8,Nutrients!$EV$9)*AD$7)+(((IF($A$8=Nutrients!$B$79,Nutrients!$EV$79,(IF($A$8=Nutrients!$B$77,Nutrients!$EV$77,Nutrients!$EV$78)))))*AD$8))</f>
        <v>1800</v>
      </c>
      <c r="AE331" s="21">
        <f>(SUMPRODUCT(AE$9:AE$229,Nutrients!$EV$8:$EV$228)+(IF($A$7=Nutrients!$B$8,Nutrients!$EV$8,Nutrients!$EV$9)*AE$7)+(((IF($A$8=Nutrients!$B$79,Nutrients!$EV$79,(IF($A$8=Nutrients!$B$77,Nutrients!$EV$77,Nutrients!$EV$78)))))*AE$8))</f>
        <v>1800</v>
      </c>
      <c r="AF331" s="21">
        <f>(SUMPRODUCT(AF$9:AF$229,Nutrients!$EV$8:$EV$228)+(IF($A$7=Nutrients!$B$8,Nutrients!$EV$8,Nutrients!$EV$9)*AF$7)+(((IF($A$8=Nutrients!$B$79,Nutrients!$EV$79,(IF($A$8=Nutrients!$B$77,Nutrients!$EV$77,Nutrients!$EV$78)))))*AF$8))</f>
        <v>1500</v>
      </c>
      <c r="AG331" s="21">
        <f>(SUMPRODUCT(AG$9:AG$229,Nutrients!$EV$8:$EV$228)+(IF($A$7=Nutrients!$B$8,Nutrients!$EV$8,Nutrients!$EV$9)*AG$7)+(((IF($A$8=Nutrients!$B$79,Nutrients!$EV$79,(IF($A$8=Nutrients!$B$77,Nutrients!$EV$77,Nutrients!$EV$78)))))*AG$8))</f>
        <v>1200</v>
      </c>
      <c r="AH331" s="21">
        <f>(SUMPRODUCT(AH$9:AH$229,Nutrients!$EV$8:$EV$228)+(IF($A$7=Nutrients!$B$8,Nutrients!$EV$8,Nutrients!$EV$9)*AH$7)+(((IF($A$8=Nutrients!$B$79,Nutrients!$EV$79,(IF($A$8=Nutrients!$B$77,Nutrients!$EV$77,Nutrients!$EV$78)))))*AH$8))</f>
        <v>900</v>
      </c>
      <c r="AI331" s="21">
        <f>(SUMPRODUCT(AI$9:AI$229,Nutrients!$EV$8:$EV$228)+(IF($A$7=Nutrients!$B$8,Nutrients!$EV$8,Nutrients!$EV$9)*AI$7)+(((IF($A$8=Nutrients!$B$79,Nutrients!$EV$79,(IF($A$8=Nutrients!$B$77,Nutrients!$EV$77,Nutrients!$EV$78)))))*AI$8))</f>
        <v>900</v>
      </c>
      <c r="AK331" s="21">
        <f>(SUMPRODUCT(AK$9:AK$229,Nutrients!$EV$8:$EV$228)+(IF($A$7=Nutrients!$B$8,Nutrients!$EV$8,Nutrients!$EV$9)*AK$7)+(((IF($A$8=Nutrients!$B$79,Nutrients!$EV$79,(IF($A$8=Nutrients!$B$77,Nutrients!$EV$77,Nutrients!$EV$78)))))*AK$8))</f>
        <v>1800</v>
      </c>
      <c r="AL331" s="21">
        <f>(SUMPRODUCT(AL$9:AL$229,Nutrients!$EV$8:$EV$228)+(IF($A$7=Nutrients!$B$8,Nutrients!$EV$8,Nutrients!$EV$9)*AL$7)+(((IF($A$8=Nutrients!$B$79,Nutrients!$EV$79,(IF($A$8=Nutrients!$B$77,Nutrients!$EV$77,Nutrients!$EV$78)))))*AL$8))</f>
        <v>1800</v>
      </c>
      <c r="AM331" s="21">
        <f>(SUMPRODUCT(AM$9:AM$229,Nutrients!$EV$8:$EV$228)+(IF($A$7=Nutrients!$B$8,Nutrients!$EV$8,Nutrients!$EV$9)*AM$7)+(((IF($A$8=Nutrients!$B$79,Nutrients!$EV$79,(IF($A$8=Nutrients!$B$77,Nutrients!$EV$77,Nutrients!$EV$78)))))*AM$8))</f>
        <v>1500</v>
      </c>
      <c r="AN331" s="21">
        <f>(SUMPRODUCT(AN$9:AN$229,Nutrients!$EV$8:$EV$228)+(IF($A$7=Nutrients!$B$8,Nutrients!$EV$8,Nutrients!$EV$9)*AN$7)+(((IF($A$8=Nutrients!$B$79,Nutrients!$EV$79,(IF($A$8=Nutrients!$B$77,Nutrients!$EV$77,Nutrients!$EV$78)))))*AN$8))</f>
        <v>1200</v>
      </c>
      <c r="AO331" s="21">
        <f>(SUMPRODUCT(AO$9:AO$229,Nutrients!$EV$8:$EV$228)+(IF($A$7=Nutrients!$B$8,Nutrients!$EV$8,Nutrients!$EV$9)*AO$7)+(((IF($A$8=Nutrients!$B$79,Nutrients!$EV$79,(IF($A$8=Nutrients!$B$77,Nutrients!$EV$77,Nutrients!$EV$78)))))*AO$8))</f>
        <v>900</v>
      </c>
      <c r="AP331" s="21">
        <f>(SUMPRODUCT(AP$9:AP$229,Nutrients!$EV$8:$EV$228)+(IF($A$7=Nutrients!$B$8,Nutrients!$EV$8,Nutrients!$EV$9)*AP$7)+(((IF($A$8=Nutrients!$B$79,Nutrients!$EV$79,(IF($A$8=Nutrients!$B$77,Nutrients!$EV$77,Nutrients!$EV$78)))))*AP$8))</f>
        <v>900</v>
      </c>
      <c r="AR331" s="21">
        <f>(SUMPRODUCT(AR$9:AR$229,Nutrients!$EV$8:$EV$228)+(IF($A$7=Nutrients!$B$8,Nutrients!$EV$8,Nutrients!$EV$9)*AR$7)+(((IF($A$8=Nutrients!$B$79,Nutrients!$EV$79,(IF($A$8=Nutrients!$B$77,Nutrients!$EV$77,Nutrients!$EV$78)))))*AR$8))</f>
        <v>1800</v>
      </c>
      <c r="AS331" s="21">
        <f>(SUMPRODUCT(AS$9:AS$229,Nutrients!$EV$8:$EV$228)+(IF($A$7=Nutrients!$B$8,Nutrients!$EV$8,Nutrients!$EV$9)*AS$7)+(((IF($A$8=Nutrients!$B$79,Nutrients!$EV$79,(IF($A$8=Nutrients!$B$77,Nutrients!$EV$77,Nutrients!$EV$78)))))*AS$8))</f>
        <v>1800</v>
      </c>
      <c r="AT331" s="21">
        <f>(SUMPRODUCT(AT$9:AT$229,Nutrients!$EV$8:$EV$228)+(IF($A$7=Nutrients!$B$8,Nutrients!$EV$8,Nutrients!$EV$9)*AT$7)+(((IF($A$8=Nutrients!$B$79,Nutrients!$EV$79,(IF($A$8=Nutrients!$B$77,Nutrients!$EV$77,Nutrients!$EV$78)))))*AT$8))</f>
        <v>1500</v>
      </c>
      <c r="AU331" s="21">
        <f>(SUMPRODUCT(AU$9:AU$229,Nutrients!$EV$8:$EV$228)+(IF($A$7=Nutrients!$B$8,Nutrients!$EV$8,Nutrients!$EV$9)*AU$7)+(((IF($A$8=Nutrients!$B$79,Nutrients!$EV$79,(IF($A$8=Nutrients!$B$77,Nutrients!$EV$77,Nutrients!$EV$78)))))*AU$8))</f>
        <v>1200</v>
      </c>
      <c r="AV331" s="21">
        <f>(SUMPRODUCT(AV$9:AV$229,Nutrients!$EV$8:$EV$228)+(IF($A$7=Nutrients!$B$8,Nutrients!$EV$8,Nutrients!$EV$9)*AV$7)+(((IF($A$8=Nutrients!$B$79,Nutrients!$EV$79,(IF($A$8=Nutrients!$B$77,Nutrients!$EV$77,Nutrients!$EV$78)))))*AV$8))</f>
        <v>900</v>
      </c>
      <c r="AW331" s="21">
        <f>(SUMPRODUCT(AW$9:AW$229,Nutrients!$EV$8:$EV$228)+(IF($A$7=Nutrients!$B$8,Nutrients!$EV$8,Nutrients!$EV$9)*AW$7)+(((IF($A$8=Nutrients!$B$79,Nutrients!$EV$79,(IF($A$8=Nutrients!$B$77,Nutrients!$EV$77,Nutrients!$EV$78)))))*AW$8))</f>
        <v>900</v>
      </c>
    </row>
    <row r="332" spans="1:49" x14ac:dyDescent="0.25">
      <c r="A332" s="34" t="s">
        <v>125</v>
      </c>
      <c r="B332" s="21">
        <f>(SUMPRODUCT(B$9:B$229,Nutrients!$EW$8:$EW$228)+(IF($A$7=Nutrients!$B$8,Nutrients!$EW$8,Nutrients!$EW$9)*B$7)+(((IF($A$8=Nutrients!$B$79,Nutrients!$EW$79,(IF($A$8=Nutrients!$B$77,Nutrients!$EW$77,Nutrients!$EW$78)))))*B$8))</f>
        <v>18</v>
      </c>
      <c r="C332" s="21">
        <f>(SUMPRODUCT(C$9:C$229,Nutrients!$EW$8:$EW$228)+(IF($A$7=Nutrients!$B$8,Nutrients!$EW$8,Nutrients!$EW$9)*C$7)+(((IF($A$8=Nutrients!$B$79,Nutrients!$EW$79,(IF($A$8=Nutrients!$B$77,Nutrients!$EW$77,Nutrients!$EW$78)))))*C$8))</f>
        <v>18</v>
      </c>
      <c r="D332" s="21">
        <f>(SUMPRODUCT(D$9:D$229,Nutrients!$EW$8:$EW$228)+(IF($A$7=Nutrients!$B$8,Nutrients!$EW$8,Nutrients!$EW$9)*D$7)+(((IF($A$8=Nutrients!$B$79,Nutrients!$EW$79,(IF($A$8=Nutrients!$B$77,Nutrients!$EW$77,Nutrients!$EW$78)))))*D$8))</f>
        <v>15</v>
      </c>
      <c r="E332" s="21">
        <f>(SUMPRODUCT(E$9:E$229,Nutrients!$EW$8:$EW$228)+(IF($A$7=Nutrients!$B$8,Nutrients!$EW$8,Nutrients!$EW$9)*E$7)+(((IF($A$8=Nutrients!$B$79,Nutrients!$EW$79,(IF($A$8=Nutrients!$B$77,Nutrients!$EW$77,Nutrients!$EW$78)))))*E$8))</f>
        <v>12</v>
      </c>
      <c r="F332" s="21">
        <f>(SUMPRODUCT(F$9:F$229,Nutrients!$EW$8:$EW$228)+(IF($A$7=Nutrients!$B$8,Nutrients!$EW$8,Nutrients!$EW$9)*F$7)+(((IF($A$8=Nutrients!$B$79,Nutrients!$EW$79,(IF($A$8=Nutrients!$B$77,Nutrients!$EW$77,Nutrients!$EW$78)))))*F$8))</f>
        <v>9</v>
      </c>
      <c r="G332" s="21">
        <f>(SUMPRODUCT(G$9:G$229,Nutrients!$EW$8:$EW$228)+(IF($A$7=Nutrients!$B$8,Nutrients!$EW$8,Nutrients!$EW$9)*G$7)+(((IF($A$8=Nutrients!$B$79,Nutrients!$EW$79,(IF($A$8=Nutrients!$B$77,Nutrients!$EW$77,Nutrients!$EW$78)))))*G$8))</f>
        <v>9</v>
      </c>
      <c r="H332" s="226"/>
      <c r="I332" s="21">
        <f>(SUMPRODUCT(I$9:I$229,Nutrients!$EW$8:$EW$228)+(IF($A$7=Nutrients!$B$8,Nutrients!$EW$8,Nutrients!$EW$9)*I$7)+(((IF($A$8=Nutrients!$B$79,Nutrients!$EW$79,(IF($A$8=Nutrients!$B$77,Nutrients!$EW$77,Nutrients!$EW$78)))))*I$8))</f>
        <v>18</v>
      </c>
      <c r="J332" s="21">
        <f>(SUMPRODUCT(J$9:J$229,Nutrients!$EW$8:$EW$228)+(IF($A$7=Nutrients!$B$8,Nutrients!$EW$8,Nutrients!$EW$9)*J$7)+(((IF($A$8=Nutrients!$B$79,Nutrients!$EW$79,(IF($A$8=Nutrients!$B$77,Nutrients!$EW$77,Nutrients!$EW$78)))))*J$8))</f>
        <v>18</v>
      </c>
      <c r="K332" s="21">
        <f>(SUMPRODUCT(K$9:K$229,Nutrients!$EW$8:$EW$228)+(IF($A$7=Nutrients!$B$8,Nutrients!$EW$8,Nutrients!$EW$9)*K$7)+(((IF($A$8=Nutrients!$B$79,Nutrients!$EW$79,(IF($A$8=Nutrients!$B$77,Nutrients!$EW$77,Nutrients!$EW$78)))))*K$8))</f>
        <v>15</v>
      </c>
      <c r="L332" s="21">
        <f>(SUMPRODUCT(L$9:L$229,Nutrients!$EW$8:$EW$228)+(IF($A$7=Nutrients!$B$8,Nutrients!$EW$8,Nutrients!$EW$9)*L$7)+(((IF($A$8=Nutrients!$B$79,Nutrients!$EW$79,(IF($A$8=Nutrients!$B$77,Nutrients!$EW$77,Nutrients!$EW$78)))))*L$8))</f>
        <v>12</v>
      </c>
      <c r="M332" s="21">
        <f>(SUMPRODUCT(M$9:M$229,Nutrients!$EW$8:$EW$228)+(IF($A$7=Nutrients!$B$8,Nutrients!$EW$8,Nutrients!$EW$9)*M$7)+(((IF($A$8=Nutrients!$B$79,Nutrients!$EW$79,(IF($A$8=Nutrients!$B$77,Nutrients!$EW$77,Nutrients!$EW$78)))))*M$8))</f>
        <v>9</v>
      </c>
      <c r="N332" s="21">
        <f>(SUMPRODUCT(N$9:N$229,Nutrients!$EW$8:$EW$228)+(IF($A$7=Nutrients!$B$8,Nutrients!$EW$8,Nutrients!$EW$9)*N$7)+(((IF($A$8=Nutrients!$B$79,Nutrients!$EW$79,(IF($A$8=Nutrients!$B$77,Nutrients!$EW$77,Nutrients!$EW$78)))))*N$8))</f>
        <v>9</v>
      </c>
      <c r="O332" s="234"/>
      <c r="P332" s="21">
        <f>(SUMPRODUCT(P$9:P$229,Nutrients!$EW$8:$EW$228)+(IF($A$7=Nutrients!$B$8,Nutrients!$EW$8,Nutrients!$EW$9)*P$7)+(((IF($A$8=Nutrients!$B$79,Nutrients!$EW$79,(IF($A$8=Nutrients!$B$77,Nutrients!$EW$77,Nutrients!$EW$78)))))*P$8))</f>
        <v>18</v>
      </c>
      <c r="Q332" s="21">
        <f>(SUMPRODUCT(Q$9:Q$229,Nutrients!$EW$8:$EW$228)+(IF($A$7=Nutrients!$B$8,Nutrients!$EW$8,Nutrients!$EW$9)*Q$7)+(((IF($A$8=Nutrients!$B$79,Nutrients!$EW$79,(IF($A$8=Nutrients!$B$77,Nutrients!$EW$77,Nutrients!$EW$78)))))*Q$8))</f>
        <v>18</v>
      </c>
      <c r="R332" s="21">
        <f>(SUMPRODUCT(R$9:R$229,Nutrients!$EW$8:$EW$228)+(IF($A$7=Nutrients!$B$8,Nutrients!$EW$8,Nutrients!$EW$9)*R$7)+(((IF($A$8=Nutrients!$B$79,Nutrients!$EW$79,(IF($A$8=Nutrients!$B$77,Nutrients!$EW$77,Nutrients!$EW$78)))))*R$8))</f>
        <v>15</v>
      </c>
      <c r="S332" s="21">
        <f>(SUMPRODUCT(S$9:S$229,Nutrients!$EW$8:$EW$228)+(IF($A$7=Nutrients!$B$8,Nutrients!$EW$8,Nutrients!$EW$9)*S$7)+(((IF($A$8=Nutrients!$B$79,Nutrients!$EW$79,(IF($A$8=Nutrients!$B$77,Nutrients!$EW$77,Nutrients!$EW$78)))))*S$8))</f>
        <v>12</v>
      </c>
      <c r="T332" s="21">
        <f>(SUMPRODUCT(T$9:T$229,Nutrients!$EW$8:$EW$228)+(IF($A$7=Nutrients!$B$8,Nutrients!$EW$8,Nutrients!$EW$9)*T$7)+(((IF($A$8=Nutrients!$B$79,Nutrients!$EW$79,(IF($A$8=Nutrients!$B$77,Nutrients!$EW$77,Nutrients!$EW$78)))))*T$8))</f>
        <v>9</v>
      </c>
      <c r="U332" s="21">
        <f>(SUMPRODUCT(U$9:U$229,Nutrients!$EW$8:$EW$228)+(IF($A$7=Nutrients!$B$8,Nutrients!$EW$8,Nutrients!$EW$9)*U$7)+(((IF($A$8=Nutrients!$B$79,Nutrients!$EW$79,(IF($A$8=Nutrients!$B$77,Nutrients!$EW$77,Nutrients!$EW$78)))))*U$8))</f>
        <v>9</v>
      </c>
      <c r="W332" s="21">
        <f>(SUMPRODUCT(W$9:W$229,Nutrients!$EW$8:$EW$228)+(IF($A$7=Nutrients!$B$8,Nutrients!$EW$8,Nutrients!$EW$9)*W$7)+(((IF($A$8=Nutrients!$B$79,Nutrients!$EW$79,(IF($A$8=Nutrients!$B$77,Nutrients!$EW$77,Nutrients!$EW$78)))))*W$8))</f>
        <v>18</v>
      </c>
      <c r="X332" s="21">
        <f>(SUMPRODUCT(X$9:X$229,Nutrients!$EW$8:$EW$228)+(IF($A$7=Nutrients!$B$8,Nutrients!$EW$8,Nutrients!$EW$9)*X$7)+(((IF($A$8=Nutrients!$B$79,Nutrients!$EW$79,(IF($A$8=Nutrients!$B$77,Nutrients!$EW$77,Nutrients!$EW$78)))))*X$8))</f>
        <v>18</v>
      </c>
      <c r="Y332" s="21">
        <f>(SUMPRODUCT(Y$9:Y$229,Nutrients!$EW$8:$EW$228)+(IF($A$7=Nutrients!$B$8,Nutrients!$EW$8,Nutrients!$EW$9)*Y$7)+(((IF($A$8=Nutrients!$B$79,Nutrients!$EW$79,(IF($A$8=Nutrients!$B$77,Nutrients!$EW$77,Nutrients!$EW$78)))))*Y$8))</f>
        <v>15</v>
      </c>
      <c r="Z332" s="21">
        <f>(SUMPRODUCT(Z$9:Z$229,Nutrients!$EW$8:$EW$228)+(IF($A$7=Nutrients!$B$8,Nutrients!$EW$8,Nutrients!$EW$9)*Z$7)+(((IF($A$8=Nutrients!$B$79,Nutrients!$EW$79,(IF($A$8=Nutrients!$B$77,Nutrients!$EW$77,Nutrients!$EW$78)))))*Z$8))</f>
        <v>12</v>
      </c>
      <c r="AA332" s="21">
        <f>(SUMPRODUCT(AA$9:AA$229,Nutrients!$EW$8:$EW$228)+(IF($A$7=Nutrients!$B$8,Nutrients!$EW$8,Nutrients!$EW$9)*AA$7)+(((IF($A$8=Nutrients!$B$79,Nutrients!$EW$79,(IF($A$8=Nutrients!$B$77,Nutrients!$EW$77,Nutrients!$EW$78)))))*AA$8))</f>
        <v>9</v>
      </c>
      <c r="AB332" s="21">
        <f>(SUMPRODUCT(AB$9:AB$229,Nutrients!$EW$8:$EW$228)+(IF($A$7=Nutrients!$B$8,Nutrients!$EW$8,Nutrients!$EW$9)*AB$7)+(((IF($A$8=Nutrients!$B$79,Nutrients!$EW$79,(IF($A$8=Nutrients!$B$77,Nutrients!$EW$77,Nutrients!$EW$78)))))*AB$8))</f>
        <v>9</v>
      </c>
      <c r="AD332" s="21">
        <f>(SUMPRODUCT(AD$9:AD$229,Nutrients!$EW$8:$EW$228)+(IF($A$7=Nutrients!$B$8,Nutrients!$EW$8,Nutrients!$EW$9)*AD$7)+(((IF($A$8=Nutrients!$B$79,Nutrients!$EW$79,(IF($A$8=Nutrients!$B$77,Nutrients!$EW$77,Nutrients!$EW$78)))))*AD$8))</f>
        <v>18</v>
      </c>
      <c r="AE332" s="21">
        <f>(SUMPRODUCT(AE$9:AE$229,Nutrients!$EW$8:$EW$228)+(IF($A$7=Nutrients!$B$8,Nutrients!$EW$8,Nutrients!$EW$9)*AE$7)+(((IF($A$8=Nutrients!$B$79,Nutrients!$EW$79,(IF($A$8=Nutrients!$B$77,Nutrients!$EW$77,Nutrients!$EW$78)))))*AE$8))</f>
        <v>18</v>
      </c>
      <c r="AF332" s="21">
        <f>(SUMPRODUCT(AF$9:AF$229,Nutrients!$EW$8:$EW$228)+(IF($A$7=Nutrients!$B$8,Nutrients!$EW$8,Nutrients!$EW$9)*AF$7)+(((IF($A$8=Nutrients!$B$79,Nutrients!$EW$79,(IF($A$8=Nutrients!$B$77,Nutrients!$EW$77,Nutrients!$EW$78)))))*AF$8))</f>
        <v>15</v>
      </c>
      <c r="AG332" s="21">
        <f>(SUMPRODUCT(AG$9:AG$229,Nutrients!$EW$8:$EW$228)+(IF($A$7=Nutrients!$B$8,Nutrients!$EW$8,Nutrients!$EW$9)*AG$7)+(((IF($A$8=Nutrients!$B$79,Nutrients!$EW$79,(IF($A$8=Nutrients!$B$77,Nutrients!$EW$77,Nutrients!$EW$78)))))*AG$8))</f>
        <v>12</v>
      </c>
      <c r="AH332" s="21">
        <f>(SUMPRODUCT(AH$9:AH$229,Nutrients!$EW$8:$EW$228)+(IF($A$7=Nutrients!$B$8,Nutrients!$EW$8,Nutrients!$EW$9)*AH$7)+(((IF($A$8=Nutrients!$B$79,Nutrients!$EW$79,(IF($A$8=Nutrients!$B$77,Nutrients!$EW$77,Nutrients!$EW$78)))))*AH$8))</f>
        <v>9</v>
      </c>
      <c r="AI332" s="21">
        <f>(SUMPRODUCT(AI$9:AI$229,Nutrients!$EW$8:$EW$228)+(IF($A$7=Nutrients!$B$8,Nutrients!$EW$8,Nutrients!$EW$9)*AI$7)+(((IF($A$8=Nutrients!$B$79,Nutrients!$EW$79,(IF($A$8=Nutrients!$B$77,Nutrients!$EW$77,Nutrients!$EW$78)))))*AI$8))</f>
        <v>9</v>
      </c>
      <c r="AK332" s="21">
        <f>(SUMPRODUCT(AK$9:AK$229,Nutrients!$EW$8:$EW$228)+(IF($A$7=Nutrients!$B$8,Nutrients!$EW$8,Nutrients!$EW$9)*AK$7)+(((IF($A$8=Nutrients!$B$79,Nutrients!$EW$79,(IF($A$8=Nutrients!$B$77,Nutrients!$EW$77,Nutrients!$EW$78)))))*AK$8))</f>
        <v>18</v>
      </c>
      <c r="AL332" s="21">
        <f>(SUMPRODUCT(AL$9:AL$229,Nutrients!$EW$8:$EW$228)+(IF($A$7=Nutrients!$B$8,Nutrients!$EW$8,Nutrients!$EW$9)*AL$7)+(((IF($A$8=Nutrients!$B$79,Nutrients!$EW$79,(IF($A$8=Nutrients!$B$77,Nutrients!$EW$77,Nutrients!$EW$78)))))*AL$8))</f>
        <v>18</v>
      </c>
      <c r="AM332" s="21">
        <f>(SUMPRODUCT(AM$9:AM$229,Nutrients!$EW$8:$EW$228)+(IF($A$7=Nutrients!$B$8,Nutrients!$EW$8,Nutrients!$EW$9)*AM$7)+(((IF($A$8=Nutrients!$B$79,Nutrients!$EW$79,(IF($A$8=Nutrients!$B$77,Nutrients!$EW$77,Nutrients!$EW$78)))))*AM$8))</f>
        <v>15</v>
      </c>
      <c r="AN332" s="21">
        <f>(SUMPRODUCT(AN$9:AN$229,Nutrients!$EW$8:$EW$228)+(IF($A$7=Nutrients!$B$8,Nutrients!$EW$8,Nutrients!$EW$9)*AN$7)+(((IF($A$8=Nutrients!$B$79,Nutrients!$EW$79,(IF($A$8=Nutrients!$B$77,Nutrients!$EW$77,Nutrients!$EW$78)))))*AN$8))</f>
        <v>12</v>
      </c>
      <c r="AO332" s="21">
        <f>(SUMPRODUCT(AO$9:AO$229,Nutrients!$EW$8:$EW$228)+(IF($A$7=Nutrients!$B$8,Nutrients!$EW$8,Nutrients!$EW$9)*AO$7)+(((IF($A$8=Nutrients!$B$79,Nutrients!$EW$79,(IF($A$8=Nutrients!$B$77,Nutrients!$EW$77,Nutrients!$EW$78)))))*AO$8))</f>
        <v>9</v>
      </c>
      <c r="AP332" s="21">
        <f>(SUMPRODUCT(AP$9:AP$229,Nutrients!$EW$8:$EW$228)+(IF($A$7=Nutrients!$B$8,Nutrients!$EW$8,Nutrients!$EW$9)*AP$7)+(((IF($A$8=Nutrients!$B$79,Nutrients!$EW$79,(IF($A$8=Nutrients!$B$77,Nutrients!$EW$77,Nutrients!$EW$78)))))*AP$8))</f>
        <v>9</v>
      </c>
      <c r="AR332" s="21">
        <f>(SUMPRODUCT(AR$9:AR$229,Nutrients!$EW$8:$EW$228)+(IF($A$7=Nutrients!$B$8,Nutrients!$EW$8,Nutrients!$EW$9)*AR$7)+(((IF($A$8=Nutrients!$B$79,Nutrients!$EW$79,(IF($A$8=Nutrients!$B$77,Nutrients!$EW$77,Nutrients!$EW$78)))))*AR$8))</f>
        <v>18</v>
      </c>
      <c r="AS332" s="21">
        <f>(SUMPRODUCT(AS$9:AS$229,Nutrients!$EW$8:$EW$228)+(IF($A$7=Nutrients!$B$8,Nutrients!$EW$8,Nutrients!$EW$9)*AS$7)+(((IF($A$8=Nutrients!$B$79,Nutrients!$EW$79,(IF($A$8=Nutrients!$B$77,Nutrients!$EW$77,Nutrients!$EW$78)))))*AS$8))</f>
        <v>18</v>
      </c>
      <c r="AT332" s="21">
        <f>(SUMPRODUCT(AT$9:AT$229,Nutrients!$EW$8:$EW$228)+(IF($A$7=Nutrients!$B$8,Nutrients!$EW$8,Nutrients!$EW$9)*AT$7)+(((IF($A$8=Nutrients!$B$79,Nutrients!$EW$79,(IF($A$8=Nutrients!$B$77,Nutrients!$EW$77,Nutrients!$EW$78)))))*AT$8))</f>
        <v>15</v>
      </c>
      <c r="AU332" s="21">
        <f>(SUMPRODUCT(AU$9:AU$229,Nutrients!$EW$8:$EW$228)+(IF($A$7=Nutrients!$B$8,Nutrients!$EW$8,Nutrients!$EW$9)*AU$7)+(((IF($A$8=Nutrients!$B$79,Nutrients!$EW$79,(IF($A$8=Nutrients!$B$77,Nutrients!$EW$77,Nutrients!$EW$78)))))*AU$8))</f>
        <v>12</v>
      </c>
      <c r="AV332" s="21">
        <f>(SUMPRODUCT(AV$9:AV$229,Nutrients!$EW$8:$EW$228)+(IF($A$7=Nutrients!$B$8,Nutrients!$EW$8,Nutrients!$EW$9)*AV$7)+(((IF($A$8=Nutrients!$B$79,Nutrients!$EW$79,(IF($A$8=Nutrients!$B$77,Nutrients!$EW$77,Nutrients!$EW$78)))))*AV$8))</f>
        <v>9</v>
      </c>
      <c r="AW332" s="21">
        <f>(SUMPRODUCT(AW$9:AW$229,Nutrients!$EW$8:$EW$228)+(IF($A$7=Nutrients!$B$8,Nutrients!$EW$8,Nutrients!$EW$9)*AW$7)+(((IF($A$8=Nutrients!$B$79,Nutrients!$EW$79,(IF($A$8=Nutrients!$B$77,Nutrients!$EW$77,Nutrients!$EW$78)))))*AW$8))</f>
        <v>9</v>
      </c>
    </row>
    <row r="333" spans="1:49" x14ac:dyDescent="0.25">
      <c r="A333" s="34" t="s">
        <v>126</v>
      </c>
      <c r="B333" s="21">
        <f>(SUMPRODUCT(B$9:B$229,Nutrients!$EX$8:$EX$228)+(IF($A$7=Nutrients!$B$8,Nutrients!$EX$8,Nutrients!$EX$9)*B$7)+(((IF($A$8=Nutrients!$B$79,Nutrients!$EX$79,(IF($A$8=Nutrients!$B$77,Nutrients!$EX$77,Nutrients!$EX$78)))))*B$8))</f>
        <v>27000</v>
      </c>
      <c r="C333" s="21">
        <f>(SUMPRODUCT(C$9:C$229,Nutrients!$EX$8:$EX$228)+(IF($A$7=Nutrients!$B$8,Nutrients!$EX$8,Nutrients!$EX$9)*C$7)+(((IF($A$8=Nutrients!$B$79,Nutrients!$EX$79,(IF($A$8=Nutrients!$B$77,Nutrients!$EX$77,Nutrients!$EX$78)))))*C$8))</f>
        <v>27000</v>
      </c>
      <c r="D333" s="21">
        <f>(SUMPRODUCT(D$9:D$229,Nutrients!$EX$8:$EX$228)+(IF($A$7=Nutrients!$B$8,Nutrients!$EX$8,Nutrients!$EX$9)*D$7)+(((IF($A$8=Nutrients!$B$79,Nutrients!$EX$79,(IF($A$8=Nutrients!$B$77,Nutrients!$EX$77,Nutrients!$EX$78)))))*D$8))</f>
        <v>22500</v>
      </c>
      <c r="E333" s="21">
        <f>(SUMPRODUCT(E$9:E$229,Nutrients!$EX$8:$EX$228)+(IF($A$7=Nutrients!$B$8,Nutrients!$EX$8,Nutrients!$EX$9)*E$7)+(((IF($A$8=Nutrients!$B$79,Nutrients!$EX$79,(IF($A$8=Nutrients!$B$77,Nutrients!$EX$77,Nutrients!$EX$78)))))*E$8))</f>
        <v>18000</v>
      </c>
      <c r="F333" s="21">
        <f>(SUMPRODUCT(F$9:F$229,Nutrients!$EX$8:$EX$228)+(IF($A$7=Nutrients!$B$8,Nutrients!$EX$8,Nutrients!$EX$9)*F$7)+(((IF($A$8=Nutrients!$B$79,Nutrients!$EX$79,(IF($A$8=Nutrients!$B$77,Nutrients!$EX$77,Nutrients!$EX$78)))))*F$8))</f>
        <v>13500</v>
      </c>
      <c r="G333" s="21">
        <f>(SUMPRODUCT(G$9:G$229,Nutrients!$EX$8:$EX$228)+(IF($A$7=Nutrients!$B$8,Nutrients!$EX$8,Nutrients!$EX$9)*G$7)+(((IF($A$8=Nutrients!$B$79,Nutrients!$EX$79,(IF($A$8=Nutrients!$B$77,Nutrients!$EX$77,Nutrients!$EX$78)))))*G$8))</f>
        <v>13500</v>
      </c>
      <c r="H333" s="226"/>
      <c r="I333" s="21">
        <f>(SUMPRODUCT(I$9:I$229,Nutrients!$EX$8:$EX$228)+(IF($A$7=Nutrients!$B$8,Nutrients!$EX$8,Nutrients!$EX$9)*I$7)+(((IF($A$8=Nutrients!$B$79,Nutrients!$EX$79,(IF($A$8=Nutrients!$B$77,Nutrients!$EX$77,Nutrients!$EX$78)))))*I$8))</f>
        <v>27000</v>
      </c>
      <c r="J333" s="21">
        <f>(SUMPRODUCT(J$9:J$229,Nutrients!$EX$8:$EX$228)+(IF($A$7=Nutrients!$B$8,Nutrients!$EX$8,Nutrients!$EX$9)*J$7)+(((IF($A$8=Nutrients!$B$79,Nutrients!$EX$79,(IF($A$8=Nutrients!$B$77,Nutrients!$EX$77,Nutrients!$EX$78)))))*J$8))</f>
        <v>27000</v>
      </c>
      <c r="K333" s="21">
        <f>(SUMPRODUCT(K$9:K$229,Nutrients!$EX$8:$EX$228)+(IF($A$7=Nutrients!$B$8,Nutrients!$EX$8,Nutrients!$EX$9)*K$7)+(((IF($A$8=Nutrients!$B$79,Nutrients!$EX$79,(IF($A$8=Nutrients!$B$77,Nutrients!$EX$77,Nutrients!$EX$78)))))*K$8))</f>
        <v>22500</v>
      </c>
      <c r="L333" s="21">
        <f>(SUMPRODUCT(L$9:L$229,Nutrients!$EX$8:$EX$228)+(IF($A$7=Nutrients!$B$8,Nutrients!$EX$8,Nutrients!$EX$9)*L$7)+(((IF($A$8=Nutrients!$B$79,Nutrients!$EX$79,(IF($A$8=Nutrients!$B$77,Nutrients!$EX$77,Nutrients!$EX$78)))))*L$8))</f>
        <v>18000</v>
      </c>
      <c r="M333" s="21">
        <f>(SUMPRODUCT(M$9:M$229,Nutrients!$EX$8:$EX$228)+(IF($A$7=Nutrients!$B$8,Nutrients!$EX$8,Nutrients!$EX$9)*M$7)+(((IF($A$8=Nutrients!$B$79,Nutrients!$EX$79,(IF($A$8=Nutrients!$B$77,Nutrients!$EX$77,Nutrients!$EX$78)))))*M$8))</f>
        <v>13500</v>
      </c>
      <c r="N333" s="21">
        <f>(SUMPRODUCT(N$9:N$229,Nutrients!$EX$8:$EX$228)+(IF($A$7=Nutrients!$B$8,Nutrients!$EX$8,Nutrients!$EX$9)*N$7)+(((IF($A$8=Nutrients!$B$79,Nutrients!$EX$79,(IF($A$8=Nutrients!$B$77,Nutrients!$EX$77,Nutrients!$EX$78)))))*N$8))</f>
        <v>13500</v>
      </c>
      <c r="O333" s="234"/>
      <c r="P333" s="21">
        <f>(SUMPRODUCT(P$9:P$229,Nutrients!$EX$8:$EX$228)+(IF($A$7=Nutrients!$B$8,Nutrients!$EX$8,Nutrients!$EX$9)*P$7)+(((IF($A$8=Nutrients!$B$79,Nutrients!$EX$79,(IF($A$8=Nutrients!$B$77,Nutrients!$EX$77,Nutrients!$EX$78)))))*P$8))</f>
        <v>27000</v>
      </c>
      <c r="Q333" s="21">
        <f>(SUMPRODUCT(Q$9:Q$229,Nutrients!$EX$8:$EX$228)+(IF($A$7=Nutrients!$B$8,Nutrients!$EX$8,Nutrients!$EX$9)*Q$7)+(((IF($A$8=Nutrients!$B$79,Nutrients!$EX$79,(IF($A$8=Nutrients!$B$77,Nutrients!$EX$77,Nutrients!$EX$78)))))*Q$8))</f>
        <v>27000</v>
      </c>
      <c r="R333" s="21">
        <f>(SUMPRODUCT(R$9:R$229,Nutrients!$EX$8:$EX$228)+(IF($A$7=Nutrients!$B$8,Nutrients!$EX$8,Nutrients!$EX$9)*R$7)+(((IF($A$8=Nutrients!$B$79,Nutrients!$EX$79,(IF($A$8=Nutrients!$B$77,Nutrients!$EX$77,Nutrients!$EX$78)))))*R$8))</f>
        <v>22500</v>
      </c>
      <c r="S333" s="21">
        <f>(SUMPRODUCT(S$9:S$229,Nutrients!$EX$8:$EX$228)+(IF($A$7=Nutrients!$B$8,Nutrients!$EX$8,Nutrients!$EX$9)*S$7)+(((IF($A$8=Nutrients!$B$79,Nutrients!$EX$79,(IF($A$8=Nutrients!$B$77,Nutrients!$EX$77,Nutrients!$EX$78)))))*S$8))</f>
        <v>18000</v>
      </c>
      <c r="T333" s="21">
        <f>(SUMPRODUCT(T$9:T$229,Nutrients!$EX$8:$EX$228)+(IF($A$7=Nutrients!$B$8,Nutrients!$EX$8,Nutrients!$EX$9)*T$7)+(((IF($A$8=Nutrients!$B$79,Nutrients!$EX$79,(IF($A$8=Nutrients!$B$77,Nutrients!$EX$77,Nutrients!$EX$78)))))*T$8))</f>
        <v>13500</v>
      </c>
      <c r="U333" s="21">
        <f>(SUMPRODUCT(U$9:U$229,Nutrients!$EX$8:$EX$228)+(IF($A$7=Nutrients!$B$8,Nutrients!$EX$8,Nutrients!$EX$9)*U$7)+(((IF($A$8=Nutrients!$B$79,Nutrients!$EX$79,(IF($A$8=Nutrients!$B$77,Nutrients!$EX$77,Nutrients!$EX$78)))))*U$8))</f>
        <v>13500</v>
      </c>
      <c r="W333" s="21">
        <f>(SUMPRODUCT(W$9:W$229,Nutrients!$EX$8:$EX$228)+(IF($A$7=Nutrients!$B$8,Nutrients!$EX$8,Nutrients!$EX$9)*W$7)+(((IF($A$8=Nutrients!$B$79,Nutrients!$EX$79,(IF($A$8=Nutrients!$B$77,Nutrients!$EX$77,Nutrients!$EX$78)))))*W$8))</f>
        <v>27000</v>
      </c>
      <c r="X333" s="21">
        <f>(SUMPRODUCT(X$9:X$229,Nutrients!$EX$8:$EX$228)+(IF($A$7=Nutrients!$B$8,Nutrients!$EX$8,Nutrients!$EX$9)*X$7)+(((IF($A$8=Nutrients!$B$79,Nutrients!$EX$79,(IF($A$8=Nutrients!$B$77,Nutrients!$EX$77,Nutrients!$EX$78)))))*X$8))</f>
        <v>27000</v>
      </c>
      <c r="Y333" s="21">
        <f>(SUMPRODUCT(Y$9:Y$229,Nutrients!$EX$8:$EX$228)+(IF($A$7=Nutrients!$B$8,Nutrients!$EX$8,Nutrients!$EX$9)*Y$7)+(((IF($A$8=Nutrients!$B$79,Nutrients!$EX$79,(IF($A$8=Nutrients!$B$77,Nutrients!$EX$77,Nutrients!$EX$78)))))*Y$8))</f>
        <v>22500</v>
      </c>
      <c r="Z333" s="21">
        <f>(SUMPRODUCT(Z$9:Z$229,Nutrients!$EX$8:$EX$228)+(IF($A$7=Nutrients!$B$8,Nutrients!$EX$8,Nutrients!$EX$9)*Z$7)+(((IF($A$8=Nutrients!$B$79,Nutrients!$EX$79,(IF($A$8=Nutrients!$B$77,Nutrients!$EX$77,Nutrients!$EX$78)))))*Z$8))</f>
        <v>18000</v>
      </c>
      <c r="AA333" s="21">
        <f>(SUMPRODUCT(AA$9:AA$229,Nutrients!$EX$8:$EX$228)+(IF($A$7=Nutrients!$B$8,Nutrients!$EX$8,Nutrients!$EX$9)*AA$7)+(((IF($A$8=Nutrients!$B$79,Nutrients!$EX$79,(IF($A$8=Nutrients!$B$77,Nutrients!$EX$77,Nutrients!$EX$78)))))*AA$8))</f>
        <v>13500</v>
      </c>
      <c r="AB333" s="21">
        <f>(SUMPRODUCT(AB$9:AB$229,Nutrients!$EX$8:$EX$228)+(IF($A$7=Nutrients!$B$8,Nutrients!$EX$8,Nutrients!$EX$9)*AB$7)+(((IF($A$8=Nutrients!$B$79,Nutrients!$EX$79,(IF($A$8=Nutrients!$B$77,Nutrients!$EX$77,Nutrients!$EX$78)))))*AB$8))</f>
        <v>13500</v>
      </c>
      <c r="AD333" s="21">
        <f>(SUMPRODUCT(AD$9:AD$229,Nutrients!$EX$8:$EX$228)+(IF($A$7=Nutrients!$B$8,Nutrients!$EX$8,Nutrients!$EX$9)*AD$7)+(((IF($A$8=Nutrients!$B$79,Nutrients!$EX$79,(IF($A$8=Nutrients!$B$77,Nutrients!$EX$77,Nutrients!$EX$78)))))*AD$8))</f>
        <v>27000</v>
      </c>
      <c r="AE333" s="21">
        <f>(SUMPRODUCT(AE$9:AE$229,Nutrients!$EX$8:$EX$228)+(IF($A$7=Nutrients!$B$8,Nutrients!$EX$8,Nutrients!$EX$9)*AE$7)+(((IF($A$8=Nutrients!$B$79,Nutrients!$EX$79,(IF($A$8=Nutrients!$B$77,Nutrients!$EX$77,Nutrients!$EX$78)))))*AE$8))</f>
        <v>27000</v>
      </c>
      <c r="AF333" s="21">
        <f>(SUMPRODUCT(AF$9:AF$229,Nutrients!$EX$8:$EX$228)+(IF($A$7=Nutrients!$B$8,Nutrients!$EX$8,Nutrients!$EX$9)*AF$7)+(((IF($A$8=Nutrients!$B$79,Nutrients!$EX$79,(IF($A$8=Nutrients!$B$77,Nutrients!$EX$77,Nutrients!$EX$78)))))*AF$8))</f>
        <v>22500</v>
      </c>
      <c r="AG333" s="21">
        <f>(SUMPRODUCT(AG$9:AG$229,Nutrients!$EX$8:$EX$228)+(IF($A$7=Nutrients!$B$8,Nutrients!$EX$8,Nutrients!$EX$9)*AG$7)+(((IF($A$8=Nutrients!$B$79,Nutrients!$EX$79,(IF($A$8=Nutrients!$B$77,Nutrients!$EX$77,Nutrients!$EX$78)))))*AG$8))</f>
        <v>18000</v>
      </c>
      <c r="AH333" s="21">
        <f>(SUMPRODUCT(AH$9:AH$229,Nutrients!$EX$8:$EX$228)+(IF($A$7=Nutrients!$B$8,Nutrients!$EX$8,Nutrients!$EX$9)*AH$7)+(((IF($A$8=Nutrients!$B$79,Nutrients!$EX$79,(IF($A$8=Nutrients!$B$77,Nutrients!$EX$77,Nutrients!$EX$78)))))*AH$8))</f>
        <v>13500</v>
      </c>
      <c r="AI333" s="21">
        <f>(SUMPRODUCT(AI$9:AI$229,Nutrients!$EX$8:$EX$228)+(IF($A$7=Nutrients!$B$8,Nutrients!$EX$8,Nutrients!$EX$9)*AI$7)+(((IF($A$8=Nutrients!$B$79,Nutrients!$EX$79,(IF($A$8=Nutrients!$B$77,Nutrients!$EX$77,Nutrients!$EX$78)))))*AI$8))</f>
        <v>13500</v>
      </c>
      <c r="AK333" s="21">
        <f>(SUMPRODUCT(AK$9:AK$229,Nutrients!$EX$8:$EX$228)+(IF($A$7=Nutrients!$B$8,Nutrients!$EX$8,Nutrients!$EX$9)*AK$7)+(((IF($A$8=Nutrients!$B$79,Nutrients!$EX$79,(IF($A$8=Nutrients!$B$77,Nutrients!$EX$77,Nutrients!$EX$78)))))*AK$8))</f>
        <v>27000</v>
      </c>
      <c r="AL333" s="21">
        <f>(SUMPRODUCT(AL$9:AL$229,Nutrients!$EX$8:$EX$228)+(IF($A$7=Nutrients!$B$8,Nutrients!$EX$8,Nutrients!$EX$9)*AL$7)+(((IF($A$8=Nutrients!$B$79,Nutrients!$EX$79,(IF($A$8=Nutrients!$B$77,Nutrients!$EX$77,Nutrients!$EX$78)))))*AL$8))</f>
        <v>27000</v>
      </c>
      <c r="AM333" s="21">
        <f>(SUMPRODUCT(AM$9:AM$229,Nutrients!$EX$8:$EX$228)+(IF($A$7=Nutrients!$B$8,Nutrients!$EX$8,Nutrients!$EX$9)*AM$7)+(((IF($A$8=Nutrients!$B$79,Nutrients!$EX$79,(IF($A$8=Nutrients!$B$77,Nutrients!$EX$77,Nutrients!$EX$78)))))*AM$8))</f>
        <v>22500</v>
      </c>
      <c r="AN333" s="21">
        <f>(SUMPRODUCT(AN$9:AN$229,Nutrients!$EX$8:$EX$228)+(IF($A$7=Nutrients!$B$8,Nutrients!$EX$8,Nutrients!$EX$9)*AN$7)+(((IF($A$8=Nutrients!$B$79,Nutrients!$EX$79,(IF($A$8=Nutrients!$B$77,Nutrients!$EX$77,Nutrients!$EX$78)))))*AN$8))</f>
        <v>18000</v>
      </c>
      <c r="AO333" s="21">
        <f>(SUMPRODUCT(AO$9:AO$229,Nutrients!$EX$8:$EX$228)+(IF($A$7=Nutrients!$B$8,Nutrients!$EX$8,Nutrients!$EX$9)*AO$7)+(((IF($A$8=Nutrients!$B$79,Nutrients!$EX$79,(IF($A$8=Nutrients!$B$77,Nutrients!$EX$77,Nutrients!$EX$78)))))*AO$8))</f>
        <v>13500</v>
      </c>
      <c r="AP333" s="21">
        <f>(SUMPRODUCT(AP$9:AP$229,Nutrients!$EX$8:$EX$228)+(IF($A$7=Nutrients!$B$8,Nutrients!$EX$8,Nutrients!$EX$9)*AP$7)+(((IF($A$8=Nutrients!$B$79,Nutrients!$EX$79,(IF($A$8=Nutrients!$B$77,Nutrients!$EX$77,Nutrients!$EX$78)))))*AP$8))</f>
        <v>13500</v>
      </c>
      <c r="AR333" s="21">
        <f>(SUMPRODUCT(AR$9:AR$229,Nutrients!$EX$8:$EX$228)+(IF($A$7=Nutrients!$B$8,Nutrients!$EX$8,Nutrients!$EX$9)*AR$7)+(((IF($A$8=Nutrients!$B$79,Nutrients!$EX$79,(IF($A$8=Nutrients!$B$77,Nutrients!$EX$77,Nutrients!$EX$78)))))*AR$8))</f>
        <v>27000</v>
      </c>
      <c r="AS333" s="21">
        <f>(SUMPRODUCT(AS$9:AS$229,Nutrients!$EX$8:$EX$228)+(IF($A$7=Nutrients!$B$8,Nutrients!$EX$8,Nutrients!$EX$9)*AS$7)+(((IF($A$8=Nutrients!$B$79,Nutrients!$EX$79,(IF($A$8=Nutrients!$B$77,Nutrients!$EX$77,Nutrients!$EX$78)))))*AS$8))</f>
        <v>27000</v>
      </c>
      <c r="AT333" s="21">
        <f>(SUMPRODUCT(AT$9:AT$229,Nutrients!$EX$8:$EX$228)+(IF($A$7=Nutrients!$B$8,Nutrients!$EX$8,Nutrients!$EX$9)*AT$7)+(((IF($A$8=Nutrients!$B$79,Nutrients!$EX$79,(IF($A$8=Nutrients!$B$77,Nutrients!$EX$77,Nutrients!$EX$78)))))*AT$8))</f>
        <v>22500</v>
      </c>
      <c r="AU333" s="21">
        <f>(SUMPRODUCT(AU$9:AU$229,Nutrients!$EX$8:$EX$228)+(IF($A$7=Nutrients!$B$8,Nutrients!$EX$8,Nutrients!$EX$9)*AU$7)+(((IF($A$8=Nutrients!$B$79,Nutrients!$EX$79,(IF($A$8=Nutrients!$B$77,Nutrients!$EX$77,Nutrients!$EX$78)))))*AU$8))</f>
        <v>18000</v>
      </c>
      <c r="AV333" s="21">
        <f>(SUMPRODUCT(AV$9:AV$229,Nutrients!$EX$8:$EX$228)+(IF($A$7=Nutrients!$B$8,Nutrients!$EX$8,Nutrients!$EX$9)*AV$7)+(((IF($A$8=Nutrients!$B$79,Nutrients!$EX$79,(IF($A$8=Nutrients!$B$77,Nutrients!$EX$77,Nutrients!$EX$78)))))*AV$8))</f>
        <v>13500</v>
      </c>
      <c r="AW333" s="21">
        <f>(SUMPRODUCT(AW$9:AW$229,Nutrients!$EX$8:$EX$228)+(IF($A$7=Nutrients!$B$8,Nutrients!$EX$8,Nutrients!$EX$9)*AW$7)+(((IF($A$8=Nutrients!$B$79,Nutrients!$EX$79,(IF($A$8=Nutrients!$B$77,Nutrients!$EX$77,Nutrients!$EX$78)))))*AW$8))</f>
        <v>13500</v>
      </c>
    </row>
    <row r="334" spans="1:49" x14ac:dyDescent="0.25">
      <c r="A334" s="34" t="s">
        <v>127</v>
      </c>
      <c r="B334" s="21">
        <f>(SUMPRODUCT(B$9:B$229,Nutrients!$EY$8:$EY$228)+(IF($A$7=Nutrients!$B$8,Nutrients!$EY$8,Nutrients!$EY$9)*B$7)+(((IF($A$8=Nutrients!$B$79,Nutrients!$EY$79,(IF($A$8=Nutrients!$B$77,Nutrients!$EY$77,Nutrients!$EY$78)))))*B$8))</f>
        <v>15000</v>
      </c>
      <c r="C334" s="21">
        <f>(SUMPRODUCT(C$9:C$229,Nutrients!$EY$8:$EY$228)+(IF($A$7=Nutrients!$B$8,Nutrients!$EY$8,Nutrients!$EY$9)*C$7)+(((IF($A$8=Nutrients!$B$79,Nutrients!$EY$79,(IF($A$8=Nutrients!$B$77,Nutrients!$EY$77,Nutrients!$EY$78)))))*C$8))</f>
        <v>15000</v>
      </c>
      <c r="D334" s="21">
        <f>(SUMPRODUCT(D$9:D$229,Nutrients!$EY$8:$EY$228)+(IF($A$7=Nutrients!$B$8,Nutrients!$EY$8,Nutrients!$EY$9)*D$7)+(((IF($A$8=Nutrients!$B$79,Nutrients!$EY$79,(IF($A$8=Nutrients!$B$77,Nutrients!$EY$77,Nutrients!$EY$78)))))*D$8))</f>
        <v>12500</v>
      </c>
      <c r="E334" s="21">
        <f>(SUMPRODUCT(E$9:E$229,Nutrients!$EY$8:$EY$228)+(IF($A$7=Nutrients!$B$8,Nutrients!$EY$8,Nutrients!$EY$9)*E$7)+(((IF($A$8=Nutrients!$B$79,Nutrients!$EY$79,(IF($A$8=Nutrients!$B$77,Nutrients!$EY$77,Nutrients!$EY$78)))))*E$8))</f>
        <v>10000</v>
      </c>
      <c r="F334" s="21">
        <f>(SUMPRODUCT(F$9:F$229,Nutrients!$EY$8:$EY$228)+(IF($A$7=Nutrients!$B$8,Nutrients!$EY$8,Nutrients!$EY$9)*F$7)+(((IF($A$8=Nutrients!$B$79,Nutrients!$EY$79,(IF($A$8=Nutrients!$B$77,Nutrients!$EY$77,Nutrients!$EY$78)))))*F$8))</f>
        <v>7500</v>
      </c>
      <c r="G334" s="21">
        <f>(SUMPRODUCT(G$9:G$229,Nutrients!$EY$8:$EY$228)+(IF($A$7=Nutrients!$B$8,Nutrients!$EY$8,Nutrients!$EY$9)*G$7)+(((IF($A$8=Nutrients!$B$79,Nutrients!$EY$79,(IF($A$8=Nutrients!$B$77,Nutrients!$EY$77,Nutrients!$EY$78)))))*G$8))</f>
        <v>7500</v>
      </c>
      <c r="H334" s="226"/>
      <c r="I334" s="21">
        <f>(SUMPRODUCT(I$9:I$229,Nutrients!$EY$8:$EY$228)+(IF($A$7=Nutrients!$B$8,Nutrients!$EY$8,Nutrients!$EY$9)*I$7)+(((IF($A$8=Nutrients!$B$79,Nutrients!$EY$79,(IF($A$8=Nutrients!$B$77,Nutrients!$EY$77,Nutrients!$EY$78)))))*I$8))</f>
        <v>15000</v>
      </c>
      <c r="J334" s="21">
        <f>(SUMPRODUCT(J$9:J$229,Nutrients!$EY$8:$EY$228)+(IF($A$7=Nutrients!$B$8,Nutrients!$EY$8,Nutrients!$EY$9)*J$7)+(((IF($A$8=Nutrients!$B$79,Nutrients!$EY$79,(IF($A$8=Nutrients!$B$77,Nutrients!$EY$77,Nutrients!$EY$78)))))*J$8))</f>
        <v>15000</v>
      </c>
      <c r="K334" s="21">
        <f>(SUMPRODUCT(K$9:K$229,Nutrients!$EY$8:$EY$228)+(IF($A$7=Nutrients!$B$8,Nutrients!$EY$8,Nutrients!$EY$9)*K$7)+(((IF($A$8=Nutrients!$B$79,Nutrients!$EY$79,(IF($A$8=Nutrients!$B$77,Nutrients!$EY$77,Nutrients!$EY$78)))))*K$8))</f>
        <v>12500</v>
      </c>
      <c r="L334" s="21">
        <f>(SUMPRODUCT(L$9:L$229,Nutrients!$EY$8:$EY$228)+(IF($A$7=Nutrients!$B$8,Nutrients!$EY$8,Nutrients!$EY$9)*L$7)+(((IF($A$8=Nutrients!$B$79,Nutrients!$EY$79,(IF($A$8=Nutrients!$B$77,Nutrients!$EY$77,Nutrients!$EY$78)))))*L$8))</f>
        <v>10000</v>
      </c>
      <c r="M334" s="21">
        <f>(SUMPRODUCT(M$9:M$229,Nutrients!$EY$8:$EY$228)+(IF($A$7=Nutrients!$B$8,Nutrients!$EY$8,Nutrients!$EY$9)*M$7)+(((IF($A$8=Nutrients!$B$79,Nutrients!$EY$79,(IF($A$8=Nutrients!$B$77,Nutrients!$EY$77,Nutrients!$EY$78)))))*M$8))</f>
        <v>7500</v>
      </c>
      <c r="N334" s="21">
        <f>(SUMPRODUCT(N$9:N$229,Nutrients!$EY$8:$EY$228)+(IF($A$7=Nutrients!$B$8,Nutrients!$EY$8,Nutrients!$EY$9)*N$7)+(((IF($A$8=Nutrients!$B$79,Nutrients!$EY$79,(IF($A$8=Nutrients!$B$77,Nutrients!$EY$77,Nutrients!$EY$78)))))*N$8))</f>
        <v>7500</v>
      </c>
      <c r="O334" s="234"/>
      <c r="P334" s="21">
        <f>(SUMPRODUCT(P$9:P$229,Nutrients!$EY$8:$EY$228)+(IF($A$7=Nutrients!$B$8,Nutrients!$EY$8,Nutrients!$EY$9)*P$7)+(((IF($A$8=Nutrients!$B$79,Nutrients!$EY$79,(IF($A$8=Nutrients!$B$77,Nutrients!$EY$77,Nutrients!$EY$78)))))*P$8))</f>
        <v>15000</v>
      </c>
      <c r="Q334" s="21">
        <f>(SUMPRODUCT(Q$9:Q$229,Nutrients!$EY$8:$EY$228)+(IF($A$7=Nutrients!$B$8,Nutrients!$EY$8,Nutrients!$EY$9)*Q$7)+(((IF($A$8=Nutrients!$B$79,Nutrients!$EY$79,(IF($A$8=Nutrients!$B$77,Nutrients!$EY$77,Nutrients!$EY$78)))))*Q$8))</f>
        <v>15000</v>
      </c>
      <c r="R334" s="21">
        <f>(SUMPRODUCT(R$9:R$229,Nutrients!$EY$8:$EY$228)+(IF($A$7=Nutrients!$B$8,Nutrients!$EY$8,Nutrients!$EY$9)*R$7)+(((IF($A$8=Nutrients!$B$79,Nutrients!$EY$79,(IF($A$8=Nutrients!$B$77,Nutrients!$EY$77,Nutrients!$EY$78)))))*R$8))</f>
        <v>12500</v>
      </c>
      <c r="S334" s="21">
        <f>(SUMPRODUCT(S$9:S$229,Nutrients!$EY$8:$EY$228)+(IF($A$7=Nutrients!$B$8,Nutrients!$EY$8,Nutrients!$EY$9)*S$7)+(((IF($A$8=Nutrients!$B$79,Nutrients!$EY$79,(IF($A$8=Nutrients!$B$77,Nutrients!$EY$77,Nutrients!$EY$78)))))*S$8))</f>
        <v>10000</v>
      </c>
      <c r="T334" s="21">
        <f>(SUMPRODUCT(T$9:T$229,Nutrients!$EY$8:$EY$228)+(IF($A$7=Nutrients!$B$8,Nutrients!$EY$8,Nutrients!$EY$9)*T$7)+(((IF($A$8=Nutrients!$B$79,Nutrients!$EY$79,(IF($A$8=Nutrients!$B$77,Nutrients!$EY$77,Nutrients!$EY$78)))))*T$8))</f>
        <v>7500</v>
      </c>
      <c r="U334" s="21">
        <f>(SUMPRODUCT(U$9:U$229,Nutrients!$EY$8:$EY$228)+(IF($A$7=Nutrients!$B$8,Nutrients!$EY$8,Nutrients!$EY$9)*U$7)+(((IF($A$8=Nutrients!$B$79,Nutrients!$EY$79,(IF($A$8=Nutrients!$B$77,Nutrients!$EY$77,Nutrients!$EY$78)))))*U$8))</f>
        <v>7500</v>
      </c>
      <c r="W334" s="21">
        <f>(SUMPRODUCT(W$9:W$229,Nutrients!$EY$8:$EY$228)+(IF($A$7=Nutrients!$B$8,Nutrients!$EY$8,Nutrients!$EY$9)*W$7)+(((IF($A$8=Nutrients!$B$79,Nutrients!$EY$79,(IF($A$8=Nutrients!$B$77,Nutrients!$EY$77,Nutrients!$EY$78)))))*W$8))</f>
        <v>15000</v>
      </c>
      <c r="X334" s="21">
        <f>(SUMPRODUCT(X$9:X$229,Nutrients!$EY$8:$EY$228)+(IF($A$7=Nutrients!$B$8,Nutrients!$EY$8,Nutrients!$EY$9)*X$7)+(((IF($A$8=Nutrients!$B$79,Nutrients!$EY$79,(IF($A$8=Nutrients!$B$77,Nutrients!$EY$77,Nutrients!$EY$78)))))*X$8))</f>
        <v>15000</v>
      </c>
      <c r="Y334" s="21">
        <f>(SUMPRODUCT(Y$9:Y$229,Nutrients!$EY$8:$EY$228)+(IF($A$7=Nutrients!$B$8,Nutrients!$EY$8,Nutrients!$EY$9)*Y$7)+(((IF($A$8=Nutrients!$B$79,Nutrients!$EY$79,(IF($A$8=Nutrients!$B$77,Nutrients!$EY$77,Nutrients!$EY$78)))))*Y$8))</f>
        <v>12500</v>
      </c>
      <c r="Z334" s="21">
        <f>(SUMPRODUCT(Z$9:Z$229,Nutrients!$EY$8:$EY$228)+(IF($A$7=Nutrients!$B$8,Nutrients!$EY$8,Nutrients!$EY$9)*Z$7)+(((IF($A$8=Nutrients!$B$79,Nutrients!$EY$79,(IF($A$8=Nutrients!$B$77,Nutrients!$EY$77,Nutrients!$EY$78)))))*Z$8))</f>
        <v>10000</v>
      </c>
      <c r="AA334" s="21">
        <f>(SUMPRODUCT(AA$9:AA$229,Nutrients!$EY$8:$EY$228)+(IF($A$7=Nutrients!$B$8,Nutrients!$EY$8,Nutrients!$EY$9)*AA$7)+(((IF($A$8=Nutrients!$B$79,Nutrients!$EY$79,(IF($A$8=Nutrients!$B$77,Nutrients!$EY$77,Nutrients!$EY$78)))))*AA$8))</f>
        <v>7500</v>
      </c>
      <c r="AB334" s="21">
        <f>(SUMPRODUCT(AB$9:AB$229,Nutrients!$EY$8:$EY$228)+(IF($A$7=Nutrients!$B$8,Nutrients!$EY$8,Nutrients!$EY$9)*AB$7)+(((IF($A$8=Nutrients!$B$79,Nutrients!$EY$79,(IF($A$8=Nutrients!$B$77,Nutrients!$EY$77,Nutrients!$EY$78)))))*AB$8))</f>
        <v>7500</v>
      </c>
      <c r="AD334" s="21">
        <f>(SUMPRODUCT(AD$9:AD$229,Nutrients!$EY$8:$EY$228)+(IF($A$7=Nutrients!$B$8,Nutrients!$EY$8,Nutrients!$EY$9)*AD$7)+(((IF($A$8=Nutrients!$B$79,Nutrients!$EY$79,(IF($A$8=Nutrients!$B$77,Nutrients!$EY$77,Nutrients!$EY$78)))))*AD$8))</f>
        <v>15000</v>
      </c>
      <c r="AE334" s="21">
        <f>(SUMPRODUCT(AE$9:AE$229,Nutrients!$EY$8:$EY$228)+(IF($A$7=Nutrients!$B$8,Nutrients!$EY$8,Nutrients!$EY$9)*AE$7)+(((IF($A$8=Nutrients!$B$79,Nutrients!$EY$79,(IF($A$8=Nutrients!$B$77,Nutrients!$EY$77,Nutrients!$EY$78)))))*AE$8))</f>
        <v>15000</v>
      </c>
      <c r="AF334" s="21">
        <f>(SUMPRODUCT(AF$9:AF$229,Nutrients!$EY$8:$EY$228)+(IF($A$7=Nutrients!$B$8,Nutrients!$EY$8,Nutrients!$EY$9)*AF$7)+(((IF($A$8=Nutrients!$B$79,Nutrients!$EY$79,(IF($A$8=Nutrients!$B$77,Nutrients!$EY$77,Nutrients!$EY$78)))))*AF$8))</f>
        <v>12500</v>
      </c>
      <c r="AG334" s="21">
        <f>(SUMPRODUCT(AG$9:AG$229,Nutrients!$EY$8:$EY$228)+(IF($A$7=Nutrients!$B$8,Nutrients!$EY$8,Nutrients!$EY$9)*AG$7)+(((IF($A$8=Nutrients!$B$79,Nutrients!$EY$79,(IF($A$8=Nutrients!$B$77,Nutrients!$EY$77,Nutrients!$EY$78)))))*AG$8))</f>
        <v>10000</v>
      </c>
      <c r="AH334" s="21">
        <f>(SUMPRODUCT(AH$9:AH$229,Nutrients!$EY$8:$EY$228)+(IF($A$7=Nutrients!$B$8,Nutrients!$EY$8,Nutrients!$EY$9)*AH$7)+(((IF($A$8=Nutrients!$B$79,Nutrients!$EY$79,(IF($A$8=Nutrients!$B$77,Nutrients!$EY$77,Nutrients!$EY$78)))))*AH$8))</f>
        <v>7500</v>
      </c>
      <c r="AI334" s="21">
        <f>(SUMPRODUCT(AI$9:AI$229,Nutrients!$EY$8:$EY$228)+(IF($A$7=Nutrients!$B$8,Nutrients!$EY$8,Nutrients!$EY$9)*AI$7)+(((IF($A$8=Nutrients!$B$79,Nutrients!$EY$79,(IF($A$8=Nutrients!$B$77,Nutrients!$EY$77,Nutrients!$EY$78)))))*AI$8))</f>
        <v>7500</v>
      </c>
      <c r="AK334" s="21">
        <f>(SUMPRODUCT(AK$9:AK$229,Nutrients!$EY$8:$EY$228)+(IF($A$7=Nutrients!$B$8,Nutrients!$EY$8,Nutrients!$EY$9)*AK$7)+(((IF($A$8=Nutrients!$B$79,Nutrients!$EY$79,(IF($A$8=Nutrients!$B$77,Nutrients!$EY$77,Nutrients!$EY$78)))))*AK$8))</f>
        <v>15000</v>
      </c>
      <c r="AL334" s="21">
        <f>(SUMPRODUCT(AL$9:AL$229,Nutrients!$EY$8:$EY$228)+(IF($A$7=Nutrients!$B$8,Nutrients!$EY$8,Nutrients!$EY$9)*AL$7)+(((IF($A$8=Nutrients!$B$79,Nutrients!$EY$79,(IF($A$8=Nutrients!$B$77,Nutrients!$EY$77,Nutrients!$EY$78)))))*AL$8))</f>
        <v>15000</v>
      </c>
      <c r="AM334" s="21">
        <f>(SUMPRODUCT(AM$9:AM$229,Nutrients!$EY$8:$EY$228)+(IF($A$7=Nutrients!$B$8,Nutrients!$EY$8,Nutrients!$EY$9)*AM$7)+(((IF($A$8=Nutrients!$B$79,Nutrients!$EY$79,(IF($A$8=Nutrients!$B$77,Nutrients!$EY$77,Nutrients!$EY$78)))))*AM$8))</f>
        <v>12500</v>
      </c>
      <c r="AN334" s="21">
        <f>(SUMPRODUCT(AN$9:AN$229,Nutrients!$EY$8:$EY$228)+(IF($A$7=Nutrients!$B$8,Nutrients!$EY$8,Nutrients!$EY$9)*AN$7)+(((IF($A$8=Nutrients!$B$79,Nutrients!$EY$79,(IF($A$8=Nutrients!$B$77,Nutrients!$EY$77,Nutrients!$EY$78)))))*AN$8))</f>
        <v>10000</v>
      </c>
      <c r="AO334" s="21">
        <f>(SUMPRODUCT(AO$9:AO$229,Nutrients!$EY$8:$EY$228)+(IF($A$7=Nutrients!$B$8,Nutrients!$EY$8,Nutrients!$EY$9)*AO$7)+(((IF($A$8=Nutrients!$B$79,Nutrients!$EY$79,(IF($A$8=Nutrients!$B$77,Nutrients!$EY$77,Nutrients!$EY$78)))))*AO$8))</f>
        <v>7500</v>
      </c>
      <c r="AP334" s="21">
        <f>(SUMPRODUCT(AP$9:AP$229,Nutrients!$EY$8:$EY$228)+(IF($A$7=Nutrients!$B$8,Nutrients!$EY$8,Nutrients!$EY$9)*AP$7)+(((IF($A$8=Nutrients!$B$79,Nutrients!$EY$79,(IF($A$8=Nutrients!$B$77,Nutrients!$EY$77,Nutrients!$EY$78)))))*AP$8))</f>
        <v>7500</v>
      </c>
      <c r="AR334" s="21">
        <f>(SUMPRODUCT(AR$9:AR$229,Nutrients!$EY$8:$EY$228)+(IF($A$7=Nutrients!$B$8,Nutrients!$EY$8,Nutrients!$EY$9)*AR$7)+(((IF($A$8=Nutrients!$B$79,Nutrients!$EY$79,(IF($A$8=Nutrients!$B$77,Nutrients!$EY$77,Nutrients!$EY$78)))))*AR$8))</f>
        <v>15000</v>
      </c>
      <c r="AS334" s="21">
        <f>(SUMPRODUCT(AS$9:AS$229,Nutrients!$EY$8:$EY$228)+(IF($A$7=Nutrients!$B$8,Nutrients!$EY$8,Nutrients!$EY$9)*AS$7)+(((IF($A$8=Nutrients!$B$79,Nutrients!$EY$79,(IF($A$8=Nutrients!$B$77,Nutrients!$EY$77,Nutrients!$EY$78)))))*AS$8))</f>
        <v>15000</v>
      </c>
      <c r="AT334" s="21">
        <f>(SUMPRODUCT(AT$9:AT$229,Nutrients!$EY$8:$EY$228)+(IF($A$7=Nutrients!$B$8,Nutrients!$EY$8,Nutrients!$EY$9)*AT$7)+(((IF($A$8=Nutrients!$B$79,Nutrients!$EY$79,(IF($A$8=Nutrients!$B$77,Nutrients!$EY$77,Nutrients!$EY$78)))))*AT$8))</f>
        <v>12500</v>
      </c>
      <c r="AU334" s="21">
        <f>(SUMPRODUCT(AU$9:AU$229,Nutrients!$EY$8:$EY$228)+(IF($A$7=Nutrients!$B$8,Nutrients!$EY$8,Nutrients!$EY$9)*AU$7)+(((IF($A$8=Nutrients!$B$79,Nutrients!$EY$79,(IF($A$8=Nutrients!$B$77,Nutrients!$EY$77,Nutrients!$EY$78)))))*AU$8))</f>
        <v>10000</v>
      </c>
      <c r="AV334" s="21">
        <f>(SUMPRODUCT(AV$9:AV$229,Nutrients!$EY$8:$EY$228)+(IF($A$7=Nutrients!$B$8,Nutrients!$EY$8,Nutrients!$EY$9)*AV$7)+(((IF($A$8=Nutrients!$B$79,Nutrients!$EY$79,(IF($A$8=Nutrients!$B$77,Nutrients!$EY$77,Nutrients!$EY$78)))))*AV$8))</f>
        <v>7500</v>
      </c>
      <c r="AW334" s="21">
        <f>(SUMPRODUCT(AW$9:AW$229,Nutrients!$EY$8:$EY$228)+(IF($A$7=Nutrients!$B$8,Nutrients!$EY$8,Nutrients!$EY$9)*AW$7)+(((IF($A$8=Nutrients!$B$79,Nutrients!$EY$79,(IF($A$8=Nutrients!$B$77,Nutrients!$EY$77,Nutrients!$EY$78)))))*AW$8))</f>
        <v>7500</v>
      </c>
    </row>
    <row r="335" spans="1:49" x14ac:dyDescent="0.25">
      <c r="A335" s="34" t="s">
        <v>128</v>
      </c>
      <c r="B335" s="21">
        <f>(SUMPRODUCT(B$9:B$229,Nutrients!$EZ$8:$EZ$228)+(IF($A$7=Nutrients!$B$8,Nutrients!$EZ$8,Nutrients!$EZ$9)*B$7)+(((IF($A$8=Nutrients!$B$79,Nutrients!$EZ$79,(IF($A$8=Nutrients!$B$77,Nutrients!$EZ$77,Nutrients!$EZ$78)))))*B$8))</f>
        <v>4500</v>
      </c>
      <c r="C335" s="21">
        <f>(SUMPRODUCT(C$9:C$229,Nutrients!$EZ$8:$EZ$228)+(IF($A$7=Nutrients!$B$8,Nutrients!$EZ$8,Nutrients!$EZ$9)*C$7)+(((IF($A$8=Nutrients!$B$79,Nutrients!$EZ$79,(IF($A$8=Nutrients!$B$77,Nutrients!$EZ$77,Nutrients!$EZ$78)))))*C$8))</f>
        <v>4500</v>
      </c>
      <c r="D335" s="21">
        <f>(SUMPRODUCT(D$9:D$229,Nutrients!$EZ$8:$EZ$228)+(IF($A$7=Nutrients!$B$8,Nutrients!$EZ$8,Nutrients!$EZ$9)*D$7)+(((IF($A$8=Nutrients!$B$79,Nutrients!$EZ$79,(IF($A$8=Nutrients!$B$77,Nutrients!$EZ$77,Nutrients!$EZ$78)))))*D$8))</f>
        <v>3750</v>
      </c>
      <c r="E335" s="21">
        <f>(SUMPRODUCT(E$9:E$229,Nutrients!$EZ$8:$EZ$228)+(IF($A$7=Nutrients!$B$8,Nutrients!$EZ$8,Nutrients!$EZ$9)*E$7)+(((IF($A$8=Nutrients!$B$79,Nutrients!$EZ$79,(IF($A$8=Nutrients!$B$77,Nutrients!$EZ$77,Nutrients!$EZ$78)))))*E$8))</f>
        <v>3000</v>
      </c>
      <c r="F335" s="21">
        <f>(SUMPRODUCT(F$9:F$229,Nutrients!$EZ$8:$EZ$228)+(IF($A$7=Nutrients!$B$8,Nutrients!$EZ$8,Nutrients!$EZ$9)*F$7)+(((IF($A$8=Nutrients!$B$79,Nutrients!$EZ$79,(IF($A$8=Nutrients!$B$77,Nutrients!$EZ$77,Nutrients!$EZ$78)))))*F$8))</f>
        <v>2250</v>
      </c>
      <c r="G335" s="21">
        <f>(SUMPRODUCT(G$9:G$229,Nutrients!$EZ$8:$EZ$228)+(IF($A$7=Nutrients!$B$8,Nutrients!$EZ$8,Nutrients!$EZ$9)*G$7)+(((IF($A$8=Nutrients!$B$79,Nutrients!$EZ$79,(IF($A$8=Nutrients!$B$77,Nutrients!$EZ$77,Nutrients!$EZ$78)))))*G$8))</f>
        <v>2250</v>
      </c>
      <c r="H335" s="226"/>
      <c r="I335" s="21">
        <f>(SUMPRODUCT(I$9:I$229,Nutrients!$EZ$8:$EZ$228)+(IF($A$7=Nutrients!$B$8,Nutrients!$EZ$8,Nutrients!$EZ$9)*I$7)+(((IF($A$8=Nutrients!$B$79,Nutrients!$EZ$79,(IF($A$8=Nutrients!$B$77,Nutrients!$EZ$77,Nutrients!$EZ$78)))))*I$8))</f>
        <v>4500</v>
      </c>
      <c r="J335" s="21">
        <f>(SUMPRODUCT(J$9:J$229,Nutrients!$EZ$8:$EZ$228)+(IF($A$7=Nutrients!$B$8,Nutrients!$EZ$8,Nutrients!$EZ$9)*J$7)+(((IF($A$8=Nutrients!$B$79,Nutrients!$EZ$79,(IF($A$8=Nutrients!$B$77,Nutrients!$EZ$77,Nutrients!$EZ$78)))))*J$8))</f>
        <v>4500</v>
      </c>
      <c r="K335" s="21">
        <f>(SUMPRODUCT(K$9:K$229,Nutrients!$EZ$8:$EZ$228)+(IF($A$7=Nutrients!$B$8,Nutrients!$EZ$8,Nutrients!$EZ$9)*K$7)+(((IF($A$8=Nutrients!$B$79,Nutrients!$EZ$79,(IF($A$8=Nutrients!$B$77,Nutrients!$EZ$77,Nutrients!$EZ$78)))))*K$8))</f>
        <v>3750</v>
      </c>
      <c r="L335" s="21">
        <f>(SUMPRODUCT(L$9:L$229,Nutrients!$EZ$8:$EZ$228)+(IF($A$7=Nutrients!$B$8,Nutrients!$EZ$8,Nutrients!$EZ$9)*L$7)+(((IF($A$8=Nutrients!$B$79,Nutrients!$EZ$79,(IF($A$8=Nutrients!$B$77,Nutrients!$EZ$77,Nutrients!$EZ$78)))))*L$8))</f>
        <v>3000</v>
      </c>
      <c r="M335" s="21">
        <f>(SUMPRODUCT(M$9:M$229,Nutrients!$EZ$8:$EZ$228)+(IF($A$7=Nutrients!$B$8,Nutrients!$EZ$8,Nutrients!$EZ$9)*M$7)+(((IF($A$8=Nutrients!$B$79,Nutrients!$EZ$79,(IF($A$8=Nutrients!$B$77,Nutrients!$EZ$77,Nutrients!$EZ$78)))))*M$8))</f>
        <v>2250</v>
      </c>
      <c r="N335" s="21">
        <f>(SUMPRODUCT(N$9:N$229,Nutrients!$EZ$8:$EZ$228)+(IF($A$7=Nutrients!$B$8,Nutrients!$EZ$8,Nutrients!$EZ$9)*N$7)+(((IF($A$8=Nutrients!$B$79,Nutrients!$EZ$79,(IF($A$8=Nutrients!$B$77,Nutrients!$EZ$77,Nutrients!$EZ$78)))))*N$8))</f>
        <v>2250</v>
      </c>
      <c r="O335" s="234"/>
      <c r="P335" s="21">
        <f>(SUMPRODUCT(P$9:P$229,Nutrients!$EZ$8:$EZ$228)+(IF($A$7=Nutrients!$B$8,Nutrients!$EZ$8,Nutrients!$EZ$9)*P$7)+(((IF($A$8=Nutrients!$B$79,Nutrients!$EZ$79,(IF($A$8=Nutrients!$B$77,Nutrients!$EZ$77,Nutrients!$EZ$78)))))*P$8))</f>
        <v>4500</v>
      </c>
      <c r="Q335" s="21">
        <f>(SUMPRODUCT(Q$9:Q$229,Nutrients!$EZ$8:$EZ$228)+(IF($A$7=Nutrients!$B$8,Nutrients!$EZ$8,Nutrients!$EZ$9)*Q$7)+(((IF($A$8=Nutrients!$B$79,Nutrients!$EZ$79,(IF($A$8=Nutrients!$B$77,Nutrients!$EZ$77,Nutrients!$EZ$78)))))*Q$8))</f>
        <v>4500</v>
      </c>
      <c r="R335" s="21">
        <f>(SUMPRODUCT(R$9:R$229,Nutrients!$EZ$8:$EZ$228)+(IF($A$7=Nutrients!$B$8,Nutrients!$EZ$8,Nutrients!$EZ$9)*R$7)+(((IF($A$8=Nutrients!$B$79,Nutrients!$EZ$79,(IF($A$8=Nutrients!$B$77,Nutrients!$EZ$77,Nutrients!$EZ$78)))))*R$8))</f>
        <v>3750</v>
      </c>
      <c r="S335" s="21">
        <f>(SUMPRODUCT(S$9:S$229,Nutrients!$EZ$8:$EZ$228)+(IF($A$7=Nutrients!$B$8,Nutrients!$EZ$8,Nutrients!$EZ$9)*S$7)+(((IF($A$8=Nutrients!$B$79,Nutrients!$EZ$79,(IF($A$8=Nutrients!$B$77,Nutrients!$EZ$77,Nutrients!$EZ$78)))))*S$8))</f>
        <v>3000</v>
      </c>
      <c r="T335" s="21">
        <f>(SUMPRODUCT(T$9:T$229,Nutrients!$EZ$8:$EZ$228)+(IF($A$7=Nutrients!$B$8,Nutrients!$EZ$8,Nutrients!$EZ$9)*T$7)+(((IF($A$8=Nutrients!$B$79,Nutrients!$EZ$79,(IF($A$8=Nutrients!$B$77,Nutrients!$EZ$77,Nutrients!$EZ$78)))))*T$8))</f>
        <v>2250</v>
      </c>
      <c r="U335" s="21">
        <f>(SUMPRODUCT(U$9:U$229,Nutrients!$EZ$8:$EZ$228)+(IF($A$7=Nutrients!$B$8,Nutrients!$EZ$8,Nutrients!$EZ$9)*U$7)+(((IF($A$8=Nutrients!$B$79,Nutrients!$EZ$79,(IF($A$8=Nutrients!$B$77,Nutrients!$EZ$77,Nutrients!$EZ$78)))))*U$8))</f>
        <v>2250</v>
      </c>
      <c r="W335" s="21">
        <f>(SUMPRODUCT(W$9:W$229,Nutrients!$EZ$8:$EZ$228)+(IF($A$7=Nutrients!$B$8,Nutrients!$EZ$8,Nutrients!$EZ$9)*W$7)+(((IF($A$8=Nutrients!$B$79,Nutrients!$EZ$79,(IF($A$8=Nutrients!$B$77,Nutrients!$EZ$77,Nutrients!$EZ$78)))))*W$8))</f>
        <v>4500</v>
      </c>
      <c r="X335" s="21">
        <f>(SUMPRODUCT(X$9:X$229,Nutrients!$EZ$8:$EZ$228)+(IF($A$7=Nutrients!$B$8,Nutrients!$EZ$8,Nutrients!$EZ$9)*X$7)+(((IF($A$8=Nutrients!$B$79,Nutrients!$EZ$79,(IF($A$8=Nutrients!$B$77,Nutrients!$EZ$77,Nutrients!$EZ$78)))))*X$8))</f>
        <v>4500</v>
      </c>
      <c r="Y335" s="21">
        <f>(SUMPRODUCT(Y$9:Y$229,Nutrients!$EZ$8:$EZ$228)+(IF($A$7=Nutrients!$B$8,Nutrients!$EZ$8,Nutrients!$EZ$9)*Y$7)+(((IF($A$8=Nutrients!$B$79,Nutrients!$EZ$79,(IF($A$8=Nutrients!$B$77,Nutrients!$EZ$77,Nutrients!$EZ$78)))))*Y$8))</f>
        <v>3750</v>
      </c>
      <c r="Z335" s="21">
        <f>(SUMPRODUCT(Z$9:Z$229,Nutrients!$EZ$8:$EZ$228)+(IF($A$7=Nutrients!$B$8,Nutrients!$EZ$8,Nutrients!$EZ$9)*Z$7)+(((IF($A$8=Nutrients!$B$79,Nutrients!$EZ$79,(IF($A$8=Nutrients!$B$77,Nutrients!$EZ$77,Nutrients!$EZ$78)))))*Z$8))</f>
        <v>3000</v>
      </c>
      <c r="AA335" s="21">
        <f>(SUMPRODUCT(AA$9:AA$229,Nutrients!$EZ$8:$EZ$228)+(IF($A$7=Nutrients!$B$8,Nutrients!$EZ$8,Nutrients!$EZ$9)*AA$7)+(((IF($A$8=Nutrients!$B$79,Nutrients!$EZ$79,(IF($A$8=Nutrients!$B$77,Nutrients!$EZ$77,Nutrients!$EZ$78)))))*AA$8))</f>
        <v>2250</v>
      </c>
      <c r="AB335" s="21">
        <f>(SUMPRODUCT(AB$9:AB$229,Nutrients!$EZ$8:$EZ$228)+(IF($A$7=Nutrients!$B$8,Nutrients!$EZ$8,Nutrients!$EZ$9)*AB$7)+(((IF($A$8=Nutrients!$B$79,Nutrients!$EZ$79,(IF($A$8=Nutrients!$B$77,Nutrients!$EZ$77,Nutrients!$EZ$78)))))*AB$8))</f>
        <v>2250</v>
      </c>
      <c r="AD335" s="21">
        <f>(SUMPRODUCT(AD$9:AD$229,Nutrients!$EZ$8:$EZ$228)+(IF($A$7=Nutrients!$B$8,Nutrients!$EZ$8,Nutrients!$EZ$9)*AD$7)+(((IF($A$8=Nutrients!$B$79,Nutrients!$EZ$79,(IF($A$8=Nutrients!$B$77,Nutrients!$EZ$77,Nutrients!$EZ$78)))))*AD$8))</f>
        <v>4500</v>
      </c>
      <c r="AE335" s="21">
        <f>(SUMPRODUCT(AE$9:AE$229,Nutrients!$EZ$8:$EZ$228)+(IF($A$7=Nutrients!$B$8,Nutrients!$EZ$8,Nutrients!$EZ$9)*AE$7)+(((IF($A$8=Nutrients!$B$79,Nutrients!$EZ$79,(IF($A$8=Nutrients!$B$77,Nutrients!$EZ$77,Nutrients!$EZ$78)))))*AE$8))</f>
        <v>4500</v>
      </c>
      <c r="AF335" s="21">
        <f>(SUMPRODUCT(AF$9:AF$229,Nutrients!$EZ$8:$EZ$228)+(IF($A$7=Nutrients!$B$8,Nutrients!$EZ$8,Nutrients!$EZ$9)*AF$7)+(((IF($A$8=Nutrients!$B$79,Nutrients!$EZ$79,(IF($A$8=Nutrients!$B$77,Nutrients!$EZ$77,Nutrients!$EZ$78)))))*AF$8))</f>
        <v>3750</v>
      </c>
      <c r="AG335" s="21">
        <f>(SUMPRODUCT(AG$9:AG$229,Nutrients!$EZ$8:$EZ$228)+(IF($A$7=Nutrients!$B$8,Nutrients!$EZ$8,Nutrients!$EZ$9)*AG$7)+(((IF($A$8=Nutrients!$B$79,Nutrients!$EZ$79,(IF($A$8=Nutrients!$B$77,Nutrients!$EZ$77,Nutrients!$EZ$78)))))*AG$8))</f>
        <v>3000</v>
      </c>
      <c r="AH335" s="21">
        <f>(SUMPRODUCT(AH$9:AH$229,Nutrients!$EZ$8:$EZ$228)+(IF($A$7=Nutrients!$B$8,Nutrients!$EZ$8,Nutrients!$EZ$9)*AH$7)+(((IF($A$8=Nutrients!$B$79,Nutrients!$EZ$79,(IF($A$8=Nutrients!$B$77,Nutrients!$EZ$77,Nutrients!$EZ$78)))))*AH$8))</f>
        <v>2250</v>
      </c>
      <c r="AI335" s="21">
        <f>(SUMPRODUCT(AI$9:AI$229,Nutrients!$EZ$8:$EZ$228)+(IF($A$7=Nutrients!$B$8,Nutrients!$EZ$8,Nutrients!$EZ$9)*AI$7)+(((IF($A$8=Nutrients!$B$79,Nutrients!$EZ$79,(IF($A$8=Nutrients!$B$77,Nutrients!$EZ$77,Nutrients!$EZ$78)))))*AI$8))</f>
        <v>2250</v>
      </c>
      <c r="AK335" s="21">
        <f>(SUMPRODUCT(AK$9:AK$229,Nutrients!$EZ$8:$EZ$228)+(IF($A$7=Nutrients!$B$8,Nutrients!$EZ$8,Nutrients!$EZ$9)*AK$7)+(((IF($A$8=Nutrients!$B$79,Nutrients!$EZ$79,(IF($A$8=Nutrients!$B$77,Nutrients!$EZ$77,Nutrients!$EZ$78)))))*AK$8))</f>
        <v>4500</v>
      </c>
      <c r="AL335" s="21">
        <f>(SUMPRODUCT(AL$9:AL$229,Nutrients!$EZ$8:$EZ$228)+(IF($A$7=Nutrients!$B$8,Nutrients!$EZ$8,Nutrients!$EZ$9)*AL$7)+(((IF($A$8=Nutrients!$B$79,Nutrients!$EZ$79,(IF($A$8=Nutrients!$B$77,Nutrients!$EZ$77,Nutrients!$EZ$78)))))*AL$8))</f>
        <v>4500</v>
      </c>
      <c r="AM335" s="21">
        <f>(SUMPRODUCT(AM$9:AM$229,Nutrients!$EZ$8:$EZ$228)+(IF($A$7=Nutrients!$B$8,Nutrients!$EZ$8,Nutrients!$EZ$9)*AM$7)+(((IF($A$8=Nutrients!$B$79,Nutrients!$EZ$79,(IF($A$8=Nutrients!$B$77,Nutrients!$EZ$77,Nutrients!$EZ$78)))))*AM$8))</f>
        <v>3750</v>
      </c>
      <c r="AN335" s="21">
        <f>(SUMPRODUCT(AN$9:AN$229,Nutrients!$EZ$8:$EZ$228)+(IF($A$7=Nutrients!$B$8,Nutrients!$EZ$8,Nutrients!$EZ$9)*AN$7)+(((IF($A$8=Nutrients!$B$79,Nutrients!$EZ$79,(IF($A$8=Nutrients!$B$77,Nutrients!$EZ$77,Nutrients!$EZ$78)))))*AN$8))</f>
        <v>3000</v>
      </c>
      <c r="AO335" s="21">
        <f>(SUMPRODUCT(AO$9:AO$229,Nutrients!$EZ$8:$EZ$228)+(IF($A$7=Nutrients!$B$8,Nutrients!$EZ$8,Nutrients!$EZ$9)*AO$7)+(((IF($A$8=Nutrients!$B$79,Nutrients!$EZ$79,(IF($A$8=Nutrients!$B$77,Nutrients!$EZ$77,Nutrients!$EZ$78)))))*AO$8))</f>
        <v>2250</v>
      </c>
      <c r="AP335" s="21">
        <f>(SUMPRODUCT(AP$9:AP$229,Nutrients!$EZ$8:$EZ$228)+(IF($A$7=Nutrients!$B$8,Nutrients!$EZ$8,Nutrients!$EZ$9)*AP$7)+(((IF($A$8=Nutrients!$B$79,Nutrients!$EZ$79,(IF($A$8=Nutrients!$B$77,Nutrients!$EZ$77,Nutrients!$EZ$78)))))*AP$8))</f>
        <v>2250</v>
      </c>
      <c r="AR335" s="21">
        <f>(SUMPRODUCT(AR$9:AR$229,Nutrients!$EZ$8:$EZ$228)+(IF($A$7=Nutrients!$B$8,Nutrients!$EZ$8,Nutrients!$EZ$9)*AR$7)+(((IF($A$8=Nutrients!$B$79,Nutrients!$EZ$79,(IF($A$8=Nutrients!$B$77,Nutrients!$EZ$77,Nutrients!$EZ$78)))))*AR$8))</f>
        <v>4500</v>
      </c>
      <c r="AS335" s="21">
        <f>(SUMPRODUCT(AS$9:AS$229,Nutrients!$EZ$8:$EZ$228)+(IF($A$7=Nutrients!$B$8,Nutrients!$EZ$8,Nutrients!$EZ$9)*AS$7)+(((IF($A$8=Nutrients!$B$79,Nutrients!$EZ$79,(IF($A$8=Nutrients!$B$77,Nutrients!$EZ$77,Nutrients!$EZ$78)))))*AS$8))</f>
        <v>4500</v>
      </c>
      <c r="AT335" s="21">
        <f>(SUMPRODUCT(AT$9:AT$229,Nutrients!$EZ$8:$EZ$228)+(IF($A$7=Nutrients!$B$8,Nutrients!$EZ$8,Nutrients!$EZ$9)*AT$7)+(((IF($A$8=Nutrients!$B$79,Nutrients!$EZ$79,(IF($A$8=Nutrients!$B$77,Nutrients!$EZ$77,Nutrients!$EZ$78)))))*AT$8))</f>
        <v>3750</v>
      </c>
      <c r="AU335" s="21">
        <f>(SUMPRODUCT(AU$9:AU$229,Nutrients!$EZ$8:$EZ$228)+(IF($A$7=Nutrients!$B$8,Nutrients!$EZ$8,Nutrients!$EZ$9)*AU$7)+(((IF($A$8=Nutrients!$B$79,Nutrients!$EZ$79,(IF($A$8=Nutrients!$B$77,Nutrients!$EZ$77,Nutrients!$EZ$78)))))*AU$8))</f>
        <v>3000</v>
      </c>
      <c r="AV335" s="21">
        <f>(SUMPRODUCT(AV$9:AV$229,Nutrients!$EZ$8:$EZ$228)+(IF($A$7=Nutrients!$B$8,Nutrients!$EZ$8,Nutrients!$EZ$9)*AV$7)+(((IF($A$8=Nutrients!$B$79,Nutrients!$EZ$79,(IF($A$8=Nutrients!$B$77,Nutrients!$EZ$77,Nutrients!$EZ$78)))))*AV$8))</f>
        <v>2250</v>
      </c>
      <c r="AW335" s="21">
        <f>(SUMPRODUCT(AW$9:AW$229,Nutrients!$EZ$8:$EZ$228)+(IF($A$7=Nutrients!$B$8,Nutrients!$EZ$8,Nutrients!$EZ$9)*AW$7)+(((IF($A$8=Nutrients!$B$79,Nutrients!$EZ$79,(IF($A$8=Nutrients!$B$77,Nutrients!$EZ$77,Nutrients!$EZ$78)))))*AW$8))</f>
        <v>2250</v>
      </c>
    </row>
    <row r="336" spans="1:49" x14ac:dyDescent="0.25">
      <c r="A336" s="34" t="s">
        <v>129</v>
      </c>
      <c r="B336" s="21">
        <f>(SUMPRODUCT(B$9:B$229,Nutrients!$FA$8:$FA$228)+(IF($A$7=Nutrients!$B$8,Nutrients!$FA$8,Nutrients!$FA$9)*B$7)+(((IF($A$8=Nutrients!$B$79,Nutrients!$FA$79,(IF($A$8=Nutrients!$B$77,Nutrients!$FA$77,Nutrients!$FA$78)))))*B$8))</f>
        <v>0</v>
      </c>
      <c r="C336" s="21">
        <f>(SUMPRODUCT(C$9:C$229,Nutrients!$FA$8:$FA$228)+(IF($A$7=Nutrients!$B$8,Nutrients!$FA$8,Nutrients!$FA$9)*C$7)+(((IF($A$8=Nutrients!$B$79,Nutrients!$FA$79,(IF($A$8=Nutrients!$B$77,Nutrients!$FA$77,Nutrients!$FA$78)))))*C$8))</f>
        <v>0</v>
      </c>
      <c r="D336" s="21">
        <f>(SUMPRODUCT(D$9:D$229,Nutrients!$FA$8:$FA$228)+(IF($A$7=Nutrients!$B$8,Nutrients!$FA$8,Nutrients!$FA$9)*D$7)+(((IF($A$8=Nutrients!$B$79,Nutrients!$FA$79,(IF($A$8=Nutrients!$B$77,Nutrients!$FA$77,Nutrients!$FA$78)))))*D$8))</f>
        <v>0</v>
      </c>
      <c r="E336" s="21">
        <f>(SUMPRODUCT(E$9:E$229,Nutrients!$FA$8:$FA$228)+(IF($A$7=Nutrients!$B$8,Nutrients!$FA$8,Nutrients!$FA$9)*E$7)+(((IF($A$8=Nutrients!$B$79,Nutrients!$FA$79,(IF($A$8=Nutrients!$B$77,Nutrients!$FA$77,Nutrients!$FA$78)))))*E$8))</f>
        <v>0</v>
      </c>
      <c r="F336" s="21">
        <f>(SUMPRODUCT(F$9:F$229,Nutrients!$FA$8:$FA$228)+(IF($A$7=Nutrients!$B$8,Nutrients!$FA$8,Nutrients!$FA$9)*F$7)+(((IF($A$8=Nutrients!$B$79,Nutrients!$FA$79,(IF($A$8=Nutrients!$B$77,Nutrients!$FA$77,Nutrients!$FA$78)))))*F$8))</f>
        <v>0</v>
      </c>
      <c r="G336" s="21">
        <f>(SUMPRODUCT(G$9:G$229,Nutrients!$FA$8:$FA$228)+(IF($A$7=Nutrients!$B$8,Nutrients!$FA$8,Nutrients!$FA$9)*G$7)+(((IF($A$8=Nutrients!$B$79,Nutrients!$FA$79,(IF($A$8=Nutrients!$B$77,Nutrients!$FA$77,Nutrients!$FA$78)))))*G$8))</f>
        <v>0</v>
      </c>
      <c r="H336" s="226"/>
      <c r="I336" s="21">
        <f>(SUMPRODUCT(I$9:I$229,Nutrients!$FA$8:$FA$228)+(IF($A$7=Nutrients!$B$8,Nutrients!$FA$8,Nutrients!$FA$9)*I$7)+(((IF($A$8=Nutrients!$B$79,Nutrients!$FA$79,(IF($A$8=Nutrients!$B$77,Nutrients!$FA$77,Nutrients!$FA$78)))))*I$8))</f>
        <v>0</v>
      </c>
      <c r="J336" s="21">
        <f>(SUMPRODUCT(J$9:J$229,Nutrients!$FA$8:$FA$228)+(IF($A$7=Nutrients!$B$8,Nutrients!$FA$8,Nutrients!$FA$9)*J$7)+(((IF($A$8=Nutrients!$B$79,Nutrients!$FA$79,(IF($A$8=Nutrients!$B$77,Nutrients!$FA$77,Nutrients!$FA$78)))))*J$8))</f>
        <v>0</v>
      </c>
      <c r="K336" s="21">
        <f>(SUMPRODUCT(K$9:K$229,Nutrients!$FA$8:$FA$228)+(IF($A$7=Nutrients!$B$8,Nutrients!$FA$8,Nutrients!$FA$9)*K$7)+(((IF($A$8=Nutrients!$B$79,Nutrients!$FA$79,(IF($A$8=Nutrients!$B$77,Nutrients!$FA$77,Nutrients!$FA$78)))))*K$8))</f>
        <v>0</v>
      </c>
      <c r="L336" s="21">
        <f>(SUMPRODUCT(L$9:L$229,Nutrients!$FA$8:$FA$228)+(IF($A$7=Nutrients!$B$8,Nutrients!$FA$8,Nutrients!$FA$9)*L$7)+(((IF($A$8=Nutrients!$B$79,Nutrients!$FA$79,(IF($A$8=Nutrients!$B$77,Nutrients!$FA$77,Nutrients!$FA$78)))))*L$8))</f>
        <v>0</v>
      </c>
      <c r="M336" s="21">
        <f>(SUMPRODUCT(M$9:M$229,Nutrients!$FA$8:$FA$228)+(IF($A$7=Nutrients!$B$8,Nutrients!$FA$8,Nutrients!$FA$9)*M$7)+(((IF($A$8=Nutrients!$B$79,Nutrients!$FA$79,(IF($A$8=Nutrients!$B$77,Nutrients!$FA$77,Nutrients!$FA$78)))))*M$8))</f>
        <v>0</v>
      </c>
      <c r="N336" s="21">
        <f>(SUMPRODUCT(N$9:N$229,Nutrients!$FA$8:$FA$228)+(IF($A$7=Nutrients!$B$8,Nutrients!$FA$8,Nutrients!$FA$9)*N$7)+(((IF($A$8=Nutrients!$B$79,Nutrients!$FA$79,(IF($A$8=Nutrients!$B$77,Nutrients!$FA$77,Nutrients!$FA$78)))))*N$8))</f>
        <v>0</v>
      </c>
      <c r="O336" s="234"/>
      <c r="P336" s="21">
        <f>(SUMPRODUCT(P$9:P$229,Nutrients!$FA$8:$FA$228)+(IF($A$7=Nutrients!$B$8,Nutrients!$FA$8,Nutrients!$FA$9)*P$7)+(((IF($A$8=Nutrients!$B$79,Nutrients!$FA$79,(IF($A$8=Nutrients!$B$77,Nutrients!$FA$77,Nutrients!$FA$78)))))*P$8))</f>
        <v>0</v>
      </c>
      <c r="Q336" s="21">
        <f>(SUMPRODUCT(Q$9:Q$229,Nutrients!$FA$8:$FA$228)+(IF($A$7=Nutrients!$B$8,Nutrients!$FA$8,Nutrients!$FA$9)*Q$7)+(((IF($A$8=Nutrients!$B$79,Nutrients!$FA$79,(IF($A$8=Nutrients!$B$77,Nutrients!$FA$77,Nutrients!$FA$78)))))*Q$8))</f>
        <v>0</v>
      </c>
      <c r="R336" s="21">
        <f>(SUMPRODUCT(R$9:R$229,Nutrients!$FA$8:$FA$228)+(IF($A$7=Nutrients!$B$8,Nutrients!$FA$8,Nutrients!$FA$9)*R$7)+(((IF($A$8=Nutrients!$B$79,Nutrients!$FA$79,(IF($A$8=Nutrients!$B$77,Nutrients!$FA$77,Nutrients!$FA$78)))))*R$8))</f>
        <v>0</v>
      </c>
      <c r="S336" s="21">
        <f>(SUMPRODUCT(S$9:S$229,Nutrients!$FA$8:$FA$228)+(IF($A$7=Nutrients!$B$8,Nutrients!$FA$8,Nutrients!$FA$9)*S$7)+(((IF($A$8=Nutrients!$B$79,Nutrients!$FA$79,(IF($A$8=Nutrients!$B$77,Nutrients!$FA$77,Nutrients!$FA$78)))))*S$8))</f>
        <v>0</v>
      </c>
      <c r="T336" s="21">
        <f>(SUMPRODUCT(T$9:T$229,Nutrients!$FA$8:$FA$228)+(IF($A$7=Nutrients!$B$8,Nutrients!$FA$8,Nutrients!$FA$9)*T$7)+(((IF($A$8=Nutrients!$B$79,Nutrients!$FA$79,(IF($A$8=Nutrients!$B$77,Nutrients!$FA$77,Nutrients!$FA$78)))))*T$8))</f>
        <v>0</v>
      </c>
      <c r="U336" s="21">
        <f>(SUMPRODUCT(U$9:U$229,Nutrients!$FA$8:$FA$228)+(IF($A$7=Nutrients!$B$8,Nutrients!$FA$8,Nutrients!$FA$9)*U$7)+(((IF($A$8=Nutrients!$B$79,Nutrients!$FA$79,(IF($A$8=Nutrients!$B$77,Nutrients!$FA$77,Nutrients!$FA$78)))))*U$8))</f>
        <v>0</v>
      </c>
      <c r="W336" s="21">
        <f>(SUMPRODUCT(W$9:W$229,Nutrients!$FA$8:$FA$228)+(IF($A$7=Nutrients!$B$8,Nutrients!$FA$8,Nutrients!$FA$9)*W$7)+(((IF($A$8=Nutrients!$B$79,Nutrients!$FA$79,(IF($A$8=Nutrients!$B$77,Nutrients!$FA$77,Nutrients!$FA$78)))))*W$8))</f>
        <v>0</v>
      </c>
      <c r="X336" s="21">
        <f>(SUMPRODUCT(X$9:X$229,Nutrients!$FA$8:$FA$228)+(IF($A$7=Nutrients!$B$8,Nutrients!$FA$8,Nutrients!$FA$9)*X$7)+(((IF($A$8=Nutrients!$B$79,Nutrients!$FA$79,(IF($A$8=Nutrients!$B$77,Nutrients!$FA$77,Nutrients!$FA$78)))))*X$8))</f>
        <v>0</v>
      </c>
      <c r="Y336" s="21">
        <f>(SUMPRODUCT(Y$9:Y$229,Nutrients!$FA$8:$FA$228)+(IF($A$7=Nutrients!$B$8,Nutrients!$FA$8,Nutrients!$FA$9)*Y$7)+(((IF($A$8=Nutrients!$B$79,Nutrients!$FA$79,(IF($A$8=Nutrients!$B$77,Nutrients!$FA$77,Nutrients!$FA$78)))))*Y$8))</f>
        <v>0</v>
      </c>
      <c r="Z336" s="21">
        <f>(SUMPRODUCT(Z$9:Z$229,Nutrients!$FA$8:$FA$228)+(IF($A$7=Nutrients!$B$8,Nutrients!$FA$8,Nutrients!$FA$9)*Z$7)+(((IF($A$8=Nutrients!$B$79,Nutrients!$FA$79,(IF($A$8=Nutrients!$B$77,Nutrients!$FA$77,Nutrients!$FA$78)))))*Z$8))</f>
        <v>0</v>
      </c>
      <c r="AA336" s="21">
        <f>(SUMPRODUCT(AA$9:AA$229,Nutrients!$FA$8:$FA$228)+(IF($A$7=Nutrients!$B$8,Nutrients!$FA$8,Nutrients!$FA$9)*AA$7)+(((IF($A$8=Nutrients!$B$79,Nutrients!$FA$79,(IF($A$8=Nutrients!$B$77,Nutrients!$FA$77,Nutrients!$FA$78)))))*AA$8))</f>
        <v>0</v>
      </c>
      <c r="AB336" s="21">
        <f>(SUMPRODUCT(AB$9:AB$229,Nutrients!$FA$8:$FA$228)+(IF($A$7=Nutrients!$B$8,Nutrients!$FA$8,Nutrients!$FA$9)*AB$7)+(((IF($A$8=Nutrients!$B$79,Nutrients!$FA$79,(IF($A$8=Nutrients!$B$77,Nutrients!$FA$77,Nutrients!$FA$78)))))*AB$8))</f>
        <v>0</v>
      </c>
      <c r="AD336" s="21">
        <f>(SUMPRODUCT(AD$9:AD$229,Nutrients!$FA$8:$FA$228)+(IF($A$7=Nutrients!$B$8,Nutrients!$FA$8,Nutrients!$FA$9)*AD$7)+(((IF($A$8=Nutrients!$B$79,Nutrients!$FA$79,(IF($A$8=Nutrients!$B$77,Nutrients!$FA$77,Nutrients!$FA$78)))))*AD$8))</f>
        <v>0</v>
      </c>
      <c r="AE336" s="21">
        <f>(SUMPRODUCT(AE$9:AE$229,Nutrients!$FA$8:$FA$228)+(IF($A$7=Nutrients!$B$8,Nutrients!$FA$8,Nutrients!$FA$9)*AE$7)+(((IF($A$8=Nutrients!$B$79,Nutrients!$FA$79,(IF($A$8=Nutrients!$B$77,Nutrients!$FA$77,Nutrients!$FA$78)))))*AE$8))</f>
        <v>0</v>
      </c>
      <c r="AF336" s="21">
        <f>(SUMPRODUCT(AF$9:AF$229,Nutrients!$FA$8:$FA$228)+(IF($A$7=Nutrients!$B$8,Nutrients!$FA$8,Nutrients!$FA$9)*AF$7)+(((IF($A$8=Nutrients!$B$79,Nutrients!$FA$79,(IF($A$8=Nutrients!$B$77,Nutrients!$FA$77,Nutrients!$FA$78)))))*AF$8))</f>
        <v>0</v>
      </c>
      <c r="AG336" s="21">
        <f>(SUMPRODUCT(AG$9:AG$229,Nutrients!$FA$8:$FA$228)+(IF($A$7=Nutrients!$B$8,Nutrients!$FA$8,Nutrients!$FA$9)*AG$7)+(((IF($A$8=Nutrients!$B$79,Nutrients!$FA$79,(IF($A$8=Nutrients!$B$77,Nutrients!$FA$77,Nutrients!$FA$78)))))*AG$8))</f>
        <v>0</v>
      </c>
      <c r="AH336" s="21">
        <f>(SUMPRODUCT(AH$9:AH$229,Nutrients!$FA$8:$FA$228)+(IF($A$7=Nutrients!$B$8,Nutrients!$FA$8,Nutrients!$FA$9)*AH$7)+(((IF($A$8=Nutrients!$B$79,Nutrients!$FA$79,(IF($A$8=Nutrients!$B$77,Nutrients!$FA$77,Nutrients!$FA$78)))))*AH$8))</f>
        <v>0</v>
      </c>
      <c r="AI336" s="21">
        <f>(SUMPRODUCT(AI$9:AI$229,Nutrients!$FA$8:$FA$228)+(IF($A$7=Nutrients!$B$8,Nutrients!$FA$8,Nutrients!$FA$9)*AI$7)+(((IF($A$8=Nutrients!$B$79,Nutrients!$FA$79,(IF($A$8=Nutrients!$B$77,Nutrients!$FA$77,Nutrients!$FA$78)))))*AI$8))</f>
        <v>0</v>
      </c>
      <c r="AK336" s="21">
        <f>(SUMPRODUCT(AK$9:AK$229,Nutrients!$FA$8:$FA$228)+(IF($A$7=Nutrients!$B$8,Nutrients!$FA$8,Nutrients!$FA$9)*AK$7)+(((IF($A$8=Nutrients!$B$79,Nutrients!$FA$79,(IF($A$8=Nutrients!$B$77,Nutrients!$FA$77,Nutrients!$FA$78)))))*AK$8))</f>
        <v>0</v>
      </c>
      <c r="AL336" s="21">
        <f>(SUMPRODUCT(AL$9:AL$229,Nutrients!$FA$8:$FA$228)+(IF($A$7=Nutrients!$B$8,Nutrients!$FA$8,Nutrients!$FA$9)*AL$7)+(((IF($A$8=Nutrients!$B$79,Nutrients!$FA$79,(IF($A$8=Nutrients!$B$77,Nutrients!$FA$77,Nutrients!$FA$78)))))*AL$8))</f>
        <v>0</v>
      </c>
      <c r="AM336" s="21">
        <f>(SUMPRODUCT(AM$9:AM$229,Nutrients!$FA$8:$FA$228)+(IF($A$7=Nutrients!$B$8,Nutrients!$FA$8,Nutrients!$FA$9)*AM$7)+(((IF($A$8=Nutrients!$B$79,Nutrients!$FA$79,(IF($A$8=Nutrients!$B$77,Nutrients!$FA$77,Nutrients!$FA$78)))))*AM$8))</f>
        <v>0</v>
      </c>
      <c r="AN336" s="21">
        <f>(SUMPRODUCT(AN$9:AN$229,Nutrients!$FA$8:$FA$228)+(IF($A$7=Nutrients!$B$8,Nutrients!$FA$8,Nutrients!$FA$9)*AN$7)+(((IF($A$8=Nutrients!$B$79,Nutrients!$FA$79,(IF($A$8=Nutrients!$B$77,Nutrients!$FA$77,Nutrients!$FA$78)))))*AN$8))</f>
        <v>0</v>
      </c>
      <c r="AO336" s="21">
        <f>(SUMPRODUCT(AO$9:AO$229,Nutrients!$FA$8:$FA$228)+(IF($A$7=Nutrients!$B$8,Nutrients!$FA$8,Nutrients!$FA$9)*AO$7)+(((IF($A$8=Nutrients!$B$79,Nutrients!$FA$79,(IF($A$8=Nutrients!$B$77,Nutrients!$FA$77,Nutrients!$FA$78)))))*AO$8))</f>
        <v>0</v>
      </c>
      <c r="AP336" s="21">
        <f>(SUMPRODUCT(AP$9:AP$229,Nutrients!$FA$8:$FA$228)+(IF($A$7=Nutrients!$B$8,Nutrients!$FA$8,Nutrients!$FA$9)*AP$7)+(((IF($A$8=Nutrients!$B$79,Nutrients!$FA$79,(IF($A$8=Nutrients!$B$77,Nutrients!$FA$77,Nutrients!$FA$78)))))*AP$8))</f>
        <v>0</v>
      </c>
      <c r="AR336" s="21">
        <f>(SUMPRODUCT(AR$9:AR$229,Nutrients!$FA$8:$FA$228)+(IF($A$7=Nutrients!$B$8,Nutrients!$FA$8,Nutrients!$FA$9)*AR$7)+(((IF($A$8=Nutrients!$B$79,Nutrients!$FA$79,(IF($A$8=Nutrients!$B$77,Nutrients!$FA$77,Nutrients!$FA$78)))))*AR$8))</f>
        <v>0</v>
      </c>
      <c r="AS336" s="21">
        <f>(SUMPRODUCT(AS$9:AS$229,Nutrients!$FA$8:$FA$228)+(IF($A$7=Nutrients!$B$8,Nutrients!$FA$8,Nutrients!$FA$9)*AS$7)+(((IF($A$8=Nutrients!$B$79,Nutrients!$FA$79,(IF($A$8=Nutrients!$B$77,Nutrients!$FA$77,Nutrients!$FA$78)))))*AS$8))</f>
        <v>0</v>
      </c>
      <c r="AT336" s="21">
        <f>(SUMPRODUCT(AT$9:AT$229,Nutrients!$FA$8:$FA$228)+(IF($A$7=Nutrients!$B$8,Nutrients!$FA$8,Nutrients!$FA$9)*AT$7)+(((IF($A$8=Nutrients!$B$79,Nutrients!$FA$79,(IF($A$8=Nutrients!$B$77,Nutrients!$FA$77,Nutrients!$FA$78)))))*AT$8))</f>
        <v>0</v>
      </c>
      <c r="AU336" s="21">
        <f>(SUMPRODUCT(AU$9:AU$229,Nutrients!$FA$8:$FA$228)+(IF($A$7=Nutrients!$B$8,Nutrients!$FA$8,Nutrients!$FA$9)*AU$7)+(((IF($A$8=Nutrients!$B$79,Nutrients!$FA$79,(IF($A$8=Nutrients!$B$77,Nutrients!$FA$77,Nutrients!$FA$78)))))*AU$8))</f>
        <v>0</v>
      </c>
      <c r="AV336" s="21">
        <f>(SUMPRODUCT(AV$9:AV$229,Nutrients!$FA$8:$FA$228)+(IF($A$7=Nutrients!$B$8,Nutrients!$FA$8,Nutrients!$FA$9)*AV$7)+(((IF($A$8=Nutrients!$B$79,Nutrients!$FA$79,(IF($A$8=Nutrients!$B$77,Nutrients!$FA$77,Nutrients!$FA$78)))))*AV$8))</f>
        <v>0</v>
      </c>
      <c r="AW336" s="21">
        <f>(SUMPRODUCT(AW$9:AW$229,Nutrients!$FA$8:$FA$228)+(IF($A$7=Nutrients!$B$8,Nutrients!$FA$8,Nutrients!$FA$9)*AW$7)+(((IF($A$8=Nutrients!$B$79,Nutrients!$FA$79,(IF($A$8=Nutrients!$B$77,Nutrients!$FA$77,Nutrients!$FA$78)))))*AW$8))</f>
        <v>0</v>
      </c>
    </row>
    <row r="337" spans="1:52" x14ac:dyDescent="0.25">
      <c r="A337" s="34" t="s">
        <v>130</v>
      </c>
      <c r="B337" s="21">
        <f>(SUMPRODUCT(B$9:B$229,Nutrients!$FB$8:$FB$228)+(IF($A$7=Nutrients!$B$8,Nutrients!$FB$8,Nutrients!$FB$9)*B$7)+(((IF($A$8=Nutrients!$B$79,Nutrients!$FB$79,(IF($A$8=Nutrients!$B$77,Nutrients!$FB$77,Nutrients!$FB$78)))))*B$8))</f>
        <v>0</v>
      </c>
      <c r="C337" s="21">
        <f>(SUMPRODUCT(C$9:C$229,Nutrients!$FB$8:$FB$228)+(IF($A$7=Nutrients!$B$8,Nutrients!$FB$8,Nutrients!$FB$9)*C$7)+(((IF($A$8=Nutrients!$B$79,Nutrients!$FB$79,(IF($A$8=Nutrients!$B$77,Nutrients!$FB$77,Nutrients!$FB$78)))))*C$8))</f>
        <v>0</v>
      </c>
      <c r="D337" s="21">
        <f>(SUMPRODUCT(D$9:D$229,Nutrients!$FB$8:$FB$228)+(IF($A$7=Nutrients!$B$8,Nutrients!$FB$8,Nutrients!$FB$9)*D$7)+(((IF($A$8=Nutrients!$B$79,Nutrients!$FB$79,(IF($A$8=Nutrients!$B$77,Nutrients!$FB$77,Nutrients!$FB$78)))))*D$8))</f>
        <v>0</v>
      </c>
      <c r="E337" s="21">
        <f>(SUMPRODUCT(E$9:E$229,Nutrients!$FB$8:$FB$228)+(IF($A$7=Nutrients!$B$8,Nutrients!$FB$8,Nutrients!$FB$9)*E$7)+(((IF($A$8=Nutrients!$B$79,Nutrients!$FB$79,(IF($A$8=Nutrients!$B$77,Nutrients!$FB$77,Nutrients!$FB$78)))))*E$8))</f>
        <v>0</v>
      </c>
      <c r="F337" s="21">
        <f>(SUMPRODUCT(F$9:F$229,Nutrients!$FB$8:$FB$228)+(IF($A$7=Nutrients!$B$8,Nutrients!$FB$8,Nutrients!$FB$9)*F$7)+(((IF($A$8=Nutrients!$B$79,Nutrients!$FB$79,(IF($A$8=Nutrients!$B$77,Nutrients!$FB$77,Nutrients!$FB$78)))))*F$8))</f>
        <v>0</v>
      </c>
      <c r="G337" s="21">
        <f>(SUMPRODUCT(G$9:G$229,Nutrients!$FB$8:$FB$228)+(IF($A$7=Nutrients!$B$8,Nutrients!$FB$8,Nutrients!$FB$9)*G$7)+(((IF($A$8=Nutrients!$B$79,Nutrients!$FB$79,(IF($A$8=Nutrients!$B$77,Nutrients!$FB$77,Nutrients!$FB$78)))))*G$8))</f>
        <v>0</v>
      </c>
      <c r="H337" s="226"/>
      <c r="I337" s="21">
        <f>(SUMPRODUCT(I$9:I$229,Nutrients!$FB$8:$FB$228)+(IF($A$7=Nutrients!$B$8,Nutrients!$FB$8,Nutrients!$FB$9)*I$7)+(((IF($A$8=Nutrients!$B$79,Nutrients!$FB$79,(IF($A$8=Nutrients!$B$77,Nutrients!$FB$77,Nutrients!$FB$78)))))*I$8))</f>
        <v>0</v>
      </c>
      <c r="J337" s="21">
        <f>(SUMPRODUCT(J$9:J$229,Nutrients!$FB$8:$FB$228)+(IF($A$7=Nutrients!$B$8,Nutrients!$FB$8,Nutrients!$FB$9)*J$7)+(((IF($A$8=Nutrients!$B$79,Nutrients!$FB$79,(IF($A$8=Nutrients!$B$77,Nutrients!$FB$77,Nutrients!$FB$78)))))*J$8))</f>
        <v>0</v>
      </c>
      <c r="K337" s="21">
        <f>(SUMPRODUCT(K$9:K$229,Nutrients!$FB$8:$FB$228)+(IF($A$7=Nutrients!$B$8,Nutrients!$FB$8,Nutrients!$FB$9)*K$7)+(((IF($A$8=Nutrients!$B$79,Nutrients!$FB$79,(IF($A$8=Nutrients!$B$77,Nutrients!$FB$77,Nutrients!$FB$78)))))*K$8))</f>
        <v>0</v>
      </c>
      <c r="L337" s="21">
        <f>(SUMPRODUCT(L$9:L$229,Nutrients!$FB$8:$FB$228)+(IF($A$7=Nutrients!$B$8,Nutrients!$FB$8,Nutrients!$FB$9)*L$7)+(((IF($A$8=Nutrients!$B$79,Nutrients!$FB$79,(IF($A$8=Nutrients!$B$77,Nutrients!$FB$77,Nutrients!$FB$78)))))*L$8))</f>
        <v>0</v>
      </c>
      <c r="M337" s="21">
        <f>(SUMPRODUCT(M$9:M$229,Nutrients!$FB$8:$FB$228)+(IF($A$7=Nutrients!$B$8,Nutrients!$FB$8,Nutrients!$FB$9)*M$7)+(((IF($A$8=Nutrients!$B$79,Nutrients!$FB$79,(IF($A$8=Nutrients!$B$77,Nutrients!$FB$77,Nutrients!$FB$78)))))*M$8))</f>
        <v>0</v>
      </c>
      <c r="N337" s="21">
        <f>(SUMPRODUCT(N$9:N$229,Nutrients!$FB$8:$FB$228)+(IF($A$7=Nutrients!$B$8,Nutrients!$FB$8,Nutrients!$FB$9)*N$7)+(((IF($A$8=Nutrients!$B$79,Nutrients!$FB$79,(IF($A$8=Nutrients!$B$77,Nutrients!$FB$77,Nutrients!$FB$78)))))*N$8))</f>
        <v>0</v>
      </c>
      <c r="O337" s="234"/>
      <c r="P337" s="21">
        <f>(SUMPRODUCT(P$9:P$229,Nutrients!$FB$8:$FB$228)+(IF($A$7=Nutrients!$B$8,Nutrients!$FB$8,Nutrients!$FB$9)*P$7)+(((IF($A$8=Nutrients!$B$79,Nutrients!$FB$79,(IF($A$8=Nutrients!$B$77,Nutrients!$FB$77,Nutrients!$FB$78)))))*P$8))</f>
        <v>0</v>
      </c>
      <c r="Q337" s="21">
        <f>(SUMPRODUCT(Q$9:Q$229,Nutrients!$FB$8:$FB$228)+(IF($A$7=Nutrients!$B$8,Nutrients!$FB$8,Nutrients!$FB$9)*Q$7)+(((IF($A$8=Nutrients!$B$79,Nutrients!$FB$79,(IF($A$8=Nutrients!$B$77,Nutrients!$FB$77,Nutrients!$FB$78)))))*Q$8))</f>
        <v>0</v>
      </c>
      <c r="R337" s="21">
        <f>(SUMPRODUCT(R$9:R$229,Nutrients!$FB$8:$FB$228)+(IF($A$7=Nutrients!$B$8,Nutrients!$FB$8,Nutrients!$FB$9)*R$7)+(((IF($A$8=Nutrients!$B$79,Nutrients!$FB$79,(IF($A$8=Nutrients!$B$77,Nutrients!$FB$77,Nutrients!$FB$78)))))*R$8))</f>
        <v>0</v>
      </c>
      <c r="S337" s="21">
        <f>(SUMPRODUCT(S$9:S$229,Nutrients!$FB$8:$FB$228)+(IF($A$7=Nutrients!$B$8,Nutrients!$FB$8,Nutrients!$FB$9)*S$7)+(((IF($A$8=Nutrients!$B$79,Nutrients!$FB$79,(IF($A$8=Nutrients!$B$77,Nutrients!$FB$77,Nutrients!$FB$78)))))*S$8))</f>
        <v>0</v>
      </c>
      <c r="T337" s="21">
        <f>(SUMPRODUCT(T$9:T$229,Nutrients!$FB$8:$FB$228)+(IF($A$7=Nutrients!$B$8,Nutrients!$FB$8,Nutrients!$FB$9)*T$7)+(((IF($A$8=Nutrients!$B$79,Nutrients!$FB$79,(IF($A$8=Nutrients!$B$77,Nutrients!$FB$77,Nutrients!$FB$78)))))*T$8))</f>
        <v>0</v>
      </c>
      <c r="U337" s="21">
        <f>(SUMPRODUCT(U$9:U$229,Nutrients!$FB$8:$FB$228)+(IF($A$7=Nutrients!$B$8,Nutrients!$FB$8,Nutrients!$FB$9)*U$7)+(((IF($A$8=Nutrients!$B$79,Nutrients!$FB$79,(IF($A$8=Nutrients!$B$77,Nutrients!$FB$77,Nutrients!$FB$78)))))*U$8))</f>
        <v>0</v>
      </c>
      <c r="W337" s="21">
        <f>(SUMPRODUCT(W$9:W$229,Nutrients!$FB$8:$FB$228)+(IF($A$7=Nutrients!$B$8,Nutrients!$FB$8,Nutrients!$FB$9)*W$7)+(((IF($A$8=Nutrients!$B$79,Nutrients!$FB$79,(IF($A$8=Nutrients!$B$77,Nutrients!$FB$77,Nutrients!$FB$78)))))*W$8))</f>
        <v>0</v>
      </c>
      <c r="X337" s="21">
        <f>(SUMPRODUCT(X$9:X$229,Nutrients!$FB$8:$FB$228)+(IF($A$7=Nutrients!$B$8,Nutrients!$FB$8,Nutrients!$FB$9)*X$7)+(((IF($A$8=Nutrients!$B$79,Nutrients!$FB$79,(IF($A$8=Nutrients!$B$77,Nutrients!$FB$77,Nutrients!$FB$78)))))*X$8))</f>
        <v>0</v>
      </c>
      <c r="Y337" s="21">
        <f>(SUMPRODUCT(Y$9:Y$229,Nutrients!$FB$8:$FB$228)+(IF($A$7=Nutrients!$B$8,Nutrients!$FB$8,Nutrients!$FB$9)*Y$7)+(((IF($A$8=Nutrients!$B$79,Nutrients!$FB$79,(IF($A$8=Nutrients!$B$77,Nutrients!$FB$77,Nutrients!$FB$78)))))*Y$8))</f>
        <v>0</v>
      </c>
      <c r="Z337" s="21">
        <f>(SUMPRODUCT(Z$9:Z$229,Nutrients!$FB$8:$FB$228)+(IF($A$7=Nutrients!$B$8,Nutrients!$FB$8,Nutrients!$FB$9)*Z$7)+(((IF($A$8=Nutrients!$B$79,Nutrients!$FB$79,(IF($A$8=Nutrients!$B$77,Nutrients!$FB$77,Nutrients!$FB$78)))))*Z$8))</f>
        <v>0</v>
      </c>
      <c r="AA337" s="21">
        <f>(SUMPRODUCT(AA$9:AA$229,Nutrients!$FB$8:$FB$228)+(IF($A$7=Nutrients!$B$8,Nutrients!$FB$8,Nutrients!$FB$9)*AA$7)+(((IF($A$8=Nutrients!$B$79,Nutrients!$FB$79,(IF($A$8=Nutrients!$B$77,Nutrients!$FB$77,Nutrients!$FB$78)))))*AA$8))</f>
        <v>0</v>
      </c>
      <c r="AB337" s="21">
        <f>(SUMPRODUCT(AB$9:AB$229,Nutrients!$FB$8:$FB$228)+(IF($A$7=Nutrients!$B$8,Nutrients!$FB$8,Nutrients!$FB$9)*AB$7)+(((IF($A$8=Nutrients!$B$79,Nutrients!$FB$79,(IF($A$8=Nutrients!$B$77,Nutrients!$FB$77,Nutrients!$FB$78)))))*AB$8))</f>
        <v>0</v>
      </c>
      <c r="AD337" s="21">
        <f>(SUMPRODUCT(AD$9:AD$229,Nutrients!$FB$8:$FB$228)+(IF($A$7=Nutrients!$B$8,Nutrients!$FB$8,Nutrients!$FB$9)*AD$7)+(((IF($A$8=Nutrients!$B$79,Nutrients!$FB$79,(IF($A$8=Nutrients!$B$77,Nutrients!$FB$77,Nutrients!$FB$78)))))*AD$8))</f>
        <v>0</v>
      </c>
      <c r="AE337" s="21">
        <f>(SUMPRODUCT(AE$9:AE$229,Nutrients!$FB$8:$FB$228)+(IF($A$7=Nutrients!$B$8,Nutrients!$FB$8,Nutrients!$FB$9)*AE$7)+(((IF($A$8=Nutrients!$B$79,Nutrients!$FB$79,(IF($A$8=Nutrients!$B$77,Nutrients!$FB$77,Nutrients!$FB$78)))))*AE$8))</f>
        <v>0</v>
      </c>
      <c r="AF337" s="21">
        <f>(SUMPRODUCT(AF$9:AF$229,Nutrients!$FB$8:$FB$228)+(IF($A$7=Nutrients!$B$8,Nutrients!$FB$8,Nutrients!$FB$9)*AF$7)+(((IF($A$8=Nutrients!$B$79,Nutrients!$FB$79,(IF($A$8=Nutrients!$B$77,Nutrients!$FB$77,Nutrients!$FB$78)))))*AF$8))</f>
        <v>0</v>
      </c>
      <c r="AG337" s="21">
        <f>(SUMPRODUCT(AG$9:AG$229,Nutrients!$FB$8:$FB$228)+(IF($A$7=Nutrients!$B$8,Nutrients!$FB$8,Nutrients!$FB$9)*AG$7)+(((IF($A$8=Nutrients!$B$79,Nutrients!$FB$79,(IF($A$8=Nutrients!$B$77,Nutrients!$FB$77,Nutrients!$FB$78)))))*AG$8))</f>
        <v>0</v>
      </c>
      <c r="AH337" s="21">
        <f>(SUMPRODUCT(AH$9:AH$229,Nutrients!$FB$8:$FB$228)+(IF($A$7=Nutrients!$B$8,Nutrients!$FB$8,Nutrients!$FB$9)*AH$7)+(((IF($A$8=Nutrients!$B$79,Nutrients!$FB$79,(IF($A$8=Nutrients!$B$77,Nutrients!$FB$77,Nutrients!$FB$78)))))*AH$8))</f>
        <v>0</v>
      </c>
      <c r="AI337" s="21">
        <f>(SUMPRODUCT(AI$9:AI$229,Nutrients!$FB$8:$FB$228)+(IF($A$7=Nutrients!$B$8,Nutrients!$FB$8,Nutrients!$FB$9)*AI$7)+(((IF($A$8=Nutrients!$B$79,Nutrients!$FB$79,(IF($A$8=Nutrients!$B$77,Nutrients!$FB$77,Nutrients!$FB$78)))))*AI$8))</f>
        <v>0</v>
      </c>
      <c r="AK337" s="21">
        <f>(SUMPRODUCT(AK$9:AK$229,Nutrients!$FB$8:$FB$228)+(IF($A$7=Nutrients!$B$8,Nutrients!$FB$8,Nutrients!$FB$9)*AK$7)+(((IF($A$8=Nutrients!$B$79,Nutrients!$FB$79,(IF($A$8=Nutrients!$B$77,Nutrients!$FB$77,Nutrients!$FB$78)))))*AK$8))</f>
        <v>0</v>
      </c>
      <c r="AL337" s="21">
        <f>(SUMPRODUCT(AL$9:AL$229,Nutrients!$FB$8:$FB$228)+(IF($A$7=Nutrients!$B$8,Nutrients!$FB$8,Nutrients!$FB$9)*AL$7)+(((IF($A$8=Nutrients!$B$79,Nutrients!$FB$79,(IF($A$8=Nutrients!$B$77,Nutrients!$FB$77,Nutrients!$FB$78)))))*AL$8))</f>
        <v>0</v>
      </c>
      <c r="AM337" s="21">
        <f>(SUMPRODUCT(AM$9:AM$229,Nutrients!$FB$8:$FB$228)+(IF($A$7=Nutrients!$B$8,Nutrients!$FB$8,Nutrients!$FB$9)*AM$7)+(((IF($A$8=Nutrients!$B$79,Nutrients!$FB$79,(IF($A$8=Nutrients!$B$77,Nutrients!$FB$77,Nutrients!$FB$78)))))*AM$8))</f>
        <v>0</v>
      </c>
      <c r="AN337" s="21">
        <f>(SUMPRODUCT(AN$9:AN$229,Nutrients!$FB$8:$FB$228)+(IF($A$7=Nutrients!$B$8,Nutrients!$FB$8,Nutrients!$FB$9)*AN$7)+(((IF($A$8=Nutrients!$B$79,Nutrients!$FB$79,(IF($A$8=Nutrients!$B$77,Nutrients!$FB$77,Nutrients!$FB$78)))))*AN$8))</f>
        <v>0</v>
      </c>
      <c r="AO337" s="21">
        <f>(SUMPRODUCT(AO$9:AO$229,Nutrients!$FB$8:$FB$228)+(IF($A$7=Nutrients!$B$8,Nutrients!$FB$8,Nutrients!$FB$9)*AO$7)+(((IF($A$8=Nutrients!$B$79,Nutrients!$FB$79,(IF($A$8=Nutrients!$B$77,Nutrients!$FB$77,Nutrients!$FB$78)))))*AO$8))</f>
        <v>0</v>
      </c>
      <c r="AP337" s="21">
        <f>(SUMPRODUCT(AP$9:AP$229,Nutrients!$FB$8:$FB$228)+(IF($A$7=Nutrients!$B$8,Nutrients!$FB$8,Nutrients!$FB$9)*AP$7)+(((IF($A$8=Nutrients!$B$79,Nutrients!$FB$79,(IF($A$8=Nutrients!$B$77,Nutrients!$FB$77,Nutrients!$FB$78)))))*AP$8))</f>
        <v>0</v>
      </c>
      <c r="AR337" s="21">
        <f>(SUMPRODUCT(AR$9:AR$229,Nutrients!$FB$8:$FB$228)+(IF($A$7=Nutrients!$B$8,Nutrients!$FB$8,Nutrients!$FB$9)*AR$7)+(((IF($A$8=Nutrients!$B$79,Nutrients!$FB$79,(IF($A$8=Nutrients!$B$77,Nutrients!$FB$77,Nutrients!$FB$78)))))*AR$8))</f>
        <v>0</v>
      </c>
      <c r="AS337" s="21">
        <f>(SUMPRODUCT(AS$9:AS$229,Nutrients!$FB$8:$FB$228)+(IF($A$7=Nutrients!$B$8,Nutrients!$FB$8,Nutrients!$FB$9)*AS$7)+(((IF($A$8=Nutrients!$B$79,Nutrients!$FB$79,(IF($A$8=Nutrients!$B$77,Nutrients!$FB$77,Nutrients!$FB$78)))))*AS$8))</f>
        <v>0</v>
      </c>
      <c r="AT337" s="21">
        <f>(SUMPRODUCT(AT$9:AT$229,Nutrients!$FB$8:$FB$228)+(IF($A$7=Nutrients!$B$8,Nutrients!$FB$8,Nutrients!$FB$9)*AT$7)+(((IF($A$8=Nutrients!$B$79,Nutrients!$FB$79,(IF($A$8=Nutrients!$B$77,Nutrients!$FB$77,Nutrients!$FB$78)))))*AT$8))</f>
        <v>0</v>
      </c>
      <c r="AU337" s="21">
        <f>(SUMPRODUCT(AU$9:AU$229,Nutrients!$FB$8:$FB$228)+(IF($A$7=Nutrients!$B$8,Nutrients!$FB$8,Nutrients!$FB$9)*AU$7)+(((IF($A$8=Nutrients!$B$79,Nutrients!$FB$79,(IF($A$8=Nutrients!$B$77,Nutrients!$FB$77,Nutrients!$FB$78)))))*AU$8))</f>
        <v>0</v>
      </c>
      <c r="AV337" s="21">
        <f>(SUMPRODUCT(AV$9:AV$229,Nutrients!$FB$8:$FB$228)+(IF($A$7=Nutrients!$B$8,Nutrients!$FB$8,Nutrients!$FB$9)*AV$7)+(((IF($A$8=Nutrients!$B$79,Nutrients!$FB$79,(IF($A$8=Nutrients!$B$77,Nutrients!$FB$77,Nutrients!$FB$78)))))*AV$8))</f>
        <v>0</v>
      </c>
      <c r="AW337" s="21">
        <f>(SUMPRODUCT(AW$9:AW$229,Nutrients!$FB$8:$FB$228)+(IF($A$7=Nutrients!$B$8,Nutrients!$FB$8,Nutrients!$FB$9)*AW$7)+(((IF($A$8=Nutrients!$B$79,Nutrients!$FB$79,(IF($A$8=Nutrients!$B$77,Nutrients!$FB$77,Nutrients!$FB$78)))))*AW$8))</f>
        <v>0</v>
      </c>
    </row>
    <row r="338" spans="1:52" x14ac:dyDescent="0.25">
      <c r="A338" s="34" t="s">
        <v>131</v>
      </c>
      <c r="B338" s="21">
        <f>(SUMPRODUCT(B$9:B$229,Nutrients!$FC$8:$FC$228)+(IF($A$7=Nutrients!$B$8,Nutrients!$FC$8,Nutrients!$FC$9)*B$7)+(((IF($A$8=Nutrients!$B$79,Nutrients!$FC$79,(IF($A$8=Nutrients!$B$77,Nutrients!$FC$77,Nutrients!$FC$78)))))*B$8))</f>
        <v>0</v>
      </c>
      <c r="C338" s="21">
        <f>(SUMPRODUCT(C$9:C$229,Nutrients!$FC$8:$FC$228)+(IF($A$7=Nutrients!$B$8,Nutrients!$FC$8,Nutrients!$FC$9)*C$7)+(((IF($A$8=Nutrients!$B$79,Nutrients!$FC$79,(IF($A$8=Nutrients!$B$77,Nutrients!$FC$77,Nutrients!$FC$78)))))*C$8))</f>
        <v>0</v>
      </c>
      <c r="D338" s="21">
        <f>(SUMPRODUCT(D$9:D$229,Nutrients!$FC$8:$FC$228)+(IF($A$7=Nutrients!$B$8,Nutrients!$FC$8,Nutrients!$FC$9)*D$7)+(((IF($A$8=Nutrients!$B$79,Nutrients!$FC$79,(IF($A$8=Nutrients!$B$77,Nutrients!$FC$77,Nutrients!$FC$78)))))*D$8))</f>
        <v>0</v>
      </c>
      <c r="E338" s="21">
        <f>(SUMPRODUCT(E$9:E$229,Nutrients!$FC$8:$FC$228)+(IF($A$7=Nutrients!$B$8,Nutrients!$FC$8,Nutrients!$FC$9)*E$7)+(((IF($A$8=Nutrients!$B$79,Nutrients!$FC$79,(IF($A$8=Nutrients!$B$77,Nutrients!$FC$77,Nutrients!$FC$78)))))*E$8))</f>
        <v>0</v>
      </c>
      <c r="F338" s="21">
        <f>(SUMPRODUCT(F$9:F$229,Nutrients!$FC$8:$FC$228)+(IF($A$7=Nutrients!$B$8,Nutrients!$FC$8,Nutrients!$FC$9)*F$7)+(((IF($A$8=Nutrients!$B$79,Nutrients!$FC$79,(IF($A$8=Nutrients!$B$77,Nutrients!$FC$77,Nutrients!$FC$78)))))*F$8))</f>
        <v>0</v>
      </c>
      <c r="G338" s="21">
        <f>(SUMPRODUCT(G$9:G$229,Nutrients!$FC$8:$FC$228)+(IF($A$7=Nutrients!$B$8,Nutrients!$FC$8,Nutrients!$FC$9)*G$7)+(((IF($A$8=Nutrients!$B$79,Nutrients!$FC$79,(IF($A$8=Nutrients!$B$77,Nutrients!$FC$77,Nutrients!$FC$78)))))*G$8))</f>
        <v>0</v>
      </c>
      <c r="H338" s="226"/>
      <c r="I338" s="21">
        <f>(SUMPRODUCT(I$9:I$229,Nutrients!$FC$8:$FC$228)+(IF($A$7=Nutrients!$B$8,Nutrients!$FC$8,Nutrients!$FC$9)*I$7)+(((IF($A$8=Nutrients!$B$79,Nutrients!$FC$79,(IF($A$8=Nutrients!$B$77,Nutrients!$FC$77,Nutrients!$FC$78)))))*I$8))</f>
        <v>0</v>
      </c>
      <c r="J338" s="21">
        <f>(SUMPRODUCT(J$9:J$229,Nutrients!$FC$8:$FC$228)+(IF($A$7=Nutrients!$B$8,Nutrients!$FC$8,Nutrients!$FC$9)*J$7)+(((IF($A$8=Nutrients!$B$79,Nutrients!$FC$79,(IF($A$8=Nutrients!$B$77,Nutrients!$FC$77,Nutrients!$FC$78)))))*J$8))</f>
        <v>0</v>
      </c>
      <c r="K338" s="21">
        <f>(SUMPRODUCT(K$9:K$229,Nutrients!$FC$8:$FC$228)+(IF($A$7=Nutrients!$B$8,Nutrients!$FC$8,Nutrients!$FC$9)*K$7)+(((IF($A$8=Nutrients!$B$79,Nutrients!$FC$79,(IF($A$8=Nutrients!$B$77,Nutrients!$FC$77,Nutrients!$FC$78)))))*K$8))</f>
        <v>0</v>
      </c>
      <c r="L338" s="21">
        <f>(SUMPRODUCT(L$9:L$229,Nutrients!$FC$8:$FC$228)+(IF($A$7=Nutrients!$B$8,Nutrients!$FC$8,Nutrients!$FC$9)*L$7)+(((IF($A$8=Nutrients!$B$79,Nutrients!$FC$79,(IF($A$8=Nutrients!$B$77,Nutrients!$FC$77,Nutrients!$FC$78)))))*L$8))</f>
        <v>0</v>
      </c>
      <c r="M338" s="21">
        <f>(SUMPRODUCT(M$9:M$229,Nutrients!$FC$8:$FC$228)+(IF($A$7=Nutrients!$B$8,Nutrients!$FC$8,Nutrients!$FC$9)*M$7)+(((IF($A$8=Nutrients!$B$79,Nutrients!$FC$79,(IF($A$8=Nutrients!$B$77,Nutrients!$FC$77,Nutrients!$FC$78)))))*M$8))</f>
        <v>0</v>
      </c>
      <c r="N338" s="21">
        <f>(SUMPRODUCT(N$9:N$229,Nutrients!$FC$8:$FC$228)+(IF($A$7=Nutrients!$B$8,Nutrients!$FC$8,Nutrients!$FC$9)*N$7)+(((IF($A$8=Nutrients!$B$79,Nutrients!$FC$79,(IF($A$8=Nutrients!$B$77,Nutrients!$FC$77,Nutrients!$FC$78)))))*N$8))</f>
        <v>0</v>
      </c>
      <c r="O338" s="234"/>
      <c r="P338" s="21">
        <f>(SUMPRODUCT(P$9:P$229,Nutrients!$FC$8:$FC$228)+(IF($A$7=Nutrients!$B$8,Nutrients!$FC$8,Nutrients!$FC$9)*P$7)+(((IF($A$8=Nutrients!$B$79,Nutrients!$FC$79,(IF($A$8=Nutrients!$B$77,Nutrients!$FC$77,Nutrients!$FC$78)))))*P$8))</f>
        <v>0</v>
      </c>
      <c r="Q338" s="21">
        <f>(SUMPRODUCT(Q$9:Q$229,Nutrients!$FC$8:$FC$228)+(IF($A$7=Nutrients!$B$8,Nutrients!$FC$8,Nutrients!$FC$9)*Q$7)+(((IF($A$8=Nutrients!$B$79,Nutrients!$FC$79,(IF($A$8=Nutrients!$B$77,Nutrients!$FC$77,Nutrients!$FC$78)))))*Q$8))</f>
        <v>0</v>
      </c>
      <c r="R338" s="21">
        <f>(SUMPRODUCT(R$9:R$229,Nutrients!$FC$8:$FC$228)+(IF($A$7=Nutrients!$B$8,Nutrients!$FC$8,Nutrients!$FC$9)*R$7)+(((IF($A$8=Nutrients!$B$79,Nutrients!$FC$79,(IF($A$8=Nutrients!$B$77,Nutrients!$FC$77,Nutrients!$FC$78)))))*R$8))</f>
        <v>0</v>
      </c>
      <c r="S338" s="21">
        <f>(SUMPRODUCT(S$9:S$229,Nutrients!$FC$8:$FC$228)+(IF($A$7=Nutrients!$B$8,Nutrients!$FC$8,Nutrients!$FC$9)*S$7)+(((IF($A$8=Nutrients!$B$79,Nutrients!$FC$79,(IF($A$8=Nutrients!$B$77,Nutrients!$FC$77,Nutrients!$FC$78)))))*S$8))</f>
        <v>0</v>
      </c>
      <c r="T338" s="21">
        <f>(SUMPRODUCT(T$9:T$229,Nutrients!$FC$8:$FC$228)+(IF($A$7=Nutrients!$B$8,Nutrients!$FC$8,Nutrients!$FC$9)*T$7)+(((IF($A$8=Nutrients!$B$79,Nutrients!$FC$79,(IF($A$8=Nutrients!$B$77,Nutrients!$FC$77,Nutrients!$FC$78)))))*T$8))</f>
        <v>0</v>
      </c>
      <c r="U338" s="21">
        <f>(SUMPRODUCT(U$9:U$229,Nutrients!$FC$8:$FC$228)+(IF($A$7=Nutrients!$B$8,Nutrients!$FC$8,Nutrients!$FC$9)*U$7)+(((IF($A$8=Nutrients!$B$79,Nutrients!$FC$79,(IF($A$8=Nutrients!$B$77,Nutrients!$FC$77,Nutrients!$FC$78)))))*U$8))</f>
        <v>0</v>
      </c>
      <c r="W338" s="21">
        <f>(SUMPRODUCT(W$9:W$229,Nutrients!$FC$8:$FC$228)+(IF($A$7=Nutrients!$B$8,Nutrients!$FC$8,Nutrients!$FC$9)*W$7)+(((IF($A$8=Nutrients!$B$79,Nutrients!$FC$79,(IF($A$8=Nutrients!$B$77,Nutrients!$FC$77,Nutrients!$FC$78)))))*W$8))</f>
        <v>0</v>
      </c>
      <c r="X338" s="21">
        <f>(SUMPRODUCT(X$9:X$229,Nutrients!$FC$8:$FC$228)+(IF($A$7=Nutrients!$B$8,Nutrients!$FC$8,Nutrients!$FC$9)*X$7)+(((IF($A$8=Nutrients!$B$79,Nutrients!$FC$79,(IF($A$8=Nutrients!$B$77,Nutrients!$FC$77,Nutrients!$FC$78)))))*X$8))</f>
        <v>0</v>
      </c>
      <c r="Y338" s="21">
        <f>(SUMPRODUCT(Y$9:Y$229,Nutrients!$FC$8:$FC$228)+(IF($A$7=Nutrients!$B$8,Nutrients!$FC$8,Nutrients!$FC$9)*Y$7)+(((IF($A$8=Nutrients!$B$79,Nutrients!$FC$79,(IF($A$8=Nutrients!$B$77,Nutrients!$FC$77,Nutrients!$FC$78)))))*Y$8))</f>
        <v>0</v>
      </c>
      <c r="Z338" s="21">
        <f>(SUMPRODUCT(Z$9:Z$229,Nutrients!$FC$8:$FC$228)+(IF($A$7=Nutrients!$B$8,Nutrients!$FC$8,Nutrients!$FC$9)*Z$7)+(((IF($A$8=Nutrients!$B$79,Nutrients!$FC$79,(IF($A$8=Nutrients!$B$77,Nutrients!$FC$77,Nutrients!$FC$78)))))*Z$8))</f>
        <v>0</v>
      </c>
      <c r="AA338" s="21">
        <f>(SUMPRODUCT(AA$9:AA$229,Nutrients!$FC$8:$FC$228)+(IF($A$7=Nutrients!$B$8,Nutrients!$FC$8,Nutrients!$FC$9)*AA$7)+(((IF($A$8=Nutrients!$B$79,Nutrients!$FC$79,(IF($A$8=Nutrients!$B$77,Nutrients!$FC$77,Nutrients!$FC$78)))))*AA$8))</f>
        <v>0</v>
      </c>
      <c r="AB338" s="21">
        <f>(SUMPRODUCT(AB$9:AB$229,Nutrients!$FC$8:$FC$228)+(IF($A$7=Nutrients!$B$8,Nutrients!$FC$8,Nutrients!$FC$9)*AB$7)+(((IF($A$8=Nutrients!$B$79,Nutrients!$FC$79,(IF($A$8=Nutrients!$B$77,Nutrients!$FC$77,Nutrients!$FC$78)))))*AB$8))</f>
        <v>0</v>
      </c>
      <c r="AD338" s="21">
        <f>(SUMPRODUCT(AD$9:AD$229,Nutrients!$FC$8:$FC$228)+(IF($A$7=Nutrients!$B$8,Nutrients!$FC$8,Nutrients!$FC$9)*AD$7)+(((IF($A$8=Nutrients!$B$79,Nutrients!$FC$79,(IF($A$8=Nutrients!$B$77,Nutrients!$FC$77,Nutrients!$FC$78)))))*AD$8))</f>
        <v>0</v>
      </c>
      <c r="AE338" s="21">
        <f>(SUMPRODUCT(AE$9:AE$229,Nutrients!$FC$8:$FC$228)+(IF($A$7=Nutrients!$B$8,Nutrients!$FC$8,Nutrients!$FC$9)*AE$7)+(((IF($A$8=Nutrients!$B$79,Nutrients!$FC$79,(IF($A$8=Nutrients!$B$77,Nutrients!$FC$77,Nutrients!$FC$78)))))*AE$8))</f>
        <v>0</v>
      </c>
      <c r="AF338" s="21">
        <f>(SUMPRODUCT(AF$9:AF$229,Nutrients!$FC$8:$FC$228)+(IF($A$7=Nutrients!$B$8,Nutrients!$FC$8,Nutrients!$FC$9)*AF$7)+(((IF($A$8=Nutrients!$B$79,Nutrients!$FC$79,(IF($A$8=Nutrients!$B$77,Nutrients!$FC$77,Nutrients!$FC$78)))))*AF$8))</f>
        <v>0</v>
      </c>
      <c r="AG338" s="21">
        <f>(SUMPRODUCT(AG$9:AG$229,Nutrients!$FC$8:$FC$228)+(IF($A$7=Nutrients!$B$8,Nutrients!$FC$8,Nutrients!$FC$9)*AG$7)+(((IF($A$8=Nutrients!$B$79,Nutrients!$FC$79,(IF($A$8=Nutrients!$B$77,Nutrients!$FC$77,Nutrients!$FC$78)))))*AG$8))</f>
        <v>0</v>
      </c>
      <c r="AH338" s="21">
        <f>(SUMPRODUCT(AH$9:AH$229,Nutrients!$FC$8:$FC$228)+(IF($A$7=Nutrients!$B$8,Nutrients!$FC$8,Nutrients!$FC$9)*AH$7)+(((IF($A$8=Nutrients!$B$79,Nutrients!$FC$79,(IF($A$8=Nutrients!$B$77,Nutrients!$FC$77,Nutrients!$FC$78)))))*AH$8))</f>
        <v>0</v>
      </c>
      <c r="AI338" s="21">
        <f>(SUMPRODUCT(AI$9:AI$229,Nutrients!$FC$8:$FC$228)+(IF($A$7=Nutrients!$B$8,Nutrients!$FC$8,Nutrients!$FC$9)*AI$7)+(((IF($A$8=Nutrients!$B$79,Nutrients!$FC$79,(IF($A$8=Nutrients!$B$77,Nutrients!$FC$77,Nutrients!$FC$78)))))*AI$8))</f>
        <v>0</v>
      </c>
      <c r="AK338" s="21">
        <f>(SUMPRODUCT(AK$9:AK$229,Nutrients!$FC$8:$FC$228)+(IF($A$7=Nutrients!$B$8,Nutrients!$FC$8,Nutrients!$FC$9)*AK$7)+(((IF($A$8=Nutrients!$B$79,Nutrients!$FC$79,(IF($A$8=Nutrients!$B$77,Nutrients!$FC$77,Nutrients!$FC$78)))))*AK$8))</f>
        <v>0</v>
      </c>
      <c r="AL338" s="21">
        <f>(SUMPRODUCT(AL$9:AL$229,Nutrients!$FC$8:$FC$228)+(IF($A$7=Nutrients!$B$8,Nutrients!$FC$8,Nutrients!$FC$9)*AL$7)+(((IF($A$8=Nutrients!$B$79,Nutrients!$FC$79,(IF($A$8=Nutrients!$B$77,Nutrients!$FC$77,Nutrients!$FC$78)))))*AL$8))</f>
        <v>0</v>
      </c>
      <c r="AM338" s="21">
        <f>(SUMPRODUCT(AM$9:AM$229,Nutrients!$FC$8:$FC$228)+(IF($A$7=Nutrients!$B$8,Nutrients!$FC$8,Nutrients!$FC$9)*AM$7)+(((IF($A$8=Nutrients!$B$79,Nutrients!$FC$79,(IF($A$8=Nutrients!$B$77,Nutrients!$FC$77,Nutrients!$FC$78)))))*AM$8))</f>
        <v>0</v>
      </c>
      <c r="AN338" s="21">
        <f>(SUMPRODUCT(AN$9:AN$229,Nutrients!$FC$8:$FC$228)+(IF($A$7=Nutrients!$B$8,Nutrients!$FC$8,Nutrients!$FC$9)*AN$7)+(((IF($A$8=Nutrients!$B$79,Nutrients!$FC$79,(IF($A$8=Nutrients!$B$77,Nutrients!$FC$77,Nutrients!$FC$78)))))*AN$8))</f>
        <v>0</v>
      </c>
      <c r="AO338" s="21">
        <f>(SUMPRODUCT(AO$9:AO$229,Nutrients!$FC$8:$FC$228)+(IF($A$7=Nutrients!$B$8,Nutrients!$FC$8,Nutrients!$FC$9)*AO$7)+(((IF($A$8=Nutrients!$B$79,Nutrients!$FC$79,(IF($A$8=Nutrients!$B$77,Nutrients!$FC$77,Nutrients!$FC$78)))))*AO$8))</f>
        <v>0</v>
      </c>
      <c r="AP338" s="21">
        <f>(SUMPRODUCT(AP$9:AP$229,Nutrients!$FC$8:$FC$228)+(IF($A$7=Nutrients!$B$8,Nutrients!$FC$8,Nutrients!$FC$9)*AP$7)+(((IF($A$8=Nutrients!$B$79,Nutrients!$FC$79,(IF($A$8=Nutrients!$B$77,Nutrients!$FC$77,Nutrients!$FC$78)))))*AP$8))</f>
        <v>0</v>
      </c>
      <c r="AR338" s="21">
        <f>(SUMPRODUCT(AR$9:AR$229,Nutrients!$FC$8:$FC$228)+(IF($A$7=Nutrients!$B$8,Nutrients!$FC$8,Nutrients!$FC$9)*AR$7)+(((IF($A$8=Nutrients!$B$79,Nutrients!$FC$79,(IF($A$8=Nutrients!$B$77,Nutrients!$FC$77,Nutrients!$FC$78)))))*AR$8))</f>
        <v>0</v>
      </c>
      <c r="AS338" s="21">
        <f>(SUMPRODUCT(AS$9:AS$229,Nutrients!$FC$8:$FC$228)+(IF($A$7=Nutrients!$B$8,Nutrients!$FC$8,Nutrients!$FC$9)*AS$7)+(((IF($A$8=Nutrients!$B$79,Nutrients!$FC$79,(IF($A$8=Nutrients!$B$77,Nutrients!$FC$77,Nutrients!$FC$78)))))*AS$8))</f>
        <v>0</v>
      </c>
      <c r="AT338" s="21">
        <f>(SUMPRODUCT(AT$9:AT$229,Nutrients!$FC$8:$FC$228)+(IF($A$7=Nutrients!$B$8,Nutrients!$FC$8,Nutrients!$FC$9)*AT$7)+(((IF($A$8=Nutrients!$B$79,Nutrients!$FC$79,(IF($A$8=Nutrients!$B$77,Nutrients!$FC$77,Nutrients!$FC$78)))))*AT$8))</f>
        <v>0</v>
      </c>
      <c r="AU338" s="21">
        <f>(SUMPRODUCT(AU$9:AU$229,Nutrients!$FC$8:$FC$228)+(IF($A$7=Nutrients!$B$8,Nutrients!$FC$8,Nutrients!$FC$9)*AU$7)+(((IF($A$8=Nutrients!$B$79,Nutrients!$FC$79,(IF($A$8=Nutrients!$B$77,Nutrients!$FC$77,Nutrients!$FC$78)))))*AU$8))</f>
        <v>0</v>
      </c>
      <c r="AV338" s="21">
        <f>(SUMPRODUCT(AV$9:AV$229,Nutrients!$FC$8:$FC$228)+(IF($A$7=Nutrients!$B$8,Nutrients!$FC$8,Nutrients!$FC$9)*AV$7)+(((IF($A$8=Nutrients!$B$79,Nutrients!$FC$79,(IF($A$8=Nutrients!$B$77,Nutrients!$FC$77,Nutrients!$FC$78)))))*AV$8))</f>
        <v>0</v>
      </c>
      <c r="AW338" s="21">
        <f>(SUMPRODUCT(AW$9:AW$229,Nutrients!$FC$8:$FC$228)+(IF($A$7=Nutrients!$B$8,Nutrients!$FC$8,Nutrients!$FC$9)*AW$7)+(((IF($A$8=Nutrients!$B$79,Nutrients!$FC$79,(IF($A$8=Nutrients!$B$77,Nutrients!$FC$77,Nutrients!$FC$78)))))*AW$8))</f>
        <v>0</v>
      </c>
    </row>
    <row r="339" spans="1:52" x14ac:dyDescent="0.25">
      <c r="A339" s="34" t="s">
        <v>132</v>
      </c>
      <c r="B339" s="21">
        <f>(SUMPRODUCT(B$9:B$229,Nutrients!$FD$8:$FD$228)+(IF($A$7=Nutrients!$B$8,Nutrients!$FD$8,Nutrients!$FD$9)*B$7)+(((IF($A$8=Nutrients!$B$79,Nutrients!$FD$79,(IF($A$8=Nutrients!$B$77,Nutrients!$FD$77,Nutrients!$FD$78)))))*B$8))</f>
        <v>0</v>
      </c>
      <c r="C339" s="21">
        <f>(SUMPRODUCT(C$9:C$229,Nutrients!$FD$8:$FD$228)+(IF($A$7=Nutrients!$B$8,Nutrients!$FD$8,Nutrients!$FD$9)*C$7)+(((IF($A$8=Nutrients!$B$79,Nutrients!$FD$79,(IF($A$8=Nutrients!$B$77,Nutrients!$FD$77,Nutrients!$FD$78)))))*C$8))</f>
        <v>0</v>
      </c>
      <c r="D339" s="21">
        <f>(SUMPRODUCT(D$9:D$229,Nutrients!$FD$8:$FD$228)+(IF($A$7=Nutrients!$B$8,Nutrients!$FD$8,Nutrients!$FD$9)*D$7)+(((IF($A$8=Nutrients!$B$79,Nutrients!$FD$79,(IF($A$8=Nutrients!$B$77,Nutrients!$FD$77,Nutrients!$FD$78)))))*D$8))</f>
        <v>0</v>
      </c>
      <c r="E339" s="21">
        <f>(SUMPRODUCT(E$9:E$229,Nutrients!$FD$8:$FD$228)+(IF($A$7=Nutrients!$B$8,Nutrients!$FD$8,Nutrients!$FD$9)*E$7)+(((IF($A$8=Nutrients!$B$79,Nutrients!$FD$79,(IF($A$8=Nutrients!$B$77,Nutrients!$FD$77,Nutrients!$FD$78)))))*E$8))</f>
        <v>0</v>
      </c>
      <c r="F339" s="21">
        <f>(SUMPRODUCT(F$9:F$229,Nutrients!$FD$8:$FD$228)+(IF($A$7=Nutrients!$B$8,Nutrients!$FD$8,Nutrients!$FD$9)*F$7)+(((IF($A$8=Nutrients!$B$79,Nutrients!$FD$79,(IF($A$8=Nutrients!$B$77,Nutrients!$FD$77,Nutrients!$FD$78)))))*F$8))</f>
        <v>0</v>
      </c>
      <c r="G339" s="21">
        <f>(SUMPRODUCT(G$9:G$229,Nutrients!$FD$8:$FD$228)+(IF($A$7=Nutrients!$B$8,Nutrients!$FD$8,Nutrients!$FD$9)*G$7)+(((IF($A$8=Nutrients!$B$79,Nutrients!$FD$79,(IF($A$8=Nutrients!$B$77,Nutrients!$FD$77,Nutrients!$FD$78)))))*G$8))</f>
        <v>0</v>
      </c>
      <c r="H339" s="226"/>
      <c r="I339" s="21">
        <f>(SUMPRODUCT(I$9:I$229,Nutrients!$FD$8:$FD$228)+(IF($A$7=Nutrients!$B$8,Nutrients!$FD$8,Nutrients!$FD$9)*I$7)+(((IF($A$8=Nutrients!$B$79,Nutrients!$FD$79,(IF($A$8=Nutrients!$B$77,Nutrients!$FD$77,Nutrients!$FD$78)))))*I$8))</f>
        <v>0</v>
      </c>
      <c r="J339" s="21">
        <f>(SUMPRODUCT(J$9:J$229,Nutrients!$FD$8:$FD$228)+(IF($A$7=Nutrients!$B$8,Nutrients!$FD$8,Nutrients!$FD$9)*J$7)+(((IF($A$8=Nutrients!$B$79,Nutrients!$FD$79,(IF($A$8=Nutrients!$B$77,Nutrients!$FD$77,Nutrients!$FD$78)))))*J$8))</f>
        <v>0</v>
      </c>
      <c r="K339" s="21">
        <f>(SUMPRODUCT(K$9:K$229,Nutrients!$FD$8:$FD$228)+(IF($A$7=Nutrients!$B$8,Nutrients!$FD$8,Nutrients!$FD$9)*K$7)+(((IF($A$8=Nutrients!$B$79,Nutrients!$FD$79,(IF($A$8=Nutrients!$B$77,Nutrients!$FD$77,Nutrients!$FD$78)))))*K$8))</f>
        <v>0</v>
      </c>
      <c r="L339" s="21">
        <f>(SUMPRODUCT(L$9:L$229,Nutrients!$FD$8:$FD$228)+(IF($A$7=Nutrients!$B$8,Nutrients!$FD$8,Nutrients!$FD$9)*L$7)+(((IF($A$8=Nutrients!$B$79,Nutrients!$FD$79,(IF($A$8=Nutrients!$B$77,Nutrients!$FD$77,Nutrients!$FD$78)))))*L$8))</f>
        <v>0</v>
      </c>
      <c r="M339" s="21">
        <f>(SUMPRODUCT(M$9:M$229,Nutrients!$FD$8:$FD$228)+(IF($A$7=Nutrients!$B$8,Nutrients!$FD$8,Nutrients!$FD$9)*M$7)+(((IF($A$8=Nutrients!$B$79,Nutrients!$FD$79,(IF($A$8=Nutrients!$B$77,Nutrients!$FD$77,Nutrients!$FD$78)))))*M$8))</f>
        <v>0</v>
      </c>
      <c r="N339" s="21">
        <f>(SUMPRODUCT(N$9:N$229,Nutrients!$FD$8:$FD$228)+(IF($A$7=Nutrients!$B$8,Nutrients!$FD$8,Nutrients!$FD$9)*N$7)+(((IF($A$8=Nutrients!$B$79,Nutrients!$FD$79,(IF($A$8=Nutrients!$B$77,Nutrients!$FD$77,Nutrients!$FD$78)))))*N$8))</f>
        <v>0</v>
      </c>
      <c r="O339" s="234"/>
      <c r="P339" s="21">
        <f>(SUMPRODUCT(P$9:P$229,Nutrients!$FD$8:$FD$228)+(IF($A$7=Nutrients!$B$8,Nutrients!$FD$8,Nutrients!$FD$9)*P$7)+(((IF($A$8=Nutrients!$B$79,Nutrients!$FD$79,(IF($A$8=Nutrients!$B$77,Nutrients!$FD$77,Nutrients!$FD$78)))))*P$8))</f>
        <v>0</v>
      </c>
      <c r="Q339" s="21">
        <f>(SUMPRODUCT(Q$9:Q$229,Nutrients!$FD$8:$FD$228)+(IF($A$7=Nutrients!$B$8,Nutrients!$FD$8,Nutrients!$FD$9)*Q$7)+(((IF($A$8=Nutrients!$B$79,Nutrients!$FD$79,(IF($A$8=Nutrients!$B$77,Nutrients!$FD$77,Nutrients!$FD$78)))))*Q$8))</f>
        <v>0</v>
      </c>
      <c r="R339" s="21">
        <f>(SUMPRODUCT(R$9:R$229,Nutrients!$FD$8:$FD$228)+(IF($A$7=Nutrients!$B$8,Nutrients!$FD$8,Nutrients!$FD$9)*R$7)+(((IF($A$8=Nutrients!$B$79,Nutrients!$FD$79,(IF($A$8=Nutrients!$B$77,Nutrients!$FD$77,Nutrients!$FD$78)))))*R$8))</f>
        <v>0</v>
      </c>
      <c r="S339" s="21">
        <f>(SUMPRODUCT(S$9:S$229,Nutrients!$FD$8:$FD$228)+(IF($A$7=Nutrients!$B$8,Nutrients!$FD$8,Nutrients!$FD$9)*S$7)+(((IF($A$8=Nutrients!$B$79,Nutrients!$FD$79,(IF($A$8=Nutrients!$B$77,Nutrients!$FD$77,Nutrients!$FD$78)))))*S$8))</f>
        <v>0</v>
      </c>
      <c r="T339" s="21">
        <f>(SUMPRODUCT(T$9:T$229,Nutrients!$FD$8:$FD$228)+(IF($A$7=Nutrients!$B$8,Nutrients!$FD$8,Nutrients!$FD$9)*T$7)+(((IF($A$8=Nutrients!$B$79,Nutrients!$FD$79,(IF($A$8=Nutrients!$B$77,Nutrients!$FD$77,Nutrients!$FD$78)))))*T$8))</f>
        <v>0</v>
      </c>
      <c r="U339" s="21">
        <f>(SUMPRODUCT(U$9:U$229,Nutrients!$FD$8:$FD$228)+(IF($A$7=Nutrients!$B$8,Nutrients!$FD$8,Nutrients!$FD$9)*U$7)+(((IF($A$8=Nutrients!$B$79,Nutrients!$FD$79,(IF($A$8=Nutrients!$B$77,Nutrients!$FD$77,Nutrients!$FD$78)))))*U$8))</f>
        <v>0</v>
      </c>
      <c r="W339" s="21">
        <f>(SUMPRODUCT(W$9:W$229,Nutrients!$FD$8:$FD$228)+(IF($A$7=Nutrients!$B$8,Nutrients!$FD$8,Nutrients!$FD$9)*W$7)+(((IF($A$8=Nutrients!$B$79,Nutrients!$FD$79,(IF($A$8=Nutrients!$B$77,Nutrients!$FD$77,Nutrients!$FD$78)))))*W$8))</f>
        <v>0</v>
      </c>
      <c r="X339" s="21">
        <f>(SUMPRODUCT(X$9:X$229,Nutrients!$FD$8:$FD$228)+(IF($A$7=Nutrients!$B$8,Nutrients!$FD$8,Nutrients!$FD$9)*X$7)+(((IF($A$8=Nutrients!$B$79,Nutrients!$FD$79,(IF($A$8=Nutrients!$B$77,Nutrients!$FD$77,Nutrients!$FD$78)))))*X$8))</f>
        <v>0</v>
      </c>
      <c r="Y339" s="21">
        <f>(SUMPRODUCT(Y$9:Y$229,Nutrients!$FD$8:$FD$228)+(IF($A$7=Nutrients!$B$8,Nutrients!$FD$8,Nutrients!$FD$9)*Y$7)+(((IF($A$8=Nutrients!$B$79,Nutrients!$FD$79,(IF($A$8=Nutrients!$B$77,Nutrients!$FD$77,Nutrients!$FD$78)))))*Y$8))</f>
        <v>0</v>
      </c>
      <c r="Z339" s="21">
        <f>(SUMPRODUCT(Z$9:Z$229,Nutrients!$FD$8:$FD$228)+(IF($A$7=Nutrients!$B$8,Nutrients!$FD$8,Nutrients!$FD$9)*Z$7)+(((IF($A$8=Nutrients!$B$79,Nutrients!$FD$79,(IF($A$8=Nutrients!$B$77,Nutrients!$FD$77,Nutrients!$FD$78)))))*Z$8))</f>
        <v>0</v>
      </c>
      <c r="AA339" s="21">
        <f>(SUMPRODUCT(AA$9:AA$229,Nutrients!$FD$8:$FD$228)+(IF($A$7=Nutrients!$B$8,Nutrients!$FD$8,Nutrients!$FD$9)*AA$7)+(((IF($A$8=Nutrients!$B$79,Nutrients!$FD$79,(IF($A$8=Nutrients!$B$77,Nutrients!$FD$77,Nutrients!$FD$78)))))*AA$8))</f>
        <v>0</v>
      </c>
      <c r="AB339" s="21">
        <f>(SUMPRODUCT(AB$9:AB$229,Nutrients!$FD$8:$FD$228)+(IF($A$7=Nutrients!$B$8,Nutrients!$FD$8,Nutrients!$FD$9)*AB$7)+(((IF($A$8=Nutrients!$B$79,Nutrients!$FD$79,(IF($A$8=Nutrients!$B$77,Nutrients!$FD$77,Nutrients!$FD$78)))))*AB$8))</f>
        <v>0</v>
      </c>
      <c r="AD339" s="21">
        <f>(SUMPRODUCT(AD$9:AD$229,Nutrients!$FD$8:$FD$228)+(IF($A$7=Nutrients!$B$8,Nutrients!$FD$8,Nutrients!$FD$9)*AD$7)+(((IF($A$8=Nutrients!$B$79,Nutrients!$FD$79,(IF($A$8=Nutrients!$B$77,Nutrients!$FD$77,Nutrients!$FD$78)))))*AD$8))</f>
        <v>0</v>
      </c>
      <c r="AE339" s="21">
        <f>(SUMPRODUCT(AE$9:AE$229,Nutrients!$FD$8:$FD$228)+(IF($A$7=Nutrients!$B$8,Nutrients!$FD$8,Nutrients!$FD$9)*AE$7)+(((IF($A$8=Nutrients!$B$79,Nutrients!$FD$79,(IF($A$8=Nutrients!$B$77,Nutrients!$FD$77,Nutrients!$FD$78)))))*AE$8))</f>
        <v>0</v>
      </c>
      <c r="AF339" s="21">
        <f>(SUMPRODUCT(AF$9:AF$229,Nutrients!$FD$8:$FD$228)+(IF($A$7=Nutrients!$B$8,Nutrients!$FD$8,Nutrients!$FD$9)*AF$7)+(((IF($A$8=Nutrients!$B$79,Nutrients!$FD$79,(IF($A$8=Nutrients!$B$77,Nutrients!$FD$77,Nutrients!$FD$78)))))*AF$8))</f>
        <v>0</v>
      </c>
      <c r="AG339" s="21">
        <f>(SUMPRODUCT(AG$9:AG$229,Nutrients!$FD$8:$FD$228)+(IF($A$7=Nutrients!$B$8,Nutrients!$FD$8,Nutrients!$FD$9)*AG$7)+(((IF($A$8=Nutrients!$B$79,Nutrients!$FD$79,(IF($A$8=Nutrients!$B$77,Nutrients!$FD$77,Nutrients!$FD$78)))))*AG$8))</f>
        <v>0</v>
      </c>
      <c r="AH339" s="21">
        <f>(SUMPRODUCT(AH$9:AH$229,Nutrients!$FD$8:$FD$228)+(IF($A$7=Nutrients!$B$8,Nutrients!$FD$8,Nutrients!$FD$9)*AH$7)+(((IF($A$8=Nutrients!$B$79,Nutrients!$FD$79,(IF($A$8=Nutrients!$B$77,Nutrients!$FD$77,Nutrients!$FD$78)))))*AH$8))</f>
        <v>0</v>
      </c>
      <c r="AI339" s="21">
        <f>(SUMPRODUCT(AI$9:AI$229,Nutrients!$FD$8:$FD$228)+(IF($A$7=Nutrients!$B$8,Nutrients!$FD$8,Nutrients!$FD$9)*AI$7)+(((IF($A$8=Nutrients!$B$79,Nutrients!$FD$79,(IF($A$8=Nutrients!$B$77,Nutrients!$FD$77,Nutrients!$FD$78)))))*AI$8))</f>
        <v>0</v>
      </c>
      <c r="AK339" s="21">
        <f>(SUMPRODUCT(AK$9:AK$229,Nutrients!$FD$8:$FD$228)+(IF($A$7=Nutrients!$B$8,Nutrients!$FD$8,Nutrients!$FD$9)*AK$7)+(((IF($A$8=Nutrients!$B$79,Nutrients!$FD$79,(IF($A$8=Nutrients!$B$77,Nutrients!$FD$77,Nutrients!$FD$78)))))*AK$8))</f>
        <v>0</v>
      </c>
      <c r="AL339" s="21">
        <f>(SUMPRODUCT(AL$9:AL$229,Nutrients!$FD$8:$FD$228)+(IF($A$7=Nutrients!$B$8,Nutrients!$FD$8,Nutrients!$FD$9)*AL$7)+(((IF($A$8=Nutrients!$B$79,Nutrients!$FD$79,(IF($A$8=Nutrients!$B$77,Nutrients!$FD$77,Nutrients!$FD$78)))))*AL$8))</f>
        <v>0</v>
      </c>
      <c r="AM339" s="21">
        <f>(SUMPRODUCT(AM$9:AM$229,Nutrients!$FD$8:$FD$228)+(IF($A$7=Nutrients!$B$8,Nutrients!$FD$8,Nutrients!$FD$9)*AM$7)+(((IF($A$8=Nutrients!$B$79,Nutrients!$FD$79,(IF($A$8=Nutrients!$B$77,Nutrients!$FD$77,Nutrients!$FD$78)))))*AM$8))</f>
        <v>0</v>
      </c>
      <c r="AN339" s="21">
        <f>(SUMPRODUCT(AN$9:AN$229,Nutrients!$FD$8:$FD$228)+(IF($A$7=Nutrients!$B$8,Nutrients!$FD$8,Nutrients!$FD$9)*AN$7)+(((IF($A$8=Nutrients!$B$79,Nutrients!$FD$79,(IF($A$8=Nutrients!$B$77,Nutrients!$FD$77,Nutrients!$FD$78)))))*AN$8))</f>
        <v>0</v>
      </c>
      <c r="AO339" s="21">
        <f>(SUMPRODUCT(AO$9:AO$229,Nutrients!$FD$8:$FD$228)+(IF($A$7=Nutrients!$B$8,Nutrients!$FD$8,Nutrients!$FD$9)*AO$7)+(((IF($A$8=Nutrients!$B$79,Nutrients!$FD$79,(IF($A$8=Nutrients!$B$77,Nutrients!$FD$77,Nutrients!$FD$78)))))*AO$8))</f>
        <v>0</v>
      </c>
      <c r="AP339" s="21">
        <f>(SUMPRODUCT(AP$9:AP$229,Nutrients!$FD$8:$FD$228)+(IF($A$7=Nutrients!$B$8,Nutrients!$FD$8,Nutrients!$FD$9)*AP$7)+(((IF($A$8=Nutrients!$B$79,Nutrients!$FD$79,(IF($A$8=Nutrients!$B$77,Nutrients!$FD$77,Nutrients!$FD$78)))))*AP$8))</f>
        <v>0</v>
      </c>
      <c r="AR339" s="21">
        <f>(SUMPRODUCT(AR$9:AR$229,Nutrients!$FD$8:$FD$228)+(IF($A$7=Nutrients!$B$8,Nutrients!$FD$8,Nutrients!$FD$9)*AR$7)+(((IF($A$8=Nutrients!$B$79,Nutrients!$FD$79,(IF($A$8=Nutrients!$B$77,Nutrients!$FD$77,Nutrients!$FD$78)))))*AR$8))</f>
        <v>0</v>
      </c>
      <c r="AS339" s="21">
        <f>(SUMPRODUCT(AS$9:AS$229,Nutrients!$FD$8:$FD$228)+(IF($A$7=Nutrients!$B$8,Nutrients!$FD$8,Nutrients!$FD$9)*AS$7)+(((IF($A$8=Nutrients!$B$79,Nutrients!$FD$79,(IF($A$8=Nutrients!$B$77,Nutrients!$FD$77,Nutrients!$FD$78)))))*AS$8))</f>
        <v>0</v>
      </c>
      <c r="AT339" s="21">
        <f>(SUMPRODUCT(AT$9:AT$229,Nutrients!$FD$8:$FD$228)+(IF($A$7=Nutrients!$B$8,Nutrients!$FD$8,Nutrients!$FD$9)*AT$7)+(((IF($A$8=Nutrients!$B$79,Nutrients!$FD$79,(IF($A$8=Nutrients!$B$77,Nutrients!$FD$77,Nutrients!$FD$78)))))*AT$8))</f>
        <v>0</v>
      </c>
      <c r="AU339" s="21">
        <f>(SUMPRODUCT(AU$9:AU$229,Nutrients!$FD$8:$FD$228)+(IF($A$7=Nutrients!$B$8,Nutrients!$FD$8,Nutrients!$FD$9)*AU$7)+(((IF($A$8=Nutrients!$B$79,Nutrients!$FD$79,(IF($A$8=Nutrients!$B$77,Nutrients!$FD$77,Nutrients!$FD$78)))))*AU$8))</f>
        <v>0</v>
      </c>
      <c r="AV339" s="21">
        <f>(SUMPRODUCT(AV$9:AV$229,Nutrients!$FD$8:$FD$228)+(IF($A$7=Nutrients!$B$8,Nutrients!$FD$8,Nutrients!$FD$9)*AV$7)+(((IF($A$8=Nutrients!$B$79,Nutrients!$FD$79,(IF($A$8=Nutrients!$B$77,Nutrients!$FD$77,Nutrients!$FD$78)))))*AV$8))</f>
        <v>0</v>
      </c>
      <c r="AW339" s="21">
        <f>(SUMPRODUCT(AW$9:AW$229,Nutrients!$FD$8:$FD$228)+(IF($A$7=Nutrients!$B$8,Nutrients!$FD$8,Nutrients!$FD$9)*AW$7)+(((IF($A$8=Nutrients!$B$79,Nutrients!$FD$79,(IF($A$8=Nutrients!$B$77,Nutrients!$FD$77,Nutrients!$FD$78)))))*AW$8))</f>
        <v>0</v>
      </c>
    </row>
    <row r="340" spans="1:52" x14ac:dyDescent="0.25">
      <c r="A340" s="34" t="s">
        <v>133</v>
      </c>
      <c r="B340" s="21">
        <f>(SUMPRODUCT(B$9:B$229,Nutrients!$FE$8:$FE$228)+(IF($A$7=Nutrients!$B$8,Nutrients!$FE$8,Nutrients!$FE$9)*B$7)+(((IF($A$8=Nutrients!$B$79,Nutrients!$FE$79,(IF($A$8=Nutrients!$B$77,Nutrients!$FE$77,Nutrients!$FE$78)))))*B$8))</f>
        <v>0</v>
      </c>
      <c r="C340" s="21">
        <f>(SUMPRODUCT(C$9:C$229,Nutrients!$FE$8:$FE$228)+(IF($A$7=Nutrients!$B$8,Nutrients!$FE$8,Nutrients!$FE$9)*C$7)+(((IF($A$8=Nutrients!$B$79,Nutrients!$FE$79,(IF($A$8=Nutrients!$B$77,Nutrients!$FE$77,Nutrients!$FE$78)))))*C$8))</f>
        <v>0</v>
      </c>
      <c r="D340" s="21">
        <f>(SUMPRODUCT(D$9:D$229,Nutrients!$FE$8:$FE$228)+(IF($A$7=Nutrients!$B$8,Nutrients!$FE$8,Nutrients!$FE$9)*D$7)+(((IF($A$8=Nutrients!$B$79,Nutrients!$FE$79,(IF($A$8=Nutrients!$B$77,Nutrients!$FE$77,Nutrients!$FE$78)))))*D$8))</f>
        <v>0</v>
      </c>
      <c r="E340" s="21">
        <f>(SUMPRODUCT(E$9:E$229,Nutrients!$FE$8:$FE$228)+(IF($A$7=Nutrients!$B$8,Nutrients!$FE$8,Nutrients!$FE$9)*E$7)+(((IF($A$8=Nutrients!$B$79,Nutrients!$FE$79,(IF($A$8=Nutrients!$B$77,Nutrients!$FE$77,Nutrients!$FE$78)))))*E$8))</f>
        <v>0</v>
      </c>
      <c r="F340" s="21">
        <f>(SUMPRODUCT(F$9:F$229,Nutrients!$FE$8:$FE$228)+(IF($A$7=Nutrients!$B$8,Nutrients!$FE$8,Nutrients!$FE$9)*F$7)+(((IF($A$8=Nutrients!$B$79,Nutrients!$FE$79,(IF($A$8=Nutrients!$B$77,Nutrients!$FE$77,Nutrients!$FE$78)))))*F$8))</f>
        <v>0</v>
      </c>
      <c r="G340" s="21">
        <f>(SUMPRODUCT(G$9:G$229,Nutrients!$FE$8:$FE$228)+(IF($A$7=Nutrients!$B$8,Nutrients!$FE$8,Nutrients!$FE$9)*G$7)+(((IF($A$8=Nutrients!$B$79,Nutrients!$FE$79,(IF($A$8=Nutrients!$B$77,Nutrients!$FE$77,Nutrients!$FE$78)))))*G$8))</f>
        <v>0</v>
      </c>
      <c r="H340" s="226"/>
      <c r="I340" s="21">
        <f>(SUMPRODUCT(I$9:I$229,Nutrients!$FE$8:$FE$228)+(IF($A$7=Nutrients!$B$8,Nutrients!$FE$8,Nutrients!$FE$9)*I$7)+(((IF($A$8=Nutrients!$B$79,Nutrients!$FE$79,(IF($A$8=Nutrients!$B$77,Nutrients!$FE$77,Nutrients!$FE$78)))))*I$8))</f>
        <v>0</v>
      </c>
      <c r="J340" s="21">
        <f>(SUMPRODUCT(J$9:J$229,Nutrients!$FE$8:$FE$228)+(IF($A$7=Nutrients!$B$8,Nutrients!$FE$8,Nutrients!$FE$9)*J$7)+(((IF($A$8=Nutrients!$B$79,Nutrients!$FE$79,(IF($A$8=Nutrients!$B$77,Nutrients!$FE$77,Nutrients!$FE$78)))))*J$8))</f>
        <v>0</v>
      </c>
      <c r="K340" s="21">
        <f>(SUMPRODUCT(K$9:K$229,Nutrients!$FE$8:$FE$228)+(IF($A$7=Nutrients!$B$8,Nutrients!$FE$8,Nutrients!$FE$9)*K$7)+(((IF($A$8=Nutrients!$B$79,Nutrients!$FE$79,(IF($A$8=Nutrients!$B$77,Nutrients!$FE$77,Nutrients!$FE$78)))))*K$8))</f>
        <v>0</v>
      </c>
      <c r="L340" s="21">
        <f>(SUMPRODUCT(L$9:L$229,Nutrients!$FE$8:$FE$228)+(IF($A$7=Nutrients!$B$8,Nutrients!$FE$8,Nutrients!$FE$9)*L$7)+(((IF($A$8=Nutrients!$B$79,Nutrients!$FE$79,(IF($A$8=Nutrients!$B$77,Nutrients!$FE$77,Nutrients!$FE$78)))))*L$8))</f>
        <v>0</v>
      </c>
      <c r="M340" s="21">
        <f>(SUMPRODUCT(M$9:M$229,Nutrients!$FE$8:$FE$228)+(IF($A$7=Nutrients!$B$8,Nutrients!$FE$8,Nutrients!$FE$9)*M$7)+(((IF($A$8=Nutrients!$B$79,Nutrients!$FE$79,(IF($A$8=Nutrients!$B$77,Nutrients!$FE$77,Nutrients!$FE$78)))))*M$8))</f>
        <v>0</v>
      </c>
      <c r="N340" s="21">
        <f>(SUMPRODUCT(N$9:N$229,Nutrients!$FE$8:$FE$228)+(IF($A$7=Nutrients!$B$8,Nutrients!$FE$8,Nutrients!$FE$9)*N$7)+(((IF($A$8=Nutrients!$B$79,Nutrients!$FE$79,(IF($A$8=Nutrients!$B$77,Nutrients!$FE$77,Nutrients!$FE$78)))))*N$8))</f>
        <v>0</v>
      </c>
      <c r="O340" s="234"/>
      <c r="P340" s="21">
        <f>(SUMPRODUCT(P$9:P$229,Nutrients!$FE$8:$FE$228)+(IF($A$7=Nutrients!$B$8,Nutrients!$FE$8,Nutrients!$FE$9)*P$7)+(((IF($A$8=Nutrients!$B$79,Nutrients!$FE$79,(IF($A$8=Nutrients!$B$77,Nutrients!$FE$77,Nutrients!$FE$78)))))*P$8))</f>
        <v>0</v>
      </c>
      <c r="Q340" s="21">
        <f>(SUMPRODUCT(Q$9:Q$229,Nutrients!$FE$8:$FE$228)+(IF($A$7=Nutrients!$B$8,Nutrients!$FE$8,Nutrients!$FE$9)*Q$7)+(((IF($A$8=Nutrients!$B$79,Nutrients!$FE$79,(IF($A$8=Nutrients!$B$77,Nutrients!$FE$77,Nutrients!$FE$78)))))*Q$8))</f>
        <v>0</v>
      </c>
      <c r="R340" s="21">
        <f>(SUMPRODUCT(R$9:R$229,Nutrients!$FE$8:$FE$228)+(IF($A$7=Nutrients!$B$8,Nutrients!$FE$8,Nutrients!$FE$9)*R$7)+(((IF($A$8=Nutrients!$B$79,Nutrients!$FE$79,(IF($A$8=Nutrients!$B$77,Nutrients!$FE$77,Nutrients!$FE$78)))))*R$8))</f>
        <v>0</v>
      </c>
      <c r="S340" s="21">
        <f>(SUMPRODUCT(S$9:S$229,Nutrients!$FE$8:$FE$228)+(IF($A$7=Nutrients!$B$8,Nutrients!$FE$8,Nutrients!$FE$9)*S$7)+(((IF($A$8=Nutrients!$B$79,Nutrients!$FE$79,(IF($A$8=Nutrients!$B$77,Nutrients!$FE$77,Nutrients!$FE$78)))))*S$8))</f>
        <v>0</v>
      </c>
      <c r="T340" s="21">
        <f>(SUMPRODUCT(T$9:T$229,Nutrients!$FE$8:$FE$228)+(IF($A$7=Nutrients!$B$8,Nutrients!$FE$8,Nutrients!$FE$9)*T$7)+(((IF($A$8=Nutrients!$B$79,Nutrients!$FE$79,(IF($A$8=Nutrients!$B$77,Nutrients!$FE$77,Nutrients!$FE$78)))))*T$8))</f>
        <v>0</v>
      </c>
      <c r="U340" s="21">
        <f>(SUMPRODUCT(U$9:U$229,Nutrients!$FE$8:$FE$228)+(IF($A$7=Nutrients!$B$8,Nutrients!$FE$8,Nutrients!$FE$9)*U$7)+(((IF($A$8=Nutrients!$B$79,Nutrients!$FE$79,(IF($A$8=Nutrients!$B$77,Nutrients!$FE$77,Nutrients!$FE$78)))))*U$8))</f>
        <v>0</v>
      </c>
      <c r="W340" s="21">
        <f>(SUMPRODUCT(W$9:W$229,Nutrients!$FE$8:$FE$228)+(IF($A$7=Nutrients!$B$8,Nutrients!$FE$8,Nutrients!$FE$9)*W$7)+(((IF($A$8=Nutrients!$B$79,Nutrients!$FE$79,(IF($A$8=Nutrients!$B$77,Nutrients!$FE$77,Nutrients!$FE$78)))))*W$8))</f>
        <v>0</v>
      </c>
      <c r="X340" s="21">
        <f>(SUMPRODUCT(X$9:X$229,Nutrients!$FE$8:$FE$228)+(IF($A$7=Nutrients!$B$8,Nutrients!$FE$8,Nutrients!$FE$9)*X$7)+(((IF($A$8=Nutrients!$B$79,Nutrients!$FE$79,(IF($A$8=Nutrients!$B$77,Nutrients!$FE$77,Nutrients!$FE$78)))))*X$8))</f>
        <v>0</v>
      </c>
      <c r="Y340" s="21">
        <f>(SUMPRODUCT(Y$9:Y$229,Nutrients!$FE$8:$FE$228)+(IF($A$7=Nutrients!$B$8,Nutrients!$FE$8,Nutrients!$FE$9)*Y$7)+(((IF($A$8=Nutrients!$B$79,Nutrients!$FE$79,(IF($A$8=Nutrients!$B$77,Nutrients!$FE$77,Nutrients!$FE$78)))))*Y$8))</f>
        <v>0</v>
      </c>
      <c r="Z340" s="21">
        <f>(SUMPRODUCT(Z$9:Z$229,Nutrients!$FE$8:$FE$228)+(IF($A$7=Nutrients!$B$8,Nutrients!$FE$8,Nutrients!$FE$9)*Z$7)+(((IF($A$8=Nutrients!$B$79,Nutrients!$FE$79,(IF($A$8=Nutrients!$B$77,Nutrients!$FE$77,Nutrients!$FE$78)))))*Z$8))</f>
        <v>0</v>
      </c>
      <c r="AA340" s="21">
        <f>(SUMPRODUCT(AA$9:AA$229,Nutrients!$FE$8:$FE$228)+(IF($A$7=Nutrients!$B$8,Nutrients!$FE$8,Nutrients!$FE$9)*AA$7)+(((IF($A$8=Nutrients!$B$79,Nutrients!$FE$79,(IF($A$8=Nutrients!$B$77,Nutrients!$FE$77,Nutrients!$FE$78)))))*AA$8))</f>
        <v>0</v>
      </c>
      <c r="AB340" s="21">
        <f>(SUMPRODUCT(AB$9:AB$229,Nutrients!$FE$8:$FE$228)+(IF($A$7=Nutrients!$B$8,Nutrients!$FE$8,Nutrients!$FE$9)*AB$7)+(((IF($A$8=Nutrients!$B$79,Nutrients!$FE$79,(IF($A$8=Nutrients!$B$77,Nutrients!$FE$77,Nutrients!$FE$78)))))*AB$8))</f>
        <v>0</v>
      </c>
      <c r="AD340" s="21">
        <f>(SUMPRODUCT(AD$9:AD$229,Nutrients!$FE$8:$FE$228)+(IF($A$7=Nutrients!$B$8,Nutrients!$FE$8,Nutrients!$FE$9)*AD$7)+(((IF($A$8=Nutrients!$B$79,Nutrients!$FE$79,(IF($A$8=Nutrients!$B$77,Nutrients!$FE$77,Nutrients!$FE$78)))))*AD$8))</f>
        <v>0</v>
      </c>
      <c r="AE340" s="21">
        <f>(SUMPRODUCT(AE$9:AE$229,Nutrients!$FE$8:$FE$228)+(IF($A$7=Nutrients!$B$8,Nutrients!$FE$8,Nutrients!$FE$9)*AE$7)+(((IF($A$8=Nutrients!$B$79,Nutrients!$FE$79,(IF($A$8=Nutrients!$B$77,Nutrients!$FE$77,Nutrients!$FE$78)))))*AE$8))</f>
        <v>0</v>
      </c>
      <c r="AF340" s="21">
        <f>(SUMPRODUCT(AF$9:AF$229,Nutrients!$FE$8:$FE$228)+(IF($A$7=Nutrients!$B$8,Nutrients!$FE$8,Nutrients!$FE$9)*AF$7)+(((IF($A$8=Nutrients!$B$79,Nutrients!$FE$79,(IF($A$8=Nutrients!$B$77,Nutrients!$FE$77,Nutrients!$FE$78)))))*AF$8))</f>
        <v>0</v>
      </c>
      <c r="AG340" s="21">
        <f>(SUMPRODUCT(AG$9:AG$229,Nutrients!$FE$8:$FE$228)+(IF($A$7=Nutrients!$B$8,Nutrients!$FE$8,Nutrients!$FE$9)*AG$7)+(((IF($A$8=Nutrients!$B$79,Nutrients!$FE$79,(IF($A$8=Nutrients!$B$77,Nutrients!$FE$77,Nutrients!$FE$78)))))*AG$8))</f>
        <v>0</v>
      </c>
      <c r="AH340" s="21">
        <f>(SUMPRODUCT(AH$9:AH$229,Nutrients!$FE$8:$FE$228)+(IF($A$7=Nutrients!$B$8,Nutrients!$FE$8,Nutrients!$FE$9)*AH$7)+(((IF($A$8=Nutrients!$B$79,Nutrients!$FE$79,(IF($A$8=Nutrients!$B$77,Nutrients!$FE$77,Nutrients!$FE$78)))))*AH$8))</f>
        <v>0</v>
      </c>
      <c r="AI340" s="21">
        <f>(SUMPRODUCT(AI$9:AI$229,Nutrients!$FE$8:$FE$228)+(IF($A$7=Nutrients!$B$8,Nutrients!$FE$8,Nutrients!$FE$9)*AI$7)+(((IF($A$8=Nutrients!$B$79,Nutrients!$FE$79,(IF($A$8=Nutrients!$B$77,Nutrients!$FE$77,Nutrients!$FE$78)))))*AI$8))</f>
        <v>0</v>
      </c>
      <c r="AK340" s="21">
        <f>(SUMPRODUCT(AK$9:AK$229,Nutrients!$FE$8:$FE$228)+(IF($A$7=Nutrients!$B$8,Nutrients!$FE$8,Nutrients!$FE$9)*AK$7)+(((IF($A$8=Nutrients!$B$79,Nutrients!$FE$79,(IF($A$8=Nutrients!$B$77,Nutrients!$FE$77,Nutrients!$FE$78)))))*AK$8))</f>
        <v>0</v>
      </c>
      <c r="AL340" s="21">
        <f>(SUMPRODUCT(AL$9:AL$229,Nutrients!$FE$8:$FE$228)+(IF($A$7=Nutrients!$B$8,Nutrients!$FE$8,Nutrients!$FE$9)*AL$7)+(((IF($A$8=Nutrients!$B$79,Nutrients!$FE$79,(IF($A$8=Nutrients!$B$77,Nutrients!$FE$77,Nutrients!$FE$78)))))*AL$8))</f>
        <v>0</v>
      </c>
      <c r="AM340" s="21">
        <f>(SUMPRODUCT(AM$9:AM$229,Nutrients!$FE$8:$FE$228)+(IF($A$7=Nutrients!$B$8,Nutrients!$FE$8,Nutrients!$FE$9)*AM$7)+(((IF($A$8=Nutrients!$B$79,Nutrients!$FE$79,(IF($A$8=Nutrients!$B$77,Nutrients!$FE$77,Nutrients!$FE$78)))))*AM$8))</f>
        <v>0</v>
      </c>
      <c r="AN340" s="21">
        <f>(SUMPRODUCT(AN$9:AN$229,Nutrients!$FE$8:$FE$228)+(IF($A$7=Nutrients!$B$8,Nutrients!$FE$8,Nutrients!$FE$9)*AN$7)+(((IF($A$8=Nutrients!$B$79,Nutrients!$FE$79,(IF($A$8=Nutrients!$B$77,Nutrients!$FE$77,Nutrients!$FE$78)))))*AN$8))</f>
        <v>0</v>
      </c>
      <c r="AO340" s="21">
        <f>(SUMPRODUCT(AO$9:AO$229,Nutrients!$FE$8:$FE$228)+(IF($A$7=Nutrients!$B$8,Nutrients!$FE$8,Nutrients!$FE$9)*AO$7)+(((IF($A$8=Nutrients!$B$79,Nutrients!$FE$79,(IF($A$8=Nutrients!$B$77,Nutrients!$FE$77,Nutrients!$FE$78)))))*AO$8))</f>
        <v>0</v>
      </c>
      <c r="AP340" s="21">
        <f>(SUMPRODUCT(AP$9:AP$229,Nutrients!$FE$8:$FE$228)+(IF($A$7=Nutrients!$B$8,Nutrients!$FE$8,Nutrients!$FE$9)*AP$7)+(((IF($A$8=Nutrients!$B$79,Nutrients!$FE$79,(IF($A$8=Nutrients!$B$77,Nutrients!$FE$77,Nutrients!$FE$78)))))*AP$8))</f>
        <v>0</v>
      </c>
      <c r="AR340" s="21">
        <f>(SUMPRODUCT(AR$9:AR$229,Nutrients!$FE$8:$FE$228)+(IF($A$7=Nutrients!$B$8,Nutrients!$FE$8,Nutrients!$FE$9)*AR$7)+(((IF($A$8=Nutrients!$B$79,Nutrients!$FE$79,(IF($A$8=Nutrients!$B$77,Nutrients!$FE$77,Nutrients!$FE$78)))))*AR$8))</f>
        <v>0</v>
      </c>
      <c r="AS340" s="21">
        <f>(SUMPRODUCT(AS$9:AS$229,Nutrients!$FE$8:$FE$228)+(IF($A$7=Nutrients!$B$8,Nutrients!$FE$8,Nutrients!$FE$9)*AS$7)+(((IF($A$8=Nutrients!$B$79,Nutrients!$FE$79,(IF($A$8=Nutrients!$B$77,Nutrients!$FE$77,Nutrients!$FE$78)))))*AS$8))</f>
        <v>0</v>
      </c>
      <c r="AT340" s="21">
        <f>(SUMPRODUCT(AT$9:AT$229,Nutrients!$FE$8:$FE$228)+(IF($A$7=Nutrients!$B$8,Nutrients!$FE$8,Nutrients!$FE$9)*AT$7)+(((IF($A$8=Nutrients!$B$79,Nutrients!$FE$79,(IF($A$8=Nutrients!$B$77,Nutrients!$FE$77,Nutrients!$FE$78)))))*AT$8))</f>
        <v>0</v>
      </c>
      <c r="AU340" s="21">
        <f>(SUMPRODUCT(AU$9:AU$229,Nutrients!$FE$8:$FE$228)+(IF($A$7=Nutrients!$B$8,Nutrients!$FE$8,Nutrients!$FE$9)*AU$7)+(((IF($A$8=Nutrients!$B$79,Nutrients!$FE$79,(IF($A$8=Nutrients!$B$77,Nutrients!$FE$77,Nutrients!$FE$78)))))*AU$8))</f>
        <v>0</v>
      </c>
      <c r="AV340" s="21">
        <f>(SUMPRODUCT(AV$9:AV$229,Nutrients!$FE$8:$FE$228)+(IF($A$7=Nutrients!$B$8,Nutrients!$FE$8,Nutrients!$FE$9)*AV$7)+(((IF($A$8=Nutrients!$B$79,Nutrients!$FE$79,(IF($A$8=Nutrients!$B$77,Nutrients!$FE$77,Nutrients!$FE$78)))))*AV$8))</f>
        <v>0</v>
      </c>
      <c r="AW340" s="21">
        <f>(SUMPRODUCT(AW$9:AW$229,Nutrients!$FE$8:$FE$228)+(IF($A$7=Nutrients!$B$8,Nutrients!$FE$8,Nutrients!$FE$9)*AW$7)+(((IF($A$8=Nutrients!$B$79,Nutrients!$FE$79,(IF($A$8=Nutrients!$B$77,Nutrients!$FE$77,Nutrients!$FE$78)))))*AW$8))</f>
        <v>0</v>
      </c>
    </row>
    <row r="342" spans="1:52" x14ac:dyDescent="0.25">
      <c r="A342" s="298" t="s">
        <v>478</v>
      </c>
      <c r="B342" s="299">
        <f xml:space="preserve"> (-1619.2980797296 + 25.9248064834 * (B251/1000) - 2657.6209162609 * B236 +
123.0469725298 * B253 - 9.2854579989 * B316 + 872.0182830582 * B252 + 26.664395965 * (AVERAGE(B5:B6)*0.453592) +
2599.7646012325 * B236 * B236- 0.1016237102 *  (AVERAGE(B5:B6)*0.453592) *  (AVERAGE(B5:B6)*0.453592) - 71.8618465276 * B236 * B253 -
607.1294449572 * B236 * B252 + 25.6463076451 * B236 * (AVERAGE(B5:B6)*0.453592) - 0.8399854508 * B253 * (AVERAGE(B5:B6)*0.453592) +
0.0967347393 * B316 * (AVERAGE(B5:B6)*0.453592) - 5.2553838048 * B252 * (AVERAGE(B5:B6)*0.453592))</f>
        <v>757.46635553023782</v>
      </c>
      <c r="C342" s="299">
        <f xml:space="preserve"> -1619.2980797296 + 25.9248064834 * (C251/1000) - 2657.6209162609 * C236 +
123.0469725298 * C253 - 9.2854579989 * C316 + 872.0182830582 * C252 + 26.664395965 * (AVERAGE(C5:C6)*0.453592) +
2599.7646012325 * C236 * C236- 0.1016237102 *  (AVERAGE(C5:C6)*0.453592) *  (AVERAGE(C5:C6)*0.453592) - 71.8618465276 * C236 * C253 -
607.1294449572 * C236 * C252 + 25.6463076451 * C236 * (AVERAGE(C5:C6)*0.453592) - 0.8399854508 * C253 * (AVERAGE(C5:C6)*0.453592) +
0.0967347393 * C316 * (AVERAGE(C5:C6)*0.453592) - 5.2553838048 * C252 * (AVERAGE(C5:C6)*0.453592)</f>
        <v>870.42326519783569</v>
      </c>
      <c r="D342" s="299">
        <f xml:space="preserve"> -1619.2980797296 + 25.9248064834 * (D251/1000) - 2657.6209162609 * D236 +
123.0469725298 * D253 - 9.2854579989 * D316 + 872.0182830582 * D252 + 26.664395965 * (AVERAGE(D5:D6)*0.453592) +
2599.7646012325 * D236 * D236- 0.1016237102 *  (AVERAGE(D5:D6)*0.453592) *  (AVERAGE(D5:D6)*0.453592) - 71.8618465276 * D236 * D253 -
607.1294449572 * D236 * D252 + 25.6463076451 * D236 * (AVERAGE(D5:D6)*0.453592) - 0.8399854508 * D253 * (AVERAGE(D5:D6)*0.453592) +
0.0967347393 * D316 * (AVERAGE(D5:D6)*0.453592) - 5.2553838048 * D252 * (AVERAGE(D5:D6)*0.453592)</f>
        <v>946.21888727648684</v>
      </c>
      <c r="E342" s="299">
        <f xml:space="preserve"> -1619.2980797296 + 25.9248064834 * (E251/1000) - 2657.6209162609 * E236 +
123.0469725298 * E253 - 9.2854579989 * E316 + 872.0182830582 * E252 + 26.664395965 * (AVERAGE(E5:E6)*0.453592) +
2599.7646012325 * E236 * E236- 0.1016237102 *  (AVERAGE(E5:E6)*0.453592) *  (AVERAGE(E5:E6)*0.453592) - 71.8618465276 * E236 * E253 -
607.1294449572 * E236 * E252 + 25.6463076451 * E236 * (AVERAGE(E5:E6)*0.453592) - 0.8399854508 * E253 * (AVERAGE(E5:E6)*0.453592) +
0.0967347393 * E316 * (AVERAGE(E5:E6)*0.453592) - 5.2553838048 * E252 * (AVERAGE(E5:E6)*0.453592)</f>
        <v>982.61557306834152</v>
      </c>
      <c r="F342" s="299">
        <f xml:space="preserve"> -1619.2980797296 + 25.9248064834 * (F251/1000) - 2657.6209162609 * F236 +
123.0469725298 * F253 - 9.2854579989 * F316 + 872.0182830582 * F252 + 26.664395965 * (AVERAGE(F5:F6)*0.453592) +
2599.7646012325 * F236 * F236- 0.1016237102 *  (AVERAGE(F5:F6)*0.453592) *  (AVERAGE(F5:F6)*0.453592) - 71.8618465276 * F236 * F253 -
607.1294449572 * F236 * F252 + 25.6463076451 * F236 * (AVERAGE(F5:F6)*0.453592) - 0.8399854508 * F253 * (AVERAGE(F5:F6)*0.453592) +
0.0967347393 * F316 * (AVERAGE(F5:F6)*0.453592) - 5.2553838048 * F252 * (AVERAGE(F5:F6)*0.453592)</f>
        <v>976.63637619430801</v>
      </c>
      <c r="G342" s="299">
        <f xml:space="preserve"> -1619.2980797296 + 25.9248064834 * (G251/1000) - 2657.6209162609 * G236 +
123.0469725298 * G253 - 9.2854579989 * G316 + 872.0182830582 * G252 + 26.664395965 * (AVERAGE(G5:G6)*0.453592) +
2599.7646012325 * G236 * G236- 0.1016237102 *  (AVERAGE(G5:G6)*0.453592) *  (AVERAGE(G5:G6)*0.453592) - 71.8618465276 * G236 * G253 -
607.1294449572 * G236 * G252 + 25.6463076451 * G236 * (AVERAGE(G5:G6)*0.453592) - 0.8399854508 * G253 * (AVERAGE(G5:G6)*0.453592) +
0.0967347393 * G316 * (AVERAGE(G5:G6)*0.453592) - 5.2553838048 * G252 * (AVERAGE(G5:G6)*0.453592)</f>
        <v>919.74779687896194</v>
      </c>
      <c r="I342" s="299">
        <f xml:space="preserve"> (-1619.2980797296 + 25.9248064834 * (I251/1000) - 2657.6209162609 * I236 +
123.0469725298 * I253 - 9.2854579989 * I316 + 872.0182830582 * I252 + 26.664395965 * (AVERAGE(I5:I6)*0.453592) +
2599.7646012325 * I236 * I236- 0.1016237102 *  (AVERAGE(I5:I6)*0.453592) *  (AVERAGE(I5:I6)*0.453592) - 71.8618465276 * I236 * I253 -
607.1294449572 * I236 * I252 + 25.6463076451 * I236 * (AVERAGE(I5:I6)*0.453592) - 0.8399854508 * I253 * (AVERAGE(I5:I6)*0.453592) +
0.0967347393 * I316 * (AVERAGE(I5:I6)*0.453592) - 5.2553838048 * I252 * (AVERAGE(I5:I6)*0.453592))</f>
        <v>754.2853054881557</v>
      </c>
      <c r="J342" s="299">
        <f xml:space="preserve"> -1619.2980797296 + 25.9248064834 * (J251/1000) - 2657.6209162609 * J236 +
123.0469725298 * J253 - 9.2854579989 * J316 + 872.0182830582 * J252 + 26.664395965 * (AVERAGE(J5:J6)*0.453592) +
2599.7646012325 * J236 * J236- 0.1016237102 *  (AVERAGE(J5:J6)*0.453592) *  (AVERAGE(J5:J6)*0.453592) - 71.8618465276 * J236 * J253 -
607.1294449572 * J236 * J252 + 25.6463076451 * J236 * (AVERAGE(J5:J6)*0.453592) - 0.8399854508 * J253 * (AVERAGE(J5:J6)*0.453592) +
0.0967347393 * J316 * (AVERAGE(J5:J6)*0.453592) - 5.2553838048 * J252 * (AVERAGE(J5:J6)*0.453592)</f>
        <v>867.83541072759328</v>
      </c>
      <c r="K342" s="299">
        <f xml:space="preserve"> -1619.2980797296 + 25.9248064834 * (K251/1000) - 2657.6209162609 * K236 +
123.0469725298 * K253 - 9.2854579989 * K316 + 872.0182830582 * K252 + 26.664395965 * (AVERAGE(K5:K6)*0.453592) +
2599.7646012325 * K236 * K236- 0.1016237102 *  (AVERAGE(K5:K6)*0.453592) *  (AVERAGE(K5:K6)*0.453592) - 71.8618465276 * K236 * K253 -
607.1294449572 * K236 * K252 + 25.6463076451 * K236 * (AVERAGE(K5:K6)*0.453592) - 0.8399854508 * K253 * (AVERAGE(K5:K6)*0.453592) +
0.0967347393 * K316 * (AVERAGE(K5:K6)*0.453592) - 5.2553838048 * K252 * (AVERAGE(K5:K6)*0.453592)</f>
        <v>943.65504273479746</v>
      </c>
      <c r="L342" s="299">
        <f xml:space="preserve"> -1619.2980797296 + 25.9248064834 * (L251/1000) - 2657.6209162609 * L236 +
123.0469725298 * L253 - 9.2854579989 * L316 + 872.0182830582 * L252 + 26.664395965 * (AVERAGE(L5:L6)*0.453592) +
2599.7646012325 * L236 * L236- 0.1016237102 *  (AVERAGE(L5:L6)*0.453592) *  (AVERAGE(L5:L6)*0.453592) - 71.8618465276 * L236 * L253 -
607.1294449572 * L236 * L252 + 25.6463076451 * L236 * (AVERAGE(L5:L6)*0.453592) - 0.8399854508 * L253 * (AVERAGE(L5:L6)*0.453592) +
0.0967347393 * L316 * (AVERAGE(L5:L6)*0.453592) - 5.2553838048 * L252 * (AVERAGE(L5:L6)*0.453592)</f>
        <v>979.30093441478289</v>
      </c>
      <c r="M342" s="299">
        <f xml:space="preserve"> -1619.2980797296 + 25.9248064834 * (M251/1000) - 2657.6209162609 * M236 +
123.0469725298 * M253 - 9.2854579989 * M316 + 872.0182830582 * M252 + 26.664395965 * (AVERAGE(M5:M6)*0.453592) +
2599.7646012325 * M236 * M236- 0.1016237102 *  (AVERAGE(M5:M6)*0.453592) *  (AVERAGE(M5:M6)*0.453592) - 71.8618465276 * M236 * M253 -
607.1294449572 * M236 * M252 + 25.6463076451 * M236 * (AVERAGE(M5:M6)*0.453592) - 0.8399854508 * M253 * (AVERAGE(M5:M6)*0.453592) +
0.0967347393 * M316 * (AVERAGE(M5:M6)*0.453592) - 5.2553838048 * M252 * (AVERAGE(M5:M6)*0.453592)</f>
        <v>971.80691655151008</v>
      </c>
      <c r="N342" s="299">
        <f xml:space="preserve"> -1619.2980797296 + 25.9248064834 * (N251/1000) - 2657.6209162609 * N236 +
123.0469725298 * N253 - 9.2854579989 * N316 + 872.0182830582 * N252 + 26.664395965 * (AVERAGE(N5:N6)*0.453592) +
2599.7646012325 * N236 * N236- 0.1016237102 *  (AVERAGE(N5:N6)*0.453592) *  (AVERAGE(N5:N6)*0.453592) - 71.8618465276 * N236 * N253 -
607.1294449572 * N236 * N252 + 25.6463076451 * N236 * (AVERAGE(N5:N6)*0.453592) - 0.8399854508 * N253 * (AVERAGE(N5:N6)*0.453592) +
0.0967347393 * N316 * (AVERAGE(N5:N6)*0.453592) - 5.2553838048 * N252 * (AVERAGE(N5:N6)*0.453592)</f>
        <v>912.42799144541459</v>
      </c>
      <c r="P342" s="299">
        <f xml:space="preserve"> (-1619.2980797296 + 25.9248064834 * (P251/1000) - 2657.6209162609 * P236 +
123.0469725298 * P253 - 9.2854579989 * P316 + 872.0182830582 * P252 + 26.664395965 * (AVERAGE(P5:P6)*0.453592) +
2599.7646012325 * P236 * P236- 0.1016237102 *  (AVERAGE(P5:P6)*0.453592) *  (AVERAGE(P5:P6)*0.453592) - 71.8618465276 * P236 * P253 -
607.1294449572 * P236 * P252 + 25.6463076451 * P236 * (AVERAGE(P5:P6)*0.453592) - 0.8399854508 * P253 * (AVERAGE(P5:P6)*0.453592) +
0.0967347393 * P316 * (AVERAGE(P5:P6)*0.453592) - 5.2553838048 * P252 * (AVERAGE(P5:P6)*0.453592))</f>
        <v>751.12509445025091</v>
      </c>
      <c r="Q342" s="299">
        <f xml:space="preserve"> -1619.2980797296 + 25.9248064834 * (Q251/1000) - 2657.6209162609 * Q236 +
123.0469725298 * Q253 - 9.2854579989 * Q316 + 872.0182830582 * Q252 + 26.664395965 * (AVERAGE(Q5:Q6)*0.453592) +
2599.7646012325 * Q236 * Q236- 0.1016237102 *  (AVERAGE(Q5:Q6)*0.453592) *  (AVERAGE(Q5:Q6)*0.453592) - 71.8618465276 * Q236 * Q253 -
607.1294449572 * Q236 * Q252 + 25.6463076451 * Q236 * (AVERAGE(Q5:Q6)*0.453592) - 0.8399854508 * Q253 * (AVERAGE(Q5:Q6)*0.453592) +
0.0967347393 * Q316 * (AVERAGE(Q5:Q6)*0.453592) - 5.2553838048 * Q252 * (AVERAGE(Q5:Q6)*0.453592)</f>
        <v>865.26365633587625</v>
      </c>
      <c r="R342" s="299">
        <f xml:space="preserve"> -1619.2980797296 + 25.9248064834 * (R251/1000) - 2657.6209162609 * R236 +
123.0469725298 * R253 - 9.2854579989 * R316 + 872.0182830582 * R252 + 26.664395965 * (AVERAGE(R5:R6)*0.453592) +
2599.7646012325 * R236 * R236- 0.1016237102 *  (AVERAGE(R5:R6)*0.453592) *  (AVERAGE(R5:R6)*0.453592) - 71.8618465276 * R236 * R253 -
607.1294449572 * R236 * R252 + 25.6463076451 * R236 * (AVERAGE(R5:R6)*0.453592) - 0.8399854508 * R253 * (AVERAGE(R5:R6)*0.453592) +
0.0967347393 * R316 * (AVERAGE(R5:R6)*0.453592) - 5.2553838048 * R252 * (AVERAGE(R5:R6)*0.453592)</f>
        <v>941.08765007643092</v>
      </c>
      <c r="S342" s="299">
        <f xml:space="preserve"> -1619.2980797296 + 25.9248064834 * (S251/1000) - 2657.6209162609 * S236 +
123.0469725298 * S253 - 9.2854579989 * S316 + 872.0182830582 * S252 + 26.664395965 * (AVERAGE(S5:S6)*0.453592) +
2599.7646012325 * S236 * S236- 0.1016237102 *  (AVERAGE(S5:S6)*0.453592) *  (AVERAGE(S5:S6)*0.453592) - 71.8618465276 * S236 * S253 -
607.1294449572 * S236 * S252 + 25.6463076451 * S236 * (AVERAGE(S5:S6)*0.453592) - 0.8399854508 * S253 * (AVERAGE(S5:S6)*0.453592) +
0.0967347393 * S316 * (AVERAGE(S5:S6)*0.453592) - 5.2553838048 * S252 * (AVERAGE(S5:S6)*0.453592)</f>
        <v>976.00937610562437</v>
      </c>
      <c r="T342" s="299">
        <f xml:space="preserve"> -1619.2980797296 + 25.9248064834 * (T251/1000) - 2657.6209162609 * T236 +
123.0469725298 * T253 - 9.2854579989 * T316 + 872.0182830582 * T252 + 26.664395965 * (AVERAGE(T5:T6)*0.453592) +
2599.7646012325 * T236 * T236- 0.1016237102 *  (AVERAGE(T5:T6)*0.453592) *  (AVERAGE(T5:T6)*0.453592) - 71.8618465276 * T236 * T253 -
607.1294449572 * T236 * T252 + 25.6463076451 * T236 * (AVERAGE(T5:T6)*0.453592) - 0.8399854508 * T253 * (AVERAGE(T5:T6)*0.453592) +
0.0967347393 * T316 * (AVERAGE(T5:T6)*0.453592) - 5.2553838048 * T252 * (AVERAGE(T5:T6)*0.453592)</f>
        <v>966.98610467900244</v>
      </c>
      <c r="U342" s="299">
        <f xml:space="preserve"> -1619.2980797296 + 25.9248064834 * (U251/1000) - 2657.6209162609 * U236 +
123.0469725298 * U253 - 9.2854579989 * U316 + 872.0182830582 * U252 + 26.664395965 * (AVERAGE(U5:U6)*0.453592) +
2599.7646012325 * U236 * U236- 0.1016237102 *  (AVERAGE(U5:U6)*0.453592) *  (AVERAGE(U5:U6)*0.453592) - 71.8618465276 * U236 * U253 -
607.1294449572 * U236 * U252 + 25.6463076451 * U236 * (AVERAGE(U5:U6)*0.453592) - 0.8399854508 * U253 * (AVERAGE(U5:U6)*0.453592) +
0.0967347393 * U316 * (AVERAGE(U5:U6)*0.453592) - 5.2553838048 * U252 * (AVERAGE(U5:U6)*0.453592)</f>
        <v>905.07626112342814</v>
      </c>
      <c r="W342" s="299">
        <f xml:space="preserve"> (-1619.2980797296 + 25.9248064834 * (W251/1000) - 2657.6209162609 * W236 +
123.0469725298 * W253 - 9.2854579989 * W316 + 872.0182830582 * W252 + 26.664395965 * (AVERAGE(W5:W6)*0.453592) +
2599.7646012325 * W236 * W236- 0.1016237102 *  (AVERAGE(W5:W6)*0.453592) *  (AVERAGE(W5:W6)*0.453592) - 71.8618465276 * W236 * W253 -
607.1294449572 * W236 * W252 + 25.6463076451 * W236 * (AVERAGE(W5:W6)*0.453592) - 0.8399854508 * W253 * (AVERAGE(W5:W6)*0.453592) +
0.0967347393 * W316 * (AVERAGE(W5:W6)*0.453592) - 5.2553838048 * W252 * (AVERAGE(W5:W6)*0.453592))</f>
        <v>747.96764329778819</v>
      </c>
      <c r="X342" s="299">
        <f xml:space="preserve"> -1619.2980797296 + 25.9248064834 * (X251/1000) - 2657.6209162609 * X236 +
123.0469725298 * X253 - 9.2854579989 * X316 + 872.0182830582 * X252 + 26.664395965 * (AVERAGE(X5:X6)*0.453592) +
2599.7646012325 * X236 * X236- 0.1016237102 *  (AVERAGE(X5:X6)*0.453592) *  (AVERAGE(X5:X6)*0.453592) - 71.8618465276 * X236 * X253 -
607.1294449572 * X236 * X252 + 25.6463076451 * X236 * (AVERAGE(X5:X6)*0.453592) - 0.8399854508 * X253 * (AVERAGE(X5:X6)*0.453592) +
0.0967347393 * X316 * (AVERAGE(X5:X6)*0.453592) - 5.2553838048 * X252 * (AVERAGE(X5:X6)*0.453592)</f>
        <v>862.69511755903864</v>
      </c>
      <c r="Y342" s="299">
        <f xml:space="preserve"> -1619.2980797296 + 25.9248064834 * (Y251/1000) - 2657.6209162609 * Y236 +
123.0469725298 * Y253 - 9.2854579989 * Y316 + 872.0182830582 * Y252 + 26.664395965 * (AVERAGE(Y5:Y6)*0.453592) +
2599.7646012325 * Y236 * Y236- 0.1016237102 *  (AVERAGE(Y5:Y6)*0.453592) *  (AVERAGE(Y5:Y6)*0.453592) - 71.8618465276 * Y236 * Y253 -
607.1294449572 * Y236 * Y252 + 25.6463076451 * Y236 * (AVERAGE(Y5:Y6)*0.453592) - 0.8399854508 * Y253 * (AVERAGE(Y5:Y6)*0.453592) +
0.0967347393 * Y316 * (AVERAGE(Y5:Y6)*0.453592) - 5.2553838048 * Y252 * (AVERAGE(Y5:Y6)*0.453592)</f>
        <v>938.51681860484973</v>
      </c>
      <c r="Z342" s="299">
        <f xml:space="preserve"> -1619.2980797296 + 25.9248064834 * (Z251/1000) - 2657.6209162609 * Z236 +
123.0469725298 * Z253 - 9.2854579989 * Z316 + 872.0182830582 * Z252 + 26.664395965 * (AVERAGE(Z5:Z6)*0.453592) +
2599.7646012325 * Z236 * Z236- 0.1016237102 *  (AVERAGE(Z5:Z6)*0.453592) *  (AVERAGE(Z5:Z6)*0.453592) - 71.8618465276 * Z236 * Z253 -
607.1294449572 * Z236 * Z252 + 25.6463076451 * Z236 * (AVERAGE(Z5:Z6)*0.453592) - 0.8399854508 * Z253 * (AVERAGE(Z5:Z6)*0.453592) +
0.0967347393 * Z316 * (AVERAGE(Z5:Z6)*0.453592) - 5.2553838048 * Z252 * (AVERAGE(Z5:Z6)*0.453592)</f>
        <v>972.73290617894054</v>
      </c>
      <c r="AA342" s="299">
        <f xml:space="preserve"> -1619.2980797296 + 25.9248064834 * (AA251/1000) - 2657.6209162609 * AA236 +
123.0469725298 * AA253 - 9.2854579989 * AA316 + 872.0182830582 * AA252 + 26.664395965 * (AVERAGE(AA5:AA6)*0.453592) +
2599.7646012325 * AA236 * AA236- 0.1016237102 *  (AVERAGE(AA5:AA6)*0.453592) *  (AVERAGE(AA5:AA6)*0.453592) - 71.8618465276 * AA236 * AA253 -
607.1294449572 * AA236 * AA252 + 25.6463076451 * AA236 * (AVERAGE(AA5:AA6)*0.453592) - 0.8399854508 * AA253 * (AVERAGE(AA5:AA6)*0.453592) +
0.0967347393 * AA316 * (AVERAGE(AA5:AA6)*0.453592) - 5.2553838048 * AA252 * (AVERAGE(AA5:AA6)*0.453592)</f>
        <v>962.14863178115388</v>
      </c>
      <c r="AB342" s="299">
        <f xml:space="preserve"> -1619.2980797296 + 25.9248064834 * (AB251/1000) - 2657.6209162609 * AB236 +
123.0469725298 * AB253 - 9.2854579989 * AB316 + 872.0182830582 * AB252 + 26.664395965 * (AVERAGE(AB5:AB6)*0.453592) +
2599.7646012325 * AB236 * AB236- 0.1016237102 *  (AVERAGE(AB5:AB6)*0.453592) *  (AVERAGE(AB5:AB6)*0.453592) - 71.8618465276 * AB236 * AB253 -
607.1294449572 * AB236 * AB252 + 25.6463076451 * AB236 * (AVERAGE(AB5:AB6)*0.453592) - 0.8399854508 * AB253 * (AVERAGE(AB5:AB6)*0.453592) +
0.0967347393 * AB316 * (AVERAGE(AB5:AB6)*0.453592) - 5.2553838048 * AB252 * (AVERAGE(AB5:AB6)*0.453592)</f>
        <v>897.74107300525679</v>
      </c>
      <c r="AD342" s="299">
        <f xml:space="preserve"> (-1619.2980797296 + 25.9248064834 * (AD251/1000) - 2657.6209162609 * AD236 +
123.0469725298 * AD253 - 9.2854579989 * AD316 + 872.0182830582 * AD252 + 26.664395965 * (AVERAGE(AD5:AD6)*0.453592) +
2599.7646012325 * AD236 * AD236- 0.1016237102 *  (AVERAGE(AD5:AD6)*0.453592) *  (AVERAGE(AD5:AD6)*0.453592) - 71.8618465276 * AD236 * AD253 -
607.1294449572 * AD236 * AD252 + 25.6463076451 * AD236 * (AVERAGE(AD5:AD6)*0.453592) - 0.8399854508 * AD253 * (AVERAGE(AD5:AD6)*0.453592) +
0.0967347393 * AD316 * (AVERAGE(AD5:AD6)*0.453592) - 5.2553838048 * AD252 * (AVERAGE(AD5:AD6)*0.453592))</f>
        <v>744.81662763964982</v>
      </c>
      <c r="AE342" s="299">
        <f xml:space="preserve"> -1619.2980797296 + 25.9248064834 * (AE251/1000) - 2657.6209162609 * AE236 +
123.0469725298 * AE253 - 9.2854579989 * AE316 + 872.0182830582 * AE252 + 26.664395965 * (AVERAGE(AE5:AE6)*0.453592) +
2599.7646012325 * AE236 * AE236- 0.1016237102 *  (AVERAGE(AE5:AE6)*0.453592) *  (AVERAGE(AE5:AE6)*0.453592) - 71.8618465276 * AE236 * AE253 -
607.1294449572 * AE236 * AE252 + 25.6463076451 * AE236 * (AVERAGE(AE5:AE6)*0.453592) - 0.8399854508 * AE253 * (AVERAGE(AE5:AE6)*0.453592) +
0.0967347393 * AE316 * (AVERAGE(AE5:AE6)*0.453592) - 5.2553838048 * AE252 * (AVERAGE(AE5:AE6)*0.453592)</f>
        <v>860.12738034446897</v>
      </c>
      <c r="AF342" s="299">
        <f xml:space="preserve"> -1619.2980797296 + 25.9248064834 * (AF251/1000) - 2657.6209162609 * AF236 +
123.0469725298 * AF253 - 9.2854579989 * AF316 + 872.0182830582 * AF252 + 26.664395965 * (AVERAGE(AF5:AF6)*0.453592) +
2599.7646012325 * AF236 * AF236- 0.1016237102 *  (AVERAGE(AF5:AF6)*0.453592) *  (AVERAGE(AF5:AF6)*0.453592) - 71.8618465276 * AF236 * AF253 -
607.1294449572 * AF236 * AF252 + 25.6463076451 * AF236 * (AVERAGE(AF5:AF6)*0.453592) - 0.8399854508 * AF253 * (AVERAGE(AF5:AF6)*0.453592) +
0.0967347393 * AF316 * (AVERAGE(AF5:AF6)*0.453592) - 5.2553838048 * AF252 * (AVERAGE(AF5:AF6)*0.453592)</f>
        <v>935.92775852071054</v>
      </c>
      <c r="AG342" s="299">
        <f xml:space="preserve"> -1619.2980797296 + 25.9248064834 * (AG251/1000) - 2657.6209162609 * AG236 +
123.0469725298 * AG253 - 9.2854579989 * AG316 + 872.0182830582 * AG252 + 26.664395965 * (AVERAGE(AG5:AG6)*0.453592) +
2599.7646012325 * AG236 * AG236- 0.1016237102 *  (AVERAGE(AG5:AG6)*0.453592) *  (AVERAGE(AG5:AG6)*0.453592) - 71.8618465276 * AG236 * AG253 -
607.1294449572 * AG236 * AG252 + 25.6463076451 * AG236 * (AVERAGE(AG5:AG6)*0.453592) - 0.8399854508 * AG253 * (AVERAGE(AG5:AG6)*0.453592) +
0.0967347393 * AG316 * (AVERAGE(AG5:AG6)*0.453592) - 5.2553838048 * AG252 * (AVERAGE(AG5:AG6)*0.453592)</f>
        <v>969.44372220826813</v>
      </c>
      <c r="AH342" s="299">
        <f xml:space="preserve"> -1619.2980797296 + 25.9248064834 * (AH251/1000) - 2657.6209162609 * AH236 +
123.0469725298 * AH253 - 9.2854579989 * AH316 + 872.0182830582 * AH252 + 26.664395965 * (AVERAGE(AH5:AH6)*0.453592) +
2599.7646012325 * AH236 * AH236- 0.1016237102 *  (AVERAGE(AH5:AH6)*0.453592) *  (AVERAGE(AH5:AH6)*0.453592) - 71.8618465276 * AH236 * AH253 -
607.1294449572 * AH236 * AH252 + 25.6463076451 * AH236 * (AVERAGE(AH5:AH6)*0.453592) - 0.8399854508 * AH253 * (AVERAGE(AH5:AH6)*0.453592) +
0.0967347393 * AH316 * (AVERAGE(AH5:AH6)*0.453592) - 5.2553838048 * AH252 * (AVERAGE(AH5:AH6)*0.453592)</f>
        <v>957.32815546195934</v>
      </c>
      <c r="AI342" s="299">
        <f xml:space="preserve"> -1619.2980797296 + 25.9248064834 * (AI251/1000) - 2657.6209162609 * AI236 +
123.0469725298 * AI253 - 9.2854579989 * AI316 + 872.0182830582 * AI252 + 26.664395965 * (AVERAGE(AI5:AI6)*0.453592) +
2599.7646012325 * AI236 * AI236- 0.1016237102 *  (AVERAGE(AI5:AI6)*0.453592) *  (AVERAGE(AI5:AI6)*0.453592) - 71.8618465276 * AI236 * AI253 -
607.1294449572 * AI236 * AI252 + 25.6463076451 * AI236 * (AVERAGE(AI5:AI6)*0.453592) - 0.8399854508 * AI253 * (AVERAGE(AI5:AI6)*0.453592) +
0.0967347393 * AI316 * (AVERAGE(AI5:AI6)*0.453592) - 5.2553838048 * AI252 * (AVERAGE(AI5:AI6)*0.453592)</f>
        <v>890.52157931327224</v>
      </c>
      <c r="AK342" s="299">
        <f xml:space="preserve"> (-1619.2980797296 + 25.9248064834 * (AK251/1000) - 2657.6209162609 * AK236 +
123.0469725298 * AK253 - 9.2854579989 * AK316 + 872.0182830582 * AK252 + 26.664395965 * (AVERAGE(AK5:AK6)*0.453592) +
2599.7646012325 * AK236 * AK236- 0.1016237102 *  (AVERAGE(AK5:AK6)*0.453592) *  (AVERAGE(AK5:AK6)*0.453592) - 71.8618465276 * AK236 * AK253 -
607.1294449572 * AK236 * AK252 + 25.6463076451 * AK236 * (AVERAGE(AK5:AK6)*0.453592) - 0.8399854508 * AK253 * (AVERAGE(AK5:AK6)*0.453592) +
0.0967347393 * AK316 * (AVERAGE(AK5:AK6)*0.453592) - 5.2553838048 * AK252 * (AVERAGE(AK5:AK6)*0.453592))</f>
        <v>741.69090139868376</v>
      </c>
      <c r="AL342" s="299">
        <f xml:space="preserve"> -1619.2980797296 + 25.9248064834 * (AL251/1000) - 2657.6209162609 * AL236 +
123.0469725298 * AL253 - 9.2854579989 * AL316 + 872.0182830582 * AL252 + 26.664395965 * (AVERAGE(AL5:AL6)*0.453592) +
2599.7646012325 * AL236 * AL236- 0.1016237102 *  (AVERAGE(AL5:AL6)*0.453592) *  (AVERAGE(AL5:AL6)*0.453592) - 71.8618465276 * AL236 * AL253 -
607.1294449572 * AL236 * AL252 + 25.6463076451 * AL236 * (AVERAGE(AL5:AL6)*0.453592) - 0.8399854508 * AL253 * (AVERAGE(AL5:AL6)*0.453592) +
0.0967347393 * AL316 * (AVERAGE(AL5:AL6)*0.453592) - 5.2553838048 * AL252 * (AVERAGE(AL5:AL6)*0.453592)</f>
        <v>857.56075020428375</v>
      </c>
      <c r="AM342" s="299">
        <f xml:space="preserve"> -1619.2980797296 + 25.9248064834 * (AM251/1000) - 2657.6209162609 * AM236 +
123.0469725298 * AM253 - 9.2854579989 * AM316 + 872.0182830582 * AM252 + 26.664395965 * (AVERAGE(AM5:AM6)*0.453592) +
2599.7646012325 * AM236 * AM236- 0.1016237102 *  (AVERAGE(AM5:AM6)*0.453592) *  (AVERAGE(AM5:AM6)*0.453592) - 71.8618465276 * AM236 * AM253 -
607.1294449572 * AM236 * AM252 + 25.6463076451 * AM236 * (AVERAGE(AM5:AM6)*0.453592) - 0.8399854508 * AM253 * (AVERAGE(AM5:AM6)*0.453592) +
0.0967347393 * AM316 * (AVERAGE(AM5:AM6)*0.453592) - 5.2553838048 * AM252 * (AVERAGE(AM5:AM6)*0.453592)</f>
        <v>933.38079850970121</v>
      </c>
      <c r="AN342" s="299">
        <f xml:space="preserve"> -1619.2980797296 + 25.9248064834 * (AN251/1000) - 2657.6209162609 * AN236 +
123.0469725298 * AN253 - 9.2854579989 * AN316 + 872.0182830582 * AN252 + 26.664395965 * (AVERAGE(AN5:AN6)*0.453592) +
2599.7646012325 * AN236 * AN236- 0.1016237102 *  (AVERAGE(AN5:AN6)*0.453592) *  (AVERAGE(AN5:AN6)*0.453592) - 71.8618465276 * AN236 * AN253 -
607.1294449572 * AN236 * AN252 + 25.6463076451 * AN236 * (AVERAGE(AN5:AN6)*0.453592) - 0.8399854508 * AN253 * (AVERAGE(AN5:AN6)*0.453592) +
0.0967347393 * AN316 * (AVERAGE(AN5:AN6)*0.453592) - 5.2553838048 * AN252 * (AVERAGE(AN5:AN6)*0.453592)</f>
        <v>966.10623674420458</v>
      </c>
      <c r="AO342" s="299">
        <f xml:space="preserve"> -1619.2980797296 + 25.9248064834 * (AO251/1000) - 2657.6209162609 * AO236 +
123.0469725298 * AO253 - 9.2854579989 * AO316 + 872.0182830582 * AO252 + 26.664395965 * (AVERAGE(AO5:AO6)*0.453592) +
2599.7646012325 * AO236 * AO236- 0.1016237102 *  (AVERAGE(AO5:AO6)*0.453592) *  (AVERAGE(AO5:AO6)*0.453592) - 71.8618465276 * AO236 * AO253 -
607.1294449572 * AO236 * AO252 + 25.6463076451 * AO236 * (AVERAGE(AO5:AO6)*0.453592) - 0.8399854508 * AO253 * (AVERAGE(AO5:AO6)*0.453592) +
0.0967347393 * AO316 * (AVERAGE(AO5:AO6)*0.453592) - 5.2553838048 * AO252 * (AVERAGE(AO5:AO6)*0.453592)</f>
        <v>952.59250017741692</v>
      </c>
      <c r="AP342" s="299">
        <f xml:space="preserve"> -1619.2980797296 + 25.9248064834 * (AP251/1000) - 2657.6209162609 * AP236 +
123.0469725298 * AP253 - 9.2854579989 * AP316 + 872.0182830582 * AP252 + 26.664395965 * (AVERAGE(AP5:AP6)*0.453592) +
2599.7646012325 * AP236 * AP236- 0.1016237102 *  (AVERAGE(AP5:AP6)*0.453592) *  (AVERAGE(AP5:AP6)*0.453592) - 71.8618465276 * AP236 * AP253 -
607.1294449572 * AP236 * AP252 + 25.6463076451 * AP236 * (AVERAGE(AP5:AP6)*0.453592) - 0.8399854508 * AP253 * (AVERAGE(AP5:AP6)*0.453592) +
0.0967347393 * AP316 * (AVERAGE(AP5:AP6)*0.453592) - 5.2553838048 * AP252 * (AVERAGE(AP5:AP6)*0.453592)</f>
        <v>883.35435198506411</v>
      </c>
      <c r="AR342" s="299">
        <f xml:space="preserve"> (-1619.2980797296 + 25.9248064834 * (AR251/1000) - 2657.6209162609 * AR236 +
123.0469725298 * AR253 - 9.2854579989 * AR316 + 872.0182830582 * AR252 + 26.664395965 * (AVERAGE(AR5:AR6)*0.453592) +
2599.7646012325 * AR236 * AR236- 0.1016237102 *  (AVERAGE(AR5:AR6)*0.453592) *  (AVERAGE(AR5:AR6)*0.453592) - 71.8618465276 * AR236 * AR253 -
607.1294449572 * AR236 * AR252 + 25.6463076451 * AR236 * (AVERAGE(AR5:AR6)*0.453592) - 0.8399854508 * AR253 * (AVERAGE(AR5:AR6)*0.453592) +
0.0967347393 * AR316 * (AVERAGE(AR5:AR6)*0.453592) - 5.2553838048 * AR252 * (AVERAGE(AR5:AR6)*0.453592))</f>
        <v>738.50601864243959</v>
      </c>
      <c r="AS342" s="299">
        <f xml:space="preserve"> -1619.2980797296 + 25.9248064834 * (AS251/1000) - 2657.6209162609 * AS236 +
123.0469725298 * AS253 - 9.2854579989 * AS316 + 872.0182830582 * AS252 + 26.664395965 * (AVERAGE(AS5:AS6)*0.453592) +
2599.7646012325 * AS236 * AS236- 0.1016237102 *  (AVERAGE(AS5:AS6)*0.453592) *  (AVERAGE(AS5:AS6)*0.453592) - 71.8618465276 * AS236 * AS253 -
607.1294449572 * AS236 * AS252 + 25.6463076451 * AS236 * (AVERAGE(AS5:AS6)*0.453592) - 0.8399854508 * AS253 * (AVERAGE(AS5:AS6)*0.453592) +
0.0967347393 * AS316 * (AVERAGE(AS5:AS6)*0.453592) - 5.2553838048 * AS252 * (AVERAGE(AS5:AS6)*0.453592)</f>
        <v>854.97698349144969</v>
      </c>
      <c r="AT342" s="299">
        <f xml:space="preserve"> -1619.2980797296 + 25.9248064834 * (AT251/1000) - 2657.6209162609 * AT236 +
123.0469725298 * AT253 - 9.2854579989 * AT316 + 872.0182830582 * AT252 + 26.664395965 * (AVERAGE(AT5:AT6)*0.453592) +
2599.7646012325 * AT236 * AT236- 0.1016237102 *  (AVERAGE(AT5:AT6)*0.453592) *  (AVERAGE(AT5:AT6)*0.453592) - 71.8618465276 * AT236 * AT253 -
607.1294449572 * AT236 * AT252 + 25.6463076451 * AT236 * (AVERAGE(AT5:AT6)*0.453592) - 0.8399854508 * AT253 * (AVERAGE(AT5:AT6)*0.453592) +
0.0967347393 * AT316 * (AVERAGE(AT5:AT6)*0.453592) - 5.2553838048 * AT252 * (AVERAGE(AT5:AT6)*0.453592)</f>
        <v>930.7912646648017</v>
      </c>
      <c r="AU342" s="299">
        <f xml:space="preserve"> -1619.2980797296 + 25.9248064834 * (AU251/1000) - 2657.6209162609 * AU236 +
123.0469725298 * AU253 - 9.2854579989 * AU316 + 872.0182830582 * AU252 + 26.664395965 * (AVERAGE(AU5:AU6)*0.453592) +
2599.7646012325 * AU236 * AU236- 0.1016237102 *  (AVERAGE(AU5:AU6)*0.453592) *  (AVERAGE(AU5:AU6)*0.453592) - 71.8618465276 * AU236 * AU253 -
607.1294449572 * AU236 * AU252 + 25.6463076451 * AU236 * (AVERAGE(AU5:AU6)*0.453592) - 0.8399854508 * AU253 * (AVERAGE(AU5:AU6)*0.453592) +
0.0967347393 * AU316 * (AVERAGE(AU5:AU6)*0.453592) - 5.2553838048 * AU252 * (AVERAGE(AU5:AU6)*0.453592)</f>
        <v>962.84976002250392</v>
      </c>
      <c r="AV342" s="299">
        <f xml:space="preserve"> -1619.2980797296 + 25.9248064834 * (AV251/1000) - 2657.6209162609 * AV236 +
123.0469725298 * AV253 - 9.2854579989 * AV316 + 872.0182830582 * AV252 + 26.664395965 * (AVERAGE(AV5:AV6)*0.453592) +
2599.7646012325 * AV236 * AV236- 0.1016237102 *  (AVERAGE(AV5:AV6)*0.453592) *  (AVERAGE(AV5:AV6)*0.453592) - 71.8618465276 * AV236 * AV253 -
607.1294449572 * AV236 * AV252 + 25.6463076451 * AV236 * (AVERAGE(AV5:AV6)*0.453592) - 0.8399854508 * AV253 * (AVERAGE(AV5:AV6)*0.453592) +
0.0967347393 * AV316 * (AVERAGE(AV5:AV6)*0.453592) - 5.2553838048 * AV252 * (AVERAGE(AV5:AV6)*0.453592)</f>
        <v>947.8413410368928</v>
      </c>
      <c r="AW342" s="299">
        <f xml:space="preserve"> -1619.2980797296 + 25.9248064834 * (AW251/1000) - 2657.6209162609 * AW236 +
123.0469725298 * AW253 - 9.2854579989 * AW316 + 872.0182830582 * AW252 + 26.664395965 * (AVERAGE(AW5:AW6)*0.453592) +
2599.7646012325 * AW236 * AW236- 0.1016237102 *  (AVERAGE(AW5:AW6)*0.453592) *  (AVERAGE(AW5:AW6)*0.453592) - 71.8618465276 * AW236 * AW253 -
607.1294449572 * AW236 * AW252 + 25.6463076451 * AW236 * (AVERAGE(AW5:AW6)*0.453592) - 0.8399854508 * AW253 * (AVERAGE(AW5:AW6)*0.453592) +
0.0967347393 * AW316 * (AVERAGE(AW5:AW6)*0.453592) - 5.2553838048 * AW252 * (AVERAGE(AW5:AW6)*0.453592)</f>
        <v>876.15640388977795</v>
      </c>
    </row>
    <row r="343" spans="1:52" x14ac:dyDescent="0.25">
      <c r="A343" s="298" t="s">
        <v>479</v>
      </c>
      <c r="B343" s="300">
        <f t="shared" ref="B343:G343" si="216">B342/B344*1000</f>
        <v>1398.8783014207611</v>
      </c>
      <c r="C343" s="300">
        <f t="shared" si="216"/>
        <v>1847.8320572748494</v>
      </c>
      <c r="D343" s="300">
        <f t="shared" si="216"/>
        <v>2307.7192145327367</v>
      </c>
      <c r="E343" s="300">
        <f t="shared" si="216"/>
        <v>2723.4676222335261</v>
      </c>
      <c r="F343" s="300">
        <f t="shared" si="216"/>
        <v>2993.2160501056624</v>
      </c>
      <c r="G343" s="300">
        <f t="shared" si="216"/>
        <v>3054.344258459666</v>
      </c>
      <c r="I343" s="300">
        <f t="shared" ref="I343:N343" si="217">I342/I344*1000</f>
        <v>1384.8178703440515</v>
      </c>
      <c r="J343" s="300">
        <f t="shared" si="217"/>
        <v>1827.8821510668606</v>
      </c>
      <c r="K343" s="300">
        <f t="shared" si="217"/>
        <v>2281.8852409848309</v>
      </c>
      <c r="L343" s="300">
        <f t="shared" si="217"/>
        <v>2696.3568872501928</v>
      </c>
      <c r="M343" s="300">
        <f t="shared" si="217"/>
        <v>2973.0335700186461</v>
      </c>
      <c r="N343" s="300">
        <f t="shared" si="217"/>
        <v>3050.5652509603924</v>
      </c>
      <c r="P343" s="300">
        <f t="shared" ref="P343:U343" si="218">P342/P344*1000</f>
        <v>1370.9248483394197</v>
      </c>
      <c r="Q343" s="300">
        <f t="shared" si="218"/>
        <v>1808.1611070771439</v>
      </c>
      <c r="R343" s="300">
        <f t="shared" si="218"/>
        <v>2256.545152153898</v>
      </c>
      <c r="S343" s="300">
        <f t="shared" si="218"/>
        <v>2669.5965519110086</v>
      </c>
      <c r="T343" s="300">
        <f t="shared" si="218"/>
        <v>2952.7354356657133</v>
      </c>
      <c r="U343" s="300">
        <f t="shared" si="218"/>
        <v>3046.347303244409</v>
      </c>
      <c r="W343" s="300">
        <f t="shared" ref="W343:AB343" si="219">W342/W344*1000</f>
        <v>1357.2007967233028</v>
      </c>
      <c r="X343" s="300">
        <f t="shared" si="219"/>
        <v>1788.7168969347399</v>
      </c>
      <c r="Y343" s="300">
        <f t="shared" si="219"/>
        <v>2231.6475490154621</v>
      </c>
      <c r="Z343" s="300">
        <f t="shared" si="219"/>
        <v>2643.2062063754647</v>
      </c>
      <c r="AA343" s="300">
        <f t="shared" si="219"/>
        <v>2932.2357565168368</v>
      </c>
      <c r="AB343" s="300">
        <f t="shared" si="219"/>
        <v>3042.0714480832485</v>
      </c>
      <c r="AD343" s="300">
        <f t="shared" ref="AD343:AI343" si="220">AD342/AD344*1000</f>
        <v>1343.5873925477269</v>
      </c>
      <c r="AE343" s="300">
        <f t="shared" si="220"/>
        <v>1769.5592677108589</v>
      </c>
      <c r="AF343" s="300">
        <f t="shared" si="220"/>
        <v>2207.1280510128104</v>
      </c>
      <c r="AG343" s="300">
        <f t="shared" si="220"/>
        <v>2616.8043508723986</v>
      </c>
      <c r="AH343" s="300">
        <f t="shared" si="220"/>
        <v>2912.5891888139122</v>
      </c>
      <c r="AI343" s="300">
        <f t="shared" si="220"/>
        <v>3038.2259012637737</v>
      </c>
      <c r="AK343" s="300">
        <f t="shared" ref="AK343:AP343" si="221">AK342/AK344*1000</f>
        <v>1329.8128544808828</v>
      </c>
      <c r="AL343" s="300">
        <f t="shared" si="221"/>
        <v>1750.6708620967338</v>
      </c>
      <c r="AM343" s="300">
        <f t="shared" si="221"/>
        <v>2182.9396267330862</v>
      </c>
      <c r="AN343" s="300">
        <f t="shared" si="221"/>
        <v>2591.9329441969489</v>
      </c>
      <c r="AO343" s="300">
        <f t="shared" si="221"/>
        <v>2892.8898506768778</v>
      </c>
      <c r="AP343" s="300">
        <f t="shared" si="221"/>
        <v>3034.2526434341903</v>
      </c>
      <c r="AR343" s="300">
        <f t="shared" ref="AR343:AW343" si="222">AR342/AR344*1000</f>
        <v>1316.5870523345172</v>
      </c>
      <c r="AS343" s="300">
        <f t="shared" si="222"/>
        <v>1732.0818854807085</v>
      </c>
      <c r="AT343" s="300">
        <f t="shared" si="222"/>
        <v>2159.9157935776343</v>
      </c>
      <c r="AU343" s="300">
        <f t="shared" si="222"/>
        <v>2566.9314733469296</v>
      </c>
      <c r="AV343" s="300">
        <f t="shared" si="222"/>
        <v>2873.118242204031</v>
      </c>
      <c r="AW343" s="300">
        <f t="shared" si="222"/>
        <v>3030.0223427166179</v>
      </c>
    </row>
    <row r="344" spans="1:52" x14ac:dyDescent="0.25">
      <c r="A344" s="298" t="s">
        <v>480</v>
      </c>
      <c r="B344" s="299">
        <f t="shared" ref="B344:G344" si="223" xml:space="preserve"> -232.8670000513 - (102.0339177026 * (B251/1000)) + (1386.8135453223 * B236) - (3.1583174866 * B253) + (80.3303777865 * B316) - (115.1570451563 * B252) + (4.1836503117 * (AVERAGE(B5:B6)*0.453592)) + (2553.6417073224 * B236 * B236) + (228.757399518 * B252 * B252) + (12.736240264 *  (B251/1000) * B253) - (24.4502664605 *  (B251/1000) * B316) - (23.0415882284 * B236 * B253) + (101.5847297779 * B236 * B316) - (1559.9331198689 * B236 *B252) - (3.9239483753 * B236 * (AVERAGE(B5:B6)*0.453592)) - (0.1078600966 * B253 * (AVERAGE(B5:B6)*0.453592)) - (28.1879330488 * B316 * B252) - (0.1153929924 * B316 * (AVERAGE(B5:B6)*0.453592))</f>
        <v>541.48123876174384</v>
      </c>
      <c r="C344" s="299">
        <f t="shared" si="223"/>
        <v>471.05106861362759</v>
      </c>
      <c r="D344" s="299">
        <f t="shared" si="223"/>
        <v>410.02340376494885</v>
      </c>
      <c r="E344" s="299">
        <f t="shared" si="223"/>
        <v>360.7957609066396</v>
      </c>
      <c r="F344" s="299">
        <f t="shared" si="223"/>
        <v>326.28328855841602</v>
      </c>
      <c r="G344" s="299">
        <f t="shared" si="223"/>
        <v>301.12774430436968</v>
      </c>
      <c r="I344" s="299">
        <f t="shared" ref="I344:N344" si="224" xml:space="preserve"> -232.8670000513 - (102.0339177026 * (I251/1000)) + (1386.8135453223 * I236) - (3.1583174866 * I253) + (80.3303777865 * I316) - (115.1570451563 * I252) + (4.1836503117 * (AVERAGE(I5:I6)*0.453592)) + (2553.6417073224 * I236 * I236) + (228.757399518 * I252 * I252) + (12.736240264 *  (I251/1000) * I253) - (24.4502664605 *  (I251/1000) * I316) - (23.0415882284 * I236 * I253) + (101.5847297779 * I236 * I316) - (1559.9331198689 * I236 *I252) - (3.9239483753 * I236 * (AVERAGE(I5:I6)*0.453592)) - (0.1078600966 * I253 * (AVERAGE(I5:I6)*0.453592)) - (28.1879330488 * I316 * I252) - (0.1153929924 * I316 * (AVERAGE(I5:I6)*0.453592))</f>
        <v>544.68195539732392</v>
      </c>
      <c r="J344" s="299">
        <f t="shared" si="224"/>
        <v>474.77645657903764</v>
      </c>
      <c r="K344" s="299">
        <f t="shared" si="224"/>
        <v>413.54184942601609</v>
      </c>
      <c r="L344" s="299">
        <f t="shared" si="224"/>
        <v>363.19410796302145</v>
      </c>
      <c r="M344" s="299">
        <f t="shared" si="224"/>
        <v>326.87384574181419</v>
      </c>
      <c r="N344" s="299">
        <f t="shared" si="224"/>
        <v>299.1012866084933</v>
      </c>
      <c r="P344" s="299">
        <f t="shared" ref="P344:U344" si="225" xml:space="preserve"> -232.8670000513 - (102.0339177026 * (P251/1000)) + (1386.8135453223 * P236) - (3.1583174866 * P253) + (80.3303777865 * P316) - (115.1570451563 * P252) + (4.1836503117 * (AVERAGE(P5:P6)*0.453592)) + (2553.6417073224 * P236 * P236) + (228.757399518 * P252 * P252) + (12.736240264 *  (P251/1000) * P253) - (24.4502664605 *  (P251/1000) * P316) - (23.0415882284 * P236 * P253) + (101.5847297779 * P236 * P316) - (1559.9331198689 * P236 *P252) - (3.9239483753 * P236 * (AVERAGE(P5:P6)*0.453592)) - (0.1078600966 * P253 * (AVERAGE(P5:P6)*0.453592)) - (28.1879330488 * P316 * P252) - (0.1153929924 * P316 * (AVERAGE(P5:P6)*0.453592))</f>
        <v>547.89662275074909</v>
      </c>
      <c r="Q344" s="299">
        <f t="shared" si="225"/>
        <v>478.5323901444587</v>
      </c>
      <c r="R344" s="299">
        <f t="shared" si="225"/>
        <v>417.04800330636067</v>
      </c>
      <c r="S344" s="299">
        <f t="shared" si="225"/>
        <v>365.60182676552984</v>
      </c>
      <c r="T344" s="299">
        <f t="shared" si="225"/>
        <v>327.48823108189816</v>
      </c>
      <c r="U344" s="299">
        <f t="shared" si="225"/>
        <v>297.10212626101668</v>
      </c>
      <c r="W344" s="299">
        <f t="shared" ref="W344:AB344" si="226" xml:space="preserve"> -232.8670000513 - (102.0339177026 * (W251/1000)) + (1386.8135453223 * W236) - (3.1583174866 * W253) + (80.3303777865 * W316) - (115.1570451563 * W252) + (4.1836503117 * (AVERAGE(W5:W6)*0.453592)) + (2553.6417073224 * W236 * W236) + (228.757399518 * W252 * W252) + (12.736240264 *  (W251/1000) * W253) - (24.4502664605 *  (W251/1000) * W316) - (23.0415882284 * W236 * W253) + (101.5847297779 * W236 * W316) - (1559.9331198689 * W236 *W252) - (3.9239483753 * W236 * (AVERAGE(W5:W6)*0.453592)) - (0.1078600966 * W253 * (AVERAGE(W5:W6)*0.453592)) - (28.1879330488 * W316 * W252) - (0.1153929924 * W316 * (AVERAGE(W5:W6)*0.453592))</f>
        <v>551.11052476804502</v>
      </c>
      <c r="X344" s="299">
        <f t="shared" si="226"/>
        <v>482.29829943319055</v>
      </c>
      <c r="Y344" s="299">
        <f t="shared" si="226"/>
        <v>420.54885370178459</v>
      </c>
      <c r="Z344" s="299">
        <f t="shared" si="226"/>
        <v>368.01249324880132</v>
      </c>
      <c r="AA344" s="299">
        <f t="shared" si="226"/>
        <v>328.12799231535098</v>
      </c>
      <c r="AB344" s="299">
        <f t="shared" si="226"/>
        <v>295.10847734063134</v>
      </c>
      <c r="AD344" s="299">
        <f t="shared" ref="AD344:AI344" si="227" xml:space="preserve"> -232.8670000513 - (102.0339177026 * (AD251/1000)) + (1386.8135453223 * AD236) - (3.1583174866 * AD253) + (80.3303777865 * AD316) - (115.1570451563 * AD252) + (4.1836503117 * (AVERAGE(AD5:AD6)*0.453592)) + (2553.6417073224 * AD236 * AD236) + (228.757399518 * AD252 * AD252) + (12.736240264 *  (AD251/1000) * AD253) - (24.4502664605 *  (AD251/1000) * AD316) - (23.0415882284 * AD236 * AD253) + (101.5847297779 * AD236 * AD316) - (1559.9331198689 * AD236 *AD252) - (3.9239483753 * AD236 * (AVERAGE(AD5:AD6)*0.453592)) - (0.1078600966 * AD253 * (AVERAGE(AD5:AD6)*0.453592)) - (28.1879330488 * AD316 * AD252) - (0.1153929924 * AD316 * (AVERAGE(AD5:AD6)*0.453592))</f>
        <v>554.34922340802814</v>
      </c>
      <c r="AE344" s="299">
        <f t="shared" si="227"/>
        <v>486.06870424698963</v>
      </c>
      <c r="AF344" s="299">
        <f t="shared" si="227"/>
        <v>424.04778376643372</v>
      </c>
      <c r="AG344" s="299">
        <f t="shared" si="227"/>
        <v>370.46855332729479</v>
      </c>
      <c r="AH344" s="299">
        <f t="shared" si="227"/>
        <v>328.6862971059129</v>
      </c>
      <c r="AI344" s="299">
        <f t="shared" si="227"/>
        <v>293.10578220758794</v>
      </c>
      <c r="AK344" s="299">
        <f t="shared" ref="AK344:AP344" si="228" xml:space="preserve"> -232.8670000513 - (102.0339177026 * (AK251/1000)) + (1386.8135453223 * AK236) - (3.1583174866 * AK253) + (80.3303777865 * AK316) - (115.1570451563 * AK252) + (4.1836503117 * (AVERAGE(AK5:AK6)*0.453592)) + (2553.6417073224 * AK236 * AK236) + (228.757399518 * AK252 * AK252) + (12.736240264 *  (AK251/1000) * AK253) - (24.4502664605 *  (AK251/1000) * AK316) - (23.0415882284 * AK236 * AK253) + (101.5847297779 * AK236 * AK316) - (1559.9331198689 * AK236 *AK252) - (3.9239483753 * AK236 * (AVERAGE(AK5:AK6)*0.453592)) - (0.1078600966 * AK253 * (AVERAGE(AK5:AK6)*0.453592)) - (28.1879330488 * AK316 * AK252) - (0.1153929924 * AK316 * (AVERAGE(AK5:AK6)*0.453592))</f>
        <v>557.74081209962173</v>
      </c>
      <c r="AL344" s="299">
        <f t="shared" si="228"/>
        <v>489.84693169406222</v>
      </c>
      <c r="AM344" s="299">
        <f t="shared" si="228"/>
        <v>427.5797585417273</v>
      </c>
      <c r="AN344" s="299">
        <f t="shared" si="228"/>
        <v>372.73581436865857</v>
      </c>
      <c r="AO344" s="299">
        <f t="shared" si="228"/>
        <v>329.28751157066336</v>
      </c>
      <c r="AP344" s="299">
        <f t="shared" si="228"/>
        <v>291.1274886409185</v>
      </c>
      <c r="AR344" s="299">
        <f t="shared" ref="AR344:AW344" si="229" xml:space="preserve"> -232.8670000513 - (102.0339177026 * (AR251/1000)) + (1386.8135453223 * AR236) - (3.1583174866 * AR253) + (80.3303777865 * AR316) - (115.1570451563 * AR252) + (4.1836503117 * (AVERAGE(AR5:AR6)*0.453592)) + (2553.6417073224 * AR236 * AR236) + (228.757399518 * AR252 * AR252) + (12.736240264 *  (AR251/1000) * AR253) - (24.4502664605 *  (AR251/1000) * AR316) - (23.0415882284 * AR236 * AR253) + (101.5847297779 * AR236 * AR316) - (1559.9331198689 * AR236 *AR252) - (3.9239483753 * AR236 * (AVERAGE(AR5:AR6)*0.453592)) - (0.1078600966 * AR253 * (AVERAGE(AR5:AR6)*0.453592)) - (28.1879330488 * AR316 * AR252) - (0.1153929924 * AR316 * (AVERAGE(AR5:AR6)*0.453592))</f>
        <v>560.92456426101978</v>
      </c>
      <c r="AS344" s="299">
        <f t="shared" si="229"/>
        <v>493.61233476220207</v>
      </c>
      <c r="AT344" s="299">
        <f t="shared" si="229"/>
        <v>430.93868169881779</v>
      </c>
      <c r="AU344" s="299">
        <f t="shared" si="229"/>
        <v>375.09757078441942</v>
      </c>
      <c r="AV344" s="299">
        <f t="shared" si="229"/>
        <v>329.89987224117283</v>
      </c>
      <c r="AW344" s="299">
        <f t="shared" si="229"/>
        <v>289.15839713057858</v>
      </c>
    </row>
    <row r="345" spans="1:52" x14ac:dyDescent="0.25">
      <c r="A345" s="298" t="s">
        <v>134</v>
      </c>
      <c r="B345" s="301">
        <f t="shared" ref="B345:G345" si="230">IF(B323="","0",1/B344*1000)</f>
        <v>1.846786053542306</v>
      </c>
      <c r="C345" s="301">
        <f t="shared" si="230"/>
        <v>2.1229120718123973</v>
      </c>
      <c r="D345" s="301">
        <f t="shared" si="230"/>
        <v>2.4388851729382321</v>
      </c>
      <c r="E345" s="301">
        <f t="shared" si="230"/>
        <v>2.7716511898230491</v>
      </c>
      <c r="F345" s="301">
        <f t="shared" si="230"/>
        <v>3.0648213839519558</v>
      </c>
      <c r="G345" s="301">
        <f t="shared" si="230"/>
        <v>3.3208497686258824</v>
      </c>
      <c r="I345" s="301">
        <f t="shared" ref="I345:N345" si="231">IF(I323="","0",1/I344*1000)</f>
        <v>1.8359337776676292</v>
      </c>
      <c r="J345" s="301">
        <f t="shared" si="231"/>
        <v>2.106254398555095</v>
      </c>
      <c r="K345" s="301">
        <f t="shared" si="231"/>
        <v>2.41813495148791</v>
      </c>
      <c r="L345" s="301">
        <f t="shared" si="231"/>
        <v>2.7533486311452355</v>
      </c>
      <c r="M345" s="301">
        <f t="shared" si="231"/>
        <v>3.0592842254802601</v>
      </c>
      <c r="N345" s="301">
        <f t="shared" si="231"/>
        <v>3.343349041854653</v>
      </c>
      <c r="P345" s="301">
        <f t="shared" ref="P345:U345" si="232">IF(P323="","0",1/P344*1000)</f>
        <v>1.8251618251987716</v>
      </c>
      <c r="Q345" s="301">
        <f t="shared" si="232"/>
        <v>2.0897227034059727</v>
      </c>
      <c r="R345" s="301">
        <f t="shared" si="232"/>
        <v>2.3978055093706008</v>
      </c>
      <c r="S345" s="301">
        <f t="shared" si="232"/>
        <v>2.7352160924549391</v>
      </c>
      <c r="T345" s="301">
        <f t="shared" si="232"/>
        <v>3.0535448455548324</v>
      </c>
      <c r="U345" s="301">
        <f t="shared" si="232"/>
        <v>3.3658459890033168</v>
      </c>
      <c r="W345" s="301">
        <f t="shared" ref="W345:AB345" si="233">IF(W323="","0",1/W344*1000)</f>
        <v>1.8145180595505528</v>
      </c>
      <c r="X345" s="301">
        <f t="shared" si="233"/>
        <v>2.0734056105427405</v>
      </c>
      <c r="Y345" s="301">
        <f t="shared" si="233"/>
        <v>2.3778450260837238</v>
      </c>
      <c r="Z345" s="301">
        <f t="shared" si="233"/>
        <v>2.7172990546381599</v>
      </c>
      <c r="AA345" s="301">
        <f t="shared" si="233"/>
        <v>3.0475912553018003</v>
      </c>
      <c r="AB345" s="301">
        <f t="shared" si="233"/>
        <v>3.3885844588793086</v>
      </c>
      <c r="AD345" s="301">
        <f t="shared" ref="AD345:AI345" si="234">IF(AD323="","0",1/AD344*1000)</f>
        <v>1.803917021570266</v>
      </c>
      <c r="AE345" s="301">
        <f t="shared" si="234"/>
        <v>2.0573223317250697</v>
      </c>
      <c r="AF345" s="301">
        <f t="shared" si="234"/>
        <v>2.3582247998513344</v>
      </c>
      <c r="AG345" s="301">
        <f t="shared" si="234"/>
        <v>2.6992844359357493</v>
      </c>
      <c r="AH345" s="301">
        <f t="shared" si="234"/>
        <v>3.0424146330559347</v>
      </c>
      <c r="AI345" s="301">
        <f t="shared" si="234"/>
        <v>3.411737538810355</v>
      </c>
      <c r="AK345" s="301">
        <f t="shared" ref="AK345:AP345" si="235">IF(AK323="","0",1/AK344*1000)</f>
        <v>1.7929475094990599</v>
      </c>
      <c r="AL345" s="301">
        <f t="shared" si="235"/>
        <v>2.0414540447189284</v>
      </c>
      <c r="AM345" s="301">
        <f t="shared" si="235"/>
        <v>2.3387449476339288</v>
      </c>
      <c r="AN345" s="301">
        <f t="shared" si="235"/>
        <v>2.6828653471193911</v>
      </c>
      <c r="AO345" s="301">
        <f t="shared" si="235"/>
        <v>3.0368597801663224</v>
      </c>
      <c r="AP345" s="301">
        <f t="shared" si="235"/>
        <v>3.4349212596458614</v>
      </c>
      <c r="AR345" s="301">
        <f t="shared" ref="AR345:AW345" si="236">IF(AR323="","0",1/AR344*1000)</f>
        <v>1.7827709173646771</v>
      </c>
      <c r="AS345" s="301">
        <f t="shared" si="236"/>
        <v>2.0258813031520986</v>
      </c>
      <c r="AT345" s="301">
        <f t="shared" si="236"/>
        <v>2.320515754255029</v>
      </c>
      <c r="AU345" s="301">
        <f t="shared" si="236"/>
        <v>2.6659730104590094</v>
      </c>
      <c r="AV345" s="301">
        <f t="shared" si="236"/>
        <v>3.0312227561850991</v>
      </c>
      <c r="AW345" s="301">
        <f t="shared" si="236"/>
        <v>3.4583121566703747</v>
      </c>
    </row>
    <row r="346" spans="1:52" x14ac:dyDescent="0.25">
      <c r="A346" s="298" t="s">
        <v>481</v>
      </c>
      <c r="B346" s="301">
        <f t="shared" ref="B346:G346" si="237">(B6-B5)*0.453592/(B342/1000)</f>
        <v>20.958977100556179</v>
      </c>
      <c r="C346" s="301">
        <f t="shared" si="237"/>
        <v>18.239080496534822</v>
      </c>
      <c r="D346" s="301">
        <f t="shared" si="237"/>
        <v>19.17492901903826</v>
      </c>
      <c r="E346" s="301">
        <f t="shared" si="237"/>
        <v>18.464677842774325</v>
      </c>
      <c r="F346" s="301">
        <f t="shared" si="237"/>
        <v>18.577722929695792</v>
      </c>
      <c r="G346" s="301">
        <f t="shared" si="237"/>
        <v>22.192648973190369</v>
      </c>
      <c r="I346" s="301">
        <f>(I351-I5)*0.453592/(I342/1000)</f>
        <v>20.958934901426296</v>
      </c>
      <c r="J346" s="301">
        <f>(J351-I351)*0.453592/(J342/1000)</f>
        <v>18.315905611255403</v>
      </c>
      <c r="K346" s="301">
        <f>(K351-J351)*0.453592/(K342/1000)</f>
        <v>19.224942569212494</v>
      </c>
      <c r="L346" s="301">
        <f>(L351-K351)*0.453592/(L342/1000)</f>
        <v>18.514878486289618</v>
      </c>
      <c r="M346" s="301">
        <f>(M351-L351)*0.453592/(M342/1000)</f>
        <v>18.640702245710891</v>
      </c>
      <c r="N346" s="301">
        <f>(N351-M351)*0.453592/(N342/1000)</f>
        <v>22.290975434912379</v>
      </c>
      <c r="P346" s="301">
        <f>(P351-P5)*0.453592/(P342/1000)</f>
        <v>20.958934723881768</v>
      </c>
      <c r="Q346" s="301">
        <f>(Q351-P351)*0.453592/(Q342/1000)</f>
        <v>18.392682632474418</v>
      </c>
      <c r="R346" s="301">
        <f>(R351-Q351)*0.453592/(R342/1000)</f>
        <v>19.274921803118666</v>
      </c>
      <c r="S346" s="301">
        <f>(S351-R351)*0.453592/(S342/1000)</f>
        <v>18.56548743692343</v>
      </c>
      <c r="T346" s="301">
        <f>(T351-S351)*0.453592/(T342/1000)</f>
        <v>18.703868794762762</v>
      </c>
      <c r="U346" s="301">
        <f>(U351-T351)*0.453592/(U342/1000)</f>
        <v>22.390726782695708</v>
      </c>
      <c r="W346" s="301">
        <f>(W351-W5)*0.453592/(W342/1000)</f>
        <v>20.958934544993976</v>
      </c>
      <c r="X346" s="301">
        <f>(X351-W351)*0.453592/(X342/1000)</f>
        <v>18.469849499526269</v>
      </c>
      <c r="Y346" s="301">
        <f>(Y351-X351)*0.453592/(Y342/1000)</f>
        <v>19.325112539365119</v>
      </c>
      <c r="Z346" s="301">
        <f>(Z351-Y351)*0.453592/(Z342/1000)</f>
        <v>18.616504329922311</v>
      </c>
      <c r="AA346" s="301">
        <f>(AA351-Z351)*0.453592/(AA342/1000)</f>
        <v>18.767382047125935</v>
      </c>
      <c r="AB346" s="301">
        <f>(AB351-AA351)*0.453592/(AB342/1000)</f>
        <v>22.492451179536744</v>
      </c>
      <c r="AD346" s="301">
        <f>(AD351-AD5)*0.453592/(AD342/1000)</f>
        <v>20.958934364958733</v>
      </c>
      <c r="AE346" s="301">
        <f>(AE351-AD351)*0.453592/(AE342/1000)</f>
        <v>18.547320140157048</v>
      </c>
      <c r="AF346" s="301">
        <f>(AF351-AE351)*0.453592/(AF342/1000)</f>
        <v>19.375567288119335</v>
      </c>
      <c r="AG346" s="301">
        <f>(AG351-AF351)*0.453592/(AG342/1000)</f>
        <v>18.66822928046717</v>
      </c>
      <c r="AH346" s="301">
        <f>(AH351-AG351)*0.453592/(AH342/1000)</f>
        <v>18.831777906912002</v>
      </c>
      <c r="AI346" s="301">
        <f>(AI351-AH351)*0.453592/(AI342/1000)</f>
        <v>22.595444633839602</v>
      </c>
      <c r="AK346" s="301">
        <f>(AK351-AK5)*0.453592/(AK342/1000)</f>
        <v>20.958934184857057</v>
      </c>
      <c r="AL346" s="301">
        <f>(AL351-AK351)*0.453592/(AL342/1000)</f>
        <v>18.624636134214544</v>
      </c>
      <c r="AM346" s="301">
        <f>(AM351-AL351)*0.453592/(AM342/1000)</f>
        <v>19.426268986135046</v>
      </c>
      <c r="AN346" s="301">
        <f>(AN351-AM351)*0.453592/(AN342/1000)</f>
        <v>18.719483609966993</v>
      </c>
      <c r="AO346" s="301">
        <f>(AO351-AN351)*0.453592/(AO342/1000)</f>
        <v>18.897733402764203</v>
      </c>
      <c r="AP346" s="301">
        <f>(AP351-AO351)*0.453592/(AP342/1000)</f>
        <v>22.6983077936002</v>
      </c>
      <c r="AR346" s="301">
        <f>(AR351-AR5)*0.453592/(AR342/1000)</f>
        <v>20.958933999778708</v>
      </c>
      <c r="AS346" s="301">
        <f>(AS351-AR351)*0.453592/(AS342/1000)</f>
        <v>18.703875776785974</v>
      </c>
      <c r="AT346" s="301">
        <f>(AT351-AS351)*0.453592/(AT342/1000)</f>
        <v>19.477597768671728</v>
      </c>
      <c r="AU346" s="301">
        <f>(AU351-AT351)*0.453592/(AU342/1000)</f>
        <v>18.771915358733882</v>
      </c>
      <c r="AV346" s="301">
        <f>(AV351-AU351)*0.453592/(AV342/1000)</f>
        <v>18.962776160010314</v>
      </c>
      <c r="AW346" s="301">
        <f>(AW351-AV351)*0.453592/(AW342/1000)</f>
        <v>22.803203932740168</v>
      </c>
    </row>
    <row r="347" spans="1:52" x14ac:dyDescent="0.25">
      <c r="A347" s="298" t="s">
        <v>482</v>
      </c>
      <c r="B347" s="299">
        <f t="shared" ref="B347:G347" si="238" xml:space="preserve"> 51.6684755267 + 7.1030096064 * (B251/1000) + 54.0870565413 * B236 + 1.6439820046 * B253 + 0.4039153805 * B316 - 20.5375389219 * B252 + 0.2869358688 *(AVERAGE(B5:B6)*0.453592) - 0.016597667 * B316 * B316 - 0.1531408962 * (B251/1000) * (AVERAGE(B5:B6)*0.453592) - 4.8153797375 * B236 * B253 + 0.5304361357 * B236 * (AVERAGE(B5:B6)*0.453592) + 0.9830652207 * B253 * B252 - 0.0127129553 * B253 *(AVERAGE(B5:B6)*0.453592)</f>
        <v>59.07643336708562</v>
      </c>
      <c r="C347" s="299">
        <f t="shared" si="238"/>
        <v>66.187005535002854</v>
      </c>
      <c r="D347" s="299">
        <f t="shared" si="238"/>
        <v>71.339528706858943</v>
      </c>
      <c r="E347" s="299">
        <f t="shared" si="238"/>
        <v>74.764464309798441</v>
      </c>
      <c r="F347" s="299">
        <f t="shared" si="238"/>
        <v>76.836980679644768</v>
      </c>
      <c r="G347" s="299">
        <f t="shared" si="238"/>
        <v>78.432360226639787</v>
      </c>
      <c r="I347" s="299">
        <f t="shared" ref="I347:N347" si="239" xml:space="preserve"> 51.6684755267 + 7.1030096064 * (I251/1000) + 54.0870565413 * I236 + 1.6439820046 * I253 + 0.4039153805 * I316 - 20.5375389219 * I252 + 0.2869358688 *(AVERAGE(I5:I6)*0.453592) - 0.016597667 * I316 * I316 - 0.1531408962 * (I251/1000) * (AVERAGE(I5:I6)*0.453592) - 4.8153797375 * I236 * I253 + 0.5304361357 * I236 * (AVERAGE(I5:I6)*0.453592) + 0.9830652207 * I253 * I252 - 0.0127129553 * I253 *(AVERAGE(I5:I6)*0.453592)</f>
        <v>59.243479327988396</v>
      </c>
      <c r="J347" s="299">
        <f t="shared" si="239"/>
        <v>66.314682198181842</v>
      </c>
      <c r="K347" s="299">
        <f t="shared" si="239"/>
        <v>71.423989215062747</v>
      </c>
      <c r="L347" s="299">
        <f t="shared" si="239"/>
        <v>74.794604233590505</v>
      </c>
      <c r="M347" s="299">
        <f t="shared" si="239"/>
        <v>76.806432001497171</v>
      </c>
      <c r="N347" s="299">
        <f t="shared" si="239"/>
        <v>78.328720442931086</v>
      </c>
      <c r="P347" s="299">
        <f t="shared" ref="P347:U347" si="240" xml:space="preserve"> 51.6684755267 + 7.1030096064 * (P251/1000) + 54.0870565413 * P236 + 1.6439820046 * P253 + 0.4039153805 * P316 - 20.5375389219 * P252 + 0.2869358688 *(AVERAGE(P5:P6)*0.453592) - 0.016597667 * P316 * P316 - 0.1531408962 * (P251/1000) * (AVERAGE(P5:P6)*0.453592) - 4.8153797375 * P236 * P253 + 0.5304361357 * P236 * (AVERAGE(P5:P6)*0.453592) + 0.9830652207 * P253 * P252 - 0.0127129553 * P253 *(AVERAGE(P5:P6)*0.453592)</f>
        <v>59.36744799757264</v>
      </c>
      <c r="Q347" s="299">
        <f t="shared" si="240"/>
        <v>66.399315096503798</v>
      </c>
      <c r="R347" s="299">
        <f t="shared" si="240"/>
        <v>71.463555262742716</v>
      </c>
      <c r="S347" s="299">
        <f t="shared" si="240"/>
        <v>74.78052970997615</v>
      </c>
      <c r="T347" s="299">
        <f t="shared" si="240"/>
        <v>76.730534311286107</v>
      </c>
      <c r="U347" s="299">
        <f t="shared" si="240"/>
        <v>78.177949163716193</v>
      </c>
      <c r="W347" s="299">
        <f t="shared" ref="W347:AB347" si="241" xml:space="preserve"> 51.6684755267 + 7.1030096064 * (W251/1000) + 54.0870565413 * W236 + 1.6439820046 * W253 + 0.4039153805 * W316 - 20.5375389219 * W252 + 0.2869358688 *(AVERAGE(W5:W6)*0.453592) - 0.016597667 * W316 * W316 - 0.1531408962 * (W251/1000) * (AVERAGE(W5:W6)*0.453592) - 4.8153797375 * W236 * W253 + 0.5304361357 * W236 * (AVERAGE(W5:W6)*0.453592) + 0.9830652207 * W253 * W252 - 0.0127129553 * W253 *(AVERAGE(W5:W6)*0.453592)</f>
        <v>59.447219082438615</v>
      </c>
      <c r="X347" s="299">
        <f t="shared" si="241"/>
        <v>66.439762970964395</v>
      </c>
      <c r="Y347" s="299">
        <f t="shared" si="241"/>
        <v>71.458544885255478</v>
      </c>
      <c r="Z347" s="299">
        <f t="shared" si="241"/>
        <v>74.722581015382374</v>
      </c>
      <c r="AA347" s="299">
        <f t="shared" si="241"/>
        <v>76.608905340313939</v>
      </c>
      <c r="AB347" s="299">
        <f t="shared" si="241"/>
        <v>77.983455074685651</v>
      </c>
      <c r="AD347" s="299">
        <f t="shared" ref="AD347:AI347" si="242" xml:space="preserve"> 51.6684755267 + 7.1030096064 * (AD251/1000) + 54.0870565413 * AD236 + 1.6439820046 * AD253 + 0.4039153805 * AD316 - 20.5375389219 * AD252 + 0.2869358688 *(AVERAGE(AD5:AD6)*0.453592) - 0.016597667 * AD316 * AD316 - 0.1531408962 * (AD251/1000) * (AVERAGE(AD5:AD6)*0.453592) - 4.8153797375 * AD236 * AD253 + 0.5304361357 * AD236 * (AVERAGE(AD5:AD6)*0.453592) + 0.9830652207 * AD253 * AD252 - 0.0127129553 * AD253 *(AVERAGE(AD5:AD6)*0.453592)</f>
        <v>59.482709418021351</v>
      </c>
      <c r="AE347" s="299">
        <f t="shared" si="242"/>
        <v>66.435812016540055</v>
      </c>
      <c r="AF347" s="299">
        <f t="shared" si="242"/>
        <v>71.409565286860925</v>
      </c>
      <c r="AG347" s="299">
        <f t="shared" si="242"/>
        <v>74.618645670294839</v>
      </c>
      <c r="AH347" s="299">
        <f t="shared" si="242"/>
        <v>76.446831743390234</v>
      </c>
      <c r="AI347" s="299">
        <f t="shared" si="242"/>
        <v>77.750226743330074</v>
      </c>
      <c r="AK347" s="299">
        <f t="shared" ref="AK347:AP347" si="243" xml:space="preserve"> 51.6684755267 + 7.1030096064 * (AK251/1000) + 54.0870565413 * AK236 + 1.6439820046 * AK253 + 0.4039153805 * AK316 - 20.5375389219 * AK252 + 0.2869358688 *(AVERAGE(AK5:AK6)*0.453592) - 0.016597667 * AK316 * AK316 - 0.1531408962 * (AK251/1000) * (AVERAGE(AK5:AK6)*0.453592) - 4.8153797375 * AK236 * AK253 + 0.5304361357 * AK236 * (AVERAGE(AK5:AK6)*0.453592) + 0.9830652207 * AK253 * AK252 - 0.0127129553 * AK253 *(AVERAGE(AK5:AK6)*0.453592)</f>
        <v>59.47349826761198</v>
      </c>
      <c r="AL347" s="299">
        <f t="shared" si="243"/>
        <v>66.387431021857651</v>
      </c>
      <c r="AM347" s="299">
        <f t="shared" si="243"/>
        <v>71.31545090986981</v>
      </c>
      <c r="AN347" s="299">
        <f t="shared" si="243"/>
        <v>74.472489558054363</v>
      </c>
      <c r="AO347" s="299">
        <f t="shared" si="243"/>
        <v>76.24169507308261</v>
      </c>
      <c r="AP347" s="299">
        <f t="shared" si="243"/>
        <v>77.47271641271557</v>
      </c>
      <c r="AR347" s="299">
        <f t="shared" ref="AR347:AW347" si="244" xml:space="preserve"> 51.6684755267 + 7.1030096064 * (AR251/1000) + 54.0870565413 * AR236 + 1.6439820046 * AR253 + 0.4039153805 * AR316 - 20.5375389219 * AR252 + 0.2869358688 *(AVERAGE(AR5:AR6)*0.453592) - 0.016597667 * AR316 * AR316 - 0.1531408962 * (AR251/1000) * (AVERAGE(AR5:AR6)*0.453592) - 4.8153797375 * AR236 * AR253 + 0.5304361357 * AR236 * (AVERAGE(AR5:AR6)*0.453592) + 0.9830652207 * AR253 * AR252 - 0.0127129553 * AR253 *(AVERAGE(AR5:AR6)*0.453592)</f>
        <v>59.419660946152376</v>
      </c>
      <c r="AS347" s="299">
        <f t="shared" si="244"/>
        <v>66.294450943031634</v>
      </c>
      <c r="AT347" s="299">
        <f t="shared" si="244"/>
        <v>71.177011875452706</v>
      </c>
      <c r="AU347" s="299">
        <f t="shared" si="244"/>
        <v>74.283880076076372</v>
      </c>
      <c r="AV347" s="299">
        <f t="shared" si="244"/>
        <v>75.99246713277175</v>
      </c>
      <c r="AW347" s="299">
        <f t="shared" si="244"/>
        <v>77.1506983950826</v>
      </c>
    </row>
    <row r="348" spans="1:52" x14ac:dyDescent="0.25">
      <c r="A348" s="298" t="s">
        <v>474</v>
      </c>
      <c r="B348" s="299">
        <f t="shared" ref="B348:G348" si="245" xml:space="preserve"> 41.4410513954 + (14.8656283053 * B236) - (0.6326892081 * B253) - (12.1380129342 * B252) -
(0.0133880688 * (B253^2)) + (1.1112817574 * (B252^2))</f>
        <v>7.8081201670684095</v>
      </c>
      <c r="C348" s="299">
        <f t="shared" si="245"/>
        <v>9.6497372018873726</v>
      </c>
      <c r="D348" s="299">
        <f t="shared" si="245"/>
        <v>11.707280587456946</v>
      </c>
      <c r="E348" s="299">
        <f t="shared" si="245"/>
        <v>13.756142379711502</v>
      </c>
      <c r="F348" s="299">
        <f t="shared" si="245"/>
        <v>15.307913140289045</v>
      </c>
      <c r="G348" s="299">
        <f t="shared" si="245"/>
        <v>16.16672623849167</v>
      </c>
      <c r="I348" s="299">
        <f t="shared" ref="I348:N348" si="246" xml:space="preserve"> 41.4410513954 + (14.8656283053 * I236) - (0.6326892081 * I253) - (12.1380129342 * I252) -
(0.0133880688 * (I253^2)) + (1.1112817574 * (I252^2))</f>
        <v>7.3965712519540681</v>
      </c>
      <c r="J348" s="299">
        <f t="shared" si="246"/>
        <v>9.2585808082621668</v>
      </c>
      <c r="K348" s="299">
        <f t="shared" si="246"/>
        <v>11.33564432453878</v>
      </c>
      <c r="L348" s="299">
        <f t="shared" si="246"/>
        <v>13.396360195626425</v>
      </c>
      <c r="M348" s="299">
        <f t="shared" si="246"/>
        <v>14.95820516594468</v>
      </c>
      <c r="N348" s="299">
        <f t="shared" si="246"/>
        <v>15.821766941290225</v>
      </c>
      <c r="P348" s="299">
        <f t="shared" ref="P348:U348" si="247" xml:space="preserve"> 41.4410513954 + (14.8656283053 * P236) - (0.6326892081 * P253) - (12.1380129342 * P252) -
(0.0133880688 * (P253^2)) + (1.1112817574 * (P252^2))</f>
        <v>6.9828278317269579</v>
      </c>
      <c r="Q348" s="299">
        <f t="shared" si="247"/>
        <v>8.865238822029351</v>
      </c>
      <c r="R348" s="299">
        <f t="shared" si="247"/>
        <v>10.960534446788438</v>
      </c>
      <c r="S348" s="299">
        <f t="shared" si="247"/>
        <v>13.035429377706016</v>
      </c>
      <c r="T348" s="299">
        <f t="shared" si="247"/>
        <v>14.605084043765288</v>
      </c>
      <c r="U348" s="299">
        <f t="shared" si="247"/>
        <v>15.472324660184686</v>
      </c>
      <c r="W348" s="299">
        <f t="shared" ref="W348:AB348" si="248" xml:space="preserve"> 41.4410513954 + (14.8656283053 * W236) - (0.6326892081 * W253) - (12.1380129342 * W252) -
(0.0133880688 * (W253^2)) + (1.1112817574 * (W252^2))</f>
        <v>6.566215549972533</v>
      </c>
      <c r="X348" s="299">
        <f t="shared" si="248"/>
        <v>8.4692180548235783</v>
      </c>
      <c r="Y348" s="299">
        <f t="shared" si="248"/>
        <v>10.581725706686701</v>
      </c>
      <c r="Z348" s="299">
        <f t="shared" si="248"/>
        <v>12.674084929772935</v>
      </c>
      <c r="AA348" s="299">
        <f t="shared" si="248"/>
        <v>14.24700579792202</v>
      </c>
      <c r="AB348" s="299">
        <f t="shared" si="248"/>
        <v>15.120558002225403</v>
      </c>
      <c r="AD348" s="299">
        <f t="shared" ref="AD348:AI348" si="249" xml:space="preserve"> 41.4410513954 + (14.8656283053 * AD236) - (0.6326892081 * AD253) - (12.1380129342 * AD252) -
(0.0133880688 * (AD253^2)) + (1.1112817574 * (AD252^2))</f>
        <v>6.1470339280943271</v>
      </c>
      <c r="AE348" s="299">
        <f t="shared" si="249"/>
        <v>8.070046440699981</v>
      </c>
      <c r="AF348" s="299">
        <f t="shared" si="249"/>
        <v>10.206494085490409</v>
      </c>
      <c r="AG348" s="299">
        <f t="shared" si="249"/>
        <v>12.303481423881458</v>
      </c>
      <c r="AH348" s="299">
        <f t="shared" si="249"/>
        <v>13.889187174720101</v>
      </c>
      <c r="AI348" s="299">
        <f t="shared" si="249"/>
        <v>14.770965148427734</v>
      </c>
      <c r="AK348" s="299">
        <f t="shared" ref="AK348:AP348" si="250" xml:space="preserve"> 41.4410513954 + (14.8656283053 * AK236) - (0.6326892081 * AK253) - (12.1380129342 * AK252) -
(0.0133880688 * (AK253^2)) + (1.1112817574 * (AK252^2))</f>
        <v>5.7274548126901372</v>
      </c>
      <c r="AL348" s="299">
        <f t="shared" si="250"/>
        <v>7.6678208184835022</v>
      </c>
      <c r="AM348" s="299">
        <f t="shared" si="250"/>
        <v>9.8170298217134011</v>
      </c>
      <c r="AN348" s="299">
        <f t="shared" si="250"/>
        <v>11.930203962508784</v>
      </c>
      <c r="AO348" s="299">
        <f t="shared" si="250"/>
        <v>13.532733677069459</v>
      </c>
      <c r="AP348" s="299">
        <f t="shared" si="250"/>
        <v>14.419694661359173</v>
      </c>
      <c r="AR348" s="299">
        <f t="shared" ref="AR348:AW348" si="251" xml:space="preserve"> 41.4410513954 + (14.8656283053 * AR236) - (0.6326892081 * AR253) - (12.1380129342 * AR252) -
(0.0133880688 * (AR253^2)) + (1.1112817574 * (AR252^2))</f>
        <v>5.302659914214658</v>
      </c>
      <c r="AS348" s="299">
        <f t="shared" si="251"/>
        <v>7.2642063728480295</v>
      </c>
      <c r="AT348" s="299">
        <f t="shared" si="251"/>
        <v>9.4235824207212637</v>
      </c>
      <c r="AU348" s="299">
        <f t="shared" si="251"/>
        <v>11.560843876657216</v>
      </c>
      <c r="AV348" s="299">
        <f t="shared" si="251"/>
        <v>13.17188771098798</v>
      </c>
      <c r="AW348" s="299">
        <f t="shared" si="251"/>
        <v>14.064121356935306</v>
      </c>
    </row>
    <row r="349" spans="1:52" x14ac:dyDescent="0.25">
      <c r="A349" s="298" t="s">
        <v>483</v>
      </c>
      <c r="B349" s="299">
        <f t="shared" ref="B349:G349" si="252" xml:space="preserve"> -16.7992454106 + 17.2658536059 * (B251/1000) - 106.6634904715 * B236 + 0.1550376119 * B253 - 0.0727312562 * B316 + 48.6541457906 * B252 - 0.1535643762 * B253 * B253 - 0.0358142801 * B316 * B316 - 5.4618633046 * B252 * B252 + 4.2267870055 * B236 * B253 - 2.0313848595 * B236 * B316 + 0.1484978883 * B253 * B316</f>
        <v>52.048652387826927</v>
      </c>
      <c r="C349" s="299">
        <f t="shared" si="252"/>
        <v>57.424545894850155</v>
      </c>
      <c r="D349" s="299">
        <f t="shared" si="252"/>
        <v>60.138112629899155</v>
      </c>
      <c r="E349" s="299">
        <f t="shared" si="252"/>
        <v>61.003481994612869</v>
      </c>
      <c r="F349" s="299">
        <f t="shared" si="252"/>
        <v>60.913721975717699</v>
      </c>
      <c r="G349" s="299">
        <f t="shared" si="252"/>
        <v>60.653455485036048</v>
      </c>
      <c r="I349" s="299">
        <f t="shared" ref="I349:N349" si="253" xml:space="preserve"> -16.7992454106 + 17.2658536059 * (I251/1000) - 106.6634904715 * I236 + 0.1550376119 * I253 - 0.0727312562 * I316 + 48.6541457906 * I252 - 0.1535643762 * I253 * I253 - 0.0358142801 * I316 * I316 - 5.4618633046 * I252 * I252 + 4.2267870055 * I236 * I253 - 2.0313848595 * I236 * I316 + 0.1484978883 * I253 * I316</f>
        <v>52.029648828494423</v>
      </c>
      <c r="J349" s="299">
        <f t="shared" si="253"/>
        <v>57.389746218661493</v>
      </c>
      <c r="K349" s="299">
        <f t="shared" si="253"/>
        <v>60.090743298145505</v>
      </c>
      <c r="L349" s="299">
        <f t="shared" si="253"/>
        <v>60.939824450938623</v>
      </c>
      <c r="M349" s="299">
        <f t="shared" si="253"/>
        <v>60.841065722641474</v>
      </c>
      <c r="N349" s="299">
        <f t="shared" si="253"/>
        <v>60.579090503786553</v>
      </c>
      <c r="P349" s="299">
        <f t="shared" ref="P349:U349" si="254" xml:space="preserve"> -16.7992454106 + 17.2658536059 * (P251/1000) - 106.6634904715 * P236 + 0.1550376119 * P253 - 0.0727312562 * P316 + 48.6541457906 * P252 - 0.1535643762 * P253 * P253 - 0.0358142801 * P316 * P316 - 5.4618633046 * P252 * P252 + 4.2267870055 * P236 * P253 - 2.0313848595 * P236 * P316 + 0.1484978883 * P253 * P316</f>
        <v>52.005561038897824</v>
      </c>
      <c r="Q349" s="299">
        <f t="shared" si="254"/>
        <v>57.344714229760882</v>
      </c>
      <c r="R349" s="299">
        <f t="shared" si="254"/>
        <v>60.029009681374546</v>
      </c>
      <c r="S349" s="299">
        <f t="shared" si="254"/>
        <v>60.862233643135781</v>
      </c>
      <c r="T349" s="299">
        <f t="shared" si="254"/>
        <v>60.755224681577914</v>
      </c>
      <c r="U349" s="299">
        <f t="shared" si="254"/>
        <v>60.492207968769122</v>
      </c>
      <c r="W349" s="299">
        <f t="shared" ref="W349:AB349" si="255" xml:space="preserve"> -16.7992454106 + 17.2658536059 * (W251/1000) - 106.6634904715 * W236 + 0.1550376119 * W253 - 0.0727312562 * W316 + 48.6541457906 * W252 - 0.1535643762 * W253 * W253 - 0.0358142801 * W316 * W316 - 5.4618633046 * W252 * W252 + 4.2267870055 * W236 * W253 - 2.0313848595 * W236 * W316 + 0.1484978883 * W253 * W316</f>
        <v>51.968952507299406</v>
      </c>
      <c r="X349" s="299">
        <f t="shared" si="255"/>
        <v>57.28658983370552</v>
      </c>
      <c r="Y349" s="299">
        <f t="shared" si="255"/>
        <v>59.953103644496998</v>
      </c>
      <c r="Z349" s="299">
        <f t="shared" si="255"/>
        <v>60.769293439626431</v>
      </c>
      <c r="AA349" s="299">
        <f t="shared" si="255"/>
        <v>60.657026859387699</v>
      </c>
      <c r="AB349" s="299">
        <f t="shared" si="255"/>
        <v>60.392284583579297</v>
      </c>
      <c r="AD349" s="299">
        <f t="shared" ref="AD349:AI349" si="256" xml:space="preserve"> -16.7992454106 + 17.2658536059 * (AD251/1000) - 106.6634904715 * AD236 + 0.1550376119 * AD253 - 0.0727312562 * AD316 + 48.6541457906 * AD252 - 0.1535643762 * AD253 * AD253 - 0.0358142801 * AD316 * AD316 - 5.4618633046 * AD252 * AD252 + 4.2267870055 * AD236 * AD253 - 2.0313848595 * AD236 * AD316 + 0.1484978883 * AD253 * AD316</f>
        <v>51.921729306831878</v>
      </c>
      <c r="AE349" s="299">
        <f t="shared" si="256"/>
        <v>57.21470287971529</v>
      </c>
      <c r="AF349" s="299">
        <f t="shared" si="256"/>
        <v>59.860029744773321</v>
      </c>
      <c r="AG349" s="299">
        <f t="shared" si="256"/>
        <v>60.666568793346606</v>
      </c>
      <c r="AH349" s="299">
        <f t="shared" si="256"/>
        <v>60.545322645779621</v>
      </c>
      <c r="AI349" s="299">
        <f t="shared" si="256"/>
        <v>60.27845418983464</v>
      </c>
      <c r="AK349" s="299">
        <f t="shared" ref="AK349:AP349" si="257" xml:space="preserve"> -16.7992454106 + 17.2658536059 * (AK251/1000) - 106.6634904715 * AK236 + 0.1550376119 * AK253 - 0.0727312562 * AK316 + 48.6541457906 * AK252 - 0.1535643762 * AK253 * AK253 - 0.0358142801 * AK316 * AK316 - 5.4618633046 * AK252 * AK252 + 4.2267870055 * AK236 * AK253 - 2.0313848595 * AK236 * AK316 + 0.1484978883 * AK253 * AK316</f>
        <v>51.873882788224464</v>
      </c>
      <c r="AL349" s="299">
        <f t="shared" si="257"/>
        <v>57.129138344589478</v>
      </c>
      <c r="AM349" s="299">
        <f t="shared" si="257"/>
        <v>59.759217935422242</v>
      </c>
      <c r="AN349" s="299">
        <f t="shared" si="257"/>
        <v>60.549226277809069</v>
      </c>
      <c r="AO349" s="299">
        <f t="shared" si="257"/>
        <v>60.41888764263328</v>
      </c>
      <c r="AP349" s="299">
        <f t="shared" si="257"/>
        <v>60.150216981536019</v>
      </c>
      <c r="AR349" s="299">
        <f t="shared" ref="AR349:AW349" si="258" xml:space="preserve"> -16.7992454106 + 17.2658536059 * (AR251/1000) - 106.6634904715 * AR236 + 0.1550376119 * AR253 - 0.0727312562 * AR316 + 48.6541457906 * AR252 - 0.1535643762 * AR253 * AR253 - 0.0358142801 * AR316 * AR316 - 5.4618633046 * AR252 * AR252 + 4.2267870055 * AR236 * AR253 - 2.0313848595 * AR236 * AR316 + 0.1484978883 * AR253 * AR316</f>
        <v>51.790983057993152</v>
      </c>
      <c r="AS349" s="299">
        <f t="shared" si="258"/>
        <v>57.027944580405247</v>
      </c>
      <c r="AT349" s="299">
        <f t="shared" si="258"/>
        <v>59.640949723015538</v>
      </c>
      <c r="AU349" s="299">
        <f t="shared" si="258"/>
        <v>60.41770641573207</v>
      </c>
      <c r="AV349" s="299">
        <f t="shared" si="258"/>
        <v>60.279973353152371</v>
      </c>
      <c r="AW349" s="299">
        <f t="shared" si="258"/>
        <v>60.00941792739826</v>
      </c>
    </row>
    <row r="350" spans="1:52" x14ac:dyDescent="0.25">
      <c r="A350" s="298" t="s">
        <v>484</v>
      </c>
      <c r="B350" s="299">
        <f t="shared" ref="B350:G350" si="259" xml:space="preserve"> 49.3215904687 - 4.5564383267 * (B251/1000) + 31.3355706686 * B236 + 0.0864922401 * B253 - 16.201377828 * B236 * B236</f>
        <v>53.954378874327247</v>
      </c>
      <c r="C350" s="299">
        <f t="shared" si="259"/>
        <v>54.343913736532443</v>
      </c>
      <c r="D350" s="299">
        <f t="shared" si="259"/>
        <v>54.182582260957595</v>
      </c>
      <c r="E350" s="299">
        <f t="shared" si="259"/>
        <v>53.680906160604707</v>
      </c>
      <c r="F350" s="299">
        <f t="shared" si="259"/>
        <v>53.144530833046296</v>
      </c>
      <c r="G350" s="299">
        <f t="shared" si="259"/>
        <v>52.790842861934969</v>
      </c>
      <c r="I350" s="299">
        <f t="shared" ref="I350:N350" si="260" xml:space="preserve"> 49.3215904687 - 4.5564383267 * (I251/1000) + 31.3355706686 * I236 + 0.0864922401 * I253 - 16.201377828 * I236 * I236</f>
        <v>53.986741985879277</v>
      </c>
      <c r="J350" s="299">
        <f t="shared" si="260"/>
        <v>54.375511548263077</v>
      </c>
      <c r="K350" s="299">
        <f t="shared" si="260"/>
        <v>54.211713052498474</v>
      </c>
      <c r="L350" s="299">
        <f t="shared" si="260"/>
        <v>53.711452016938907</v>
      </c>
      <c r="M350" s="299">
        <f t="shared" si="260"/>
        <v>53.175298869125847</v>
      </c>
      <c r="N350" s="299">
        <f t="shared" si="260"/>
        <v>52.821486611290091</v>
      </c>
      <c r="P350" s="299">
        <f t="shared" ref="P350:U350" si="261" xml:space="preserve"> 49.3215904687 - 4.5564383267 * (P251/1000) + 31.3355706686 * P236 + 0.0864922401 * P253 - 16.201377828 * P236 * P236</f>
        <v>54.017290176452079</v>
      </c>
      <c r="Q350" s="299">
        <f t="shared" si="261"/>
        <v>54.405665981888021</v>
      </c>
      <c r="R350" s="299">
        <f t="shared" si="261"/>
        <v>54.241273151528993</v>
      </c>
      <c r="S350" s="299">
        <f t="shared" si="261"/>
        <v>53.74124588701099</v>
      </c>
      <c r="T350" s="299">
        <f t="shared" si="261"/>
        <v>53.205202559785491</v>
      </c>
      <c r="U350" s="299">
        <f t="shared" si="261"/>
        <v>52.851334474453424</v>
      </c>
      <c r="W350" s="299">
        <f t="shared" ref="W350:AB350" si="262" xml:space="preserve"> 49.3215904687 - 4.5564383267 * (W251/1000) + 31.3355706686 * W236 + 0.0864922401 * W253 - 16.201377828 * W236 * W236</f>
        <v>54.047527708341519</v>
      </c>
      <c r="X350" s="299">
        <f t="shared" si="262"/>
        <v>54.435447552493699</v>
      </c>
      <c r="Y350" s="299">
        <f t="shared" si="262"/>
        <v>54.271071741030603</v>
      </c>
      <c r="Z350" s="299">
        <f t="shared" si="262"/>
        <v>53.770639019734659</v>
      </c>
      <c r="AA350" s="299">
        <f t="shared" si="262"/>
        <v>53.234629212748196</v>
      </c>
      <c r="AB350" s="299">
        <f t="shared" si="262"/>
        <v>52.881174727303254</v>
      </c>
      <c r="AD350" s="299">
        <f t="shared" ref="AD350:AI350" si="263" xml:space="preserve"> 49.3215904687 - 4.5564383267 * (AD251/1000) + 31.3355706686 * AD236 + 0.0864922401 * AD253 - 16.201377828 * AD236 * AD236</f>
        <v>54.07705821480468</v>
      </c>
      <c r="AE350" s="299">
        <f t="shared" si="263"/>
        <v>54.465146130636654</v>
      </c>
      <c r="AF350" s="299">
        <f t="shared" si="263"/>
        <v>54.300244223028464</v>
      </c>
      <c r="AG350" s="299">
        <f t="shared" si="263"/>
        <v>53.799749067852758</v>
      </c>
      <c r="AH350" s="299">
        <f t="shared" si="263"/>
        <v>53.265813858864178</v>
      </c>
      <c r="AI350" s="299">
        <f t="shared" si="263"/>
        <v>52.911383194976423</v>
      </c>
      <c r="AK350" s="299">
        <f t="shared" ref="AK350:AP350" si="264" xml:space="preserve"> 49.3215904687 - 4.5564383267 * (AK251/1000) + 31.3355706686 * AK236 + 0.0864922401 * AK253 - 16.201377828 * AK236 * AK236</f>
        <v>54.103750702153462</v>
      </c>
      <c r="AL350" s="299">
        <f t="shared" si="264"/>
        <v>54.494721314035743</v>
      </c>
      <c r="AM350" s="299">
        <f t="shared" si="264"/>
        <v>54.329883256626069</v>
      </c>
      <c r="AN350" s="299">
        <f t="shared" si="264"/>
        <v>53.83248986650176</v>
      </c>
      <c r="AO350" s="299">
        <f t="shared" si="264"/>
        <v>53.295224678600192</v>
      </c>
      <c r="AP350" s="299">
        <f t="shared" si="264"/>
        <v>52.94062026471282</v>
      </c>
      <c r="AR350" s="299">
        <f t="shared" ref="AR350:AW350" si="265" xml:space="preserve"> 49.3215904687 - 4.5564383267 * (AR251/1000) + 31.3355706686 * AR236 + 0.0864922401 * AR253 - 16.201377828 * AR236 * AR236</f>
        <v>54.134585674168065</v>
      </c>
      <c r="AS350" s="299">
        <f t="shared" si="265"/>
        <v>54.52439632501455</v>
      </c>
      <c r="AT350" s="299">
        <f t="shared" si="265"/>
        <v>54.362392148605544</v>
      </c>
      <c r="AU350" s="299">
        <f t="shared" si="265"/>
        <v>53.862141434038364</v>
      </c>
      <c r="AV350" s="299">
        <f t="shared" si="265"/>
        <v>53.324540410280648</v>
      </c>
      <c r="AW350" s="299">
        <f t="shared" si="265"/>
        <v>52.969765200666387</v>
      </c>
    </row>
    <row r="351" spans="1:52" x14ac:dyDescent="0.25">
      <c r="A351" s="298" t="s">
        <v>513</v>
      </c>
      <c r="B351" s="364">
        <f t="shared" ref="B351:G351" si="266">B5+(B342*0.00220462*B346)</f>
        <v>84.999929826400006</v>
      </c>
      <c r="C351" s="364">
        <f t="shared" si="266"/>
        <v>119.99992982640001</v>
      </c>
      <c r="D351" s="364">
        <f t="shared" si="266"/>
        <v>159.99991980160002</v>
      </c>
      <c r="E351" s="364">
        <f t="shared" si="266"/>
        <v>199.99991980160002</v>
      </c>
      <c r="F351" s="364">
        <f t="shared" si="266"/>
        <v>239.99991980160002</v>
      </c>
      <c r="G351" s="364">
        <f t="shared" si="266"/>
        <v>284.9999097768</v>
      </c>
      <c r="H351" s="7"/>
      <c r="I351" s="364">
        <f>$B$351-I268</f>
        <v>84.852944088142436</v>
      </c>
      <c r="J351" s="364">
        <f>$C$351-J268</f>
        <v>119.8958713641783</v>
      </c>
      <c r="K351" s="364">
        <f>$D$351-K268</f>
        <v>159.89153707636953</v>
      </c>
      <c r="L351" s="364">
        <f>$E$351-L268</f>
        <v>199.86498855302605</v>
      </c>
      <c r="M351" s="364">
        <f>$F$351-M268</f>
        <v>239.80212009802489</v>
      </c>
      <c r="N351" s="364">
        <f>$G$351-N268</f>
        <v>284.64177763924295</v>
      </c>
      <c r="O351" s="2"/>
      <c r="P351" s="364">
        <f>$B$351-P268</f>
        <v>84.706921250931089</v>
      </c>
      <c r="Q351" s="364">
        <f>$C$351-Q268</f>
        <v>119.79246029130258</v>
      </c>
      <c r="R351" s="364">
        <f>$D$351-R268</f>
        <v>159.78300435976919</v>
      </c>
      <c r="S351" s="364">
        <f>$E$351-S268</f>
        <v>199.73099685171888</v>
      </c>
      <c r="T351" s="364">
        <f>$F$351-T268</f>
        <v>239.60467458032696</v>
      </c>
      <c r="U351" s="364">
        <f>$G$351-U268</f>
        <v>284.28208353004044</v>
      </c>
      <c r="V351" s="2"/>
      <c r="W351" s="364">
        <f>$B$351-W268</f>
        <v>84.561025938843159</v>
      </c>
      <c r="X351" s="364">
        <f>$C$351-X268</f>
        <v>119.68917851933745</v>
      </c>
      <c r="Y351" s="364">
        <f>$D$351-Y268</f>
        <v>159.67432627244077</v>
      </c>
      <c r="Z351" s="364">
        <f>$E$351-Z268</f>
        <v>199.59761936345242</v>
      </c>
      <c r="AA351" s="364">
        <f>$F$351-AA268</f>
        <v>239.40654667865289</v>
      </c>
      <c r="AB351" s="364">
        <f>$G$351-AB268</f>
        <v>283.92319877224287</v>
      </c>
      <c r="AC351" s="2"/>
      <c r="AD351" s="364">
        <f>$B$351-AD268</f>
        <v>84.415427989535374</v>
      </c>
      <c r="AE351" s="364">
        <f>$C$351-AE268</f>
        <v>119.5859289784494</v>
      </c>
      <c r="AF351" s="364">
        <f>$D$351-AF268</f>
        <v>159.56487759755365</v>
      </c>
      <c r="AG351" s="364">
        <f>$E$351-AG268</f>
        <v>199.4637243159558</v>
      </c>
      <c r="AH351" s="364">
        <f>$F$351-AH268</f>
        <v>239.20911490417902</v>
      </c>
      <c r="AI351" s="364">
        <f>$G$351-AI268</f>
        <v>283.56997453268315</v>
      </c>
      <c r="AJ351" s="2"/>
      <c r="AK351" s="364">
        <f>$B$351-AK268</f>
        <v>84.270998580050616</v>
      </c>
      <c r="AL351" s="364">
        <f>$C$351-AL268</f>
        <v>119.48272395337915</v>
      </c>
      <c r="AM351" s="364">
        <f>$D$351-AM268</f>
        <v>159.45720864081406</v>
      </c>
      <c r="AN351" s="364">
        <f>$E$351-AN268</f>
        <v>199.32786302673804</v>
      </c>
      <c r="AO351" s="364">
        <f>$F$351-AO268</f>
        <v>239.01515713647859</v>
      </c>
      <c r="AP351" s="364">
        <f>$G$351-AP268</f>
        <v>283.21930750106446</v>
      </c>
      <c r="AQ351" s="2"/>
      <c r="AR351" s="364">
        <f>$B$351-AR268</f>
        <v>84.123835744824063</v>
      </c>
      <c r="AS351" s="364">
        <f>$C$351-AS268</f>
        <v>119.37882986120016</v>
      </c>
      <c r="AT351" s="364">
        <f>$D$351-AT268</f>
        <v>159.34773993839349</v>
      </c>
      <c r="AU351" s="364">
        <f>$E$351-AU268</f>
        <v>199.19529941545585</v>
      </c>
      <c r="AV351" s="364">
        <f>$F$351-AV268</f>
        <v>238.82056437887363</v>
      </c>
      <c r="AW351" s="364">
        <f>$G$351-AW268</f>
        <v>282.86713741119092</v>
      </c>
      <c r="AX351" s="2"/>
      <c r="AY351" s="7"/>
      <c r="AZ351" s="2"/>
    </row>
    <row r="352" spans="1:52" x14ac:dyDescent="0.25">
      <c r="A352" s="298" t="s">
        <v>514</v>
      </c>
      <c r="B352" s="364">
        <v>0</v>
      </c>
      <c r="C352" s="364">
        <v>0</v>
      </c>
      <c r="D352" s="364">
        <v>0</v>
      </c>
      <c r="E352" s="364">
        <v>0</v>
      </c>
      <c r="F352" s="364">
        <v>0</v>
      </c>
      <c r="G352" s="364">
        <v>0</v>
      </c>
      <c r="H352" s="7"/>
      <c r="I352" s="364">
        <v>0</v>
      </c>
      <c r="J352" s="364">
        <v>0</v>
      </c>
      <c r="K352" s="364">
        <v>0</v>
      </c>
      <c r="L352" s="364">
        <v>0</v>
      </c>
      <c r="M352" s="364">
        <v>0</v>
      </c>
      <c r="N352" s="364">
        <v>0</v>
      </c>
      <c r="O352" s="2"/>
      <c r="P352" s="364">
        <v>0</v>
      </c>
      <c r="Q352" s="364">
        <v>0</v>
      </c>
      <c r="R352" s="364">
        <v>0</v>
      </c>
      <c r="S352" s="364">
        <v>0</v>
      </c>
      <c r="T352" s="364">
        <v>0</v>
      </c>
      <c r="U352" s="364">
        <v>0</v>
      </c>
      <c r="V352" s="2"/>
      <c r="W352" s="364">
        <v>0</v>
      </c>
      <c r="X352" s="364">
        <v>0</v>
      </c>
      <c r="Y352" s="364">
        <v>0</v>
      </c>
      <c r="Z352" s="364">
        <v>0</v>
      </c>
      <c r="AA352" s="364">
        <v>0</v>
      </c>
      <c r="AB352" s="364">
        <v>0</v>
      </c>
      <c r="AC352" s="2"/>
      <c r="AD352" s="364">
        <v>0</v>
      </c>
      <c r="AE352" s="364">
        <v>0</v>
      </c>
      <c r="AF352" s="364">
        <v>0</v>
      </c>
      <c r="AG352" s="364">
        <v>0</v>
      </c>
      <c r="AH352" s="364">
        <v>0</v>
      </c>
      <c r="AI352" s="364">
        <v>0</v>
      </c>
      <c r="AJ352" s="2"/>
      <c r="AK352" s="364">
        <v>0</v>
      </c>
      <c r="AL352" s="364">
        <v>0</v>
      </c>
      <c r="AM352" s="364">
        <v>0</v>
      </c>
      <c r="AN352" s="364">
        <v>0</v>
      </c>
      <c r="AO352" s="364">
        <v>0</v>
      </c>
      <c r="AP352" s="364">
        <v>0</v>
      </c>
      <c r="AQ352" s="2"/>
      <c r="AR352" s="364">
        <v>0</v>
      </c>
      <c r="AS352" s="364">
        <v>0</v>
      </c>
      <c r="AT352" s="364">
        <v>0</v>
      </c>
      <c r="AU352" s="364">
        <v>0</v>
      </c>
      <c r="AV352" s="364">
        <v>0</v>
      </c>
      <c r="AW352" s="364">
        <v>0</v>
      </c>
      <c r="AX352" s="2"/>
    </row>
    <row r="353" spans="1:57" ht="14.4" x14ac:dyDescent="0.3">
      <c r="A353" s="365" t="s">
        <v>515</v>
      </c>
      <c r="B353" s="462">
        <f xml:space="preserve"> 0.03492* B352 - 0.05092 * B316 - 0.06897 * B316 - 0.00289 * (B316 * B352) + 'DDGS Calculator'!$G$9</f>
        <v>73.97283598564384</v>
      </c>
      <c r="C353" s="462">
        <f xml:space="preserve"> 0.03492* C352 - 0.05092 * B316- 0.06897 * C316 - 0.00289 * (C316 * C352) + 'DDGS Calculator'!$G$9</f>
        <v>73.967856887824908</v>
      </c>
      <c r="D353" s="462">
        <f xml:space="preserve"> 0.03492* D352 - 0.05092 * C316- 0.06897 * D316 - 0.00289 * (D316 * D352) + 'DDGS Calculator'!$G$9</f>
        <v>73.959733111485349</v>
      </c>
      <c r="E353" s="462">
        <f xml:space="preserve"> 0.03492* E352 - 0.05092 * D316- 0.06897 * E316 - 0.00289 * (E316 * E352) + 'DDGS Calculator'!$G$9</f>
        <v>73.952776279957178</v>
      </c>
      <c r="F353" s="462">
        <f xml:space="preserve"> 0.03492* F352 - 0.05092 * E316- 0.06897 * F316 - 0.00289 * (F316 * F352) + 'DDGS Calculator'!$G$9</f>
        <v>73.947268075350891</v>
      </c>
      <c r="G353" s="462">
        <f xml:space="preserve"> 0.03492* G352 - 0.05092 * F316- 0.06897 * G316 - 0.00289 * (G316 * G352) + 'DDGS Calculator'!$G$9</f>
        <v>73.944010160900064</v>
      </c>
      <c r="H353" s="7"/>
      <c r="I353" s="462">
        <f xml:space="preserve"> 0.03492* I352 - 0.05092 * I316 - 0.06897 * I316 - 0.00289 * (I316 * I352) + 'DDGS Calculator'!$G$9</f>
        <v>73.834080431928655</v>
      </c>
      <c r="J353" s="462">
        <f xml:space="preserve"> 0.03492* J352 - 0.05092 * I316- 0.06897 * J316 - 0.00289 * (J316 * J352) + 'DDGS Calculator'!$G$9</f>
        <v>73.829143407400977</v>
      </c>
      <c r="K353" s="462">
        <f xml:space="preserve"> 0.03492* K352 - 0.05092 * J316- 0.06897 * K316 - 0.00289 * (K316 * K352) + 'DDGS Calculator'!$G$9</f>
        <v>73.820974753418596</v>
      </c>
      <c r="L353" s="462">
        <f xml:space="preserve"> 0.03492* L352 - 0.05092 * K316- 0.06897 * L316 - 0.00289 * (L316 * L352) + 'DDGS Calculator'!$G$9</f>
        <v>73.813849432711763</v>
      </c>
      <c r="M353" s="462">
        <f xml:space="preserve"> 0.03492* M352 - 0.05092 * L316- 0.06897 * M316 - 0.00289 * (M316 * M352) + 'DDGS Calculator'!$G$9</f>
        <v>73.808339005563724</v>
      </c>
      <c r="N353" s="462">
        <f xml:space="preserve"> 0.03492* N352 - 0.05092 * M316- 0.06897 * N316 - 0.00289 * (N316 * N352) + 'DDGS Calculator'!$G$9</f>
        <v>73.805085393728561</v>
      </c>
      <c r="O353" s="7"/>
      <c r="P353" s="462">
        <f xml:space="preserve"> 0.03492* P352 - 0.05092 * P316 - 0.06897 * P316 - 0.00289 * (P316 * P352) + 'DDGS Calculator'!$G$9</f>
        <v>73.695335883530831</v>
      </c>
      <c r="Q353" s="462">
        <f xml:space="preserve"> 0.03492* Q352 - 0.05092 * P316- 0.06897 * Q316 - 0.00289 * (Q316 * Q352) + 'DDGS Calculator'!$G$9</f>
        <v>73.690410864041397</v>
      </c>
      <c r="R353" s="462">
        <f xml:space="preserve"> 0.03492* R352 - 0.05092 * Q316- 0.06897 * R316 - 0.00289 * (R316 * R352) + 'DDGS Calculator'!$G$9</f>
        <v>73.68226919362229</v>
      </c>
      <c r="S353" s="462">
        <f xml:space="preserve"> 0.03492* S352 - 0.05092 * R316- 0.06897 * S316 - 0.00289 * (S316 * S352) + 'DDGS Calculator'!$G$9</f>
        <v>73.675150123701016</v>
      </c>
      <c r="T353" s="462">
        <f xml:space="preserve"> 0.03492* T352 - 0.05092 * S316- 0.06897 * T316 - 0.00289 * (T316 * T352) + 'DDGS Calculator'!$G$9</f>
        <v>73.669652206421773</v>
      </c>
      <c r="U353" s="462">
        <f xml:space="preserve"> 0.03492* U352 - 0.05092 * T316- 0.06897 * U316 - 0.00289 * (U316 * U352) + 'DDGS Calculator'!$G$9</f>
        <v>73.666430170640652</v>
      </c>
      <c r="V353" s="7"/>
      <c r="W353" s="462">
        <f xml:space="preserve"> 0.03492* W352 - 0.05092 * W316 - 0.06897 * W316 - 0.00289 * (W316 * W352) + 'DDGS Calculator'!$G$9</f>
        <v>73.556607799367754</v>
      </c>
      <c r="X353" s="462">
        <f xml:space="preserve"> 0.03492* X352 - 0.05092 * W316- 0.06897 * X316 - 0.00289 * (X316 * X352) + 'DDGS Calculator'!$G$9</f>
        <v>73.551696681430258</v>
      </c>
      <c r="Y353" s="462">
        <f xml:space="preserve"> 0.03492* Y352 - 0.05092 * X316- 0.06897 * Y316 - 0.00289 * (Y316 * Y352) + 'DDGS Calculator'!$G$9</f>
        <v>73.543544892755449</v>
      </c>
      <c r="Z353" s="462">
        <f xml:space="preserve"> 0.03492* Z352 - 0.05092 * Y316- 0.06897 * Z316 - 0.00289 * (Z316 * Z352) + 'DDGS Calculator'!$G$9</f>
        <v>73.53639754714915</v>
      </c>
      <c r="AA353" s="462">
        <f xml:space="preserve"> 0.03492* AA352 - 0.05092 * Z316- 0.06897 * AA316 - 0.00289 * (AA316 * AA352) + 'DDGS Calculator'!$G$9</f>
        <v>73.530963176582731</v>
      </c>
      <c r="AB353" s="462">
        <f xml:space="preserve"> 0.03492* AB352 - 0.05092 * AA316- 0.06897 * AB316 - 0.00289 * (AB316 * AB352) + 'DDGS Calculator'!$G$9</f>
        <v>73.528046549202969</v>
      </c>
      <c r="AC353" s="7"/>
      <c r="AD353" s="462">
        <f xml:space="preserve"> 0.03492* AD352 - 0.05092 * AD316 - 0.06897 * AD316 - 0.00289 * (AD316 * AD352) + 'DDGS Calculator'!$G$9</f>
        <v>73.417899922358515</v>
      </c>
      <c r="AE353" s="462">
        <f xml:space="preserve"> 0.03492* AE352 - 0.05092 * AD316- 0.06897 * AE316 - 0.00289 * (AE316 * AE352) + 'DDGS Calculator'!$G$9</f>
        <v>73.412983680176325</v>
      </c>
      <c r="AF353" s="462">
        <f xml:space="preserve"> 0.03492* AF352 - 0.05092 * AE316- 0.06897 * AF316 - 0.00289 * (AF316 * AF352) + 'DDGS Calculator'!$G$9</f>
        <v>73.404785487512427</v>
      </c>
      <c r="AG353" s="462">
        <f xml:space="preserve"> 0.03492* AG352 - 0.05092 * AF316- 0.06897 * AG316 - 0.00289 * (AG316 * AG352) + 'DDGS Calculator'!$G$9</f>
        <v>73.397715984531047</v>
      </c>
      <c r="AH353" s="462">
        <f xml:space="preserve"> 0.03492* AH352 - 0.05092 * AG316- 0.06897 * AH316 - 0.00289 * (AH316 * AH352) + 'DDGS Calculator'!$G$9</f>
        <v>73.393078886161902</v>
      </c>
      <c r="AI353" s="462">
        <f xml:space="preserve"> 0.03492* AI352 - 0.05092 * AH316- 0.06897 * AI316 - 0.00289 * (AI316 * AI352) + 'DDGS Calculator'!$G$9</f>
        <v>73.390943749650134</v>
      </c>
      <c r="AJ353" s="7"/>
      <c r="AK353" s="462">
        <f xml:space="preserve"> 0.03492* AK352 - 0.05092 * AK316 - 0.06897 * AK316 - 0.00289 * (AK316 * AK352) + 'DDGS Calculator'!$G$9</f>
        <v>73.279333822363441</v>
      </c>
      <c r="AL353" s="462">
        <f xml:space="preserve"> 0.03492* AL352 - 0.05092 * AK316- 0.06897 * AL316 - 0.00289 * (AL316 * AL352) + 'DDGS Calculator'!$G$9</f>
        <v>73.274329691252404</v>
      </c>
      <c r="AM353" s="462">
        <f xml:space="preserve"> 0.03492* AM352 - 0.05092 * AL316- 0.06897 * AM316 - 0.00289 * (AM316 * AM352) + 'DDGS Calculator'!$G$9</f>
        <v>73.266113409254928</v>
      </c>
      <c r="AN353" s="462">
        <f xml:space="preserve"> 0.03492* AN352 - 0.05092 * AM316- 0.06897 * AN316 - 0.00289 * (AN316 * AN352) + 'DDGS Calculator'!$G$9</f>
        <v>73.259732752503851</v>
      </c>
      <c r="AO353" s="462">
        <f xml:space="preserve"> 0.03492* AO352 - 0.05092 * AN316- 0.06897 * AO316 - 0.00289 * (AO316 * AO352) + 'DDGS Calculator'!$G$9</f>
        <v>73.255847888088184</v>
      </c>
      <c r="AP353" s="462">
        <f xml:space="preserve"> 0.03492* AP352 - 0.05092 * AO316- 0.06897 * AP316 - 0.00289 * (AP316 * AP352) + 'DDGS Calculator'!$G$9</f>
        <v>73.253916932703206</v>
      </c>
      <c r="AQ353" s="7"/>
      <c r="AR353" s="462">
        <f xml:space="preserve"> 0.03492* AR352 - 0.05092 * AR316 - 0.06897 * AR316 - 0.00289 * (AR316 * AR352) + 'DDGS Calculator'!$G$9</f>
        <v>73.140554622500986</v>
      </c>
      <c r="AS353" s="462">
        <f xml:space="preserve"> 0.03492* AS352 - 0.05092 * AR316- 0.06897 * AS316 - 0.00289 * (AS316 * AS352) + 'DDGS Calculator'!$G$9</f>
        <v>73.135585857209648</v>
      </c>
      <c r="AT353" s="462">
        <f xml:space="preserve"> 0.03492* AT352 - 0.05092 * AS316- 0.06897 * AT316 - 0.00289 * (AT316 * AT352) + 'DDGS Calculator'!$G$9</f>
        <v>73.127607321545909</v>
      </c>
      <c r="AU353" s="462">
        <f xml:space="preserve"> 0.03492* AU352 - 0.05092 * AT316- 0.06897 * AU316 - 0.00289 * (AU316 * AU352) + 'DDGS Calculator'!$G$9</f>
        <v>73.122138400847618</v>
      </c>
      <c r="AV353" s="462">
        <f xml:space="preserve"> 0.03492* AV352 - 0.05092 * AU316- 0.06897 * AV316 - 0.00289 * (AV316 * AV352) + 'DDGS Calculator'!$G$9</f>
        <v>73.118827146313436</v>
      </c>
      <c r="AW353" s="462">
        <f xml:space="preserve"> 0.03492* AW352 - 0.05092 * AV316- 0.06897 * AW316 - 0.00289 * (AW316 * AW352) + 'DDGS Calculator'!$G$9</f>
        <v>73.116912739382315</v>
      </c>
      <c r="AX353" s="7"/>
    </row>
    <row r="355" spans="1:57" x14ac:dyDescent="0.25">
      <c r="I355" s="7"/>
      <c r="J355" s="7"/>
      <c r="K355" s="7"/>
      <c r="L355" s="7"/>
      <c r="M355" s="7"/>
      <c r="N355" s="7"/>
      <c r="P355" s="7"/>
      <c r="Q355" s="7"/>
      <c r="R355" s="7"/>
      <c r="S355" s="7"/>
      <c r="T355" s="7"/>
      <c r="U355" s="7"/>
      <c r="W355" s="7"/>
      <c r="X355" s="7"/>
      <c r="Y355" s="7"/>
      <c r="Z355" s="7"/>
      <c r="AA355" s="7"/>
      <c r="AB355" s="7"/>
      <c r="AC355" s="6"/>
      <c r="AD355" s="7"/>
      <c r="AE355" s="7"/>
      <c r="AF355" s="7"/>
      <c r="AG355" s="7"/>
      <c r="AH355" s="7"/>
      <c r="AI355" s="7"/>
      <c r="AK355" s="7"/>
      <c r="AL355" s="7"/>
      <c r="AM355" s="7"/>
      <c r="AN355" s="7"/>
      <c r="AO355" s="7"/>
      <c r="AP355" s="7"/>
      <c r="AR355" s="7"/>
      <c r="AS355" s="7"/>
      <c r="AT355" s="7"/>
      <c r="AU355" s="7"/>
      <c r="AV355" s="7"/>
      <c r="AW355" s="7"/>
      <c r="AX355" s="6"/>
      <c r="AZ355" s="7"/>
      <c r="BA355" s="7"/>
      <c r="BB355" s="7"/>
      <c r="BC355" s="7"/>
      <c r="BD355" s="7"/>
      <c r="BE355" s="7"/>
    </row>
    <row r="356" spans="1:57" x14ac:dyDescent="0.25">
      <c r="A356" s="71"/>
      <c r="B356" s="7"/>
      <c r="C356" s="7"/>
      <c r="D356" s="7"/>
      <c r="E356" s="7"/>
      <c r="F356" s="7"/>
      <c r="G356" s="7"/>
      <c r="I356" s="7"/>
      <c r="J356" s="7"/>
      <c r="K356" s="7"/>
      <c r="L356" s="7"/>
      <c r="M356" s="7"/>
      <c r="N356" s="7"/>
      <c r="P356" s="7"/>
      <c r="Q356" s="7"/>
      <c r="R356" s="7"/>
      <c r="S356" s="7"/>
      <c r="T356" s="7"/>
      <c r="U356" s="7"/>
      <c r="W356" s="7"/>
      <c r="X356" s="7"/>
      <c r="Y356" s="7"/>
      <c r="Z356" s="7"/>
      <c r="AA356" s="7"/>
      <c r="AB356" s="7"/>
      <c r="AC356" s="6"/>
      <c r="AD356" s="7"/>
      <c r="AE356" s="7"/>
      <c r="AF356" s="7"/>
      <c r="AG356" s="7"/>
      <c r="AH356" s="7"/>
      <c r="AI356" s="7"/>
      <c r="AK356" s="7"/>
      <c r="AL356" s="7"/>
      <c r="AM356" s="7"/>
      <c r="AN356" s="7"/>
      <c r="AO356" s="7"/>
      <c r="AP356" s="7"/>
      <c r="AR356" s="7"/>
      <c r="AS356" s="7"/>
      <c r="AT356" s="7"/>
      <c r="AU356" s="7"/>
      <c r="AV356" s="7"/>
      <c r="AW356" s="7"/>
      <c r="AX356" s="6"/>
      <c r="AZ356" s="7"/>
      <c r="BA356" s="7"/>
      <c r="BB356" s="7"/>
      <c r="BC356" s="7"/>
      <c r="BD356" s="7"/>
      <c r="BE356" s="7"/>
    </row>
    <row r="357" spans="1:57" x14ac:dyDescent="0.25">
      <c r="A357" s="71"/>
      <c r="B357" s="7"/>
      <c r="C357" s="7"/>
      <c r="D357" s="7"/>
      <c r="E357" s="7"/>
      <c r="F357" s="7"/>
      <c r="G357" s="7"/>
      <c r="I357" s="7"/>
      <c r="J357" s="7"/>
      <c r="K357" s="7"/>
      <c r="L357" s="7"/>
      <c r="M357" s="7"/>
      <c r="N357" s="7"/>
      <c r="P357" s="7"/>
      <c r="Q357" s="7"/>
      <c r="R357" s="7"/>
      <c r="S357" s="7"/>
      <c r="T357" s="7"/>
      <c r="U357" s="7"/>
      <c r="W357" s="7"/>
      <c r="X357" s="7"/>
      <c r="Y357" s="7"/>
      <c r="Z357" s="7"/>
      <c r="AA357" s="7"/>
      <c r="AB357" s="7"/>
      <c r="AC357" s="6"/>
      <c r="AD357" s="7"/>
      <c r="AE357" s="7"/>
      <c r="AF357" s="7"/>
      <c r="AG357" s="7"/>
      <c r="AH357" s="7"/>
      <c r="AI357" s="7"/>
      <c r="AK357" s="7"/>
      <c r="AL357" s="7"/>
      <c r="AM357" s="7"/>
      <c r="AN357" s="7"/>
      <c r="AO357" s="7"/>
      <c r="AP357" s="7"/>
      <c r="AR357" s="7"/>
      <c r="AS357" s="7"/>
      <c r="AT357" s="7"/>
      <c r="AU357" s="7"/>
      <c r="AV357" s="7"/>
      <c r="AW357" s="7"/>
      <c r="AX357" s="6"/>
      <c r="AZ357" s="7"/>
      <c r="BA357" s="7"/>
      <c r="BB357" s="7"/>
      <c r="BC357" s="7"/>
      <c r="BD357" s="7"/>
      <c r="BE357" s="7"/>
    </row>
    <row r="358" spans="1:57" x14ac:dyDescent="0.25">
      <c r="A358" s="34"/>
      <c r="B358" s="7"/>
      <c r="C358" s="7"/>
      <c r="D358" s="7"/>
      <c r="E358" s="7"/>
      <c r="F358" s="7"/>
      <c r="G358" s="7"/>
      <c r="I358" s="7"/>
      <c r="J358" s="7"/>
      <c r="K358" s="7"/>
      <c r="L358" s="7"/>
      <c r="M358" s="7"/>
      <c r="N358" s="7"/>
      <c r="P358" s="7"/>
      <c r="Q358" s="7"/>
      <c r="R358" s="7"/>
      <c r="S358" s="7"/>
      <c r="T358" s="7"/>
      <c r="U358" s="7"/>
      <c r="W358" s="7"/>
      <c r="X358" s="7"/>
      <c r="Y358" s="7"/>
      <c r="Z358" s="7"/>
      <c r="AA358" s="7"/>
      <c r="AB358" s="7"/>
      <c r="AC358" s="6"/>
      <c r="AD358" s="7"/>
      <c r="AE358" s="7"/>
      <c r="AF358" s="7"/>
      <c r="AG358" s="7"/>
      <c r="AH358" s="7"/>
      <c r="AI358" s="7"/>
      <c r="AK358" s="7"/>
      <c r="AL358" s="7"/>
      <c r="AM358" s="7"/>
      <c r="AN358" s="7"/>
      <c r="AO358" s="7"/>
      <c r="AP358" s="7"/>
      <c r="AR358" s="7"/>
      <c r="AS358" s="7"/>
      <c r="AT358" s="7"/>
      <c r="AU358" s="7"/>
      <c r="AV358" s="7"/>
      <c r="AW358" s="7"/>
      <c r="AX358" s="6"/>
      <c r="AZ358" s="7"/>
      <c r="BA358" s="7"/>
      <c r="BB358" s="7"/>
      <c r="BC358" s="7"/>
      <c r="BD358" s="7"/>
      <c r="BE358" s="7"/>
    </row>
    <row r="359" spans="1:57" x14ac:dyDescent="0.25">
      <c r="A359" s="71"/>
      <c r="B359" s="7"/>
      <c r="C359" s="7"/>
      <c r="D359" s="7"/>
      <c r="E359" s="7"/>
      <c r="F359" s="7"/>
      <c r="G359" s="7"/>
    </row>
    <row r="360" spans="1:57" x14ac:dyDescent="0.25">
      <c r="A360" s="71"/>
      <c r="B360" s="7"/>
      <c r="C360" s="7"/>
      <c r="D360" s="7"/>
      <c r="E360" s="7"/>
      <c r="F360" s="7"/>
      <c r="G360" s="7"/>
    </row>
    <row r="361" spans="1:57" x14ac:dyDescent="0.25">
      <c r="A361" s="34"/>
      <c r="B361" s="7"/>
      <c r="C361" s="7"/>
      <c r="D361" s="7"/>
      <c r="E361" s="7"/>
      <c r="F361" s="7"/>
      <c r="G361" s="7"/>
    </row>
    <row r="362" spans="1:57" x14ac:dyDescent="0.25">
      <c r="A362" s="71"/>
      <c r="B362" s="7"/>
      <c r="C362" s="7"/>
      <c r="D362" s="7"/>
      <c r="E362" s="7"/>
      <c r="F362" s="7"/>
      <c r="G362" s="7"/>
    </row>
    <row r="363" spans="1:57" x14ac:dyDescent="0.25">
      <c r="B363" s="7"/>
      <c r="C363" s="7"/>
      <c r="D363" s="7"/>
      <c r="E363" s="7"/>
      <c r="F363" s="7"/>
      <c r="G363" s="7"/>
    </row>
    <row r="364" spans="1:57" x14ac:dyDescent="0.25">
      <c r="A364" s="71"/>
    </row>
    <row r="365" spans="1:57" x14ac:dyDescent="0.25">
      <c r="A365" s="71"/>
      <c r="B365" s="7"/>
      <c r="C365" s="7"/>
      <c r="D365" s="7"/>
      <c r="E365" s="7"/>
      <c r="F365" s="7"/>
      <c r="G365" s="7"/>
    </row>
    <row r="366" spans="1:57" x14ac:dyDescent="0.25">
      <c r="A366" s="34"/>
      <c r="B366" s="7"/>
      <c r="C366" s="7"/>
      <c r="D366" s="7"/>
      <c r="E366" s="7"/>
      <c r="F366" s="7"/>
      <c r="G366" s="7"/>
    </row>
    <row r="367" spans="1:57" x14ac:dyDescent="0.25">
      <c r="A367" s="71"/>
      <c r="B367" s="7"/>
      <c r="C367" s="7"/>
      <c r="D367" s="7"/>
      <c r="E367" s="7"/>
      <c r="F367" s="7"/>
      <c r="G367" s="7"/>
    </row>
    <row r="368" spans="1:57" x14ac:dyDescent="0.25">
      <c r="A368" s="71"/>
      <c r="B368" s="7"/>
      <c r="C368" s="7"/>
      <c r="D368" s="7"/>
      <c r="E368" s="7"/>
      <c r="F368" s="7"/>
      <c r="G368" s="7"/>
    </row>
    <row r="369" spans="1:7" x14ac:dyDescent="0.25">
      <c r="A369" s="34"/>
      <c r="B369" s="7"/>
      <c r="C369" s="7"/>
      <c r="D369" s="7"/>
      <c r="E369" s="7"/>
      <c r="F369" s="7"/>
      <c r="G369" s="7"/>
    </row>
    <row r="370" spans="1:7" x14ac:dyDescent="0.25">
      <c r="A370" s="71"/>
      <c r="B370" s="7"/>
      <c r="C370" s="7"/>
      <c r="D370" s="7"/>
      <c r="E370" s="7"/>
      <c r="F370" s="7"/>
      <c r="G370" s="7"/>
    </row>
    <row r="373" spans="1:7" x14ac:dyDescent="0.25">
      <c r="B373" s="7"/>
      <c r="C373" s="7"/>
      <c r="D373" s="7"/>
      <c r="E373" s="7"/>
      <c r="F373" s="7"/>
      <c r="G373" s="7"/>
    </row>
    <row r="374" spans="1:7" x14ac:dyDescent="0.25">
      <c r="B374" s="7"/>
      <c r="C374" s="7"/>
      <c r="D374" s="7"/>
      <c r="E374" s="7"/>
      <c r="F374" s="7"/>
      <c r="G374" s="7"/>
    </row>
    <row r="375" spans="1:7" x14ac:dyDescent="0.25">
      <c r="B375" s="7"/>
      <c r="C375" s="7"/>
      <c r="D375" s="7"/>
      <c r="E375" s="7"/>
      <c r="F375" s="7"/>
      <c r="G375" s="7"/>
    </row>
    <row r="376" spans="1:7" x14ac:dyDescent="0.25">
      <c r="B376" s="7"/>
      <c r="C376" s="7"/>
      <c r="D376" s="7"/>
      <c r="E376" s="7"/>
      <c r="F376" s="7"/>
      <c r="G376" s="7"/>
    </row>
    <row r="377" spans="1:7" x14ac:dyDescent="0.25">
      <c r="B377" s="7"/>
      <c r="C377" s="7"/>
      <c r="D377" s="7"/>
      <c r="E377" s="7"/>
      <c r="F377" s="7"/>
      <c r="G377" s="7"/>
    </row>
    <row r="378" spans="1:7" x14ac:dyDescent="0.25">
      <c r="B378" s="7"/>
      <c r="C378" s="7"/>
      <c r="D378" s="7"/>
      <c r="E378" s="7"/>
      <c r="F378" s="7"/>
      <c r="G378" s="7"/>
    </row>
  </sheetData>
  <mergeCells count="7">
    <mergeCell ref="AK4:AO4"/>
    <mergeCell ref="AR4:AV4"/>
    <mergeCell ref="B4:F4"/>
    <mergeCell ref="I4:M4"/>
    <mergeCell ref="P4:T4"/>
    <mergeCell ref="W4:AA4"/>
    <mergeCell ref="AD4:AH4"/>
  </mergeCells>
  <conditionalFormatting sqref="B273:N280 P273:U280 W273:AB280 AD273:AI280 AK273:AP280 AR273:AW280 O274:O281">
    <cfRule type="cellIs" dxfId="216" priority="31" stopIfTrue="1" operator="greaterThan">
      <formula>B237/100</formula>
    </cfRule>
  </conditionalFormatting>
  <conditionalFormatting sqref="B281:N281 P281:U281 O282">
    <cfRule type="cellIs" dxfId="215" priority="30" stopIfTrue="1" operator="greaterThan">
      <formula>B258</formula>
    </cfRule>
  </conditionalFormatting>
  <conditionalFormatting sqref="B283:N283 P283:U283 O284">
    <cfRule type="cellIs" dxfId="214" priority="29" stopIfTrue="1" operator="greaterThan">
      <formula>B257</formula>
    </cfRule>
  </conditionalFormatting>
  <conditionalFormatting sqref="B284:N284 P284:U284 O285">
    <cfRule type="cellIs" dxfId="213" priority="25" stopIfTrue="1" operator="greaterThan">
      <formula>B254</formula>
    </cfRule>
  </conditionalFormatting>
  <conditionalFormatting sqref="B285:N285 P285:U285 O286">
    <cfRule type="cellIs" dxfId="212" priority="28" stopIfTrue="1" operator="greaterThan">
      <formula>B254/B255</formula>
    </cfRule>
  </conditionalFormatting>
  <conditionalFormatting sqref="B286:N286 P286:U286 O287">
    <cfRule type="cellIs" dxfId="211" priority="27" stopIfTrue="1" operator="lessThan">
      <formula>B254/B255</formula>
    </cfRule>
  </conditionalFormatting>
  <conditionalFormatting sqref="B290:N290 P290:U290">
    <cfRule type="cellIs" dxfId="210" priority="26" stopIfTrue="1" operator="lessThan">
      <formula>B300</formula>
    </cfRule>
  </conditionalFormatting>
  <conditionalFormatting sqref="W281:AB281">
    <cfRule type="cellIs" dxfId="209" priority="23" stopIfTrue="1" operator="greaterThan">
      <formula>W258</formula>
    </cfRule>
  </conditionalFormatting>
  <conditionalFormatting sqref="W283:AB283">
    <cfRule type="cellIs" dxfId="208" priority="22" stopIfTrue="1" operator="greaterThan">
      <formula>W257</formula>
    </cfRule>
  </conditionalFormatting>
  <conditionalFormatting sqref="W284:AB284">
    <cfRule type="cellIs" dxfId="207" priority="19" stopIfTrue="1" operator="greaterThan">
      <formula>W254</formula>
    </cfRule>
  </conditionalFormatting>
  <conditionalFormatting sqref="W285:AB285">
    <cfRule type="cellIs" dxfId="206" priority="21" stopIfTrue="1" operator="greaterThan">
      <formula>W254/W255</formula>
    </cfRule>
  </conditionalFormatting>
  <conditionalFormatting sqref="W286:AB286">
    <cfRule type="cellIs" dxfId="205" priority="20" stopIfTrue="1" operator="lessThan">
      <formula>W254/W255</formula>
    </cfRule>
  </conditionalFormatting>
  <conditionalFormatting sqref="W290:AB290">
    <cfRule type="cellIs" dxfId="204" priority="24" stopIfTrue="1" operator="lessThan">
      <formula>W300</formula>
    </cfRule>
  </conditionalFormatting>
  <conditionalFormatting sqref="AD281:AI281">
    <cfRule type="cellIs" dxfId="203" priority="17" stopIfTrue="1" operator="greaterThan">
      <formula>AD258</formula>
    </cfRule>
  </conditionalFormatting>
  <conditionalFormatting sqref="AD283:AI283">
    <cfRule type="cellIs" dxfId="202" priority="16" stopIfTrue="1" operator="greaterThan">
      <formula>AD257</formula>
    </cfRule>
  </conditionalFormatting>
  <conditionalFormatting sqref="AD284:AI284">
    <cfRule type="cellIs" dxfId="201" priority="13" stopIfTrue="1" operator="greaterThan">
      <formula>AD254</formula>
    </cfRule>
  </conditionalFormatting>
  <conditionalFormatting sqref="AD285:AI285">
    <cfRule type="cellIs" dxfId="200" priority="15" stopIfTrue="1" operator="greaterThan">
      <formula>AD254/AD255</formula>
    </cfRule>
  </conditionalFormatting>
  <conditionalFormatting sqref="AD286:AI286">
    <cfRule type="cellIs" dxfId="199" priority="14" stopIfTrue="1" operator="lessThan">
      <formula>AD254/AD255</formula>
    </cfRule>
  </conditionalFormatting>
  <conditionalFormatting sqref="AD290:AI290">
    <cfRule type="cellIs" dxfId="198" priority="18" stopIfTrue="1" operator="lessThan">
      <formula>AD300</formula>
    </cfRule>
  </conditionalFormatting>
  <conditionalFormatting sqref="AK281:AP281">
    <cfRule type="cellIs" dxfId="197" priority="11" stopIfTrue="1" operator="greaterThan">
      <formula>AK258</formula>
    </cfRule>
  </conditionalFormatting>
  <conditionalFormatting sqref="AK283:AP283">
    <cfRule type="cellIs" dxfId="196" priority="10" stopIfTrue="1" operator="greaterThan">
      <formula>AK257</formula>
    </cfRule>
  </conditionalFormatting>
  <conditionalFormatting sqref="AK284:AP284">
    <cfRule type="cellIs" dxfId="195" priority="7" stopIfTrue="1" operator="greaterThan">
      <formula>AK254</formula>
    </cfRule>
  </conditionalFormatting>
  <conditionalFormatting sqref="AK285:AP285">
    <cfRule type="cellIs" dxfId="194" priority="9" stopIfTrue="1" operator="greaterThan">
      <formula>AK254/AK255</formula>
    </cfRule>
  </conditionalFormatting>
  <conditionalFormatting sqref="AK286:AP286">
    <cfRule type="cellIs" dxfId="193" priority="8" stopIfTrue="1" operator="lessThan">
      <formula>AK254/AK255</formula>
    </cfRule>
  </conditionalFormatting>
  <conditionalFormatting sqref="AK290:AP290">
    <cfRule type="cellIs" dxfId="192" priority="12" stopIfTrue="1" operator="lessThan">
      <formula>AK300</formula>
    </cfRule>
  </conditionalFormatting>
  <conditionalFormatting sqref="AR281:AW281">
    <cfRule type="cellIs" dxfId="191" priority="5" stopIfTrue="1" operator="greaterThan">
      <formula>AR258</formula>
    </cfRule>
  </conditionalFormatting>
  <conditionalFormatting sqref="AR283:AW283">
    <cfRule type="cellIs" dxfId="190" priority="4" stopIfTrue="1" operator="greaterThan">
      <formula>AR257</formula>
    </cfRule>
  </conditionalFormatting>
  <conditionalFormatting sqref="AR284:AW284">
    <cfRule type="cellIs" dxfId="189" priority="1" stopIfTrue="1" operator="greaterThan">
      <formula>AR254</formula>
    </cfRule>
  </conditionalFormatting>
  <conditionalFormatting sqref="AR285:AW285">
    <cfRule type="cellIs" dxfId="188" priority="3" stopIfTrue="1" operator="greaterThan">
      <formula>AR254/AR255</formula>
    </cfRule>
  </conditionalFormatting>
  <conditionalFormatting sqref="AR286:AW286">
    <cfRule type="cellIs" dxfId="187" priority="2" stopIfTrue="1" operator="lessThan">
      <formula>AR254/AR255</formula>
    </cfRule>
  </conditionalFormatting>
  <conditionalFormatting sqref="AR290:AW290">
    <cfRule type="cellIs" dxfId="186" priority="6" stopIfTrue="1" operator="lessThan">
      <formula>AR300</formula>
    </cfRule>
  </conditionalFormatting>
  <dataValidations count="2">
    <dataValidation type="list" allowBlank="1" showInputMessage="1" showErrorMessage="1" sqref="A8" xr:uid="{6EE9353A-B93C-0E48-AFA1-B6A6B830766C}">
      <formula1>$A$78:$A$80</formula1>
    </dataValidation>
    <dataValidation type="list" allowBlank="1" showInputMessage="1" showErrorMessage="1" sqref="A7" xr:uid="{DBE177C4-37B4-C84E-B30F-BA0499BFFCE1}">
      <formula1>$A$9:$A$10</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7E0DC-E13A-884C-A431-76FFB11FFA2D}">
  <sheetPr codeName="Sheet13">
    <tabColor theme="5" tint="-0.249977111117893"/>
  </sheetPr>
  <dimension ref="A1:FH378"/>
  <sheetViews>
    <sheetView zoomScale="92" zoomScaleNormal="88" workbookViewId="0">
      <pane xSplit="1" ySplit="6" topLeftCell="B7" activePane="bottomRight" state="frozen"/>
      <selection activeCell="C20" sqref="C20:H20"/>
      <selection pane="topRight" activeCell="C20" sqref="C20:H20"/>
      <selection pane="bottomLeft" activeCell="C20" sqref="C20:H20"/>
      <selection pane="bottomRight" activeCell="M375" sqref="M375"/>
    </sheetView>
  </sheetViews>
  <sheetFormatPr defaultColWidth="8.77734375" defaultRowHeight="13.2" x14ac:dyDescent="0.25"/>
  <cols>
    <col min="1" max="1" width="42.6640625" bestFit="1" customWidth="1"/>
    <col min="2" max="10" width="10.109375" style="6" customWidth="1"/>
    <col min="11" max="11" width="10.33203125" style="6" customWidth="1"/>
    <col min="12" max="14" width="10.109375" style="6" customWidth="1"/>
    <col min="15" max="15" width="10.109375" customWidth="1"/>
    <col min="16" max="21" width="10.109375" style="6" customWidth="1"/>
    <col min="23" max="28" width="10.109375" style="6" customWidth="1"/>
    <col min="30" max="35" width="10.109375" style="6" customWidth="1"/>
    <col min="37" max="42" width="10.109375" style="6" customWidth="1"/>
    <col min="44" max="49" width="10.109375" style="6" customWidth="1"/>
    <col min="51" max="51" width="12.33203125" bestFit="1" customWidth="1"/>
    <col min="52" max="53" width="8.88671875" bestFit="1" customWidth="1"/>
    <col min="54" max="56" width="9.88671875" bestFit="1" customWidth="1"/>
    <col min="57" max="57" width="17.88671875" bestFit="1" customWidth="1"/>
  </cols>
  <sheetData>
    <row r="1" spans="1:164" x14ac:dyDescent="0.25">
      <c r="A1" t="s">
        <v>1</v>
      </c>
      <c r="I1" s="8">
        <f>B7-I7</f>
        <v>63.789109889335123</v>
      </c>
      <c r="J1" s="8">
        <f t="shared" ref="J1:N2" si="0">C7-J7</f>
        <v>65.149994542463219</v>
      </c>
      <c r="K1" s="8">
        <f t="shared" si="0"/>
        <v>66.11510081960364</v>
      </c>
      <c r="L1" s="8">
        <f t="shared" si="0"/>
        <v>66.788938181161939</v>
      </c>
      <c r="M1" s="8">
        <f t="shared" si="0"/>
        <v>66.688859631779451</v>
      </c>
      <c r="N1" s="8">
        <f t="shared" si="0"/>
        <v>67.134832271415235</v>
      </c>
      <c r="P1" s="8">
        <f>I7-P7</f>
        <v>65.418531271642451</v>
      </c>
      <c r="Q1" s="8">
        <f t="shared" ref="Q1:U2" si="1">J7-Q7</f>
        <v>66.283963308040256</v>
      </c>
      <c r="R1" s="8">
        <f t="shared" si="1"/>
        <v>67.035655773499684</v>
      </c>
      <c r="S1" s="8">
        <f t="shared" si="1"/>
        <v>66.728602693196535</v>
      </c>
      <c r="T1" s="8">
        <f t="shared" si="1"/>
        <v>67.384062196562354</v>
      </c>
      <c r="U1" s="8">
        <f t="shared" si="1"/>
        <v>67.620571588881603</v>
      </c>
      <c r="W1" s="8">
        <f>P7-W7</f>
        <v>65.471590096287173</v>
      </c>
      <c r="X1" s="8">
        <f t="shared" ref="X1:AB2" si="2">Q7-X7</f>
        <v>66.247123285707858</v>
      </c>
      <c r="Y1" s="8">
        <f t="shared" si="2"/>
        <v>65.984796659512995</v>
      </c>
      <c r="Z1" s="8">
        <f t="shared" si="2"/>
        <v>67.127401431758244</v>
      </c>
      <c r="AA1" s="8">
        <f t="shared" si="2"/>
        <v>67.816410698558457</v>
      </c>
      <c r="AB1" s="8">
        <f t="shared" si="2"/>
        <v>68.308917517852706</v>
      </c>
      <c r="AD1" s="8">
        <f>W7-AD7</f>
        <v>65.462625375353809</v>
      </c>
      <c r="AE1" s="8">
        <f t="shared" ref="AE1:AI2" si="3">X7-AE7</f>
        <v>65.221158447268863</v>
      </c>
      <c r="AF1" s="8">
        <f t="shared" si="3"/>
        <v>66.362261066153678</v>
      </c>
      <c r="AG1" s="8">
        <f t="shared" si="3"/>
        <v>67.426293862590455</v>
      </c>
      <c r="AH1" s="8">
        <f t="shared" si="3"/>
        <v>68.860809922171484</v>
      </c>
      <c r="AI1" s="8">
        <f t="shared" si="3"/>
        <v>69.493554201103279</v>
      </c>
      <c r="AK1" s="8">
        <f>AD7-AK7</f>
        <v>65.776218580573413</v>
      </c>
      <c r="AL1" s="8">
        <f t="shared" ref="AL1:AP2" si="4">AE7-AL7</f>
        <v>65.465737091472647</v>
      </c>
      <c r="AM1" s="8">
        <f t="shared" si="4"/>
        <v>66.604811735053318</v>
      </c>
      <c r="AN1" s="8">
        <f t="shared" si="4"/>
        <v>68.211780203257831</v>
      </c>
      <c r="AO1" s="8">
        <f t="shared" si="4"/>
        <v>69.213371174924987</v>
      </c>
      <c r="AP1" s="8">
        <f t="shared" si="4"/>
        <v>69.479043116129105</v>
      </c>
      <c r="AR1" s="8">
        <f>AK7-AR7</f>
        <v>67.892536930548317</v>
      </c>
      <c r="AS1" s="8">
        <f t="shared" ref="AS1:AW2" si="5">AL7-AS7</f>
        <v>65.652092522674138</v>
      </c>
      <c r="AT1" s="8">
        <f t="shared" si="5"/>
        <v>66.991285188586744</v>
      </c>
      <c r="AU1" s="8">
        <f t="shared" si="5"/>
        <v>68.861672265394873</v>
      </c>
      <c r="AV1" s="8">
        <f t="shared" si="5"/>
        <v>69.218974661154789</v>
      </c>
      <c r="AW1" s="8">
        <f t="shared" si="5"/>
        <v>69.481213773233094</v>
      </c>
    </row>
    <row r="2" spans="1:164" x14ac:dyDescent="0.25">
      <c r="A2" t="s">
        <v>569</v>
      </c>
      <c r="I2" s="8">
        <f>B8-I8</f>
        <v>35.320222042977775</v>
      </c>
      <c r="J2" s="8">
        <f t="shared" si="0"/>
        <v>34.116983925017394</v>
      </c>
      <c r="K2" s="8">
        <f t="shared" si="0"/>
        <v>33.138379984742187</v>
      </c>
      <c r="L2" s="8">
        <f t="shared" si="0"/>
        <v>32.486249419974229</v>
      </c>
      <c r="M2" s="8">
        <f t="shared" si="0"/>
        <v>32.536482658629893</v>
      </c>
      <c r="N2" s="8">
        <f t="shared" si="0"/>
        <v>32.199237899243599</v>
      </c>
      <c r="P2" s="8">
        <f>I8-P8</f>
        <v>33.779747158007467</v>
      </c>
      <c r="Q2" s="8">
        <f t="shared" si="1"/>
        <v>33.048764602227266</v>
      </c>
      <c r="R2" s="8">
        <f t="shared" si="1"/>
        <v>32.280583008157237</v>
      </c>
      <c r="S2" s="8">
        <f t="shared" si="1"/>
        <v>32.635298298839416</v>
      </c>
      <c r="T2" s="8">
        <f t="shared" si="1"/>
        <v>32.003339981902855</v>
      </c>
      <c r="U2" s="8">
        <f t="shared" si="1"/>
        <v>31.749947749442754</v>
      </c>
      <c r="W2" s="8">
        <f>P8-W8</f>
        <v>33.776757545360852</v>
      </c>
      <c r="X2" s="8">
        <f t="shared" si="2"/>
        <v>33.04840831111801</v>
      </c>
      <c r="Y2" s="8">
        <f t="shared" si="2"/>
        <v>33.389395431325511</v>
      </c>
      <c r="Z2" s="8">
        <f t="shared" si="2"/>
        <v>32.342598568241783</v>
      </c>
      <c r="AA2" s="8">
        <f t="shared" si="2"/>
        <v>31.903589301441571</v>
      </c>
      <c r="AB2" s="8">
        <f t="shared" si="2"/>
        <v>31.81752421514193</v>
      </c>
      <c r="AD2" s="8">
        <f>W8-AD8</f>
        <v>33.858637056689986</v>
      </c>
      <c r="AE2" s="8">
        <f t="shared" si="3"/>
        <v>34.13786518117513</v>
      </c>
      <c r="AF2" s="8">
        <f t="shared" si="3"/>
        <v>33.11773893384634</v>
      </c>
      <c r="AG2" s="8">
        <f t="shared" si="3"/>
        <v>32.3390201510324</v>
      </c>
      <c r="AH2" s="8">
        <f t="shared" si="3"/>
        <v>32.223858555663583</v>
      </c>
      <c r="AI2" s="8">
        <f t="shared" si="3"/>
        <v>32.064565155970513</v>
      </c>
      <c r="AK2" s="8">
        <f>AD8-AK8</f>
        <v>33.568713645087428</v>
      </c>
      <c r="AL2" s="8">
        <f t="shared" si="4"/>
        <v>33.827251635648963</v>
      </c>
      <c r="AM2" s="8">
        <f t="shared" si="4"/>
        <v>32.982406726295039</v>
      </c>
      <c r="AN2" s="8">
        <f t="shared" si="4"/>
        <v>32.591101927869204</v>
      </c>
      <c r="AO2" s="8">
        <f t="shared" si="4"/>
        <v>32.333858893615115</v>
      </c>
      <c r="AP2" s="8">
        <f t="shared" si="4"/>
        <v>32.069158344173729</v>
      </c>
      <c r="AR2" s="8">
        <f>AK8-AR8</f>
        <v>31.424187924327839</v>
      </c>
      <c r="AS2" s="8">
        <f t="shared" si="5"/>
        <v>33.807907477325898</v>
      </c>
      <c r="AT2" s="8">
        <f t="shared" si="5"/>
        <v>32.757426012777842</v>
      </c>
      <c r="AU2" s="8">
        <f t="shared" si="5"/>
        <v>32.696921624659808</v>
      </c>
      <c r="AV2" s="8">
        <f t="shared" si="5"/>
        <v>32.328334223451748</v>
      </c>
      <c r="AW2" s="8">
        <f t="shared" si="5"/>
        <v>32.067050393741965</v>
      </c>
    </row>
    <row r="3" spans="1:164" ht="15.6" x14ac:dyDescent="0.3">
      <c r="A3" s="4"/>
      <c r="B3" s="196" t="s">
        <v>37</v>
      </c>
      <c r="C3" s="196" t="s">
        <v>38</v>
      </c>
      <c r="D3" s="196" t="s">
        <v>39</v>
      </c>
      <c r="E3" s="196" t="s">
        <v>40</v>
      </c>
      <c r="F3" s="196" t="s">
        <v>41</v>
      </c>
      <c r="G3" s="196" t="s">
        <v>141</v>
      </c>
      <c r="H3" s="196"/>
      <c r="I3" s="196" t="s">
        <v>37</v>
      </c>
      <c r="J3" s="196" t="s">
        <v>38</v>
      </c>
      <c r="K3" s="196" t="s">
        <v>39</v>
      </c>
      <c r="L3" s="196" t="s">
        <v>40</v>
      </c>
      <c r="M3" s="196" t="s">
        <v>41</v>
      </c>
      <c r="N3" s="196" t="s">
        <v>141</v>
      </c>
      <c r="O3" s="196"/>
      <c r="P3" s="196" t="s">
        <v>37</v>
      </c>
      <c r="Q3" s="196" t="s">
        <v>38</v>
      </c>
      <c r="R3" s="196" t="s">
        <v>39</v>
      </c>
      <c r="S3" s="196" t="s">
        <v>40</v>
      </c>
      <c r="T3" s="196" t="s">
        <v>41</v>
      </c>
      <c r="U3" s="196" t="s">
        <v>141</v>
      </c>
      <c r="W3" s="196" t="s">
        <v>37</v>
      </c>
      <c r="X3" s="196" t="s">
        <v>38</v>
      </c>
      <c r="Y3" s="196" t="s">
        <v>39</v>
      </c>
      <c r="Z3" s="196" t="s">
        <v>40</v>
      </c>
      <c r="AA3" s="196" t="s">
        <v>41</v>
      </c>
      <c r="AB3" s="196" t="s">
        <v>141</v>
      </c>
      <c r="AD3" s="196" t="s">
        <v>37</v>
      </c>
      <c r="AE3" s="196" t="s">
        <v>38</v>
      </c>
      <c r="AF3" s="196" t="s">
        <v>39</v>
      </c>
      <c r="AG3" s="196" t="s">
        <v>40</v>
      </c>
      <c r="AH3" s="196" t="s">
        <v>41</v>
      </c>
      <c r="AI3" s="196" t="s">
        <v>141</v>
      </c>
      <c r="AK3" s="196" t="s">
        <v>37</v>
      </c>
      <c r="AL3" s="196" t="s">
        <v>38</v>
      </c>
      <c r="AM3" s="196" t="s">
        <v>39</v>
      </c>
      <c r="AN3" s="196" t="s">
        <v>40</v>
      </c>
      <c r="AO3" s="196" t="s">
        <v>41</v>
      </c>
      <c r="AP3" s="196" t="s">
        <v>141</v>
      </c>
      <c r="AR3" s="196" t="s">
        <v>37</v>
      </c>
      <c r="AS3" s="196" t="s">
        <v>38</v>
      </c>
      <c r="AT3" s="196" t="s">
        <v>39</v>
      </c>
      <c r="AU3" s="196" t="s">
        <v>40</v>
      </c>
      <c r="AV3" s="196" t="s">
        <v>41</v>
      </c>
      <c r="AW3" s="196" t="s">
        <v>141</v>
      </c>
    </row>
    <row r="4" spans="1:164" ht="12.75" customHeight="1" x14ac:dyDescent="0.25">
      <c r="B4" s="565" t="s">
        <v>72</v>
      </c>
      <c r="C4" s="565"/>
      <c r="D4" s="565"/>
      <c r="E4" s="565"/>
      <c r="F4" s="565"/>
      <c r="G4" s="75"/>
      <c r="I4" s="565" t="s">
        <v>72</v>
      </c>
      <c r="J4" s="565"/>
      <c r="K4" s="565"/>
      <c r="L4" s="565"/>
      <c r="M4" s="565"/>
      <c r="N4" s="75"/>
      <c r="O4" s="6"/>
      <c r="P4" s="565" t="s">
        <v>72</v>
      </c>
      <c r="Q4" s="565"/>
      <c r="R4" s="565"/>
      <c r="S4" s="565"/>
      <c r="T4" s="565"/>
      <c r="U4" s="75"/>
      <c r="W4" s="565" t="s">
        <v>72</v>
      </c>
      <c r="X4" s="565"/>
      <c r="Y4" s="565"/>
      <c r="Z4" s="565"/>
      <c r="AA4" s="565"/>
      <c r="AB4" s="75"/>
      <c r="AD4" s="565" t="s">
        <v>72</v>
      </c>
      <c r="AE4" s="565"/>
      <c r="AF4" s="565"/>
      <c r="AG4" s="565"/>
      <c r="AH4" s="565"/>
      <c r="AI4" s="75"/>
      <c r="AK4" s="565" t="s">
        <v>72</v>
      </c>
      <c r="AL4" s="565"/>
      <c r="AM4" s="565"/>
      <c r="AN4" s="565"/>
      <c r="AO4" s="565"/>
      <c r="AP4" s="75"/>
      <c r="AR4" s="565" t="s">
        <v>72</v>
      </c>
      <c r="AS4" s="565"/>
      <c r="AT4" s="565"/>
      <c r="AU4" s="565"/>
      <c r="AV4" s="565"/>
      <c r="AW4" s="75"/>
    </row>
    <row r="5" spans="1:164" x14ac:dyDescent="0.25">
      <c r="B5" s="376">
        <v>50</v>
      </c>
      <c r="C5" s="376">
        <v>85</v>
      </c>
      <c r="D5" s="376">
        <v>120</v>
      </c>
      <c r="E5" s="376">
        <v>160</v>
      </c>
      <c r="F5" s="376">
        <v>200</v>
      </c>
      <c r="G5" s="376">
        <v>240</v>
      </c>
      <c r="H5" s="99"/>
      <c r="I5" s="376">
        <v>50</v>
      </c>
      <c r="J5" s="376">
        <v>85</v>
      </c>
      <c r="K5" s="376">
        <v>120</v>
      </c>
      <c r="L5" s="376">
        <v>160</v>
      </c>
      <c r="M5" s="376">
        <v>200</v>
      </c>
      <c r="N5" s="376">
        <v>240</v>
      </c>
      <c r="O5" s="99"/>
      <c r="P5" s="376">
        <v>50</v>
      </c>
      <c r="Q5" s="376">
        <v>85</v>
      </c>
      <c r="R5" s="376">
        <v>120</v>
      </c>
      <c r="S5" s="376">
        <v>160</v>
      </c>
      <c r="T5" s="376">
        <v>200</v>
      </c>
      <c r="U5" s="376">
        <v>240</v>
      </c>
      <c r="W5" s="376">
        <v>50</v>
      </c>
      <c r="X5" s="376">
        <v>85</v>
      </c>
      <c r="Y5" s="376">
        <v>120</v>
      </c>
      <c r="Z5" s="376">
        <v>160</v>
      </c>
      <c r="AA5" s="376">
        <v>200</v>
      </c>
      <c r="AB5" s="376">
        <v>240</v>
      </c>
      <c r="AD5" s="376">
        <v>50</v>
      </c>
      <c r="AE5" s="376">
        <v>85</v>
      </c>
      <c r="AF5" s="376">
        <v>120</v>
      </c>
      <c r="AG5" s="376">
        <v>160</v>
      </c>
      <c r="AH5" s="376">
        <v>200</v>
      </c>
      <c r="AI5" s="376">
        <v>240</v>
      </c>
      <c r="AK5" s="376">
        <v>50</v>
      </c>
      <c r="AL5" s="376">
        <v>85</v>
      </c>
      <c r="AM5" s="376">
        <v>120</v>
      </c>
      <c r="AN5" s="376">
        <v>160</v>
      </c>
      <c r="AO5" s="376">
        <v>200</v>
      </c>
      <c r="AP5" s="376">
        <v>240</v>
      </c>
      <c r="AR5" s="376">
        <v>50</v>
      </c>
      <c r="AS5" s="376">
        <v>85</v>
      </c>
      <c r="AT5" s="376">
        <v>120</v>
      </c>
      <c r="AU5" s="376">
        <v>160</v>
      </c>
      <c r="AV5" s="376">
        <v>200</v>
      </c>
      <c r="AW5" s="376">
        <v>240</v>
      </c>
    </row>
    <row r="6" spans="1:164" ht="13.8" thickBot="1" x14ac:dyDescent="0.3">
      <c r="A6" s="306" t="s">
        <v>15</v>
      </c>
      <c r="B6" s="11">
        <v>85</v>
      </c>
      <c r="C6" s="11">
        <v>120</v>
      </c>
      <c r="D6" s="11">
        <v>160</v>
      </c>
      <c r="E6" s="11">
        <v>200</v>
      </c>
      <c r="F6" s="11">
        <v>240</v>
      </c>
      <c r="G6" s="11">
        <v>285</v>
      </c>
      <c r="H6" s="222"/>
      <c r="I6" s="11">
        <v>85</v>
      </c>
      <c r="J6" s="11">
        <v>120</v>
      </c>
      <c r="K6" s="11">
        <v>160</v>
      </c>
      <c r="L6" s="11">
        <v>200</v>
      </c>
      <c r="M6" s="11">
        <v>240</v>
      </c>
      <c r="N6" s="11">
        <v>285</v>
      </c>
      <c r="O6" s="94"/>
      <c r="P6" s="11">
        <v>85</v>
      </c>
      <c r="Q6" s="11">
        <v>120</v>
      </c>
      <c r="R6" s="11">
        <v>160</v>
      </c>
      <c r="S6" s="11">
        <v>200</v>
      </c>
      <c r="T6" s="11">
        <v>240</v>
      </c>
      <c r="U6" s="11">
        <v>285</v>
      </c>
      <c r="W6" s="11">
        <v>85</v>
      </c>
      <c r="X6" s="11">
        <v>120</v>
      </c>
      <c r="Y6" s="11">
        <v>160</v>
      </c>
      <c r="Z6" s="11">
        <v>200</v>
      </c>
      <c r="AA6" s="11">
        <v>240</v>
      </c>
      <c r="AB6" s="11">
        <v>285</v>
      </c>
      <c r="AD6" s="11">
        <v>85</v>
      </c>
      <c r="AE6" s="11">
        <v>120</v>
      </c>
      <c r="AF6" s="11">
        <v>160</v>
      </c>
      <c r="AG6" s="11">
        <v>200</v>
      </c>
      <c r="AH6" s="11">
        <v>240</v>
      </c>
      <c r="AI6" s="11">
        <v>285</v>
      </c>
      <c r="AK6" s="11">
        <v>85</v>
      </c>
      <c r="AL6" s="11">
        <v>120</v>
      </c>
      <c r="AM6" s="11">
        <v>160</v>
      </c>
      <c r="AN6" s="11">
        <v>200</v>
      </c>
      <c r="AO6" s="11">
        <v>240</v>
      </c>
      <c r="AP6" s="11">
        <v>285</v>
      </c>
      <c r="AR6" s="11">
        <v>85</v>
      </c>
      <c r="AS6" s="11">
        <v>120</v>
      </c>
      <c r="AT6" s="11">
        <v>160</v>
      </c>
      <c r="AU6" s="11">
        <v>200</v>
      </c>
      <c r="AV6" s="11">
        <v>240</v>
      </c>
      <c r="AW6" s="11">
        <v>285</v>
      </c>
    </row>
    <row r="7" spans="1:164" x14ac:dyDescent="0.25">
      <c r="A7" t="s">
        <v>1</v>
      </c>
      <c r="B7" s="291">
        <f>IF(B5="","",((((B236-B297)*2000)+((SUM(B9:B229)-2000)*((IF($A8=Nutrients!$B$79,Nutrients!$DA$79,(IF($A8=Nutrients!$B$77,Nutrients!$DA$77,Nutrients!$DA$78)))))))/((IF($A7=Nutrients!$B$8,Nutrients!$DA$8,Nutrients!$DA$9))-((IF($A8=Nutrients!$B$79,Nutrients!$DA$79,(IF($A8=Nutrients!$B$77,Nutrients!$DA$77,Nutrients!$DA$78))))))))</f>
        <v>1401.204118179855</v>
      </c>
      <c r="C7" s="291">
        <f>IF(C5="","",((((C236-C297)*2000)+((SUM(C9:C229)-2000)*((IF($A8=Nutrients!$B$79,Nutrients!$DA$79,(IF($A8=Nutrients!$B$77,Nutrients!$DA$77,Nutrients!$DA$78)))))))/((IF($A7=Nutrients!$B$8,Nutrients!$DA$8,Nutrients!$DA$9))-((IF($A8=Nutrients!$B$79,Nutrients!$DA$79,(IF($A8=Nutrients!$B$77,Nutrients!$DA$77,Nutrients!$DA$78))))))))</f>
        <v>1489.6346777263973</v>
      </c>
      <c r="D7" s="291">
        <f>IF(D5="","",((((D236-D297)*2000)+((SUM(D9:D229)-2000)*((IF($A8=Nutrients!$B$79,Nutrients!$DA$79,(IF($A8=Nutrients!$B$77,Nutrients!$DA$77,Nutrients!$DA$78)))))))/((IF($A7=Nutrients!$B$8,Nutrients!$DA$8,Nutrients!$DA$9))-((IF($A8=Nutrients!$B$79,Nutrients!$DA$79,(IF($A8=Nutrients!$B$77,Nutrients!$DA$77,Nutrients!$DA$78))))))))</f>
        <v>1564.8539711032211</v>
      </c>
      <c r="E7" s="291">
        <f>IF(E5="","",((((E236-E297)*2000)+((SUM(E9:E229)-2000)*((IF($A8=Nutrients!$B$79,Nutrients!$DA$79,(IF($A8=Nutrients!$B$77,Nutrients!$DA$77,Nutrients!$DA$78)))))))/((IF($A7=Nutrients!$B$8,Nutrients!$DA$8,Nutrients!$DA$9))-((IF($A8=Nutrients!$B$79,Nutrients!$DA$79,(IF($A8=Nutrients!$B$77,Nutrients!$DA$77,Nutrients!$DA$78))))))))</f>
        <v>1637.2122226458096</v>
      </c>
      <c r="F7" s="291">
        <f>IF(F5="","",((((F236-F297)*2000)+((SUM(F9:F229)-2000)*((IF($A8=Nutrients!$B$79,Nutrients!$DA$79,(IF($A8=Nutrients!$B$77,Nutrients!$DA$77,Nutrients!$DA$78)))))))/((IF($A7=Nutrients!$B$8,Nutrients!$DA$8,Nutrients!$DA$9))-((IF($A8=Nutrients!$B$79,Nutrients!$DA$79,(IF($A8=Nutrients!$B$77,Nutrients!$DA$77,Nutrients!$DA$78))))))))</f>
        <v>1697.3820399240099</v>
      </c>
      <c r="G7" s="291">
        <f>IF(G5="","",((((G236-G297)*2000)+((SUM(G9:G229)-2000)*((IF($A8=Nutrients!$B$79,Nutrients!$DA$79,(IF($A8=Nutrients!$B$77,Nutrients!$DA$77,Nutrients!$DA$78)))))))/((IF($A7=Nutrients!$B$8,Nutrients!$DA$8,Nutrients!$DA$9))-((IF($A8=Nutrients!$B$79,Nutrients!$DA$79,(IF($A8=Nutrients!$B$77,Nutrients!$DA$77,Nutrients!$DA$78))))))))</f>
        <v>1729.7239606988965</v>
      </c>
      <c r="H7" s="291"/>
      <c r="I7" s="291">
        <f>IF(I5="","",((((I236-I297)*2000)+((SUM(I9:I229)-2000)*((IF($A8=Nutrients!$B$79,Nutrients!$DA$79,(IF($A8=Nutrients!$B$77,Nutrients!$DA$77,Nutrients!$DA$78)))))))/((IF($A7=Nutrients!$B$8,Nutrients!$DA$8,Nutrients!$DA$9))-((IF($A8=Nutrients!$B$79,Nutrients!$DA$79,(IF($A8=Nutrients!$B$77,Nutrients!$DA$77,Nutrients!$DA$78))))))))</f>
        <v>1337.4150082905198</v>
      </c>
      <c r="J7" s="291">
        <f>IF(J5="","",((((J236-J297)*2000)+((SUM(J9:J229)-2000)*((IF($A8=Nutrients!$B$79,Nutrients!$DA$79,(IF($A8=Nutrients!$B$77,Nutrients!$DA$77,Nutrients!$DA$78)))))))/((IF($A7=Nutrients!$B$8,Nutrients!$DA$8,Nutrients!$DA$9))-((IF($A8=Nutrients!$B$79,Nutrients!$DA$79,(IF($A8=Nutrients!$B$77,Nutrients!$DA$77,Nutrients!$DA$78))))))))</f>
        <v>1424.4846831839341</v>
      </c>
      <c r="K7" s="291">
        <f>IF(K5="","",((((K236-K297)*2000)+((SUM(K9:K229)-2000)*((IF($A8=Nutrients!$B$79,Nutrients!$DA$79,(IF($A8=Nutrients!$B$77,Nutrients!$DA$77,Nutrients!$DA$78)))))))/((IF($A7=Nutrients!$B$8,Nutrients!$DA$8,Nutrients!$DA$9))-((IF($A8=Nutrients!$B$79,Nutrients!$DA$79,(IF($A8=Nutrients!$B$77,Nutrients!$DA$77,Nutrients!$DA$78))))))))</f>
        <v>1498.7388702836174</v>
      </c>
      <c r="L7" s="291">
        <f>IF(L5="","",((((L236-L297)*2000)+((SUM(L9:L229)-2000)*((IF($A8=Nutrients!$B$79,Nutrients!$DA$79,(IF($A8=Nutrients!$B$77,Nutrients!$DA$77,Nutrients!$DA$78)))))))/((IF($A7=Nutrients!$B$8,Nutrients!$DA$8,Nutrients!$DA$9))-((IF($A8=Nutrients!$B$79,Nutrients!$DA$79,(IF($A8=Nutrients!$B$77,Nutrients!$DA$77,Nutrients!$DA$78))))))))</f>
        <v>1570.4232844646476</v>
      </c>
      <c r="M7" s="291">
        <f>IF(M5="","",((((M236-M297)*2000)+((SUM(M9:M229)-2000)*((IF($A8=Nutrients!$B$79,Nutrients!$DA$79,(IF($A8=Nutrients!$B$77,Nutrients!$DA$77,Nutrients!$DA$78)))))))/((IF($A7=Nutrients!$B$8,Nutrients!$DA$8,Nutrients!$DA$9))-((IF($A8=Nutrients!$B$79,Nutrients!$DA$79,(IF($A8=Nutrients!$B$77,Nutrients!$DA$77,Nutrients!$DA$78))))))))</f>
        <v>1630.6931802922304</v>
      </c>
      <c r="N7" s="291">
        <f>IF(N5="","",((((N236-N297)*2000)+((SUM(N9:N229)-2000)*((IF($A8=Nutrients!$B$79,Nutrients!$DA$79,(IF($A8=Nutrients!$B$77,Nutrients!$DA$77,Nutrients!$DA$78)))))))/((IF($A7=Nutrients!$B$8,Nutrients!$DA$8,Nutrients!$DA$9))-((IF($A8=Nutrients!$B$79,Nutrients!$DA$79,(IF($A8=Nutrients!$B$77,Nutrients!$DA$77,Nutrients!$DA$78))))))))</f>
        <v>1662.5891284274812</v>
      </c>
      <c r="O7" s="30"/>
      <c r="P7" s="291">
        <f>IF(P5="","",((((P236-P297)*2000)+((SUM(P9:P229)-2000)*((IF($A8=Nutrients!$B$79,Nutrients!$DA$79,(IF($A8=Nutrients!$B$77,Nutrients!$DA$77,Nutrients!$DA$78)))))))/((IF($A7=Nutrients!$B$8,Nutrients!$DA$8,Nutrients!$DA$9))-((IF($A8=Nutrients!$B$79,Nutrients!$DA$79,(IF($A8=Nutrients!$B$77,Nutrients!$DA$77,Nutrients!$DA$78))))))))</f>
        <v>1271.9964770188774</v>
      </c>
      <c r="Q7" s="291">
        <f>IF(Q5="","",((((Q236-Q297)*2000)+((SUM(Q9:Q229)-2000)*((IF($A8=Nutrients!$B$79,Nutrients!$DA$79,(IF($A8=Nutrients!$B$77,Nutrients!$DA$77,Nutrients!$DA$78)))))))/((IF($A7=Nutrients!$B$8,Nutrients!$DA$8,Nutrients!$DA$9))-((IF($A8=Nutrients!$B$79,Nutrients!$DA$79,(IF($A8=Nutrients!$B$77,Nutrients!$DA$77,Nutrients!$DA$78))))))))</f>
        <v>1358.2007198758938</v>
      </c>
      <c r="R7" s="291">
        <f>IF(R5="","",((((R236-R297)*2000)+((SUM(R9:R229)-2000)*((IF($A8=Nutrients!$B$79,Nutrients!$DA$79,(IF($A8=Nutrients!$B$77,Nutrients!$DA$77,Nutrients!$DA$78)))))))/((IF($A7=Nutrients!$B$8,Nutrients!$DA$8,Nutrients!$DA$9))-((IF($A8=Nutrients!$B$79,Nutrients!$DA$79,(IF($A8=Nutrients!$B$77,Nutrients!$DA$77,Nutrients!$DA$78))))))))</f>
        <v>1431.7032145101177</v>
      </c>
      <c r="S7" s="291">
        <f>IF(S5="","",((((S236-S297)*2000)+((SUM(S9:S229)-2000)*((IF($A8=Nutrients!$B$79,Nutrients!$DA$79,(IF($A8=Nutrients!$B$77,Nutrients!$DA$77,Nutrients!$DA$78)))))))/((IF($A7=Nutrients!$B$8,Nutrients!$DA$8,Nutrients!$DA$9))-((IF($A8=Nutrients!$B$79,Nutrients!$DA$79,(IF($A8=Nutrients!$B$77,Nutrients!$DA$77,Nutrients!$DA$78))))))))</f>
        <v>1503.6946817714511</v>
      </c>
      <c r="T7" s="291">
        <f>IF(T5="","",((((T236-T297)*2000)+((SUM(T9:T229)-2000)*((IF($A8=Nutrients!$B$79,Nutrients!$DA$79,(IF($A8=Nutrients!$B$77,Nutrients!$DA$77,Nutrients!$DA$78)))))))/((IF($A7=Nutrients!$B$8,Nutrients!$DA$8,Nutrients!$DA$9))-((IF($A8=Nutrients!$B$79,Nutrients!$DA$79,(IF($A8=Nutrients!$B$77,Nutrients!$DA$77,Nutrients!$DA$78))))))))</f>
        <v>1563.3091180956681</v>
      </c>
      <c r="U7" s="291">
        <f>IF(U5="","",((((U236-U297)*2000)+((SUM(U9:U229)-2000)*((IF($A8=Nutrients!$B$79,Nutrients!$DA$79,(IF($A8=Nutrients!$B$77,Nutrients!$DA$77,Nutrients!$DA$78)))))))/((IF($A7=Nutrients!$B$8,Nutrients!$DA$8,Nutrients!$DA$9))-((IF($A8=Nutrients!$B$79,Nutrients!$DA$79,(IF($A8=Nutrients!$B$77,Nutrients!$DA$77,Nutrients!$DA$78))))))))</f>
        <v>1594.9685568385996</v>
      </c>
      <c r="W7" s="291">
        <f>IF(W5="","",((((W236-W297)*2000)+((SUM(W9:W229)-2000)*((IF($A8=Nutrients!$B$79,Nutrients!$DA$79,(IF($A8=Nutrients!$B$77,Nutrients!$DA$77,Nutrients!$DA$78)))))))/((IF($A7=Nutrients!$B$8,Nutrients!$DA$8,Nutrients!$DA$9))-((IF($A8=Nutrients!$B$79,Nutrients!$DA$79,(IF($A8=Nutrients!$B$77,Nutrients!$DA$77,Nutrients!$DA$78))))))))</f>
        <v>1206.5248869225902</v>
      </c>
      <c r="X7" s="291">
        <f>IF(X5="","",((((X236-X297)*2000)+((SUM(X9:X229)-2000)*((IF($A8=Nutrients!$B$79,Nutrients!$DA$79,(IF($A8=Nutrients!$B$77,Nutrients!$DA$77,Nutrients!$DA$78)))))))/((IF($A7=Nutrients!$B$8,Nutrients!$DA$8,Nutrients!$DA$9))-((IF($A8=Nutrients!$B$79,Nutrients!$DA$79,(IF($A8=Nutrients!$B$77,Nutrients!$DA$77,Nutrients!$DA$78))))))))</f>
        <v>1291.953596590186</v>
      </c>
      <c r="Y7" s="291">
        <f>IF(Y5="","",((((Y236-Y297)*2000)+((SUM(Y9:Y229)-2000)*((IF($A8=Nutrients!$B$79,Nutrients!$DA$79,(IF($A8=Nutrients!$B$77,Nutrients!$DA$77,Nutrients!$DA$78)))))))/((IF($A7=Nutrients!$B$8,Nutrients!$DA$8,Nutrients!$DA$9))-((IF($A8=Nutrients!$B$79,Nutrients!$DA$79,(IF($A8=Nutrients!$B$77,Nutrients!$DA$77,Nutrients!$DA$78))))))))</f>
        <v>1365.7184178506047</v>
      </c>
      <c r="Z7" s="291">
        <f>IF(Z5="","",((((Z236-Z297)*2000)+((SUM(Z9:Z229)-2000)*((IF($A8=Nutrients!$B$79,Nutrients!$DA$79,(IF($A8=Nutrients!$B$77,Nutrients!$DA$77,Nutrients!$DA$78)))))))/((IF($A7=Nutrients!$B$8,Nutrients!$DA$8,Nutrients!$DA$9))-((IF($A8=Nutrients!$B$79,Nutrients!$DA$79,(IF($A8=Nutrients!$B$77,Nutrients!$DA$77,Nutrients!$DA$78))))))))</f>
        <v>1436.5672803396928</v>
      </c>
      <c r="AA7" s="291">
        <f>IF(AA5="","",((((AA236-AA297)*2000)+((SUM(AA9:AA229)-2000)*((IF($A8=Nutrients!$B$79,Nutrients!$DA$79,(IF($A8=Nutrients!$B$77,Nutrients!$DA$77,Nutrients!$DA$78)))))))/((IF($A7=Nutrients!$B$8,Nutrients!$DA$8,Nutrients!$DA$9))-((IF($A8=Nutrients!$B$79,Nutrients!$DA$79,(IF($A8=Nutrients!$B$77,Nutrients!$DA$77,Nutrients!$DA$78))))))))</f>
        <v>1495.4927073971096</v>
      </c>
      <c r="AB7" s="291">
        <f>IF(AB5="","",((((AB236-AB297)*2000)+((SUM(AB9:AB229)-2000)*((IF($A8=Nutrients!$B$79,Nutrients!$DA$79,(IF($A8=Nutrients!$B$77,Nutrients!$DA$77,Nutrients!$DA$78)))))))/((IF($A7=Nutrients!$B$8,Nutrients!$DA$8,Nutrients!$DA$9))-((IF($A8=Nutrients!$B$79,Nutrients!$DA$79,(IF($A8=Nutrients!$B$77,Nutrients!$DA$77,Nutrients!$DA$78))))))))</f>
        <v>1526.6596393207469</v>
      </c>
      <c r="AC7" s="13"/>
      <c r="AD7" s="291">
        <f>IF(AD5="","",((((AD236-AD297)*2000)+((SUM(AD9:AD229)-2000)*((IF($A8=Nutrients!$B$79,Nutrients!$DA$79,(IF($A8=Nutrients!$B$77,Nutrients!$DA$77,Nutrients!$DA$78)))))))/((IF($A7=Nutrients!$B$8,Nutrients!$DA$8,Nutrients!$DA$9))-((IF($A8=Nutrients!$B$79,Nutrients!$DA$79,(IF($A8=Nutrients!$B$77,Nutrients!$DA$77,Nutrients!$DA$78))))))))</f>
        <v>1141.0622615472364</v>
      </c>
      <c r="AE7" s="291">
        <f>IF(AE5="","",((((AE236-AE297)*2000)+((SUM(AE9:AE229)-2000)*((IF($A8=Nutrients!$B$79,Nutrients!$DA$79,(IF($A8=Nutrients!$B$77,Nutrients!$DA$77,Nutrients!$DA$78)))))))/((IF($A7=Nutrients!$B$8,Nutrients!$DA$8,Nutrients!$DA$9))-((IF($A8=Nutrients!$B$79,Nutrients!$DA$79,(IF($A8=Nutrients!$B$77,Nutrients!$DA$77,Nutrients!$DA$78))))))))</f>
        <v>1226.7324381429171</v>
      </c>
      <c r="AF7" s="291">
        <f>IF(AF5="","",((((AF236-AF297)*2000)+((SUM(AF9:AF229)-2000)*((IF($A8=Nutrients!$B$79,Nutrients!$DA$79,(IF($A8=Nutrients!$B$77,Nutrients!$DA$77,Nutrients!$DA$78)))))))/((IF($A7=Nutrients!$B$8,Nutrients!$DA$8,Nutrients!$DA$9))-((IF($A8=Nutrients!$B$79,Nutrients!$DA$79,(IF($A8=Nutrients!$B$77,Nutrients!$DA$77,Nutrients!$DA$78))))))))</f>
        <v>1299.3561567844511</v>
      </c>
      <c r="AG7" s="291">
        <f>IF(AG5="","",((((AG236-AG297)*2000)+((SUM(AG9:AG229)-2000)*((IF($A8=Nutrients!$B$79,Nutrients!$DA$79,(IF($A8=Nutrients!$B$77,Nutrients!$DA$77,Nutrients!$DA$78)))))))/((IF($A7=Nutrients!$B$8,Nutrients!$DA$8,Nutrients!$DA$9))-((IF($A8=Nutrients!$B$79,Nutrients!$DA$79,(IF($A8=Nutrients!$B$77,Nutrients!$DA$77,Nutrients!$DA$78))))))))</f>
        <v>1369.1409864771024</v>
      </c>
      <c r="AH7" s="291">
        <f>IF(AH5="","",((((AH236-AH297)*2000)+((SUM(AH9:AH229)-2000)*((IF($A8=Nutrients!$B$79,Nutrients!$DA$79,(IF($A8=Nutrients!$B$77,Nutrients!$DA$77,Nutrients!$DA$78)))))))/((IF($A7=Nutrients!$B$8,Nutrients!$DA$8,Nutrients!$DA$9))-((IF($A8=Nutrients!$B$79,Nutrients!$DA$79,(IF($A8=Nutrients!$B$77,Nutrients!$DA$77,Nutrients!$DA$78))))))))</f>
        <v>1426.6318974749381</v>
      </c>
      <c r="AI7" s="291">
        <f>IF(AI5="","",((((AI236-AI297)*2000)+((SUM(AI9:AI229)-2000)*((IF($A8=Nutrients!$B$79,Nutrients!$DA$79,(IF($A8=Nutrients!$B$77,Nutrients!$DA$77,Nutrients!$DA$78)))))))/((IF($A7=Nutrients!$B$8,Nutrients!$DA$8,Nutrients!$DA$9))-((IF($A8=Nutrients!$B$79,Nutrients!$DA$79,(IF($A8=Nutrients!$B$77,Nutrients!$DA$77,Nutrients!$DA$78))))))))</f>
        <v>1457.1660851196436</v>
      </c>
      <c r="AJ7" s="13"/>
      <c r="AK7" s="291">
        <f>IF(AK5="","",((((AK236-AK297)*2000)+((SUM(AK9:AK229)-2000)*((IF($A8=Nutrients!$B$79,Nutrients!$DA$79,(IF($A8=Nutrients!$B$77,Nutrients!$DA$77,Nutrients!$DA$78)))))))/((IF($A7=Nutrients!$B$8,Nutrients!$DA$8,Nutrients!$DA$9))-((IF($A8=Nutrients!$B$79,Nutrients!$DA$79,(IF($A8=Nutrients!$B$77,Nutrients!$DA$77,Nutrients!$DA$78))))))))</f>
        <v>1075.286042966663</v>
      </c>
      <c r="AL7" s="291">
        <f>IF(AL5="","",((((AL236-AL297)*2000)+((SUM(AL9:AL229)-2000)*((IF($A8=Nutrients!$B$79,Nutrients!$DA$79,(IF($A8=Nutrients!$B$77,Nutrients!$DA$77,Nutrients!$DA$78)))))))/((IF($A7=Nutrients!$B$8,Nutrients!$DA$8,Nutrients!$DA$9))-((IF($A8=Nutrients!$B$79,Nutrients!$DA$79,(IF($A8=Nutrients!$B$77,Nutrients!$DA$77,Nutrients!$DA$78))))))))</f>
        <v>1161.2667010514444</v>
      </c>
      <c r="AM7" s="291">
        <f>IF(AM5="","",((((AM236-AM297)*2000)+((SUM(AM9:AM229)-2000)*((IF($A8=Nutrients!$B$79,Nutrients!$DA$79,(IF($A8=Nutrients!$B$77,Nutrients!$DA$77,Nutrients!$DA$78)))))))/((IF($A7=Nutrients!$B$8,Nutrients!$DA$8,Nutrients!$DA$9))-((IF($A8=Nutrients!$B$79,Nutrients!$DA$79,(IF($A8=Nutrients!$B$77,Nutrients!$DA$77,Nutrients!$DA$78))))))))</f>
        <v>1232.7513450493977</v>
      </c>
      <c r="AN7" s="291">
        <f>IF(AN5="","",((((AN236-AN297)*2000)+((SUM(AN9:AN229)-2000)*((IF($A8=Nutrients!$B$79,Nutrients!$DA$79,(IF($A8=Nutrients!$B$77,Nutrients!$DA$77,Nutrients!$DA$78)))))))/((IF($A7=Nutrients!$B$8,Nutrients!$DA$8,Nutrients!$DA$9))-((IF($A8=Nutrients!$B$79,Nutrients!$DA$79,(IF($A8=Nutrients!$B$77,Nutrients!$DA$77,Nutrients!$DA$78))))))))</f>
        <v>1300.9292062738446</v>
      </c>
      <c r="AO7" s="291">
        <f>IF(AO5="","",((((AO236-AO297)*2000)+((SUM(AO9:AO229)-2000)*((IF($A8=Nutrients!$B$79,Nutrients!$DA$79,(IF($A8=Nutrients!$B$77,Nutrients!$DA$77,Nutrients!$DA$78)))))))/((IF($A7=Nutrients!$B$8,Nutrients!$DA$8,Nutrients!$DA$9))-((IF($A8=Nutrients!$B$79,Nutrients!$DA$79,(IF($A8=Nutrients!$B$77,Nutrients!$DA$77,Nutrients!$DA$78))))))))</f>
        <v>1357.4185263000131</v>
      </c>
      <c r="AP7" s="291">
        <f>IF(AP5="","",((((AP236-AP297)*2000)+((SUM(AP9:AP229)-2000)*((IF($A8=Nutrients!$B$79,Nutrients!$DA$79,(IF($A8=Nutrients!$B$77,Nutrients!$DA$77,Nutrients!$DA$78)))))))/((IF($A7=Nutrients!$B$8,Nutrients!$DA$8,Nutrients!$DA$9))-((IF($A8=Nutrients!$B$79,Nutrients!$DA$79,(IF($A8=Nutrients!$B$77,Nutrients!$DA$77,Nutrients!$DA$78))))))))</f>
        <v>1387.6870420035145</v>
      </c>
      <c r="AQ7" s="13"/>
      <c r="AR7" s="291">
        <f>IF(AR5="","",((((AR236-AR297)*2000)+((SUM(AR9:AR229)-2000)*((IF($A8=Nutrients!$B$79,Nutrients!$DA$79,(IF($A8=Nutrients!$B$77,Nutrients!$DA$77,Nutrients!$DA$78)))))))/((IF($A7=Nutrients!$B$8,Nutrients!$DA$8,Nutrients!$DA$9))-((IF($A8=Nutrients!$B$79,Nutrients!$DA$79,(IF($A8=Nutrients!$B$77,Nutrients!$DA$77,Nutrients!$DA$78))))))))</f>
        <v>1007.3935060361147</v>
      </c>
      <c r="AS7" s="291">
        <f>IF(AS5="","",((((AS236-AS297)*2000)+((SUM(AS9:AS229)-2000)*((IF($A8=Nutrients!$B$79,Nutrients!$DA$79,(IF($A8=Nutrients!$B$77,Nutrients!$DA$77,Nutrients!$DA$78)))))))/((IF($A7=Nutrients!$B$8,Nutrients!$DA$8,Nutrients!$DA$9))-((IF($A8=Nutrients!$B$79,Nutrients!$DA$79,(IF($A8=Nutrients!$B$77,Nutrients!$DA$77,Nutrients!$DA$78))))))))</f>
        <v>1095.6146085287703</v>
      </c>
      <c r="AT7" s="291">
        <f>IF(AT5="","",((((AT236-AT297)*2000)+((SUM(AT9:AT229)-2000)*((IF($A8=Nutrients!$B$79,Nutrients!$DA$79,(IF($A8=Nutrients!$B$77,Nutrients!$DA$77,Nutrients!$DA$78)))))))/((IF($A7=Nutrients!$B$8,Nutrients!$DA$8,Nutrients!$DA$9))-((IF($A8=Nutrients!$B$79,Nutrients!$DA$79,(IF($A8=Nutrients!$B$77,Nutrients!$DA$77,Nutrients!$DA$78))))))))</f>
        <v>1165.760059860811</v>
      </c>
      <c r="AU7" s="291">
        <f>IF(AU5="","",((((AU236-AU297)*2000)+((SUM(AU9:AU229)-2000)*((IF($A8=Nutrients!$B$79,Nutrients!$DA$79,(IF($A8=Nutrients!$B$77,Nutrients!$DA$77,Nutrients!$DA$78)))))))/((IF($A7=Nutrients!$B$8,Nutrients!$DA$8,Nutrients!$DA$9))-((IF($A8=Nutrients!$B$79,Nutrients!$DA$79,(IF($A8=Nutrients!$B$77,Nutrients!$DA$77,Nutrients!$DA$78))))))))</f>
        <v>1232.0675340084497</v>
      </c>
      <c r="AV7" s="291">
        <f>IF(AV5="","",((((AV236-AV297)*2000)+((SUM(AV9:AV229)-2000)*((IF($A8=Nutrients!$B$79,Nutrients!$DA$79,(IF($A8=Nutrients!$B$77,Nutrients!$DA$77,Nutrients!$DA$78)))))))/((IF($A7=Nutrients!$B$8,Nutrients!$DA$8,Nutrients!$DA$9))-((IF($A8=Nutrients!$B$79,Nutrients!$DA$79,(IF($A8=Nutrients!$B$77,Nutrients!$DA$77,Nutrients!$DA$78))))))))</f>
        <v>1288.1995516388583</v>
      </c>
      <c r="AW7" s="291">
        <f>IF(AW5="","",((((AW236-AW297)*2000)+((SUM(AW9:AW229)-2000)*((IF($A8=Nutrients!$B$79,Nutrients!$DA$79,(IF($A8=Nutrients!$B$77,Nutrients!$DA$77,Nutrients!$DA$78)))))))/((IF($A7=Nutrients!$B$8,Nutrients!$DA$8,Nutrients!$DA$9))-((IF($A8=Nutrients!$B$79,Nutrients!$DA$79,(IF($A8=Nutrients!$B$77,Nutrients!$DA$77,Nutrients!$DA$78))))))))</f>
        <v>1318.2058282302814</v>
      </c>
      <c r="AY7" s="488"/>
      <c r="AZ7" s="488"/>
      <c r="BA7" s="488"/>
      <c r="BB7" s="488"/>
      <c r="BC7" s="488"/>
      <c r="BD7" s="488"/>
      <c r="BE7" s="488"/>
      <c r="BF7" s="488"/>
      <c r="BG7" s="488"/>
      <c r="BH7" s="488"/>
      <c r="BI7" s="488"/>
      <c r="BJ7" s="488"/>
      <c r="BK7" s="488"/>
      <c r="BL7" s="488"/>
      <c r="BM7" s="488"/>
      <c r="BN7" s="488"/>
      <c r="BO7" s="488"/>
      <c r="BP7" s="488"/>
      <c r="BQ7" s="488"/>
      <c r="BR7" s="488"/>
      <c r="BS7" s="488"/>
      <c r="BT7" s="488"/>
      <c r="BU7" s="488"/>
      <c r="BV7" s="488"/>
      <c r="BW7" s="488"/>
      <c r="BX7" s="488"/>
      <c r="BY7" s="488"/>
      <c r="BZ7" s="488"/>
      <c r="CA7" s="488"/>
      <c r="CB7" s="488"/>
      <c r="CC7" s="488"/>
      <c r="CD7" s="488"/>
      <c r="CE7" s="488"/>
      <c r="CF7" s="488"/>
      <c r="CG7" s="488"/>
      <c r="CH7" s="488"/>
      <c r="CI7" s="488"/>
      <c r="CJ7" s="488"/>
      <c r="CK7" s="488"/>
      <c r="CL7" s="488"/>
      <c r="CM7" s="488"/>
      <c r="CN7" s="488"/>
      <c r="CO7" s="488"/>
      <c r="CP7" s="488"/>
      <c r="CQ7" s="488"/>
      <c r="CR7" s="488"/>
      <c r="CS7" s="488"/>
      <c r="CT7" s="488"/>
      <c r="CU7" s="488"/>
      <c r="CV7" s="488"/>
      <c r="CW7" s="488"/>
      <c r="CX7" s="488"/>
      <c r="CY7" s="488"/>
      <c r="CZ7" s="488"/>
      <c r="DA7" s="488"/>
      <c r="DB7" s="488"/>
      <c r="DC7" s="488"/>
      <c r="DD7" s="488"/>
      <c r="DE7" s="488"/>
      <c r="DF7" s="488"/>
      <c r="DG7" s="488"/>
      <c r="DH7" s="488"/>
      <c r="DI7" s="488"/>
      <c r="DJ7" s="488"/>
      <c r="DK7" s="488"/>
      <c r="DL7" s="488"/>
      <c r="DM7" s="488"/>
      <c r="DN7" s="488"/>
      <c r="DO7" s="488"/>
      <c r="DP7" s="488"/>
      <c r="DQ7" s="488"/>
      <c r="DR7" s="488"/>
      <c r="DS7" s="488"/>
      <c r="DT7" s="488"/>
      <c r="DU7" s="488"/>
      <c r="DV7" s="488"/>
      <c r="DW7" s="488"/>
      <c r="DX7" s="488"/>
      <c r="DY7" s="488"/>
      <c r="DZ7" s="488"/>
      <c r="EA7" s="488"/>
      <c r="EB7" s="488"/>
      <c r="EC7" s="488"/>
      <c r="ED7" s="488"/>
      <c r="EE7" s="488"/>
      <c r="EF7" s="488"/>
      <c r="EG7" s="488"/>
      <c r="EH7" s="488"/>
      <c r="EI7" s="488"/>
      <c r="EJ7" s="488"/>
      <c r="EK7" s="488"/>
      <c r="EL7" s="488"/>
      <c r="EM7" s="488"/>
      <c r="EN7" s="488"/>
      <c r="EO7" s="488"/>
      <c r="EP7" s="488"/>
      <c r="EQ7" s="488"/>
      <c r="ER7" s="488"/>
      <c r="ES7" s="488"/>
      <c r="ET7" s="488"/>
      <c r="EU7" s="488"/>
      <c r="EV7" s="488"/>
      <c r="EW7" s="488"/>
      <c r="EX7" s="488"/>
      <c r="EY7" s="488"/>
      <c r="EZ7" s="488"/>
      <c r="FA7" s="488"/>
      <c r="FB7" s="488"/>
      <c r="FC7" s="488"/>
      <c r="FD7" s="488"/>
      <c r="FE7" s="488"/>
      <c r="FF7" s="488"/>
      <c r="FG7" s="488"/>
      <c r="FH7" s="488"/>
    </row>
    <row r="8" spans="1:164" x14ac:dyDescent="0.25">
      <c r="A8" t="s">
        <v>295</v>
      </c>
      <c r="B8" s="291">
        <f t="shared" ref="B8:G8" si="6">IF(B5="","",2000-SUM(B9:B218)-B7)</f>
        <v>532.87319453405121</v>
      </c>
      <c r="C8" s="291">
        <f t="shared" si="6"/>
        <v>452.27140406672561</v>
      </c>
      <c r="D8" s="291">
        <f t="shared" si="6"/>
        <v>384.4341908979336</v>
      </c>
      <c r="E8" s="291">
        <f t="shared" si="6"/>
        <v>317.11390951924227</v>
      </c>
      <c r="F8" s="291">
        <f t="shared" si="6"/>
        <v>260.24813699960987</v>
      </c>
      <c r="G8" s="291">
        <f t="shared" si="6"/>
        <v>228.872010022209</v>
      </c>
      <c r="H8" s="291"/>
      <c r="I8" s="291">
        <f t="shared" ref="I8:N8" si="7">IF(I5="","",2000-SUM(I9:I220)-I7)</f>
        <v>497.55297249107343</v>
      </c>
      <c r="J8" s="291">
        <f t="shared" si="7"/>
        <v>418.15442014170821</v>
      </c>
      <c r="K8" s="291">
        <f t="shared" si="7"/>
        <v>351.29581091319142</v>
      </c>
      <c r="L8" s="291">
        <f t="shared" si="7"/>
        <v>284.62766009926804</v>
      </c>
      <c r="M8" s="291">
        <f t="shared" si="7"/>
        <v>227.71165434097998</v>
      </c>
      <c r="N8" s="291">
        <f t="shared" si="7"/>
        <v>196.6727721229654</v>
      </c>
      <c r="O8" s="30"/>
      <c r="P8" s="291">
        <f t="shared" ref="P8:U8" si="8">IF(P5="","",2000-SUM(P9:P220)-P7)</f>
        <v>463.77322533306597</v>
      </c>
      <c r="Q8" s="291">
        <f t="shared" si="8"/>
        <v>385.10565553948095</v>
      </c>
      <c r="R8" s="291">
        <f t="shared" si="8"/>
        <v>319.01522790503418</v>
      </c>
      <c r="S8" s="291">
        <f t="shared" si="8"/>
        <v>251.99236180042863</v>
      </c>
      <c r="T8" s="291">
        <f t="shared" si="8"/>
        <v>195.70831435907712</v>
      </c>
      <c r="U8" s="291">
        <f t="shared" si="8"/>
        <v>164.92282437352264</v>
      </c>
      <c r="W8" s="291">
        <f t="shared" ref="W8:AB8" si="9">IF(W5="","",2000-SUM(W9:W220)-W7)</f>
        <v>429.99646778770511</v>
      </c>
      <c r="X8" s="291">
        <f t="shared" si="9"/>
        <v>352.05724722836294</v>
      </c>
      <c r="Y8" s="291">
        <f t="shared" si="9"/>
        <v>285.62583247370867</v>
      </c>
      <c r="Z8" s="291">
        <f t="shared" si="9"/>
        <v>219.64976323218684</v>
      </c>
      <c r="AA8" s="291">
        <f t="shared" si="9"/>
        <v>163.80472505763555</v>
      </c>
      <c r="AB8" s="291">
        <f t="shared" si="9"/>
        <v>133.10530015838071</v>
      </c>
      <c r="AC8" s="13"/>
      <c r="AD8" s="291">
        <f t="shared" ref="AD8:AI8" si="10">IF(AD5="","",2000-SUM(AD9:AD220)-AD7)</f>
        <v>396.13783073101513</v>
      </c>
      <c r="AE8" s="291">
        <f t="shared" si="10"/>
        <v>317.91938204718781</v>
      </c>
      <c r="AF8" s="291">
        <f t="shared" si="10"/>
        <v>252.50809353986233</v>
      </c>
      <c r="AG8" s="291">
        <f t="shared" si="10"/>
        <v>187.31074308115444</v>
      </c>
      <c r="AH8" s="291">
        <f t="shared" si="10"/>
        <v>131.58086650197197</v>
      </c>
      <c r="AI8" s="291">
        <f t="shared" si="10"/>
        <v>101.0407350024102</v>
      </c>
      <c r="AJ8" s="13"/>
      <c r="AK8" s="291">
        <f t="shared" ref="AK8" si="11">IF(AK5="","",2000-SUM(AK9:AK220)-AK7)</f>
        <v>362.5691170859277</v>
      </c>
      <c r="AL8" s="291">
        <f t="shared" ref="AL8:AP8" si="12">IF(AL5="","",2000-SUM(AL9:AL220)-AL7)</f>
        <v>284.09213041153885</v>
      </c>
      <c r="AM8" s="291">
        <f t="shared" si="12"/>
        <v>219.52568681356729</v>
      </c>
      <c r="AN8" s="291">
        <f t="shared" si="12"/>
        <v>154.71964115328524</v>
      </c>
      <c r="AO8" s="291">
        <f t="shared" si="12"/>
        <v>99.247007608356853</v>
      </c>
      <c r="AP8" s="291">
        <f t="shared" si="12"/>
        <v>68.971576658236472</v>
      </c>
      <c r="AQ8" s="13"/>
      <c r="AR8" s="291">
        <f t="shared" ref="AR8:AW8" si="13">IF(AR5="","",2000-SUM(AR9:AR220)-AR7)</f>
        <v>331.14492916159986</v>
      </c>
      <c r="AS8" s="291">
        <f t="shared" si="13"/>
        <v>250.28422293421295</v>
      </c>
      <c r="AT8" s="291">
        <f t="shared" si="13"/>
        <v>186.76826080078945</v>
      </c>
      <c r="AU8" s="291">
        <f t="shared" si="13"/>
        <v>122.02271952862543</v>
      </c>
      <c r="AV8" s="291">
        <f t="shared" si="13"/>
        <v>66.918673384905105</v>
      </c>
      <c r="AW8" s="291">
        <f t="shared" si="13"/>
        <v>36.904526264494507</v>
      </c>
      <c r="AX8" s="291"/>
      <c r="AY8" s="488"/>
      <c r="AZ8" s="488"/>
      <c r="BA8" s="488"/>
      <c r="BB8" s="488"/>
      <c r="BC8" s="488"/>
      <c r="BD8" s="488"/>
      <c r="BE8" s="488"/>
      <c r="BF8" s="488"/>
      <c r="BG8" s="488"/>
      <c r="BH8" s="488"/>
      <c r="BI8" s="488"/>
      <c r="BJ8" s="488"/>
      <c r="BK8" s="488"/>
      <c r="BL8" s="488"/>
      <c r="BM8" s="488"/>
      <c r="BN8" s="488"/>
      <c r="BO8" s="488"/>
      <c r="BP8" s="488"/>
      <c r="BQ8" s="488"/>
      <c r="BR8" s="488"/>
      <c r="BS8" s="488"/>
      <c r="BT8" s="488"/>
      <c r="BU8" s="488"/>
      <c r="BV8" s="488"/>
      <c r="BW8" s="488"/>
      <c r="BX8" s="488"/>
      <c r="BY8" s="488"/>
      <c r="BZ8" s="488"/>
      <c r="CA8" s="488"/>
      <c r="CB8" s="488"/>
      <c r="CC8" s="488"/>
      <c r="CD8" s="488"/>
      <c r="CE8" s="488"/>
      <c r="CF8" s="488"/>
      <c r="CG8" s="488"/>
      <c r="CH8" s="488"/>
      <c r="CI8" s="488"/>
      <c r="CJ8" s="488"/>
      <c r="CK8" s="488"/>
      <c r="CL8" s="488"/>
      <c r="CM8" s="488"/>
      <c r="CN8" s="488"/>
      <c r="CO8" s="488"/>
      <c r="CP8" s="488"/>
      <c r="CQ8" s="488"/>
      <c r="CR8" s="488"/>
      <c r="CS8" s="488"/>
      <c r="CT8" s="488"/>
      <c r="CU8" s="488"/>
      <c r="CV8" s="488"/>
      <c r="CW8" s="488"/>
      <c r="CX8" s="488"/>
      <c r="CY8" s="488"/>
      <c r="CZ8" s="488"/>
      <c r="DA8" s="488"/>
      <c r="DB8" s="488"/>
      <c r="DC8" s="488"/>
      <c r="DD8" s="488"/>
      <c r="DE8" s="488"/>
      <c r="DF8" s="488"/>
      <c r="DG8" s="488"/>
      <c r="DH8" s="488"/>
      <c r="DI8" s="488"/>
      <c r="DJ8" s="488"/>
      <c r="DK8" s="488"/>
      <c r="DL8" s="488"/>
      <c r="DM8" s="488"/>
      <c r="DN8" s="488"/>
      <c r="DO8" s="488"/>
      <c r="DP8" s="488"/>
      <c r="DQ8" s="488"/>
      <c r="DR8" s="488"/>
      <c r="DS8" s="488"/>
      <c r="DT8" s="488"/>
      <c r="DU8" s="488"/>
      <c r="DV8" s="488"/>
      <c r="DW8" s="488"/>
      <c r="DX8" s="488"/>
      <c r="DY8" s="488"/>
      <c r="DZ8" s="488"/>
      <c r="EA8" s="488"/>
      <c r="EB8" s="488"/>
      <c r="EC8" s="488"/>
      <c r="ED8" s="488"/>
      <c r="EE8" s="488"/>
      <c r="EF8" s="488"/>
      <c r="EG8" s="488"/>
      <c r="EH8" s="488"/>
      <c r="EI8" s="488"/>
      <c r="EJ8" s="488"/>
      <c r="EK8" s="488"/>
      <c r="EL8" s="488"/>
      <c r="EM8" s="488"/>
      <c r="EN8" s="488"/>
      <c r="EO8" s="488"/>
      <c r="EP8" s="488"/>
      <c r="EQ8" s="488"/>
      <c r="ER8" s="488"/>
      <c r="ES8" s="488"/>
      <c r="ET8" s="488"/>
      <c r="EU8" s="488"/>
      <c r="EV8" s="488"/>
      <c r="EW8" s="488"/>
      <c r="EX8" s="488"/>
      <c r="EY8" s="488"/>
      <c r="EZ8" s="488"/>
      <c r="FA8" s="488"/>
      <c r="FB8" s="488"/>
      <c r="FC8" s="488"/>
      <c r="FD8" s="488"/>
      <c r="FE8" s="488"/>
      <c r="FF8" s="488"/>
      <c r="FG8" s="488"/>
      <c r="FH8" s="488"/>
    </row>
    <row r="9" spans="1:164" ht="13.05" hidden="1" customHeight="1" x14ac:dyDescent="0.25">
      <c r="A9" t="str">
        <f>Nutrients!B8</f>
        <v>Corn</v>
      </c>
      <c r="B9" s="99"/>
      <c r="C9" s="99"/>
      <c r="D9" s="99"/>
      <c r="E9" s="99"/>
      <c r="F9" s="99"/>
      <c r="G9" s="99"/>
      <c r="H9" s="99"/>
      <c r="I9" s="99"/>
      <c r="J9" s="99"/>
      <c r="K9" s="99"/>
      <c r="L9" s="99"/>
      <c r="M9" s="99"/>
      <c r="N9" s="99"/>
      <c r="O9" s="10"/>
      <c r="P9" s="99"/>
      <c r="Q9" s="99"/>
      <c r="R9" s="99"/>
      <c r="S9" s="99"/>
      <c r="T9" s="99"/>
      <c r="U9" s="99"/>
      <c r="W9" s="99"/>
      <c r="X9" s="99"/>
      <c r="Y9" s="99"/>
      <c r="Z9" s="99"/>
      <c r="AA9" s="99"/>
      <c r="AB9" s="99"/>
      <c r="AD9" s="99"/>
      <c r="AE9" s="99"/>
      <c r="AF9" s="99"/>
      <c r="AG9" s="99"/>
      <c r="AH9" s="99"/>
      <c r="AI9" s="99"/>
      <c r="AK9" s="99"/>
      <c r="AL9" s="99"/>
      <c r="AM9" s="99"/>
      <c r="AN9" s="99"/>
      <c r="AO9" s="99"/>
      <c r="AP9" s="99"/>
      <c r="AR9" s="99"/>
      <c r="AS9" s="99"/>
      <c r="AT9" s="99"/>
      <c r="AU9" s="99"/>
      <c r="AV9" s="99"/>
      <c r="AW9" s="99"/>
      <c r="AY9" s="488"/>
      <c r="AZ9" s="488"/>
      <c r="BA9" s="488"/>
      <c r="BB9" s="488"/>
      <c r="BC9" s="488"/>
      <c r="BD9" s="488"/>
      <c r="BE9" s="488"/>
      <c r="BF9" s="488"/>
      <c r="BG9" s="488"/>
      <c r="BH9" s="488"/>
      <c r="BI9" s="488"/>
      <c r="BJ9" s="488"/>
      <c r="BK9" s="488"/>
      <c r="BL9" s="488"/>
      <c r="BM9" s="488"/>
      <c r="BN9" s="488"/>
      <c r="BO9" s="488"/>
      <c r="BP9" s="488"/>
      <c r="BQ9" s="488"/>
      <c r="BR9" s="488"/>
      <c r="BS9" s="488"/>
      <c r="BT9" s="488"/>
      <c r="BU9" s="488"/>
      <c r="BV9" s="488"/>
      <c r="BW9" s="488"/>
      <c r="BX9" s="488"/>
      <c r="BY9" s="488"/>
      <c r="BZ9" s="488"/>
      <c r="CA9" s="488"/>
      <c r="CB9" s="488"/>
      <c r="CC9" s="488"/>
      <c r="CD9" s="488"/>
      <c r="CE9" s="488"/>
      <c r="CF9" s="488"/>
      <c r="CG9" s="488"/>
      <c r="CH9" s="488"/>
      <c r="CI9" s="488"/>
      <c r="CJ9" s="488"/>
      <c r="CK9" s="488"/>
      <c r="CL9" s="488"/>
      <c r="CM9" s="488"/>
      <c r="CN9" s="488"/>
      <c r="CO9" s="488"/>
      <c r="CP9" s="488"/>
      <c r="CQ9" s="488"/>
      <c r="CR9" s="488"/>
      <c r="CS9" s="488"/>
      <c r="CT9" s="488"/>
      <c r="CU9" s="488"/>
      <c r="CV9" s="488"/>
      <c r="CW9" s="488"/>
      <c r="CX9" s="488"/>
      <c r="CY9" s="488"/>
      <c r="CZ9" s="488"/>
      <c r="DA9" s="488"/>
      <c r="DB9" s="488"/>
      <c r="DC9" s="488"/>
      <c r="DD9" s="488"/>
      <c r="DE9" s="488"/>
      <c r="DF9" s="488"/>
      <c r="DG9" s="488"/>
      <c r="DH9" s="488"/>
      <c r="DI9" s="488"/>
      <c r="DJ9" s="488"/>
      <c r="DK9" s="488"/>
      <c r="DL9" s="488"/>
      <c r="DM9" s="488"/>
      <c r="DN9" s="488"/>
      <c r="DO9" s="488"/>
      <c r="DP9" s="488"/>
      <c r="DQ9" s="488"/>
      <c r="DR9" s="488"/>
      <c r="DS9" s="488"/>
      <c r="DT9" s="488"/>
      <c r="DU9" s="488"/>
      <c r="DV9" s="488"/>
      <c r="DW9" s="488"/>
      <c r="DX9" s="488"/>
      <c r="DY9" s="488"/>
      <c r="DZ9" s="488"/>
      <c r="EA9" s="488"/>
      <c r="EB9" s="488"/>
      <c r="EC9" s="488"/>
      <c r="ED9" s="488"/>
      <c r="EE9" s="488"/>
      <c r="EF9" s="488"/>
      <c r="EG9" s="488"/>
      <c r="EH9" s="488"/>
      <c r="EI9" s="488"/>
      <c r="EJ9" s="488"/>
      <c r="EK9" s="488"/>
      <c r="EL9" s="488"/>
      <c r="EM9" s="488"/>
      <c r="EN9" s="488"/>
      <c r="EO9" s="488"/>
      <c r="EP9" s="488"/>
      <c r="EQ9" s="488"/>
      <c r="ER9" s="488"/>
      <c r="ES9" s="488"/>
      <c r="ET9" s="488"/>
      <c r="EU9" s="488"/>
      <c r="EV9" s="488"/>
      <c r="EW9" s="488"/>
      <c r="EX9" s="488"/>
      <c r="EY9" s="488"/>
      <c r="EZ9" s="488"/>
      <c r="FA9" s="488"/>
      <c r="FB9" s="488"/>
      <c r="FC9" s="488"/>
      <c r="FD9" s="488"/>
      <c r="FE9" s="488"/>
      <c r="FF9" s="488"/>
      <c r="FG9" s="488"/>
      <c r="FH9" s="488"/>
    </row>
    <row r="10" spans="1:164" ht="13.05" hidden="1" customHeight="1" x14ac:dyDescent="0.25">
      <c r="A10" t="str">
        <f>Nutrients!B9</f>
        <v>Milo</v>
      </c>
      <c r="B10" s="99"/>
      <c r="C10" s="99"/>
      <c r="D10" s="99"/>
      <c r="E10" s="99"/>
      <c r="F10" s="99"/>
      <c r="G10" s="99"/>
      <c r="H10" s="99"/>
      <c r="I10" s="99"/>
      <c r="J10" s="99"/>
      <c r="K10" s="99"/>
      <c r="L10" s="99"/>
      <c r="M10" s="99"/>
      <c r="N10" s="99"/>
      <c r="O10" s="10"/>
      <c r="P10" s="99"/>
      <c r="Q10" s="99"/>
      <c r="R10" s="99"/>
      <c r="S10" s="99"/>
      <c r="T10" s="99"/>
      <c r="U10" s="99"/>
      <c r="W10" s="99"/>
      <c r="X10" s="99"/>
      <c r="Y10" s="99"/>
      <c r="Z10" s="99"/>
      <c r="AA10" s="99"/>
      <c r="AB10" s="99"/>
      <c r="AD10" s="99"/>
      <c r="AE10" s="99"/>
      <c r="AF10" s="99"/>
      <c r="AG10" s="99"/>
      <c r="AH10" s="99"/>
      <c r="AI10" s="99"/>
      <c r="AK10" s="99"/>
      <c r="AL10" s="99"/>
      <c r="AM10" s="99"/>
      <c r="AN10" s="99"/>
      <c r="AO10" s="99"/>
      <c r="AP10" s="99"/>
      <c r="AR10" s="99"/>
      <c r="AS10" s="99"/>
      <c r="AT10" s="99"/>
      <c r="AU10" s="99"/>
      <c r="AV10" s="99"/>
      <c r="AW10" s="99"/>
      <c r="AY10" s="488"/>
      <c r="AZ10" s="488"/>
      <c r="BA10" s="488"/>
      <c r="BB10" s="488"/>
      <c r="BC10" s="488"/>
      <c r="BD10" s="488"/>
      <c r="BE10" s="488"/>
      <c r="BF10" s="488"/>
      <c r="BG10" s="488"/>
      <c r="BH10" s="488"/>
      <c r="BI10" s="488"/>
      <c r="BJ10" s="488"/>
      <c r="BK10" s="488"/>
      <c r="BL10" s="488"/>
      <c r="BM10" s="488"/>
      <c r="BN10" s="488"/>
      <c r="BO10" s="488"/>
      <c r="BP10" s="488"/>
      <c r="BQ10" s="488"/>
      <c r="BR10" s="488"/>
      <c r="BS10" s="488"/>
      <c r="BT10" s="488"/>
      <c r="BU10" s="488"/>
      <c r="BV10" s="488"/>
      <c r="BW10" s="488"/>
      <c r="BX10" s="488"/>
      <c r="BY10" s="488"/>
      <c r="BZ10" s="488"/>
      <c r="CA10" s="488"/>
      <c r="CB10" s="488"/>
      <c r="CC10" s="488"/>
      <c r="CD10" s="488"/>
      <c r="CE10" s="488"/>
      <c r="CF10" s="488"/>
      <c r="CG10" s="488"/>
      <c r="CH10" s="488"/>
      <c r="CI10" s="488"/>
      <c r="CJ10" s="488"/>
      <c r="CK10" s="488"/>
      <c r="CL10" s="488"/>
      <c r="CM10" s="488"/>
      <c r="CN10" s="488"/>
      <c r="CO10" s="488"/>
      <c r="CP10" s="488"/>
      <c r="CQ10" s="488"/>
      <c r="CR10" s="488"/>
      <c r="CS10" s="488"/>
      <c r="CT10" s="488"/>
      <c r="CU10" s="488"/>
      <c r="CV10" s="488"/>
      <c r="CW10" s="488"/>
      <c r="CX10" s="488"/>
      <c r="CY10" s="488"/>
      <c r="CZ10" s="488"/>
      <c r="DA10" s="488"/>
      <c r="DB10" s="488"/>
      <c r="DC10" s="488"/>
      <c r="DD10" s="488"/>
      <c r="DE10" s="488"/>
      <c r="DF10" s="488"/>
      <c r="DG10" s="488"/>
      <c r="DH10" s="488"/>
      <c r="DI10" s="488"/>
      <c r="DJ10" s="488"/>
      <c r="DK10" s="488"/>
      <c r="DL10" s="488"/>
      <c r="DM10" s="488"/>
      <c r="DN10" s="488"/>
      <c r="DO10" s="488"/>
      <c r="DP10" s="488"/>
      <c r="DQ10" s="488"/>
      <c r="DR10" s="488"/>
      <c r="DS10" s="488"/>
      <c r="DT10" s="488"/>
      <c r="DU10" s="488"/>
      <c r="DV10" s="488"/>
      <c r="DW10" s="488"/>
      <c r="DX10" s="488"/>
      <c r="DY10" s="488"/>
      <c r="DZ10" s="488"/>
      <c r="EA10" s="488"/>
      <c r="EB10" s="488"/>
      <c r="EC10" s="488"/>
      <c r="ED10" s="488"/>
      <c r="EE10" s="488"/>
      <c r="EF10" s="488"/>
      <c r="EG10" s="488"/>
      <c r="EH10" s="488"/>
      <c r="EI10" s="488"/>
      <c r="EJ10" s="488"/>
      <c r="EK10" s="488"/>
      <c r="EL10" s="488"/>
      <c r="EM10" s="488"/>
      <c r="EN10" s="488"/>
      <c r="EO10" s="488"/>
      <c r="EP10" s="488"/>
      <c r="EQ10" s="488"/>
      <c r="ER10" s="488"/>
      <c r="ES10" s="488"/>
      <c r="ET10" s="488"/>
      <c r="EU10" s="488"/>
      <c r="EV10" s="488"/>
      <c r="EW10" s="488"/>
      <c r="EX10" s="488"/>
      <c r="EY10" s="488"/>
      <c r="EZ10" s="488"/>
      <c r="FA10" s="488"/>
      <c r="FB10" s="488"/>
      <c r="FC10" s="488"/>
      <c r="FD10" s="488"/>
      <c r="FE10" s="488"/>
      <c r="FF10" s="488"/>
      <c r="FG10" s="488"/>
      <c r="FH10" s="488"/>
    </row>
    <row r="11" spans="1:164" ht="13.05" hidden="1" customHeight="1" x14ac:dyDescent="0.25">
      <c r="A11" t="str">
        <f>Nutrients!B10</f>
        <v>Alfalfa Meal</v>
      </c>
      <c r="B11" s="106"/>
      <c r="C11" s="106"/>
      <c r="D11" s="106"/>
      <c r="E11" s="106"/>
      <c r="F11" s="106"/>
      <c r="G11" s="106"/>
      <c r="H11" s="106"/>
      <c r="I11" s="106"/>
      <c r="J11" s="106"/>
      <c r="K11" s="106"/>
      <c r="L11" s="106"/>
      <c r="M11" s="106"/>
      <c r="N11" s="106"/>
      <c r="O11" s="29"/>
      <c r="P11" s="106"/>
      <c r="Q11" s="106"/>
      <c r="R11" s="106"/>
      <c r="S11" s="106"/>
      <c r="T11" s="106"/>
      <c r="U11" s="106"/>
      <c r="W11" s="106"/>
      <c r="X11" s="106"/>
      <c r="Y11" s="106"/>
      <c r="Z11" s="106"/>
      <c r="AA11" s="106"/>
      <c r="AB11" s="106"/>
      <c r="AD11" s="106"/>
      <c r="AE11" s="106"/>
      <c r="AF11" s="106"/>
      <c r="AG11" s="106"/>
      <c r="AH11" s="106"/>
      <c r="AI11" s="106"/>
      <c r="AK11" s="106"/>
      <c r="AL11" s="106"/>
      <c r="AM11" s="106"/>
      <c r="AN11" s="106"/>
      <c r="AO11" s="106"/>
      <c r="AP11" s="106"/>
      <c r="AR11" s="106"/>
      <c r="AS11" s="106"/>
      <c r="AT11" s="106"/>
      <c r="AU11" s="106"/>
      <c r="AV11" s="106"/>
      <c r="AW11" s="106"/>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row>
    <row r="12" spans="1:164" ht="13.05" hidden="1" customHeight="1" x14ac:dyDescent="0.25">
      <c r="A12" t="str">
        <f>Nutrients!B11</f>
        <v>Bakery Meal</v>
      </c>
      <c r="B12" s="106"/>
      <c r="C12" s="106"/>
      <c r="D12" s="106"/>
      <c r="E12" s="106"/>
      <c r="F12" s="106"/>
      <c r="G12" s="106"/>
      <c r="H12" s="106"/>
      <c r="I12" s="106"/>
      <c r="J12" s="106"/>
      <c r="K12" s="106"/>
      <c r="L12" s="106"/>
      <c r="M12" s="106"/>
      <c r="N12" s="106"/>
      <c r="O12" s="29"/>
      <c r="P12" s="106"/>
      <c r="Q12" s="106"/>
      <c r="R12" s="106"/>
      <c r="S12" s="106"/>
      <c r="T12" s="106"/>
      <c r="U12" s="106"/>
      <c r="W12" s="106"/>
      <c r="X12" s="106"/>
      <c r="Y12" s="106"/>
      <c r="Z12" s="106"/>
      <c r="AA12" s="106"/>
      <c r="AB12" s="106"/>
      <c r="AD12" s="106"/>
      <c r="AE12" s="106"/>
      <c r="AF12" s="106"/>
      <c r="AG12" s="106"/>
      <c r="AH12" s="106"/>
      <c r="AI12" s="106"/>
      <c r="AK12" s="106"/>
      <c r="AL12" s="106"/>
      <c r="AM12" s="106"/>
      <c r="AN12" s="106"/>
      <c r="AO12" s="106"/>
      <c r="AP12" s="106"/>
      <c r="AR12" s="106"/>
      <c r="AS12" s="106"/>
      <c r="AT12" s="106"/>
      <c r="AU12" s="106"/>
      <c r="AV12" s="106"/>
      <c r="AW12" s="106"/>
      <c r="AY12" s="488"/>
      <c r="AZ12" s="488"/>
      <c r="BA12" s="488"/>
      <c r="BB12" s="488"/>
      <c r="BC12" s="488"/>
      <c r="BD12" s="488"/>
      <c r="BE12" s="488"/>
      <c r="BF12" s="488"/>
      <c r="BG12" s="488"/>
      <c r="BH12" s="488"/>
      <c r="BI12" s="488"/>
      <c r="BJ12" s="488"/>
      <c r="BK12" s="488"/>
      <c r="BL12" s="488"/>
      <c r="BM12" s="488"/>
      <c r="BN12" s="488"/>
      <c r="BO12" s="488"/>
      <c r="BP12" s="488"/>
      <c r="BQ12" s="488"/>
      <c r="BR12" s="488"/>
      <c r="BS12" s="488"/>
      <c r="BT12" s="488"/>
      <c r="BU12" s="488"/>
      <c r="BV12" s="488"/>
      <c r="BW12" s="488"/>
      <c r="BX12" s="488"/>
      <c r="BY12" s="488"/>
      <c r="BZ12" s="488"/>
      <c r="CA12" s="488"/>
      <c r="CB12" s="488"/>
      <c r="CC12" s="488"/>
      <c r="CD12" s="488"/>
      <c r="CE12" s="488"/>
      <c r="CF12" s="488"/>
      <c r="CG12" s="488"/>
      <c r="CH12" s="488"/>
      <c r="CI12" s="488"/>
      <c r="CJ12" s="488"/>
      <c r="CK12" s="488"/>
      <c r="CL12" s="488"/>
      <c r="CM12" s="488"/>
      <c r="CN12" s="488"/>
      <c r="CO12" s="488"/>
      <c r="CP12" s="488"/>
      <c r="CQ12" s="488"/>
      <c r="CR12" s="488"/>
      <c r="CS12" s="488"/>
      <c r="CT12" s="488"/>
      <c r="CU12" s="488"/>
      <c r="CV12" s="488"/>
      <c r="CW12" s="488"/>
      <c r="CX12" s="488"/>
      <c r="CY12" s="488"/>
      <c r="CZ12" s="488"/>
      <c r="DA12" s="488"/>
      <c r="DB12" s="488"/>
      <c r="DC12" s="488"/>
      <c r="DD12" s="488"/>
      <c r="DE12" s="488"/>
      <c r="DF12" s="488"/>
      <c r="DG12" s="488"/>
      <c r="DH12" s="488"/>
      <c r="DI12" s="488"/>
      <c r="DJ12" s="488"/>
      <c r="DK12" s="488"/>
      <c r="DL12" s="488"/>
      <c r="DM12" s="488"/>
      <c r="DN12" s="488"/>
      <c r="DO12" s="488"/>
      <c r="DP12" s="488"/>
      <c r="DQ12" s="488"/>
      <c r="DR12" s="488"/>
      <c r="DS12" s="488"/>
      <c r="DT12" s="488"/>
      <c r="DU12" s="488"/>
      <c r="DV12" s="488"/>
      <c r="DW12" s="488"/>
      <c r="DX12" s="488"/>
      <c r="DY12" s="488"/>
      <c r="DZ12" s="488"/>
      <c r="EA12" s="488"/>
      <c r="EB12" s="488"/>
      <c r="EC12" s="488"/>
      <c r="ED12" s="488"/>
      <c r="EE12" s="488"/>
      <c r="EF12" s="488"/>
      <c r="EG12" s="488"/>
      <c r="EH12" s="488"/>
      <c r="EI12" s="488"/>
      <c r="EJ12" s="488"/>
      <c r="EK12" s="488"/>
      <c r="EL12" s="488"/>
      <c r="EM12" s="488"/>
      <c r="EN12" s="488"/>
      <c r="EO12" s="488"/>
      <c r="EP12" s="488"/>
      <c r="EQ12" s="488"/>
      <c r="ER12" s="488"/>
      <c r="ES12" s="488"/>
      <c r="ET12" s="488"/>
      <c r="EU12" s="488"/>
      <c r="EV12" s="488"/>
      <c r="EW12" s="488"/>
      <c r="EX12" s="488"/>
      <c r="EY12" s="488"/>
      <c r="EZ12" s="488"/>
      <c r="FA12" s="488"/>
      <c r="FB12" s="488"/>
      <c r="FC12" s="488"/>
      <c r="FD12" s="488"/>
      <c r="FE12" s="488"/>
      <c r="FF12" s="488"/>
      <c r="FG12" s="488"/>
      <c r="FH12" s="488"/>
    </row>
    <row r="13" spans="1:164" ht="13.05" hidden="1" customHeight="1" x14ac:dyDescent="0.25">
      <c r="A13" t="str">
        <f>Nutrients!B12</f>
        <v>Barley</v>
      </c>
      <c r="B13" s="99"/>
      <c r="C13" s="99"/>
      <c r="D13" s="99"/>
      <c r="E13" s="99"/>
      <c r="F13" s="99"/>
      <c r="G13" s="99"/>
      <c r="H13" s="99"/>
      <c r="I13" s="99"/>
      <c r="J13" s="99"/>
      <c r="K13" s="99"/>
      <c r="L13" s="99"/>
      <c r="M13" s="99"/>
      <c r="N13" s="99"/>
      <c r="O13" s="10"/>
      <c r="P13" s="99"/>
      <c r="Q13" s="99"/>
      <c r="R13" s="99"/>
      <c r="S13" s="99"/>
      <c r="T13" s="99"/>
      <c r="U13" s="99"/>
      <c r="W13" s="99"/>
      <c r="X13" s="99"/>
      <c r="Y13" s="99"/>
      <c r="Z13" s="99"/>
      <c r="AA13" s="99"/>
      <c r="AB13" s="99"/>
      <c r="AD13" s="99"/>
      <c r="AE13" s="99"/>
      <c r="AF13" s="99"/>
      <c r="AG13" s="99"/>
      <c r="AH13" s="99"/>
      <c r="AI13" s="99"/>
      <c r="AK13" s="99"/>
      <c r="AL13" s="99"/>
      <c r="AM13" s="99"/>
      <c r="AN13" s="99"/>
      <c r="AO13" s="99"/>
      <c r="AP13" s="99"/>
      <c r="AR13" s="99"/>
      <c r="AS13" s="99"/>
      <c r="AT13" s="99"/>
      <c r="AU13" s="99"/>
      <c r="AV13" s="99"/>
      <c r="AW13" s="99"/>
      <c r="AY13" s="488"/>
      <c r="AZ13" s="488"/>
      <c r="BA13" s="488"/>
      <c r="BB13" s="488"/>
      <c r="BC13" s="488"/>
      <c r="BD13" s="488"/>
      <c r="BE13" s="488"/>
      <c r="BF13" s="488"/>
      <c r="BG13" s="488"/>
      <c r="BH13" s="488"/>
      <c r="BI13" s="488"/>
      <c r="BJ13" s="488"/>
      <c r="BK13" s="488"/>
      <c r="BL13" s="488"/>
      <c r="BM13" s="488"/>
      <c r="BN13" s="488"/>
      <c r="BO13" s="488"/>
      <c r="BP13" s="488"/>
      <c r="BQ13" s="488"/>
      <c r="BR13" s="488"/>
      <c r="BS13" s="488"/>
      <c r="BT13" s="488"/>
      <c r="BU13" s="488"/>
      <c r="BV13" s="488"/>
      <c r="BW13" s="488"/>
      <c r="BX13" s="488"/>
      <c r="BY13" s="488"/>
      <c r="BZ13" s="488"/>
      <c r="CA13" s="488"/>
      <c r="CB13" s="488"/>
      <c r="CC13" s="488"/>
      <c r="CD13" s="488"/>
      <c r="CE13" s="488"/>
      <c r="CF13" s="488"/>
      <c r="CG13" s="488"/>
      <c r="CH13" s="488"/>
      <c r="CI13" s="488"/>
      <c r="CJ13" s="488"/>
      <c r="CK13" s="488"/>
      <c r="CL13" s="488"/>
      <c r="CM13" s="488"/>
      <c r="CN13" s="488"/>
      <c r="CO13" s="488"/>
      <c r="CP13" s="488"/>
      <c r="CQ13" s="488"/>
      <c r="CR13" s="488"/>
      <c r="CS13" s="488"/>
      <c r="CT13" s="488"/>
      <c r="CU13" s="488"/>
      <c r="CV13" s="488"/>
      <c r="CW13" s="488"/>
      <c r="CX13" s="488"/>
      <c r="CY13" s="488"/>
      <c r="CZ13" s="488"/>
      <c r="DA13" s="488"/>
      <c r="DB13" s="488"/>
      <c r="DC13" s="488"/>
      <c r="DD13" s="488"/>
      <c r="DE13" s="488"/>
      <c r="DF13" s="488"/>
      <c r="DG13" s="488"/>
      <c r="DH13" s="488"/>
      <c r="DI13" s="488"/>
      <c r="DJ13" s="488"/>
      <c r="DK13" s="488"/>
      <c r="DL13" s="488"/>
      <c r="DM13" s="488"/>
      <c r="DN13" s="488"/>
      <c r="DO13" s="488"/>
      <c r="DP13" s="488"/>
      <c r="DQ13" s="488"/>
      <c r="DR13" s="488"/>
      <c r="DS13" s="488"/>
      <c r="DT13" s="488"/>
      <c r="DU13" s="488"/>
      <c r="DV13" s="488"/>
      <c r="DW13" s="488"/>
      <c r="DX13" s="488"/>
      <c r="DY13" s="488"/>
      <c r="DZ13" s="488"/>
      <c r="EA13" s="488"/>
      <c r="EB13" s="488"/>
      <c r="EC13" s="488"/>
      <c r="ED13" s="488"/>
      <c r="EE13" s="488"/>
      <c r="EF13" s="488"/>
      <c r="EG13" s="488"/>
      <c r="EH13" s="488"/>
      <c r="EI13" s="488"/>
      <c r="EJ13" s="488"/>
      <c r="EK13" s="488"/>
      <c r="EL13" s="488"/>
      <c r="EM13" s="488"/>
      <c r="EN13" s="488"/>
      <c r="EO13" s="488"/>
      <c r="EP13" s="488"/>
      <c r="EQ13" s="488"/>
      <c r="ER13" s="488"/>
      <c r="ES13" s="488"/>
      <c r="ET13" s="488"/>
      <c r="EU13" s="488"/>
      <c r="EV13" s="488"/>
      <c r="EW13" s="488"/>
      <c r="EX13" s="488"/>
      <c r="EY13" s="488"/>
      <c r="EZ13" s="488"/>
      <c r="FA13" s="488"/>
      <c r="FB13" s="488"/>
      <c r="FC13" s="488"/>
      <c r="FD13" s="488"/>
      <c r="FE13" s="488"/>
      <c r="FF13" s="488"/>
      <c r="FG13" s="488"/>
      <c r="FH13" s="488"/>
    </row>
    <row r="14" spans="1:164" ht="13.05" hidden="1" customHeight="1" x14ac:dyDescent="0.25">
      <c r="A14" t="str">
        <f>Nutrients!B13</f>
        <v>Barley, Hulless</v>
      </c>
      <c r="B14" s="99"/>
      <c r="C14" s="99"/>
      <c r="D14" s="99"/>
      <c r="E14" s="99"/>
      <c r="F14" s="99"/>
      <c r="G14" s="99"/>
      <c r="H14" s="99"/>
      <c r="I14" s="99"/>
      <c r="J14" s="99"/>
      <c r="K14" s="99"/>
      <c r="L14" s="99"/>
      <c r="M14" s="99"/>
      <c r="N14" s="99"/>
      <c r="O14" s="10"/>
      <c r="P14" s="99"/>
      <c r="Q14" s="99"/>
      <c r="R14" s="99"/>
      <c r="S14" s="99"/>
      <c r="T14" s="99"/>
      <c r="U14" s="99"/>
      <c r="W14" s="99"/>
      <c r="X14" s="99"/>
      <c r="Y14" s="99"/>
      <c r="Z14" s="99"/>
      <c r="AA14" s="99"/>
      <c r="AB14" s="99"/>
      <c r="AD14" s="99"/>
      <c r="AE14" s="99"/>
      <c r="AF14" s="99"/>
      <c r="AG14" s="99"/>
      <c r="AH14" s="99"/>
      <c r="AI14" s="99"/>
      <c r="AK14" s="99"/>
      <c r="AL14" s="99"/>
      <c r="AM14" s="99"/>
      <c r="AN14" s="99"/>
      <c r="AO14" s="99"/>
      <c r="AP14" s="99"/>
      <c r="AR14" s="99"/>
      <c r="AS14" s="99"/>
      <c r="AT14" s="99"/>
      <c r="AU14" s="99"/>
      <c r="AV14" s="99"/>
      <c r="AW14" s="99"/>
      <c r="AY14" s="488"/>
      <c r="AZ14" s="488"/>
      <c r="BA14" s="488"/>
      <c r="BB14" s="488"/>
      <c r="BC14" s="488"/>
      <c r="BD14" s="488"/>
      <c r="BE14" s="488"/>
      <c r="BF14" s="488"/>
      <c r="BG14" s="488"/>
      <c r="BH14" s="488"/>
      <c r="BI14" s="488"/>
      <c r="BJ14" s="488"/>
      <c r="BK14" s="488"/>
      <c r="BL14" s="488"/>
      <c r="BM14" s="488"/>
      <c r="BN14" s="488"/>
      <c r="BO14" s="488"/>
      <c r="BP14" s="488"/>
      <c r="BQ14" s="488"/>
      <c r="BR14" s="488"/>
      <c r="BS14" s="488"/>
      <c r="BT14" s="488"/>
      <c r="BU14" s="488"/>
      <c r="BV14" s="488"/>
      <c r="BW14" s="488"/>
      <c r="BX14" s="488"/>
      <c r="BY14" s="488"/>
      <c r="BZ14" s="488"/>
      <c r="CA14" s="488"/>
      <c r="CB14" s="488"/>
      <c r="CC14" s="488"/>
      <c r="CD14" s="488"/>
      <c r="CE14" s="488"/>
      <c r="CF14" s="488"/>
      <c r="CG14" s="488"/>
      <c r="CH14" s="488"/>
      <c r="CI14" s="488"/>
      <c r="CJ14" s="488"/>
      <c r="CK14" s="488"/>
      <c r="CL14" s="488"/>
      <c r="CM14" s="488"/>
      <c r="CN14" s="488"/>
      <c r="CO14" s="488"/>
      <c r="CP14" s="488"/>
      <c r="CQ14" s="488"/>
      <c r="CR14" s="488"/>
      <c r="CS14" s="488"/>
      <c r="CT14" s="488"/>
      <c r="CU14" s="488"/>
      <c r="CV14" s="488"/>
      <c r="CW14" s="488"/>
      <c r="CX14" s="488"/>
      <c r="CY14" s="488"/>
      <c r="CZ14" s="488"/>
      <c r="DA14" s="488"/>
      <c r="DB14" s="488"/>
      <c r="DC14" s="488"/>
      <c r="DD14" s="488"/>
      <c r="DE14" s="488"/>
      <c r="DF14" s="488"/>
      <c r="DG14" s="488"/>
      <c r="DH14" s="488"/>
      <c r="DI14" s="488"/>
      <c r="DJ14" s="488"/>
      <c r="DK14" s="488"/>
      <c r="DL14" s="488"/>
      <c r="DM14" s="488"/>
      <c r="DN14" s="488"/>
      <c r="DO14" s="488"/>
      <c r="DP14" s="488"/>
      <c r="DQ14" s="488"/>
      <c r="DR14" s="488"/>
      <c r="DS14" s="488"/>
      <c r="DT14" s="488"/>
      <c r="DU14" s="488"/>
      <c r="DV14" s="488"/>
      <c r="DW14" s="488"/>
      <c r="DX14" s="488"/>
      <c r="DY14" s="488"/>
      <c r="DZ14" s="488"/>
      <c r="EA14" s="488"/>
      <c r="EB14" s="488"/>
      <c r="EC14" s="488"/>
      <c r="ED14" s="488"/>
      <c r="EE14" s="488"/>
      <c r="EF14" s="488"/>
      <c r="EG14" s="488"/>
      <c r="EH14" s="488"/>
      <c r="EI14" s="488"/>
      <c r="EJ14" s="488"/>
      <c r="EK14" s="488"/>
      <c r="EL14" s="488"/>
      <c r="EM14" s="488"/>
      <c r="EN14" s="488"/>
      <c r="EO14" s="488"/>
      <c r="EP14" s="488"/>
      <c r="EQ14" s="488"/>
      <c r="ER14" s="488"/>
      <c r="ES14" s="488"/>
      <c r="ET14" s="488"/>
      <c r="EU14" s="488"/>
      <c r="EV14" s="488"/>
      <c r="EW14" s="488"/>
      <c r="EX14" s="488"/>
      <c r="EY14" s="488"/>
      <c r="EZ14" s="488"/>
      <c r="FA14" s="488"/>
      <c r="FB14" s="488"/>
      <c r="FC14" s="488"/>
      <c r="FD14" s="488"/>
      <c r="FE14" s="488"/>
      <c r="FF14" s="488"/>
      <c r="FG14" s="488"/>
      <c r="FH14" s="488"/>
    </row>
    <row r="15" spans="1:164" ht="13.05" hidden="1" customHeight="1" x14ac:dyDescent="0.25">
      <c r="A15" t="str">
        <f>Nutrients!B14</f>
        <v>Beans, Faba</v>
      </c>
      <c r="B15" s="99"/>
      <c r="C15" s="99"/>
      <c r="D15" s="99"/>
      <c r="E15" s="99"/>
      <c r="F15" s="99"/>
      <c r="G15" s="99"/>
      <c r="H15" s="99"/>
      <c r="I15" s="99"/>
      <c r="J15" s="99"/>
      <c r="K15" s="99"/>
      <c r="L15" s="99"/>
      <c r="M15" s="99"/>
      <c r="N15" s="99"/>
      <c r="O15" s="10"/>
      <c r="P15" s="99"/>
      <c r="Q15" s="99"/>
      <c r="R15" s="99"/>
      <c r="S15" s="99"/>
      <c r="T15" s="99"/>
      <c r="U15" s="99"/>
      <c r="W15" s="99"/>
      <c r="X15" s="99"/>
      <c r="Y15" s="99"/>
      <c r="Z15" s="99"/>
      <c r="AA15" s="99"/>
      <c r="AB15" s="99"/>
      <c r="AD15" s="99"/>
      <c r="AE15" s="99"/>
      <c r="AF15" s="99"/>
      <c r="AG15" s="99"/>
      <c r="AH15" s="99"/>
      <c r="AI15" s="99"/>
      <c r="AK15" s="99"/>
      <c r="AL15" s="99"/>
      <c r="AM15" s="99"/>
      <c r="AN15" s="99"/>
      <c r="AO15" s="99"/>
      <c r="AP15" s="99"/>
      <c r="AR15" s="99"/>
      <c r="AS15" s="99"/>
      <c r="AT15" s="99"/>
      <c r="AU15" s="99"/>
      <c r="AV15" s="99"/>
      <c r="AW15" s="99"/>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c r="BY15" s="488"/>
      <c r="BZ15" s="488"/>
      <c r="CA15" s="488"/>
      <c r="CB15" s="488"/>
      <c r="CC15" s="488"/>
      <c r="CD15" s="488"/>
      <c r="CE15" s="488"/>
      <c r="CF15" s="488"/>
      <c r="CG15" s="488"/>
      <c r="CH15" s="488"/>
      <c r="CI15" s="488"/>
      <c r="CJ15" s="488"/>
      <c r="CK15" s="488"/>
      <c r="CL15" s="488"/>
      <c r="CM15" s="488"/>
      <c r="CN15" s="488"/>
      <c r="CO15" s="488"/>
      <c r="CP15" s="488"/>
      <c r="CQ15" s="488"/>
      <c r="CR15" s="488"/>
      <c r="CS15" s="488"/>
      <c r="CT15" s="488"/>
      <c r="CU15" s="488"/>
      <c r="CV15" s="488"/>
      <c r="CW15" s="488"/>
      <c r="CX15" s="488"/>
      <c r="CY15" s="488"/>
      <c r="CZ15" s="488"/>
      <c r="DA15" s="488"/>
      <c r="DB15" s="488"/>
      <c r="DC15" s="488"/>
      <c r="DD15" s="488"/>
      <c r="DE15" s="488"/>
      <c r="DF15" s="488"/>
      <c r="DG15" s="488"/>
      <c r="DH15" s="488"/>
      <c r="DI15" s="488"/>
      <c r="DJ15" s="488"/>
      <c r="DK15" s="488"/>
      <c r="DL15" s="488"/>
      <c r="DM15" s="488"/>
      <c r="DN15" s="488"/>
      <c r="DO15" s="488"/>
      <c r="DP15" s="488"/>
      <c r="DQ15" s="488"/>
      <c r="DR15" s="488"/>
      <c r="DS15" s="488"/>
      <c r="DT15" s="488"/>
      <c r="DU15" s="488"/>
      <c r="DV15" s="488"/>
      <c r="DW15" s="488"/>
      <c r="DX15" s="488"/>
      <c r="DY15" s="488"/>
      <c r="DZ15" s="488"/>
      <c r="EA15" s="488"/>
      <c r="EB15" s="488"/>
      <c r="EC15" s="488"/>
      <c r="ED15" s="488"/>
      <c r="EE15" s="488"/>
      <c r="EF15" s="488"/>
      <c r="EG15" s="488"/>
      <c r="EH15" s="488"/>
      <c r="EI15" s="488"/>
      <c r="EJ15" s="488"/>
      <c r="EK15" s="488"/>
      <c r="EL15" s="488"/>
      <c r="EM15" s="488"/>
      <c r="EN15" s="488"/>
      <c r="EO15" s="488"/>
      <c r="EP15" s="488"/>
      <c r="EQ15" s="488"/>
      <c r="ER15" s="488"/>
      <c r="ES15" s="488"/>
      <c r="ET15" s="488"/>
      <c r="EU15" s="488"/>
      <c r="EV15" s="488"/>
      <c r="EW15" s="488"/>
      <c r="EX15" s="488"/>
      <c r="EY15" s="488"/>
      <c r="EZ15" s="488"/>
      <c r="FA15" s="488"/>
      <c r="FB15" s="488"/>
      <c r="FC15" s="488"/>
      <c r="FD15" s="488"/>
      <c r="FE15" s="488"/>
      <c r="FF15" s="488"/>
      <c r="FG15" s="488"/>
      <c r="FH15" s="488"/>
    </row>
    <row r="16" spans="1:164" ht="13.05" hidden="1" customHeight="1" x14ac:dyDescent="0.25">
      <c r="A16" t="str">
        <f>Nutrients!B15</f>
        <v>Blood Meal</v>
      </c>
      <c r="B16" s="99"/>
      <c r="C16" s="99"/>
      <c r="D16" s="99"/>
      <c r="E16" s="99"/>
      <c r="F16" s="99"/>
      <c r="G16" s="99"/>
      <c r="H16" s="99"/>
      <c r="I16" s="99"/>
      <c r="J16" s="99"/>
      <c r="K16" s="99"/>
      <c r="L16" s="99"/>
      <c r="M16" s="99"/>
      <c r="N16" s="99"/>
      <c r="O16" s="10"/>
      <c r="P16" s="99"/>
      <c r="Q16" s="99"/>
      <c r="R16" s="99"/>
      <c r="S16" s="99"/>
      <c r="T16" s="99"/>
      <c r="U16" s="99"/>
      <c r="W16" s="99"/>
      <c r="X16" s="99"/>
      <c r="Y16" s="99"/>
      <c r="Z16" s="99"/>
      <c r="AA16" s="99"/>
      <c r="AB16" s="99"/>
      <c r="AD16" s="99"/>
      <c r="AE16" s="99"/>
      <c r="AF16" s="99"/>
      <c r="AG16" s="99"/>
      <c r="AH16" s="99"/>
      <c r="AI16" s="99"/>
      <c r="AK16" s="99"/>
      <c r="AL16" s="99"/>
      <c r="AM16" s="99"/>
      <c r="AN16" s="99"/>
      <c r="AO16" s="99"/>
      <c r="AP16" s="99"/>
      <c r="AR16" s="99"/>
      <c r="AS16" s="99"/>
      <c r="AT16" s="99"/>
      <c r="AU16" s="99"/>
      <c r="AV16" s="99"/>
      <c r="AW16" s="99"/>
      <c r="AY16" s="488"/>
      <c r="AZ16" s="488"/>
      <c r="BA16" s="488"/>
      <c r="BB16" s="488"/>
      <c r="BC16" s="488"/>
      <c r="BD16" s="488"/>
      <c r="BE16" s="488"/>
      <c r="BF16" s="488"/>
      <c r="BG16" s="488"/>
      <c r="BH16" s="488"/>
      <c r="BI16" s="488"/>
      <c r="BJ16" s="488"/>
      <c r="BK16" s="488"/>
      <c r="BL16" s="488"/>
      <c r="BM16" s="488"/>
      <c r="BN16" s="488"/>
      <c r="BO16" s="488"/>
      <c r="BP16" s="488"/>
      <c r="BQ16" s="488"/>
      <c r="BR16" s="488"/>
      <c r="BS16" s="488"/>
      <c r="BT16" s="488"/>
      <c r="BU16" s="488"/>
      <c r="BV16" s="488"/>
      <c r="BW16" s="488"/>
      <c r="BX16" s="488"/>
      <c r="BY16" s="488"/>
      <c r="BZ16" s="488"/>
      <c r="CA16" s="488"/>
      <c r="CB16" s="488"/>
      <c r="CC16" s="488"/>
      <c r="CD16" s="488"/>
      <c r="CE16" s="488"/>
      <c r="CF16" s="488"/>
      <c r="CG16" s="488"/>
      <c r="CH16" s="488"/>
      <c r="CI16" s="488"/>
      <c r="CJ16" s="488"/>
      <c r="CK16" s="488"/>
      <c r="CL16" s="488"/>
      <c r="CM16" s="488"/>
      <c r="CN16" s="488"/>
      <c r="CO16" s="488"/>
      <c r="CP16" s="488"/>
      <c r="CQ16" s="488"/>
      <c r="CR16" s="488"/>
      <c r="CS16" s="488"/>
      <c r="CT16" s="488"/>
      <c r="CU16" s="488"/>
      <c r="CV16" s="488"/>
      <c r="CW16" s="488"/>
      <c r="CX16" s="488"/>
      <c r="CY16" s="488"/>
      <c r="CZ16" s="488"/>
      <c r="DA16" s="488"/>
      <c r="DB16" s="488"/>
      <c r="DC16" s="488"/>
      <c r="DD16" s="488"/>
      <c r="DE16" s="488"/>
      <c r="DF16" s="488"/>
      <c r="DG16" s="488"/>
      <c r="DH16" s="488"/>
      <c r="DI16" s="488"/>
      <c r="DJ16" s="488"/>
      <c r="DK16" s="488"/>
      <c r="DL16" s="488"/>
      <c r="DM16" s="488"/>
      <c r="DN16" s="488"/>
      <c r="DO16" s="488"/>
      <c r="DP16" s="488"/>
      <c r="DQ16" s="488"/>
      <c r="DR16" s="488"/>
      <c r="DS16" s="488"/>
      <c r="DT16" s="488"/>
      <c r="DU16" s="488"/>
      <c r="DV16" s="488"/>
      <c r="DW16" s="488"/>
      <c r="DX16" s="488"/>
      <c r="DY16" s="488"/>
      <c r="DZ16" s="488"/>
      <c r="EA16" s="488"/>
      <c r="EB16" s="488"/>
      <c r="EC16" s="488"/>
      <c r="ED16" s="488"/>
      <c r="EE16" s="488"/>
      <c r="EF16" s="488"/>
      <c r="EG16" s="488"/>
      <c r="EH16" s="488"/>
      <c r="EI16" s="488"/>
      <c r="EJ16" s="488"/>
      <c r="EK16" s="488"/>
      <c r="EL16" s="488"/>
      <c r="EM16" s="488"/>
      <c r="EN16" s="488"/>
      <c r="EO16" s="488"/>
      <c r="EP16" s="488"/>
      <c r="EQ16" s="488"/>
      <c r="ER16" s="488"/>
      <c r="ES16" s="488"/>
      <c r="ET16" s="488"/>
      <c r="EU16" s="488"/>
      <c r="EV16" s="488"/>
      <c r="EW16" s="488"/>
      <c r="EX16" s="488"/>
      <c r="EY16" s="488"/>
      <c r="EZ16" s="488"/>
      <c r="FA16" s="488"/>
      <c r="FB16" s="488"/>
      <c r="FC16" s="488"/>
      <c r="FD16" s="488"/>
      <c r="FE16" s="488"/>
      <c r="FF16" s="488"/>
      <c r="FG16" s="488"/>
      <c r="FH16" s="488"/>
    </row>
    <row r="17" spans="1:164" ht="13.05" hidden="1" customHeight="1" x14ac:dyDescent="0.25">
      <c r="A17" t="str">
        <f>Nutrients!B16</f>
        <v>Blood Plasma</v>
      </c>
      <c r="B17" s="99"/>
      <c r="C17" s="99"/>
      <c r="D17" s="99"/>
      <c r="E17" s="99"/>
      <c r="F17" s="99"/>
      <c r="G17" s="99"/>
      <c r="H17" s="99"/>
      <c r="I17" s="99"/>
      <c r="J17" s="99"/>
      <c r="K17" s="99"/>
      <c r="L17" s="99"/>
      <c r="M17" s="99"/>
      <c r="N17" s="99"/>
      <c r="O17" s="10"/>
      <c r="P17" s="99"/>
      <c r="Q17" s="99"/>
      <c r="R17" s="99"/>
      <c r="S17" s="99"/>
      <c r="T17" s="99"/>
      <c r="U17" s="99"/>
      <c r="W17" s="99"/>
      <c r="X17" s="99"/>
      <c r="Y17" s="99"/>
      <c r="Z17" s="99"/>
      <c r="AA17" s="99"/>
      <c r="AB17" s="99"/>
      <c r="AD17" s="99"/>
      <c r="AE17" s="99"/>
      <c r="AF17" s="99"/>
      <c r="AG17" s="99"/>
      <c r="AH17" s="99"/>
      <c r="AI17" s="99"/>
      <c r="AK17" s="99"/>
      <c r="AL17" s="99"/>
      <c r="AM17" s="99"/>
      <c r="AN17" s="99"/>
      <c r="AO17" s="99"/>
      <c r="AP17" s="99"/>
      <c r="AR17" s="99"/>
      <c r="AS17" s="99"/>
      <c r="AT17" s="99"/>
      <c r="AU17" s="99"/>
      <c r="AV17" s="99"/>
      <c r="AW17" s="99"/>
      <c r="AY17" s="488"/>
      <c r="AZ17" s="488"/>
      <c r="BA17" s="488"/>
      <c r="BB17" s="488"/>
      <c r="BC17" s="488"/>
      <c r="BD17" s="488"/>
      <c r="BE17" s="488"/>
      <c r="BF17" s="488"/>
      <c r="BG17" s="488"/>
      <c r="BH17" s="488"/>
      <c r="BI17" s="488"/>
      <c r="BJ17" s="488"/>
      <c r="BK17" s="488"/>
      <c r="BL17" s="488"/>
      <c r="BM17" s="488"/>
      <c r="BN17" s="488"/>
      <c r="BO17" s="488"/>
      <c r="BP17" s="488"/>
      <c r="BQ17" s="488"/>
      <c r="BR17" s="488"/>
      <c r="BS17" s="488"/>
      <c r="BT17" s="488"/>
      <c r="BU17" s="488"/>
      <c r="BV17" s="488"/>
      <c r="BW17" s="488"/>
      <c r="BX17" s="488"/>
      <c r="BY17" s="488"/>
      <c r="BZ17" s="488"/>
      <c r="CA17" s="488"/>
      <c r="CB17" s="488"/>
      <c r="CC17" s="488"/>
      <c r="CD17" s="488"/>
      <c r="CE17" s="488"/>
      <c r="CF17" s="488"/>
      <c r="CG17" s="488"/>
      <c r="CH17" s="488"/>
      <c r="CI17" s="488"/>
      <c r="CJ17" s="488"/>
      <c r="CK17" s="488"/>
      <c r="CL17" s="488"/>
      <c r="CM17" s="488"/>
      <c r="CN17" s="488"/>
      <c r="CO17" s="488"/>
      <c r="CP17" s="488"/>
      <c r="CQ17" s="488"/>
      <c r="CR17" s="488"/>
      <c r="CS17" s="488"/>
      <c r="CT17" s="488"/>
      <c r="CU17" s="488"/>
      <c r="CV17" s="488"/>
      <c r="CW17" s="488"/>
      <c r="CX17" s="488"/>
      <c r="CY17" s="488"/>
      <c r="CZ17" s="488"/>
      <c r="DA17" s="488"/>
      <c r="DB17" s="488"/>
      <c r="DC17" s="488"/>
      <c r="DD17" s="488"/>
      <c r="DE17" s="488"/>
      <c r="DF17" s="488"/>
      <c r="DG17" s="488"/>
      <c r="DH17" s="488"/>
      <c r="DI17" s="488"/>
      <c r="DJ17" s="488"/>
      <c r="DK17" s="488"/>
      <c r="DL17" s="488"/>
      <c r="DM17" s="488"/>
      <c r="DN17" s="488"/>
      <c r="DO17" s="488"/>
      <c r="DP17" s="488"/>
      <c r="DQ17" s="488"/>
      <c r="DR17" s="488"/>
      <c r="DS17" s="488"/>
      <c r="DT17" s="488"/>
      <c r="DU17" s="488"/>
      <c r="DV17" s="488"/>
      <c r="DW17" s="488"/>
      <c r="DX17" s="488"/>
      <c r="DY17" s="488"/>
      <c r="DZ17" s="488"/>
      <c r="EA17" s="488"/>
      <c r="EB17" s="488"/>
      <c r="EC17" s="488"/>
      <c r="ED17" s="488"/>
      <c r="EE17" s="488"/>
      <c r="EF17" s="488"/>
      <c r="EG17" s="488"/>
      <c r="EH17" s="488"/>
      <c r="EI17" s="488"/>
      <c r="EJ17" s="488"/>
      <c r="EK17" s="488"/>
      <c r="EL17" s="488"/>
      <c r="EM17" s="488"/>
      <c r="EN17" s="488"/>
      <c r="EO17" s="488"/>
      <c r="EP17" s="488"/>
      <c r="EQ17" s="488"/>
      <c r="ER17" s="488"/>
      <c r="ES17" s="488"/>
      <c r="ET17" s="488"/>
      <c r="EU17" s="488"/>
      <c r="EV17" s="488"/>
      <c r="EW17" s="488"/>
      <c r="EX17" s="488"/>
      <c r="EY17" s="488"/>
      <c r="EZ17" s="488"/>
      <c r="FA17" s="488"/>
      <c r="FB17" s="488"/>
      <c r="FC17" s="488"/>
      <c r="FD17" s="488"/>
      <c r="FE17" s="488"/>
      <c r="FF17" s="488"/>
      <c r="FG17" s="488"/>
      <c r="FH17" s="488"/>
    </row>
    <row r="18" spans="1:164" ht="13.05" hidden="1" customHeight="1" x14ac:dyDescent="0.25">
      <c r="A18" t="str">
        <f>Nutrients!B17</f>
        <v>Brewers Grain</v>
      </c>
      <c r="B18" s="99"/>
      <c r="C18" s="99"/>
      <c r="D18" s="99"/>
      <c r="E18" s="99"/>
      <c r="F18" s="99"/>
      <c r="G18" s="99"/>
      <c r="H18" s="99"/>
      <c r="I18" s="99"/>
      <c r="J18" s="99"/>
      <c r="K18" s="99"/>
      <c r="L18" s="99"/>
      <c r="M18" s="99"/>
      <c r="N18" s="99"/>
      <c r="O18" s="10"/>
      <c r="P18" s="99"/>
      <c r="Q18" s="99"/>
      <c r="R18" s="99"/>
      <c r="S18" s="99"/>
      <c r="T18" s="99"/>
      <c r="U18" s="99"/>
      <c r="W18" s="99"/>
      <c r="X18" s="99"/>
      <c r="Y18" s="99"/>
      <c r="Z18" s="99"/>
      <c r="AA18" s="99"/>
      <c r="AB18" s="99"/>
      <c r="AD18" s="99"/>
      <c r="AE18" s="99"/>
      <c r="AF18" s="99"/>
      <c r="AG18" s="99"/>
      <c r="AH18" s="99"/>
      <c r="AI18" s="99"/>
      <c r="AK18" s="99"/>
      <c r="AL18" s="99"/>
      <c r="AM18" s="99"/>
      <c r="AN18" s="99"/>
      <c r="AO18" s="99"/>
      <c r="AP18" s="99"/>
      <c r="AR18" s="99"/>
      <c r="AS18" s="99"/>
      <c r="AT18" s="99"/>
      <c r="AU18" s="99"/>
      <c r="AV18" s="99"/>
      <c r="AW18" s="99"/>
      <c r="AY18" s="488"/>
      <c r="AZ18" s="488"/>
      <c r="BA18" s="488"/>
      <c r="BB18" s="488"/>
      <c r="BC18" s="488"/>
      <c r="BD18" s="488"/>
      <c r="BE18" s="488"/>
      <c r="BF18" s="488"/>
      <c r="BG18" s="488"/>
      <c r="BH18" s="488"/>
      <c r="BI18" s="488"/>
      <c r="BJ18" s="488"/>
      <c r="BK18" s="488"/>
      <c r="BL18" s="488"/>
      <c r="BM18" s="488"/>
      <c r="BN18" s="488"/>
      <c r="BO18" s="488"/>
      <c r="BP18" s="488"/>
      <c r="BQ18" s="488"/>
      <c r="BR18" s="488"/>
      <c r="BS18" s="488"/>
      <c r="BT18" s="488"/>
      <c r="BU18" s="488"/>
      <c r="BV18" s="488"/>
      <c r="BW18" s="488"/>
      <c r="BX18" s="488"/>
      <c r="BY18" s="488"/>
      <c r="BZ18" s="488"/>
      <c r="CA18" s="488"/>
      <c r="CB18" s="488"/>
      <c r="CC18" s="488"/>
      <c r="CD18" s="488"/>
      <c r="CE18" s="488"/>
      <c r="CF18" s="488"/>
      <c r="CG18" s="488"/>
      <c r="CH18" s="488"/>
      <c r="CI18" s="488"/>
      <c r="CJ18" s="488"/>
      <c r="CK18" s="488"/>
      <c r="CL18" s="488"/>
      <c r="CM18" s="488"/>
      <c r="CN18" s="488"/>
      <c r="CO18" s="488"/>
      <c r="CP18" s="488"/>
      <c r="CQ18" s="488"/>
      <c r="CR18" s="488"/>
      <c r="CS18" s="488"/>
      <c r="CT18" s="488"/>
      <c r="CU18" s="488"/>
      <c r="CV18" s="488"/>
      <c r="CW18" s="488"/>
      <c r="CX18" s="488"/>
      <c r="CY18" s="488"/>
      <c r="CZ18" s="488"/>
      <c r="DA18" s="488"/>
      <c r="DB18" s="488"/>
      <c r="DC18" s="488"/>
      <c r="DD18" s="488"/>
      <c r="DE18" s="488"/>
      <c r="DF18" s="488"/>
      <c r="DG18" s="488"/>
      <c r="DH18" s="488"/>
      <c r="DI18" s="488"/>
      <c r="DJ18" s="488"/>
      <c r="DK18" s="488"/>
      <c r="DL18" s="488"/>
      <c r="DM18" s="488"/>
      <c r="DN18" s="488"/>
      <c r="DO18" s="488"/>
      <c r="DP18" s="488"/>
      <c r="DQ18" s="488"/>
      <c r="DR18" s="488"/>
      <c r="DS18" s="488"/>
      <c r="DT18" s="488"/>
      <c r="DU18" s="488"/>
      <c r="DV18" s="488"/>
      <c r="DW18" s="488"/>
      <c r="DX18" s="488"/>
      <c r="DY18" s="488"/>
      <c r="DZ18" s="488"/>
      <c r="EA18" s="488"/>
      <c r="EB18" s="488"/>
      <c r="EC18" s="488"/>
      <c r="ED18" s="488"/>
      <c r="EE18" s="488"/>
      <c r="EF18" s="488"/>
      <c r="EG18" s="488"/>
      <c r="EH18" s="488"/>
      <c r="EI18" s="488"/>
      <c r="EJ18" s="488"/>
      <c r="EK18" s="488"/>
      <c r="EL18" s="488"/>
      <c r="EM18" s="488"/>
      <c r="EN18" s="488"/>
      <c r="EO18" s="488"/>
      <c r="EP18" s="488"/>
      <c r="EQ18" s="488"/>
      <c r="ER18" s="488"/>
      <c r="ES18" s="488"/>
      <c r="ET18" s="488"/>
      <c r="EU18" s="488"/>
      <c r="EV18" s="488"/>
      <c r="EW18" s="488"/>
      <c r="EX18" s="488"/>
      <c r="EY18" s="488"/>
      <c r="EZ18" s="488"/>
      <c r="FA18" s="488"/>
      <c r="FB18" s="488"/>
      <c r="FC18" s="488"/>
      <c r="FD18" s="488"/>
      <c r="FE18" s="488"/>
      <c r="FF18" s="488"/>
      <c r="FG18" s="488"/>
      <c r="FH18" s="488"/>
    </row>
    <row r="19" spans="1:164" ht="13.05" hidden="1" customHeight="1" x14ac:dyDescent="0.25">
      <c r="A19" t="str">
        <f>Nutrients!B18</f>
        <v>Canola, Full Fat</v>
      </c>
      <c r="B19" s="99"/>
      <c r="C19" s="99"/>
      <c r="D19" s="99"/>
      <c r="E19" s="99"/>
      <c r="F19" s="99"/>
      <c r="G19" s="99"/>
      <c r="H19" s="99"/>
      <c r="I19" s="99"/>
      <c r="J19" s="99"/>
      <c r="K19" s="99"/>
      <c r="L19" s="99"/>
      <c r="M19" s="99"/>
      <c r="N19" s="99"/>
      <c r="O19" s="10"/>
      <c r="P19" s="99"/>
      <c r="Q19" s="99"/>
      <c r="R19" s="99"/>
      <c r="S19" s="99"/>
      <c r="T19" s="99"/>
      <c r="U19" s="99"/>
      <c r="W19" s="99"/>
      <c r="X19" s="99"/>
      <c r="Y19" s="99"/>
      <c r="Z19" s="99"/>
      <c r="AA19" s="99"/>
      <c r="AB19" s="99"/>
      <c r="AD19" s="99"/>
      <c r="AE19" s="99"/>
      <c r="AF19" s="99"/>
      <c r="AG19" s="99"/>
      <c r="AH19" s="99"/>
      <c r="AI19" s="99"/>
      <c r="AK19" s="99"/>
      <c r="AL19" s="99"/>
      <c r="AM19" s="99"/>
      <c r="AN19" s="99"/>
      <c r="AO19" s="99"/>
      <c r="AP19" s="99"/>
      <c r="AR19" s="99"/>
      <c r="AS19" s="99"/>
      <c r="AT19" s="99"/>
      <c r="AU19" s="99"/>
      <c r="AV19" s="99"/>
      <c r="AW19" s="99"/>
      <c r="AY19" s="488"/>
      <c r="AZ19" s="488"/>
      <c r="BA19" s="488"/>
      <c r="BB19" s="488"/>
      <c r="BC19" s="488"/>
      <c r="BD19" s="488"/>
      <c r="BE19" s="488"/>
      <c r="BF19" s="488"/>
      <c r="BG19" s="488"/>
      <c r="BH19" s="488"/>
      <c r="BI19" s="488"/>
      <c r="BJ19" s="488"/>
      <c r="BK19" s="488"/>
      <c r="BL19" s="488"/>
      <c r="BM19" s="488"/>
      <c r="BN19" s="488"/>
      <c r="BO19" s="488"/>
      <c r="BP19" s="488"/>
      <c r="BQ19" s="488"/>
      <c r="BR19" s="488"/>
      <c r="BS19" s="488"/>
      <c r="BT19" s="488"/>
      <c r="BU19" s="488"/>
      <c r="BV19" s="488"/>
      <c r="BW19" s="488"/>
      <c r="BX19" s="488"/>
      <c r="BY19" s="488"/>
      <c r="BZ19" s="488"/>
      <c r="CA19" s="488"/>
      <c r="CB19" s="488"/>
      <c r="CC19" s="488"/>
      <c r="CD19" s="488"/>
      <c r="CE19" s="488"/>
      <c r="CF19" s="488"/>
      <c r="CG19" s="488"/>
      <c r="CH19" s="488"/>
      <c r="CI19" s="488"/>
      <c r="CJ19" s="488"/>
      <c r="CK19" s="488"/>
      <c r="CL19" s="488"/>
      <c r="CM19" s="488"/>
      <c r="CN19" s="488"/>
      <c r="CO19" s="488"/>
      <c r="CP19" s="488"/>
      <c r="CQ19" s="488"/>
      <c r="CR19" s="488"/>
      <c r="CS19" s="488"/>
      <c r="CT19" s="488"/>
      <c r="CU19" s="488"/>
      <c r="CV19" s="488"/>
      <c r="CW19" s="488"/>
      <c r="CX19" s="488"/>
      <c r="CY19" s="488"/>
      <c r="CZ19" s="488"/>
      <c r="DA19" s="488"/>
      <c r="DB19" s="488"/>
      <c r="DC19" s="488"/>
      <c r="DD19" s="488"/>
      <c r="DE19" s="488"/>
      <c r="DF19" s="488"/>
      <c r="DG19" s="488"/>
      <c r="DH19" s="488"/>
      <c r="DI19" s="488"/>
      <c r="DJ19" s="488"/>
      <c r="DK19" s="488"/>
      <c r="DL19" s="488"/>
      <c r="DM19" s="488"/>
      <c r="DN19" s="488"/>
      <c r="DO19" s="488"/>
      <c r="DP19" s="488"/>
      <c r="DQ19" s="488"/>
      <c r="DR19" s="488"/>
      <c r="DS19" s="488"/>
      <c r="DT19" s="488"/>
      <c r="DU19" s="488"/>
      <c r="DV19" s="488"/>
      <c r="DW19" s="488"/>
      <c r="DX19" s="488"/>
      <c r="DY19" s="488"/>
      <c r="DZ19" s="488"/>
      <c r="EA19" s="488"/>
      <c r="EB19" s="488"/>
      <c r="EC19" s="488"/>
      <c r="ED19" s="488"/>
      <c r="EE19" s="488"/>
      <c r="EF19" s="488"/>
      <c r="EG19" s="488"/>
      <c r="EH19" s="488"/>
      <c r="EI19" s="488"/>
      <c r="EJ19" s="488"/>
      <c r="EK19" s="488"/>
      <c r="EL19" s="488"/>
      <c r="EM19" s="488"/>
      <c r="EN19" s="488"/>
      <c r="EO19" s="488"/>
      <c r="EP19" s="488"/>
      <c r="EQ19" s="488"/>
      <c r="ER19" s="488"/>
      <c r="ES19" s="488"/>
      <c r="ET19" s="488"/>
      <c r="EU19" s="488"/>
      <c r="EV19" s="488"/>
      <c r="EW19" s="488"/>
      <c r="EX19" s="488"/>
      <c r="EY19" s="488"/>
      <c r="EZ19" s="488"/>
      <c r="FA19" s="488"/>
      <c r="FB19" s="488"/>
      <c r="FC19" s="488"/>
      <c r="FD19" s="488"/>
      <c r="FE19" s="488"/>
      <c r="FF19" s="488"/>
      <c r="FG19" s="488"/>
      <c r="FH19" s="488"/>
    </row>
    <row r="20" spans="1:164" ht="13.05" hidden="1" customHeight="1" x14ac:dyDescent="0.25">
      <c r="A20" t="str">
        <f>Nutrients!B19</f>
        <v>Canola Meal, Expelled</v>
      </c>
      <c r="B20" s="99"/>
      <c r="C20" s="99"/>
      <c r="D20" s="99"/>
      <c r="E20" s="99"/>
      <c r="F20" s="99"/>
      <c r="G20" s="99"/>
      <c r="H20" s="99"/>
      <c r="I20" s="99"/>
      <c r="J20" s="99"/>
      <c r="K20" s="99"/>
      <c r="L20" s="99"/>
      <c r="M20" s="99"/>
      <c r="N20" s="99"/>
      <c r="O20" s="10"/>
      <c r="P20" s="99"/>
      <c r="Q20" s="99"/>
      <c r="R20" s="99"/>
      <c r="S20" s="99"/>
      <c r="T20" s="99"/>
      <c r="U20" s="99"/>
      <c r="W20" s="99"/>
      <c r="X20" s="99"/>
      <c r="Y20" s="99"/>
      <c r="Z20" s="99"/>
      <c r="AA20" s="99"/>
      <c r="AB20" s="99"/>
      <c r="AD20" s="99"/>
      <c r="AE20" s="99"/>
      <c r="AF20" s="99"/>
      <c r="AG20" s="99"/>
      <c r="AH20" s="99"/>
      <c r="AI20" s="99"/>
      <c r="AK20" s="99"/>
      <c r="AL20" s="99"/>
      <c r="AM20" s="99"/>
      <c r="AN20" s="99"/>
      <c r="AO20" s="99"/>
      <c r="AP20" s="99"/>
      <c r="AR20" s="99"/>
      <c r="AS20" s="99"/>
      <c r="AT20" s="99"/>
      <c r="AU20" s="99"/>
      <c r="AV20" s="99"/>
      <c r="AW20" s="99"/>
      <c r="AY20" s="488"/>
      <c r="AZ20" s="488"/>
      <c r="BA20" s="488"/>
      <c r="BB20" s="488"/>
      <c r="BC20" s="488"/>
      <c r="BD20" s="488"/>
      <c r="BE20" s="488"/>
      <c r="BF20" s="488"/>
      <c r="BG20" s="488"/>
      <c r="BH20" s="488"/>
      <c r="BI20" s="488"/>
      <c r="BJ20" s="488"/>
      <c r="BK20" s="488"/>
      <c r="BL20" s="488"/>
      <c r="BM20" s="488"/>
      <c r="BN20" s="488"/>
      <c r="BO20" s="488"/>
      <c r="BP20" s="488"/>
      <c r="BQ20" s="488"/>
      <c r="BR20" s="488"/>
      <c r="BS20" s="488"/>
      <c r="BT20" s="488"/>
      <c r="BU20" s="488"/>
      <c r="BV20" s="488"/>
      <c r="BW20" s="488"/>
      <c r="BX20" s="488"/>
      <c r="BY20" s="488"/>
      <c r="BZ20" s="488"/>
      <c r="CA20" s="488"/>
      <c r="CB20" s="488"/>
      <c r="CC20" s="488"/>
      <c r="CD20" s="488"/>
      <c r="CE20" s="488"/>
      <c r="CF20" s="488"/>
      <c r="CG20" s="488"/>
      <c r="CH20" s="488"/>
      <c r="CI20" s="488"/>
      <c r="CJ20" s="488"/>
      <c r="CK20" s="488"/>
      <c r="CL20" s="488"/>
      <c r="CM20" s="488"/>
      <c r="CN20" s="488"/>
      <c r="CO20" s="488"/>
      <c r="CP20" s="488"/>
      <c r="CQ20" s="488"/>
      <c r="CR20" s="488"/>
      <c r="CS20" s="488"/>
      <c r="CT20" s="488"/>
      <c r="CU20" s="488"/>
      <c r="CV20" s="488"/>
      <c r="CW20" s="488"/>
      <c r="CX20" s="488"/>
      <c r="CY20" s="488"/>
      <c r="CZ20" s="488"/>
      <c r="DA20" s="488"/>
      <c r="DB20" s="488"/>
      <c r="DC20" s="488"/>
      <c r="DD20" s="488"/>
      <c r="DE20" s="488"/>
      <c r="DF20" s="488"/>
      <c r="DG20" s="488"/>
      <c r="DH20" s="488"/>
      <c r="DI20" s="488"/>
      <c r="DJ20" s="488"/>
      <c r="DK20" s="488"/>
      <c r="DL20" s="488"/>
      <c r="DM20" s="488"/>
      <c r="DN20" s="488"/>
      <c r="DO20" s="488"/>
      <c r="DP20" s="488"/>
      <c r="DQ20" s="488"/>
      <c r="DR20" s="488"/>
      <c r="DS20" s="488"/>
      <c r="DT20" s="488"/>
      <c r="DU20" s="488"/>
      <c r="DV20" s="488"/>
      <c r="DW20" s="488"/>
      <c r="DX20" s="488"/>
      <c r="DY20" s="488"/>
      <c r="DZ20" s="488"/>
      <c r="EA20" s="488"/>
      <c r="EB20" s="488"/>
      <c r="EC20" s="488"/>
      <c r="ED20" s="488"/>
      <c r="EE20" s="488"/>
      <c r="EF20" s="488"/>
      <c r="EG20" s="488"/>
      <c r="EH20" s="488"/>
      <c r="EI20" s="488"/>
      <c r="EJ20" s="488"/>
      <c r="EK20" s="488"/>
      <c r="EL20" s="488"/>
      <c r="EM20" s="488"/>
      <c r="EN20" s="488"/>
      <c r="EO20" s="488"/>
      <c r="EP20" s="488"/>
      <c r="EQ20" s="488"/>
      <c r="ER20" s="488"/>
      <c r="ES20" s="488"/>
      <c r="ET20" s="488"/>
      <c r="EU20" s="488"/>
      <c r="EV20" s="488"/>
      <c r="EW20" s="488"/>
      <c r="EX20" s="488"/>
      <c r="EY20" s="488"/>
      <c r="EZ20" s="488"/>
      <c r="FA20" s="488"/>
      <c r="FB20" s="488"/>
      <c r="FC20" s="488"/>
      <c r="FD20" s="488"/>
      <c r="FE20" s="488"/>
      <c r="FF20" s="488"/>
      <c r="FG20" s="488"/>
      <c r="FH20" s="488"/>
    </row>
    <row r="21" spans="1:164" ht="13.05" hidden="1" customHeight="1" x14ac:dyDescent="0.25">
      <c r="A21" t="str">
        <f>Nutrients!B20</f>
        <v>Canola Meal, Solvent Extracted</v>
      </c>
      <c r="B21" s="99"/>
      <c r="C21" s="99"/>
      <c r="D21" s="99"/>
      <c r="E21" s="99"/>
      <c r="F21" s="99"/>
      <c r="G21" s="99"/>
      <c r="H21" s="99"/>
      <c r="I21" s="99"/>
      <c r="J21" s="99"/>
      <c r="K21" s="99"/>
      <c r="L21" s="99"/>
      <c r="M21" s="99"/>
      <c r="N21" s="99"/>
      <c r="O21" s="10"/>
      <c r="P21" s="99"/>
      <c r="Q21" s="99"/>
      <c r="R21" s="99"/>
      <c r="S21" s="99"/>
      <c r="T21" s="99"/>
      <c r="U21" s="99"/>
      <c r="W21" s="99"/>
      <c r="X21" s="99"/>
      <c r="Y21" s="99"/>
      <c r="Z21" s="99"/>
      <c r="AA21" s="99"/>
      <c r="AB21" s="99"/>
      <c r="AD21" s="99"/>
      <c r="AE21" s="99"/>
      <c r="AF21" s="99"/>
      <c r="AG21" s="99"/>
      <c r="AH21" s="99"/>
      <c r="AI21" s="99"/>
      <c r="AK21" s="99"/>
      <c r="AL21" s="99"/>
      <c r="AM21" s="99"/>
      <c r="AN21" s="99"/>
      <c r="AO21" s="99"/>
      <c r="AP21" s="99"/>
      <c r="AR21" s="99"/>
      <c r="AS21" s="99"/>
      <c r="AT21" s="99"/>
      <c r="AU21" s="99"/>
      <c r="AV21" s="99"/>
      <c r="AW21" s="99"/>
      <c r="AY21" s="488"/>
      <c r="AZ21" s="488"/>
      <c r="BA21" s="488"/>
      <c r="BB21" s="488"/>
      <c r="BC21" s="488"/>
      <c r="BD21" s="488"/>
      <c r="BE21" s="488"/>
      <c r="BF21" s="488"/>
      <c r="BG21" s="488"/>
      <c r="BH21" s="488"/>
      <c r="BI21" s="488"/>
      <c r="BJ21" s="488"/>
      <c r="BK21" s="488"/>
      <c r="BL21" s="488"/>
      <c r="BM21" s="488"/>
      <c r="BN21" s="488"/>
      <c r="BO21" s="488"/>
      <c r="BP21" s="488"/>
      <c r="BQ21" s="488"/>
      <c r="BR21" s="488"/>
      <c r="BS21" s="488"/>
      <c r="BT21" s="488"/>
      <c r="BU21" s="488"/>
      <c r="BV21" s="488"/>
      <c r="BW21" s="488"/>
      <c r="BX21" s="488"/>
      <c r="BY21" s="488"/>
      <c r="BZ21" s="488"/>
      <c r="CA21" s="488"/>
      <c r="CB21" s="488"/>
      <c r="CC21" s="488"/>
      <c r="CD21" s="488"/>
      <c r="CE21" s="488"/>
      <c r="CF21" s="488"/>
      <c r="CG21" s="488"/>
      <c r="CH21" s="488"/>
      <c r="CI21" s="488"/>
      <c r="CJ21" s="488"/>
      <c r="CK21" s="488"/>
      <c r="CL21" s="488"/>
      <c r="CM21" s="488"/>
      <c r="CN21" s="488"/>
      <c r="CO21" s="488"/>
      <c r="CP21" s="488"/>
      <c r="CQ21" s="488"/>
      <c r="CR21" s="488"/>
      <c r="CS21" s="488"/>
      <c r="CT21" s="488"/>
      <c r="CU21" s="488"/>
      <c r="CV21" s="488"/>
      <c r="CW21" s="488"/>
      <c r="CX21" s="488"/>
      <c r="CY21" s="488"/>
      <c r="CZ21" s="488"/>
      <c r="DA21" s="488"/>
      <c r="DB21" s="488"/>
      <c r="DC21" s="488"/>
      <c r="DD21" s="488"/>
      <c r="DE21" s="488"/>
      <c r="DF21" s="488"/>
      <c r="DG21" s="488"/>
      <c r="DH21" s="488"/>
      <c r="DI21" s="488"/>
      <c r="DJ21" s="488"/>
      <c r="DK21" s="488"/>
      <c r="DL21" s="488"/>
      <c r="DM21" s="488"/>
      <c r="DN21" s="488"/>
      <c r="DO21" s="488"/>
      <c r="DP21" s="488"/>
      <c r="DQ21" s="488"/>
      <c r="DR21" s="488"/>
      <c r="DS21" s="488"/>
      <c r="DT21" s="488"/>
      <c r="DU21" s="488"/>
      <c r="DV21" s="488"/>
      <c r="DW21" s="488"/>
      <c r="DX21" s="488"/>
      <c r="DY21" s="488"/>
      <c r="DZ21" s="488"/>
      <c r="EA21" s="488"/>
      <c r="EB21" s="488"/>
      <c r="EC21" s="488"/>
      <c r="ED21" s="488"/>
      <c r="EE21" s="488"/>
      <c r="EF21" s="488"/>
      <c r="EG21" s="488"/>
      <c r="EH21" s="488"/>
      <c r="EI21" s="488"/>
      <c r="EJ21" s="488"/>
      <c r="EK21" s="488"/>
      <c r="EL21" s="488"/>
      <c r="EM21" s="488"/>
      <c r="EN21" s="488"/>
      <c r="EO21" s="488"/>
      <c r="EP21" s="488"/>
      <c r="EQ21" s="488"/>
      <c r="ER21" s="488"/>
      <c r="ES21" s="488"/>
      <c r="ET21" s="488"/>
      <c r="EU21" s="488"/>
      <c r="EV21" s="488"/>
      <c r="EW21" s="488"/>
      <c r="EX21" s="488"/>
      <c r="EY21" s="488"/>
      <c r="EZ21" s="488"/>
      <c r="FA21" s="488"/>
      <c r="FB21" s="488"/>
      <c r="FC21" s="488"/>
      <c r="FD21" s="488"/>
      <c r="FE21" s="488"/>
      <c r="FF21" s="488"/>
      <c r="FG21" s="488"/>
      <c r="FH21" s="488"/>
    </row>
    <row r="22" spans="1:164" ht="13.05" hidden="1" customHeight="1" x14ac:dyDescent="0.25">
      <c r="A22" t="str">
        <f>Nutrients!B21</f>
        <v>Casava Meal</v>
      </c>
      <c r="B22" s="99"/>
      <c r="C22" s="99"/>
      <c r="D22" s="99"/>
      <c r="E22" s="99"/>
      <c r="F22" s="99"/>
      <c r="G22" s="99"/>
      <c r="H22" s="99"/>
      <c r="I22" s="99"/>
      <c r="J22" s="99"/>
      <c r="K22" s="99"/>
      <c r="L22" s="99"/>
      <c r="M22" s="99"/>
      <c r="N22" s="99"/>
      <c r="O22" s="10"/>
      <c r="P22" s="99"/>
      <c r="Q22" s="99"/>
      <c r="R22" s="99"/>
      <c r="S22" s="99"/>
      <c r="T22" s="99"/>
      <c r="U22" s="99"/>
      <c r="W22" s="99"/>
      <c r="X22" s="99"/>
      <c r="Y22" s="99"/>
      <c r="Z22" s="99"/>
      <c r="AA22" s="99"/>
      <c r="AB22" s="99"/>
      <c r="AD22" s="99"/>
      <c r="AE22" s="99"/>
      <c r="AF22" s="99"/>
      <c r="AG22" s="99"/>
      <c r="AH22" s="99"/>
      <c r="AI22" s="99"/>
      <c r="AK22" s="99"/>
      <c r="AL22" s="99"/>
      <c r="AM22" s="99"/>
      <c r="AN22" s="99"/>
      <c r="AO22" s="99"/>
      <c r="AP22" s="99"/>
      <c r="AR22" s="99"/>
      <c r="AS22" s="99"/>
      <c r="AT22" s="99"/>
      <c r="AU22" s="99"/>
      <c r="AV22" s="99"/>
      <c r="AW22" s="99"/>
      <c r="AY22" s="488"/>
      <c r="AZ22" s="488"/>
      <c r="BA22" s="488"/>
      <c r="BB22" s="488"/>
      <c r="BC22" s="488"/>
      <c r="BD22" s="488"/>
      <c r="BE22" s="488"/>
      <c r="BF22" s="488"/>
      <c r="BG22" s="488"/>
      <c r="BH22" s="488"/>
      <c r="BI22" s="488"/>
      <c r="BJ22" s="488"/>
      <c r="BK22" s="488"/>
      <c r="BL22" s="488"/>
      <c r="BM22" s="488"/>
      <c r="BN22" s="488"/>
      <c r="BO22" s="488"/>
      <c r="BP22" s="488"/>
      <c r="BQ22" s="488"/>
      <c r="BR22" s="488"/>
      <c r="BS22" s="488"/>
      <c r="BT22" s="488"/>
      <c r="BU22" s="488"/>
      <c r="BV22" s="488"/>
      <c r="BW22" s="488"/>
      <c r="BX22" s="488"/>
      <c r="BY22" s="488"/>
      <c r="BZ22" s="488"/>
      <c r="CA22" s="488"/>
      <c r="CB22" s="488"/>
      <c r="CC22" s="488"/>
      <c r="CD22" s="488"/>
      <c r="CE22" s="488"/>
      <c r="CF22" s="488"/>
      <c r="CG22" s="488"/>
      <c r="CH22" s="488"/>
      <c r="CI22" s="488"/>
      <c r="CJ22" s="488"/>
      <c r="CK22" s="488"/>
      <c r="CL22" s="488"/>
      <c r="CM22" s="488"/>
      <c r="CN22" s="488"/>
      <c r="CO22" s="488"/>
      <c r="CP22" s="488"/>
      <c r="CQ22" s="488"/>
      <c r="CR22" s="488"/>
      <c r="CS22" s="488"/>
      <c r="CT22" s="488"/>
      <c r="CU22" s="488"/>
      <c r="CV22" s="488"/>
      <c r="CW22" s="488"/>
      <c r="CX22" s="488"/>
      <c r="CY22" s="488"/>
      <c r="CZ22" s="488"/>
      <c r="DA22" s="488"/>
      <c r="DB22" s="488"/>
      <c r="DC22" s="488"/>
      <c r="DD22" s="488"/>
      <c r="DE22" s="488"/>
      <c r="DF22" s="488"/>
      <c r="DG22" s="488"/>
      <c r="DH22" s="488"/>
      <c r="DI22" s="488"/>
      <c r="DJ22" s="488"/>
      <c r="DK22" s="488"/>
      <c r="DL22" s="488"/>
      <c r="DM22" s="488"/>
      <c r="DN22" s="488"/>
      <c r="DO22" s="488"/>
      <c r="DP22" s="488"/>
      <c r="DQ22" s="488"/>
      <c r="DR22" s="488"/>
      <c r="DS22" s="488"/>
      <c r="DT22" s="488"/>
      <c r="DU22" s="488"/>
      <c r="DV22" s="488"/>
      <c r="DW22" s="488"/>
      <c r="DX22" s="488"/>
      <c r="DY22" s="488"/>
      <c r="DZ22" s="488"/>
      <c r="EA22" s="488"/>
      <c r="EB22" s="488"/>
      <c r="EC22" s="488"/>
      <c r="ED22" s="488"/>
      <c r="EE22" s="488"/>
      <c r="EF22" s="488"/>
      <c r="EG22" s="488"/>
      <c r="EH22" s="488"/>
      <c r="EI22" s="488"/>
      <c r="EJ22" s="488"/>
      <c r="EK22" s="488"/>
      <c r="EL22" s="488"/>
      <c r="EM22" s="488"/>
      <c r="EN22" s="488"/>
      <c r="EO22" s="488"/>
      <c r="EP22" s="488"/>
      <c r="EQ22" s="488"/>
      <c r="ER22" s="488"/>
      <c r="ES22" s="488"/>
      <c r="ET22" s="488"/>
      <c r="EU22" s="488"/>
      <c r="EV22" s="488"/>
      <c r="EW22" s="488"/>
      <c r="EX22" s="488"/>
      <c r="EY22" s="488"/>
      <c r="EZ22" s="488"/>
      <c r="FA22" s="488"/>
      <c r="FB22" s="488"/>
      <c r="FC22" s="488"/>
      <c r="FD22" s="488"/>
      <c r="FE22" s="488"/>
      <c r="FF22" s="488"/>
      <c r="FG22" s="488"/>
      <c r="FH22" s="488"/>
    </row>
    <row r="23" spans="1:164" ht="13.05" hidden="1" customHeight="1" x14ac:dyDescent="0.25">
      <c r="A23" t="str">
        <f>Nutrients!B22</f>
        <v>Citrus Pulp</v>
      </c>
      <c r="B23" s="99"/>
      <c r="C23" s="99"/>
      <c r="D23" s="99"/>
      <c r="E23" s="99"/>
      <c r="F23" s="99"/>
      <c r="G23" s="99"/>
      <c r="H23" s="99"/>
      <c r="I23" s="99"/>
      <c r="J23" s="99"/>
      <c r="K23" s="99"/>
      <c r="L23" s="99"/>
      <c r="M23" s="99"/>
      <c r="N23" s="99"/>
      <c r="O23" s="10"/>
      <c r="P23" s="99"/>
      <c r="Q23" s="99"/>
      <c r="R23" s="99"/>
      <c r="S23" s="99"/>
      <c r="T23" s="99"/>
      <c r="U23" s="99"/>
      <c r="W23" s="99"/>
      <c r="X23" s="99"/>
      <c r="Y23" s="99"/>
      <c r="Z23" s="99"/>
      <c r="AA23" s="99"/>
      <c r="AB23" s="99"/>
      <c r="AD23" s="99"/>
      <c r="AE23" s="99"/>
      <c r="AF23" s="99"/>
      <c r="AG23" s="99"/>
      <c r="AH23" s="99"/>
      <c r="AI23" s="99"/>
      <c r="AK23" s="99"/>
      <c r="AL23" s="99"/>
      <c r="AM23" s="99"/>
      <c r="AN23" s="99"/>
      <c r="AO23" s="99"/>
      <c r="AP23" s="99"/>
      <c r="AR23" s="99"/>
      <c r="AS23" s="99"/>
      <c r="AT23" s="99"/>
      <c r="AU23" s="99"/>
      <c r="AV23" s="99"/>
      <c r="AW23" s="99"/>
      <c r="AY23" s="488"/>
      <c r="AZ23" s="488"/>
      <c r="BA23" s="488"/>
      <c r="BB23" s="488"/>
      <c r="BC23" s="488"/>
      <c r="BD23" s="488"/>
      <c r="BE23" s="488"/>
      <c r="BF23" s="488"/>
      <c r="BG23" s="488"/>
      <c r="BH23" s="488"/>
      <c r="BI23" s="488"/>
      <c r="BJ23" s="488"/>
      <c r="BK23" s="488"/>
      <c r="BL23" s="488"/>
      <c r="BM23" s="488"/>
      <c r="BN23" s="488"/>
      <c r="BO23" s="488"/>
      <c r="BP23" s="488"/>
      <c r="BQ23" s="488"/>
      <c r="BR23" s="488"/>
      <c r="BS23" s="488"/>
      <c r="BT23" s="488"/>
      <c r="BU23" s="488"/>
      <c r="BV23" s="488"/>
      <c r="BW23" s="488"/>
      <c r="BX23" s="488"/>
      <c r="BY23" s="488"/>
      <c r="BZ23" s="488"/>
      <c r="CA23" s="488"/>
      <c r="CB23" s="488"/>
      <c r="CC23" s="488"/>
      <c r="CD23" s="488"/>
      <c r="CE23" s="488"/>
      <c r="CF23" s="488"/>
      <c r="CG23" s="488"/>
      <c r="CH23" s="488"/>
      <c r="CI23" s="488"/>
      <c r="CJ23" s="488"/>
      <c r="CK23" s="488"/>
      <c r="CL23" s="488"/>
      <c r="CM23" s="488"/>
      <c r="CN23" s="488"/>
      <c r="CO23" s="488"/>
      <c r="CP23" s="488"/>
      <c r="CQ23" s="488"/>
      <c r="CR23" s="488"/>
      <c r="CS23" s="488"/>
      <c r="CT23" s="488"/>
      <c r="CU23" s="488"/>
      <c r="CV23" s="488"/>
      <c r="CW23" s="488"/>
      <c r="CX23" s="488"/>
      <c r="CY23" s="488"/>
      <c r="CZ23" s="488"/>
      <c r="DA23" s="488"/>
      <c r="DB23" s="488"/>
      <c r="DC23" s="488"/>
      <c r="DD23" s="488"/>
      <c r="DE23" s="488"/>
      <c r="DF23" s="488"/>
      <c r="DG23" s="488"/>
      <c r="DH23" s="488"/>
      <c r="DI23" s="488"/>
      <c r="DJ23" s="488"/>
      <c r="DK23" s="488"/>
      <c r="DL23" s="488"/>
      <c r="DM23" s="488"/>
      <c r="DN23" s="488"/>
      <c r="DO23" s="488"/>
      <c r="DP23" s="488"/>
      <c r="DQ23" s="488"/>
      <c r="DR23" s="488"/>
      <c r="DS23" s="488"/>
      <c r="DT23" s="488"/>
      <c r="DU23" s="488"/>
      <c r="DV23" s="488"/>
      <c r="DW23" s="488"/>
      <c r="DX23" s="488"/>
      <c r="DY23" s="488"/>
      <c r="DZ23" s="488"/>
      <c r="EA23" s="488"/>
      <c r="EB23" s="488"/>
      <c r="EC23" s="488"/>
      <c r="ED23" s="488"/>
      <c r="EE23" s="488"/>
      <c r="EF23" s="488"/>
      <c r="EG23" s="488"/>
      <c r="EH23" s="488"/>
      <c r="EI23" s="488"/>
      <c r="EJ23" s="488"/>
      <c r="EK23" s="488"/>
      <c r="EL23" s="488"/>
      <c r="EM23" s="488"/>
      <c r="EN23" s="488"/>
      <c r="EO23" s="488"/>
      <c r="EP23" s="488"/>
      <c r="EQ23" s="488"/>
      <c r="ER23" s="488"/>
      <c r="ES23" s="488"/>
      <c r="ET23" s="488"/>
      <c r="EU23" s="488"/>
      <c r="EV23" s="488"/>
      <c r="EW23" s="488"/>
      <c r="EX23" s="488"/>
      <c r="EY23" s="488"/>
      <c r="EZ23" s="488"/>
      <c r="FA23" s="488"/>
      <c r="FB23" s="488"/>
      <c r="FC23" s="488"/>
      <c r="FD23" s="488"/>
      <c r="FE23" s="488"/>
      <c r="FF23" s="488"/>
      <c r="FG23" s="488"/>
      <c r="FH23" s="488"/>
    </row>
    <row r="24" spans="1:164" ht="13.05" hidden="1" customHeight="1" x14ac:dyDescent="0.25">
      <c r="A24" t="str">
        <f>Nutrients!B23</f>
        <v>Copra Meal</v>
      </c>
      <c r="B24" s="99"/>
      <c r="C24" s="99"/>
      <c r="D24" s="99"/>
      <c r="E24" s="99"/>
      <c r="F24" s="99"/>
      <c r="G24" s="99"/>
      <c r="H24" s="99"/>
      <c r="I24" s="99"/>
      <c r="J24" s="99"/>
      <c r="K24" s="99"/>
      <c r="L24" s="99"/>
      <c r="M24" s="99"/>
      <c r="N24" s="99"/>
      <c r="O24" s="10"/>
      <c r="P24" s="99"/>
      <c r="Q24" s="99"/>
      <c r="R24" s="99"/>
      <c r="S24" s="99"/>
      <c r="T24" s="99"/>
      <c r="U24" s="99"/>
      <c r="W24" s="99"/>
      <c r="X24" s="99"/>
      <c r="Y24" s="99"/>
      <c r="Z24" s="99"/>
      <c r="AA24" s="99"/>
      <c r="AB24" s="99"/>
      <c r="AD24" s="99"/>
      <c r="AE24" s="99"/>
      <c r="AF24" s="99"/>
      <c r="AG24" s="99"/>
      <c r="AH24" s="99"/>
      <c r="AI24" s="99"/>
      <c r="AK24" s="99"/>
      <c r="AL24" s="99"/>
      <c r="AM24" s="99"/>
      <c r="AN24" s="99"/>
      <c r="AO24" s="99"/>
      <c r="AP24" s="99"/>
      <c r="AR24" s="99"/>
      <c r="AS24" s="99"/>
      <c r="AT24" s="99"/>
      <c r="AU24" s="99"/>
      <c r="AV24" s="99"/>
      <c r="AW24" s="99"/>
      <c r="AY24" s="488"/>
      <c r="AZ24" s="488"/>
      <c r="BA24" s="488"/>
      <c r="BB24" s="488"/>
      <c r="BC24" s="488"/>
      <c r="BD24" s="488"/>
      <c r="BE24" s="488"/>
      <c r="BF24" s="488"/>
      <c r="BG24" s="488"/>
      <c r="BH24" s="488"/>
      <c r="BI24" s="488"/>
      <c r="BJ24" s="488"/>
      <c r="BK24" s="488"/>
      <c r="BL24" s="488"/>
      <c r="BM24" s="488"/>
      <c r="BN24" s="488"/>
      <c r="BO24" s="488"/>
      <c r="BP24" s="488"/>
      <c r="BQ24" s="488"/>
      <c r="BR24" s="488"/>
      <c r="BS24" s="488"/>
      <c r="BT24" s="488"/>
      <c r="BU24" s="488"/>
      <c r="BV24" s="488"/>
      <c r="BW24" s="488"/>
      <c r="BX24" s="488"/>
      <c r="BY24" s="488"/>
      <c r="BZ24" s="488"/>
      <c r="CA24" s="488"/>
      <c r="CB24" s="488"/>
      <c r="CC24" s="488"/>
      <c r="CD24" s="488"/>
      <c r="CE24" s="488"/>
      <c r="CF24" s="488"/>
      <c r="CG24" s="488"/>
      <c r="CH24" s="488"/>
      <c r="CI24" s="488"/>
      <c r="CJ24" s="488"/>
      <c r="CK24" s="488"/>
      <c r="CL24" s="488"/>
      <c r="CM24" s="488"/>
      <c r="CN24" s="488"/>
      <c r="CO24" s="488"/>
      <c r="CP24" s="488"/>
      <c r="CQ24" s="488"/>
      <c r="CR24" s="488"/>
      <c r="CS24" s="488"/>
      <c r="CT24" s="488"/>
      <c r="CU24" s="488"/>
      <c r="CV24" s="488"/>
      <c r="CW24" s="488"/>
      <c r="CX24" s="488"/>
      <c r="CY24" s="488"/>
      <c r="CZ24" s="488"/>
      <c r="DA24" s="488"/>
      <c r="DB24" s="488"/>
      <c r="DC24" s="488"/>
      <c r="DD24" s="488"/>
      <c r="DE24" s="488"/>
      <c r="DF24" s="488"/>
      <c r="DG24" s="488"/>
      <c r="DH24" s="488"/>
      <c r="DI24" s="488"/>
      <c r="DJ24" s="488"/>
      <c r="DK24" s="488"/>
      <c r="DL24" s="488"/>
      <c r="DM24" s="488"/>
      <c r="DN24" s="488"/>
      <c r="DO24" s="488"/>
      <c r="DP24" s="488"/>
      <c r="DQ24" s="488"/>
      <c r="DR24" s="488"/>
      <c r="DS24" s="488"/>
      <c r="DT24" s="488"/>
      <c r="DU24" s="488"/>
      <c r="DV24" s="488"/>
      <c r="DW24" s="488"/>
      <c r="DX24" s="488"/>
      <c r="DY24" s="488"/>
      <c r="DZ24" s="488"/>
      <c r="EA24" s="488"/>
      <c r="EB24" s="488"/>
      <c r="EC24" s="488"/>
      <c r="ED24" s="488"/>
      <c r="EE24" s="488"/>
      <c r="EF24" s="488"/>
      <c r="EG24" s="488"/>
      <c r="EH24" s="488"/>
      <c r="EI24" s="488"/>
      <c r="EJ24" s="488"/>
      <c r="EK24" s="488"/>
      <c r="EL24" s="488"/>
      <c r="EM24" s="488"/>
      <c r="EN24" s="488"/>
      <c r="EO24" s="488"/>
      <c r="EP24" s="488"/>
      <c r="EQ24" s="488"/>
      <c r="ER24" s="488"/>
      <c r="ES24" s="488"/>
      <c r="ET24" s="488"/>
      <c r="EU24" s="488"/>
      <c r="EV24" s="488"/>
      <c r="EW24" s="488"/>
      <c r="EX24" s="488"/>
      <c r="EY24" s="488"/>
      <c r="EZ24" s="488"/>
      <c r="FA24" s="488"/>
      <c r="FB24" s="488"/>
      <c r="FC24" s="488"/>
      <c r="FD24" s="488"/>
      <c r="FE24" s="488"/>
      <c r="FF24" s="488"/>
      <c r="FG24" s="488"/>
      <c r="FH24" s="488"/>
    </row>
    <row r="25" spans="1:164" ht="13.05" hidden="1" customHeight="1" x14ac:dyDescent="0.25">
      <c r="A25" t="str">
        <f>Nutrients!B24</f>
        <v>Corn, Yellow Dent</v>
      </c>
      <c r="B25" s="99"/>
      <c r="C25" s="99"/>
      <c r="D25" s="99"/>
      <c r="E25" s="99"/>
      <c r="F25" s="99"/>
      <c r="G25" s="99"/>
      <c r="H25" s="99"/>
      <c r="I25" s="99"/>
      <c r="J25" s="99"/>
      <c r="K25" s="99"/>
      <c r="L25" s="99"/>
      <c r="M25" s="99"/>
      <c r="N25" s="99"/>
      <c r="O25" s="10"/>
      <c r="P25" s="99"/>
      <c r="Q25" s="99"/>
      <c r="R25" s="99"/>
      <c r="S25" s="99"/>
      <c r="T25" s="99"/>
      <c r="U25" s="99"/>
      <c r="W25" s="99"/>
      <c r="X25" s="99"/>
      <c r="Y25" s="99"/>
      <c r="Z25" s="99"/>
      <c r="AA25" s="99"/>
      <c r="AB25" s="99"/>
      <c r="AD25" s="99"/>
      <c r="AE25" s="99"/>
      <c r="AF25" s="99"/>
      <c r="AG25" s="99"/>
      <c r="AH25" s="99"/>
      <c r="AI25" s="99"/>
      <c r="AK25" s="99"/>
      <c r="AL25" s="99"/>
      <c r="AM25" s="99"/>
      <c r="AN25" s="99"/>
      <c r="AO25" s="99"/>
      <c r="AP25" s="99"/>
      <c r="AR25" s="99"/>
      <c r="AS25" s="99"/>
      <c r="AT25" s="99"/>
      <c r="AU25" s="99"/>
      <c r="AV25" s="99"/>
      <c r="AW25" s="99"/>
      <c r="AY25" s="488"/>
      <c r="AZ25" s="488"/>
      <c r="BA25" s="488"/>
      <c r="BB25" s="488"/>
      <c r="BC25" s="488"/>
      <c r="BD25" s="488"/>
      <c r="BE25" s="488"/>
      <c r="BF25" s="488"/>
      <c r="BG25" s="488"/>
      <c r="BH25" s="488"/>
      <c r="BI25" s="488"/>
      <c r="BJ25" s="488"/>
      <c r="BK25" s="488"/>
      <c r="BL25" s="488"/>
      <c r="BM25" s="488"/>
      <c r="BN25" s="488"/>
      <c r="BO25" s="488"/>
      <c r="BP25" s="488"/>
      <c r="BQ25" s="488"/>
      <c r="BR25" s="488"/>
      <c r="BS25" s="488"/>
      <c r="BT25" s="488"/>
      <c r="BU25" s="488"/>
      <c r="BV25" s="488"/>
      <c r="BW25" s="488"/>
      <c r="BX25" s="488"/>
      <c r="BY25" s="488"/>
      <c r="BZ25" s="488"/>
      <c r="CA25" s="488"/>
      <c r="CB25" s="488"/>
      <c r="CC25" s="488"/>
      <c r="CD25" s="488"/>
      <c r="CE25" s="488"/>
      <c r="CF25" s="488"/>
      <c r="CG25" s="488"/>
      <c r="CH25" s="488"/>
      <c r="CI25" s="488"/>
      <c r="CJ25" s="488"/>
      <c r="CK25" s="488"/>
      <c r="CL25" s="488"/>
      <c r="CM25" s="488"/>
      <c r="CN25" s="488"/>
      <c r="CO25" s="488"/>
      <c r="CP25" s="488"/>
      <c r="CQ25" s="488"/>
      <c r="CR25" s="488"/>
      <c r="CS25" s="488"/>
      <c r="CT25" s="488"/>
      <c r="CU25" s="488"/>
      <c r="CV25" s="488"/>
      <c r="CW25" s="488"/>
      <c r="CX25" s="488"/>
      <c r="CY25" s="488"/>
      <c r="CZ25" s="488"/>
      <c r="DA25" s="488"/>
      <c r="DB25" s="488"/>
      <c r="DC25" s="488"/>
      <c r="DD25" s="488"/>
      <c r="DE25" s="488"/>
      <c r="DF25" s="488"/>
      <c r="DG25" s="488"/>
      <c r="DH25" s="488"/>
      <c r="DI25" s="488"/>
      <c r="DJ25" s="488"/>
      <c r="DK25" s="488"/>
      <c r="DL25" s="488"/>
      <c r="DM25" s="488"/>
      <c r="DN25" s="488"/>
      <c r="DO25" s="488"/>
      <c r="DP25" s="488"/>
      <c r="DQ25" s="488"/>
      <c r="DR25" s="488"/>
      <c r="DS25" s="488"/>
      <c r="DT25" s="488"/>
      <c r="DU25" s="488"/>
      <c r="DV25" s="488"/>
      <c r="DW25" s="488"/>
      <c r="DX25" s="488"/>
      <c r="DY25" s="488"/>
      <c r="DZ25" s="488"/>
      <c r="EA25" s="488"/>
      <c r="EB25" s="488"/>
      <c r="EC25" s="488"/>
      <c r="ED25" s="488"/>
      <c r="EE25" s="488"/>
      <c r="EF25" s="488"/>
      <c r="EG25" s="488"/>
      <c r="EH25" s="488"/>
      <c r="EI25" s="488"/>
      <c r="EJ25" s="488"/>
      <c r="EK25" s="488"/>
      <c r="EL25" s="488"/>
      <c r="EM25" s="488"/>
      <c r="EN25" s="488"/>
      <c r="EO25" s="488"/>
      <c r="EP25" s="488"/>
      <c r="EQ25" s="488"/>
      <c r="ER25" s="488"/>
      <c r="ES25" s="488"/>
      <c r="ET25" s="488"/>
      <c r="EU25" s="488"/>
      <c r="EV25" s="488"/>
      <c r="EW25" s="488"/>
      <c r="EX25" s="488"/>
      <c r="EY25" s="488"/>
      <c r="EZ25" s="488"/>
      <c r="FA25" s="488"/>
      <c r="FB25" s="488"/>
      <c r="FC25" s="488"/>
      <c r="FD25" s="488"/>
      <c r="FE25" s="488"/>
      <c r="FF25" s="488"/>
      <c r="FG25" s="488"/>
      <c r="FH25" s="488"/>
    </row>
    <row r="26" spans="1:164" ht="13.05" hidden="1" customHeight="1" x14ac:dyDescent="0.25">
      <c r="A26" t="str">
        <f>Nutrients!B25</f>
        <v>Corn, Nutridense</v>
      </c>
      <c r="B26" s="99"/>
      <c r="C26" s="99"/>
      <c r="D26" s="99"/>
      <c r="E26" s="99"/>
      <c r="F26" s="99"/>
      <c r="G26" s="99"/>
      <c r="H26" s="99"/>
      <c r="I26" s="99"/>
      <c r="J26" s="99"/>
      <c r="K26" s="99"/>
      <c r="L26" s="99"/>
      <c r="M26" s="99"/>
      <c r="N26" s="99"/>
      <c r="O26" s="10"/>
      <c r="P26" s="99"/>
      <c r="Q26" s="99"/>
      <c r="R26" s="99"/>
      <c r="S26" s="99"/>
      <c r="T26" s="99"/>
      <c r="U26" s="99"/>
      <c r="W26" s="99"/>
      <c r="X26" s="99"/>
      <c r="Y26" s="99"/>
      <c r="Z26" s="99"/>
      <c r="AA26" s="99"/>
      <c r="AB26" s="99"/>
      <c r="AD26" s="99"/>
      <c r="AE26" s="99"/>
      <c r="AF26" s="99"/>
      <c r="AG26" s="99"/>
      <c r="AH26" s="99"/>
      <c r="AI26" s="99"/>
      <c r="AK26" s="99"/>
      <c r="AL26" s="99"/>
      <c r="AM26" s="99"/>
      <c r="AN26" s="99"/>
      <c r="AO26" s="99"/>
      <c r="AP26" s="99"/>
      <c r="AR26" s="99"/>
      <c r="AS26" s="99"/>
      <c r="AT26" s="99"/>
      <c r="AU26" s="99"/>
      <c r="AV26" s="99"/>
      <c r="AW26" s="99"/>
      <c r="AY26" s="488"/>
      <c r="AZ26" s="488"/>
      <c r="BA26" s="488"/>
      <c r="BB26" s="488"/>
      <c r="BC26" s="488"/>
      <c r="BD26" s="488"/>
      <c r="BE26" s="488"/>
      <c r="BF26" s="488"/>
      <c r="BG26" s="488"/>
      <c r="BH26" s="488"/>
      <c r="BI26" s="488"/>
      <c r="BJ26" s="488"/>
      <c r="BK26" s="488"/>
      <c r="BL26" s="488"/>
      <c r="BM26" s="488"/>
      <c r="BN26" s="488"/>
      <c r="BO26" s="488"/>
      <c r="BP26" s="488"/>
      <c r="BQ26" s="488"/>
      <c r="BR26" s="488"/>
      <c r="BS26" s="488"/>
      <c r="BT26" s="488"/>
      <c r="BU26" s="488"/>
      <c r="BV26" s="488"/>
      <c r="BW26" s="488"/>
      <c r="BX26" s="488"/>
      <c r="BY26" s="488"/>
      <c r="BZ26" s="488"/>
      <c r="CA26" s="488"/>
      <c r="CB26" s="488"/>
      <c r="CC26" s="488"/>
      <c r="CD26" s="488"/>
      <c r="CE26" s="488"/>
      <c r="CF26" s="488"/>
      <c r="CG26" s="488"/>
      <c r="CH26" s="488"/>
      <c r="CI26" s="488"/>
      <c r="CJ26" s="488"/>
      <c r="CK26" s="488"/>
      <c r="CL26" s="488"/>
      <c r="CM26" s="488"/>
      <c r="CN26" s="488"/>
      <c r="CO26" s="488"/>
      <c r="CP26" s="488"/>
      <c r="CQ26" s="488"/>
      <c r="CR26" s="488"/>
      <c r="CS26" s="488"/>
      <c r="CT26" s="488"/>
      <c r="CU26" s="488"/>
      <c r="CV26" s="488"/>
      <c r="CW26" s="488"/>
      <c r="CX26" s="488"/>
      <c r="CY26" s="488"/>
      <c r="CZ26" s="488"/>
      <c r="DA26" s="488"/>
      <c r="DB26" s="488"/>
      <c r="DC26" s="488"/>
      <c r="DD26" s="488"/>
      <c r="DE26" s="488"/>
      <c r="DF26" s="488"/>
      <c r="DG26" s="488"/>
      <c r="DH26" s="488"/>
      <c r="DI26" s="488"/>
      <c r="DJ26" s="488"/>
      <c r="DK26" s="488"/>
      <c r="DL26" s="488"/>
      <c r="DM26" s="488"/>
      <c r="DN26" s="488"/>
      <c r="DO26" s="488"/>
      <c r="DP26" s="488"/>
      <c r="DQ26" s="488"/>
      <c r="DR26" s="488"/>
      <c r="DS26" s="488"/>
      <c r="DT26" s="488"/>
      <c r="DU26" s="488"/>
      <c r="DV26" s="488"/>
      <c r="DW26" s="488"/>
      <c r="DX26" s="488"/>
      <c r="DY26" s="488"/>
      <c r="DZ26" s="488"/>
      <c r="EA26" s="488"/>
      <c r="EB26" s="488"/>
      <c r="EC26" s="488"/>
      <c r="ED26" s="488"/>
      <c r="EE26" s="488"/>
      <c r="EF26" s="488"/>
      <c r="EG26" s="488"/>
      <c r="EH26" s="488"/>
      <c r="EI26" s="488"/>
      <c r="EJ26" s="488"/>
      <c r="EK26" s="488"/>
      <c r="EL26" s="488"/>
      <c r="EM26" s="488"/>
      <c r="EN26" s="488"/>
      <c r="EO26" s="488"/>
      <c r="EP26" s="488"/>
      <c r="EQ26" s="488"/>
      <c r="ER26" s="488"/>
      <c r="ES26" s="488"/>
      <c r="ET26" s="488"/>
      <c r="EU26" s="488"/>
      <c r="EV26" s="488"/>
      <c r="EW26" s="488"/>
      <c r="EX26" s="488"/>
      <c r="EY26" s="488"/>
      <c r="EZ26" s="488"/>
      <c r="FA26" s="488"/>
      <c r="FB26" s="488"/>
      <c r="FC26" s="488"/>
      <c r="FD26" s="488"/>
      <c r="FE26" s="488"/>
      <c r="FF26" s="488"/>
      <c r="FG26" s="488"/>
      <c r="FH26" s="488"/>
    </row>
    <row r="27" spans="1:164" ht="13.05" hidden="1" customHeight="1" x14ac:dyDescent="0.25">
      <c r="A27" t="str">
        <f>Nutrients!B26</f>
        <v>Corn Bran</v>
      </c>
      <c r="B27" s="99"/>
      <c r="C27" s="99"/>
      <c r="D27" s="99"/>
      <c r="E27" s="99"/>
      <c r="F27" s="99"/>
      <c r="G27" s="99"/>
      <c r="H27" s="99"/>
      <c r="I27" s="99"/>
      <c r="J27" s="99"/>
      <c r="K27" s="99"/>
      <c r="L27" s="99"/>
      <c r="M27" s="99"/>
      <c r="N27" s="99"/>
      <c r="O27" s="10"/>
      <c r="P27" s="99"/>
      <c r="Q27" s="99"/>
      <c r="R27" s="99"/>
      <c r="S27" s="99"/>
      <c r="T27" s="99"/>
      <c r="U27" s="99"/>
      <c r="W27" s="99"/>
      <c r="X27" s="99"/>
      <c r="Y27" s="99"/>
      <c r="Z27" s="99"/>
      <c r="AA27" s="99"/>
      <c r="AB27" s="99"/>
      <c r="AD27" s="99"/>
      <c r="AE27" s="99"/>
      <c r="AF27" s="99"/>
      <c r="AG27" s="99"/>
      <c r="AH27" s="99"/>
      <c r="AI27" s="99"/>
      <c r="AK27" s="99"/>
      <c r="AL27" s="99"/>
      <c r="AM27" s="99"/>
      <c r="AN27" s="99"/>
      <c r="AO27" s="99"/>
      <c r="AP27" s="99"/>
      <c r="AR27" s="99"/>
      <c r="AS27" s="99"/>
      <c r="AT27" s="99"/>
      <c r="AU27" s="99"/>
      <c r="AV27" s="99"/>
      <c r="AW27" s="99"/>
      <c r="AY27" s="488"/>
      <c r="AZ27" s="488"/>
      <c r="BA27" s="488"/>
      <c r="BB27" s="488"/>
      <c r="BC27" s="488"/>
      <c r="BD27" s="488"/>
      <c r="BE27" s="488"/>
      <c r="BF27" s="488"/>
      <c r="BG27" s="488"/>
      <c r="BH27" s="488"/>
      <c r="BI27" s="488"/>
      <c r="BJ27" s="488"/>
      <c r="BK27" s="488"/>
      <c r="BL27" s="488"/>
      <c r="BM27" s="488"/>
      <c r="BN27" s="488"/>
      <c r="BO27" s="488"/>
      <c r="BP27" s="488"/>
      <c r="BQ27" s="488"/>
      <c r="BR27" s="488"/>
      <c r="BS27" s="488"/>
      <c r="BT27" s="488"/>
      <c r="BU27" s="488"/>
      <c r="BV27" s="488"/>
      <c r="BW27" s="488"/>
      <c r="BX27" s="488"/>
      <c r="BY27" s="488"/>
      <c r="BZ27" s="488"/>
      <c r="CA27" s="488"/>
      <c r="CB27" s="488"/>
      <c r="CC27" s="488"/>
      <c r="CD27" s="488"/>
      <c r="CE27" s="488"/>
      <c r="CF27" s="488"/>
      <c r="CG27" s="488"/>
      <c r="CH27" s="488"/>
      <c r="CI27" s="488"/>
      <c r="CJ27" s="488"/>
      <c r="CK27" s="488"/>
      <c r="CL27" s="488"/>
      <c r="CM27" s="488"/>
      <c r="CN27" s="488"/>
      <c r="CO27" s="488"/>
      <c r="CP27" s="488"/>
      <c r="CQ27" s="488"/>
      <c r="CR27" s="488"/>
      <c r="CS27" s="488"/>
      <c r="CT27" s="488"/>
      <c r="CU27" s="488"/>
      <c r="CV27" s="488"/>
      <c r="CW27" s="488"/>
      <c r="CX27" s="488"/>
      <c r="CY27" s="488"/>
      <c r="CZ27" s="488"/>
      <c r="DA27" s="488"/>
      <c r="DB27" s="488"/>
      <c r="DC27" s="488"/>
      <c r="DD27" s="488"/>
      <c r="DE27" s="488"/>
      <c r="DF27" s="488"/>
      <c r="DG27" s="488"/>
      <c r="DH27" s="488"/>
      <c r="DI27" s="488"/>
      <c r="DJ27" s="488"/>
      <c r="DK27" s="488"/>
      <c r="DL27" s="488"/>
      <c r="DM27" s="488"/>
      <c r="DN27" s="488"/>
      <c r="DO27" s="488"/>
      <c r="DP27" s="488"/>
      <c r="DQ27" s="488"/>
      <c r="DR27" s="488"/>
      <c r="DS27" s="488"/>
      <c r="DT27" s="488"/>
      <c r="DU27" s="488"/>
      <c r="DV27" s="488"/>
      <c r="DW27" s="488"/>
      <c r="DX27" s="488"/>
      <c r="DY27" s="488"/>
      <c r="DZ27" s="488"/>
      <c r="EA27" s="488"/>
      <c r="EB27" s="488"/>
      <c r="EC27" s="488"/>
      <c r="ED27" s="488"/>
      <c r="EE27" s="488"/>
      <c r="EF27" s="488"/>
      <c r="EG27" s="488"/>
      <c r="EH27" s="488"/>
      <c r="EI27" s="488"/>
      <c r="EJ27" s="488"/>
      <c r="EK27" s="488"/>
      <c r="EL27" s="488"/>
      <c r="EM27" s="488"/>
      <c r="EN27" s="488"/>
      <c r="EO27" s="488"/>
      <c r="EP27" s="488"/>
      <c r="EQ27" s="488"/>
      <c r="ER27" s="488"/>
      <c r="ES27" s="488"/>
      <c r="ET27" s="488"/>
      <c r="EU27" s="488"/>
      <c r="EV27" s="488"/>
      <c r="EW27" s="488"/>
      <c r="EX27" s="488"/>
      <c r="EY27" s="488"/>
      <c r="EZ27" s="488"/>
      <c r="FA27" s="488"/>
      <c r="FB27" s="488"/>
      <c r="FC27" s="488"/>
      <c r="FD27" s="488"/>
      <c r="FE27" s="488"/>
      <c r="FF27" s="488"/>
      <c r="FG27" s="488"/>
      <c r="FH27" s="488"/>
    </row>
    <row r="28" spans="1:164" ht="13.05" hidden="1" customHeight="1" x14ac:dyDescent="0.25">
      <c r="A28" t="str">
        <f>Nutrients!B27</f>
        <v>Corn DDG</v>
      </c>
      <c r="B28" s="99"/>
      <c r="C28" s="99"/>
      <c r="D28" s="99"/>
      <c r="E28" s="99"/>
      <c r="F28" s="99"/>
      <c r="G28" s="99"/>
      <c r="H28" s="99"/>
      <c r="I28" s="99"/>
      <c r="J28" s="99"/>
      <c r="K28" s="99"/>
      <c r="L28" s="99"/>
      <c r="M28" s="99"/>
      <c r="N28" s="99"/>
      <c r="O28" s="10"/>
      <c r="P28" s="99"/>
      <c r="Q28" s="99"/>
      <c r="R28" s="99"/>
      <c r="S28" s="99"/>
      <c r="T28" s="99"/>
      <c r="U28" s="99"/>
      <c r="W28" s="99"/>
      <c r="X28" s="99"/>
      <c r="Y28" s="99"/>
      <c r="Z28" s="99"/>
      <c r="AA28" s="99"/>
      <c r="AB28" s="99"/>
      <c r="AD28" s="99"/>
      <c r="AE28" s="99"/>
      <c r="AF28" s="99"/>
      <c r="AG28" s="99"/>
      <c r="AH28" s="99"/>
      <c r="AI28" s="99"/>
      <c r="AK28" s="99"/>
      <c r="AL28" s="99"/>
      <c r="AM28" s="99"/>
      <c r="AN28" s="99"/>
      <c r="AO28" s="99"/>
      <c r="AP28" s="99"/>
      <c r="AR28" s="99"/>
      <c r="AS28" s="99"/>
      <c r="AT28" s="99"/>
      <c r="AU28" s="99"/>
      <c r="AV28" s="99"/>
      <c r="AW28" s="99"/>
      <c r="AY28" s="488"/>
      <c r="AZ28" s="488"/>
      <c r="BA28" s="488"/>
      <c r="BB28" s="488"/>
      <c r="BC28" s="488"/>
      <c r="BD28" s="488"/>
      <c r="BE28" s="488"/>
      <c r="BF28" s="488"/>
      <c r="BG28" s="488"/>
      <c r="BH28" s="488"/>
      <c r="BI28" s="488"/>
      <c r="BJ28" s="488"/>
      <c r="BK28" s="488"/>
      <c r="BL28" s="488"/>
      <c r="BM28" s="488"/>
      <c r="BN28" s="488"/>
      <c r="BO28" s="488"/>
      <c r="BP28" s="488"/>
      <c r="BQ28" s="488"/>
      <c r="BR28" s="488"/>
      <c r="BS28" s="488"/>
      <c r="BT28" s="488"/>
      <c r="BU28" s="488"/>
      <c r="BV28" s="488"/>
      <c r="BW28" s="488"/>
      <c r="BX28" s="488"/>
      <c r="BY28" s="488"/>
      <c r="BZ28" s="488"/>
      <c r="CA28" s="488"/>
      <c r="CB28" s="488"/>
      <c r="CC28" s="488"/>
      <c r="CD28" s="488"/>
      <c r="CE28" s="488"/>
      <c r="CF28" s="488"/>
      <c r="CG28" s="488"/>
      <c r="CH28" s="488"/>
      <c r="CI28" s="488"/>
      <c r="CJ28" s="488"/>
      <c r="CK28" s="488"/>
      <c r="CL28" s="488"/>
      <c r="CM28" s="488"/>
      <c r="CN28" s="488"/>
      <c r="CO28" s="488"/>
      <c r="CP28" s="488"/>
      <c r="CQ28" s="488"/>
      <c r="CR28" s="488"/>
      <c r="CS28" s="488"/>
      <c r="CT28" s="488"/>
      <c r="CU28" s="488"/>
      <c r="CV28" s="488"/>
      <c r="CW28" s="488"/>
      <c r="CX28" s="488"/>
      <c r="CY28" s="488"/>
      <c r="CZ28" s="488"/>
      <c r="DA28" s="488"/>
      <c r="DB28" s="488"/>
      <c r="DC28" s="488"/>
      <c r="DD28" s="488"/>
      <c r="DE28" s="488"/>
      <c r="DF28" s="488"/>
      <c r="DG28" s="488"/>
      <c r="DH28" s="488"/>
      <c r="DI28" s="488"/>
      <c r="DJ28" s="488"/>
      <c r="DK28" s="488"/>
      <c r="DL28" s="488"/>
      <c r="DM28" s="488"/>
      <c r="DN28" s="488"/>
      <c r="DO28" s="488"/>
      <c r="DP28" s="488"/>
      <c r="DQ28" s="488"/>
      <c r="DR28" s="488"/>
      <c r="DS28" s="488"/>
      <c r="DT28" s="488"/>
      <c r="DU28" s="488"/>
      <c r="DV28" s="488"/>
      <c r="DW28" s="488"/>
      <c r="DX28" s="488"/>
      <c r="DY28" s="488"/>
      <c r="DZ28" s="488"/>
      <c r="EA28" s="488"/>
      <c r="EB28" s="488"/>
      <c r="EC28" s="488"/>
      <c r="ED28" s="488"/>
      <c r="EE28" s="488"/>
      <c r="EF28" s="488"/>
      <c r="EG28" s="488"/>
      <c r="EH28" s="488"/>
      <c r="EI28" s="488"/>
      <c r="EJ28" s="488"/>
      <c r="EK28" s="488"/>
      <c r="EL28" s="488"/>
      <c r="EM28" s="488"/>
      <c r="EN28" s="488"/>
      <c r="EO28" s="488"/>
      <c r="EP28" s="488"/>
      <c r="EQ28" s="488"/>
      <c r="ER28" s="488"/>
      <c r="ES28" s="488"/>
      <c r="ET28" s="488"/>
      <c r="EU28" s="488"/>
      <c r="EV28" s="488"/>
      <c r="EW28" s="488"/>
      <c r="EX28" s="488"/>
      <c r="EY28" s="488"/>
      <c r="EZ28" s="488"/>
      <c r="FA28" s="488"/>
      <c r="FB28" s="488"/>
      <c r="FC28" s="488"/>
      <c r="FD28" s="488"/>
      <c r="FE28" s="488"/>
      <c r="FF28" s="488"/>
      <c r="FG28" s="488"/>
      <c r="FH28" s="488"/>
    </row>
    <row r="29" spans="1:164" ht="13.05" hidden="1" customHeight="1" x14ac:dyDescent="0.25">
      <c r="A29" t="str">
        <f>Nutrients!B28</f>
        <v>Corn DDGS, &gt;10% Oil</v>
      </c>
      <c r="B29" s="99"/>
      <c r="C29" s="99"/>
      <c r="D29" s="99"/>
      <c r="E29" s="99"/>
      <c r="F29" s="99"/>
      <c r="G29" s="99"/>
      <c r="H29" s="99"/>
      <c r="I29" s="99"/>
      <c r="J29" s="99"/>
      <c r="K29" s="99"/>
      <c r="L29" s="99"/>
      <c r="M29" s="99"/>
      <c r="N29" s="99"/>
      <c r="O29" s="10"/>
      <c r="P29" s="99"/>
      <c r="Q29" s="99"/>
      <c r="R29" s="99"/>
      <c r="S29" s="99"/>
      <c r="T29" s="99"/>
      <c r="U29" s="99"/>
      <c r="W29" s="99"/>
      <c r="X29" s="99"/>
      <c r="Y29" s="99"/>
      <c r="Z29" s="99"/>
      <c r="AA29" s="99"/>
      <c r="AB29" s="99"/>
      <c r="AD29" s="99"/>
      <c r="AE29" s="99"/>
      <c r="AF29" s="99"/>
      <c r="AG29" s="99"/>
      <c r="AH29" s="99"/>
      <c r="AI29" s="99"/>
      <c r="AK29" s="99"/>
      <c r="AL29" s="99"/>
      <c r="AM29" s="99"/>
      <c r="AN29" s="99"/>
      <c r="AO29" s="99"/>
      <c r="AP29" s="99"/>
      <c r="AR29" s="99"/>
      <c r="AS29" s="99"/>
      <c r="AT29" s="99"/>
      <c r="AU29" s="99"/>
      <c r="AV29" s="99"/>
      <c r="AW29" s="99"/>
      <c r="AY29" s="488"/>
      <c r="AZ29" s="488"/>
      <c r="BA29" s="488"/>
      <c r="BB29" s="488"/>
      <c r="BC29" s="488"/>
      <c r="BD29" s="488"/>
      <c r="BE29" s="488"/>
      <c r="BF29" s="488"/>
      <c r="BG29" s="488"/>
      <c r="BH29" s="488"/>
      <c r="BI29" s="488"/>
      <c r="BJ29" s="488"/>
      <c r="BK29" s="488"/>
      <c r="BL29" s="488"/>
      <c r="BM29" s="488"/>
      <c r="BN29" s="488"/>
      <c r="BO29" s="488"/>
      <c r="BP29" s="488"/>
      <c r="BQ29" s="488"/>
      <c r="BR29" s="488"/>
      <c r="BS29" s="488"/>
      <c r="BT29" s="488"/>
      <c r="BU29" s="488"/>
      <c r="BV29" s="488"/>
      <c r="BW29" s="488"/>
      <c r="BX29" s="488"/>
      <c r="BY29" s="488"/>
      <c r="BZ29" s="488"/>
      <c r="CA29" s="488"/>
      <c r="CB29" s="488"/>
      <c r="CC29" s="488"/>
      <c r="CD29" s="488"/>
      <c r="CE29" s="488"/>
      <c r="CF29" s="488"/>
      <c r="CG29" s="488"/>
      <c r="CH29" s="488"/>
      <c r="CI29" s="488"/>
      <c r="CJ29" s="488"/>
      <c r="CK29" s="488"/>
      <c r="CL29" s="488"/>
      <c r="CM29" s="488"/>
      <c r="CN29" s="488"/>
      <c r="CO29" s="488"/>
      <c r="CP29" s="488"/>
      <c r="CQ29" s="488"/>
      <c r="CR29" s="488"/>
      <c r="CS29" s="488"/>
      <c r="CT29" s="488"/>
      <c r="CU29" s="488"/>
      <c r="CV29" s="488"/>
      <c r="CW29" s="488"/>
      <c r="CX29" s="488"/>
      <c r="CY29" s="488"/>
      <c r="CZ29" s="488"/>
      <c r="DA29" s="488"/>
      <c r="DB29" s="488"/>
      <c r="DC29" s="488"/>
      <c r="DD29" s="488"/>
      <c r="DE29" s="488"/>
      <c r="DF29" s="488"/>
      <c r="DG29" s="488"/>
      <c r="DH29" s="488"/>
      <c r="DI29" s="488"/>
      <c r="DJ29" s="488"/>
      <c r="DK29" s="488"/>
      <c r="DL29" s="488"/>
      <c r="DM29" s="488"/>
      <c r="DN29" s="488"/>
      <c r="DO29" s="488"/>
      <c r="DP29" s="488"/>
      <c r="DQ29" s="488"/>
      <c r="DR29" s="488"/>
      <c r="DS29" s="488"/>
      <c r="DT29" s="488"/>
      <c r="DU29" s="488"/>
      <c r="DV29" s="488"/>
      <c r="DW29" s="488"/>
      <c r="DX29" s="488"/>
      <c r="DY29" s="488"/>
      <c r="DZ29" s="488"/>
      <c r="EA29" s="488"/>
      <c r="EB29" s="488"/>
      <c r="EC29" s="488"/>
      <c r="ED29" s="488"/>
      <c r="EE29" s="488"/>
      <c r="EF29" s="488"/>
      <c r="EG29" s="488"/>
      <c r="EH29" s="488"/>
      <c r="EI29" s="488"/>
      <c r="EJ29" s="488"/>
      <c r="EK29" s="488"/>
      <c r="EL29" s="488"/>
      <c r="EM29" s="488"/>
      <c r="EN29" s="488"/>
      <c r="EO29" s="488"/>
      <c r="EP29" s="488"/>
      <c r="EQ29" s="488"/>
      <c r="ER29" s="488"/>
      <c r="ES29" s="488"/>
      <c r="ET29" s="488"/>
      <c r="EU29" s="488"/>
      <c r="EV29" s="488"/>
      <c r="EW29" s="488"/>
      <c r="EX29" s="488"/>
      <c r="EY29" s="488"/>
      <c r="EZ29" s="488"/>
      <c r="FA29" s="488"/>
      <c r="FB29" s="488"/>
      <c r="FC29" s="488"/>
      <c r="FD29" s="488"/>
      <c r="FE29" s="488"/>
      <c r="FF29" s="488"/>
      <c r="FG29" s="488"/>
      <c r="FH29" s="488"/>
    </row>
    <row r="30" spans="1:164" ht="13.05" hidden="1" customHeight="1" x14ac:dyDescent="0.25">
      <c r="A30" t="str">
        <f>Nutrients!B29</f>
        <v>Corn DDGS, &gt;6 and &lt;9% Oil</v>
      </c>
      <c r="B30" s="99"/>
      <c r="C30" s="99"/>
      <c r="D30" s="99"/>
      <c r="E30" s="99"/>
      <c r="F30" s="99"/>
      <c r="G30" s="99"/>
      <c r="H30" s="99"/>
      <c r="I30" s="99"/>
      <c r="J30" s="99"/>
      <c r="K30" s="99"/>
      <c r="L30" s="99"/>
      <c r="M30" s="99"/>
      <c r="N30" s="99"/>
      <c r="O30" s="10"/>
      <c r="P30" s="99"/>
      <c r="Q30" s="99"/>
      <c r="R30" s="99"/>
      <c r="S30" s="99"/>
      <c r="T30" s="99"/>
      <c r="U30" s="99"/>
      <c r="W30" s="99"/>
      <c r="X30" s="99"/>
      <c r="Y30" s="99"/>
      <c r="Z30" s="99"/>
      <c r="AA30" s="99"/>
      <c r="AB30" s="99"/>
      <c r="AD30" s="99"/>
      <c r="AE30" s="99"/>
      <c r="AF30" s="99"/>
      <c r="AG30" s="99"/>
      <c r="AH30" s="99"/>
      <c r="AI30" s="99"/>
      <c r="AK30" s="99"/>
      <c r="AL30" s="99"/>
      <c r="AM30" s="99"/>
      <c r="AN30" s="99"/>
      <c r="AO30" s="99"/>
      <c r="AP30" s="99"/>
      <c r="AR30" s="99"/>
      <c r="AS30" s="99"/>
      <c r="AT30" s="99"/>
      <c r="AU30" s="99"/>
      <c r="AV30" s="99"/>
      <c r="AW30" s="99"/>
      <c r="AY30" s="488"/>
      <c r="AZ30" s="488"/>
      <c r="BA30" s="488"/>
      <c r="BB30" s="488"/>
      <c r="BC30" s="488"/>
      <c r="BD30" s="488"/>
      <c r="BE30" s="488"/>
      <c r="BF30" s="488"/>
      <c r="BG30" s="488"/>
      <c r="BH30" s="488"/>
      <c r="BI30" s="488"/>
      <c r="BJ30" s="488"/>
      <c r="BK30" s="488"/>
      <c r="BL30" s="488"/>
      <c r="BM30" s="488"/>
      <c r="BN30" s="488"/>
      <c r="BO30" s="488"/>
      <c r="BP30" s="488"/>
      <c r="BQ30" s="488"/>
      <c r="BR30" s="488"/>
      <c r="BS30" s="488"/>
      <c r="BT30" s="488"/>
      <c r="BU30" s="488"/>
      <c r="BV30" s="488"/>
      <c r="BW30" s="488"/>
      <c r="BX30" s="488"/>
      <c r="BY30" s="488"/>
      <c r="BZ30" s="488"/>
      <c r="CA30" s="488"/>
      <c r="CB30" s="488"/>
      <c r="CC30" s="488"/>
      <c r="CD30" s="488"/>
      <c r="CE30" s="488"/>
      <c r="CF30" s="488"/>
      <c r="CG30" s="488"/>
      <c r="CH30" s="488"/>
      <c r="CI30" s="488"/>
      <c r="CJ30" s="488"/>
      <c r="CK30" s="488"/>
      <c r="CL30" s="488"/>
      <c r="CM30" s="488"/>
      <c r="CN30" s="488"/>
      <c r="CO30" s="488"/>
      <c r="CP30" s="488"/>
      <c r="CQ30" s="488"/>
      <c r="CR30" s="488"/>
      <c r="CS30" s="488"/>
      <c r="CT30" s="488"/>
      <c r="CU30" s="488"/>
      <c r="CV30" s="488"/>
      <c r="CW30" s="488"/>
      <c r="CX30" s="488"/>
      <c r="CY30" s="488"/>
      <c r="CZ30" s="488"/>
      <c r="DA30" s="488"/>
      <c r="DB30" s="488"/>
      <c r="DC30" s="488"/>
      <c r="DD30" s="488"/>
      <c r="DE30" s="488"/>
      <c r="DF30" s="488"/>
      <c r="DG30" s="488"/>
      <c r="DH30" s="488"/>
      <c r="DI30" s="488"/>
      <c r="DJ30" s="488"/>
      <c r="DK30" s="488"/>
      <c r="DL30" s="488"/>
      <c r="DM30" s="488"/>
      <c r="DN30" s="488"/>
      <c r="DO30" s="488"/>
      <c r="DP30" s="488"/>
      <c r="DQ30" s="488"/>
      <c r="DR30" s="488"/>
      <c r="DS30" s="488"/>
      <c r="DT30" s="488"/>
      <c r="DU30" s="488"/>
      <c r="DV30" s="488"/>
      <c r="DW30" s="488"/>
      <c r="DX30" s="488"/>
      <c r="DY30" s="488"/>
      <c r="DZ30" s="488"/>
      <c r="EA30" s="488"/>
      <c r="EB30" s="488"/>
      <c r="EC30" s="488"/>
      <c r="ED30" s="488"/>
      <c r="EE30" s="488"/>
      <c r="EF30" s="488"/>
      <c r="EG30" s="488"/>
      <c r="EH30" s="488"/>
      <c r="EI30" s="488"/>
      <c r="EJ30" s="488"/>
      <c r="EK30" s="488"/>
      <c r="EL30" s="488"/>
      <c r="EM30" s="488"/>
      <c r="EN30" s="488"/>
      <c r="EO30" s="488"/>
      <c r="EP30" s="488"/>
      <c r="EQ30" s="488"/>
      <c r="ER30" s="488"/>
      <c r="ES30" s="488"/>
      <c r="ET30" s="488"/>
      <c r="EU30" s="488"/>
      <c r="EV30" s="488"/>
      <c r="EW30" s="488"/>
      <c r="EX30" s="488"/>
      <c r="EY30" s="488"/>
      <c r="EZ30" s="488"/>
      <c r="FA30" s="488"/>
      <c r="FB30" s="488"/>
      <c r="FC30" s="488"/>
      <c r="FD30" s="488"/>
      <c r="FE30" s="488"/>
      <c r="FF30" s="488"/>
      <c r="FG30" s="488"/>
      <c r="FH30" s="488"/>
    </row>
    <row r="31" spans="1:164" ht="13.05" hidden="1" customHeight="1" x14ac:dyDescent="0.25">
      <c r="A31" t="str">
        <f>Nutrients!B30</f>
        <v>Corn DDGS, &lt;4% Oil</v>
      </c>
      <c r="B31" s="99"/>
      <c r="C31" s="99"/>
      <c r="D31" s="99"/>
      <c r="E31" s="99"/>
      <c r="F31" s="99"/>
      <c r="G31" s="99"/>
      <c r="H31" s="99"/>
      <c r="I31" s="99"/>
      <c r="J31" s="99"/>
      <c r="K31" s="99"/>
      <c r="L31" s="99"/>
      <c r="M31" s="99"/>
      <c r="N31" s="99"/>
      <c r="O31" s="10"/>
      <c r="P31" s="99"/>
      <c r="Q31" s="99"/>
      <c r="R31" s="99"/>
      <c r="S31" s="99"/>
      <c r="T31" s="99"/>
      <c r="U31" s="99"/>
      <c r="W31" s="99"/>
      <c r="X31" s="99"/>
      <c r="Y31" s="99"/>
      <c r="Z31" s="99"/>
      <c r="AA31" s="99"/>
      <c r="AB31" s="99"/>
      <c r="AD31" s="99"/>
      <c r="AE31" s="99"/>
      <c r="AF31" s="99"/>
      <c r="AG31" s="99"/>
      <c r="AH31" s="99"/>
      <c r="AI31" s="99"/>
      <c r="AK31" s="99"/>
      <c r="AL31" s="99"/>
      <c r="AM31" s="99"/>
      <c r="AN31" s="99"/>
      <c r="AO31" s="99"/>
      <c r="AP31" s="99"/>
      <c r="AR31" s="99"/>
      <c r="AS31" s="99"/>
      <c r="AT31" s="99"/>
      <c r="AU31" s="99"/>
      <c r="AV31" s="99"/>
      <c r="AW31" s="99"/>
      <c r="AY31" s="488"/>
      <c r="AZ31" s="488"/>
      <c r="BA31" s="488"/>
      <c r="BB31" s="488"/>
      <c r="BC31" s="488"/>
      <c r="BD31" s="488"/>
      <c r="BE31" s="488"/>
      <c r="BF31" s="488"/>
      <c r="BG31" s="488"/>
      <c r="BH31" s="488"/>
      <c r="BI31" s="488"/>
      <c r="BJ31" s="488"/>
      <c r="BK31" s="488"/>
      <c r="BL31" s="488"/>
      <c r="BM31" s="488"/>
      <c r="BN31" s="488"/>
      <c r="BO31" s="488"/>
      <c r="BP31" s="488"/>
      <c r="BQ31" s="488"/>
      <c r="BR31" s="488"/>
      <c r="BS31" s="488"/>
      <c r="BT31" s="488"/>
      <c r="BU31" s="488"/>
      <c r="BV31" s="488"/>
      <c r="BW31" s="488"/>
      <c r="BX31" s="488"/>
      <c r="BY31" s="488"/>
      <c r="BZ31" s="488"/>
      <c r="CA31" s="488"/>
      <c r="CB31" s="488"/>
      <c r="CC31" s="488"/>
      <c r="CD31" s="488"/>
      <c r="CE31" s="488"/>
      <c r="CF31" s="488"/>
      <c r="CG31" s="488"/>
      <c r="CH31" s="488"/>
      <c r="CI31" s="488"/>
      <c r="CJ31" s="488"/>
      <c r="CK31" s="488"/>
      <c r="CL31" s="488"/>
      <c r="CM31" s="488"/>
      <c r="CN31" s="488"/>
      <c r="CO31" s="488"/>
      <c r="CP31" s="488"/>
      <c r="CQ31" s="488"/>
      <c r="CR31" s="488"/>
      <c r="CS31" s="488"/>
      <c r="CT31" s="488"/>
      <c r="CU31" s="488"/>
      <c r="CV31" s="488"/>
      <c r="CW31" s="488"/>
      <c r="CX31" s="488"/>
      <c r="CY31" s="488"/>
      <c r="CZ31" s="488"/>
      <c r="DA31" s="488"/>
      <c r="DB31" s="488"/>
      <c r="DC31" s="488"/>
      <c r="DD31" s="488"/>
      <c r="DE31" s="488"/>
      <c r="DF31" s="488"/>
      <c r="DG31" s="488"/>
      <c r="DH31" s="488"/>
      <c r="DI31" s="488"/>
      <c r="DJ31" s="488"/>
      <c r="DK31" s="488"/>
      <c r="DL31" s="488"/>
      <c r="DM31" s="488"/>
      <c r="DN31" s="488"/>
      <c r="DO31" s="488"/>
      <c r="DP31" s="488"/>
      <c r="DQ31" s="488"/>
      <c r="DR31" s="488"/>
      <c r="DS31" s="488"/>
      <c r="DT31" s="488"/>
      <c r="DU31" s="488"/>
      <c r="DV31" s="488"/>
      <c r="DW31" s="488"/>
      <c r="DX31" s="488"/>
      <c r="DY31" s="488"/>
      <c r="DZ31" s="488"/>
      <c r="EA31" s="488"/>
      <c r="EB31" s="488"/>
      <c r="EC31" s="488"/>
      <c r="ED31" s="488"/>
      <c r="EE31" s="488"/>
      <c r="EF31" s="488"/>
      <c r="EG31" s="488"/>
      <c r="EH31" s="488"/>
      <c r="EI31" s="488"/>
      <c r="EJ31" s="488"/>
      <c r="EK31" s="488"/>
      <c r="EL31" s="488"/>
      <c r="EM31" s="488"/>
      <c r="EN31" s="488"/>
      <c r="EO31" s="488"/>
      <c r="EP31" s="488"/>
      <c r="EQ31" s="488"/>
      <c r="ER31" s="488"/>
      <c r="ES31" s="488"/>
      <c r="ET31" s="488"/>
      <c r="EU31" s="488"/>
      <c r="EV31" s="488"/>
      <c r="EW31" s="488"/>
      <c r="EX31" s="488"/>
      <c r="EY31" s="488"/>
      <c r="EZ31" s="488"/>
      <c r="FA31" s="488"/>
      <c r="FB31" s="488"/>
      <c r="FC31" s="488"/>
      <c r="FD31" s="488"/>
      <c r="FE31" s="488"/>
      <c r="FF31" s="488"/>
      <c r="FG31" s="488"/>
      <c r="FH31" s="488"/>
    </row>
    <row r="32" spans="1:164" ht="13.05" hidden="1" customHeight="1" x14ac:dyDescent="0.25">
      <c r="A32" t="str">
        <f>Nutrients!B31</f>
        <v>Corn HP DDG</v>
      </c>
      <c r="B32" s="99"/>
      <c r="C32" s="99"/>
      <c r="D32" s="99"/>
      <c r="E32" s="99"/>
      <c r="F32" s="99"/>
      <c r="G32" s="99"/>
      <c r="H32" s="99"/>
      <c r="I32" s="99"/>
      <c r="J32" s="99"/>
      <c r="K32" s="99"/>
      <c r="L32" s="99"/>
      <c r="M32" s="99"/>
      <c r="N32" s="99"/>
      <c r="O32" s="10"/>
      <c r="P32" s="99"/>
      <c r="Q32" s="99"/>
      <c r="R32" s="99"/>
      <c r="S32" s="99"/>
      <c r="T32" s="99"/>
      <c r="U32" s="99"/>
      <c r="W32" s="99"/>
      <c r="X32" s="99"/>
      <c r="Y32" s="99"/>
      <c r="Z32" s="99"/>
      <c r="AA32" s="99"/>
      <c r="AB32" s="99"/>
      <c r="AD32" s="99"/>
      <c r="AE32" s="99"/>
      <c r="AF32" s="99"/>
      <c r="AG32" s="99"/>
      <c r="AH32" s="99"/>
      <c r="AI32" s="99"/>
      <c r="AK32" s="99"/>
      <c r="AL32" s="99"/>
      <c r="AM32" s="99"/>
      <c r="AN32" s="99"/>
      <c r="AO32" s="99"/>
      <c r="AP32" s="99"/>
      <c r="AR32" s="99"/>
      <c r="AS32" s="99"/>
      <c r="AT32" s="99"/>
      <c r="AU32" s="99"/>
      <c r="AV32" s="99"/>
      <c r="AW32" s="99"/>
      <c r="AY32" s="488"/>
      <c r="AZ32" s="488"/>
      <c r="BA32" s="488"/>
      <c r="BB32" s="488"/>
      <c r="BC32" s="488"/>
      <c r="BD32" s="488"/>
      <c r="BE32" s="488"/>
      <c r="BF32" s="488"/>
      <c r="BG32" s="488"/>
      <c r="BH32" s="488"/>
      <c r="BI32" s="488"/>
      <c r="BJ32" s="488"/>
      <c r="BK32" s="488"/>
      <c r="BL32" s="488"/>
      <c r="BM32" s="488"/>
      <c r="BN32" s="488"/>
      <c r="BO32" s="488"/>
      <c r="BP32" s="488"/>
      <c r="BQ32" s="488"/>
      <c r="BR32" s="488"/>
      <c r="BS32" s="488"/>
      <c r="BT32" s="488"/>
      <c r="BU32" s="488"/>
      <c r="BV32" s="488"/>
      <c r="BW32" s="488"/>
      <c r="BX32" s="488"/>
      <c r="BY32" s="488"/>
      <c r="BZ32" s="488"/>
      <c r="CA32" s="488"/>
      <c r="CB32" s="488"/>
      <c r="CC32" s="488"/>
      <c r="CD32" s="488"/>
      <c r="CE32" s="488"/>
      <c r="CF32" s="488"/>
      <c r="CG32" s="488"/>
      <c r="CH32" s="488"/>
      <c r="CI32" s="488"/>
      <c r="CJ32" s="488"/>
      <c r="CK32" s="488"/>
      <c r="CL32" s="488"/>
      <c r="CM32" s="488"/>
      <c r="CN32" s="488"/>
      <c r="CO32" s="488"/>
      <c r="CP32" s="488"/>
      <c r="CQ32" s="488"/>
      <c r="CR32" s="488"/>
      <c r="CS32" s="488"/>
      <c r="CT32" s="488"/>
      <c r="CU32" s="488"/>
      <c r="CV32" s="488"/>
      <c r="CW32" s="488"/>
      <c r="CX32" s="488"/>
      <c r="CY32" s="488"/>
      <c r="CZ32" s="488"/>
      <c r="DA32" s="488"/>
      <c r="DB32" s="488"/>
      <c r="DC32" s="488"/>
      <c r="DD32" s="488"/>
      <c r="DE32" s="488"/>
      <c r="DF32" s="488"/>
      <c r="DG32" s="488"/>
      <c r="DH32" s="488"/>
      <c r="DI32" s="488"/>
      <c r="DJ32" s="488"/>
      <c r="DK32" s="488"/>
      <c r="DL32" s="488"/>
      <c r="DM32" s="488"/>
      <c r="DN32" s="488"/>
      <c r="DO32" s="488"/>
      <c r="DP32" s="488"/>
      <c r="DQ32" s="488"/>
      <c r="DR32" s="488"/>
      <c r="DS32" s="488"/>
      <c r="DT32" s="488"/>
      <c r="DU32" s="488"/>
      <c r="DV32" s="488"/>
      <c r="DW32" s="488"/>
      <c r="DX32" s="488"/>
      <c r="DY32" s="488"/>
      <c r="DZ32" s="488"/>
      <c r="EA32" s="488"/>
      <c r="EB32" s="488"/>
      <c r="EC32" s="488"/>
      <c r="ED32" s="488"/>
      <c r="EE32" s="488"/>
      <c r="EF32" s="488"/>
      <c r="EG32" s="488"/>
      <c r="EH32" s="488"/>
      <c r="EI32" s="488"/>
      <c r="EJ32" s="488"/>
      <c r="EK32" s="488"/>
      <c r="EL32" s="488"/>
      <c r="EM32" s="488"/>
      <c r="EN32" s="488"/>
      <c r="EO32" s="488"/>
      <c r="EP32" s="488"/>
      <c r="EQ32" s="488"/>
      <c r="ER32" s="488"/>
      <c r="ES32" s="488"/>
      <c r="ET32" s="488"/>
      <c r="EU32" s="488"/>
      <c r="EV32" s="488"/>
      <c r="EW32" s="488"/>
      <c r="EX32" s="488"/>
      <c r="EY32" s="488"/>
      <c r="EZ32" s="488"/>
      <c r="FA32" s="488"/>
      <c r="FB32" s="488"/>
      <c r="FC32" s="488"/>
      <c r="FD32" s="488"/>
      <c r="FE32" s="488"/>
      <c r="FF32" s="488"/>
      <c r="FG32" s="488"/>
      <c r="FH32" s="488"/>
    </row>
    <row r="33" spans="1:164" ht="13.05" hidden="1" customHeight="1" x14ac:dyDescent="0.25">
      <c r="A33" t="str">
        <f>Nutrients!B32</f>
        <v>Corn Germ</v>
      </c>
      <c r="B33" s="99"/>
      <c r="C33" s="99"/>
      <c r="D33" s="99"/>
      <c r="E33" s="99"/>
      <c r="F33" s="99"/>
      <c r="G33" s="99"/>
      <c r="H33" s="99"/>
      <c r="I33" s="99"/>
      <c r="J33" s="99"/>
      <c r="K33" s="99"/>
      <c r="L33" s="99"/>
      <c r="M33" s="99"/>
      <c r="N33" s="99"/>
      <c r="O33" s="10"/>
      <c r="P33" s="99"/>
      <c r="Q33" s="99"/>
      <c r="R33" s="99"/>
      <c r="S33" s="99"/>
      <c r="T33" s="99"/>
      <c r="U33" s="99"/>
      <c r="W33" s="99"/>
      <c r="X33" s="99"/>
      <c r="Y33" s="99"/>
      <c r="Z33" s="99"/>
      <c r="AA33" s="99"/>
      <c r="AB33" s="99"/>
      <c r="AD33" s="99"/>
      <c r="AE33" s="99"/>
      <c r="AF33" s="99"/>
      <c r="AG33" s="99"/>
      <c r="AH33" s="99"/>
      <c r="AI33" s="99"/>
      <c r="AK33" s="99"/>
      <c r="AL33" s="99"/>
      <c r="AM33" s="99"/>
      <c r="AN33" s="99"/>
      <c r="AO33" s="99"/>
      <c r="AP33" s="99"/>
      <c r="AR33" s="99"/>
      <c r="AS33" s="99"/>
      <c r="AT33" s="99"/>
      <c r="AU33" s="99"/>
      <c r="AV33" s="99"/>
      <c r="AW33" s="99"/>
      <c r="AY33" s="488"/>
      <c r="AZ33" s="488"/>
      <c r="BA33" s="488"/>
      <c r="BB33" s="488"/>
      <c r="BC33" s="488"/>
      <c r="BD33" s="488"/>
      <c r="BE33" s="488"/>
      <c r="BF33" s="488"/>
      <c r="BG33" s="488"/>
      <c r="BH33" s="488"/>
      <c r="BI33" s="488"/>
      <c r="BJ33" s="488"/>
      <c r="BK33" s="488"/>
      <c r="BL33" s="488"/>
      <c r="BM33" s="488"/>
      <c r="BN33" s="488"/>
      <c r="BO33" s="488"/>
      <c r="BP33" s="488"/>
      <c r="BQ33" s="488"/>
      <c r="BR33" s="488"/>
      <c r="BS33" s="488"/>
      <c r="BT33" s="488"/>
      <c r="BU33" s="488"/>
      <c r="BV33" s="488"/>
      <c r="BW33" s="488"/>
      <c r="BX33" s="488"/>
      <c r="BY33" s="488"/>
      <c r="BZ33" s="488"/>
      <c r="CA33" s="488"/>
      <c r="CB33" s="488"/>
      <c r="CC33" s="488"/>
      <c r="CD33" s="488"/>
      <c r="CE33" s="488"/>
      <c r="CF33" s="488"/>
      <c r="CG33" s="488"/>
      <c r="CH33" s="488"/>
      <c r="CI33" s="488"/>
      <c r="CJ33" s="488"/>
      <c r="CK33" s="488"/>
      <c r="CL33" s="488"/>
      <c r="CM33" s="488"/>
      <c r="CN33" s="488"/>
      <c r="CO33" s="488"/>
      <c r="CP33" s="488"/>
      <c r="CQ33" s="488"/>
      <c r="CR33" s="488"/>
      <c r="CS33" s="488"/>
      <c r="CT33" s="488"/>
      <c r="CU33" s="488"/>
      <c r="CV33" s="488"/>
      <c r="CW33" s="488"/>
      <c r="CX33" s="488"/>
      <c r="CY33" s="488"/>
      <c r="CZ33" s="488"/>
      <c r="DA33" s="488"/>
      <c r="DB33" s="488"/>
      <c r="DC33" s="488"/>
      <c r="DD33" s="488"/>
      <c r="DE33" s="488"/>
      <c r="DF33" s="488"/>
      <c r="DG33" s="488"/>
      <c r="DH33" s="488"/>
      <c r="DI33" s="488"/>
      <c r="DJ33" s="488"/>
      <c r="DK33" s="488"/>
      <c r="DL33" s="488"/>
      <c r="DM33" s="488"/>
      <c r="DN33" s="488"/>
      <c r="DO33" s="488"/>
      <c r="DP33" s="488"/>
      <c r="DQ33" s="488"/>
      <c r="DR33" s="488"/>
      <c r="DS33" s="488"/>
      <c r="DT33" s="488"/>
      <c r="DU33" s="488"/>
      <c r="DV33" s="488"/>
      <c r="DW33" s="488"/>
      <c r="DX33" s="488"/>
      <c r="DY33" s="488"/>
      <c r="DZ33" s="488"/>
      <c r="EA33" s="488"/>
      <c r="EB33" s="488"/>
      <c r="EC33" s="488"/>
      <c r="ED33" s="488"/>
      <c r="EE33" s="488"/>
      <c r="EF33" s="488"/>
      <c r="EG33" s="488"/>
      <c r="EH33" s="488"/>
      <c r="EI33" s="488"/>
      <c r="EJ33" s="488"/>
      <c r="EK33" s="488"/>
      <c r="EL33" s="488"/>
      <c r="EM33" s="488"/>
      <c r="EN33" s="488"/>
      <c r="EO33" s="488"/>
      <c r="EP33" s="488"/>
      <c r="EQ33" s="488"/>
      <c r="ER33" s="488"/>
      <c r="ES33" s="488"/>
      <c r="ET33" s="488"/>
      <c r="EU33" s="488"/>
      <c r="EV33" s="488"/>
      <c r="EW33" s="488"/>
      <c r="EX33" s="488"/>
      <c r="EY33" s="488"/>
      <c r="EZ33" s="488"/>
      <c r="FA33" s="488"/>
      <c r="FB33" s="488"/>
      <c r="FC33" s="488"/>
      <c r="FD33" s="488"/>
      <c r="FE33" s="488"/>
      <c r="FF33" s="488"/>
      <c r="FG33" s="488"/>
      <c r="FH33" s="488"/>
    </row>
    <row r="34" spans="1:164" ht="13.05" hidden="1" customHeight="1" x14ac:dyDescent="0.25">
      <c r="A34" t="str">
        <f>Nutrients!B33</f>
        <v>Corn Germ Meal</v>
      </c>
      <c r="B34" s="99"/>
      <c r="C34" s="99"/>
      <c r="D34" s="99"/>
      <c r="E34" s="99"/>
      <c r="F34" s="99"/>
      <c r="G34" s="99"/>
      <c r="H34" s="99"/>
      <c r="I34" s="99"/>
      <c r="J34" s="99"/>
      <c r="K34" s="99"/>
      <c r="L34" s="99"/>
      <c r="M34" s="99"/>
      <c r="N34" s="99"/>
      <c r="O34" s="10"/>
      <c r="P34" s="99"/>
      <c r="Q34" s="99"/>
      <c r="R34" s="99"/>
      <c r="S34" s="99"/>
      <c r="T34" s="99"/>
      <c r="U34" s="99"/>
      <c r="W34" s="99"/>
      <c r="X34" s="99"/>
      <c r="Y34" s="99"/>
      <c r="Z34" s="99"/>
      <c r="AA34" s="99"/>
      <c r="AB34" s="99"/>
      <c r="AD34" s="99"/>
      <c r="AE34" s="99"/>
      <c r="AF34" s="99"/>
      <c r="AG34" s="99"/>
      <c r="AH34" s="99"/>
      <c r="AI34" s="99"/>
      <c r="AK34" s="99"/>
      <c r="AL34" s="99"/>
      <c r="AM34" s="99"/>
      <c r="AN34" s="99"/>
      <c r="AO34" s="99"/>
      <c r="AP34" s="99"/>
      <c r="AR34" s="99"/>
      <c r="AS34" s="99"/>
      <c r="AT34" s="99"/>
      <c r="AU34" s="99"/>
      <c r="AV34" s="99"/>
      <c r="AW34" s="99"/>
      <c r="AY34" s="488"/>
      <c r="AZ34" s="488"/>
      <c r="BA34" s="488"/>
      <c r="BB34" s="488"/>
      <c r="BC34" s="488"/>
      <c r="BD34" s="488"/>
      <c r="BE34" s="488"/>
      <c r="BF34" s="488"/>
      <c r="BG34" s="488"/>
      <c r="BH34" s="488"/>
      <c r="BI34" s="488"/>
      <c r="BJ34" s="488"/>
      <c r="BK34" s="488"/>
      <c r="BL34" s="488"/>
      <c r="BM34" s="488"/>
      <c r="BN34" s="488"/>
      <c r="BO34" s="488"/>
      <c r="BP34" s="488"/>
      <c r="BQ34" s="488"/>
      <c r="BR34" s="488"/>
      <c r="BS34" s="488"/>
      <c r="BT34" s="488"/>
      <c r="BU34" s="488"/>
      <c r="BV34" s="488"/>
      <c r="BW34" s="488"/>
      <c r="BX34" s="488"/>
      <c r="BY34" s="488"/>
      <c r="BZ34" s="488"/>
      <c r="CA34" s="488"/>
      <c r="CB34" s="488"/>
      <c r="CC34" s="488"/>
      <c r="CD34" s="488"/>
      <c r="CE34" s="488"/>
      <c r="CF34" s="488"/>
      <c r="CG34" s="488"/>
      <c r="CH34" s="488"/>
      <c r="CI34" s="488"/>
      <c r="CJ34" s="488"/>
      <c r="CK34" s="488"/>
      <c r="CL34" s="488"/>
      <c r="CM34" s="488"/>
      <c r="CN34" s="488"/>
      <c r="CO34" s="488"/>
      <c r="CP34" s="488"/>
      <c r="CQ34" s="488"/>
      <c r="CR34" s="488"/>
      <c r="CS34" s="488"/>
      <c r="CT34" s="488"/>
      <c r="CU34" s="488"/>
      <c r="CV34" s="488"/>
      <c r="CW34" s="488"/>
      <c r="CX34" s="488"/>
      <c r="CY34" s="488"/>
      <c r="CZ34" s="488"/>
      <c r="DA34" s="488"/>
      <c r="DB34" s="488"/>
      <c r="DC34" s="488"/>
      <c r="DD34" s="488"/>
      <c r="DE34" s="488"/>
      <c r="DF34" s="488"/>
      <c r="DG34" s="488"/>
      <c r="DH34" s="488"/>
      <c r="DI34" s="488"/>
      <c r="DJ34" s="488"/>
      <c r="DK34" s="488"/>
      <c r="DL34" s="488"/>
      <c r="DM34" s="488"/>
      <c r="DN34" s="488"/>
      <c r="DO34" s="488"/>
      <c r="DP34" s="488"/>
      <c r="DQ34" s="488"/>
      <c r="DR34" s="488"/>
      <c r="DS34" s="488"/>
      <c r="DT34" s="488"/>
      <c r="DU34" s="488"/>
      <c r="DV34" s="488"/>
      <c r="DW34" s="488"/>
      <c r="DX34" s="488"/>
      <c r="DY34" s="488"/>
      <c r="DZ34" s="488"/>
      <c r="EA34" s="488"/>
      <c r="EB34" s="488"/>
      <c r="EC34" s="488"/>
      <c r="ED34" s="488"/>
      <c r="EE34" s="488"/>
      <c r="EF34" s="488"/>
      <c r="EG34" s="488"/>
      <c r="EH34" s="488"/>
      <c r="EI34" s="488"/>
      <c r="EJ34" s="488"/>
      <c r="EK34" s="488"/>
      <c r="EL34" s="488"/>
      <c r="EM34" s="488"/>
      <c r="EN34" s="488"/>
      <c r="EO34" s="488"/>
      <c r="EP34" s="488"/>
      <c r="EQ34" s="488"/>
      <c r="ER34" s="488"/>
      <c r="ES34" s="488"/>
      <c r="ET34" s="488"/>
      <c r="EU34" s="488"/>
      <c r="EV34" s="488"/>
      <c r="EW34" s="488"/>
      <c r="EX34" s="488"/>
      <c r="EY34" s="488"/>
      <c r="EZ34" s="488"/>
      <c r="FA34" s="488"/>
      <c r="FB34" s="488"/>
      <c r="FC34" s="488"/>
      <c r="FD34" s="488"/>
      <c r="FE34" s="488"/>
      <c r="FF34" s="488"/>
      <c r="FG34" s="488"/>
      <c r="FH34" s="488"/>
    </row>
    <row r="35" spans="1:164" ht="13.05" hidden="1" customHeight="1" x14ac:dyDescent="0.25">
      <c r="A35" t="str">
        <f>Nutrients!B34</f>
        <v>Corn Gluten Feed</v>
      </c>
      <c r="B35" s="99"/>
      <c r="C35" s="99"/>
      <c r="D35" s="99"/>
      <c r="E35" s="99"/>
      <c r="F35" s="99"/>
      <c r="G35" s="99"/>
      <c r="H35" s="99"/>
      <c r="I35" s="99"/>
      <c r="J35" s="99"/>
      <c r="K35" s="99"/>
      <c r="L35" s="99"/>
      <c r="M35" s="99"/>
      <c r="N35" s="99"/>
      <c r="O35" s="10"/>
      <c r="P35" s="99"/>
      <c r="Q35" s="99"/>
      <c r="R35" s="99"/>
      <c r="S35" s="99"/>
      <c r="T35" s="99"/>
      <c r="U35" s="99"/>
      <c r="W35" s="99"/>
      <c r="X35" s="99"/>
      <c r="Y35" s="99"/>
      <c r="Z35" s="99"/>
      <c r="AA35" s="99"/>
      <c r="AB35" s="99"/>
      <c r="AD35" s="99"/>
      <c r="AE35" s="99"/>
      <c r="AF35" s="99"/>
      <c r="AG35" s="99"/>
      <c r="AH35" s="99"/>
      <c r="AI35" s="99"/>
      <c r="AK35" s="99"/>
      <c r="AL35" s="99"/>
      <c r="AM35" s="99"/>
      <c r="AN35" s="99"/>
      <c r="AO35" s="99"/>
      <c r="AP35" s="99"/>
      <c r="AR35" s="99"/>
      <c r="AS35" s="99"/>
      <c r="AT35" s="99"/>
      <c r="AU35" s="99"/>
      <c r="AV35" s="99"/>
      <c r="AW35" s="99"/>
      <c r="AY35" s="488"/>
      <c r="AZ35" s="488"/>
      <c r="BA35" s="488"/>
      <c r="BB35" s="488"/>
      <c r="BC35" s="488"/>
      <c r="BD35" s="488"/>
      <c r="BE35" s="488"/>
      <c r="BF35" s="488"/>
      <c r="BG35" s="488"/>
      <c r="BH35" s="488"/>
      <c r="BI35" s="488"/>
      <c r="BJ35" s="488"/>
      <c r="BK35" s="488"/>
      <c r="BL35" s="488"/>
      <c r="BM35" s="488"/>
      <c r="BN35" s="488"/>
      <c r="BO35" s="488"/>
      <c r="BP35" s="488"/>
      <c r="BQ35" s="488"/>
      <c r="BR35" s="488"/>
      <c r="BS35" s="488"/>
      <c r="BT35" s="488"/>
      <c r="BU35" s="488"/>
      <c r="BV35" s="488"/>
      <c r="BW35" s="488"/>
      <c r="BX35" s="488"/>
      <c r="BY35" s="488"/>
      <c r="BZ35" s="488"/>
      <c r="CA35" s="488"/>
      <c r="CB35" s="488"/>
      <c r="CC35" s="488"/>
      <c r="CD35" s="488"/>
      <c r="CE35" s="488"/>
      <c r="CF35" s="488"/>
      <c r="CG35" s="488"/>
      <c r="CH35" s="488"/>
      <c r="CI35" s="488"/>
      <c r="CJ35" s="488"/>
      <c r="CK35" s="488"/>
      <c r="CL35" s="488"/>
      <c r="CM35" s="488"/>
      <c r="CN35" s="488"/>
      <c r="CO35" s="488"/>
      <c r="CP35" s="488"/>
      <c r="CQ35" s="488"/>
      <c r="CR35" s="488"/>
      <c r="CS35" s="488"/>
      <c r="CT35" s="488"/>
      <c r="CU35" s="488"/>
      <c r="CV35" s="488"/>
      <c r="CW35" s="488"/>
      <c r="CX35" s="488"/>
      <c r="CY35" s="488"/>
      <c r="CZ35" s="488"/>
      <c r="DA35" s="488"/>
      <c r="DB35" s="488"/>
      <c r="DC35" s="488"/>
      <c r="DD35" s="488"/>
      <c r="DE35" s="488"/>
      <c r="DF35" s="488"/>
      <c r="DG35" s="488"/>
      <c r="DH35" s="488"/>
      <c r="DI35" s="488"/>
      <c r="DJ35" s="488"/>
      <c r="DK35" s="488"/>
      <c r="DL35" s="488"/>
      <c r="DM35" s="488"/>
      <c r="DN35" s="488"/>
      <c r="DO35" s="488"/>
      <c r="DP35" s="488"/>
      <c r="DQ35" s="488"/>
      <c r="DR35" s="488"/>
      <c r="DS35" s="488"/>
      <c r="DT35" s="488"/>
      <c r="DU35" s="488"/>
      <c r="DV35" s="488"/>
      <c r="DW35" s="488"/>
      <c r="DX35" s="488"/>
      <c r="DY35" s="488"/>
      <c r="DZ35" s="488"/>
      <c r="EA35" s="488"/>
      <c r="EB35" s="488"/>
      <c r="EC35" s="488"/>
      <c r="ED35" s="488"/>
      <c r="EE35" s="488"/>
      <c r="EF35" s="488"/>
      <c r="EG35" s="488"/>
      <c r="EH35" s="488"/>
      <c r="EI35" s="488"/>
      <c r="EJ35" s="488"/>
      <c r="EK35" s="488"/>
      <c r="EL35" s="488"/>
      <c r="EM35" s="488"/>
      <c r="EN35" s="488"/>
      <c r="EO35" s="488"/>
      <c r="EP35" s="488"/>
      <c r="EQ35" s="488"/>
      <c r="ER35" s="488"/>
      <c r="ES35" s="488"/>
      <c r="ET35" s="488"/>
      <c r="EU35" s="488"/>
      <c r="EV35" s="488"/>
      <c r="EW35" s="488"/>
      <c r="EX35" s="488"/>
      <c r="EY35" s="488"/>
      <c r="EZ35" s="488"/>
      <c r="FA35" s="488"/>
      <c r="FB35" s="488"/>
      <c r="FC35" s="488"/>
      <c r="FD35" s="488"/>
      <c r="FE35" s="488"/>
      <c r="FF35" s="488"/>
      <c r="FG35" s="488"/>
      <c r="FH35" s="488"/>
    </row>
    <row r="36" spans="1:164" ht="13.05" hidden="1" customHeight="1" x14ac:dyDescent="0.25">
      <c r="A36" t="str">
        <f>Nutrients!B35</f>
        <v>Corn Gluten Meal</v>
      </c>
      <c r="B36" s="99"/>
      <c r="C36" s="99"/>
      <c r="D36" s="99"/>
      <c r="E36" s="99"/>
      <c r="F36" s="99"/>
      <c r="G36" s="99"/>
      <c r="H36" s="99"/>
      <c r="I36" s="99"/>
      <c r="J36" s="99"/>
      <c r="K36" s="99"/>
      <c r="L36" s="99"/>
      <c r="M36" s="99"/>
      <c r="N36" s="99"/>
      <c r="O36" s="10"/>
      <c r="P36" s="99"/>
      <c r="Q36" s="99"/>
      <c r="R36" s="99"/>
      <c r="S36" s="99"/>
      <c r="T36" s="99"/>
      <c r="U36" s="99"/>
      <c r="W36" s="99"/>
      <c r="X36" s="99"/>
      <c r="Y36" s="99"/>
      <c r="Z36" s="99"/>
      <c r="AA36" s="99"/>
      <c r="AB36" s="99"/>
      <c r="AD36" s="99"/>
      <c r="AE36" s="99"/>
      <c r="AF36" s="99"/>
      <c r="AG36" s="99"/>
      <c r="AH36" s="99"/>
      <c r="AI36" s="99"/>
      <c r="AK36" s="99"/>
      <c r="AL36" s="99"/>
      <c r="AM36" s="99"/>
      <c r="AN36" s="99"/>
      <c r="AO36" s="99"/>
      <c r="AP36" s="99"/>
      <c r="AR36" s="99"/>
      <c r="AS36" s="99"/>
      <c r="AT36" s="99"/>
      <c r="AU36" s="99"/>
      <c r="AV36" s="99"/>
      <c r="AW36" s="99"/>
      <c r="AY36" s="488"/>
      <c r="AZ36" s="488"/>
      <c r="BA36" s="488"/>
      <c r="BB36" s="488"/>
      <c r="BC36" s="488"/>
      <c r="BD36" s="488"/>
      <c r="BE36" s="488"/>
      <c r="BF36" s="488"/>
      <c r="BG36" s="488"/>
      <c r="BH36" s="488"/>
      <c r="BI36" s="488"/>
      <c r="BJ36" s="488"/>
      <c r="BK36" s="488"/>
      <c r="BL36" s="488"/>
      <c r="BM36" s="488"/>
      <c r="BN36" s="488"/>
      <c r="BO36" s="488"/>
      <c r="BP36" s="488"/>
      <c r="BQ36" s="488"/>
      <c r="BR36" s="488"/>
      <c r="BS36" s="488"/>
      <c r="BT36" s="488"/>
      <c r="BU36" s="488"/>
      <c r="BV36" s="488"/>
      <c r="BW36" s="488"/>
      <c r="BX36" s="488"/>
      <c r="BY36" s="488"/>
      <c r="BZ36" s="488"/>
      <c r="CA36" s="488"/>
      <c r="CB36" s="488"/>
      <c r="CC36" s="488"/>
      <c r="CD36" s="488"/>
      <c r="CE36" s="488"/>
      <c r="CF36" s="488"/>
      <c r="CG36" s="488"/>
      <c r="CH36" s="488"/>
      <c r="CI36" s="488"/>
      <c r="CJ36" s="488"/>
      <c r="CK36" s="488"/>
      <c r="CL36" s="488"/>
      <c r="CM36" s="488"/>
      <c r="CN36" s="488"/>
      <c r="CO36" s="488"/>
      <c r="CP36" s="488"/>
      <c r="CQ36" s="488"/>
      <c r="CR36" s="488"/>
      <c r="CS36" s="488"/>
      <c r="CT36" s="488"/>
      <c r="CU36" s="488"/>
      <c r="CV36" s="488"/>
      <c r="CW36" s="488"/>
      <c r="CX36" s="488"/>
      <c r="CY36" s="488"/>
      <c r="CZ36" s="488"/>
      <c r="DA36" s="488"/>
      <c r="DB36" s="488"/>
      <c r="DC36" s="488"/>
      <c r="DD36" s="488"/>
      <c r="DE36" s="488"/>
      <c r="DF36" s="488"/>
      <c r="DG36" s="488"/>
      <c r="DH36" s="488"/>
      <c r="DI36" s="488"/>
      <c r="DJ36" s="488"/>
      <c r="DK36" s="488"/>
      <c r="DL36" s="488"/>
      <c r="DM36" s="488"/>
      <c r="DN36" s="488"/>
      <c r="DO36" s="488"/>
      <c r="DP36" s="488"/>
      <c r="DQ36" s="488"/>
      <c r="DR36" s="488"/>
      <c r="DS36" s="488"/>
      <c r="DT36" s="488"/>
      <c r="DU36" s="488"/>
      <c r="DV36" s="488"/>
      <c r="DW36" s="488"/>
      <c r="DX36" s="488"/>
      <c r="DY36" s="488"/>
      <c r="DZ36" s="488"/>
      <c r="EA36" s="488"/>
      <c r="EB36" s="488"/>
      <c r="EC36" s="488"/>
      <c r="ED36" s="488"/>
      <c r="EE36" s="488"/>
      <c r="EF36" s="488"/>
      <c r="EG36" s="488"/>
      <c r="EH36" s="488"/>
      <c r="EI36" s="488"/>
      <c r="EJ36" s="488"/>
      <c r="EK36" s="488"/>
      <c r="EL36" s="488"/>
      <c r="EM36" s="488"/>
      <c r="EN36" s="488"/>
      <c r="EO36" s="488"/>
      <c r="EP36" s="488"/>
      <c r="EQ36" s="488"/>
      <c r="ER36" s="488"/>
      <c r="ES36" s="488"/>
      <c r="ET36" s="488"/>
      <c r="EU36" s="488"/>
      <c r="EV36" s="488"/>
      <c r="EW36" s="488"/>
      <c r="EX36" s="488"/>
      <c r="EY36" s="488"/>
      <c r="EZ36" s="488"/>
      <c r="FA36" s="488"/>
      <c r="FB36" s="488"/>
      <c r="FC36" s="488"/>
      <c r="FD36" s="488"/>
      <c r="FE36" s="488"/>
      <c r="FF36" s="488"/>
      <c r="FG36" s="488"/>
      <c r="FH36" s="488"/>
    </row>
    <row r="37" spans="1:164" ht="13.05" hidden="1" customHeight="1" x14ac:dyDescent="0.25">
      <c r="A37" t="str">
        <f>Nutrients!B36</f>
        <v>Corn Grits, Hominy Feed</v>
      </c>
      <c r="B37" s="99"/>
      <c r="C37" s="99"/>
      <c r="D37" s="99"/>
      <c r="E37" s="99"/>
      <c r="F37" s="99"/>
      <c r="G37" s="99"/>
      <c r="H37" s="99"/>
      <c r="I37" s="99"/>
      <c r="J37" s="99"/>
      <c r="K37" s="99"/>
      <c r="L37" s="99"/>
      <c r="M37" s="99"/>
      <c r="N37" s="99"/>
      <c r="O37" s="10"/>
      <c r="P37" s="99"/>
      <c r="Q37" s="99"/>
      <c r="R37" s="99"/>
      <c r="S37" s="99"/>
      <c r="T37" s="99"/>
      <c r="U37" s="99"/>
      <c r="W37" s="99"/>
      <c r="X37" s="99"/>
      <c r="Y37" s="99"/>
      <c r="Z37" s="99"/>
      <c r="AA37" s="99"/>
      <c r="AB37" s="99"/>
      <c r="AD37" s="99"/>
      <c r="AE37" s="99"/>
      <c r="AF37" s="99"/>
      <c r="AG37" s="99"/>
      <c r="AH37" s="99"/>
      <c r="AI37" s="99"/>
      <c r="AK37" s="99"/>
      <c r="AL37" s="99"/>
      <c r="AM37" s="99"/>
      <c r="AN37" s="99"/>
      <c r="AO37" s="99"/>
      <c r="AP37" s="99"/>
      <c r="AR37" s="99"/>
      <c r="AS37" s="99"/>
      <c r="AT37" s="99"/>
      <c r="AU37" s="99"/>
      <c r="AV37" s="99"/>
      <c r="AW37" s="99"/>
      <c r="AY37" s="488"/>
      <c r="AZ37" s="488"/>
      <c r="BA37" s="488"/>
      <c r="BB37" s="488"/>
      <c r="BC37" s="488"/>
      <c r="BD37" s="488"/>
      <c r="BE37" s="488"/>
      <c r="BF37" s="488"/>
      <c r="BG37" s="488"/>
      <c r="BH37" s="488"/>
      <c r="BI37" s="488"/>
      <c r="BJ37" s="488"/>
      <c r="BK37" s="488"/>
      <c r="BL37" s="488"/>
      <c r="BM37" s="488"/>
      <c r="BN37" s="488"/>
      <c r="BO37" s="488"/>
      <c r="BP37" s="488"/>
      <c r="BQ37" s="488"/>
      <c r="BR37" s="488"/>
      <c r="BS37" s="488"/>
      <c r="BT37" s="488"/>
      <c r="BU37" s="488"/>
      <c r="BV37" s="488"/>
      <c r="BW37" s="488"/>
      <c r="BX37" s="488"/>
      <c r="BY37" s="488"/>
      <c r="BZ37" s="488"/>
      <c r="CA37" s="488"/>
      <c r="CB37" s="488"/>
      <c r="CC37" s="488"/>
      <c r="CD37" s="488"/>
      <c r="CE37" s="488"/>
      <c r="CF37" s="488"/>
      <c r="CG37" s="488"/>
      <c r="CH37" s="488"/>
      <c r="CI37" s="488"/>
      <c r="CJ37" s="488"/>
      <c r="CK37" s="488"/>
      <c r="CL37" s="488"/>
      <c r="CM37" s="488"/>
      <c r="CN37" s="488"/>
      <c r="CO37" s="488"/>
      <c r="CP37" s="488"/>
      <c r="CQ37" s="488"/>
      <c r="CR37" s="488"/>
      <c r="CS37" s="488"/>
      <c r="CT37" s="488"/>
      <c r="CU37" s="488"/>
      <c r="CV37" s="488"/>
      <c r="CW37" s="488"/>
      <c r="CX37" s="488"/>
      <c r="CY37" s="488"/>
      <c r="CZ37" s="488"/>
      <c r="DA37" s="488"/>
      <c r="DB37" s="488"/>
      <c r="DC37" s="488"/>
      <c r="DD37" s="488"/>
      <c r="DE37" s="488"/>
      <c r="DF37" s="488"/>
      <c r="DG37" s="488"/>
      <c r="DH37" s="488"/>
      <c r="DI37" s="488"/>
      <c r="DJ37" s="488"/>
      <c r="DK37" s="488"/>
      <c r="DL37" s="488"/>
      <c r="DM37" s="488"/>
      <c r="DN37" s="488"/>
      <c r="DO37" s="488"/>
      <c r="DP37" s="488"/>
      <c r="DQ37" s="488"/>
      <c r="DR37" s="488"/>
      <c r="DS37" s="488"/>
      <c r="DT37" s="488"/>
      <c r="DU37" s="488"/>
      <c r="DV37" s="488"/>
      <c r="DW37" s="488"/>
      <c r="DX37" s="488"/>
      <c r="DY37" s="488"/>
      <c r="DZ37" s="488"/>
      <c r="EA37" s="488"/>
      <c r="EB37" s="488"/>
      <c r="EC37" s="488"/>
      <c r="ED37" s="488"/>
      <c r="EE37" s="488"/>
      <c r="EF37" s="488"/>
      <c r="EG37" s="488"/>
      <c r="EH37" s="488"/>
      <c r="EI37" s="488"/>
      <c r="EJ37" s="488"/>
      <c r="EK37" s="488"/>
      <c r="EL37" s="488"/>
      <c r="EM37" s="488"/>
      <c r="EN37" s="488"/>
      <c r="EO37" s="488"/>
      <c r="EP37" s="488"/>
      <c r="EQ37" s="488"/>
      <c r="ER37" s="488"/>
      <c r="ES37" s="488"/>
      <c r="ET37" s="488"/>
      <c r="EU37" s="488"/>
      <c r="EV37" s="488"/>
      <c r="EW37" s="488"/>
      <c r="EX37" s="488"/>
      <c r="EY37" s="488"/>
      <c r="EZ37" s="488"/>
      <c r="FA37" s="488"/>
      <c r="FB37" s="488"/>
      <c r="FC37" s="488"/>
      <c r="FD37" s="488"/>
      <c r="FE37" s="488"/>
      <c r="FF37" s="488"/>
      <c r="FG37" s="488"/>
      <c r="FH37" s="488"/>
    </row>
    <row r="38" spans="1:164" ht="13.05" hidden="1" customHeight="1" x14ac:dyDescent="0.25">
      <c r="A38" t="str">
        <f>Nutrients!B37</f>
        <v>Cotton Seeds, Fullfat</v>
      </c>
      <c r="B38" s="99"/>
      <c r="C38" s="99"/>
      <c r="D38" s="99"/>
      <c r="E38" s="99"/>
      <c r="F38" s="99"/>
      <c r="G38" s="99"/>
      <c r="H38" s="99"/>
      <c r="I38" s="99"/>
      <c r="J38" s="99"/>
      <c r="K38" s="99"/>
      <c r="L38" s="99"/>
      <c r="M38" s="99"/>
      <c r="N38" s="99"/>
      <c r="O38" s="10"/>
      <c r="P38" s="99"/>
      <c r="Q38" s="99"/>
      <c r="R38" s="99"/>
      <c r="S38" s="99"/>
      <c r="T38" s="99"/>
      <c r="U38" s="99"/>
      <c r="W38" s="99"/>
      <c r="X38" s="99"/>
      <c r="Y38" s="99"/>
      <c r="Z38" s="99"/>
      <c r="AA38" s="99"/>
      <c r="AB38" s="99"/>
      <c r="AD38" s="99"/>
      <c r="AE38" s="99"/>
      <c r="AF38" s="99"/>
      <c r="AG38" s="99"/>
      <c r="AH38" s="99"/>
      <c r="AI38" s="99"/>
      <c r="AK38" s="99"/>
      <c r="AL38" s="99"/>
      <c r="AM38" s="99"/>
      <c r="AN38" s="99"/>
      <c r="AO38" s="99"/>
      <c r="AP38" s="99"/>
      <c r="AR38" s="99"/>
      <c r="AS38" s="99"/>
      <c r="AT38" s="99"/>
      <c r="AU38" s="99"/>
      <c r="AV38" s="99"/>
      <c r="AW38" s="99"/>
      <c r="AY38" s="488"/>
      <c r="AZ38" s="488"/>
      <c r="BA38" s="488"/>
      <c r="BB38" s="488"/>
      <c r="BC38" s="488"/>
      <c r="BD38" s="488"/>
      <c r="BE38" s="488"/>
      <c r="BF38" s="488"/>
      <c r="BG38" s="488"/>
      <c r="BH38" s="488"/>
      <c r="BI38" s="488"/>
      <c r="BJ38" s="488"/>
      <c r="BK38" s="488"/>
      <c r="BL38" s="488"/>
      <c r="BM38" s="488"/>
      <c r="BN38" s="488"/>
      <c r="BO38" s="488"/>
      <c r="BP38" s="488"/>
      <c r="BQ38" s="488"/>
      <c r="BR38" s="488"/>
      <c r="BS38" s="488"/>
      <c r="BT38" s="488"/>
      <c r="BU38" s="488"/>
      <c r="BV38" s="488"/>
      <c r="BW38" s="488"/>
      <c r="BX38" s="488"/>
      <c r="BY38" s="488"/>
      <c r="BZ38" s="488"/>
      <c r="CA38" s="488"/>
      <c r="CB38" s="488"/>
      <c r="CC38" s="488"/>
      <c r="CD38" s="488"/>
      <c r="CE38" s="488"/>
      <c r="CF38" s="488"/>
      <c r="CG38" s="488"/>
      <c r="CH38" s="488"/>
      <c r="CI38" s="488"/>
      <c r="CJ38" s="488"/>
      <c r="CK38" s="488"/>
      <c r="CL38" s="488"/>
      <c r="CM38" s="488"/>
      <c r="CN38" s="488"/>
      <c r="CO38" s="488"/>
      <c r="CP38" s="488"/>
      <c r="CQ38" s="488"/>
      <c r="CR38" s="488"/>
      <c r="CS38" s="488"/>
      <c r="CT38" s="488"/>
      <c r="CU38" s="488"/>
      <c r="CV38" s="488"/>
      <c r="CW38" s="488"/>
      <c r="CX38" s="488"/>
      <c r="CY38" s="488"/>
      <c r="CZ38" s="488"/>
      <c r="DA38" s="488"/>
      <c r="DB38" s="488"/>
      <c r="DC38" s="488"/>
      <c r="DD38" s="488"/>
      <c r="DE38" s="488"/>
      <c r="DF38" s="488"/>
      <c r="DG38" s="488"/>
      <c r="DH38" s="488"/>
      <c r="DI38" s="488"/>
      <c r="DJ38" s="488"/>
      <c r="DK38" s="488"/>
      <c r="DL38" s="488"/>
      <c r="DM38" s="488"/>
      <c r="DN38" s="488"/>
      <c r="DO38" s="488"/>
      <c r="DP38" s="488"/>
      <c r="DQ38" s="488"/>
      <c r="DR38" s="488"/>
      <c r="DS38" s="488"/>
      <c r="DT38" s="488"/>
      <c r="DU38" s="488"/>
      <c r="DV38" s="488"/>
      <c r="DW38" s="488"/>
      <c r="DX38" s="488"/>
      <c r="DY38" s="488"/>
      <c r="DZ38" s="488"/>
      <c r="EA38" s="488"/>
      <c r="EB38" s="488"/>
      <c r="EC38" s="488"/>
      <c r="ED38" s="488"/>
      <c r="EE38" s="488"/>
      <c r="EF38" s="488"/>
      <c r="EG38" s="488"/>
      <c r="EH38" s="488"/>
      <c r="EI38" s="488"/>
      <c r="EJ38" s="488"/>
      <c r="EK38" s="488"/>
      <c r="EL38" s="488"/>
      <c r="EM38" s="488"/>
      <c r="EN38" s="488"/>
      <c r="EO38" s="488"/>
      <c r="EP38" s="488"/>
      <c r="EQ38" s="488"/>
      <c r="ER38" s="488"/>
      <c r="ES38" s="488"/>
      <c r="ET38" s="488"/>
      <c r="EU38" s="488"/>
      <c r="EV38" s="488"/>
      <c r="EW38" s="488"/>
      <c r="EX38" s="488"/>
      <c r="EY38" s="488"/>
      <c r="EZ38" s="488"/>
      <c r="FA38" s="488"/>
      <c r="FB38" s="488"/>
      <c r="FC38" s="488"/>
      <c r="FD38" s="488"/>
      <c r="FE38" s="488"/>
      <c r="FF38" s="488"/>
      <c r="FG38" s="488"/>
      <c r="FH38" s="488"/>
    </row>
    <row r="39" spans="1:164" ht="13.05" hidden="1" customHeight="1" x14ac:dyDescent="0.25">
      <c r="A39" t="str">
        <f>Nutrients!B38</f>
        <v>Cotton Seed Meal</v>
      </c>
      <c r="B39" s="99"/>
      <c r="C39" s="99"/>
      <c r="D39" s="99"/>
      <c r="E39" s="99"/>
      <c r="F39" s="99"/>
      <c r="G39" s="99"/>
      <c r="H39" s="99"/>
      <c r="I39" s="99"/>
      <c r="J39" s="99"/>
      <c r="K39" s="99"/>
      <c r="L39" s="99"/>
      <c r="M39" s="99"/>
      <c r="N39" s="99"/>
      <c r="O39" s="10"/>
      <c r="P39" s="99"/>
      <c r="Q39" s="99"/>
      <c r="R39" s="99"/>
      <c r="S39" s="99"/>
      <c r="T39" s="99"/>
      <c r="U39" s="99"/>
      <c r="W39" s="99"/>
      <c r="X39" s="99"/>
      <c r="Y39" s="99"/>
      <c r="Z39" s="99"/>
      <c r="AA39" s="99"/>
      <c r="AB39" s="99"/>
      <c r="AD39" s="99"/>
      <c r="AE39" s="99"/>
      <c r="AF39" s="99"/>
      <c r="AG39" s="99"/>
      <c r="AH39" s="99"/>
      <c r="AI39" s="99"/>
      <c r="AK39" s="99"/>
      <c r="AL39" s="99"/>
      <c r="AM39" s="99"/>
      <c r="AN39" s="99"/>
      <c r="AO39" s="99"/>
      <c r="AP39" s="99"/>
      <c r="AR39" s="99"/>
      <c r="AS39" s="99"/>
      <c r="AT39" s="99"/>
      <c r="AU39" s="99"/>
      <c r="AV39" s="99"/>
      <c r="AW39" s="99"/>
      <c r="AY39" s="488"/>
      <c r="AZ39" s="488"/>
      <c r="BA39" s="488"/>
      <c r="BB39" s="488"/>
      <c r="BC39" s="488"/>
      <c r="BD39" s="488"/>
      <c r="BE39" s="488"/>
      <c r="BF39" s="488"/>
      <c r="BG39" s="488"/>
      <c r="BH39" s="488"/>
      <c r="BI39" s="488"/>
      <c r="BJ39" s="488"/>
      <c r="BK39" s="488"/>
      <c r="BL39" s="488"/>
      <c r="BM39" s="488"/>
      <c r="BN39" s="488"/>
      <c r="BO39" s="488"/>
      <c r="BP39" s="488"/>
      <c r="BQ39" s="488"/>
      <c r="BR39" s="488"/>
      <c r="BS39" s="488"/>
      <c r="BT39" s="488"/>
      <c r="BU39" s="488"/>
      <c r="BV39" s="488"/>
      <c r="BW39" s="488"/>
      <c r="BX39" s="488"/>
      <c r="BY39" s="488"/>
      <c r="BZ39" s="488"/>
      <c r="CA39" s="488"/>
      <c r="CB39" s="488"/>
      <c r="CC39" s="488"/>
      <c r="CD39" s="488"/>
      <c r="CE39" s="488"/>
      <c r="CF39" s="488"/>
      <c r="CG39" s="488"/>
      <c r="CH39" s="488"/>
      <c r="CI39" s="488"/>
      <c r="CJ39" s="488"/>
      <c r="CK39" s="488"/>
      <c r="CL39" s="488"/>
      <c r="CM39" s="488"/>
      <c r="CN39" s="488"/>
      <c r="CO39" s="488"/>
      <c r="CP39" s="488"/>
      <c r="CQ39" s="488"/>
      <c r="CR39" s="488"/>
      <c r="CS39" s="488"/>
      <c r="CT39" s="488"/>
      <c r="CU39" s="488"/>
      <c r="CV39" s="488"/>
      <c r="CW39" s="488"/>
      <c r="CX39" s="488"/>
      <c r="CY39" s="488"/>
      <c r="CZ39" s="488"/>
      <c r="DA39" s="488"/>
      <c r="DB39" s="488"/>
      <c r="DC39" s="488"/>
      <c r="DD39" s="488"/>
      <c r="DE39" s="488"/>
      <c r="DF39" s="488"/>
      <c r="DG39" s="488"/>
      <c r="DH39" s="488"/>
      <c r="DI39" s="488"/>
      <c r="DJ39" s="488"/>
      <c r="DK39" s="488"/>
      <c r="DL39" s="488"/>
      <c r="DM39" s="488"/>
      <c r="DN39" s="488"/>
      <c r="DO39" s="488"/>
      <c r="DP39" s="488"/>
      <c r="DQ39" s="488"/>
      <c r="DR39" s="488"/>
      <c r="DS39" s="488"/>
      <c r="DT39" s="488"/>
      <c r="DU39" s="488"/>
      <c r="DV39" s="488"/>
      <c r="DW39" s="488"/>
      <c r="DX39" s="488"/>
      <c r="DY39" s="488"/>
      <c r="DZ39" s="488"/>
      <c r="EA39" s="488"/>
      <c r="EB39" s="488"/>
      <c r="EC39" s="488"/>
      <c r="ED39" s="488"/>
      <c r="EE39" s="488"/>
      <c r="EF39" s="488"/>
      <c r="EG39" s="488"/>
      <c r="EH39" s="488"/>
      <c r="EI39" s="488"/>
      <c r="EJ39" s="488"/>
      <c r="EK39" s="488"/>
      <c r="EL39" s="488"/>
      <c r="EM39" s="488"/>
      <c r="EN39" s="488"/>
      <c r="EO39" s="488"/>
      <c r="EP39" s="488"/>
      <c r="EQ39" s="488"/>
      <c r="ER39" s="488"/>
      <c r="ES39" s="488"/>
      <c r="ET39" s="488"/>
      <c r="EU39" s="488"/>
      <c r="EV39" s="488"/>
      <c r="EW39" s="488"/>
      <c r="EX39" s="488"/>
      <c r="EY39" s="488"/>
      <c r="EZ39" s="488"/>
      <c r="FA39" s="488"/>
      <c r="FB39" s="488"/>
      <c r="FC39" s="488"/>
      <c r="FD39" s="488"/>
      <c r="FE39" s="488"/>
      <c r="FF39" s="488"/>
      <c r="FG39" s="488"/>
      <c r="FH39" s="488"/>
    </row>
    <row r="40" spans="1:164" ht="13.05" hidden="1" customHeight="1" x14ac:dyDescent="0.25">
      <c r="A40" t="str">
        <f>Nutrients!B39</f>
        <v>Feather Meal</v>
      </c>
      <c r="B40" s="99"/>
      <c r="C40" s="99"/>
      <c r="D40" s="99"/>
      <c r="E40" s="99"/>
      <c r="F40" s="99"/>
      <c r="G40" s="99"/>
      <c r="H40" s="99"/>
      <c r="I40" s="99"/>
      <c r="J40" s="99"/>
      <c r="K40" s="99"/>
      <c r="L40" s="99"/>
      <c r="M40" s="99"/>
      <c r="N40" s="99"/>
      <c r="O40" s="10"/>
      <c r="P40" s="99"/>
      <c r="Q40" s="99"/>
      <c r="R40" s="99"/>
      <c r="S40" s="99"/>
      <c r="T40" s="99"/>
      <c r="U40" s="99"/>
      <c r="W40" s="99"/>
      <c r="X40" s="99"/>
      <c r="Y40" s="99"/>
      <c r="Z40" s="99"/>
      <c r="AA40" s="99"/>
      <c r="AB40" s="99"/>
      <c r="AD40" s="99"/>
      <c r="AE40" s="99"/>
      <c r="AF40" s="99"/>
      <c r="AG40" s="99"/>
      <c r="AH40" s="99"/>
      <c r="AI40" s="99"/>
      <c r="AK40" s="99"/>
      <c r="AL40" s="99"/>
      <c r="AM40" s="99"/>
      <c r="AN40" s="99"/>
      <c r="AO40" s="99"/>
      <c r="AP40" s="99"/>
      <c r="AR40" s="99"/>
      <c r="AS40" s="99"/>
      <c r="AT40" s="99"/>
      <c r="AU40" s="99"/>
      <c r="AV40" s="99"/>
      <c r="AW40" s="99"/>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8"/>
      <c r="CE40" s="488"/>
      <c r="CF40" s="488"/>
      <c r="CG40" s="488"/>
      <c r="CH40" s="488"/>
      <c r="CI40" s="488"/>
      <c r="CJ40" s="488"/>
      <c r="CK40" s="488"/>
      <c r="CL40" s="488"/>
      <c r="CM40" s="488"/>
      <c r="CN40" s="488"/>
      <c r="CO40" s="488"/>
      <c r="CP40" s="488"/>
      <c r="CQ40" s="488"/>
      <c r="CR40" s="488"/>
      <c r="CS40" s="488"/>
      <c r="CT40" s="488"/>
      <c r="CU40" s="488"/>
      <c r="CV40" s="488"/>
      <c r="CW40" s="488"/>
      <c r="CX40" s="488"/>
      <c r="CY40" s="488"/>
      <c r="CZ40" s="488"/>
      <c r="DA40" s="488"/>
      <c r="DB40" s="488"/>
      <c r="DC40" s="488"/>
      <c r="DD40" s="488"/>
      <c r="DE40" s="488"/>
      <c r="DF40" s="488"/>
      <c r="DG40" s="488"/>
      <c r="DH40" s="488"/>
      <c r="DI40" s="488"/>
      <c r="DJ40" s="488"/>
      <c r="DK40" s="488"/>
      <c r="DL40" s="488"/>
      <c r="DM40" s="488"/>
      <c r="DN40" s="488"/>
      <c r="DO40" s="488"/>
      <c r="DP40" s="488"/>
      <c r="DQ40" s="488"/>
      <c r="DR40" s="488"/>
      <c r="DS40" s="488"/>
      <c r="DT40" s="488"/>
      <c r="DU40" s="488"/>
      <c r="DV40" s="488"/>
      <c r="DW40" s="488"/>
      <c r="DX40" s="488"/>
      <c r="DY40" s="488"/>
      <c r="DZ40" s="488"/>
      <c r="EA40" s="488"/>
      <c r="EB40" s="488"/>
      <c r="EC40" s="488"/>
      <c r="ED40" s="488"/>
      <c r="EE40" s="488"/>
      <c r="EF40" s="488"/>
      <c r="EG40" s="488"/>
      <c r="EH40" s="488"/>
      <c r="EI40" s="488"/>
      <c r="EJ40" s="488"/>
      <c r="EK40" s="488"/>
      <c r="EL40" s="488"/>
      <c r="EM40" s="488"/>
      <c r="EN40" s="488"/>
      <c r="EO40" s="488"/>
      <c r="EP40" s="488"/>
      <c r="EQ40" s="488"/>
      <c r="ER40" s="488"/>
      <c r="ES40" s="488"/>
      <c r="ET40" s="488"/>
      <c r="EU40" s="488"/>
      <c r="EV40" s="488"/>
      <c r="EW40" s="488"/>
      <c r="EX40" s="488"/>
      <c r="EY40" s="488"/>
      <c r="EZ40" s="488"/>
      <c r="FA40" s="488"/>
      <c r="FB40" s="488"/>
      <c r="FC40" s="488"/>
      <c r="FD40" s="488"/>
      <c r="FE40" s="488"/>
      <c r="FF40" s="488"/>
      <c r="FG40" s="488"/>
      <c r="FH40" s="488"/>
    </row>
    <row r="41" spans="1:164" ht="13.05" hidden="1" customHeight="1" x14ac:dyDescent="0.25">
      <c r="A41" t="str">
        <f>Nutrients!B40</f>
        <v>Fish Meal Combined</v>
      </c>
      <c r="B41" s="99"/>
      <c r="C41" s="99"/>
      <c r="D41" s="99"/>
      <c r="E41" s="99"/>
      <c r="F41" s="99"/>
      <c r="G41" s="99"/>
      <c r="H41" s="99"/>
      <c r="I41" s="99"/>
      <c r="J41" s="99"/>
      <c r="K41" s="99"/>
      <c r="L41" s="99"/>
      <c r="M41" s="99"/>
      <c r="N41" s="99"/>
      <c r="O41" s="10"/>
      <c r="P41" s="99"/>
      <c r="Q41" s="99"/>
      <c r="R41" s="99"/>
      <c r="S41" s="99"/>
      <c r="T41" s="99"/>
      <c r="U41" s="99"/>
      <c r="W41" s="99"/>
      <c r="X41" s="99"/>
      <c r="Y41" s="99"/>
      <c r="Z41" s="99"/>
      <c r="AA41" s="99"/>
      <c r="AB41" s="99"/>
      <c r="AD41" s="99"/>
      <c r="AE41" s="99"/>
      <c r="AF41" s="99"/>
      <c r="AG41" s="99"/>
      <c r="AH41" s="99"/>
      <c r="AI41" s="99"/>
      <c r="AK41" s="99"/>
      <c r="AL41" s="99"/>
      <c r="AM41" s="99"/>
      <c r="AN41" s="99"/>
      <c r="AO41" s="99"/>
      <c r="AP41" s="99"/>
      <c r="AR41" s="99"/>
      <c r="AS41" s="99"/>
      <c r="AT41" s="99"/>
      <c r="AU41" s="99"/>
      <c r="AV41" s="99"/>
      <c r="AW41" s="99"/>
      <c r="AY41" s="488"/>
      <c r="AZ41" s="488"/>
      <c r="BA41" s="488"/>
      <c r="BB41" s="488"/>
      <c r="BC41" s="488"/>
      <c r="BD41" s="488"/>
      <c r="BE41" s="488"/>
      <c r="BF41" s="488"/>
      <c r="BG41" s="488"/>
      <c r="BH41" s="488"/>
      <c r="BI41" s="488"/>
      <c r="BJ41" s="488"/>
      <c r="BK41" s="488"/>
      <c r="BL41" s="488"/>
      <c r="BM41" s="488"/>
      <c r="BN41" s="488"/>
      <c r="BO41" s="488"/>
      <c r="BP41" s="488"/>
      <c r="BQ41" s="488"/>
      <c r="BR41" s="488"/>
      <c r="BS41" s="488"/>
      <c r="BT41" s="488"/>
      <c r="BU41" s="488"/>
      <c r="BV41" s="488"/>
      <c r="BW41" s="488"/>
      <c r="BX41" s="488"/>
      <c r="BY41" s="488"/>
      <c r="BZ41" s="488"/>
      <c r="CA41" s="488"/>
      <c r="CB41" s="488"/>
      <c r="CC41" s="488"/>
      <c r="CD41" s="488"/>
      <c r="CE41" s="488"/>
      <c r="CF41" s="488"/>
      <c r="CG41" s="488"/>
      <c r="CH41" s="488"/>
      <c r="CI41" s="488"/>
      <c r="CJ41" s="488"/>
      <c r="CK41" s="488"/>
      <c r="CL41" s="488"/>
      <c r="CM41" s="488"/>
      <c r="CN41" s="488"/>
      <c r="CO41" s="488"/>
      <c r="CP41" s="488"/>
      <c r="CQ41" s="488"/>
      <c r="CR41" s="488"/>
      <c r="CS41" s="488"/>
      <c r="CT41" s="488"/>
      <c r="CU41" s="488"/>
      <c r="CV41" s="488"/>
      <c r="CW41" s="488"/>
      <c r="CX41" s="488"/>
      <c r="CY41" s="488"/>
      <c r="CZ41" s="488"/>
      <c r="DA41" s="488"/>
      <c r="DB41" s="488"/>
      <c r="DC41" s="488"/>
      <c r="DD41" s="488"/>
      <c r="DE41" s="488"/>
      <c r="DF41" s="488"/>
      <c r="DG41" s="488"/>
      <c r="DH41" s="488"/>
      <c r="DI41" s="488"/>
      <c r="DJ41" s="488"/>
      <c r="DK41" s="488"/>
      <c r="DL41" s="488"/>
      <c r="DM41" s="488"/>
      <c r="DN41" s="488"/>
      <c r="DO41" s="488"/>
      <c r="DP41" s="488"/>
      <c r="DQ41" s="488"/>
      <c r="DR41" s="488"/>
      <c r="DS41" s="488"/>
      <c r="DT41" s="488"/>
      <c r="DU41" s="488"/>
      <c r="DV41" s="488"/>
      <c r="DW41" s="488"/>
      <c r="DX41" s="488"/>
      <c r="DY41" s="488"/>
      <c r="DZ41" s="488"/>
      <c r="EA41" s="488"/>
      <c r="EB41" s="488"/>
      <c r="EC41" s="488"/>
      <c r="ED41" s="488"/>
      <c r="EE41" s="488"/>
      <c r="EF41" s="488"/>
      <c r="EG41" s="488"/>
      <c r="EH41" s="488"/>
      <c r="EI41" s="488"/>
      <c r="EJ41" s="488"/>
      <c r="EK41" s="488"/>
      <c r="EL41" s="488"/>
      <c r="EM41" s="488"/>
      <c r="EN41" s="488"/>
      <c r="EO41" s="488"/>
      <c r="EP41" s="488"/>
      <c r="EQ41" s="488"/>
      <c r="ER41" s="488"/>
      <c r="ES41" s="488"/>
      <c r="ET41" s="488"/>
      <c r="EU41" s="488"/>
      <c r="EV41" s="488"/>
      <c r="EW41" s="488"/>
      <c r="EX41" s="488"/>
      <c r="EY41" s="488"/>
      <c r="EZ41" s="488"/>
      <c r="FA41" s="488"/>
      <c r="FB41" s="488"/>
      <c r="FC41" s="488"/>
      <c r="FD41" s="488"/>
      <c r="FE41" s="488"/>
      <c r="FF41" s="488"/>
      <c r="FG41" s="488"/>
      <c r="FH41" s="488"/>
    </row>
    <row r="42" spans="1:164" ht="13.05" hidden="1" customHeight="1" x14ac:dyDescent="0.25">
      <c r="A42" t="str">
        <f>Nutrients!B41</f>
        <v>Flaxseed</v>
      </c>
      <c r="B42" s="99"/>
      <c r="C42" s="99"/>
      <c r="D42" s="99"/>
      <c r="E42" s="99"/>
      <c r="F42" s="99"/>
      <c r="G42" s="99"/>
      <c r="H42" s="99"/>
      <c r="I42" s="99"/>
      <c r="J42" s="99"/>
      <c r="K42" s="99"/>
      <c r="L42" s="99"/>
      <c r="M42" s="99"/>
      <c r="N42" s="99"/>
      <c r="O42" s="10"/>
      <c r="P42" s="99"/>
      <c r="Q42" s="99"/>
      <c r="R42" s="99"/>
      <c r="S42" s="99"/>
      <c r="T42" s="99"/>
      <c r="U42" s="99"/>
      <c r="W42" s="99"/>
      <c r="X42" s="99"/>
      <c r="Y42" s="99"/>
      <c r="Z42" s="99"/>
      <c r="AA42" s="99"/>
      <c r="AB42" s="99"/>
      <c r="AD42" s="99"/>
      <c r="AE42" s="99"/>
      <c r="AF42" s="99"/>
      <c r="AG42" s="99"/>
      <c r="AH42" s="99"/>
      <c r="AI42" s="99"/>
      <c r="AK42" s="99"/>
      <c r="AL42" s="99"/>
      <c r="AM42" s="99"/>
      <c r="AN42" s="99"/>
      <c r="AO42" s="99"/>
      <c r="AP42" s="99"/>
      <c r="AR42" s="99"/>
      <c r="AS42" s="99"/>
      <c r="AT42" s="99"/>
      <c r="AU42" s="99"/>
      <c r="AV42" s="99"/>
      <c r="AW42" s="99"/>
      <c r="AY42" s="488"/>
      <c r="AZ42" s="488"/>
      <c r="BA42" s="488"/>
      <c r="BB42" s="488"/>
      <c r="BC42" s="488"/>
      <c r="BD42" s="488"/>
      <c r="BE42" s="488"/>
      <c r="BF42" s="488"/>
      <c r="BG42" s="488"/>
      <c r="BH42" s="488"/>
      <c r="BI42" s="488"/>
      <c r="BJ42" s="488"/>
      <c r="BK42" s="488"/>
      <c r="BL42" s="488"/>
      <c r="BM42" s="488"/>
      <c r="BN42" s="488"/>
      <c r="BO42" s="488"/>
      <c r="BP42" s="488"/>
      <c r="BQ42" s="488"/>
      <c r="BR42" s="488"/>
      <c r="BS42" s="488"/>
      <c r="BT42" s="488"/>
      <c r="BU42" s="488"/>
      <c r="BV42" s="488"/>
      <c r="BW42" s="488"/>
      <c r="BX42" s="488"/>
      <c r="BY42" s="488"/>
      <c r="BZ42" s="488"/>
      <c r="CA42" s="488"/>
      <c r="CB42" s="488"/>
      <c r="CC42" s="488"/>
      <c r="CD42" s="488"/>
      <c r="CE42" s="488"/>
      <c r="CF42" s="488"/>
      <c r="CG42" s="488"/>
      <c r="CH42" s="488"/>
      <c r="CI42" s="488"/>
      <c r="CJ42" s="488"/>
      <c r="CK42" s="488"/>
      <c r="CL42" s="488"/>
      <c r="CM42" s="488"/>
      <c r="CN42" s="488"/>
      <c r="CO42" s="488"/>
      <c r="CP42" s="488"/>
      <c r="CQ42" s="488"/>
      <c r="CR42" s="488"/>
      <c r="CS42" s="488"/>
      <c r="CT42" s="488"/>
      <c r="CU42" s="488"/>
      <c r="CV42" s="488"/>
      <c r="CW42" s="488"/>
      <c r="CX42" s="488"/>
      <c r="CY42" s="488"/>
      <c r="CZ42" s="488"/>
      <c r="DA42" s="488"/>
      <c r="DB42" s="488"/>
      <c r="DC42" s="488"/>
      <c r="DD42" s="488"/>
      <c r="DE42" s="488"/>
      <c r="DF42" s="488"/>
      <c r="DG42" s="488"/>
      <c r="DH42" s="488"/>
      <c r="DI42" s="488"/>
      <c r="DJ42" s="488"/>
      <c r="DK42" s="488"/>
      <c r="DL42" s="488"/>
      <c r="DM42" s="488"/>
      <c r="DN42" s="488"/>
      <c r="DO42" s="488"/>
      <c r="DP42" s="488"/>
      <c r="DQ42" s="488"/>
      <c r="DR42" s="488"/>
      <c r="DS42" s="488"/>
      <c r="DT42" s="488"/>
      <c r="DU42" s="488"/>
      <c r="DV42" s="488"/>
      <c r="DW42" s="488"/>
      <c r="DX42" s="488"/>
      <c r="DY42" s="488"/>
      <c r="DZ42" s="488"/>
      <c r="EA42" s="488"/>
      <c r="EB42" s="488"/>
      <c r="EC42" s="488"/>
      <c r="ED42" s="488"/>
      <c r="EE42" s="488"/>
      <c r="EF42" s="488"/>
      <c r="EG42" s="488"/>
      <c r="EH42" s="488"/>
      <c r="EI42" s="488"/>
      <c r="EJ42" s="488"/>
      <c r="EK42" s="488"/>
      <c r="EL42" s="488"/>
      <c r="EM42" s="488"/>
      <c r="EN42" s="488"/>
      <c r="EO42" s="488"/>
      <c r="EP42" s="488"/>
      <c r="EQ42" s="488"/>
      <c r="ER42" s="488"/>
      <c r="ES42" s="488"/>
      <c r="ET42" s="488"/>
      <c r="EU42" s="488"/>
      <c r="EV42" s="488"/>
      <c r="EW42" s="488"/>
      <c r="EX42" s="488"/>
      <c r="EY42" s="488"/>
      <c r="EZ42" s="488"/>
      <c r="FA42" s="488"/>
      <c r="FB42" s="488"/>
      <c r="FC42" s="488"/>
      <c r="FD42" s="488"/>
      <c r="FE42" s="488"/>
      <c r="FF42" s="488"/>
      <c r="FG42" s="488"/>
      <c r="FH42" s="488"/>
    </row>
    <row r="43" spans="1:164" ht="13.05" hidden="1" customHeight="1" x14ac:dyDescent="0.25">
      <c r="A43" t="str">
        <f>Nutrients!B42</f>
        <v>Flaxseed Meal</v>
      </c>
      <c r="B43" s="99"/>
      <c r="C43" s="99"/>
      <c r="D43" s="99"/>
      <c r="E43" s="99"/>
      <c r="F43" s="99"/>
      <c r="G43" s="99"/>
      <c r="H43" s="99"/>
      <c r="I43" s="99"/>
      <c r="J43" s="99"/>
      <c r="K43" s="99"/>
      <c r="L43" s="99"/>
      <c r="M43" s="99"/>
      <c r="N43" s="99"/>
      <c r="O43" s="10"/>
      <c r="P43" s="99"/>
      <c r="Q43" s="99"/>
      <c r="R43" s="99"/>
      <c r="S43" s="99"/>
      <c r="T43" s="99"/>
      <c r="U43" s="99"/>
      <c r="W43" s="99"/>
      <c r="X43" s="99"/>
      <c r="Y43" s="99"/>
      <c r="Z43" s="99"/>
      <c r="AA43" s="99"/>
      <c r="AB43" s="99"/>
      <c r="AD43" s="99"/>
      <c r="AE43" s="99"/>
      <c r="AF43" s="99"/>
      <c r="AG43" s="99"/>
      <c r="AH43" s="99"/>
      <c r="AI43" s="99"/>
      <c r="AK43" s="99"/>
      <c r="AL43" s="99"/>
      <c r="AM43" s="99"/>
      <c r="AN43" s="99"/>
      <c r="AO43" s="99"/>
      <c r="AP43" s="99"/>
      <c r="AR43" s="99"/>
      <c r="AS43" s="99"/>
      <c r="AT43" s="99"/>
      <c r="AU43" s="99"/>
      <c r="AV43" s="99"/>
      <c r="AW43" s="99"/>
      <c r="AY43" s="488"/>
      <c r="AZ43" s="488"/>
      <c r="BA43" s="488"/>
      <c r="BB43" s="488"/>
      <c r="BC43" s="488"/>
      <c r="BD43" s="488"/>
      <c r="BE43" s="488"/>
      <c r="BF43" s="488"/>
      <c r="BG43" s="488"/>
      <c r="BH43" s="488"/>
      <c r="BI43" s="488"/>
      <c r="BJ43" s="488"/>
      <c r="BK43" s="488"/>
      <c r="BL43" s="488"/>
      <c r="BM43" s="488"/>
      <c r="BN43" s="488"/>
      <c r="BO43" s="488"/>
      <c r="BP43" s="488"/>
      <c r="BQ43" s="488"/>
      <c r="BR43" s="488"/>
      <c r="BS43" s="488"/>
      <c r="BT43" s="488"/>
      <c r="BU43" s="488"/>
      <c r="BV43" s="488"/>
      <c r="BW43" s="488"/>
      <c r="BX43" s="488"/>
      <c r="BY43" s="488"/>
      <c r="BZ43" s="488"/>
      <c r="CA43" s="488"/>
      <c r="CB43" s="488"/>
      <c r="CC43" s="488"/>
      <c r="CD43" s="488"/>
      <c r="CE43" s="488"/>
      <c r="CF43" s="488"/>
      <c r="CG43" s="488"/>
      <c r="CH43" s="488"/>
      <c r="CI43" s="488"/>
      <c r="CJ43" s="488"/>
      <c r="CK43" s="488"/>
      <c r="CL43" s="488"/>
      <c r="CM43" s="488"/>
      <c r="CN43" s="488"/>
      <c r="CO43" s="488"/>
      <c r="CP43" s="488"/>
      <c r="CQ43" s="488"/>
      <c r="CR43" s="488"/>
      <c r="CS43" s="488"/>
      <c r="CT43" s="488"/>
      <c r="CU43" s="488"/>
      <c r="CV43" s="488"/>
      <c r="CW43" s="488"/>
      <c r="CX43" s="488"/>
      <c r="CY43" s="488"/>
      <c r="CZ43" s="488"/>
      <c r="DA43" s="488"/>
      <c r="DB43" s="488"/>
      <c r="DC43" s="488"/>
      <c r="DD43" s="488"/>
      <c r="DE43" s="488"/>
      <c r="DF43" s="488"/>
      <c r="DG43" s="488"/>
      <c r="DH43" s="488"/>
      <c r="DI43" s="488"/>
      <c r="DJ43" s="488"/>
      <c r="DK43" s="488"/>
      <c r="DL43" s="488"/>
      <c r="DM43" s="488"/>
      <c r="DN43" s="488"/>
      <c r="DO43" s="488"/>
      <c r="DP43" s="488"/>
      <c r="DQ43" s="488"/>
      <c r="DR43" s="488"/>
      <c r="DS43" s="488"/>
      <c r="DT43" s="488"/>
      <c r="DU43" s="488"/>
      <c r="DV43" s="488"/>
      <c r="DW43" s="488"/>
      <c r="DX43" s="488"/>
      <c r="DY43" s="488"/>
      <c r="DZ43" s="488"/>
      <c r="EA43" s="488"/>
      <c r="EB43" s="488"/>
      <c r="EC43" s="488"/>
      <c r="ED43" s="488"/>
      <c r="EE43" s="488"/>
      <c r="EF43" s="488"/>
      <c r="EG43" s="488"/>
      <c r="EH43" s="488"/>
      <c r="EI43" s="488"/>
      <c r="EJ43" s="488"/>
      <c r="EK43" s="488"/>
      <c r="EL43" s="488"/>
      <c r="EM43" s="488"/>
      <c r="EN43" s="488"/>
      <c r="EO43" s="488"/>
      <c r="EP43" s="488"/>
      <c r="EQ43" s="488"/>
      <c r="ER43" s="488"/>
      <c r="ES43" s="488"/>
      <c r="ET43" s="488"/>
      <c r="EU43" s="488"/>
      <c r="EV43" s="488"/>
      <c r="EW43" s="488"/>
      <c r="EX43" s="488"/>
      <c r="EY43" s="488"/>
      <c r="EZ43" s="488"/>
      <c r="FA43" s="488"/>
      <c r="FB43" s="488"/>
      <c r="FC43" s="488"/>
      <c r="FD43" s="488"/>
      <c r="FE43" s="488"/>
      <c r="FF43" s="488"/>
      <c r="FG43" s="488"/>
      <c r="FH43" s="488"/>
    </row>
    <row r="44" spans="1:164" ht="13.05" hidden="1" customHeight="1" x14ac:dyDescent="0.25">
      <c r="A44" t="str">
        <f>Nutrients!B43</f>
        <v>Lupins</v>
      </c>
      <c r="B44" s="99"/>
      <c r="C44" s="99"/>
      <c r="D44" s="99"/>
      <c r="E44" s="99"/>
      <c r="F44" s="99"/>
      <c r="G44" s="99"/>
      <c r="H44" s="99"/>
      <c r="I44" s="99"/>
      <c r="J44" s="99"/>
      <c r="K44" s="99"/>
      <c r="L44" s="99"/>
      <c r="M44" s="99"/>
      <c r="N44" s="99"/>
      <c r="O44" s="10"/>
      <c r="P44" s="99"/>
      <c r="Q44" s="99"/>
      <c r="R44" s="99"/>
      <c r="S44" s="99"/>
      <c r="T44" s="99"/>
      <c r="U44" s="99"/>
      <c r="W44" s="99"/>
      <c r="X44" s="99"/>
      <c r="Y44" s="99"/>
      <c r="Z44" s="99"/>
      <c r="AA44" s="99"/>
      <c r="AB44" s="99"/>
      <c r="AD44" s="99"/>
      <c r="AE44" s="99"/>
      <c r="AF44" s="99"/>
      <c r="AG44" s="99"/>
      <c r="AH44" s="99"/>
      <c r="AI44" s="99"/>
      <c r="AK44" s="99"/>
      <c r="AL44" s="99"/>
      <c r="AM44" s="99"/>
      <c r="AN44" s="99"/>
      <c r="AO44" s="99"/>
      <c r="AP44" s="99"/>
      <c r="AR44" s="99"/>
      <c r="AS44" s="99"/>
      <c r="AT44" s="99"/>
      <c r="AU44" s="99"/>
      <c r="AV44" s="99"/>
      <c r="AW44" s="99"/>
      <c r="AY44" s="488"/>
      <c r="AZ44" s="488"/>
      <c r="BA44" s="488"/>
      <c r="BB44" s="488"/>
      <c r="BC44" s="488"/>
      <c r="BD44" s="488"/>
      <c r="BE44" s="488"/>
      <c r="BF44" s="488"/>
      <c r="BG44" s="488"/>
      <c r="BH44" s="488"/>
      <c r="BI44" s="488"/>
      <c r="BJ44" s="488"/>
      <c r="BK44" s="488"/>
      <c r="BL44" s="488"/>
      <c r="BM44" s="488"/>
      <c r="BN44" s="488"/>
      <c r="BO44" s="488"/>
      <c r="BP44" s="488"/>
      <c r="BQ44" s="488"/>
      <c r="BR44" s="488"/>
      <c r="BS44" s="488"/>
      <c r="BT44" s="488"/>
      <c r="BU44" s="488"/>
      <c r="BV44" s="488"/>
      <c r="BW44" s="488"/>
      <c r="BX44" s="488"/>
      <c r="BY44" s="488"/>
      <c r="BZ44" s="488"/>
      <c r="CA44" s="488"/>
      <c r="CB44" s="488"/>
      <c r="CC44" s="488"/>
      <c r="CD44" s="488"/>
      <c r="CE44" s="488"/>
      <c r="CF44" s="488"/>
      <c r="CG44" s="488"/>
      <c r="CH44" s="488"/>
      <c r="CI44" s="488"/>
      <c r="CJ44" s="488"/>
      <c r="CK44" s="488"/>
      <c r="CL44" s="488"/>
      <c r="CM44" s="488"/>
      <c r="CN44" s="488"/>
      <c r="CO44" s="488"/>
      <c r="CP44" s="488"/>
      <c r="CQ44" s="488"/>
      <c r="CR44" s="488"/>
      <c r="CS44" s="488"/>
      <c r="CT44" s="488"/>
      <c r="CU44" s="488"/>
      <c r="CV44" s="488"/>
      <c r="CW44" s="488"/>
      <c r="CX44" s="488"/>
      <c r="CY44" s="488"/>
      <c r="CZ44" s="488"/>
      <c r="DA44" s="488"/>
      <c r="DB44" s="488"/>
      <c r="DC44" s="488"/>
      <c r="DD44" s="488"/>
      <c r="DE44" s="488"/>
      <c r="DF44" s="488"/>
      <c r="DG44" s="488"/>
      <c r="DH44" s="488"/>
      <c r="DI44" s="488"/>
      <c r="DJ44" s="488"/>
      <c r="DK44" s="488"/>
      <c r="DL44" s="488"/>
      <c r="DM44" s="488"/>
      <c r="DN44" s="488"/>
      <c r="DO44" s="488"/>
      <c r="DP44" s="488"/>
      <c r="DQ44" s="488"/>
      <c r="DR44" s="488"/>
      <c r="DS44" s="488"/>
      <c r="DT44" s="488"/>
      <c r="DU44" s="488"/>
      <c r="DV44" s="488"/>
      <c r="DW44" s="488"/>
      <c r="DX44" s="488"/>
      <c r="DY44" s="488"/>
      <c r="DZ44" s="488"/>
      <c r="EA44" s="488"/>
      <c r="EB44" s="488"/>
      <c r="EC44" s="488"/>
      <c r="ED44" s="488"/>
      <c r="EE44" s="488"/>
      <c r="EF44" s="488"/>
      <c r="EG44" s="488"/>
      <c r="EH44" s="488"/>
      <c r="EI44" s="488"/>
      <c r="EJ44" s="488"/>
      <c r="EK44" s="488"/>
      <c r="EL44" s="488"/>
      <c r="EM44" s="488"/>
      <c r="EN44" s="488"/>
      <c r="EO44" s="488"/>
      <c r="EP44" s="488"/>
      <c r="EQ44" s="488"/>
      <c r="ER44" s="488"/>
      <c r="ES44" s="488"/>
      <c r="ET44" s="488"/>
      <c r="EU44" s="488"/>
      <c r="EV44" s="488"/>
      <c r="EW44" s="488"/>
      <c r="EX44" s="488"/>
      <c r="EY44" s="488"/>
      <c r="EZ44" s="488"/>
      <c r="FA44" s="488"/>
      <c r="FB44" s="488"/>
      <c r="FC44" s="488"/>
      <c r="FD44" s="488"/>
      <c r="FE44" s="488"/>
      <c r="FF44" s="488"/>
      <c r="FG44" s="488"/>
      <c r="FH44" s="488"/>
    </row>
    <row r="45" spans="1:164" ht="13.05" hidden="1" customHeight="1" x14ac:dyDescent="0.25">
      <c r="A45" t="str">
        <f>Nutrients!B44</f>
        <v>Meat Meal</v>
      </c>
      <c r="B45" s="99"/>
      <c r="C45" s="99"/>
      <c r="D45" s="99"/>
      <c r="E45" s="99"/>
      <c r="F45" s="99"/>
      <c r="G45" s="99"/>
      <c r="H45" s="99"/>
      <c r="I45" s="99"/>
      <c r="J45" s="99"/>
      <c r="K45" s="99"/>
      <c r="L45" s="99"/>
      <c r="M45" s="99"/>
      <c r="N45" s="99"/>
      <c r="O45" s="10"/>
      <c r="P45" s="99"/>
      <c r="Q45" s="99"/>
      <c r="R45" s="99"/>
      <c r="S45" s="99"/>
      <c r="T45" s="99"/>
      <c r="U45" s="99"/>
      <c r="W45" s="99"/>
      <c r="X45" s="99"/>
      <c r="Y45" s="99"/>
      <c r="Z45" s="99"/>
      <c r="AA45" s="99"/>
      <c r="AB45" s="99"/>
      <c r="AD45" s="99"/>
      <c r="AE45" s="99"/>
      <c r="AF45" s="99"/>
      <c r="AG45" s="99"/>
      <c r="AH45" s="99"/>
      <c r="AI45" s="99"/>
      <c r="AK45" s="99"/>
      <c r="AL45" s="99"/>
      <c r="AM45" s="99"/>
      <c r="AN45" s="99"/>
      <c r="AO45" s="99"/>
      <c r="AP45" s="99"/>
      <c r="AR45" s="99"/>
      <c r="AS45" s="99"/>
      <c r="AT45" s="99"/>
      <c r="AU45" s="99"/>
      <c r="AV45" s="99"/>
      <c r="AW45" s="99"/>
      <c r="AY45" s="488"/>
      <c r="AZ45" s="488"/>
      <c r="BA45" s="488"/>
      <c r="BB45" s="488"/>
      <c r="BC45" s="488"/>
      <c r="BD45" s="488"/>
      <c r="BE45" s="488"/>
      <c r="BF45" s="488"/>
      <c r="BG45" s="488"/>
      <c r="BH45" s="488"/>
      <c r="BI45" s="488"/>
      <c r="BJ45" s="488"/>
      <c r="BK45" s="488"/>
      <c r="BL45" s="488"/>
      <c r="BM45" s="488"/>
      <c r="BN45" s="488"/>
      <c r="BO45" s="488"/>
      <c r="BP45" s="488"/>
      <c r="BQ45" s="488"/>
      <c r="BR45" s="488"/>
      <c r="BS45" s="488"/>
      <c r="BT45" s="488"/>
      <c r="BU45" s="488"/>
      <c r="BV45" s="488"/>
      <c r="BW45" s="488"/>
      <c r="BX45" s="488"/>
      <c r="BY45" s="488"/>
      <c r="BZ45" s="488"/>
      <c r="CA45" s="488"/>
      <c r="CB45" s="488"/>
      <c r="CC45" s="488"/>
      <c r="CD45" s="488"/>
      <c r="CE45" s="488"/>
      <c r="CF45" s="488"/>
      <c r="CG45" s="488"/>
      <c r="CH45" s="488"/>
      <c r="CI45" s="488"/>
      <c r="CJ45" s="488"/>
      <c r="CK45" s="488"/>
      <c r="CL45" s="488"/>
      <c r="CM45" s="488"/>
      <c r="CN45" s="488"/>
      <c r="CO45" s="488"/>
      <c r="CP45" s="488"/>
      <c r="CQ45" s="488"/>
      <c r="CR45" s="488"/>
      <c r="CS45" s="488"/>
      <c r="CT45" s="488"/>
      <c r="CU45" s="488"/>
      <c r="CV45" s="488"/>
      <c r="CW45" s="488"/>
      <c r="CX45" s="488"/>
      <c r="CY45" s="488"/>
      <c r="CZ45" s="488"/>
      <c r="DA45" s="488"/>
      <c r="DB45" s="488"/>
      <c r="DC45" s="488"/>
      <c r="DD45" s="488"/>
      <c r="DE45" s="488"/>
      <c r="DF45" s="488"/>
      <c r="DG45" s="488"/>
      <c r="DH45" s="488"/>
      <c r="DI45" s="488"/>
      <c r="DJ45" s="488"/>
      <c r="DK45" s="488"/>
      <c r="DL45" s="488"/>
      <c r="DM45" s="488"/>
      <c r="DN45" s="488"/>
      <c r="DO45" s="488"/>
      <c r="DP45" s="488"/>
      <c r="DQ45" s="488"/>
      <c r="DR45" s="488"/>
      <c r="DS45" s="488"/>
      <c r="DT45" s="488"/>
      <c r="DU45" s="488"/>
      <c r="DV45" s="488"/>
      <c r="DW45" s="488"/>
      <c r="DX45" s="488"/>
      <c r="DY45" s="488"/>
      <c r="DZ45" s="488"/>
      <c r="EA45" s="488"/>
      <c r="EB45" s="488"/>
      <c r="EC45" s="488"/>
      <c r="ED45" s="488"/>
      <c r="EE45" s="488"/>
      <c r="EF45" s="488"/>
      <c r="EG45" s="488"/>
      <c r="EH45" s="488"/>
      <c r="EI45" s="488"/>
      <c r="EJ45" s="488"/>
      <c r="EK45" s="488"/>
      <c r="EL45" s="488"/>
      <c r="EM45" s="488"/>
      <c r="EN45" s="488"/>
      <c r="EO45" s="488"/>
      <c r="EP45" s="488"/>
      <c r="EQ45" s="488"/>
      <c r="ER45" s="488"/>
      <c r="ES45" s="488"/>
      <c r="ET45" s="488"/>
      <c r="EU45" s="488"/>
      <c r="EV45" s="488"/>
      <c r="EW45" s="488"/>
      <c r="EX45" s="488"/>
      <c r="EY45" s="488"/>
      <c r="EZ45" s="488"/>
      <c r="FA45" s="488"/>
      <c r="FB45" s="488"/>
      <c r="FC45" s="488"/>
      <c r="FD45" s="488"/>
      <c r="FE45" s="488"/>
      <c r="FF45" s="488"/>
      <c r="FG45" s="488"/>
      <c r="FH45" s="488"/>
    </row>
    <row r="46" spans="1:164" ht="13.05" hidden="1" customHeight="1" x14ac:dyDescent="0.25">
      <c r="A46" t="str">
        <f>Nutrients!B45</f>
        <v>Meat and Bone Meal, P &gt;4%</v>
      </c>
      <c r="B46" s="99"/>
      <c r="C46" s="99"/>
      <c r="D46" s="99"/>
      <c r="E46" s="99"/>
      <c r="F46" s="99"/>
      <c r="G46" s="99"/>
      <c r="H46" s="99"/>
      <c r="I46" s="99"/>
      <c r="J46" s="99"/>
      <c r="K46" s="99"/>
      <c r="L46" s="99"/>
      <c r="M46" s="99"/>
      <c r="N46" s="99"/>
      <c r="O46" s="10"/>
      <c r="P46" s="99"/>
      <c r="Q46" s="99"/>
      <c r="R46" s="99"/>
      <c r="S46" s="99"/>
      <c r="T46" s="99"/>
      <c r="U46" s="99"/>
      <c r="W46" s="99"/>
      <c r="X46" s="99"/>
      <c r="Y46" s="99"/>
      <c r="Z46" s="99"/>
      <c r="AA46" s="99"/>
      <c r="AB46" s="99"/>
      <c r="AD46" s="99"/>
      <c r="AE46" s="99"/>
      <c r="AF46" s="99"/>
      <c r="AG46" s="99"/>
      <c r="AH46" s="99"/>
      <c r="AI46" s="99"/>
      <c r="AK46" s="99"/>
      <c r="AL46" s="99"/>
      <c r="AM46" s="99"/>
      <c r="AN46" s="99"/>
      <c r="AO46" s="99"/>
      <c r="AP46" s="99"/>
      <c r="AR46" s="99"/>
      <c r="AS46" s="99"/>
      <c r="AT46" s="99"/>
      <c r="AU46" s="99"/>
      <c r="AV46" s="99"/>
      <c r="AW46" s="99"/>
      <c r="AY46" s="488"/>
      <c r="AZ46" s="488"/>
      <c r="BA46" s="488"/>
      <c r="BB46" s="488"/>
      <c r="BC46" s="488"/>
      <c r="BD46" s="488"/>
      <c r="BE46" s="488"/>
      <c r="BF46" s="488"/>
      <c r="BG46" s="488"/>
      <c r="BH46" s="488"/>
      <c r="BI46" s="488"/>
      <c r="BJ46" s="488"/>
      <c r="BK46" s="488"/>
      <c r="BL46" s="488"/>
      <c r="BM46" s="488"/>
      <c r="BN46" s="488"/>
      <c r="BO46" s="488"/>
      <c r="BP46" s="488"/>
      <c r="BQ46" s="488"/>
      <c r="BR46" s="488"/>
      <c r="BS46" s="488"/>
      <c r="BT46" s="488"/>
      <c r="BU46" s="488"/>
      <c r="BV46" s="488"/>
      <c r="BW46" s="488"/>
      <c r="BX46" s="488"/>
      <c r="BY46" s="488"/>
      <c r="BZ46" s="488"/>
      <c r="CA46" s="488"/>
      <c r="CB46" s="488"/>
      <c r="CC46" s="488"/>
      <c r="CD46" s="488"/>
      <c r="CE46" s="488"/>
      <c r="CF46" s="488"/>
      <c r="CG46" s="488"/>
      <c r="CH46" s="488"/>
      <c r="CI46" s="488"/>
      <c r="CJ46" s="488"/>
      <c r="CK46" s="488"/>
      <c r="CL46" s="488"/>
      <c r="CM46" s="488"/>
      <c r="CN46" s="488"/>
      <c r="CO46" s="488"/>
      <c r="CP46" s="488"/>
      <c r="CQ46" s="488"/>
      <c r="CR46" s="488"/>
      <c r="CS46" s="488"/>
      <c r="CT46" s="488"/>
      <c r="CU46" s="488"/>
      <c r="CV46" s="488"/>
      <c r="CW46" s="488"/>
      <c r="CX46" s="488"/>
      <c r="CY46" s="488"/>
      <c r="CZ46" s="488"/>
      <c r="DA46" s="488"/>
      <c r="DB46" s="488"/>
      <c r="DC46" s="488"/>
      <c r="DD46" s="488"/>
      <c r="DE46" s="488"/>
      <c r="DF46" s="488"/>
      <c r="DG46" s="488"/>
      <c r="DH46" s="488"/>
      <c r="DI46" s="488"/>
      <c r="DJ46" s="488"/>
      <c r="DK46" s="488"/>
      <c r="DL46" s="488"/>
      <c r="DM46" s="488"/>
      <c r="DN46" s="488"/>
      <c r="DO46" s="488"/>
      <c r="DP46" s="488"/>
      <c r="DQ46" s="488"/>
      <c r="DR46" s="488"/>
      <c r="DS46" s="488"/>
      <c r="DT46" s="488"/>
      <c r="DU46" s="488"/>
      <c r="DV46" s="488"/>
      <c r="DW46" s="488"/>
      <c r="DX46" s="488"/>
      <c r="DY46" s="488"/>
      <c r="DZ46" s="488"/>
      <c r="EA46" s="488"/>
      <c r="EB46" s="488"/>
      <c r="EC46" s="488"/>
      <c r="ED46" s="488"/>
      <c r="EE46" s="488"/>
      <c r="EF46" s="488"/>
      <c r="EG46" s="488"/>
      <c r="EH46" s="488"/>
      <c r="EI46" s="488"/>
      <c r="EJ46" s="488"/>
      <c r="EK46" s="488"/>
      <c r="EL46" s="488"/>
      <c r="EM46" s="488"/>
      <c r="EN46" s="488"/>
      <c r="EO46" s="488"/>
      <c r="EP46" s="488"/>
      <c r="EQ46" s="488"/>
      <c r="ER46" s="488"/>
      <c r="ES46" s="488"/>
      <c r="ET46" s="488"/>
      <c r="EU46" s="488"/>
      <c r="EV46" s="488"/>
      <c r="EW46" s="488"/>
      <c r="EX46" s="488"/>
      <c r="EY46" s="488"/>
      <c r="EZ46" s="488"/>
      <c r="FA46" s="488"/>
      <c r="FB46" s="488"/>
      <c r="FC46" s="488"/>
      <c r="FD46" s="488"/>
      <c r="FE46" s="488"/>
      <c r="FF46" s="488"/>
      <c r="FG46" s="488"/>
      <c r="FH46" s="488"/>
    </row>
    <row r="47" spans="1:164" ht="13.05" hidden="1" customHeight="1" x14ac:dyDescent="0.25">
      <c r="A47" t="str">
        <f>Nutrients!B46</f>
        <v>Milk, Casein</v>
      </c>
      <c r="B47" s="99"/>
      <c r="C47" s="99"/>
      <c r="D47" s="99"/>
      <c r="E47" s="99"/>
      <c r="F47" s="99"/>
      <c r="G47" s="99"/>
      <c r="H47" s="99"/>
      <c r="I47" s="99"/>
      <c r="J47" s="99"/>
      <c r="K47" s="99"/>
      <c r="L47" s="99"/>
      <c r="M47" s="99"/>
      <c r="N47" s="99"/>
      <c r="O47" s="10"/>
      <c r="P47" s="99"/>
      <c r="Q47" s="99"/>
      <c r="R47" s="99"/>
      <c r="S47" s="99"/>
      <c r="T47" s="99"/>
      <c r="U47" s="99"/>
      <c r="W47" s="99"/>
      <c r="X47" s="99"/>
      <c r="Y47" s="99"/>
      <c r="Z47" s="99"/>
      <c r="AA47" s="99"/>
      <c r="AB47" s="99"/>
      <c r="AD47" s="99"/>
      <c r="AE47" s="99"/>
      <c r="AF47" s="99"/>
      <c r="AG47" s="99"/>
      <c r="AH47" s="99"/>
      <c r="AI47" s="99"/>
      <c r="AK47" s="99"/>
      <c r="AL47" s="99"/>
      <c r="AM47" s="99"/>
      <c r="AN47" s="99"/>
      <c r="AO47" s="99"/>
      <c r="AP47" s="99"/>
      <c r="AR47" s="99"/>
      <c r="AS47" s="99"/>
      <c r="AT47" s="99"/>
      <c r="AU47" s="99"/>
      <c r="AV47" s="99"/>
      <c r="AW47" s="99"/>
      <c r="AY47" s="488"/>
      <c r="AZ47" s="488"/>
      <c r="BA47" s="488"/>
      <c r="BB47" s="488"/>
      <c r="BC47" s="488"/>
      <c r="BD47" s="488"/>
      <c r="BE47" s="488"/>
      <c r="BF47" s="488"/>
      <c r="BG47" s="488"/>
      <c r="BH47" s="488"/>
      <c r="BI47" s="488"/>
      <c r="BJ47" s="488"/>
      <c r="BK47" s="488"/>
      <c r="BL47" s="488"/>
      <c r="BM47" s="488"/>
      <c r="BN47" s="488"/>
      <c r="BO47" s="488"/>
      <c r="BP47" s="488"/>
      <c r="BQ47" s="488"/>
      <c r="BR47" s="488"/>
      <c r="BS47" s="488"/>
      <c r="BT47" s="488"/>
      <c r="BU47" s="488"/>
      <c r="BV47" s="488"/>
      <c r="BW47" s="488"/>
      <c r="BX47" s="488"/>
      <c r="BY47" s="488"/>
      <c r="BZ47" s="488"/>
      <c r="CA47" s="488"/>
      <c r="CB47" s="488"/>
      <c r="CC47" s="488"/>
      <c r="CD47" s="488"/>
      <c r="CE47" s="488"/>
      <c r="CF47" s="488"/>
      <c r="CG47" s="488"/>
      <c r="CH47" s="488"/>
      <c r="CI47" s="488"/>
      <c r="CJ47" s="488"/>
      <c r="CK47" s="488"/>
      <c r="CL47" s="488"/>
      <c r="CM47" s="488"/>
      <c r="CN47" s="488"/>
      <c r="CO47" s="488"/>
      <c r="CP47" s="488"/>
      <c r="CQ47" s="488"/>
      <c r="CR47" s="488"/>
      <c r="CS47" s="488"/>
      <c r="CT47" s="488"/>
      <c r="CU47" s="488"/>
      <c r="CV47" s="488"/>
      <c r="CW47" s="488"/>
      <c r="CX47" s="488"/>
      <c r="CY47" s="488"/>
      <c r="CZ47" s="488"/>
      <c r="DA47" s="488"/>
      <c r="DB47" s="488"/>
      <c r="DC47" s="488"/>
      <c r="DD47" s="488"/>
      <c r="DE47" s="488"/>
      <c r="DF47" s="488"/>
      <c r="DG47" s="488"/>
      <c r="DH47" s="488"/>
      <c r="DI47" s="488"/>
      <c r="DJ47" s="488"/>
      <c r="DK47" s="488"/>
      <c r="DL47" s="488"/>
      <c r="DM47" s="488"/>
      <c r="DN47" s="488"/>
      <c r="DO47" s="488"/>
      <c r="DP47" s="488"/>
      <c r="DQ47" s="488"/>
      <c r="DR47" s="488"/>
      <c r="DS47" s="488"/>
      <c r="DT47" s="488"/>
      <c r="DU47" s="488"/>
      <c r="DV47" s="488"/>
      <c r="DW47" s="488"/>
      <c r="DX47" s="488"/>
      <c r="DY47" s="488"/>
      <c r="DZ47" s="488"/>
      <c r="EA47" s="488"/>
      <c r="EB47" s="488"/>
      <c r="EC47" s="488"/>
      <c r="ED47" s="488"/>
      <c r="EE47" s="488"/>
      <c r="EF47" s="488"/>
      <c r="EG47" s="488"/>
      <c r="EH47" s="488"/>
      <c r="EI47" s="488"/>
      <c r="EJ47" s="488"/>
      <c r="EK47" s="488"/>
      <c r="EL47" s="488"/>
      <c r="EM47" s="488"/>
      <c r="EN47" s="488"/>
      <c r="EO47" s="488"/>
      <c r="EP47" s="488"/>
      <c r="EQ47" s="488"/>
      <c r="ER47" s="488"/>
      <c r="ES47" s="488"/>
      <c r="ET47" s="488"/>
      <c r="EU47" s="488"/>
      <c r="EV47" s="488"/>
      <c r="EW47" s="488"/>
      <c r="EX47" s="488"/>
      <c r="EY47" s="488"/>
      <c r="EZ47" s="488"/>
      <c r="FA47" s="488"/>
      <c r="FB47" s="488"/>
      <c r="FC47" s="488"/>
      <c r="FD47" s="488"/>
      <c r="FE47" s="488"/>
      <c r="FF47" s="488"/>
      <c r="FG47" s="488"/>
      <c r="FH47" s="488"/>
    </row>
    <row r="48" spans="1:164" ht="13.05" hidden="1" customHeight="1" x14ac:dyDescent="0.25">
      <c r="A48" t="str">
        <f>Nutrients!B47</f>
        <v>Milk, Lactose</v>
      </c>
      <c r="B48" s="99"/>
      <c r="C48" s="99"/>
      <c r="D48" s="99"/>
      <c r="E48" s="99"/>
      <c r="F48" s="99"/>
      <c r="G48" s="99"/>
      <c r="H48" s="99"/>
      <c r="I48" s="99"/>
      <c r="J48" s="99"/>
      <c r="K48" s="99"/>
      <c r="L48" s="99"/>
      <c r="M48" s="99"/>
      <c r="N48" s="99"/>
      <c r="O48" s="10"/>
      <c r="P48" s="99"/>
      <c r="Q48" s="99"/>
      <c r="R48" s="99"/>
      <c r="S48" s="99"/>
      <c r="T48" s="99"/>
      <c r="U48" s="99"/>
      <c r="W48" s="99"/>
      <c r="X48" s="99"/>
      <c r="Y48" s="99"/>
      <c r="Z48" s="99"/>
      <c r="AA48" s="99"/>
      <c r="AB48" s="99"/>
      <c r="AD48" s="99"/>
      <c r="AE48" s="99"/>
      <c r="AF48" s="99"/>
      <c r="AG48" s="99"/>
      <c r="AH48" s="99"/>
      <c r="AI48" s="99"/>
      <c r="AK48" s="99"/>
      <c r="AL48" s="99"/>
      <c r="AM48" s="99"/>
      <c r="AN48" s="99"/>
      <c r="AO48" s="99"/>
      <c r="AP48" s="99"/>
      <c r="AR48" s="99"/>
      <c r="AS48" s="99"/>
      <c r="AT48" s="99"/>
      <c r="AU48" s="99"/>
      <c r="AV48" s="99"/>
      <c r="AW48" s="99"/>
      <c r="AY48" s="488"/>
      <c r="AZ48" s="488"/>
      <c r="BA48" s="488"/>
      <c r="BB48" s="488"/>
      <c r="BC48" s="488"/>
      <c r="BD48" s="488"/>
      <c r="BE48" s="488"/>
      <c r="BF48" s="488"/>
      <c r="BG48" s="488"/>
      <c r="BH48" s="488"/>
      <c r="BI48" s="488"/>
      <c r="BJ48" s="488"/>
      <c r="BK48" s="488"/>
      <c r="BL48" s="488"/>
      <c r="BM48" s="488"/>
      <c r="BN48" s="488"/>
      <c r="BO48" s="488"/>
      <c r="BP48" s="488"/>
      <c r="BQ48" s="488"/>
      <c r="BR48" s="488"/>
      <c r="BS48" s="488"/>
      <c r="BT48" s="488"/>
      <c r="BU48" s="488"/>
      <c r="BV48" s="488"/>
      <c r="BW48" s="488"/>
      <c r="BX48" s="488"/>
      <c r="BY48" s="488"/>
      <c r="BZ48" s="488"/>
      <c r="CA48" s="488"/>
      <c r="CB48" s="488"/>
      <c r="CC48" s="488"/>
      <c r="CD48" s="488"/>
      <c r="CE48" s="488"/>
      <c r="CF48" s="488"/>
      <c r="CG48" s="488"/>
      <c r="CH48" s="488"/>
      <c r="CI48" s="488"/>
      <c r="CJ48" s="488"/>
      <c r="CK48" s="488"/>
      <c r="CL48" s="488"/>
      <c r="CM48" s="488"/>
      <c r="CN48" s="488"/>
      <c r="CO48" s="488"/>
      <c r="CP48" s="488"/>
      <c r="CQ48" s="488"/>
      <c r="CR48" s="488"/>
      <c r="CS48" s="488"/>
      <c r="CT48" s="488"/>
      <c r="CU48" s="488"/>
      <c r="CV48" s="488"/>
      <c r="CW48" s="488"/>
      <c r="CX48" s="488"/>
      <c r="CY48" s="488"/>
      <c r="CZ48" s="488"/>
      <c r="DA48" s="488"/>
      <c r="DB48" s="488"/>
      <c r="DC48" s="488"/>
      <c r="DD48" s="488"/>
      <c r="DE48" s="488"/>
      <c r="DF48" s="488"/>
      <c r="DG48" s="488"/>
      <c r="DH48" s="488"/>
      <c r="DI48" s="488"/>
      <c r="DJ48" s="488"/>
      <c r="DK48" s="488"/>
      <c r="DL48" s="488"/>
      <c r="DM48" s="488"/>
      <c r="DN48" s="488"/>
      <c r="DO48" s="488"/>
      <c r="DP48" s="488"/>
      <c r="DQ48" s="488"/>
      <c r="DR48" s="488"/>
      <c r="DS48" s="488"/>
      <c r="DT48" s="488"/>
      <c r="DU48" s="488"/>
      <c r="DV48" s="488"/>
      <c r="DW48" s="488"/>
      <c r="DX48" s="488"/>
      <c r="DY48" s="488"/>
      <c r="DZ48" s="488"/>
      <c r="EA48" s="488"/>
      <c r="EB48" s="488"/>
      <c r="EC48" s="488"/>
      <c r="ED48" s="488"/>
      <c r="EE48" s="488"/>
      <c r="EF48" s="488"/>
      <c r="EG48" s="488"/>
      <c r="EH48" s="488"/>
      <c r="EI48" s="488"/>
      <c r="EJ48" s="488"/>
      <c r="EK48" s="488"/>
      <c r="EL48" s="488"/>
      <c r="EM48" s="488"/>
      <c r="EN48" s="488"/>
      <c r="EO48" s="488"/>
      <c r="EP48" s="488"/>
      <c r="EQ48" s="488"/>
      <c r="ER48" s="488"/>
      <c r="ES48" s="488"/>
      <c r="ET48" s="488"/>
      <c r="EU48" s="488"/>
      <c r="EV48" s="488"/>
      <c r="EW48" s="488"/>
      <c r="EX48" s="488"/>
      <c r="EY48" s="488"/>
      <c r="EZ48" s="488"/>
      <c r="FA48" s="488"/>
      <c r="FB48" s="488"/>
      <c r="FC48" s="488"/>
      <c r="FD48" s="488"/>
      <c r="FE48" s="488"/>
      <c r="FF48" s="488"/>
      <c r="FG48" s="488"/>
      <c r="FH48" s="488"/>
    </row>
    <row r="49" spans="1:164" ht="13.05" hidden="1" customHeight="1" x14ac:dyDescent="0.25">
      <c r="A49" t="str">
        <f>Nutrients!B48</f>
        <v>Milk, Skim Milk Powder</v>
      </c>
      <c r="B49" s="99"/>
      <c r="C49" s="99"/>
      <c r="D49" s="99"/>
      <c r="E49" s="99"/>
      <c r="F49" s="99"/>
      <c r="G49" s="99"/>
      <c r="H49" s="99"/>
      <c r="I49" s="99"/>
      <c r="J49" s="99"/>
      <c r="K49" s="99"/>
      <c r="L49" s="99"/>
      <c r="M49" s="99"/>
      <c r="N49" s="99"/>
      <c r="O49" s="10"/>
      <c r="P49" s="99"/>
      <c r="Q49" s="99"/>
      <c r="R49" s="99"/>
      <c r="S49" s="99"/>
      <c r="T49" s="99"/>
      <c r="U49" s="99"/>
      <c r="W49" s="99"/>
      <c r="X49" s="99"/>
      <c r="Y49" s="99"/>
      <c r="Z49" s="99"/>
      <c r="AA49" s="99"/>
      <c r="AB49" s="99"/>
      <c r="AD49" s="99"/>
      <c r="AE49" s="99"/>
      <c r="AF49" s="99"/>
      <c r="AG49" s="99"/>
      <c r="AH49" s="99"/>
      <c r="AI49" s="99"/>
      <c r="AK49" s="99"/>
      <c r="AL49" s="99"/>
      <c r="AM49" s="99"/>
      <c r="AN49" s="99"/>
      <c r="AO49" s="99"/>
      <c r="AP49" s="99"/>
      <c r="AR49" s="99"/>
      <c r="AS49" s="99"/>
      <c r="AT49" s="99"/>
      <c r="AU49" s="99"/>
      <c r="AV49" s="99"/>
      <c r="AW49" s="99"/>
      <c r="AY49" s="488"/>
      <c r="AZ49" s="488"/>
      <c r="BA49" s="488"/>
      <c r="BB49" s="488"/>
      <c r="BC49" s="488"/>
      <c r="BD49" s="488"/>
      <c r="BE49" s="488"/>
      <c r="BF49" s="488"/>
      <c r="BG49" s="488"/>
      <c r="BH49" s="488"/>
      <c r="BI49" s="488"/>
      <c r="BJ49" s="488"/>
      <c r="BK49" s="488"/>
      <c r="BL49" s="488"/>
      <c r="BM49" s="488"/>
      <c r="BN49" s="488"/>
      <c r="BO49" s="488"/>
      <c r="BP49" s="488"/>
      <c r="BQ49" s="488"/>
      <c r="BR49" s="488"/>
      <c r="BS49" s="488"/>
      <c r="BT49" s="488"/>
      <c r="BU49" s="488"/>
      <c r="BV49" s="488"/>
      <c r="BW49" s="488"/>
      <c r="BX49" s="488"/>
      <c r="BY49" s="488"/>
      <c r="BZ49" s="488"/>
      <c r="CA49" s="488"/>
      <c r="CB49" s="488"/>
      <c r="CC49" s="488"/>
      <c r="CD49" s="488"/>
      <c r="CE49" s="488"/>
      <c r="CF49" s="488"/>
      <c r="CG49" s="488"/>
      <c r="CH49" s="488"/>
      <c r="CI49" s="488"/>
      <c r="CJ49" s="488"/>
      <c r="CK49" s="488"/>
      <c r="CL49" s="488"/>
      <c r="CM49" s="488"/>
      <c r="CN49" s="488"/>
      <c r="CO49" s="488"/>
      <c r="CP49" s="488"/>
      <c r="CQ49" s="488"/>
      <c r="CR49" s="488"/>
      <c r="CS49" s="488"/>
      <c r="CT49" s="488"/>
      <c r="CU49" s="488"/>
      <c r="CV49" s="488"/>
      <c r="CW49" s="488"/>
      <c r="CX49" s="488"/>
      <c r="CY49" s="488"/>
      <c r="CZ49" s="488"/>
      <c r="DA49" s="488"/>
      <c r="DB49" s="488"/>
      <c r="DC49" s="488"/>
      <c r="DD49" s="488"/>
      <c r="DE49" s="488"/>
      <c r="DF49" s="488"/>
      <c r="DG49" s="488"/>
      <c r="DH49" s="488"/>
      <c r="DI49" s="488"/>
      <c r="DJ49" s="488"/>
      <c r="DK49" s="488"/>
      <c r="DL49" s="488"/>
      <c r="DM49" s="488"/>
      <c r="DN49" s="488"/>
      <c r="DO49" s="488"/>
      <c r="DP49" s="488"/>
      <c r="DQ49" s="488"/>
      <c r="DR49" s="488"/>
      <c r="DS49" s="488"/>
      <c r="DT49" s="488"/>
      <c r="DU49" s="488"/>
      <c r="DV49" s="488"/>
      <c r="DW49" s="488"/>
      <c r="DX49" s="488"/>
      <c r="DY49" s="488"/>
      <c r="DZ49" s="488"/>
      <c r="EA49" s="488"/>
      <c r="EB49" s="488"/>
      <c r="EC49" s="488"/>
      <c r="ED49" s="488"/>
      <c r="EE49" s="488"/>
      <c r="EF49" s="488"/>
      <c r="EG49" s="488"/>
      <c r="EH49" s="488"/>
      <c r="EI49" s="488"/>
      <c r="EJ49" s="488"/>
      <c r="EK49" s="488"/>
      <c r="EL49" s="488"/>
      <c r="EM49" s="488"/>
      <c r="EN49" s="488"/>
      <c r="EO49" s="488"/>
      <c r="EP49" s="488"/>
      <c r="EQ49" s="488"/>
      <c r="ER49" s="488"/>
      <c r="ES49" s="488"/>
      <c r="ET49" s="488"/>
      <c r="EU49" s="488"/>
      <c r="EV49" s="488"/>
      <c r="EW49" s="488"/>
      <c r="EX49" s="488"/>
      <c r="EY49" s="488"/>
      <c r="EZ49" s="488"/>
      <c r="FA49" s="488"/>
      <c r="FB49" s="488"/>
      <c r="FC49" s="488"/>
      <c r="FD49" s="488"/>
      <c r="FE49" s="488"/>
      <c r="FF49" s="488"/>
      <c r="FG49" s="488"/>
      <c r="FH49" s="488"/>
    </row>
    <row r="50" spans="1:164" ht="13.05" hidden="1" customHeight="1" x14ac:dyDescent="0.25">
      <c r="A50" t="str">
        <f>Nutrients!B49</f>
        <v>Milk, Whey Powder</v>
      </c>
      <c r="B50" s="99"/>
      <c r="C50" s="99"/>
      <c r="D50" s="99"/>
      <c r="E50" s="99"/>
      <c r="F50" s="99"/>
      <c r="G50" s="99"/>
      <c r="H50" s="99"/>
      <c r="I50" s="99"/>
      <c r="J50" s="99"/>
      <c r="K50" s="99"/>
      <c r="L50" s="99"/>
      <c r="M50" s="99"/>
      <c r="N50" s="99"/>
      <c r="O50" s="10"/>
      <c r="P50" s="99"/>
      <c r="Q50" s="99"/>
      <c r="R50" s="99"/>
      <c r="S50" s="99"/>
      <c r="T50" s="99"/>
      <c r="U50" s="99"/>
      <c r="W50" s="99"/>
      <c r="X50" s="99"/>
      <c r="Y50" s="99"/>
      <c r="Z50" s="99"/>
      <c r="AA50" s="99"/>
      <c r="AB50" s="99"/>
      <c r="AD50" s="99"/>
      <c r="AE50" s="99"/>
      <c r="AF50" s="99"/>
      <c r="AG50" s="99"/>
      <c r="AH50" s="99"/>
      <c r="AI50" s="99"/>
      <c r="AK50" s="99"/>
      <c r="AL50" s="99"/>
      <c r="AM50" s="99"/>
      <c r="AN50" s="99"/>
      <c r="AO50" s="99"/>
      <c r="AP50" s="99"/>
      <c r="AR50" s="99"/>
      <c r="AS50" s="99"/>
      <c r="AT50" s="99"/>
      <c r="AU50" s="99"/>
      <c r="AV50" s="99"/>
      <c r="AW50" s="99"/>
      <c r="AY50" s="488"/>
      <c r="AZ50" s="488"/>
      <c r="BA50" s="488"/>
      <c r="BB50" s="488"/>
      <c r="BC50" s="488"/>
      <c r="BD50" s="488"/>
      <c r="BE50" s="488"/>
      <c r="BF50" s="488"/>
      <c r="BG50" s="488"/>
      <c r="BH50" s="488"/>
      <c r="BI50" s="488"/>
      <c r="BJ50" s="488"/>
      <c r="BK50" s="488"/>
      <c r="BL50" s="488"/>
      <c r="BM50" s="488"/>
      <c r="BN50" s="488"/>
      <c r="BO50" s="488"/>
      <c r="BP50" s="488"/>
      <c r="BQ50" s="488"/>
      <c r="BR50" s="488"/>
      <c r="BS50" s="488"/>
      <c r="BT50" s="488"/>
      <c r="BU50" s="488"/>
      <c r="BV50" s="488"/>
      <c r="BW50" s="488"/>
      <c r="BX50" s="488"/>
      <c r="BY50" s="488"/>
      <c r="BZ50" s="488"/>
      <c r="CA50" s="488"/>
      <c r="CB50" s="488"/>
      <c r="CC50" s="488"/>
      <c r="CD50" s="488"/>
      <c r="CE50" s="488"/>
      <c r="CF50" s="488"/>
      <c r="CG50" s="488"/>
      <c r="CH50" s="488"/>
      <c r="CI50" s="488"/>
      <c r="CJ50" s="488"/>
      <c r="CK50" s="488"/>
      <c r="CL50" s="488"/>
      <c r="CM50" s="488"/>
      <c r="CN50" s="488"/>
      <c r="CO50" s="488"/>
      <c r="CP50" s="488"/>
      <c r="CQ50" s="488"/>
      <c r="CR50" s="488"/>
      <c r="CS50" s="488"/>
      <c r="CT50" s="488"/>
      <c r="CU50" s="488"/>
      <c r="CV50" s="488"/>
      <c r="CW50" s="488"/>
      <c r="CX50" s="488"/>
      <c r="CY50" s="488"/>
      <c r="CZ50" s="488"/>
      <c r="DA50" s="488"/>
      <c r="DB50" s="488"/>
      <c r="DC50" s="488"/>
      <c r="DD50" s="488"/>
      <c r="DE50" s="488"/>
      <c r="DF50" s="488"/>
      <c r="DG50" s="488"/>
      <c r="DH50" s="488"/>
      <c r="DI50" s="488"/>
      <c r="DJ50" s="488"/>
      <c r="DK50" s="488"/>
      <c r="DL50" s="488"/>
      <c r="DM50" s="488"/>
      <c r="DN50" s="488"/>
      <c r="DO50" s="488"/>
      <c r="DP50" s="488"/>
      <c r="DQ50" s="488"/>
      <c r="DR50" s="488"/>
      <c r="DS50" s="488"/>
      <c r="DT50" s="488"/>
      <c r="DU50" s="488"/>
      <c r="DV50" s="488"/>
      <c r="DW50" s="488"/>
      <c r="DX50" s="488"/>
      <c r="DY50" s="488"/>
      <c r="DZ50" s="488"/>
      <c r="EA50" s="488"/>
      <c r="EB50" s="488"/>
      <c r="EC50" s="488"/>
      <c r="ED50" s="488"/>
      <c r="EE50" s="488"/>
      <c r="EF50" s="488"/>
      <c r="EG50" s="488"/>
      <c r="EH50" s="488"/>
      <c r="EI50" s="488"/>
      <c r="EJ50" s="488"/>
      <c r="EK50" s="488"/>
      <c r="EL50" s="488"/>
      <c r="EM50" s="488"/>
      <c r="EN50" s="488"/>
      <c r="EO50" s="488"/>
      <c r="EP50" s="488"/>
      <c r="EQ50" s="488"/>
      <c r="ER50" s="488"/>
      <c r="ES50" s="488"/>
      <c r="ET50" s="488"/>
      <c r="EU50" s="488"/>
      <c r="EV50" s="488"/>
      <c r="EW50" s="488"/>
      <c r="EX50" s="488"/>
      <c r="EY50" s="488"/>
      <c r="EZ50" s="488"/>
      <c r="FA50" s="488"/>
      <c r="FB50" s="488"/>
      <c r="FC50" s="488"/>
      <c r="FD50" s="488"/>
      <c r="FE50" s="488"/>
      <c r="FF50" s="488"/>
      <c r="FG50" s="488"/>
      <c r="FH50" s="488"/>
    </row>
    <row r="51" spans="1:164" ht="13.05" hidden="1" customHeight="1" x14ac:dyDescent="0.25">
      <c r="A51" t="str">
        <f>Nutrients!B50</f>
        <v>Milk, Whey Permeate, 80% lactose</v>
      </c>
      <c r="B51" s="99"/>
      <c r="C51" s="99"/>
      <c r="D51" s="99"/>
      <c r="E51" s="99"/>
      <c r="F51" s="99"/>
      <c r="G51" s="99"/>
      <c r="H51" s="99"/>
      <c r="I51" s="99"/>
      <c r="J51" s="99"/>
      <c r="K51" s="99"/>
      <c r="L51" s="99"/>
      <c r="M51" s="99"/>
      <c r="N51" s="99"/>
      <c r="O51" s="10"/>
      <c r="P51" s="99"/>
      <c r="Q51" s="99"/>
      <c r="R51" s="99"/>
      <c r="S51" s="99"/>
      <c r="T51" s="99"/>
      <c r="U51" s="99"/>
      <c r="W51" s="99"/>
      <c r="X51" s="99"/>
      <c r="Y51" s="99"/>
      <c r="Z51" s="99"/>
      <c r="AA51" s="99"/>
      <c r="AB51" s="99"/>
      <c r="AD51" s="99"/>
      <c r="AE51" s="99"/>
      <c r="AF51" s="99"/>
      <c r="AG51" s="99"/>
      <c r="AH51" s="99"/>
      <c r="AI51" s="99"/>
      <c r="AK51" s="99"/>
      <c r="AL51" s="99"/>
      <c r="AM51" s="99"/>
      <c r="AN51" s="99"/>
      <c r="AO51" s="99"/>
      <c r="AP51" s="99"/>
      <c r="AR51" s="99"/>
      <c r="AS51" s="99"/>
      <c r="AT51" s="99"/>
      <c r="AU51" s="99"/>
      <c r="AV51" s="99"/>
      <c r="AW51" s="99"/>
      <c r="AY51" s="488"/>
      <c r="AZ51" s="488"/>
      <c r="BA51" s="488"/>
      <c r="BB51" s="488"/>
      <c r="BC51" s="488"/>
      <c r="BD51" s="488"/>
      <c r="BE51" s="488"/>
      <c r="BF51" s="488"/>
      <c r="BG51" s="488"/>
      <c r="BH51" s="488"/>
      <c r="BI51" s="488"/>
      <c r="BJ51" s="488"/>
      <c r="BK51" s="488"/>
      <c r="BL51" s="488"/>
      <c r="BM51" s="488"/>
      <c r="BN51" s="488"/>
      <c r="BO51" s="488"/>
      <c r="BP51" s="488"/>
      <c r="BQ51" s="488"/>
      <c r="BR51" s="488"/>
      <c r="BS51" s="488"/>
      <c r="BT51" s="488"/>
      <c r="BU51" s="488"/>
      <c r="BV51" s="488"/>
      <c r="BW51" s="488"/>
      <c r="BX51" s="488"/>
      <c r="BY51" s="488"/>
      <c r="BZ51" s="488"/>
      <c r="CA51" s="488"/>
      <c r="CB51" s="488"/>
      <c r="CC51" s="488"/>
      <c r="CD51" s="488"/>
      <c r="CE51" s="488"/>
      <c r="CF51" s="488"/>
      <c r="CG51" s="488"/>
      <c r="CH51" s="488"/>
      <c r="CI51" s="488"/>
      <c r="CJ51" s="488"/>
      <c r="CK51" s="488"/>
      <c r="CL51" s="488"/>
      <c r="CM51" s="488"/>
      <c r="CN51" s="488"/>
      <c r="CO51" s="488"/>
      <c r="CP51" s="488"/>
      <c r="CQ51" s="488"/>
      <c r="CR51" s="488"/>
      <c r="CS51" s="488"/>
      <c r="CT51" s="488"/>
      <c r="CU51" s="488"/>
      <c r="CV51" s="488"/>
      <c r="CW51" s="488"/>
      <c r="CX51" s="488"/>
      <c r="CY51" s="488"/>
      <c r="CZ51" s="488"/>
      <c r="DA51" s="488"/>
      <c r="DB51" s="488"/>
      <c r="DC51" s="488"/>
      <c r="DD51" s="488"/>
      <c r="DE51" s="488"/>
      <c r="DF51" s="488"/>
      <c r="DG51" s="488"/>
      <c r="DH51" s="488"/>
      <c r="DI51" s="488"/>
      <c r="DJ51" s="488"/>
      <c r="DK51" s="488"/>
      <c r="DL51" s="488"/>
      <c r="DM51" s="488"/>
      <c r="DN51" s="488"/>
      <c r="DO51" s="488"/>
      <c r="DP51" s="488"/>
      <c r="DQ51" s="488"/>
      <c r="DR51" s="488"/>
      <c r="DS51" s="488"/>
      <c r="DT51" s="488"/>
      <c r="DU51" s="488"/>
      <c r="DV51" s="488"/>
      <c r="DW51" s="488"/>
      <c r="DX51" s="488"/>
      <c r="DY51" s="488"/>
      <c r="DZ51" s="488"/>
      <c r="EA51" s="488"/>
      <c r="EB51" s="488"/>
      <c r="EC51" s="488"/>
      <c r="ED51" s="488"/>
      <c r="EE51" s="488"/>
      <c r="EF51" s="488"/>
      <c r="EG51" s="488"/>
      <c r="EH51" s="488"/>
      <c r="EI51" s="488"/>
      <c r="EJ51" s="488"/>
      <c r="EK51" s="488"/>
      <c r="EL51" s="488"/>
      <c r="EM51" s="488"/>
      <c r="EN51" s="488"/>
      <c r="EO51" s="488"/>
      <c r="EP51" s="488"/>
      <c r="EQ51" s="488"/>
      <c r="ER51" s="488"/>
      <c r="ES51" s="488"/>
      <c r="ET51" s="488"/>
      <c r="EU51" s="488"/>
      <c r="EV51" s="488"/>
      <c r="EW51" s="488"/>
      <c r="EX51" s="488"/>
      <c r="EY51" s="488"/>
      <c r="EZ51" s="488"/>
      <c r="FA51" s="488"/>
      <c r="FB51" s="488"/>
      <c r="FC51" s="488"/>
      <c r="FD51" s="488"/>
      <c r="FE51" s="488"/>
      <c r="FF51" s="488"/>
      <c r="FG51" s="488"/>
      <c r="FH51" s="488"/>
    </row>
    <row r="52" spans="1:164" ht="12.75" hidden="1" customHeight="1" x14ac:dyDescent="0.25">
      <c r="A52" t="str">
        <f>Nutrients!B51</f>
        <v>Milk, Whey Protein Concentrate</v>
      </c>
      <c r="B52" s="99"/>
      <c r="C52" s="99"/>
      <c r="D52" s="99"/>
      <c r="E52" s="99"/>
      <c r="F52" s="99"/>
      <c r="G52" s="99"/>
      <c r="H52" s="99"/>
      <c r="I52" s="99"/>
      <c r="J52" s="99"/>
      <c r="K52" s="99"/>
      <c r="L52" s="99"/>
      <c r="M52" s="99"/>
      <c r="N52" s="99"/>
      <c r="O52" s="10"/>
      <c r="P52" s="99"/>
      <c r="Q52" s="99"/>
      <c r="R52" s="99"/>
      <c r="S52" s="99"/>
      <c r="T52" s="99"/>
      <c r="U52" s="99"/>
      <c r="W52" s="99"/>
      <c r="X52" s="99"/>
      <c r="Y52" s="99"/>
      <c r="Z52" s="99"/>
      <c r="AA52" s="99"/>
      <c r="AB52" s="99"/>
      <c r="AD52" s="99"/>
      <c r="AE52" s="99"/>
      <c r="AF52" s="99"/>
      <c r="AG52" s="99"/>
      <c r="AH52" s="99"/>
      <c r="AI52" s="99"/>
      <c r="AK52" s="99"/>
      <c r="AL52" s="99"/>
      <c r="AM52" s="99"/>
      <c r="AN52" s="99"/>
      <c r="AO52" s="99"/>
      <c r="AP52" s="99"/>
      <c r="AR52" s="99"/>
      <c r="AS52" s="99"/>
      <c r="AT52" s="99"/>
      <c r="AU52" s="99"/>
      <c r="AV52" s="99"/>
      <c r="AW52" s="99"/>
      <c r="AY52" s="488"/>
      <c r="AZ52" s="488"/>
      <c r="BA52" s="488"/>
      <c r="BB52" s="488"/>
      <c r="BC52" s="488"/>
      <c r="BD52" s="488"/>
      <c r="BE52" s="488"/>
      <c r="BF52" s="488"/>
      <c r="BG52" s="488"/>
      <c r="BH52" s="488"/>
      <c r="BI52" s="488"/>
      <c r="BJ52" s="488"/>
      <c r="BK52" s="488"/>
      <c r="BL52" s="488"/>
      <c r="BM52" s="488"/>
      <c r="BN52" s="488"/>
      <c r="BO52" s="488"/>
      <c r="BP52" s="488"/>
      <c r="BQ52" s="488"/>
      <c r="BR52" s="488"/>
      <c r="BS52" s="488"/>
      <c r="BT52" s="488"/>
      <c r="BU52" s="488"/>
      <c r="BV52" s="488"/>
      <c r="BW52" s="488"/>
      <c r="BX52" s="488"/>
      <c r="BY52" s="488"/>
      <c r="BZ52" s="488"/>
      <c r="CA52" s="488"/>
      <c r="CB52" s="488"/>
      <c r="CC52" s="488"/>
      <c r="CD52" s="488"/>
      <c r="CE52" s="488"/>
      <c r="CF52" s="488"/>
      <c r="CG52" s="488"/>
      <c r="CH52" s="488"/>
      <c r="CI52" s="488"/>
      <c r="CJ52" s="488"/>
      <c r="CK52" s="488"/>
      <c r="CL52" s="488"/>
      <c r="CM52" s="488"/>
      <c r="CN52" s="488"/>
      <c r="CO52" s="488"/>
      <c r="CP52" s="488"/>
      <c r="CQ52" s="488"/>
      <c r="CR52" s="488"/>
      <c r="CS52" s="488"/>
      <c r="CT52" s="488"/>
      <c r="CU52" s="488"/>
      <c r="CV52" s="488"/>
      <c r="CW52" s="488"/>
      <c r="CX52" s="488"/>
      <c r="CY52" s="488"/>
      <c r="CZ52" s="488"/>
      <c r="DA52" s="488"/>
      <c r="DB52" s="488"/>
      <c r="DC52" s="488"/>
      <c r="DD52" s="488"/>
      <c r="DE52" s="488"/>
      <c r="DF52" s="488"/>
      <c r="DG52" s="488"/>
      <c r="DH52" s="488"/>
      <c r="DI52" s="488"/>
      <c r="DJ52" s="488"/>
      <c r="DK52" s="488"/>
      <c r="DL52" s="488"/>
      <c r="DM52" s="488"/>
      <c r="DN52" s="488"/>
      <c r="DO52" s="488"/>
      <c r="DP52" s="488"/>
      <c r="DQ52" s="488"/>
      <c r="DR52" s="488"/>
      <c r="DS52" s="488"/>
      <c r="DT52" s="488"/>
      <c r="DU52" s="488"/>
      <c r="DV52" s="488"/>
      <c r="DW52" s="488"/>
      <c r="DX52" s="488"/>
      <c r="DY52" s="488"/>
      <c r="DZ52" s="488"/>
      <c r="EA52" s="488"/>
      <c r="EB52" s="488"/>
      <c r="EC52" s="488"/>
      <c r="ED52" s="488"/>
      <c r="EE52" s="488"/>
      <c r="EF52" s="488"/>
      <c r="EG52" s="488"/>
      <c r="EH52" s="488"/>
      <c r="EI52" s="488"/>
      <c r="EJ52" s="488"/>
      <c r="EK52" s="488"/>
      <c r="EL52" s="488"/>
      <c r="EM52" s="488"/>
      <c r="EN52" s="488"/>
      <c r="EO52" s="488"/>
      <c r="EP52" s="488"/>
      <c r="EQ52" s="488"/>
      <c r="ER52" s="488"/>
      <c r="ES52" s="488"/>
      <c r="ET52" s="488"/>
      <c r="EU52" s="488"/>
      <c r="EV52" s="488"/>
      <c r="EW52" s="488"/>
      <c r="EX52" s="488"/>
      <c r="EY52" s="488"/>
      <c r="EZ52" s="488"/>
      <c r="FA52" s="488"/>
      <c r="FB52" s="488"/>
      <c r="FC52" s="488"/>
      <c r="FD52" s="488"/>
      <c r="FE52" s="488"/>
      <c r="FF52" s="488"/>
      <c r="FG52" s="488"/>
      <c r="FH52" s="488"/>
    </row>
    <row r="53" spans="1:164" ht="12.75" hidden="1" customHeight="1" x14ac:dyDescent="0.25">
      <c r="A53" t="str">
        <f>Nutrients!B52</f>
        <v>Millet</v>
      </c>
      <c r="B53" s="99"/>
      <c r="C53" s="99"/>
      <c r="D53" s="99"/>
      <c r="E53" s="99"/>
      <c r="F53" s="99"/>
      <c r="G53" s="99"/>
      <c r="H53" s="99"/>
      <c r="I53" s="99"/>
      <c r="J53" s="99"/>
      <c r="K53" s="99"/>
      <c r="L53" s="99"/>
      <c r="M53" s="99"/>
      <c r="N53" s="99"/>
      <c r="O53" s="10"/>
      <c r="P53" s="99"/>
      <c r="Q53" s="99"/>
      <c r="R53" s="99"/>
      <c r="S53" s="99"/>
      <c r="T53" s="99"/>
      <c r="U53" s="99"/>
      <c r="W53" s="99"/>
      <c r="X53" s="99"/>
      <c r="Y53" s="99"/>
      <c r="Z53" s="99"/>
      <c r="AA53" s="99"/>
      <c r="AB53" s="99"/>
      <c r="AD53" s="99"/>
      <c r="AE53" s="99"/>
      <c r="AF53" s="99"/>
      <c r="AG53" s="99"/>
      <c r="AH53" s="99"/>
      <c r="AI53" s="99"/>
      <c r="AK53" s="99"/>
      <c r="AL53" s="99"/>
      <c r="AM53" s="99"/>
      <c r="AN53" s="99"/>
      <c r="AO53" s="99"/>
      <c r="AP53" s="99"/>
      <c r="AR53" s="99"/>
      <c r="AS53" s="99"/>
      <c r="AT53" s="99"/>
      <c r="AU53" s="99"/>
      <c r="AV53" s="99"/>
      <c r="AW53" s="99"/>
      <c r="AY53" s="488"/>
      <c r="AZ53" s="488"/>
      <c r="BA53" s="488"/>
      <c r="BB53" s="488"/>
      <c r="BC53" s="488"/>
      <c r="BD53" s="488"/>
      <c r="BE53" s="488"/>
      <c r="BF53" s="488"/>
      <c r="BG53" s="488"/>
      <c r="BH53" s="488"/>
      <c r="BI53" s="488"/>
      <c r="BJ53" s="488"/>
      <c r="BK53" s="488"/>
      <c r="BL53" s="488"/>
      <c r="BM53" s="488"/>
      <c r="BN53" s="488"/>
      <c r="BO53" s="488"/>
      <c r="BP53" s="488"/>
      <c r="BQ53" s="488"/>
      <c r="BR53" s="488"/>
      <c r="BS53" s="488"/>
      <c r="BT53" s="488"/>
      <c r="BU53" s="488"/>
      <c r="BV53" s="488"/>
      <c r="BW53" s="488"/>
      <c r="BX53" s="488"/>
      <c r="BY53" s="488"/>
      <c r="BZ53" s="488"/>
      <c r="CA53" s="488"/>
      <c r="CB53" s="488"/>
      <c r="CC53" s="488"/>
      <c r="CD53" s="488"/>
      <c r="CE53" s="488"/>
      <c r="CF53" s="488"/>
      <c r="CG53" s="488"/>
      <c r="CH53" s="488"/>
      <c r="CI53" s="488"/>
      <c r="CJ53" s="488"/>
      <c r="CK53" s="488"/>
      <c r="CL53" s="488"/>
      <c r="CM53" s="488"/>
      <c r="CN53" s="488"/>
      <c r="CO53" s="488"/>
      <c r="CP53" s="488"/>
      <c r="CQ53" s="488"/>
      <c r="CR53" s="488"/>
      <c r="CS53" s="488"/>
      <c r="CT53" s="488"/>
      <c r="CU53" s="488"/>
      <c r="CV53" s="488"/>
      <c r="CW53" s="488"/>
      <c r="CX53" s="488"/>
      <c r="CY53" s="488"/>
      <c r="CZ53" s="488"/>
      <c r="DA53" s="488"/>
      <c r="DB53" s="488"/>
      <c r="DC53" s="488"/>
      <c r="DD53" s="488"/>
      <c r="DE53" s="488"/>
      <c r="DF53" s="488"/>
      <c r="DG53" s="488"/>
      <c r="DH53" s="488"/>
      <c r="DI53" s="488"/>
      <c r="DJ53" s="488"/>
      <c r="DK53" s="488"/>
      <c r="DL53" s="488"/>
      <c r="DM53" s="488"/>
      <c r="DN53" s="488"/>
      <c r="DO53" s="488"/>
      <c r="DP53" s="488"/>
      <c r="DQ53" s="488"/>
      <c r="DR53" s="488"/>
      <c r="DS53" s="488"/>
      <c r="DT53" s="488"/>
      <c r="DU53" s="488"/>
      <c r="DV53" s="488"/>
      <c r="DW53" s="488"/>
      <c r="DX53" s="488"/>
      <c r="DY53" s="488"/>
      <c r="DZ53" s="488"/>
      <c r="EA53" s="488"/>
      <c r="EB53" s="488"/>
      <c r="EC53" s="488"/>
      <c r="ED53" s="488"/>
      <c r="EE53" s="488"/>
      <c r="EF53" s="488"/>
      <c r="EG53" s="488"/>
      <c r="EH53" s="488"/>
      <c r="EI53" s="488"/>
      <c r="EJ53" s="488"/>
      <c r="EK53" s="488"/>
      <c r="EL53" s="488"/>
      <c r="EM53" s="488"/>
      <c r="EN53" s="488"/>
      <c r="EO53" s="488"/>
      <c r="EP53" s="488"/>
      <c r="EQ53" s="488"/>
      <c r="ER53" s="488"/>
      <c r="ES53" s="488"/>
      <c r="ET53" s="488"/>
      <c r="EU53" s="488"/>
      <c r="EV53" s="488"/>
      <c r="EW53" s="488"/>
      <c r="EX53" s="488"/>
      <c r="EY53" s="488"/>
      <c r="EZ53" s="488"/>
      <c r="FA53" s="488"/>
      <c r="FB53" s="488"/>
      <c r="FC53" s="488"/>
      <c r="FD53" s="488"/>
      <c r="FE53" s="488"/>
      <c r="FF53" s="488"/>
      <c r="FG53" s="488"/>
      <c r="FH53" s="488"/>
    </row>
    <row r="54" spans="1:164" ht="12.75" hidden="1" customHeight="1" x14ac:dyDescent="0.25">
      <c r="A54" t="str">
        <f>Nutrients!B53</f>
        <v>Molasses, Sugarbeet</v>
      </c>
      <c r="B54" s="99"/>
      <c r="C54" s="99"/>
      <c r="D54" s="99"/>
      <c r="E54" s="99"/>
      <c r="F54" s="99"/>
      <c r="G54" s="99"/>
      <c r="H54" s="99"/>
      <c r="I54" s="99"/>
      <c r="J54" s="99"/>
      <c r="K54" s="99"/>
      <c r="L54" s="99"/>
      <c r="M54" s="99"/>
      <c r="N54" s="99"/>
      <c r="O54" s="10"/>
      <c r="P54" s="99"/>
      <c r="Q54" s="99"/>
      <c r="R54" s="99"/>
      <c r="S54" s="99"/>
      <c r="T54" s="99"/>
      <c r="U54" s="99"/>
      <c r="W54" s="99"/>
      <c r="X54" s="99"/>
      <c r="Y54" s="99"/>
      <c r="Z54" s="99"/>
      <c r="AA54" s="99"/>
      <c r="AB54" s="99"/>
      <c r="AD54" s="99"/>
      <c r="AE54" s="99"/>
      <c r="AF54" s="99"/>
      <c r="AG54" s="99"/>
      <c r="AH54" s="99"/>
      <c r="AI54" s="99"/>
      <c r="AK54" s="99"/>
      <c r="AL54" s="99"/>
      <c r="AM54" s="99"/>
      <c r="AN54" s="99"/>
      <c r="AO54" s="99"/>
      <c r="AP54" s="99"/>
      <c r="AR54" s="99"/>
      <c r="AS54" s="99"/>
      <c r="AT54" s="99"/>
      <c r="AU54" s="99"/>
      <c r="AV54" s="99"/>
      <c r="AW54" s="99"/>
      <c r="AY54" s="488"/>
      <c r="AZ54" s="488"/>
      <c r="BA54" s="488"/>
      <c r="BB54" s="488"/>
      <c r="BC54" s="488"/>
      <c r="BD54" s="488"/>
      <c r="BE54" s="488"/>
      <c r="BF54" s="488"/>
      <c r="BG54" s="488"/>
      <c r="BH54" s="488"/>
      <c r="BI54" s="488"/>
      <c r="BJ54" s="488"/>
      <c r="BK54" s="488"/>
      <c r="BL54" s="488"/>
      <c r="BM54" s="488"/>
      <c r="BN54" s="488"/>
      <c r="BO54" s="488"/>
      <c r="BP54" s="488"/>
      <c r="BQ54" s="488"/>
      <c r="BR54" s="488"/>
      <c r="BS54" s="488"/>
      <c r="BT54" s="488"/>
      <c r="BU54" s="488"/>
      <c r="BV54" s="488"/>
      <c r="BW54" s="488"/>
      <c r="BX54" s="488"/>
      <c r="BY54" s="488"/>
      <c r="BZ54" s="488"/>
      <c r="CA54" s="488"/>
      <c r="CB54" s="488"/>
      <c r="CC54" s="488"/>
      <c r="CD54" s="488"/>
      <c r="CE54" s="488"/>
      <c r="CF54" s="488"/>
      <c r="CG54" s="488"/>
      <c r="CH54" s="488"/>
      <c r="CI54" s="488"/>
      <c r="CJ54" s="488"/>
      <c r="CK54" s="488"/>
      <c r="CL54" s="488"/>
      <c r="CM54" s="488"/>
      <c r="CN54" s="488"/>
      <c r="CO54" s="488"/>
      <c r="CP54" s="488"/>
      <c r="CQ54" s="488"/>
      <c r="CR54" s="488"/>
      <c r="CS54" s="488"/>
      <c r="CT54" s="488"/>
      <c r="CU54" s="488"/>
      <c r="CV54" s="488"/>
      <c r="CW54" s="488"/>
      <c r="CX54" s="488"/>
      <c r="CY54" s="488"/>
      <c r="CZ54" s="488"/>
      <c r="DA54" s="488"/>
      <c r="DB54" s="488"/>
      <c r="DC54" s="488"/>
      <c r="DD54" s="488"/>
      <c r="DE54" s="488"/>
      <c r="DF54" s="488"/>
      <c r="DG54" s="488"/>
      <c r="DH54" s="488"/>
      <c r="DI54" s="488"/>
      <c r="DJ54" s="488"/>
      <c r="DK54" s="488"/>
      <c r="DL54" s="488"/>
      <c r="DM54" s="488"/>
      <c r="DN54" s="488"/>
      <c r="DO54" s="488"/>
      <c r="DP54" s="488"/>
      <c r="DQ54" s="488"/>
      <c r="DR54" s="488"/>
      <c r="DS54" s="488"/>
      <c r="DT54" s="488"/>
      <c r="DU54" s="488"/>
      <c r="DV54" s="488"/>
      <c r="DW54" s="488"/>
      <c r="DX54" s="488"/>
      <c r="DY54" s="488"/>
      <c r="DZ54" s="488"/>
      <c r="EA54" s="488"/>
      <c r="EB54" s="488"/>
      <c r="EC54" s="488"/>
      <c r="ED54" s="488"/>
      <c r="EE54" s="488"/>
      <c r="EF54" s="488"/>
      <c r="EG54" s="488"/>
      <c r="EH54" s="488"/>
      <c r="EI54" s="488"/>
      <c r="EJ54" s="488"/>
      <c r="EK54" s="488"/>
      <c r="EL54" s="488"/>
      <c r="EM54" s="488"/>
      <c r="EN54" s="488"/>
      <c r="EO54" s="488"/>
      <c r="EP54" s="488"/>
      <c r="EQ54" s="488"/>
      <c r="ER54" s="488"/>
      <c r="ES54" s="488"/>
      <c r="ET54" s="488"/>
      <c r="EU54" s="488"/>
      <c r="EV54" s="488"/>
      <c r="EW54" s="488"/>
      <c r="EX54" s="488"/>
      <c r="EY54" s="488"/>
      <c r="EZ54" s="488"/>
      <c r="FA54" s="488"/>
      <c r="FB54" s="488"/>
      <c r="FC54" s="488"/>
      <c r="FD54" s="488"/>
      <c r="FE54" s="488"/>
      <c r="FF54" s="488"/>
      <c r="FG54" s="488"/>
      <c r="FH54" s="488"/>
    </row>
    <row r="55" spans="1:164" ht="12.75" hidden="1" customHeight="1" x14ac:dyDescent="0.25">
      <c r="A55" t="str">
        <f>Nutrients!B54</f>
        <v>Molasses, Sugarcane</v>
      </c>
      <c r="B55" s="99"/>
      <c r="C55" s="99"/>
      <c r="D55" s="99"/>
      <c r="E55" s="99"/>
      <c r="F55" s="99"/>
      <c r="G55" s="99"/>
      <c r="H55" s="99"/>
      <c r="I55" s="99"/>
      <c r="J55" s="99"/>
      <c r="K55" s="99"/>
      <c r="L55" s="99"/>
      <c r="M55" s="99"/>
      <c r="N55" s="99"/>
      <c r="O55" s="10"/>
      <c r="P55" s="99"/>
      <c r="Q55" s="99"/>
      <c r="R55" s="99"/>
      <c r="S55" s="99"/>
      <c r="T55" s="99"/>
      <c r="U55" s="99"/>
      <c r="W55" s="99"/>
      <c r="X55" s="99"/>
      <c r="Y55" s="99"/>
      <c r="Z55" s="99"/>
      <c r="AA55" s="99"/>
      <c r="AB55" s="99"/>
      <c r="AD55" s="99"/>
      <c r="AE55" s="99"/>
      <c r="AF55" s="99"/>
      <c r="AG55" s="99"/>
      <c r="AH55" s="99"/>
      <c r="AI55" s="99"/>
      <c r="AK55" s="99"/>
      <c r="AL55" s="99"/>
      <c r="AM55" s="99"/>
      <c r="AN55" s="99"/>
      <c r="AO55" s="99"/>
      <c r="AP55" s="99"/>
      <c r="AR55" s="99"/>
      <c r="AS55" s="99"/>
      <c r="AT55" s="99"/>
      <c r="AU55" s="99"/>
      <c r="AV55" s="99"/>
      <c r="AW55" s="99"/>
      <c r="AY55" s="488"/>
      <c r="AZ55" s="488"/>
      <c r="BA55" s="488"/>
      <c r="BB55" s="488"/>
      <c r="BC55" s="488"/>
      <c r="BD55" s="488"/>
      <c r="BE55" s="488"/>
      <c r="BF55" s="488"/>
      <c r="BG55" s="488"/>
      <c r="BH55" s="488"/>
      <c r="BI55" s="488"/>
      <c r="BJ55" s="488"/>
      <c r="BK55" s="488"/>
      <c r="BL55" s="488"/>
      <c r="BM55" s="488"/>
      <c r="BN55" s="488"/>
      <c r="BO55" s="488"/>
      <c r="BP55" s="488"/>
      <c r="BQ55" s="488"/>
      <c r="BR55" s="488"/>
      <c r="BS55" s="488"/>
      <c r="BT55" s="488"/>
      <c r="BU55" s="488"/>
      <c r="BV55" s="488"/>
      <c r="BW55" s="488"/>
      <c r="BX55" s="488"/>
      <c r="BY55" s="488"/>
      <c r="BZ55" s="488"/>
      <c r="CA55" s="488"/>
      <c r="CB55" s="488"/>
      <c r="CC55" s="488"/>
      <c r="CD55" s="488"/>
      <c r="CE55" s="488"/>
      <c r="CF55" s="488"/>
      <c r="CG55" s="488"/>
      <c r="CH55" s="488"/>
      <c r="CI55" s="488"/>
      <c r="CJ55" s="488"/>
      <c r="CK55" s="488"/>
      <c r="CL55" s="488"/>
      <c r="CM55" s="488"/>
      <c r="CN55" s="488"/>
      <c r="CO55" s="488"/>
      <c r="CP55" s="488"/>
      <c r="CQ55" s="488"/>
      <c r="CR55" s="488"/>
      <c r="CS55" s="488"/>
      <c r="CT55" s="488"/>
      <c r="CU55" s="488"/>
      <c r="CV55" s="488"/>
      <c r="CW55" s="488"/>
      <c r="CX55" s="488"/>
      <c r="CY55" s="488"/>
      <c r="CZ55" s="488"/>
      <c r="DA55" s="488"/>
      <c r="DB55" s="488"/>
      <c r="DC55" s="488"/>
      <c r="DD55" s="488"/>
      <c r="DE55" s="488"/>
      <c r="DF55" s="488"/>
      <c r="DG55" s="488"/>
      <c r="DH55" s="488"/>
      <c r="DI55" s="488"/>
      <c r="DJ55" s="488"/>
      <c r="DK55" s="488"/>
      <c r="DL55" s="488"/>
      <c r="DM55" s="488"/>
      <c r="DN55" s="488"/>
      <c r="DO55" s="488"/>
      <c r="DP55" s="488"/>
      <c r="DQ55" s="488"/>
      <c r="DR55" s="488"/>
      <c r="DS55" s="488"/>
      <c r="DT55" s="488"/>
      <c r="DU55" s="488"/>
      <c r="DV55" s="488"/>
      <c r="DW55" s="488"/>
      <c r="DX55" s="488"/>
      <c r="DY55" s="488"/>
      <c r="DZ55" s="488"/>
      <c r="EA55" s="488"/>
      <c r="EB55" s="488"/>
      <c r="EC55" s="488"/>
      <c r="ED55" s="488"/>
      <c r="EE55" s="488"/>
      <c r="EF55" s="488"/>
      <c r="EG55" s="488"/>
      <c r="EH55" s="488"/>
      <c r="EI55" s="488"/>
      <c r="EJ55" s="488"/>
      <c r="EK55" s="488"/>
      <c r="EL55" s="488"/>
      <c r="EM55" s="488"/>
      <c r="EN55" s="488"/>
      <c r="EO55" s="488"/>
      <c r="EP55" s="488"/>
      <c r="EQ55" s="488"/>
      <c r="ER55" s="488"/>
      <c r="ES55" s="488"/>
      <c r="ET55" s="488"/>
      <c r="EU55" s="488"/>
      <c r="EV55" s="488"/>
      <c r="EW55" s="488"/>
      <c r="EX55" s="488"/>
      <c r="EY55" s="488"/>
      <c r="EZ55" s="488"/>
      <c r="FA55" s="488"/>
      <c r="FB55" s="488"/>
      <c r="FC55" s="488"/>
      <c r="FD55" s="488"/>
      <c r="FE55" s="488"/>
      <c r="FF55" s="488"/>
      <c r="FG55" s="488"/>
      <c r="FH55" s="488"/>
    </row>
    <row r="56" spans="1:164" ht="12.75" hidden="1" customHeight="1" x14ac:dyDescent="0.25">
      <c r="A56" t="str">
        <f>Nutrients!B55</f>
        <v>Oats</v>
      </c>
      <c r="B56" s="99"/>
      <c r="C56" s="99"/>
      <c r="D56" s="99"/>
      <c r="E56" s="99"/>
      <c r="F56" s="99"/>
      <c r="G56" s="99"/>
      <c r="H56" s="99"/>
      <c r="I56" s="99"/>
      <c r="J56" s="99"/>
      <c r="K56" s="99"/>
      <c r="L56" s="99"/>
      <c r="M56" s="99"/>
      <c r="N56" s="99"/>
      <c r="O56" s="10"/>
      <c r="P56" s="99"/>
      <c r="Q56" s="99"/>
      <c r="R56" s="99"/>
      <c r="S56" s="99"/>
      <c r="T56" s="99"/>
      <c r="U56" s="99"/>
      <c r="W56" s="99"/>
      <c r="X56" s="99"/>
      <c r="Y56" s="99"/>
      <c r="Z56" s="99"/>
      <c r="AA56" s="99"/>
      <c r="AB56" s="99"/>
      <c r="AD56" s="99"/>
      <c r="AE56" s="99"/>
      <c r="AF56" s="99"/>
      <c r="AG56" s="99"/>
      <c r="AH56" s="99"/>
      <c r="AI56" s="99"/>
      <c r="AK56" s="99"/>
      <c r="AL56" s="99"/>
      <c r="AM56" s="99"/>
      <c r="AN56" s="99"/>
      <c r="AO56" s="99"/>
      <c r="AP56" s="99"/>
      <c r="AR56" s="99"/>
      <c r="AS56" s="99"/>
      <c r="AT56" s="99"/>
      <c r="AU56" s="99"/>
      <c r="AV56" s="99"/>
      <c r="AW56" s="99"/>
      <c r="AY56" s="488"/>
      <c r="AZ56" s="488"/>
      <c r="BA56" s="488"/>
      <c r="BB56" s="488"/>
      <c r="BC56" s="488"/>
      <c r="BD56" s="488"/>
      <c r="BE56" s="488"/>
      <c r="BF56" s="488"/>
      <c r="BG56" s="488"/>
      <c r="BH56" s="488"/>
      <c r="BI56" s="488"/>
      <c r="BJ56" s="488"/>
      <c r="BK56" s="488"/>
      <c r="BL56" s="488"/>
      <c r="BM56" s="488"/>
      <c r="BN56" s="488"/>
      <c r="BO56" s="488"/>
      <c r="BP56" s="488"/>
      <c r="BQ56" s="488"/>
      <c r="BR56" s="488"/>
      <c r="BS56" s="488"/>
      <c r="BT56" s="488"/>
      <c r="BU56" s="488"/>
      <c r="BV56" s="488"/>
      <c r="BW56" s="488"/>
      <c r="BX56" s="488"/>
      <c r="BY56" s="488"/>
      <c r="BZ56" s="488"/>
      <c r="CA56" s="488"/>
      <c r="CB56" s="488"/>
      <c r="CC56" s="488"/>
      <c r="CD56" s="488"/>
      <c r="CE56" s="488"/>
      <c r="CF56" s="488"/>
      <c r="CG56" s="488"/>
      <c r="CH56" s="488"/>
      <c r="CI56" s="488"/>
      <c r="CJ56" s="488"/>
      <c r="CK56" s="488"/>
      <c r="CL56" s="488"/>
      <c r="CM56" s="488"/>
      <c r="CN56" s="488"/>
      <c r="CO56" s="488"/>
      <c r="CP56" s="488"/>
      <c r="CQ56" s="488"/>
      <c r="CR56" s="488"/>
      <c r="CS56" s="488"/>
      <c r="CT56" s="488"/>
      <c r="CU56" s="488"/>
      <c r="CV56" s="488"/>
      <c r="CW56" s="488"/>
      <c r="CX56" s="488"/>
      <c r="CY56" s="488"/>
      <c r="CZ56" s="488"/>
      <c r="DA56" s="488"/>
      <c r="DB56" s="488"/>
      <c r="DC56" s="488"/>
      <c r="DD56" s="488"/>
      <c r="DE56" s="488"/>
      <c r="DF56" s="488"/>
      <c r="DG56" s="488"/>
      <c r="DH56" s="488"/>
      <c r="DI56" s="488"/>
      <c r="DJ56" s="488"/>
      <c r="DK56" s="488"/>
      <c r="DL56" s="488"/>
      <c r="DM56" s="488"/>
      <c r="DN56" s="488"/>
      <c r="DO56" s="488"/>
      <c r="DP56" s="488"/>
      <c r="DQ56" s="488"/>
      <c r="DR56" s="488"/>
      <c r="DS56" s="488"/>
      <c r="DT56" s="488"/>
      <c r="DU56" s="488"/>
      <c r="DV56" s="488"/>
      <c r="DW56" s="488"/>
      <c r="DX56" s="488"/>
      <c r="DY56" s="488"/>
      <c r="DZ56" s="488"/>
      <c r="EA56" s="488"/>
      <c r="EB56" s="488"/>
      <c r="EC56" s="488"/>
      <c r="ED56" s="488"/>
      <c r="EE56" s="488"/>
      <c r="EF56" s="488"/>
      <c r="EG56" s="488"/>
      <c r="EH56" s="488"/>
      <c r="EI56" s="488"/>
      <c r="EJ56" s="488"/>
      <c r="EK56" s="488"/>
      <c r="EL56" s="488"/>
      <c r="EM56" s="488"/>
      <c r="EN56" s="488"/>
      <c r="EO56" s="488"/>
      <c r="EP56" s="488"/>
      <c r="EQ56" s="488"/>
      <c r="ER56" s="488"/>
      <c r="ES56" s="488"/>
      <c r="ET56" s="488"/>
      <c r="EU56" s="488"/>
      <c r="EV56" s="488"/>
      <c r="EW56" s="488"/>
      <c r="EX56" s="488"/>
      <c r="EY56" s="488"/>
      <c r="EZ56" s="488"/>
      <c r="FA56" s="488"/>
      <c r="FB56" s="488"/>
      <c r="FC56" s="488"/>
      <c r="FD56" s="488"/>
      <c r="FE56" s="488"/>
      <c r="FF56" s="488"/>
      <c r="FG56" s="488"/>
      <c r="FH56" s="488"/>
    </row>
    <row r="57" spans="1:164" ht="12.75" hidden="1" customHeight="1" x14ac:dyDescent="0.25">
      <c r="A57" t="str">
        <f>Nutrients!B56</f>
        <v>Oats, Naked</v>
      </c>
      <c r="B57" s="99"/>
      <c r="C57" s="99"/>
      <c r="D57" s="99"/>
      <c r="E57" s="99"/>
      <c r="F57" s="99"/>
      <c r="G57" s="99"/>
      <c r="H57" s="99"/>
      <c r="I57" s="99"/>
      <c r="J57" s="99"/>
      <c r="K57" s="99"/>
      <c r="L57" s="99"/>
      <c r="M57" s="99"/>
      <c r="N57" s="99"/>
      <c r="O57" s="10"/>
      <c r="P57" s="99"/>
      <c r="Q57" s="99"/>
      <c r="R57" s="99"/>
      <c r="S57" s="99"/>
      <c r="T57" s="99"/>
      <c r="U57" s="99"/>
      <c r="W57" s="99"/>
      <c r="X57" s="99"/>
      <c r="Y57" s="99"/>
      <c r="Z57" s="99"/>
      <c r="AA57" s="99"/>
      <c r="AB57" s="99"/>
      <c r="AD57" s="99"/>
      <c r="AE57" s="99"/>
      <c r="AF57" s="99"/>
      <c r="AG57" s="99"/>
      <c r="AH57" s="99"/>
      <c r="AI57" s="99"/>
      <c r="AK57" s="99"/>
      <c r="AL57" s="99"/>
      <c r="AM57" s="99"/>
      <c r="AN57" s="99"/>
      <c r="AO57" s="99"/>
      <c r="AP57" s="99"/>
      <c r="AR57" s="99"/>
      <c r="AS57" s="99"/>
      <c r="AT57" s="99"/>
      <c r="AU57" s="99"/>
      <c r="AV57" s="99"/>
      <c r="AW57" s="99"/>
      <c r="AY57" s="488"/>
      <c r="AZ57" s="488"/>
      <c r="BA57" s="488"/>
      <c r="BB57" s="488"/>
      <c r="BC57" s="488"/>
      <c r="BD57" s="488"/>
      <c r="BE57" s="488"/>
      <c r="BF57" s="488"/>
      <c r="BG57" s="488"/>
      <c r="BH57" s="488"/>
      <c r="BI57" s="488"/>
      <c r="BJ57" s="488"/>
      <c r="BK57" s="488"/>
      <c r="BL57" s="488"/>
      <c r="BM57" s="488"/>
      <c r="BN57" s="488"/>
      <c r="BO57" s="488"/>
      <c r="BP57" s="488"/>
      <c r="BQ57" s="488"/>
      <c r="BR57" s="488"/>
      <c r="BS57" s="488"/>
      <c r="BT57" s="488"/>
      <c r="BU57" s="488"/>
      <c r="BV57" s="488"/>
      <c r="BW57" s="488"/>
      <c r="BX57" s="488"/>
      <c r="BY57" s="488"/>
      <c r="BZ57" s="488"/>
      <c r="CA57" s="488"/>
      <c r="CB57" s="488"/>
      <c r="CC57" s="488"/>
      <c r="CD57" s="488"/>
      <c r="CE57" s="488"/>
      <c r="CF57" s="488"/>
      <c r="CG57" s="488"/>
      <c r="CH57" s="488"/>
      <c r="CI57" s="488"/>
      <c r="CJ57" s="488"/>
      <c r="CK57" s="488"/>
      <c r="CL57" s="488"/>
      <c r="CM57" s="488"/>
      <c r="CN57" s="488"/>
      <c r="CO57" s="488"/>
      <c r="CP57" s="488"/>
      <c r="CQ57" s="488"/>
      <c r="CR57" s="488"/>
      <c r="CS57" s="488"/>
      <c r="CT57" s="488"/>
      <c r="CU57" s="488"/>
      <c r="CV57" s="488"/>
      <c r="CW57" s="488"/>
      <c r="CX57" s="488"/>
      <c r="CY57" s="488"/>
      <c r="CZ57" s="488"/>
      <c r="DA57" s="488"/>
      <c r="DB57" s="488"/>
      <c r="DC57" s="488"/>
      <c r="DD57" s="488"/>
      <c r="DE57" s="488"/>
      <c r="DF57" s="488"/>
      <c r="DG57" s="488"/>
      <c r="DH57" s="488"/>
      <c r="DI57" s="488"/>
      <c r="DJ57" s="488"/>
      <c r="DK57" s="488"/>
      <c r="DL57" s="488"/>
      <c r="DM57" s="488"/>
      <c r="DN57" s="488"/>
      <c r="DO57" s="488"/>
      <c r="DP57" s="488"/>
      <c r="DQ57" s="488"/>
      <c r="DR57" s="488"/>
      <c r="DS57" s="488"/>
      <c r="DT57" s="488"/>
      <c r="DU57" s="488"/>
      <c r="DV57" s="488"/>
      <c r="DW57" s="488"/>
      <c r="DX57" s="488"/>
      <c r="DY57" s="488"/>
      <c r="DZ57" s="488"/>
      <c r="EA57" s="488"/>
      <c r="EB57" s="488"/>
      <c r="EC57" s="488"/>
      <c r="ED57" s="488"/>
      <c r="EE57" s="488"/>
      <c r="EF57" s="488"/>
      <c r="EG57" s="488"/>
      <c r="EH57" s="488"/>
      <c r="EI57" s="488"/>
      <c r="EJ57" s="488"/>
      <c r="EK57" s="488"/>
      <c r="EL57" s="488"/>
      <c r="EM57" s="488"/>
      <c r="EN57" s="488"/>
      <c r="EO57" s="488"/>
      <c r="EP57" s="488"/>
      <c r="EQ57" s="488"/>
      <c r="ER57" s="488"/>
      <c r="ES57" s="488"/>
      <c r="ET57" s="488"/>
      <c r="EU57" s="488"/>
      <c r="EV57" s="488"/>
      <c r="EW57" s="488"/>
      <c r="EX57" s="488"/>
      <c r="EY57" s="488"/>
      <c r="EZ57" s="488"/>
      <c r="FA57" s="488"/>
      <c r="FB57" s="488"/>
      <c r="FC57" s="488"/>
      <c r="FD57" s="488"/>
      <c r="FE57" s="488"/>
      <c r="FF57" s="488"/>
      <c r="FG57" s="488"/>
      <c r="FH57" s="488"/>
    </row>
    <row r="58" spans="1:164" ht="12.75" hidden="1" customHeight="1" x14ac:dyDescent="0.25">
      <c r="A58" t="str">
        <f>Nutrients!B57</f>
        <v>Oat Groats</v>
      </c>
      <c r="B58" s="99"/>
      <c r="C58" s="99"/>
      <c r="D58" s="99"/>
      <c r="E58" s="99"/>
      <c r="F58" s="99"/>
      <c r="G58" s="99"/>
      <c r="H58" s="99"/>
      <c r="I58" s="99"/>
      <c r="J58" s="99"/>
      <c r="K58" s="99"/>
      <c r="L58" s="99"/>
      <c r="M58" s="99"/>
      <c r="N58" s="99"/>
      <c r="O58" s="10"/>
      <c r="P58" s="99"/>
      <c r="Q58" s="99"/>
      <c r="R58" s="99"/>
      <c r="S58" s="99"/>
      <c r="T58" s="99"/>
      <c r="U58" s="99"/>
      <c r="W58" s="99"/>
      <c r="X58" s="99"/>
      <c r="Y58" s="99"/>
      <c r="Z58" s="99"/>
      <c r="AA58" s="99"/>
      <c r="AB58" s="99"/>
      <c r="AD58" s="99"/>
      <c r="AE58" s="99"/>
      <c r="AF58" s="99"/>
      <c r="AG58" s="99"/>
      <c r="AH58" s="99"/>
      <c r="AI58" s="99"/>
      <c r="AK58" s="99"/>
      <c r="AL58" s="99"/>
      <c r="AM58" s="99"/>
      <c r="AN58" s="99"/>
      <c r="AO58" s="99"/>
      <c r="AP58" s="99"/>
      <c r="AR58" s="99"/>
      <c r="AS58" s="99"/>
      <c r="AT58" s="99"/>
      <c r="AU58" s="99"/>
      <c r="AV58" s="99"/>
      <c r="AW58" s="99"/>
      <c r="AY58" s="488"/>
      <c r="AZ58" s="488"/>
      <c r="BA58" s="488"/>
      <c r="BB58" s="488"/>
      <c r="BC58" s="488"/>
      <c r="BD58" s="488"/>
      <c r="BE58" s="488"/>
      <c r="BF58" s="488"/>
      <c r="BG58" s="488"/>
      <c r="BH58" s="488"/>
      <c r="BI58" s="488"/>
      <c r="BJ58" s="488"/>
      <c r="BK58" s="488"/>
      <c r="BL58" s="488"/>
      <c r="BM58" s="488"/>
      <c r="BN58" s="488"/>
      <c r="BO58" s="488"/>
      <c r="BP58" s="488"/>
      <c r="BQ58" s="488"/>
      <c r="BR58" s="488"/>
      <c r="BS58" s="488"/>
      <c r="BT58" s="488"/>
      <c r="BU58" s="488"/>
      <c r="BV58" s="488"/>
      <c r="BW58" s="488"/>
      <c r="BX58" s="488"/>
      <c r="BY58" s="488"/>
      <c r="BZ58" s="488"/>
      <c r="CA58" s="488"/>
      <c r="CB58" s="488"/>
      <c r="CC58" s="488"/>
      <c r="CD58" s="488"/>
      <c r="CE58" s="488"/>
      <c r="CF58" s="488"/>
      <c r="CG58" s="488"/>
      <c r="CH58" s="488"/>
      <c r="CI58" s="488"/>
      <c r="CJ58" s="488"/>
      <c r="CK58" s="488"/>
      <c r="CL58" s="488"/>
      <c r="CM58" s="488"/>
      <c r="CN58" s="488"/>
      <c r="CO58" s="488"/>
      <c r="CP58" s="488"/>
      <c r="CQ58" s="488"/>
      <c r="CR58" s="488"/>
      <c r="CS58" s="488"/>
      <c r="CT58" s="488"/>
      <c r="CU58" s="488"/>
      <c r="CV58" s="488"/>
      <c r="CW58" s="488"/>
      <c r="CX58" s="488"/>
      <c r="CY58" s="488"/>
      <c r="CZ58" s="488"/>
      <c r="DA58" s="488"/>
      <c r="DB58" s="488"/>
      <c r="DC58" s="488"/>
      <c r="DD58" s="488"/>
      <c r="DE58" s="488"/>
      <c r="DF58" s="488"/>
      <c r="DG58" s="488"/>
      <c r="DH58" s="488"/>
      <c r="DI58" s="488"/>
      <c r="DJ58" s="488"/>
      <c r="DK58" s="488"/>
      <c r="DL58" s="488"/>
      <c r="DM58" s="488"/>
      <c r="DN58" s="488"/>
      <c r="DO58" s="488"/>
      <c r="DP58" s="488"/>
      <c r="DQ58" s="488"/>
      <c r="DR58" s="488"/>
      <c r="DS58" s="488"/>
      <c r="DT58" s="488"/>
      <c r="DU58" s="488"/>
      <c r="DV58" s="488"/>
      <c r="DW58" s="488"/>
      <c r="DX58" s="488"/>
      <c r="DY58" s="488"/>
      <c r="DZ58" s="488"/>
      <c r="EA58" s="488"/>
      <c r="EB58" s="488"/>
      <c r="EC58" s="488"/>
      <c r="ED58" s="488"/>
      <c r="EE58" s="488"/>
      <c r="EF58" s="488"/>
      <c r="EG58" s="488"/>
      <c r="EH58" s="488"/>
      <c r="EI58" s="488"/>
      <c r="EJ58" s="488"/>
      <c r="EK58" s="488"/>
      <c r="EL58" s="488"/>
      <c r="EM58" s="488"/>
      <c r="EN58" s="488"/>
      <c r="EO58" s="488"/>
      <c r="EP58" s="488"/>
      <c r="EQ58" s="488"/>
      <c r="ER58" s="488"/>
      <c r="ES58" s="488"/>
      <c r="ET58" s="488"/>
      <c r="EU58" s="488"/>
      <c r="EV58" s="488"/>
      <c r="EW58" s="488"/>
      <c r="EX58" s="488"/>
      <c r="EY58" s="488"/>
      <c r="EZ58" s="488"/>
      <c r="FA58" s="488"/>
      <c r="FB58" s="488"/>
      <c r="FC58" s="488"/>
      <c r="FD58" s="488"/>
      <c r="FE58" s="488"/>
      <c r="FF58" s="488"/>
      <c r="FG58" s="488"/>
      <c r="FH58" s="488"/>
    </row>
    <row r="59" spans="1:164" ht="12.75" hidden="1" customHeight="1" x14ac:dyDescent="0.25">
      <c r="A59" t="str">
        <f>Nutrients!B58</f>
        <v>Peanut Meal, Expelled</v>
      </c>
      <c r="B59" s="99"/>
      <c r="C59" s="99"/>
      <c r="D59" s="99"/>
      <c r="E59" s="99"/>
      <c r="F59" s="99"/>
      <c r="G59" s="99"/>
      <c r="H59" s="99"/>
      <c r="I59" s="99"/>
      <c r="J59" s="99"/>
      <c r="K59" s="99"/>
      <c r="L59" s="99"/>
      <c r="M59" s="99"/>
      <c r="N59" s="99"/>
      <c r="O59" s="10"/>
      <c r="P59" s="99"/>
      <c r="Q59" s="99"/>
      <c r="R59" s="99"/>
      <c r="S59" s="99"/>
      <c r="T59" s="99"/>
      <c r="U59" s="99"/>
      <c r="W59" s="99"/>
      <c r="X59" s="99"/>
      <c r="Y59" s="99"/>
      <c r="Z59" s="99"/>
      <c r="AA59" s="99"/>
      <c r="AB59" s="99"/>
      <c r="AD59" s="99"/>
      <c r="AE59" s="99"/>
      <c r="AF59" s="99"/>
      <c r="AG59" s="99"/>
      <c r="AH59" s="99"/>
      <c r="AI59" s="99"/>
      <c r="AK59" s="99"/>
      <c r="AL59" s="99"/>
      <c r="AM59" s="99"/>
      <c r="AN59" s="99"/>
      <c r="AO59" s="99"/>
      <c r="AP59" s="99"/>
      <c r="AR59" s="99"/>
      <c r="AS59" s="99"/>
      <c r="AT59" s="99"/>
      <c r="AU59" s="99"/>
      <c r="AV59" s="99"/>
      <c r="AW59" s="99"/>
      <c r="AY59" s="488"/>
      <c r="AZ59" s="488"/>
      <c r="BA59" s="488"/>
      <c r="BB59" s="488"/>
      <c r="BC59" s="488"/>
      <c r="BD59" s="488"/>
      <c r="BE59" s="488"/>
      <c r="BF59" s="488"/>
      <c r="BG59" s="488"/>
      <c r="BH59" s="488"/>
      <c r="BI59" s="488"/>
      <c r="BJ59" s="488"/>
      <c r="BK59" s="488"/>
      <c r="BL59" s="488"/>
      <c r="BM59" s="488"/>
      <c r="BN59" s="488"/>
      <c r="BO59" s="488"/>
      <c r="BP59" s="488"/>
      <c r="BQ59" s="488"/>
      <c r="BR59" s="488"/>
      <c r="BS59" s="488"/>
      <c r="BT59" s="488"/>
      <c r="BU59" s="488"/>
      <c r="BV59" s="488"/>
      <c r="BW59" s="488"/>
      <c r="BX59" s="488"/>
      <c r="BY59" s="488"/>
      <c r="BZ59" s="488"/>
      <c r="CA59" s="488"/>
      <c r="CB59" s="488"/>
      <c r="CC59" s="488"/>
      <c r="CD59" s="488"/>
      <c r="CE59" s="488"/>
      <c r="CF59" s="488"/>
      <c r="CG59" s="488"/>
      <c r="CH59" s="488"/>
      <c r="CI59" s="488"/>
      <c r="CJ59" s="488"/>
      <c r="CK59" s="488"/>
      <c r="CL59" s="488"/>
      <c r="CM59" s="488"/>
      <c r="CN59" s="488"/>
      <c r="CO59" s="488"/>
      <c r="CP59" s="488"/>
      <c r="CQ59" s="488"/>
      <c r="CR59" s="488"/>
      <c r="CS59" s="488"/>
      <c r="CT59" s="488"/>
      <c r="CU59" s="488"/>
      <c r="CV59" s="488"/>
      <c r="CW59" s="488"/>
      <c r="CX59" s="488"/>
      <c r="CY59" s="488"/>
      <c r="CZ59" s="488"/>
      <c r="DA59" s="488"/>
      <c r="DB59" s="488"/>
      <c r="DC59" s="488"/>
      <c r="DD59" s="488"/>
      <c r="DE59" s="488"/>
      <c r="DF59" s="488"/>
      <c r="DG59" s="488"/>
      <c r="DH59" s="488"/>
      <c r="DI59" s="488"/>
      <c r="DJ59" s="488"/>
      <c r="DK59" s="488"/>
      <c r="DL59" s="488"/>
      <c r="DM59" s="488"/>
      <c r="DN59" s="488"/>
      <c r="DO59" s="488"/>
      <c r="DP59" s="488"/>
      <c r="DQ59" s="488"/>
      <c r="DR59" s="488"/>
      <c r="DS59" s="488"/>
      <c r="DT59" s="488"/>
      <c r="DU59" s="488"/>
      <c r="DV59" s="488"/>
      <c r="DW59" s="488"/>
      <c r="DX59" s="488"/>
      <c r="DY59" s="488"/>
      <c r="DZ59" s="488"/>
      <c r="EA59" s="488"/>
      <c r="EB59" s="488"/>
      <c r="EC59" s="488"/>
      <c r="ED59" s="488"/>
      <c r="EE59" s="488"/>
      <c r="EF59" s="488"/>
      <c r="EG59" s="488"/>
      <c r="EH59" s="488"/>
      <c r="EI59" s="488"/>
      <c r="EJ59" s="488"/>
      <c r="EK59" s="488"/>
      <c r="EL59" s="488"/>
      <c r="EM59" s="488"/>
      <c r="EN59" s="488"/>
      <c r="EO59" s="488"/>
      <c r="EP59" s="488"/>
      <c r="EQ59" s="488"/>
      <c r="ER59" s="488"/>
      <c r="ES59" s="488"/>
      <c r="ET59" s="488"/>
      <c r="EU59" s="488"/>
      <c r="EV59" s="488"/>
      <c r="EW59" s="488"/>
      <c r="EX59" s="488"/>
      <c r="EY59" s="488"/>
      <c r="EZ59" s="488"/>
      <c r="FA59" s="488"/>
      <c r="FB59" s="488"/>
      <c r="FC59" s="488"/>
      <c r="FD59" s="488"/>
      <c r="FE59" s="488"/>
      <c r="FF59" s="488"/>
      <c r="FG59" s="488"/>
      <c r="FH59" s="488"/>
    </row>
    <row r="60" spans="1:164" ht="12.75" hidden="1" customHeight="1" x14ac:dyDescent="0.25">
      <c r="A60" t="str">
        <f>Nutrients!B59</f>
        <v>Peanut Meal, Extracted</v>
      </c>
      <c r="B60" s="99"/>
      <c r="C60" s="99"/>
      <c r="D60" s="99"/>
      <c r="E60" s="99"/>
      <c r="F60" s="99"/>
      <c r="G60" s="99"/>
      <c r="H60" s="99"/>
      <c r="I60" s="99"/>
      <c r="J60" s="99"/>
      <c r="K60" s="99"/>
      <c r="L60" s="99"/>
      <c r="M60" s="99"/>
      <c r="N60" s="99"/>
      <c r="O60" s="10"/>
      <c r="P60" s="99"/>
      <c r="Q60" s="99"/>
      <c r="R60" s="99"/>
      <c r="S60" s="99"/>
      <c r="T60" s="99"/>
      <c r="U60" s="99"/>
      <c r="W60" s="99"/>
      <c r="X60" s="99"/>
      <c r="Y60" s="99"/>
      <c r="Z60" s="99"/>
      <c r="AA60" s="99"/>
      <c r="AB60" s="99"/>
      <c r="AD60" s="99"/>
      <c r="AE60" s="99"/>
      <c r="AF60" s="99"/>
      <c r="AG60" s="99"/>
      <c r="AH60" s="99"/>
      <c r="AI60" s="99"/>
      <c r="AK60" s="99"/>
      <c r="AL60" s="99"/>
      <c r="AM60" s="99"/>
      <c r="AN60" s="99"/>
      <c r="AO60" s="99"/>
      <c r="AP60" s="99"/>
      <c r="AR60" s="99"/>
      <c r="AS60" s="99"/>
      <c r="AT60" s="99"/>
      <c r="AU60" s="99"/>
      <c r="AV60" s="99"/>
      <c r="AW60" s="99"/>
      <c r="AY60" s="488"/>
      <c r="AZ60" s="488"/>
      <c r="BA60" s="488"/>
      <c r="BB60" s="488"/>
      <c r="BC60" s="488"/>
      <c r="BD60" s="488"/>
      <c r="BE60" s="488"/>
      <c r="BF60" s="488"/>
      <c r="BG60" s="488"/>
      <c r="BH60" s="488"/>
      <c r="BI60" s="488"/>
      <c r="BJ60" s="488"/>
      <c r="BK60" s="488"/>
      <c r="BL60" s="488"/>
      <c r="BM60" s="488"/>
      <c r="BN60" s="488"/>
      <c r="BO60" s="488"/>
      <c r="BP60" s="488"/>
      <c r="BQ60" s="488"/>
      <c r="BR60" s="488"/>
      <c r="BS60" s="488"/>
      <c r="BT60" s="488"/>
      <c r="BU60" s="488"/>
      <c r="BV60" s="488"/>
      <c r="BW60" s="488"/>
      <c r="BX60" s="488"/>
      <c r="BY60" s="488"/>
      <c r="BZ60" s="488"/>
      <c r="CA60" s="488"/>
      <c r="CB60" s="488"/>
      <c r="CC60" s="488"/>
      <c r="CD60" s="488"/>
      <c r="CE60" s="488"/>
      <c r="CF60" s="488"/>
      <c r="CG60" s="488"/>
      <c r="CH60" s="488"/>
      <c r="CI60" s="488"/>
      <c r="CJ60" s="488"/>
      <c r="CK60" s="488"/>
      <c r="CL60" s="488"/>
      <c r="CM60" s="488"/>
      <c r="CN60" s="488"/>
      <c r="CO60" s="488"/>
      <c r="CP60" s="488"/>
      <c r="CQ60" s="488"/>
      <c r="CR60" s="488"/>
      <c r="CS60" s="488"/>
      <c r="CT60" s="488"/>
      <c r="CU60" s="488"/>
      <c r="CV60" s="488"/>
      <c r="CW60" s="488"/>
      <c r="CX60" s="488"/>
      <c r="CY60" s="488"/>
      <c r="CZ60" s="488"/>
      <c r="DA60" s="488"/>
      <c r="DB60" s="488"/>
      <c r="DC60" s="488"/>
      <c r="DD60" s="488"/>
      <c r="DE60" s="488"/>
      <c r="DF60" s="488"/>
      <c r="DG60" s="488"/>
      <c r="DH60" s="488"/>
      <c r="DI60" s="488"/>
      <c r="DJ60" s="488"/>
      <c r="DK60" s="488"/>
      <c r="DL60" s="488"/>
      <c r="DM60" s="488"/>
      <c r="DN60" s="488"/>
      <c r="DO60" s="488"/>
      <c r="DP60" s="488"/>
      <c r="DQ60" s="488"/>
      <c r="DR60" s="488"/>
      <c r="DS60" s="488"/>
      <c r="DT60" s="488"/>
      <c r="DU60" s="488"/>
      <c r="DV60" s="488"/>
      <c r="DW60" s="488"/>
      <c r="DX60" s="488"/>
      <c r="DY60" s="488"/>
      <c r="DZ60" s="488"/>
      <c r="EA60" s="488"/>
      <c r="EB60" s="488"/>
      <c r="EC60" s="488"/>
      <c r="ED60" s="488"/>
      <c r="EE60" s="488"/>
      <c r="EF60" s="488"/>
      <c r="EG60" s="488"/>
      <c r="EH60" s="488"/>
      <c r="EI60" s="488"/>
      <c r="EJ60" s="488"/>
      <c r="EK60" s="488"/>
      <c r="EL60" s="488"/>
      <c r="EM60" s="488"/>
      <c r="EN60" s="488"/>
      <c r="EO60" s="488"/>
      <c r="EP60" s="488"/>
      <c r="EQ60" s="488"/>
      <c r="ER60" s="488"/>
      <c r="ES60" s="488"/>
      <c r="ET60" s="488"/>
      <c r="EU60" s="488"/>
      <c r="EV60" s="488"/>
      <c r="EW60" s="488"/>
      <c r="EX60" s="488"/>
      <c r="EY60" s="488"/>
      <c r="EZ60" s="488"/>
      <c r="FA60" s="488"/>
      <c r="FB60" s="488"/>
      <c r="FC60" s="488"/>
      <c r="FD60" s="488"/>
      <c r="FE60" s="488"/>
      <c r="FF60" s="488"/>
      <c r="FG60" s="488"/>
      <c r="FH60" s="488"/>
    </row>
    <row r="61" spans="1:164" ht="12.75" hidden="1" customHeight="1" x14ac:dyDescent="0.25">
      <c r="A61" t="str">
        <f>Nutrients!B60</f>
        <v>Peas, Field Peas</v>
      </c>
      <c r="B61" s="99"/>
      <c r="C61" s="99"/>
      <c r="D61" s="99"/>
      <c r="E61" s="99"/>
      <c r="F61" s="99"/>
      <c r="G61" s="99"/>
      <c r="H61" s="99"/>
      <c r="I61" s="99"/>
      <c r="J61" s="99"/>
      <c r="K61" s="99"/>
      <c r="L61" s="99"/>
      <c r="M61" s="99"/>
      <c r="N61" s="99"/>
      <c r="O61" s="10"/>
      <c r="P61" s="99"/>
      <c r="Q61" s="99"/>
      <c r="R61" s="99"/>
      <c r="S61" s="99"/>
      <c r="T61" s="99"/>
      <c r="U61" s="99"/>
      <c r="W61" s="99"/>
      <c r="X61" s="99"/>
      <c r="Y61" s="99"/>
      <c r="Z61" s="99"/>
      <c r="AA61" s="99"/>
      <c r="AB61" s="99"/>
      <c r="AD61" s="99"/>
      <c r="AE61" s="99"/>
      <c r="AF61" s="99"/>
      <c r="AG61" s="99"/>
      <c r="AH61" s="99"/>
      <c r="AI61" s="99"/>
      <c r="AK61" s="99"/>
      <c r="AL61" s="99"/>
      <c r="AM61" s="99"/>
      <c r="AN61" s="99"/>
      <c r="AO61" s="99"/>
      <c r="AP61" s="99"/>
      <c r="AR61" s="99"/>
      <c r="AS61" s="99"/>
      <c r="AT61" s="99"/>
      <c r="AU61" s="99"/>
      <c r="AV61" s="99"/>
      <c r="AW61" s="99"/>
      <c r="AY61" s="488"/>
      <c r="AZ61" s="488"/>
      <c r="BA61" s="488"/>
      <c r="BB61" s="488"/>
      <c r="BC61" s="488"/>
      <c r="BD61" s="488"/>
      <c r="BE61" s="488"/>
      <c r="BF61" s="488"/>
      <c r="BG61" s="488"/>
      <c r="BH61" s="488"/>
      <c r="BI61" s="488"/>
      <c r="BJ61" s="488"/>
      <c r="BK61" s="488"/>
      <c r="BL61" s="488"/>
      <c r="BM61" s="488"/>
      <c r="BN61" s="488"/>
      <c r="BO61" s="488"/>
      <c r="BP61" s="488"/>
      <c r="BQ61" s="488"/>
      <c r="BR61" s="488"/>
      <c r="BS61" s="488"/>
      <c r="BT61" s="488"/>
      <c r="BU61" s="488"/>
      <c r="BV61" s="488"/>
      <c r="BW61" s="488"/>
      <c r="BX61" s="488"/>
      <c r="BY61" s="488"/>
      <c r="BZ61" s="488"/>
      <c r="CA61" s="488"/>
      <c r="CB61" s="488"/>
      <c r="CC61" s="488"/>
      <c r="CD61" s="488"/>
      <c r="CE61" s="488"/>
      <c r="CF61" s="488"/>
      <c r="CG61" s="488"/>
      <c r="CH61" s="488"/>
      <c r="CI61" s="488"/>
      <c r="CJ61" s="488"/>
      <c r="CK61" s="488"/>
      <c r="CL61" s="488"/>
      <c r="CM61" s="488"/>
      <c r="CN61" s="488"/>
      <c r="CO61" s="488"/>
      <c r="CP61" s="488"/>
      <c r="CQ61" s="488"/>
      <c r="CR61" s="488"/>
      <c r="CS61" s="488"/>
      <c r="CT61" s="488"/>
      <c r="CU61" s="488"/>
      <c r="CV61" s="488"/>
      <c r="CW61" s="488"/>
      <c r="CX61" s="488"/>
      <c r="CY61" s="488"/>
      <c r="CZ61" s="488"/>
      <c r="DA61" s="488"/>
      <c r="DB61" s="488"/>
      <c r="DC61" s="488"/>
      <c r="DD61" s="488"/>
      <c r="DE61" s="488"/>
      <c r="DF61" s="488"/>
      <c r="DG61" s="488"/>
      <c r="DH61" s="488"/>
      <c r="DI61" s="488"/>
      <c r="DJ61" s="488"/>
      <c r="DK61" s="488"/>
      <c r="DL61" s="488"/>
      <c r="DM61" s="488"/>
      <c r="DN61" s="488"/>
      <c r="DO61" s="488"/>
      <c r="DP61" s="488"/>
      <c r="DQ61" s="488"/>
      <c r="DR61" s="488"/>
      <c r="DS61" s="488"/>
      <c r="DT61" s="488"/>
      <c r="DU61" s="488"/>
      <c r="DV61" s="488"/>
      <c r="DW61" s="488"/>
      <c r="DX61" s="488"/>
      <c r="DY61" s="488"/>
      <c r="DZ61" s="488"/>
      <c r="EA61" s="488"/>
      <c r="EB61" s="488"/>
      <c r="EC61" s="488"/>
      <c r="ED61" s="488"/>
      <c r="EE61" s="488"/>
      <c r="EF61" s="488"/>
      <c r="EG61" s="488"/>
      <c r="EH61" s="488"/>
      <c r="EI61" s="488"/>
      <c r="EJ61" s="488"/>
      <c r="EK61" s="488"/>
      <c r="EL61" s="488"/>
      <c r="EM61" s="488"/>
      <c r="EN61" s="488"/>
      <c r="EO61" s="488"/>
      <c r="EP61" s="488"/>
      <c r="EQ61" s="488"/>
      <c r="ER61" s="488"/>
      <c r="ES61" s="488"/>
      <c r="ET61" s="488"/>
      <c r="EU61" s="488"/>
      <c r="EV61" s="488"/>
      <c r="EW61" s="488"/>
      <c r="EX61" s="488"/>
      <c r="EY61" s="488"/>
      <c r="EZ61" s="488"/>
      <c r="FA61" s="488"/>
      <c r="FB61" s="488"/>
      <c r="FC61" s="488"/>
      <c r="FD61" s="488"/>
      <c r="FE61" s="488"/>
      <c r="FF61" s="488"/>
      <c r="FG61" s="488"/>
      <c r="FH61" s="488"/>
    </row>
    <row r="62" spans="1:164" ht="12.75" hidden="1" customHeight="1" x14ac:dyDescent="0.25">
      <c r="A62" t="str">
        <f>Nutrients!B61</f>
        <v>Pea Protein Concentrate</v>
      </c>
      <c r="B62" s="99"/>
      <c r="C62" s="99"/>
      <c r="D62" s="99"/>
      <c r="E62" s="99"/>
      <c r="F62" s="99"/>
      <c r="G62" s="99"/>
      <c r="H62" s="99"/>
      <c r="I62" s="99"/>
      <c r="J62" s="99"/>
      <c r="K62" s="99"/>
      <c r="L62" s="99"/>
      <c r="M62" s="99"/>
      <c r="N62" s="99"/>
      <c r="O62" s="10"/>
      <c r="P62" s="99"/>
      <c r="Q62" s="99"/>
      <c r="R62" s="99"/>
      <c r="S62" s="99"/>
      <c r="T62" s="99"/>
      <c r="U62" s="99"/>
      <c r="W62" s="99"/>
      <c r="X62" s="99"/>
      <c r="Y62" s="99"/>
      <c r="Z62" s="99"/>
      <c r="AA62" s="99"/>
      <c r="AB62" s="99"/>
      <c r="AD62" s="99"/>
      <c r="AE62" s="99"/>
      <c r="AF62" s="99"/>
      <c r="AG62" s="99"/>
      <c r="AH62" s="99"/>
      <c r="AI62" s="99"/>
      <c r="AK62" s="99"/>
      <c r="AL62" s="99"/>
      <c r="AM62" s="99"/>
      <c r="AN62" s="99"/>
      <c r="AO62" s="99"/>
      <c r="AP62" s="99"/>
      <c r="AR62" s="99"/>
      <c r="AS62" s="99"/>
      <c r="AT62" s="99"/>
      <c r="AU62" s="99"/>
      <c r="AV62" s="99"/>
      <c r="AW62" s="99"/>
      <c r="AY62" s="488"/>
      <c r="AZ62" s="488"/>
      <c r="BA62" s="488"/>
      <c r="BB62" s="488"/>
      <c r="BC62" s="488"/>
      <c r="BD62" s="488"/>
      <c r="BE62" s="488"/>
      <c r="BF62" s="488"/>
      <c r="BG62" s="488"/>
      <c r="BH62" s="488"/>
      <c r="BI62" s="488"/>
      <c r="BJ62" s="488"/>
      <c r="BK62" s="488"/>
      <c r="BL62" s="488"/>
      <c r="BM62" s="488"/>
      <c r="BN62" s="488"/>
      <c r="BO62" s="488"/>
      <c r="BP62" s="488"/>
      <c r="BQ62" s="488"/>
      <c r="BR62" s="488"/>
      <c r="BS62" s="488"/>
      <c r="BT62" s="488"/>
      <c r="BU62" s="488"/>
      <c r="BV62" s="488"/>
      <c r="BW62" s="488"/>
      <c r="BX62" s="488"/>
      <c r="BY62" s="488"/>
      <c r="BZ62" s="488"/>
      <c r="CA62" s="488"/>
      <c r="CB62" s="488"/>
      <c r="CC62" s="488"/>
      <c r="CD62" s="488"/>
      <c r="CE62" s="488"/>
      <c r="CF62" s="488"/>
      <c r="CG62" s="488"/>
      <c r="CH62" s="488"/>
      <c r="CI62" s="488"/>
      <c r="CJ62" s="488"/>
      <c r="CK62" s="488"/>
      <c r="CL62" s="488"/>
      <c r="CM62" s="488"/>
      <c r="CN62" s="488"/>
      <c r="CO62" s="488"/>
      <c r="CP62" s="488"/>
      <c r="CQ62" s="488"/>
      <c r="CR62" s="488"/>
      <c r="CS62" s="488"/>
      <c r="CT62" s="488"/>
      <c r="CU62" s="488"/>
      <c r="CV62" s="488"/>
      <c r="CW62" s="488"/>
      <c r="CX62" s="488"/>
      <c r="CY62" s="488"/>
      <c r="CZ62" s="488"/>
      <c r="DA62" s="488"/>
      <c r="DB62" s="488"/>
      <c r="DC62" s="488"/>
      <c r="DD62" s="488"/>
      <c r="DE62" s="488"/>
      <c r="DF62" s="488"/>
      <c r="DG62" s="488"/>
      <c r="DH62" s="488"/>
      <c r="DI62" s="488"/>
      <c r="DJ62" s="488"/>
      <c r="DK62" s="488"/>
      <c r="DL62" s="488"/>
      <c r="DM62" s="488"/>
      <c r="DN62" s="488"/>
      <c r="DO62" s="488"/>
      <c r="DP62" s="488"/>
      <c r="DQ62" s="488"/>
      <c r="DR62" s="488"/>
      <c r="DS62" s="488"/>
      <c r="DT62" s="488"/>
      <c r="DU62" s="488"/>
      <c r="DV62" s="488"/>
      <c r="DW62" s="488"/>
      <c r="DX62" s="488"/>
      <c r="DY62" s="488"/>
      <c r="DZ62" s="488"/>
      <c r="EA62" s="488"/>
      <c r="EB62" s="488"/>
      <c r="EC62" s="488"/>
      <c r="ED62" s="488"/>
      <c r="EE62" s="488"/>
      <c r="EF62" s="488"/>
      <c r="EG62" s="488"/>
      <c r="EH62" s="488"/>
      <c r="EI62" s="488"/>
      <c r="EJ62" s="488"/>
      <c r="EK62" s="488"/>
      <c r="EL62" s="488"/>
      <c r="EM62" s="488"/>
      <c r="EN62" s="488"/>
      <c r="EO62" s="488"/>
      <c r="EP62" s="488"/>
      <c r="EQ62" s="488"/>
      <c r="ER62" s="488"/>
      <c r="ES62" s="488"/>
      <c r="ET62" s="488"/>
      <c r="EU62" s="488"/>
      <c r="EV62" s="488"/>
      <c r="EW62" s="488"/>
      <c r="EX62" s="488"/>
      <c r="EY62" s="488"/>
      <c r="EZ62" s="488"/>
      <c r="FA62" s="488"/>
      <c r="FB62" s="488"/>
      <c r="FC62" s="488"/>
      <c r="FD62" s="488"/>
      <c r="FE62" s="488"/>
      <c r="FF62" s="488"/>
      <c r="FG62" s="488"/>
      <c r="FH62" s="488"/>
    </row>
    <row r="63" spans="1:164" ht="12.75" hidden="1" customHeight="1" x14ac:dyDescent="0.25">
      <c r="A63" t="str">
        <f>Nutrients!B62</f>
        <v>Potato Protein Concentrate</v>
      </c>
      <c r="B63" s="99"/>
      <c r="C63" s="99"/>
      <c r="D63" s="99"/>
      <c r="E63" s="99"/>
      <c r="F63" s="99"/>
      <c r="G63" s="99"/>
      <c r="H63" s="99"/>
      <c r="I63" s="99"/>
      <c r="J63" s="99"/>
      <c r="K63" s="99"/>
      <c r="L63" s="99"/>
      <c r="M63" s="99"/>
      <c r="N63" s="99"/>
      <c r="O63" s="10"/>
      <c r="P63" s="99"/>
      <c r="Q63" s="99"/>
      <c r="R63" s="99"/>
      <c r="S63" s="99"/>
      <c r="T63" s="99"/>
      <c r="U63" s="99"/>
      <c r="W63" s="99"/>
      <c r="X63" s="99"/>
      <c r="Y63" s="99"/>
      <c r="Z63" s="99"/>
      <c r="AA63" s="99"/>
      <c r="AB63" s="99"/>
      <c r="AD63" s="99"/>
      <c r="AE63" s="99"/>
      <c r="AF63" s="99"/>
      <c r="AG63" s="99"/>
      <c r="AH63" s="99"/>
      <c r="AI63" s="99"/>
      <c r="AK63" s="99"/>
      <c r="AL63" s="99"/>
      <c r="AM63" s="99"/>
      <c r="AN63" s="99"/>
      <c r="AO63" s="99"/>
      <c r="AP63" s="99"/>
      <c r="AR63" s="99"/>
      <c r="AS63" s="99"/>
      <c r="AT63" s="99"/>
      <c r="AU63" s="99"/>
      <c r="AV63" s="99"/>
      <c r="AW63" s="99"/>
      <c r="AY63" s="488"/>
      <c r="AZ63" s="488"/>
      <c r="BA63" s="488"/>
      <c r="BB63" s="488"/>
      <c r="BC63" s="488"/>
      <c r="BD63" s="488"/>
      <c r="BE63" s="488"/>
      <c r="BF63" s="488"/>
      <c r="BG63" s="488"/>
      <c r="BH63" s="488"/>
      <c r="BI63" s="488"/>
      <c r="BJ63" s="488"/>
      <c r="BK63" s="488"/>
      <c r="BL63" s="488"/>
      <c r="BM63" s="488"/>
      <c r="BN63" s="488"/>
      <c r="BO63" s="488"/>
      <c r="BP63" s="488"/>
      <c r="BQ63" s="488"/>
      <c r="BR63" s="488"/>
      <c r="BS63" s="488"/>
      <c r="BT63" s="488"/>
      <c r="BU63" s="488"/>
      <c r="BV63" s="488"/>
      <c r="BW63" s="488"/>
      <c r="BX63" s="488"/>
      <c r="BY63" s="488"/>
      <c r="BZ63" s="488"/>
      <c r="CA63" s="488"/>
      <c r="CB63" s="488"/>
      <c r="CC63" s="488"/>
      <c r="CD63" s="488"/>
      <c r="CE63" s="488"/>
      <c r="CF63" s="488"/>
      <c r="CG63" s="488"/>
      <c r="CH63" s="488"/>
      <c r="CI63" s="488"/>
      <c r="CJ63" s="488"/>
      <c r="CK63" s="488"/>
      <c r="CL63" s="488"/>
      <c r="CM63" s="488"/>
      <c r="CN63" s="488"/>
      <c r="CO63" s="488"/>
      <c r="CP63" s="488"/>
      <c r="CQ63" s="488"/>
      <c r="CR63" s="488"/>
      <c r="CS63" s="488"/>
      <c r="CT63" s="488"/>
      <c r="CU63" s="488"/>
      <c r="CV63" s="488"/>
      <c r="CW63" s="488"/>
      <c r="CX63" s="488"/>
      <c r="CY63" s="488"/>
      <c r="CZ63" s="488"/>
      <c r="DA63" s="488"/>
      <c r="DB63" s="488"/>
      <c r="DC63" s="488"/>
      <c r="DD63" s="488"/>
      <c r="DE63" s="488"/>
      <c r="DF63" s="488"/>
      <c r="DG63" s="488"/>
      <c r="DH63" s="488"/>
      <c r="DI63" s="488"/>
      <c r="DJ63" s="488"/>
      <c r="DK63" s="488"/>
      <c r="DL63" s="488"/>
      <c r="DM63" s="488"/>
      <c r="DN63" s="488"/>
      <c r="DO63" s="488"/>
      <c r="DP63" s="488"/>
      <c r="DQ63" s="488"/>
      <c r="DR63" s="488"/>
      <c r="DS63" s="488"/>
      <c r="DT63" s="488"/>
      <c r="DU63" s="488"/>
      <c r="DV63" s="488"/>
      <c r="DW63" s="488"/>
      <c r="DX63" s="488"/>
      <c r="DY63" s="488"/>
      <c r="DZ63" s="488"/>
      <c r="EA63" s="488"/>
      <c r="EB63" s="488"/>
      <c r="EC63" s="488"/>
      <c r="ED63" s="488"/>
      <c r="EE63" s="488"/>
      <c r="EF63" s="488"/>
      <c r="EG63" s="488"/>
      <c r="EH63" s="488"/>
      <c r="EI63" s="488"/>
      <c r="EJ63" s="488"/>
      <c r="EK63" s="488"/>
      <c r="EL63" s="488"/>
      <c r="EM63" s="488"/>
      <c r="EN63" s="488"/>
      <c r="EO63" s="488"/>
      <c r="EP63" s="488"/>
      <c r="EQ63" s="488"/>
      <c r="ER63" s="488"/>
      <c r="ES63" s="488"/>
      <c r="ET63" s="488"/>
      <c r="EU63" s="488"/>
      <c r="EV63" s="488"/>
      <c r="EW63" s="488"/>
      <c r="EX63" s="488"/>
      <c r="EY63" s="488"/>
      <c r="EZ63" s="488"/>
      <c r="FA63" s="488"/>
      <c r="FB63" s="488"/>
      <c r="FC63" s="488"/>
      <c r="FD63" s="488"/>
      <c r="FE63" s="488"/>
      <c r="FF63" s="488"/>
      <c r="FG63" s="488"/>
      <c r="FH63" s="488"/>
    </row>
    <row r="64" spans="1:164" ht="12.75" hidden="1" customHeight="1" x14ac:dyDescent="0.25">
      <c r="A64" t="str">
        <f>Nutrients!B63</f>
        <v>Poultry Byproduct</v>
      </c>
      <c r="B64" s="99"/>
      <c r="C64" s="99"/>
      <c r="D64" s="99"/>
      <c r="E64" s="99"/>
      <c r="F64" s="99"/>
      <c r="G64" s="99"/>
      <c r="H64" s="99"/>
      <c r="I64" s="99"/>
      <c r="J64" s="99"/>
      <c r="K64" s="99"/>
      <c r="L64" s="99"/>
      <c r="M64" s="99"/>
      <c r="N64" s="99"/>
      <c r="O64" s="10"/>
      <c r="P64" s="99"/>
      <c r="Q64" s="99"/>
      <c r="R64" s="99"/>
      <c r="S64" s="99"/>
      <c r="T64" s="99"/>
      <c r="U64" s="99"/>
      <c r="W64" s="99"/>
      <c r="X64" s="99"/>
      <c r="Y64" s="99"/>
      <c r="Z64" s="99"/>
      <c r="AA64" s="99"/>
      <c r="AB64" s="99"/>
      <c r="AD64" s="99"/>
      <c r="AE64" s="99"/>
      <c r="AF64" s="99"/>
      <c r="AG64" s="99"/>
      <c r="AH64" s="99"/>
      <c r="AI64" s="99"/>
      <c r="AK64" s="99"/>
      <c r="AL64" s="99"/>
      <c r="AM64" s="99"/>
      <c r="AN64" s="99"/>
      <c r="AO64" s="99"/>
      <c r="AP64" s="99"/>
      <c r="AR64" s="99"/>
      <c r="AS64" s="99"/>
      <c r="AT64" s="99"/>
      <c r="AU64" s="99"/>
      <c r="AV64" s="99"/>
      <c r="AW64" s="99"/>
      <c r="AY64" s="488"/>
      <c r="AZ64" s="488"/>
      <c r="BA64" s="488"/>
      <c r="BB64" s="488"/>
      <c r="BC64" s="488"/>
      <c r="BD64" s="488"/>
      <c r="BE64" s="488"/>
      <c r="BF64" s="488"/>
      <c r="BG64" s="488"/>
      <c r="BH64" s="488"/>
      <c r="BI64" s="488"/>
      <c r="BJ64" s="488"/>
      <c r="BK64" s="488"/>
      <c r="BL64" s="488"/>
      <c r="BM64" s="488"/>
      <c r="BN64" s="488"/>
      <c r="BO64" s="488"/>
      <c r="BP64" s="488"/>
      <c r="BQ64" s="488"/>
      <c r="BR64" s="488"/>
      <c r="BS64" s="488"/>
      <c r="BT64" s="488"/>
      <c r="BU64" s="488"/>
      <c r="BV64" s="488"/>
      <c r="BW64" s="488"/>
      <c r="BX64" s="488"/>
      <c r="BY64" s="488"/>
      <c r="BZ64" s="488"/>
      <c r="CA64" s="488"/>
      <c r="CB64" s="488"/>
      <c r="CC64" s="488"/>
      <c r="CD64" s="488"/>
      <c r="CE64" s="488"/>
      <c r="CF64" s="488"/>
      <c r="CG64" s="488"/>
      <c r="CH64" s="488"/>
      <c r="CI64" s="488"/>
      <c r="CJ64" s="488"/>
      <c r="CK64" s="488"/>
      <c r="CL64" s="488"/>
      <c r="CM64" s="488"/>
      <c r="CN64" s="488"/>
      <c r="CO64" s="488"/>
      <c r="CP64" s="488"/>
      <c r="CQ64" s="488"/>
      <c r="CR64" s="488"/>
      <c r="CS64" s="488"/>
      <c r="CT64" s="488"/>
      <c r="CU64" s="488"/>
      <c r="CV64" s="488"/>
      <c r="CW64" s="488"/>
      <c r="CX64" s="488"/>
      <c r="CY64" s="488"/>
      <c r="CZ64" s="488"/>
      <c r="DA64" s="488"/>
      <c r="DB64" s="488"/>
      <c r="DC64" s="488"/>
      <c r="DD64" s="488"/>
      <c r="DE64" s="488"/>
      <c r="DF64" s="488"/>
      <c r="DG64" s="488"/>
      <c r="DH64" s="488"/>
      <c r="DI64" s="488"/>
      <c r="DJ64" s="488"/>
      <c r="DK64" s="488"/>
      <c r="DL64" s="488"/>
      <c r="DM64" s="488"/>
      <c r="DN64" s="488"/>
      <c r="DO64" s="488"/>
      <c r="DP64" s="488"/>
      <c r="DQ64" s="488"/>
      <c r="DR64" s="488"/>
      <c r="DS64" s="488"/>
      <c r="DT64" s="488"/>
      <c r="DU64" s="488"/>
      <c r="DV64" s="488"/>
      <c r="DW64" s="488"/>
      <c r="DX64" s="488"/>
      <c r="DY64" s="488"/>
      <c r="DZ64" s="488"/>
      <c r="EA64" s="488"/>
      <c r="EB64" s="488"/>
      <c r="EC64" s="488"/>
      <c r="ED64" s="488"/>
      <c r="EE64" s="488"/>
      <c r="EF64" s="488"/>
      <c r="EG64" s="488"/>
      <c r="EH64" s="488"/>
      <c r="EI64" s="488"/>
      <c r="EJ64" s="488"/>
      <c r="EK64" s="488"/>
      <c r="EL64" s="488"/>
      <c r="EM64" s="488"/>
      <c r="EN64" s="488"/>
      <c r="EO64" s="488"/>
      <c r="EP64" s="488"/>
      <c r="EQ64" s="488"/>
      <c r="ER64" s="488"/>
      <c r="ES64" s="488"/>
      <c r="ET64" s="488"/>
      <c r="EU64" s="488"/>
      <c r="EV64" s="488"/>
      <c r="EW64" s="488"/>
      <c r="EX64" s="488"/>
      <c r="EY64" s="488"/>
      <c r="EZ64" s="488"/>
      <c r="FA64" s="488"/>
      <c r="FB64" s="488"/>
      <c r="FC64" s="488"/>
      <c r="FD64" s="488"/>
      <c r="FE64" s="488"/>
      <c r="FF64" s="488"/>
      <c r="FG64" s="488"/>
      <c r="FH64" s="488"/>
    </row>
    <row r="65" spans="1:164" ht="12.75" hidden="1" customHeight="1" x14ac:dyDescent="0.25">
      <c r="A65" t="str">
        <f>Nutrients!B64</f>
        <v>Rice</v>
      </c>
      <c r="B65" s="99"/>
      <c r="C65" s="99"/>
      <c r="D65" s="99"/>
      <c r="E65" s="99"/>
      <c r="F65" s="99"/>
      <c r="G65" s="99"/>
      <c r="H65" s="99"/>
      <c r="I65" s="99"/>
      <c r="J65" s="99"/>
      <c r="K65" s="99"/>
      <c r="L65" s="99"/>
      <c r="M65" s="99"/>
      <c r="N65" s="99"/>
      <c r="O65" s="10"/>
      <c r="P65" s="99"/>
      <c r="Q65" s="99"/>
      <c r="R65" s="99"/>
      <c r="S65" s="99"/>
      <c r="T65" s="99"/>
      <c r="U65" s="99"/>
      <c r="W65" s="99"/>
      <c r="X65" s="99"/>
      <c r="Y65" s="99"/>
      <c r="Z65" s="99"/>
      <c r="AA65" s="99"/>
      <c r="AB65" s="99"/>
      <c r="AD65" s="99"/>
      <c r="AE65" s="99"/>
      <c r="AF65" s="99"/>
      <c r="AG65" s="99"/>
      <c r="AH65" s="99"/>
      <c r="AI65" s="99"/>
      <c r="AK65" s="99"/>
      <c r="AL65" s="99"/>
      <c r="AM65" s="99"/>
      <c r="AN65" s="99"/>
      <c r="AO65" s="99"/>
      <c r="AP65" s="99"/>
      <c r="AR65" s="99"/>
      <c r="AS65" s="99"/>
      <c r="AT65" s="99"/>
      <c r="AU65" s="99"/>
      <c r="AV65" s="99"/>
      <c r="AW65" s="99"/>
      <c r="AY65" s="488"/>
      <c r="AZ65" s="488"/>
      <c r="BA65" s="488"/>
      <c r="BB65" s="488"/>
      <c r="BC65" s="488"/>
      <c r="BD65" s="488"/>
      <c r="BE65" s="488"/>
      <c r="BF65" s="488"/>
      <c r="BG65" s="488"/>
      <c r="BH65" s="488"/>
      <c r="BI65" s="488"/>
      <c r="BJ65" s="488"/>
      <c r="BK65" s="488"/>
      <c r="BL65" s="488"/>
      <c r="BM65" s="488"/>
      <c r="BN65" s="488"/>
      <c r="BO65" s="488"/>
      <c r="BP65" s="488"/>
      <c r="BQ65" s="488"/>
      <c r="BR65" s="488"/>
      <c r="BS65" s="488"/>
      <c r="BT65" s="488"/>
      <c r="BU65" s="488"/>
      <c r="BV65" s="488"/>
      <c r="BW65" s="488"/>
      <c r="BX65" s="488"/>
      <c r="BY65" s="488"/>
      <c r="BZ65" s="488"/>
      <c r="CA65" s="488"/>
      <c r="CB65" s="488"/>
      <c r="CC65" s="488"/>
      <c r="CD65" s="488"/>
      <c r="CE65" s="488"/>
      <c r="CF65" s="488"/>
      <c r="CG65" s="488"/>
      <c r="CH65" s="488"/>
      <c r="CI65" s="488"/>
      <c r="CJ65" s="488"/>
      <c r="CK65" s="488"/>
      <c r="CL65" s="488"/>
      <c r="CM65" s="488"/>
      <c r="CN65" s="488"/>
      <c r="CO65" s="488"/>
      <c r="CP65" s="488"/>
      <c r="CQ65" s="488"/>
      <c r="CR65" s="488"/>
      <c r="CS65" s="488"/>
      <c r="CT65" s="488"/>
      <c r="CU65" s="488"/>
      <c r="CV65" s="488"/>
      <c r="CW65" s="488"/>
      <c r="CX65" s="488"/>
      <c r="CY65" s="488"/>
      <c r="CZ65" s="488"/>
      <c r="DA65" s="488"/>
      <c r="DB65" s="488"/>
      <c r="DC65" s="488"/>
      <c r="DD65" s="488"/>
      <c r="DE65" s="488"/>
      <c r="DF65" s="488"/>
      <c r="DG65" s="488"/>
      <c r="DH65" s="488"/>
      <c r="DI65" s="488"/>
      <c r="DJ65" s="488"/>
      <c r="DK65" s="488"/>
      <c r="DL65" s="488"/>
      <c r="DM65" s="488"/>
      <c r="DN65" s="488"/>
      <c r="DO65" s="488"/>
      <c r="DP65" s="488"/>
      <c r="DQ65" s="488"/>
      <c r="DR65" s="488"/>
      <c r="DS65" s="488"/>
      <c r="DT65" s="488"/>
      <c r="DU65" s="488"/>
      <c r="DV65" s="488"/>
      <c r="DW65" s="488"/>
      <c r="DX65" s="488"/>
      <c r="DY65" s="488"/>
      <c r="DZ65" s="488"/>
      <c r="EA65" s="488"/>
      <c r="EB65" s="488"/>
      <c r="EC65" s="488"/>
      <c r="ED65" s="488"/>
      <c r="EE65" s="488"/>
      <c r="EF65" s="488"/>
      <c r="EG65" s="488"/>
      <c r="EH65" s="488"/>
      <c r="EI65" s="488"/>
      <c r="EJ65" s="488"/>
      <c r="EK65" s="488"/>
      <c r="EL65" s="488"/>
      <c r="EM65" s="488"/>
      <c r="EN65" s="488"/>
      <c r="EO65" s="488"/>
      <c r="EP65" s="488"/>
      <c r="EQ65" s="488"/>
      <c r="ER65" s="488"/>
      <c r="ES65" s="488"/>
      <c r="ET65" s="488"/>
      <c r="EU65" s="488"/>
      <c r="EV65" s="488"/>
      <c r="EW65" s="488"/>
      <c r="EX65" s="488"/>
      <c r="EY65" s="488"/>
      <c r="EZ65" s="488"/>
      <c r="FA65" s="488"/>
      <c r="FB65" s="488"/>
      <c r="FC65" s="488"/>
      <c r="FD65" s="488"/>
      <c r="FE65" s="488"/>
      <c r="FF65" s="488"/>
      <c r="FG65" s="488"/>
      <c r="FH65" s="488"/>
    </row>
    <row r="66" spans="1:164" ht="12.75" hidden="1" customHeight="1" x14ac:dyDescent="0.25">
      <c r="A66" t="str">
        <f>Nutrients!B65</f>
        <v>Rice Bran</v>
      </c>
      <c r="B66" s="99"/>
      <c r="C66" s="99"/>
      <c r="D66" s="99"/>
      <c r="E66" s="99"/>
      <c r="F66" s="99"/>
      <c r="G66" s="99"/>
      <c r="H66" s="99"/>
      <c r="I66" s="99"/>
      <c r="J66" s="99"/>
      <c r="K66" s="99"/>
      <c r="L66" s="99"/>
      <c r="M66" s="99"/>
      <c r="N66" s="99"/>
      <c r="O66" s="10"/>
      <c r="P66" s="99"/>
      <c r="Q66" s="99"/>
      <c r="R66" s="99"/>
      <c r="S66" s="99"/>
      <c r="T66" s="99"/>
      <c r="U66" s="99"/>
      <c r="W66" s="99"/>
      <c r="X66" s="99"/>
      <c r="Y66" s="99"/>
      <c r="Z66" s="99"/>
      <c r="AA66" s="99"/>
      <c r="AB66" s="99"/>
      <c r="AD66" s="99"/>
      <c r="AE66" s="99"/>
      <c r="AF66" s="99"/>
      <c r="AG66" s="99"/>
      <c r="AH66" s="99"/>
      <c r="AI66" s="99"/>
      <c r="AK66" s="99"/>
      <c r="AL66" s="99"/>
      <c r="AM66" s="99"/>
      <c r="AN66" s="99"/>
      <c r="AO66" s="99"/>
      <c r="AP66" s="99"/>
      <c r="AR66" s="99"/>
      <c r="AS66" s="99"/>
      <c r="AT66" s="99"/>
      <c r="AU66" s="99"/>
      <c r="AV66" s="99"/>
      <c r="AW66" s="99"/>
      <c r="AY66" s="488"/>
      <c r="AZ66" s="488"/>
      <c r="BA66" s="488"/>
      <c r="BB66" s="488"/>
      <c r="BC66" s="488"/>
      <c r="BD66" s="488"/>
      <c r="BE66" s="488"/>
      <c r="BF66" s="488"/>
      <c r="BG66" s="488"/>
      <c r="BH66" s="488"/>
      <c r="BI66" s="488"/>
      <c r="BJ66" s="488"/>
      <c r="BK66" s="488"/>
      <c r="BL66" s="488"/>
      <c r="BM66" s="488"/>
      <c r="BN66" s="488"/>
      <c r="BO66" s="488"/>
      <c r="BP66" s="488"/>
      <c r="BQ66" s="488"/>
      <c r="BR66" s="488"/>
      <c r="BS66" s="488"/>
      <c r="BT66" s="488"/>
      <c r="BU66" s="488"/>
      <c r="BV66" s="488"/>
      <c r="BW66" s="488"/>
      <c r="BX66" s="488"/>
      <c r="BY66" s="488"/>
      <c r="BZ66" s="488"/>
      <c r="CA66" s="488"/>
      <c r="CB66" s="488"/>
      <c r="CC66" s="488"/>
      <c r="CD66" s="488"/>
      <c r="CE66" s="488"/>
      <c r="CF66" s="488"/>
      <c r="CG66" s="488"/>
      <c r="CH66" s="488"/>
      <c r="CI66" s="488"/>
      <c r="CJ66" s="488"/>
      <c r="CK66" s="488"/>
      <c r="CL66" s="488"/>
      <c r="CM66" s="488"/>
      <c r="CN66" s="488"/>
      <c r="CO66" s="488"/>
      <c r="CP66" s="488"/>
      <c r="CQ66" s="488"/>
      <c r="CR66" s="488"/>
      <c r="CS66" s="488"/>
      <c r="CT66" s="488"/>
      <c r="CU66" s="488"/>
      <c r="CV66" s="488"/>
      <c r="CW66" s="488"/>
      <c r="CX66" s="488"/>
      <c r="CY66" s="488"/>
      <c r="CZ66" s="488"/>
      <c r="DA66" s="488"/>
      <c r="DB66" s="488"/>
      <c r="DC66" s="488"/>
      <c r="DD66" s="488"/>
      <c r="DE66" s="488"/>
      <c r="DF66" s="488"/>
      <c r="DG66" s="488"/>
      <c r="DH66" s="488"/>
      <c r="DI66" s="488"/>
      <c r="DJ66" s="488"/>
      <c r="DK66" s="488"/>
      <c r="DL66" s="488"/>
      <c r="DM66" s="488"/>
      <c r="DN66" s="488"/>
      <c r="DO66" s="488"/>
      <c r="DP66" s="488"/>
      <c r="DQ66" s="488"/>
      <c r="DR66" s="488"/>
      <c r="DS66" s="488"/>
      <c r="DT66" s="488"/>
      <c r="DU66" s="488"/>
      <c r="DV66" s="488"/>
      <c r="DW66" s="488"/>
      <c r="DX66" s="488"/>
      <c r="DY66" s="488"/>
      <c r="DZ66" s="488"/>
      <c r="EA66" s="488"/>
      <c r="EB66" s="488"/>
      <c r="EC66" s="488"/>
      <c r="ED66" s="488"/>
      <c r="EE66" s="488"/>
      <c r="EF66" s="488"/>
      <c r="EG66" s="488"/>
      <c r="EH66" s="488"/>
      <c r="EI66" s="488"/>
      <c r="EJ66" s="488"/>
      <c r="EK66" s="488"/>
      <c r="EL66" s="488"/>
      <c r="EM66" s="488"/>
      <c r="EN66" s="488"/>
      <c r="EO66" s="488"/>
      <c r="EP66" s="488"/>
      <c r="EQ66" s="488"/>
      <c r="ER66" s="488"/>
      <c r="ES66" s="488"/>
      <c r="ET66" s="488"/>
      <c r="EU66" s="488"/>
      <c r="EV66" s="488"/>
      <c r="EW66" s="488"/>
      <c r="EX66" s="488"/>
      <c r="EY66" s="488"/>
      <c r="EZ66" s="488"/>
      <c r="FA66" s="488"/>
      <c r="FB66" s="488"/>
      <c r="FC66" s="488"/>
      <c r="FD66" s="488"/>
      <c r="FE66" s="488"/>
      <c r="FF66" s="488"/>
      <c r="FG66" s="488"/>
      <c r="FH66" s="488"/>
    </row>
    <row r="67" spans="1:164" ht="12.75" hidden="1" customHeight="1" x14ac:dyDescent="0.25">
      <c r="A67" t="str">
        <f>Nutrients!B66</f>
        <v>Rice Bran, Defatted</v>
      </c>
      <c r="B67" s="99"/>
      <c r="C67" s="99"/>
      <c r="D67" s="99"/>
      <c r="E67" s="99"/>
      <c r="F67" s="99"/>
      <c r="G67" s="99"/>
      <c r="H67" s="99"/>
      <c r="I67" s="99"/>
      <c r="J67" s="99"/>
      <c r="K67" s="99"/>
      <c r="L67" s="99"/>
      <c r="M67" s="99"/>
      <c r="N67" s="99"/>
      <c r="O67" s="10"/>
      <c r="P67" s="99"/>
      <c r="Q67" s="99"/>
      <c r="R67" s="99"/>
      <c r="S67" s="99"/>
      <c r="T67" s="99"/>
      <c r="U67" s="99"/>
      <c r="W67" s="99"/>
      <c r="X67" s="99"/>
      <c r="Y67" s="99"/>
      <c r="Z67" s="99"/>
      <c r="AA67" s="99"/>
      <c r="AB67" s="99"/>
      <c r="AD67" s="99"/>
      <c r="AE67" s="99"/>
      <c r="AF67" s="99"/>
      <c r="AG67" s="99"/>
      <c r="AH67" s="99"/>
      <c r="AI67" s="99"/>
      <c r="AK67" s="99"/>
      <c r="AL67" s="99"/>
      <c r="AM67" s="99"/>
      <c r="AN67" s="99"/>
      <c r="AO67" s="99"/>
      <c r="AP67" s="99"/>
      <c r="AR67" s="99"/>
      <c r="AS67" s="99"/>
      <c r="AT67" s="99"/>
      <c r="AU67" s="99"/>
      <c r="AV67" s="99"/>
      <c r="AW67" s="99"/>
      <c r="AY67" s="488"/>
      <c r="AZ67" s="488"/>
      <c r="BA67" s="488"/>
      <c r="BB67" s="488"/>
      <c r="BC67" s="488"/>
      <c r="BD67" s="488"/>
      <c r="BE67" s="488"/>
      <c r="BF67" s="488"/>
      <c r="BG67" s="488"/>
      <c r="BH67" s="488"/>
      <c r="BI67" s="488"/>
      <c r="BJ67" s="488"/>
      <c r="BK67" s="488"/>
      <c r="BL67" s="488"/>
      <c r="BM67" s="488"/>
      <c r="BN67" s="488"/>
      <c r="BO67" s="488"/>
      <c r="BP67" s="488"/>
      <c r="BQ67" s="488"/>
      <c r="BR67" s="488"/>
      <c r="BS67" s="488"/>
      <c r="BT67" s="488"/>
      <c r="BU67" s="488"/>
      <c r="BV67" s="488"/>
      <c r="BW67" s="488"/>
      <c r="BX67" s="488"/>
      <c r="BY67" s="488"/>
      <c r="BZ67" s="488"/>
      <c r="CA67" s="488"/>
      <c r="CB67" s="488"/>
      <c r="CC67" s="488"/>
      <c r="CD67" s="488"/>
      <c r="CE67" s="488"/>
      <c r="CF67" s="488"/>
      <c r="CG67" s="488"/>
      <c r="CH67" s="488"/>
      <c r="CI67" s="488"/>
      <c r="CJ67" s="488"/>
      <c r="CK67" s="488"/>
      <c r="CL67" s="488"/>
      <c r="CM67" s="488"/>
      <c r="CN67" s="488"/>
      <c r="CO67" s="488"/>
      <c r="CP67" s="488"/>
      <c r="CQ67" s="488"/>
      <c r="CR67" s="488"/>
      <c r="CS67" s="488"/>
      <c r="CT67" s="488"/>
      <c r="CU67" s="488"/>
      <c r="CV67" s="488"/>
      <c r="CW67" s="488"/>
      <c r="CX67" s="488"/>
      <c r="CY67" s="488"/>
      <c r="CZ67" s="488"/>
      <c r="DA67" s="488"/>
      <c r="DB67" s="488"/>
      <c r="DC67" s="488"/>
      <c r="DD67" s="488"/>
      <c r="DE67" s="488"/>
      <c r="DF67" s="488"/>
      <c r="DG67" s="488"/>
      <c r="DH67" s="488"/>
      <c r="DI67" s="488"/>
      <c r="DJ67" s="488"/>
      <c r="DK67" s="488"/>
      <c r="DL67" s="488"/>
      <c r="DM67" s="488"/>
      <c r="DN67" s="488"/>
      <c r="DO67" s="488"/>
      <c r="DP67" s="488"/>
      <c r="DQ67" s="488"/>
      <c r="DR67" s="488"/>
      <c r="DS67" s="488"/>
      <c r="DT67" s="488"/>
      <c r="DU67" s="488"/>
      <c r="DV67" s="488"/>
      <c r="DW67" s="488"/>
      <c r="DX67" s="488"/>
      <c r="DY67" s="488"/>
      <c r="DZ67" s="488"/>
      <c r="EA67" s="488"/>
      <c r="EB67" s="488"/>
      <c r="EC67" s="488"/>
      <c r="ED67" s="488"/>
      <c r="EE67" s="488"/>
      <c r="EF67" s="488"/>
      <c r="EG67" s="488"/>
      <c r="EH67" s="488"/>
      <c r="EI67" s="488"/>
      <c r="EJ67" s="488"/>
      <c r="EK67" s="488"/>
      <c r="EL67" s="488"/>
      <c r="EM67" s="488"/>
      <c r="EN67" s="488"/>
      <c r="EO67" s="488"/>
      <c r="EP67" s="488"/>
      <c r="EQ67" s="488"/>
      <c r="ER67" s="488"/>
      <c r="ES67" s="488"/>
      <c r="ET67" s="488"/>
      <c r="EU67" s="488"/>
      <c r="EV67" s="488"/>
      <c r="EW67" s="488"/>
      <c r="EX67" s="488"/>
      <c r="EY67" s="488"/>
      <c r="EZ67" s="488"/>
      <c r="FA67" s="488"/>
      <c r="FB67" s="488"/>
      <c r="FC67" s="488"/>
      <c r="FD67" s="488"/>
      <c r="FE67" s="488"/>
      <c r="FF67" s="488"/>
      <c r="FG67" s="488"/>
      <c r="FH67" s="488"/>
    </row>
    <row r="68" spans="1:164" ht="12.75" hidden="1" customHeight="1" x14ac:dyDescent="0.25">
      <c r="A68" t="str">
        <f>Nutrients!B67</f>
        <v>Rice, Broken</v>
      </c>
      <c r="B68" s="99"/>
      <c r="C68" s="99"/>
      <c r="D68" s="99"/>
      <c r="E68" s="99"/>
      <c r="F68" s="99"/>
      <c r="G68" s="99"/>
      <c r="H68" s="99"/>
      <c r="I68" s="99"/>
      <c r="J68" s="99"/>
      <c r="K68" s="99"/>
      <c r="L68" s="99"/>
      <c r="M68" s="99"/>
      <c r="N68" s="99"/>
      <c r="O68" s="10"/>
      <c r="P68" s="99"/>
      <c r="Q68" s="99"/>
      <c r="R68" s="99"/>
      <c r="S68" s="99"/>
      <c r="T68" s="99"/>
      <c r="U68" s="99"/>
      <c r="W68" s="99"/>
      <c r="X68" s="99"/>
      <c r="Y68" s="99"/>
      <c r="Z68" s="99"/>
      <c r="AA68" s="99"/>
      <c r="AB68" s="99"/>
      <c r="AD68" s="99"/>
      <c r="AE68" s="99"/>
      <c r="AF68" s="99"/>
      <c r="AG68" s="99"/>
      <c r="AH68" s="99"/>
      <c r="AI68" s="99"/>
      <c r="AK68" s="99"/>
      <c r="AL68" s="99"/>
      <c r="AM68" s="99"/>
      <c r="AN68" s="99"/>
      <c r="AO68" s="99"/>
      <c r="AP68" s="99"/>
      <c r="AR68" s="99"/>
      <c r="AS68" s="99"/>
      <c r="AT68" s="99"/>
      <c r="AU68" s="99"/>
      <c r="AV68" s="99"/>
      <c r="AW68" s="99"/>
      <c r="AY68" s="488"/>
      <c r="AZ68" s="488"/>
      <c r="BA68" s="488"/>
      <c r="BB68" s="488"/>
      <c r="BC68" s="488"/>
      <c r="BD68" s="488"/>
      <c r="BE68" s="488"/>
      <c r="BF68" s="488"/>
      <c r="BG68" s="488"/>
      <c r="BH68" s="488"/>
      <c r="BI68" s="488"/>
      <c r="BJ68" s="488"/>
      <c r="BK68" s="488"/>
      <c r="BL68" s="488"/>
      <c r="BM68" s="488"/>
      <c r="BN68" s="488"/>
      <c r="BO68" s="488"/>
      <c r="BP68" s="488"/>
      <c r="BQ68" s="488"/>
      <c r="BR68" s="488"/>
      <c r="BS68" s="488"/>
      <c r="BT68" s="488"/>
      <c r="BU68" s="488"/>
      <c r="BV68" s="488"/>
      <c r="BW68" s="488"/>
      <c r="BX68" s="488"/>
      <c r="BY68" s="488"/>
      <c r="BZ68" s="488"/>
      <c r="CA68" s="488"/>
      <c r="CB68" s="488"/>
      <c r="CC68" s="488"/>
      <c r="CD68" s="488"/>
      <c r="CE68" s="488"/>
      <c r="CF68" s="488"/>
      <c r="CG68" s="488"/>
      <c r="CH68" s="488"/>
      <c r="CI68" s="488"/>
      <c r="CJ68" s="488"/>
      <c r="CK68" s="488"/>
      <c r="CL68" s="488"/>
      <c r="CM68" s="488"/>
      <c r="CN68" s="488"/>
      <c r="CO68" s="488"/>
      <c r="CP68" s="488"/>
      <c r="CQ68" s="488"/>
      <c r="CR68" s="488"/>
      <c r="CS68" s="488"/>
      <c r="CT68" s="488"/>
      <c r="CU68" s="488"/>
      <c r="CV68" s="488"/>
      <c r="CW68" s="488"/>
      <c r="CX68" s="488"/>
      <c r="CY68" s="488"/>
      <c r="CZ68" s="488"/>
      <c r="DA68" s="488"/>
      <c r="DB68" s="488"/>
      <c r="DC68" s="488"/>
      <c r="DD68" s="488"/>
      <c r="DE68" s="488"/>
      <c r="DF68" s="488"/>
      <c r="DG68" s="488"/>
      <c r="DH68" s="488"/>
      <c r="DI68" s="488"/>
      <c r="DJ68" s="488"/>
      <c r="DK68" s="488"/>
      <c r="DL68" s="488"/>
      <c r="DM68" s="488"/>
      <c r="DN68" s="488"/>
      <c r="DO68" s="488"/>
      <c r="DP68" s="488"/>
      <c r="DQ68" s="488"/>
      <c r="DR68" s="488"/>
      <c r="DS68" s="488"/>
      <c r="DT68" s="488"/>
      <c r="DU68" s="488"/>
      <c r="DV68" s="488"/>
      <c r="DW68" s="488"/>
      <c r="DX68" s="488"/>
      <c r="DY68" s="488"/>
      <c r="DZ68" s="488"/>
      <c r="EA68" s="488"/>
      <c r="EB68" s="488"/>
      <c r="EC68" s="488"/>
      <c r="ED68" s="488"/>
      <c r="EE68" s="488"/>
      <c r="EF68" s="488"/>
      <c r="EG68" s="488"/>
      <c r="EH68" s="488"/>
      <c r="EI68" s="488"/>
      <c r="EJ68" s="488"/>
      <c r="EK68" s="488"/>
      <c r="EL68" s="488"/>
      <c r="EM68" s="488"/>
      <c r="EN68" s="488"/>
      <c r="EO68" s="488"/>
      <c r="EP68" s="488"/>
      <c r="EQ68" s="488"/>
      <c r="ER68" s="488"/>
      <c r="ES68" s="488"/>
      <c r="ET68" s="488"/>
      <c r="EU68" s="488"/>
      <c r="EV68" s="488"/>
      <c r="EW68" s="488"/>
      <c r="EX68" s="488"/>
      <c r="EY68" s="488"/>
      <c r="EZ68" s="488"/>
      <c r="FA68" s="488"/>
      <c r="FB68" s="488"/>
      <c r="FC68" s="488"/>
      <c r="FD68" s="488"/>
      <c r="FE68" s="488"/>
      <c r="FF68" s="488"/>
      <c r="FG68" s="488"/>
      <c r="FH68" s="488"/>
    </row>
    <row r="69" spans="1:164" ht="12.75" hidden="1" customHeight="1" x14ac:dyDescent="0.25">
      <c r="A69" t="str">
        <f>Nutrients!B68</f>
        <v>Rye</v>
      </c>
      <c r="B69" s="99"/>
      <c r="C69" s="99"/>
      <c r="D69" s="99"/>
      <c r="E69" s="99"/>
      <c r="F69" s="99"/>
      <c r="G69" s="99"/>
      <c r="H69" s="99"/>
      <c r="I69" s="99"/>
      <c r="J69" s="99"/>
      <c r="K69" s="99"/>
      <c r="L69" s="99"/>
      <c r="M69" s="99"/>
      <c r="N69" s="99"/>
      <c r="O69" s="10"/>
      <c r="P69" s="99"/>
      <c r="Q69" s="99"/>
      <c r="R69" s="99"/>
      <c r="S69" s="99"/>
      <c r="T69" s="99"/>
      <c r="U69" s="99"/>
      <c r="W69" s="99"/>
      <c r="X69" s="99"/>
      <c r="Y69" s="99"/>
      <c r="Z69" s="99"/>
      <c r="AA69" s="99"/>
      <c r="AB69" s="99"/>
      <c r="AD69" s="99"/>
      <c r="AE69" s="99"/>
      <c r="AF69" s="99"/>
      <c r="AG69" s="99"/>
      <c r="AH69" s="99"/>
      <c r="AI69" s="99"/>
      <c r="AK69" s="99"/>
      <c r="AL69" s="99"/>
      <c r="AM69" s="99"/>
      <c r="AN69" s="99"/>
      <c r="AO69" s="99"/>
      <c r="AP69" s="99"/>
      <c r="AR69" s="99"/>
      <c r="AS69" s="99"/>
      <c r="AT69" s="99"/>
      <c r="AU69" s="99"/>
      <c r="AV69" s="99"/>
      <c r="AW69" s="99"/>
      <c r="AY69" s="488"/>
      <c r="AZ69" s="488"/>
      <c r="BA69" s="488"/>
      <c r="BB69" s="488"/>
      <c r="BC69" s="488"/>
      <c r="BD69" s="488"/>
      <c r="BE69" s="488"/>
      <c r="BF69" s="488"/>
      <c r="BG69" s="488"/>
      <c r="BH69" s="488"/>
      <c r="BI69" s="488"/>
      <c r="BJ69" s="488"/>
      <c r="BK69" s="488"/>
      <c r="BL69" s="488"/>
      <c r="BM69" s="488"/>
      <c r="BN69" s="488"/>
      <c r="BO69" s="488"/>
      <c r="BP69" s="488"/>
      <c r="BQ69" s="488"/>
      <c r="BR69" s="488"/>
      <c r="BS69" s="488"/>
      <c r="BT69" s="488"/>
      <c r="BU69" s="488"/>
      <c r="BV69" s="488"/>
      <c r="BW69" s="488"/>
      <c r="BX69" s="488"/>
      <c r="BY69" s="488"/>
      <c r="BZ69" s="488"/>
      <c r="CA69" s="488"/>
      <c r="CB69" s="488"/>
      <c r="CC69" s="488"/>
      <c r="CD69" s="488"/>
      <c r="CE69" s="488"/>
      <c r="CF69" s="488"/>
      <c r="CG69" s="488"/>
      <c r="CH69" s="488"/>
      <c r="CI69" s="488"/>
      <c r="CJ69" s="488"/>
      <c r="CK69" s="488"/>
      <c r="CL69" s="488"/>
      <c r="CM69" s="488"/>
      <c r="CN69" s="488"/>
      <c r="CO69" s="488"/>
      <c r="CP69" s="488"/>
      <c r="CQ69" s="488"/>
      <c r="CR69" s="488"/>
      <c r="CS69" s="488"/>
      <c r="CT69" s="488"/>
      <c r="CU69" s="488"/>
      <c r="CV69" s="488"/>
      <c r="CW69" s="488"/>
      <c r="CX69" s="488"/>
      <c r="CY69" s="488"/>
      <c r="CZ69" s="488"/>
      <c r="DA69" s="488"/>
      <c r="DB69" s="488"/>
      <c r="DC69" s="488"/>
      <c r="DD69" s="488"/>
      <c r="DE69" s="488"/>
      <c r="DF69" s="488"/>
      <c r="DG69" s="488"/>
      <c r="DH69" s="488"/>
      <c r="DI69" s="488"/>
      <c r="DJ69" s="488"/>
      <c r="DK69" s="488"/>
      <c r="DL69" s="488"/>
      <c r="DM69" s="488"/>
      <c r="DN69" s="488"/>
      <c r="DO69" s="488"/>
      <c r="DP69" s="488"/>
      <c r="DQ69" s="488"/>
      <c r="DR69" s="488"/>
      <c r="DS69" s="488"/>
      <c r="DT69" s="488"/>
      <c r="DU69" s="488"/>
      <c r="DV69" s="488"/>
      <c r="DW69" s="488"/>
      <c r="DX69" s="488"/>
      <c r="DY69" s="488"/>
      <c r="DZ69" s="488"/>
      <c r="EA69" s="488"/>
      <c r="EB69" s="488"/>
      <c r="EC69" s="488"/>
      <c r="ED69" s="488"/>
      <c r="EE69" s="488"/>
      <c r="EF69" s="488"/>
      <c r="EG69" s="488"/>
      <c r="EH69" s="488"/>
      <c r="EI69" s="488"/>
      <c r="EJ69" s="488"/>
      <c r="EK69" s="488"/>
      <c r="EL69" s="488"/>
      <c r="EM69" s="488"/>
      <c r="EN69" s="488"/>
      <c r="EO69" s="488"/>
      <c r="EP69" s="488"/>
      <c r="EQ69" s="488"/>
      <c r="ER69" s="488"/>
      <c r="ES69" s="488"/>
      <c r="ET69" s="488"/>
      <c r="EU69" s="488"/>
      <c r="EV69" s="488"/>
      <c r="EW69" s="488"/>
      <c r="EX69" s="488"/>
      <c r="EY69" s="488"/>
      <c r="EZ69" s="488"/>
      <c r="FA69" s="488"/>
      <c r="FB69" s="488"/>
      <c r="FC69" s="488"/>
      <c r="FD69" s="488"/>
      <c r="FE69" s="488"/>
      <c r="FF69" s="488"/>
      <c r="FG69" s="488"/>
      <c r="FH69" s="488"/>
    </row>
    <row r="70" spans="1:164" ht="12.75" hidden="1" customHeight="1" x14ac:dyDescent="0.25">
      <c r="A70" t="str">
        <f>Nutrients!B69</f>
        <v>Sesame Meal</v>
      </c>
      <c r="B70" s="99"/>
      <c r="C70" s="99"/>
      <c r="D70" s="99"/>
      <c r="E70" s="99"/>
      <c r="F70" s="99"/>
      <c r="G70" s="99"/>
      <c r="H70" s="99"/>
      <c r="I70" s="99"/>
      <c r="J70" s="99"/>
      <c r="K70" s="99"/>
      <c r="L70" s="99"/>
      <c r="M70" s="99"/>
      <c r="N70" s="99"/>
      <c r="O70" s="10"/>
      <c r="P70" s="99"/>
      <c r="Q70" s="99"/>
      <c r="R70" s="99"/>
      <c r="S70" s="99"/>
      <c r="T70" s="99"/>
      <c r="U70" s="99"/>
      <c r="W70" s="99"/>
      <c r="X70" s="99"/>
      <c r="Y70" s="99"/>
      <c r="Z70" s="99"/>
      <c r="AA70" s="99"/>
      <c r="AB70" s="99"/>
      <c r="AD70" s="99"/>
      <c r="AE70" s="99"/>
      <c r="AF70" s="99"/>
      <c r="AG70" s="99"/>
      <c r="AH70" s="99"/>
      <c r="AI70" s="99"/>
      <c r="AK70" s="99"/>
      <c r="AL70" s="99"/>
      <c r="AM70" s="99"/>
      <c r="AN70" s="99"/>
      <c r="AO70" s="99"/>
      <c r="AP70" s="99"/>
      <c r="AR70" s="99"/>
      <c r="AS70" s="99"/>
      <c r="AT70" s="99"/>
      <c r="AU70" s="99"/>
      <c r="AV70" s="99"/>
      <c r="AW70" s="99"/>
      <c r="AY70" s="488"/>
      <c r="AZ70" s="488"/>
      <c r="BA70" s="488"/>
      <c r="BB70" s="488"/>
      <c r="BC70" s="488"/>
      <c r="BD70" s="488"/>
      <c r="BE70" s="488"/>
      <c r="BF70" s="488"/>
      <c r="BG70" s="488"/>
      <c r="BH70" s="488"/>
      <c r="BI70" s="488"/>
      <c r="BJ70" s="488"/>
      <c r="BK70" s="488"/>
      <c r="BL70" s="488"/>
      <c r="BM70" s="488"/>
      <c r="BN70" s="488"/>
      <c r="BO70" s="488"/>
      <c r="BP70" s="488"/>
      <c r="BQ70" s="488"/>
      <c r="BR70" s="488"/>
      <c r="BS70" s="488"/>
      <c r="BT70" s="488"/>
      <c r="BU70" s="488"/>
      <c r="BV70" s="488"/>
      <c r="BW70" s="488"/>
      <c r="BX70" s="488"/>
      <c r="BY70" s="488"/>
      <c r="BZ70" s="488"/>
      <c r="CA70" s="488"/>
      <c r="CB70" s="488"/>
      <c r="CC70" s="488"/>
      <c r="CD70" s="488"/>
      <c r="CE70" s="488"/>
      <c r="CF70" s="488"/>
      <c r="CG70" s="488"/>
      <c r="CH70" s="488"/>
      <c r="CI70" s="488"/>
      <c r="CJ70" s="488"/>
      <c r="CK70" s="488"/>
      <c r="CL70" s="488"/>
      <c r="CM70" s="488"/>
      <c r="CN70" s="488"/>
      <c r="CO70" s="488"/>
      <c r="CP70" s="488"/>
      <c r="CQ70" s="488"/>
      <c r="CR70" s="488"/>
      <c r="CS70" s="488"/>
      <c r="CT70" s="488"/>
      <c r="CU70" s="488"/>
      <c r="CV70" s="488"/>
      <c r="CW70" s="488"/>
      <c r="CX70" s="488"/>
      <c r="CY70" s="488"/>
      <c r="CZ70" s="488"/>
      <c r="DA70" s="488"/>
      <c r="DB70" s="488"/>
      <c r="DC70" s="488"/>
      <c r="DD70" s="488"/>
      <c r="DE70" s="488"/>
      <c r="DF70" s="488"/>
      <c r="DG70" s="488"/>
      <c r="DH70" s="488"/>
      <c r="DI70" s="488"/>
      <c r="DJ70" s="488"/>
      <c r="DK70" s="488"/>
      <c r="DL70" s="488"/>
      <c r="DM70" s="488"/>
      <c r="DN70" s="488"/>
      <c r="DO70" s="488"/>
      <c r="DP70" s="488"/>
      <c r="DQ70" s="488"/>
      <c r="DR70" s="488"/>
      <c r="DS70" s="488"/>
      <c r="DT70" s="488"/>
      <c r="DU70" s="488"/>
      <c r="DV70" s="488"/>
      <c r="DW70" s="488"/>
      <c r="DX70" s="488"/>
      <c r="DY70" s="488"/>
      <c r="DZ70" s="488"/>
      <c r="EA70" s="488"/>
      <c r="EB70" s="488"/>
      <c r="EC70" s="488"/>
      <c r="ED70" s="488"/>
      <c r="EE70" s="488"/>
      <c r="EF70" s="488"/>
      <c r="EG70" s="488"/>
      <c r="EH70" s="488"/>
      <c r="EI70" s="488"/>
      <c r="EJ70" s="488"/>
      <c r="EK70" s="488"/>
      <c r="EL70" s="488"/>
      <c r="EM70" s="488"/>
      <c r="EN70" s="488"/>
      <c r="EO70" s="488"/>
      <c r="EP70" s="488"/>
      <c r="EQ70" s="488"/>
      <c r="ER70" s="488"/>
      <c r="ES70" s="488"/>
      <c r="ET70" s="488"/>
      <c r="EU70" s="488"/>
      <c r="EV70" s="488"/>
      <c r="EW70" s="488"/>
      <c r="EX70" s="488"/>
      <c r="EY70" s="488"/>
      <c r="EZ70" s="488"/>
      <c r="FA70" s="488"/>
      <c r="FB70" s="488"/>
      <c r="FC70" s="488"/>
      <c r="FD70" s="488"/>
      <c r="FE70" s="488"/>
      <c r="FF70" s="488"/>
      <c r="FG70" s="488"/>
      <c r="FH70" s="488"/>
    </row>
    <row r="71" spans="1:164" ht="12.75" hidden="1" customHeight="1" x14ac:dyDescent="0.25">
      <c r="A71" t="str">
        <f>Nutrients!B70</f>
        <v>Sorghum</v>
      </c>
      <c r="B71" s="99"/>
      <c r="C71" s="99"/>
      <c r="D71" s="99"/>
      <c r="E71" s="99"/>
      <c r="F71" s="99"/>
      <c r="G71" s="99"/>
      <c r="H71" s="99"/>
      <c r="I71" s="99"/>
      <c r="J71" s="99"/>
      <c r="K71" s="99"/>
      <c r="L71" s="99"/>
      <c r="M71" s="99"/>
      <c r="N71" s="99"/>
      <c r="O71" s="10"/>
      <c r="P71" s="99"/>
      <c r="Q71" s="99"/>
      <c r="R71" s="99"/>
      <c r="S71" s="99"/>
      <c r="T71" s="99"/>
      <c r="U71" s="99"/>
      <c r="W71" s="99"/>
      <c r="X71" s="99"/>
      <c r="Y71" s="99"/>
      <c r="Z71" s="99"/>
      <c r="AA71" s="99"/>
      <c r="AB71" s="99"/>
      <c r="AD71" s="99"/>
      <c r="AE71" s="99"/>
      <c r="AF71" s="99"/>
      <c r="AG71" s="99"/>
      <c r="AH71" s="99"/>
      <c r="AI71" s="99"/>
      <c r="AK71" s="99"/>
      <c r="AL71" s="99"/>
      <c r="AM71" s="99"/>
      <c r="AN71" s="99"/>
      <c r="AO71" s="99"/>
      <c r="AP71" s="99"/>
      <c r="AR71" s="99"/>
      <c r="AS71" s="99"/>
      <c r="AT71" s="99"/>
      <c r="AU71" s="99"/>
      <c r="AV71" s="99"/>
      <c r="AW71" s="99"/>
      <c r="AY71" s="488"/>
      <c r="AZ71" s="488"/>
      <c r="BA71" s="488"/>
      <c r="BB71" s="488"/>
      <c r="BC71" s="488"/>
      <c r="BD71" s="488"/>
      <c r="BE71" s="488"/>
      <c r="BF71" s="488"/>
      <c r="BG71" s="488"/>
      <c r="BH71" s="488"/>
      <c r="BI71" s="488"/>
      <c r="BJ71" s="488"/>
      <c r="BK71" s="488"/>
      <c r="BL71" s="488"/>
      <c r="BM71" s="488"/>
      <c r="BN71" s="488"/>
      <c r="BO71" s="488"/>
      <c r="BP71" s="488"/>
      <c r="BQ71" s="488"/>
      <c r="BR71" s="488"/>
      <c r="BS71" s="488"/>
      <c r="BT71" s="488"/>
      <c r="BU71" s="488"/>
      <c r="BV71" s="488"/>
      <c r="BW71" s="488"/>
      <c r="BX71" s="488"/>
      <c r="BY71" s="488"/>
      <c r="BZ71" s="488"/>
      <c r="CA71" s="488"/>
      <c r="CB71" s="488"/>
      <c r="CC71" s="488"/>
      <c r="CD71" s="488"/>
      <c r="CE71" s="488"/>
      <c r="CF71" s="488"/>
      <c r="CG71" s="488"/>
      <c r="CH71" s="488"/>
      <c r="CI71" s="488"/>
      <c r="CJ71" s="488"/>
      <c r="CK71" s="488"/>
      <c r="CL71" s="488"/>
      <c r="CM71" s="488"/>
      <c r="CN71" s="488"/>
      <c r="CO71" s="488"/>
      <c r="CP71" s="488"/>
      <c r="CQ71" s="488"/>
      <c r="CR71" s="488"/>
      <c r="CS71" s="488"/>
      <c r="CT71" s="488"/>
      <c r="CU71" s="488"/>
      <c r="CV71" s="488"/>
      <c r="CW71" s="488"/>
      <c r="CX71" s="488"/>
      <c r="CY71" s="488"/>
      <c r="CZ71" s="488"/>
      <c r="DA71" s="488"/>
      <c r="DB71" s="488"/>
      <c r="DC71" s="488"/>
      <c r="DD71" s="488"/>
      <c r="DE71" s="488"/>
      <c r="DF71" s="488"/>
      <c r="DG71" s="488"/>
      <c r="DH71" s="488"/>
      <c r="DI71" s="488"/>
      <c r="DJ71" s="488"/>
      <c r="DK71" s="488"/>
      <c r="DL71" s="488"/>
      <c r="DM71" s="488"/>
      <c r="DN71" s="488"/>
      <c r="DO71" s="488"/>
      <c r="DP71" s="488"/>
      <c r="DQ71" s="488"/>
      <c r="DR71" s="488"/>
      <c r="DS71" s="488"/>
      <c r="DT71" s="488"/>
      <c r="DU71" s="488"/>
      <c r="DV71" s="488"/>
      <c r="DW71" s="488"/>
      <c r="DX71" s="488"/>
      <c r="DY71" s="488"/>
      <c r="DZ71" s="488"/>
      <c r="EA71" s="488"/>
      <c r="EB71" s="488"/>
      <c r="EC71" s="488"/>
      <c r="ED71" s="488"/>
      <c r="EE71" s="488"/>
      <c r="EF71" s="488"/>
      <c r="EG71" s="488"/>
      <c r="EH71" s="488"/>
      <c r="EI71" s="488"/>
      <c r="EJ71" s="488"/>
      <c r="EK71" s="488"/>
      <c r="EL71" s="488"/>
      <c r="EM71" s="488"/>
      <c r="EN71" s="488"/>
      <c r="EO71" s="488"/>
      <c r="EP71" s="488"/>
      <c r="EQ71" s="488"/>
      <c r="ER71" s="488"/>
      <c r="ES71" s="488"/>
      <c r="ET71" s="488"/>
      <c r="EU71" s="488"/>
      <c r="EV71" s="488"/>
      <c r="EW71" s="488"/>
      <c r="EX71" s="488"/>
      <c r="EY71" s="488"/>
      <c r="EZ71" s="488"/>
      <c r="FA71" s="488"/>
      <c r="FB71" s="488"/>
      <c r="FC71" s="488"/>
      <c r="FD71" s="488"/>
      <c r="FE71" s="488"/>
      <c r="FF71" s="488"/>
      <c r="FG71" s="488"/>
      <c r="FH71" s="488"/>
    </row>
    <row r="72" spans="1:164" ht="12.75" hidden="1" customHeight="1" x14ac:dyDescent="0.25">
      <c r="A72" t="str">
        <f>Nutrients!B71</f>
        <v>Soybeans, Full Fat</v>
      </c>
      <c r="B72" s="99"/>
      <c r="C72" s="99"/>
      <c r="D72" s="99"/>
      <c r="E72" s="99"/>
      <c r="F72" s="99"/>
      <c r="G72" s="99"/>
      <c r="H72" s="99"/>
      <c r="I72" s="99"/>
      <c r="J72" s="99"/>
      <c r="K72" s="99"/>
      <c r="L72" s="99"/>
      <c r="M72" s="99"/>
      <c r="N72" s="99"/>
      <c r="O72" s="10"/>
      <c r="P72" s="99"/>
      <c r="Q72" s="99"/>
      <c r="R72" s="99"/>
      <c r="S72" s="99"/>
      <c r="T72" s="99"/>
      <c r="U72" s="99"/>
      <c r="W72" s="99"/>
      <c r="X72" s="99"/>
      <c r="Y72" s="99"/>
      <c r="Z72" s="99"/>
      <c r="AA72" s="99"/>
      <c r="AB72" s="99"/>
      <c r="AD72" s="99"/>
      <c r="AE72" s="99"/>
      <c r="AF72" s="99"/>
      <c r="AG72" s="99"/>
      <c r="AH72" s="99"/>
      <c r="AI72" s="99"/>
      <c r="AK72" s="99"/>
      <c r="AL72" s="99"/>
      <c r="AM72" s="99"/>
      <c r="AN72" s="99"/>
      <c r="AO72" s="99"/>
      <c r="AP72" s="99"/>
      <c r="AR72" s="99"/>
      <c r="AS72" s="99"/>
      <c r="AT72" s="99"/>
      <c r="AU72" s="99"/>
      <c r="AV72" s="99"/>
      <c r="AW72" s="99"/>
      <c r="AY72" s="488"/>
      <c r="AZ72" s="488"/>
      <c r="BA72" s="488"/>
      <c r="BB72" s="488"/>
      <c r="BC72" s="488"/>
      <c r="BD72" s="488"/>
      <c r="BE72" s="488"/>
      <c r="BF72" s="488"/>
      <c r="BG72" s="488"/>
      <c r="BH72" s="488"/>
      <c r="BI72" s="488"/>
      <c r="BJ72" s="488"/>
      <c r="BK72" s="488"/>
      <c r="BL72" s="488"/>
      <c r="BM72" s="488"/>
      <c r="BN72" s="488"/>
      <c r="BO72" s="488"/>
      <c r="BP72" s="488"/>
      <c r="BQ72" s="488"/>
      <c r="BR72" s="488"/>
      <c r="BS72" s="488"/>
      <c r="BT72" s="488"/>
      <c r="BU72" s="488"/>
      <c r="BV72" s="488"/>
      <c r="BW72" s="488"/>
      <c r="BX72" s="488"/>
      <c r="BY72" s="488"/>
      <c r="BZ72" s="488"/>
      <c r="CA72" s="488"/>
      <c r="CB72" s="488"/>
      <c r="CC72" s="488"/>
      <c r="CD72" s="488"/>
      <c r="CE72" s="488"/>
      <c r="CF72" s="488"/>
      <c r="CG72" s="488"/>
      <c r="CH72" s="488"/>
      <c r="CI72" s="488"/>
      <c r="CJ72" s="488"/>
      <c r="CK72" s="488"/>
      <c r="CL72" s="488"/>
      <c r="CM72" s="488"/>
      <c r="CN72" s="488"/>
      <c r="CO72" s="488"/>
      <c r="CP72" s="488"/>
      <c r="CQ72" s="488"/>
      <c r="CR72" s="488"/>
      <c r="CS72" s="488"/>
      <c r="CT72" s="488"/>
      <c r="CU72" s="488"/>
      <c r="CV72" s="488"/>
      <c r="CW72" s="488"/>
      <c r="CX72" s="488"/>
      <c r="CY72" s="488"/>
      <c r="CZ72" s="488"/>
      <c r="DA72" s="488"/>
      <c r="DB72" s="488"/>
      <c r="DC72" s="488"/>
      <c r="DD72" s="488"/>
      <c r="DE72" s="488"/>
      <c r="DF72" s="488"/>
      <c r="DG72" s="488"/>
      <c r="DH72" s="488"/>
      <c r="DI72" s="488"/>
      <c r="DJ72" s="488"/>
      <c r="DK72" s="488"/>
      <c r="DL72" s="488"/>
      <c r="DM72" s="488"/>
      <c r="DN72" s="488"/>
      <c r="DO72" s="488"/>
      <c r="DP72" s="488"/>
      <c r="DQ72" s="488"/>
      <c r="DR72" s="488"/>
      <c r="DS72" s="488"/>
      <c r="DT72" s="488"/>
      <c r="DU72" s="488"/>
      <c r="DV72" s="488"/>
      <c r="DW72" s="488"/>
      <c r="DX72" s="488"/>
      <c r="DY72" s="488"/>
      <c r="DZ72" s="488"/>
      <c r="EA72" s="488"/>
      <c r="EB72" s="488"/>
      <c r="EC72" s="488"/>
      <c r="ED72" s="488"/>
      <c r="EE72" s="488"/>
      <c r="EF72" s="488"/>
      <c r="EG72" s="488"/>
      <c r="EH72" s="488"/>
      <c r="EI72" s="488"/>
      <c r="EJ72" s="488"/>
      <c r="EK72" s="488"/>
      <c r="EL72" s="488"/>
      <c r="EM72" s="488"/>
      <c r="EN72" s="488"/>
      <c r="EO72" s="488"/>
      <c r="EP72" s="488"/>
      <c r="EQ72" s="488"/>
      <c r="ER72" s="488"/>
      <c r="ES72" s="488"/>
      <c r="ET72" s="488"/>
      <c r="EU72" s="488"/>
      <c r="EV72" s="488"/>
      <c r="EW72" s="488"/>
      <c r="EX72" s="488"/>
      <c r="EY72" s="488"/>
      <c r="EZ72" s="488"/>
      <c r="FA72" s="488"/>
      <c r="FB72" s="488"/>
      <c r="FC72" s="488"/>
      <c r="FD72" s="488"/>
      <c r="FE72" s="488"/>
      <c r="FF72" s="488"/>
      <c r="FG72" s="488"/>
      <c r="FH72" s="488"/>
    </row>
    <row r="73" spans="1:164" ht="12.75" hidden="1" customHeight="1" x14ac:dyDescent="0.25">
      <c r="A73" t="str">
        <f>Nutrients!B72</f>
        <v>Soybeans, High Protein, Full Fat</v>
      </c>
      <c r="B73" s="99"/>
      <c r="C73" s="99"/>
      <c r="D73" s="99"/>
      <c r="E73" s="99"/>
      <c r="F73" s="99"/>
      <c r="G73" s="99"/>
      <c r="H73" s="99"/>
      <c r="I73" s="99"/>
      <c r="J73" s="99"/>
      <c r="K73" s="99"/>
      <c r="L73" s="99"/>
      <c r="M73" s="99"/>
      <c r="N73" s="99"/>
      <c r="O73" s="10"/>
      <c r="P73" s="99"/>
      <c r="Q73" s="99"/>
      <c r="R73" s="99"/>
      <c r="S73" s="99"/>
      <c r="T73" s="99"/>
      <c r="U73" s="99"/>
      <c r="W73" s="99"/>
      <c r="X73" s="99"/>
      <c r="Y73" s="99"/>
      <c r="Z73" s="99"/>
      <c r="AA73" s="99"/>
      <c r="AB73" s="99"/>
      <c r="AD73" s="99"/>
      <c r="AE73" s="99"/>
      <c r="AF73" s="99"/>
      <c r="AG73" s="99"/>
      <c r="AH73" s="99"/>
      <c r="AI73" s="99"/>
      <c r="AK73" s="99"/>
      <c r="AL73" s="99"/>
      <c r="AM73" s="99"/>
      <c r="AN73" s="99"/>
      <c r="AO73" s="99"/>
      <c r="AP73" s="99"/>
      <c r="AR73" s="99"/>
      <c r="AS73" s="99"/>
      <c r="AT73" s="99"/>
      <c r="AU73" s="99"/>
      <c r="AV73" s="99"/>
      <c r="AW73" s="99"/>
      <c r="AY73" s="488"/>
      <c r="AZ73" s="488"/>
      <c r="BA73" s="488"/>
      <c r="BB73" s="488"/>
      <c r="BC73" s="488"/>
      <c r="BD73" s="488"/>
      <c r="BE73" s="488"/>
      <c r="BF73" s="488"/>
      <c r="BG73" s="488"/>
      <c r="BH73" s="488"/>
      <c r="BI73" s="488"/>
      <c r="BJ73" s="488"/>
      <c r="BK73" s="488"/>
      <c r="BL73" s="488"/>
      <c r="BM73" s="488"/>
      <c r="BN73" s="488"/>
      <c r="BO73" s="488"/>
      <c r="BP73" s="488"/>
      <c r="BQ73" s="488"/>
      <c r="BR73" s="488"/>
      <c r="BS73" s="488"/>
      <c r="BT73" s="488"/>
      <c r="BU73" s="488"/>
      <c r="BV73" s="488"/>
      <c r="BW73" s="488"/>
      <c r="BX73" s="488"/>
      <c r="BY73" s="488"/>
      <c r="BZ73" s="488"/>
      <c r="CA73" s="488"/>
      <c r="CB73" s="488"/>
      <c r="CC73" s="488"/>
      <c r="CD73" s="488"/>
      <c r="CE73" s="488"/>
      <c r="CF73" s="488"/>
      <c r="CG73" s="488"/>
      <c r="CH73" s="488"/>
      <c r="CI73" s="488"/>
      <c r="CJ73" s="488"/>
      <c r="CK73" s="488"/>
      <c r="CL73" s="488"/>
      <c r="CM73" s="488"/>
      <c r="CN73" s="488"/>
      <c r="CO73" s="488"/>
      <c r="CP73" s="488"/>
      <c r="CQ73" s="488"/>
      <c r="CR73" s="488"/>
      <c r="CS73" s="488"/>
      <c r="CT73" s="488"/>
      <c r="CU73" s="488"/>
      <c r="CV73" s="488"/>
      <c r="CW73" s="488"/>
      <c r="CX73" s="488"/>
      <c r="CY73" s="488"/>
      <c r="CZ73" s="488"/>
      <c r="DA73" s="488"/>
      <c r="DB73" s="488"/>
      <c r="DC73" s="488"/>
      <c r="DD73" s="488"/>
      <c r="DE73" s="488"/>
      <c r="DF73" s="488"/>
      <c r="DG73" s="488"/>
      <c r="DH73" s="488"/>
      <c r="DI73" s="488"/>
      <c r="DJ73" s="488"/>
      <c r="DK73" s="488"/>
      <c r="DL73" s="488"/>
      <c r="DM73" s="488"/>
      <c r="DN73" s="488"/>
      <c r="DO73" s="488"/>
      <c r="DP73" s="488"/>
      <c r="DQ73" s="488"/>
      <c r="DR73" s="488"/>
      <c r="DS73" s="488"/>
      <c r="DT73" s="488"/>
      <c r="DU73" s="488"/>
      <c r="DV73" s="488"/>
      <c r="DW73" s="488"/>
      <c r="DX73" s="488"/>
      <c r="DY73" s="488"/>
      <c r="DZ73" s="488"/>
      <c r="EA73" s="488"/>
      <c r="EB73" s="488"/>
      <c r="EC73" s="488"/>
      <c r="ED73" s="488"/>
      <c r="EE73" s="488"/>
      <c r="EF73" s="488"/>
      <c r="EG73" s="488"/>
      <c r="EH73" s="488"/>
      <c r="EI73" s="488"/>
      <c r="EJ73" s="488"/>
      <c r="EK73" s="488"/>
      <c r="EL73" s="488"/>
      <c r="EM73" s="488"/>
      <c r="EN73" s="488"/>
      <c r="EO73" s="488"/>
      <c r="EP73" s="488"/>
      <c r="EQ73" s="488"/>
      <c r="ER73" s="488"/>
      <c r="ES73" s="488"/>
      <c r="ET73" s="488"/>
      <c r="EU73" s="488"/>
      <c r="EV73" s="488"/>
      <c r="EW73" s="488"/>
      <c r="EX73" s="488"/>
      <c r="EY73" s="488"/>
      <c r="EZ73" s="488"/>
      <c r="FA73" s="488"/>
      <c r="FB73" s="488"/>
      <c r="FC73" s="488"/>
      <c r="FD73" s="488"/>
      <c r="FE73" s="488"/>
      <c r="FF73" s="488"/>
      <c r="FG73" s="488"/>
      <c r="FH73" s="488"/>
    </row>
    <row r="74" spans="1:164" ht="12.75" hidden="1" customHeight="1" x14ac:dyDescent="0.25">
      <c r="A74" t="str">
        <f>Nutrients!B73</f>
        <v>Soybeans, Low Oligosaccharide, Full Fat</v>
      </c>
      <c r="B74" s="99"/>
      <c r="C74" s="99"/>
      <c r="D74" s="99"/>
      <c r="E74" s="99"/>
      <c r="F74" s="99"/>
      <c r="G74" s="99"/>
      <c r="H74" s="99"/>
      <c r="I74" s="99"/>
      <c r="J74" s="99"/>
      <c r="K74" s="99"/>
      <c r="L74" s="99"/>
      <c r="M74" s="99"/>
      <c r="N74" s="99"/>
      <c r="O74" s="10"/>
      <c r="P74" s="99"/>
      <c r="Q74" s="99"/>
      <c r="R74" s="99"/>
      <c r="S74" s="99"/>
      <c r="T74" s="99"/>
      <c r="U74" s="99"/>
      <c r="W74" s="99"/>
      <c r="X74" s="99"/>
      <c r="Y74" s="99"/>
      <c r="Z74" s="99"/>
      <c r="AA74" s="99"/>
      <c r="AB74" s="99"/>
      <c r="AD74" s="99"/>
      <c r="AE74" s="99"/>
      <c r="AF74" s="99"/>
      <c r="AG74" s="99"/>
      <c r="AH74" s="99"/>
      <c r="AI74" s="99"/>
      <c r="AK74" s="99"/>
      <c r="AL74" s="99"/>
      <c r="AM74" s="99"/>
      <c r="AN74" s="99"/>
      <c r="AO74" s="99"/>
      <c r="AP74" s="99"/>
      <c r="AR74" s="99"/>
      <c r="AS74" s="99"/>
      <c r="AT74" s="99"/>
      <c r="AU74" s="99"/>
      <c r="AV74" s="99"/>
      <c r="AW74" s="99"/>
      <c r="AY74" s="488"/>
      <c r="AZ74" s="488"/>
      <c r="BA74" s="488"/>
      <c r="BB74" s="488"/>
      <c r="BC74" s="488"/>
      <c r="BD74" s="488"/>
      <c r="BE74" s="488"/>
      <c r="BF74" s="488"/>
      <c r="BG74" s="488"/>
      <c r="BH74" s="488"/>
      <c r="BI74" s="488"/>
      <c r="BJ74" s="488"/>
      <c r="BK74" s="488"/>
      <c r="BL74" s="488"/>
      <c r="BM74" s="488"/>
      <c r="BN74" s="488"/>
      <c r="BO74" s="488"/>
      <c r="BP74" s="488"/>
      <c r="BQ74" s="488"/>
      <c r="BR74" s="488"/>
      <c r="BS74" s="488"/>
      <c r="BT74" s="488"/>
      <c r="BU74" s="488"/>
      <c r="BV74" s="488"/>
      <c r="BW74" s="488"/>
      <c r="BX74" s="488"/>
      <c r="BY74" s="488"/>
      <c r="BZ74" s="488"/>
      <c r="CA74" s="488"/>
      <c r="CB74" s="488"/>
      <c r="CC74" s="488"/>
      <c r="CD74" s="488"/>
      <c r="CE74" s="488"/>
      <c r="CF74" s="488"/>
      <c r="CG74" s="488"/>
      <c r="CH74" s="488"/>
      <c r="CI74" s="488"/>
      <c r="CJ74" s="488"/>
      <c r="CK74" s="488"/>
      <c r="CL74" s="488"/>
      <c r="CM74" s="488"/>
      <c r="CN74" s="488"/>
      <c r="CO74" s="488"/>
      <c r="CP74" s="488"/>
      <c r="CQ74" s="488"/>
      <c r="CR74" s="488"/>
      <c r="CS74" s="488"/>
      <c r="CT74" s="488"/>
      <c r="CU74" s="488"/>
      <c r="CV74" s="488"/>
      <c r="CW74" s="488"/>
      <c r="CX74" s="488"/>
      <c r="CY74" s="488"/>
      <c r="CZ74" s="488"/>
      <c r="DA74" s="488"/>
      <c r="DB74" s="488"/>
      <c r="DC74" s="488"/>
      <c r="DD74" s="488"/>
      <c r="DE74" s="488"/>
      <c r="DF74" s="488"/>
      <c r="DG74" s="488"/>
      <c r="DH74" s="488"/>
      <c r="DI74" s="488"/>
      <c r="DJ74" s="488"/>
      <c r="DK74" s="488"/>
      <c r="DL74" s="488"/>
      <c r="DM74" s="488"/>
      <c r="DN74" s="488"/>
      <c r="DO74" s="488"/>
      <c r="DP74" s="488"/>
      <c r="DQ74" s="488"/>
      <c r="DR74" s="488"/>
      <c r="DS74" s="488"/>
      <c r="DT74" s="488"/>
      <c r="DU74" s="488"/>
      <c r="DV74" s="488"/>
      <c r="DW74" s="488"/>
      <c r="DX74" s="488"/>
      <c r="DY74" s="488"/>
      <c r="DZ74" s="488"/>
      <c r="EA74" s="488"/>
      <c r="EB74" s="488"/>
      <c r="EC74" s="488"/>
      <c r="ED74" s="488"/>
      <c r="EE74" s="488"/>
      <c r="EF74" s="488"/>
      <c r="EG74" s="488"/>
      <c r="EH74" s="488"/>
      <c r="EI74" s="488"/>
      <c r="EJ74" s="488"/>
      <c r="EK74" s="488"/>
      <c r="EL74" s="488"/>
      <c r="EM74" s="488"/>
      <c r="EN74" s="488"/>
      <c r="EO74" s="488"/>
      <c r="EP74" s="488"/>
      <c r="EQ74" s="488"/>
      <c r="ER74" s="488"/>
      <c r="ES74" s="488"/>
      <c r="ET74" s="488"/>
      <c r="EU74" s="488"/>
      <c r="EV74" s="488"/>
      <c r="EW74" s="488"/>
      <c r="EX74" s="488"/>
      <c r="EY74" s="488"/>
      <c r="EZ74" s="488"/>
      <c r="FA74" s="488"/>
      <c r="FB74" s="488"/>
      <c r="FC74" s="488"/>
      <c r="FD74" s="488"/>
      <c r="FE74" s="488"/>
      <c r="FF74" s="488"/>
      <c r="FG74" s="488"/>
      <c r="FH74" s="488"/>
    </row>
    <row r="75" spans="1:164" ht="12.75" hidden="1" customHeight="1" x14ac:dyDescent="0.25">
      <c r="A75" t="str">
        <f>Nutrients!B74</f>
        <v>Soybean Meal, High Protein, Expelled</v>
      </c>
      <c r="B75" s="99"/>
      <c r="C75" s="99"/>
      <c r="D75" s="99"/>
      <c r="E75" s="99"/>
      <c r="F75" s="99"/>
      <c r="G75" s="99"/>
      <c r="H75" s="99"/>
      <c r="I75" s="99"/>
      <c r="J75" s="99"/>
      <c r="K75" s="99"/>
      <c r="L75" s="99"/>
      <c r="M75" s="99"/>
      <c r="N75" s="99"/>
      <c r="O75" s="10"/>
      <c r="P75" s="99"/>
      <c r="Q75" s="99"/>
      <c r="R75" s="99"/>
      <c r="S75" s="99"/>
      <c r="T75" s="99"/>
      <c r="U75" s="99"/>
      <c r="W75" s="99"/>
      <c r="X75" s="99"/>
      <c r="Y75" s="99"/>
      <c r="Z75" s="99"/>
      <c r="AA75" s="99"/>
      <c r="AB75" s="99"/>
      <c r="AD75" s="99"/>
      <c r="AE75" s="99"/>
      <c r="AF75" s="99"/>
      <c r="AG75" s="99"/>
      <c r="AH75" s="99"/>
      <c r="AI75" s="99"/>
      <c r="AK75" s="99"/>
      <c r="AL75" s="99"/>
      <c r="AM75" s="99"/>
      <c r="AN75" s="99"/>
      <c r="AO75" s="99"/>
      <c r="AP75" s="99"/>
      <c r="AR75" s="99"/>
      <c r="AS75" s="99"/>
      <c r="AT75" s="99"/>
      <c r="AU75" s="99"/>
      <c r="AV75" s="99"/>
      <c r="AW75" s="99"/>
      <c r="AY75" s="488"/>
      <c r="AZ75" s="488"/>
      <c r="BA75" s="488"/>
      <c r="BB75" s="488"/>
      <c r="BC75" s="488"/>
      <c r="BD75" s="488"/>
      <c r="BE75" s="488"/>
      <c r="BF75" s="488"/>
      <c r="BG75" s="488"/>
      <c r="BH75" s="488"/>
      <c r="BI75" s="488"/>
      <c r="BJ75" s="488"/>
      <c r="BK75" s="488"/>
      <c r="BL75" s="488"/>
      <c r="BM75" s="488"/>
      <c r="BN75" s="488"/>
      <c r="BO75" s="488"/>
      <c r="BP75" s="488"/>
      <c r="BQ75" s="488"/>
      <c r="BR75" s="488"/>
      <c r="BS75" s="488"/>
      <c r="BT75" s="488"/>
      <c r="BU75" s="488"/>
      <c r="BV75" s="488"/>
      <c r="BW75" s="488"/>
      <c r="BX75" s="488"/>
      <c r="BY75" s="488"/>
      <c r="BZ75" s="488"/>
      <c r="CA75" s="488"/>
      <c r="CB75" s="488"/>
      <c r="CC75" s="488"/>
      <c r="CD75" s="488"/>
      <c r="CE75" s="488"/>
      <c r="CF75" s="488"/>
      <c r="CG75" s="488"/>
      <c r="CH75" s="488"/>
      <c r="CI75" s="488"/>
      <c r="CJ75" s="488"/>
      <c r="CK75" s="488"/>
      <c r="CL75" s="488"/>
      <c r="CM75" s="488"/>
      <c r="CN75" s="488"/>
      <c r="CO75" s="488"/>
      <c r="CP75" s="488"/>
      <c r="CQ75" s="488"/>
      <c r="CR75" s="488"/>
      <c r="CS75" s="488"/>
      <c r="CT75" s="488"/>
      <c r="CU75" s="488"/>
      <c r="CV75" s="488"/>
      <c r="CW75" s="488"/>
      <c r="CX75" s="488"/>
      <c r="CY75" s="488"/>
      <c r="CZ75" s="488"/>
      <c r="DA75" s="488"/>
      <c r="DB75" s="488"/>
      <c r="DC75" s="488"/>
      <c r="DD75" s="488"/>
      <c r="DE75" s="488"/>
      <c r="DF75" s="488"/>
      <c r="DG75" s="488"/>
      <c r="DH75" s="488"/>
      <c r="DI75" s="488"/>
      <c r="DJ75" s="488"/>
      <c r="DK75" s="488"/>
      <c r="DL75" s="488"/>
      <c r="DM75" s="488"/>
      <c r="DN75" s="488"/>
      <c r="DO75" s="488"/>
      <c r="DP75" s="488"/>
      <c r="DQ75" s="488"/>
      <c r="DR75" s="488"/>
      <c r="DS75" s="488"/>
      <c r="DT75" s="488"/>
      <c r="DU75" s="488"/>
      <c r="DV75" s="488"/>
      <c r="DW75" s="488"/>
      <c r="DX75" s="488"/>
      <c r="DY75" s="488"/>
      <c r="DZ75" s="488"/>
      <c r="EA75" s="488"/>
      <c r="EB75" s="488"/>
      <c r="EC75" s="488"/>
      <c r="ED75" s="488"/>
      <c r="EE75" s="488"/>
      <c r="EF75" s="488"/>
      <c r="EG75" s="488"/>
      <c r="EH75" s="488"/>
      <c r="EI75" s="488"/>
      <c r="EJ75" s="488"/>
      <c r="EK75" s="488"/>
      <c r="EL75" s="488"/>
      <c r="EM75" s="488"/>
      <c r="EN75" s="488"/>
      <c r="EO75" s="488"/>
      <c r="EP75" s="488"/>
      <c r="EQ75" s="488"/>
      <c r="ER75" s="488"/>
      <c r="ES75" s="488"/>
      <c r="ET75" s="488"/>
      <c r="EU75" s="488"/>
      <c r="EV75" s="488"/>
      <c r="EW75" s="488"/>
      <c r="EX75" s="488"/>
      <c r="EY75" s="488"/>
      <c r="EZ75" s="488"/>
      <c r="FA75" s="488"/>
      <c r="FB75" s="488"/>
      <c r="FC75" s="488"/>
      <c r="FD75" s="488"/>
      <c r="FE75" s="488"/>
      <c r="FF75" s="488"/>
      <c r="FG75" s="488"/>
      <c r="FH75" s="488"/>
    </row>
    <row r="76" spans="1:164" ht="12.75" hidden="1" customHeight="1" x14ac:dyDescent="0.25">
      <c r="A76" t="str">
        <f>Nutrients!B75</f>
        <v>Soybean Meal, Low Oligosacch, Expell</v>
      </c>
      <c r="B76" s="99"/>
      <c r="C76" s="99"/>
      <c r="D76" s="99"/>
      <c r="E76" s="99"/>
      <c r="F76" s="99"/>
      <c r="G76" s="99"/>
      <c r="H76" s="99"/>
      <c r="I76" s="99"/>
      <c r="J76" s="99"/>
      <c r="K76" s="99"/>
      <c r="L76" s="99"/>
      <c r="M76" s="99"/>
      <c r="N76" s="99"/>
      <c r="O76" s="10"/>
      <c r="P76" s="99"/>
      <c r="Q76" s="99"/>
      <c r="R76" s="99"/>
      <c r="S76" s="99"/>
      <c r="T76" s="99"/>
      <c r="U76" s="99"/>
      <c r="W76" s="99"/>
      <c r="X76" s="99"/>
      <c r="Y76" s="99"/>
      <c r="Z76" s="99"/>
      <c r="AA76" s="99"/>
      <c r="AB76" s="99"/>
      <c r="AD76" s="99"/>
      <c r="AE76" s="99"/>
      <c r="AF76" s="99"/>
      <c r="AG76" s="99"/>
      <c r="AH76" s="99"/>
      <c r="AI76" s="99"/>
      <c r="AK76" s="99"/>
      <c r="AL76" s="99"/>
      <c r="AM76" s="99"/>
      <c r="AN76" s="99"/>
      <c r="AO76" s="99"/>
      <c r="AP76" s="99"/>
      <c r="AR76" s="99"/>
      <c r="AS76" s="99"/>
      <c r="AT76" s="99"/>
      <c r="AU76" s="99"/>
      <c r="AV76" s="99"/>
      <c r="AW76" s="99"/>
      <c r="AY76" s="488"/>
      <c r="AZ76" s="488"/>
      <c r="BA76" s="488"/>
      <c r="BB76" s="488"/>
      <c r="BC76" s="488"/>
      <c r="BD76" s="488"/>
      <c r="BE76" s="488"/>
      <c r="BF76" s="488"/>
      <c r="BG76" s="488"/>
      <c r="BH76" s="488"/>
      <c r="BI76" s="488"/>
      <c r="BJ76" s="488"/>
      <c r="BK76" s="488"/>
      <c r="BL76" s="488"/>
      <c r="BM76" s="488"/>
      <c r="BN76" s="488"/>
      <c r="BO76" s="488"/>
      <c r="BP76" s="488"/>
      <c r="BQ76" s="488"/>
      <c r="BR76" s="488"/>
      <c r="BS76" s="488"/>
      <c r="BT76" s="488"/>
      <c r="BU76" s="488"/>
      <c r="BV76" s="488"/>
      <c r="BW76" s="488"/>
      <c r="BX76" s="488"/>
      <c r="BY76" s="488"/>
      <c r="BZ76" s="488"/>
      <c r="CA76" s="488"/>
      <c r="CB76" s="488"/>
      <c r="CC76" s="488"/>
      <c r="CD76" s="488"/>
      <c r="CE76" s="488"/>
      <c r="CF76" s="488"/>
      <c r="CG76" s="488"/>
      <c r="CH76" s="488"/>
      <c r="CI76" s="488"/>
      <c r="CJ76" s="488"/>
      <c r="CK76" s="488"/>
      <c r="CL76" s="488"/>
      <c r="CM76" s="488"/>
      <c r="CN76" s="488"/>
      <c r="CO76" s="488"/>
      <c r="CP76" s="488"/>
      <c r="CQ76" s="488"/>
      <c r="CR76" s="488"/>
      <c r="CS76" s="488"/>
      <c r="CT76" s="488"/>
      <c r="CU76" s="488"/>
      <c r="CV76" s="488"/>
      <c r="CW76" s="488"/>
      <c r="CX76" s="488"/>
      <c r="CY76" s="488"/>
      <c r="CZ76" s="488"/>
      <c r="DA76" s="488"/>
      <c r="DB76" s="488"/>
      <c r="DC76" s="488"/>
      <c r="DD76" s="488"/>
      <c r="DE76" s="488"/>
      <c r="DF76" s="488"/>
      <c r="DG76" s="488"/>
      <c r="DH76" s="488"/>
      <c r="DI76" s="488"/>
      <c r="DJ76" s="488"/>
      <c r="DK76" s="488"/>
      <c r="DL76" s="488"/>
      <c r="DM76" s="488"/>
      <c r="DN76" s="488"/>
      <c r="DO76" s="488"/>
      <c r="DP76" s="488"/>
      <c r="DQ76" s="488"/>
      <c r="DR76" s="488"/>
      <c r="DS76" s="488"/>
      <c r="DT76" s="488"/>
      <c r="DU76" s="488"/>
      <c r="DV76" s="488"/>
      <c r="DW76" s="488"/>
      <c r="DX76" s="488"/>
      <c r="DY76" s="488"/>
      <c r="DZ76" s="488"/>
      <c r="EA76" s="488"/>
      <c r="EB76" s="488"/>
      <c r="EC76" s="488"/>
      <c r="ED76" s="488"/>
      <c r="EE76" s="488"/>
      <c r="EF76" s="488"/>
      <c r="EG76" s="488"/>
      <c r="EH76" s="488"/>
      <c r="EI76" s="488"/>
      <c r="EJ76" s="488"/>
      <c r="EK76" s="488"/>
      <c r="EL76" s="488"/>
      <c r="EM76" s="488"/>
      <c r="EN76" s="488"/>
      <c r="EO76" s="488"/>
      <c r="EP76" s="488"/>
      <c r="EQ76" s="488"/>
      <c r="ER76" s="488"/>
      <c r="ES76" s="488"/>
      <c r="ET76" s="488"/>
      <c r="EU76" s="488"/>
      <c r="EV76" s="488"/>
      <c r="EW76" s="488"/>
      <c r="EX76" s="488"/>
      <c r="EY76" s="488"/>
      <c r="EZ76" s="488"/>
      <c r="FA76" s="488"/>
      <c r="FB76" s="488"/>
      <c r="FC76" s="488"/>
      <c r="FD76" s="488"/>
      <c r="FE76" s="488"/>
      <c r="FF76" s="488"/>
      <c r="FG76" s="488"/>
      <c r="FH76" s="488"/>
    </row>
    <row r="77" spans="1:164" ht="12.75" hidden="1" customHeight="1" x14ac:dyDescent="0.25">
      <c r="A77" t="str">
        <f>Nutrients!B76</f>
        <v>Soybean Meal, Expelled</v>
      </c>
      <c r="B77" s="99"/>
      <c r="C77" s="99"/>
      <c r="D77" s="99"/>
      <c r="E77" s="99"/>
      <c r="F77" s="99"/>
      <c r="G77" s="99"/>
      <c r="H77" s="99"/>
      <c r="I77" s="99"/>
      <c r="J77" s="99"/>
      <c r="K77" s="99"/>
      <c r="L77" s="99"/>
      <c r="M77" s="99"/>
      <c r="N77" s="99"/>
      <c r="O77" s="10"/>
      <c r="P77" s="99"/>
      <c r="Q77" s="99"/>
      <c r="R77" s="99"/>
      <c r="S77" s="99"/>
      <c r="T77" s="99"/>
      <c r="U77" s="99"/>
      <c r="W77" s="99"/>
      <c r="X77" s="99"/>
      <c r="Y77" s="99"/>
      <c r="Z77" s="99"/>
      <c r="AA77" s="99"/>
      <c r="AB77" s="99"/>
      <c r="AD77" s="99"/>
      <c r="AE77" s="99"/>
      <c r="AF77" s="99"/>
      <c r="AG77" s="99"/>
      <c r="AH77" s="99"/>
      <c r="AI77" s="99"/>
      <c r="AK77" s="99"/>
      <c r="AL77" s="99"/>
      <c r="AM77" s="99"/>
      <c r="AN77" s="99"/>
      <c r="AO77" s="99"/>
      <c r="AP77" s="99"/>
      <c r="AR77" s="99"/>
      <c r="AS77" s="99"/>
      <c r="AT77" s="99"/>
      <c r="AU77" s="99"/>
      <c r="AV77" s="99"/>
      <c r="AW77" s="99"/>
      <c r="AY77" s="488"/>
      <c r="AZ77" s="488"/>
      <c r="BA77" s="488"/>
      <c r="BB77" s="488"/>
      <c r="BC77" s="488"/>
      <c r="BD77" s="488"/>
      <c r="BE77" s="488"/>
      <c r="BF77" s="488"/>
      <c r="BG77" s="488"/>
      <c r="BH77" s="488"/>
      <c r="BI77" s="488"/>
      <c r="BJ77" s="488"/>
      <c r="BK77" s="488"/>
      <c r="BL77" s="488"/>
      <c r="BM77" s="488"/>
      <c r="BN77" s="488"/>
      <c r="BO77" s="488"/>
      <c r="BP77" s="488"/>
      <c r="BQ77" s="488"/>
      <c r="BR77" s="488"/>
      <c r="BS77" s="488"/>
      <c r="BT77" s="488"/>
      <c r="BU77" s="488"/>
      <c r="BV77" s="488"/>
      <c r="BW77" s="488"/>
      <c r="BX77" s="488"/>
      <c r="BY77" s="488"/>
      <c r="BZ77" s="488"/>
      <c r="CA77" s="488"/>
      <c r="CB77" s="488"/>
      <c r="CC77" s="488"/>
      <c r="CD77" s="488"/>
      <c r="CE77" s="488"/>
      <c r="CF77" s="488"/>
      <c r="CG77" s="488"/>
      <c r="CH77" s="488"/>
      <c r="CI77" s="488"/>
      <c r="CJ77" s="488"/>
      <c r="CK77" s="488"/>
      <c r="CL77" s="488"/>
      <c r="CM77" s="488"/>
      <c r="CN77" s="488"/>
      <c r="CO77" s="488"/>
      <c r="CP77" s="488"/>
      <c r="CQ77" s="488"/>
      <c r="CR77" s="488"/>
      <c r="CS77" s="488"/>
      <c r="CT77" s="488"/>
      <c r="CU77" s="488"/>
      <c r="CV77" s="488"/>
      <c r="CW77" s="488"/>
      <c r="CX77" s="488"/>
      <c r="CY77" s="488"/>
      <c r="CZ77" s="488"/>
      <c r="DA77" s="488"/>
      <c r="DB77" s="488"/>
      <c r="DC77" s="488"/>
      <c r="DD77" s="488"/>
      <c r="DE77" s="488"/>
      <c r="DF77" s="488"/>
      <c r="DG77" s="488"/>
      <c r="DH77" s="488"/>
      <c r="DI77" s="488"/>
      <c r="DJ77" s="488"/>
      <c r="DK77" s="488"/>
      <c r="DL77" s="488"/>
      <c r="DM77" s="488"/>
      <c r="DN77" s="488"/>
      <c r="DO77" s="488"/>
      <c r="DP77" s="488"/>
      <c r="DQ77" s="488"/>
      <c r="DR77" s="488"/>
      <c r="DS77" s="488"/>
      <c r="DT77" s="488"/>
      <c r="DU77" s="488"/>
      <c r="DV77" s="488"/>
      <c r="DW77" s="488"/>
      <c r="DX77" s="488"/>
      <c r="DY77" s="488"/>
      <c r="DZ77" s="488"/>
      <c r="EA77" s="488"/>
      <c r="EB77" s="488"/>
      <c r="EC77" s="488"/>
      <c r="ED77" s="488"/>
      <c r="EE77" s="488"/>
      <c r="EF77" s="488"/>
      <c r="EG77" s="488"/>
      <c r="EH77" s="488"/>
      <c r="EI77" s="488"/>
      <c r="EJ77" s="488"/>
      <c r="EK77" s="488"/>
      <c r="EL77" s="488"/>
      <c r="EM77" s="488"/>
      <c r="EN77" s="488"/>
      <c r="EO77" s="488"/>
      <c r="EP77" s="488"/>
      <c r="EQ77" s="488"/>
      <c r="ER77" s="488"/>
      <c r="ES77" s="488"/>
      <c r="ET77" s="488"/>
      <c r="EU77" s="488"/>
      <c r="EV77" s="488"/>
      <c r="EW77" s="488"/>
      <c r="EX77" s="488"/>
      <c r="EY77" s="488"/>
      <c r="EZ77" s="488"/>
      <c r="FA77" s="488"/>
      <c r="FB77" s="488"/>
      <c r="FC77" s="488"/>
      <c r="FD77" s="488"/>
      <c r="FE77" s="488"/>
      <c r="FF77" s="488"/>
      <c r="FG77" s="488"/>
      <c r="FH77" s="488"/>
    </row>
    <row r="78" spans="1:164" ht="12.75" hidden="1" customHeight="1" x14ac:dyDescent="0.25">
      <c r="A78" t="str">
        <f>Nutrients!B77</f>
        <v>Soybean Meal, Dehulled, Expelled</v>
      </c>
      <c r="B78" s="99"/>
      <c r="C78" s="99"/>
      <c r="D78" s="99"/>
      <c r="E78" s="99"/>
      <c r="F78" s="99"/>
      <c r="G78" s="99"/>
      <c r="H78" s="99"/>
      <c r="I78" s="99"/>
      <c r="J78" s="99"/>
      <c r="K78" s="99"/>
      <c r="L78" s="99"/>
      <c r="M78" s="99"/>
      <c r="N78" s="99"/>
      <c r="O78" s="10"/>
      <c r="P78" s="99"/>
      <c r="Q78" s="99"/>
      <c r="R78" s="99"/>
      <c r="S78" s="99"/>
      <c r="T78" s="99"/>
      <c r="U78" s="99"/>
      <c r="W78" s="99"/>
      <c r="X78" s="99"/>
      <c r="Y78" s="99"/>
      <c r="Z78" s="99"/>
      <c r="AA78" s="99"/>
      <c r="AB78" s="99"/>
      <c r="AD78" s="99"/>
      <c r="AE78" s="99"/>
      <c r="AF78" s="99"/>
      <c r="AG78" s="99"/>
      <c r="AH78" s="99"/>
      <c r="AI78" s="99"/>
      <c r="AK78" s="99"/>
      <c r="AL78" s="99"/>
      <c r="AM78" s="99"/>
      <c r="AN78" s="99"/>
      <c r="AO78" s="99"/>
      <c r="AP78" s="99"/>
      <c r="AR78" s="99"/>
      <c r="AS78" s="99"/>
      <c r="AT78" s="99"/>
      <c r="AU78" s="99"/>
      <c r="AV78" s="99"/>
      <c r="AW78" s="99"/>
      <c r="AY78" s="488"/>
      <c r="AZ78" s="488"/>
      <c r="BA78" s="488"/>
      <c r="BB78" s="488"/>
      <c r="BC78" s="488"/>
      <c r="BD78" s="488"/>
      <c r="BE78" s="488"/>
      <c r="BF78" s="488"/>
      <c r="BG78" s="488"/>
      <c r="BH78" s="488"/>
      <c r="BI78" s="488"/>
      <c r="BJ78" s="488"/>
      <c r="BK78" s="488"/>
      <c r="BL78" s="488"/>
      <c r="BM78" s="488"/>
      <c r="BN78" s="488"/>
      <c r="BO78" s="488"/>
      <c r="BP78" s="488"/>
      <c r="BQ78" s="488"/>
      <c r="BR78" s="488"/>
      <c r="BS78" s="488"/>
      <c r="BT78" s="488"/>
      <c r="BU78" s="488"/>
      <c r="BV78" s="488"/>
      <c r="BW78" s="488"/>
      <c r="BX78" s="488"/>
      <c r="BY78" s="488"/>
      <c r="BZ78" s="488"/>
      <c r="CA78" s="488"/>
      <c r="CB78" s="488"/>
      <c r="CC78" s="488"/>
      <c r="CD78" s="488"/>
      <c r="CE78" s="488"/>
      <c r="CF78" s="488"/>
      <c r="CG78" s="488"/>
      <c r="CH78" s="488"/>
      <c r="CI78" s="488"/>
      <c r="CJ78" s="488"/>
      <c r="CK78" s="488"/>
      <c r="CL78" s="488"/>
      <c r="CM78" s="488"/>
      <c r="CN78" s="488"/>
      <c r="CO78" s="488"/>
      <c r="CP78" s="488"/>
      <c r="CQ78" s="488"/>
      <c r="CR78" s="488"/>
      <c r="CS78" s="488"/>
      <c r="CT78" s="488"/>
      <c r="CU78" s="488"/>
      <c r="CV78" s="488"/>
      <c r="CW78" s="488"/>
      <c r="CX78" s="488"/>
      <c r="CY78" s="488"/>
      <c r="CZ78" s="488"/>
      <c r="DA78" s="488"/>
      <c r="DB78" s="488"/>
      <c r="DC78" s="488"/>
      <c r="DD78" s="488"/>
      <c r="DE78" s="488"/>
      <c r="DF78" s="488"/>
      <c r="DG78" s="488"/>
      <c r="DH78" s="488"/>
      <c r="DI78" s="488"/>
      <c r="DJ78" s="488"/>
      <c r="DK78" s="488"/>
      <c r="DL78" s="488"/>
      <c r="DM78" s="488"/>
      <c r="DN78" s="488"/>
      <c r="DO78" s="488"/>
      <c r="DP78" s="488"/>
      <c r="DQ78" s="488"/>
      <c r="DR78" s="488"/>
      <c r="DS78" s="488"/>
      <c r="DT78" s="488"/>
      <c r="DU78" s="488"/>
      <c r="DV78" s="488"/>
      <c r="DW78" s="488"/>
      <c r="DX78" s="488"/>
      <c r="DY78" s="488"/>
      <c r="DZ78" s="488"/>
      <c r="EA78" s="488"/>
      <c r="EB78" s="488"/>
      <c r="EC78" s="488"/>
      <c r="ED78" s="488"/>
      <c r="EE78" s="488"/>
      <c r="EF78" s="488"/>
      <c r="EG78" s="488"/>
      <c r="EH78" s="488"/>
      <c r="EI78" s="488"/>
      <c r="EJ78" s="488"/>
      <c r="EK78" s="488"/>
      <c r="EL78" s="488"/>
      <c r="EM78" s="488"/>
      <c r="EN78" s="488"/>
      <c r="EO78" s="488"/>
      <c r="EP78" s="488"/>
      <c r="EQ78" s="488"/>
      <c r="ER78" s="488"/>
      <c r="ES78" s="488"/>
      <c r="ET78" s="488"/>
      <c r="EU78" s="488"/>
      <c r="EV78" s="488"/>
      <c r="EW78" s="488"/>
      <c r="EX78" s="488"/>
      <c r="EY78" s="488"/>
      <c r="EZ78" s="488"/>
      <c r="FA78" s="488"/>
      <c r="FB78" s="488"/>
      <c r="FC78" s="488"/>
      <c r="FD78" s="488"/>
      <c r="FE78" s="488"/>
      <c r="FF78" s="488"/>
      <c r="FG78" s="488"/>
      <c r="FH78" s="488"/>
    </row>
    <row r="79" spans="1:164" ht="12.75" hidden="1" customHeight="1" x14ac:dyDescent="0.25">
      <c r="A79" t="str">
        <f>Nutrients!B78</f>
        <v>Soybean Meal, Solvent Extracted</v>
      </c>
      <c r="B79" s="99"/>
      <c r="C79" s="99"/>
      <c r="D79" s="99"/>
      <c r="E79" s="99"/>
      <c r="F79" s="99"/>
      <c r="G79" s="99"/>
      <c r="H79" s="99"/>
      <c r="I79" s="99"/>
      <c r="J79" s="99"/>
      <c r="K79" s="99"/>
      <c r="L79" s="99"/>
      <c r="M79" s="99"/>
      <c r="N79" s="99"/>
      <c r="O79" s="10"/>
      <c r="P79" s="99"/>
      <c r="Q79" s="99"/>
      <c r="R79" s="99"/>
      <c r="S79" s="99"/>
      <c r="T79" s="99"/>
      <c r="U79" s="99"/>
      <c r="W79" s="99"/>
      <c r="X79" s="99"/>
      <c r="Y79" s="99"/>
      <c r="Z79" s="99"/>
      <c r="AA79" s="99"/>
      <c r="AB79" s="99"/>
      <c r="AD79" s="99"/>
      <c r="AE79" s="99"/>
      <c r="AF79" s="99"/>
      <c r="AG79" s="99"/>
      <c r="AH79" s="99"/>
      <c r="AI79" s="99"/>
      <c r="AK79" s="99"/>
      <c r="AL79" s="99"/>
      <c r="AM79" s="99"/>
      <c r="AN79" s="99"/>
      <c r="AO79" s="99"/>
      <c r="AP79" s="99"/>
      <c r="AR79" s="99"/>
      <c r="AS79" s="99"/>
      <c r="AT79" s="99"/>
      <c r="AU79" s="99"/>
      <c r="AV79" s="99"/>
      <c r="AW79" s="99"/>
      <c r="AY79" s="488"/>
      <c r="AZ79" s="488"/>
      <c r="BA79" s="488"/>
      <c r="BB79" s="488"/>
      <c r="BC79" s="488"/>
      <c r="BD79" s="488"/>
      <c r="BE79" s="488"/>
      <c r="BF79" s="488"/>
      <c r="BG79" s="488"/>
      <c r="BH79" s="488"/>
      <c r="BI79" s="488"/>
      <c r="BJ79" s="488"/>
      <c r="BK79" s="488"/>
      <c r="BL79" s="488"/>
      <c r="BM79" s="488"/>
      <c r="BN79" s="488"/>
      <c r="BO79" s="488"/>
      <c r="BP79" s="488"/>
      <c r="BQ79" s="488"/>
      <c r="BR79" s="488"/>
      <c r="BS79" s="488"/>
      <c r="BT79" s="488"/>
      <c r="BU79" s="488"/>
      <c r="BV79" s="488"/>
      <c r="BW79" s="488"/>
      <c r="BX79" s="488"/>
      <c r="BY79" s="488"/>
      <c r="BZ79" s="488"/>
      <c r="CA79" s="488"/>
      <c r="CB79" s="488"/>
      <c r="CC79" s="488"/>
      <c r="CD79" s="488"/>
      <c r="CE79" s="488"/>
      <c r="CF79" s="488"/>
      <c r="CG79" s="488"/>
      <c r="CH79" s="488"/>
      <c r="CI79" s="488"/>
      <c r="CJ79" s="488"/>
      <c r="CK79" s="488"/>
      <c r="CL79" s="488"/>
      <c r="CM79" s="488"/>
      <c r="CN79" s="488"/>
      <c r="CO79" s="488"/>
      <c r="CP79" s="488"/>
      <c r="CQ79" s="488"/>
      <c r="CR79" s="488"/>
      <c r="CS79" s="488"/>
      <c r="CT79" s="488"/>
      <c r="CU79" s="488"/>
      <c r="CV79" s="488"/>
      <c r="CW79" s="488"/>
      <c r="CX79" s="488"/>
      <c r="CY79" s="488"/>
      <c r="CZ79" s="488"/>
      <c r="DA79" s="488"/>
      <c r="DB79" s="488"/>
      <c r="DC79" s="488"/>
      <c r="DD79" s="488"/>
      <c r="DE79" s="488"/>
      <c r="DF79" s="488"/>
      <c r="DG79" s="488"/>
      <c r="DH79" s="488"/>
      <c r="DI79" s="488"/>
      <c r="DJ79" s="488"/>
      <c r="DK79" s="488"/>
      <c r="DL79" s="488"/>
      <c r="DM79" s="488"/>
      <c r="DN79" s="488"/>
      <c r="DO79" s="488"/>
      <c r="DP79" s="488"/>
      <c r="DQ79" s="488"/>
      <c r="DR79" s="488"/>
      <c r="DS79" s="488"/>
      <c r="DT79" s="488"/>
      <c r="DU79" s="488"/>
      <c r="DV79" s="488"/>
      <c r="DW79" s="488"/>
      <c r="DX79" s="488"/>
      <c r="DY79" s="488"/>
      <c r="DZ79" s="488"/>
      <c r="EA79" s="488"/>
      <c r="EB79" s="488"/>
      <c r="EC79" s="488"/>
      <c r="ED79" s="488"/>
      <c r="EE79" s="488"/>
      <c r="EF79" s="488"/>
      <c r="EG79" s="488"/>
      <c r="EH79" s="488"/>
      <c r="EI79" s="488"/>
      <c r="EJ79" s="488"/>
      <c r="EK79" s="488"/>
      <c r="EL79" s="488"/>
      <c r="EM79" s="488"/>
      <c r="EN79" s="488"/>
      <c r="EO79" s="488"/>
      <c r="EP79" s="488"/>
      <c r="EQ79" s="488"/>
      <c r="ER79" s="488"/>
      <c r="ES79" s="488"/>
      <c r="ET79" s="488"/>
      <c r="EU79" s="488"/>
      <c r="EV79" s="488"/>
      <c r="EW79" s="488"/>
      <c r="EX79" s="488"/>
      <c r="EY79" s="488"/>
      <c r="EZ79" s="488"/>
      <c r="FA79" s="488"/>
      <c r="FB79" s="488"/>
      <c r="FC79" s="488"/>
      <c r="FD79" s="488"/>
      <c r="FE79" s="488"/>
      <c r="FF79" s="488"/>
      <c r="FG79" s="488"/>
      <c r="FH79" s="488"/>
    </row>
    <row r="80" spans="1:164" ht="12.75" hidden="1" customHeight="1" x14ac:dyDescent="0.25">
      <c r="A80" t="str">
        <f>Nutrients!B79</f>
        <v>Soybean Meal, Dehull, Sol Extr</v>
      </c>
      <c r="B80" s="99"/>
      <c r="C80" s="99"/>
      <c r="D80" s="99"/>
      <c r="E80" s="99"/>
      <c r="F80" s="99"/>
      <c r="G80" s="99"/>
      <c r="H80" s="99"/>
      <c r="I80" s="99"/>
      <c r="J80" s="99"/>
      <c r="K80" s="99"/>
      <c r="L80" s="99"/>
      <c r="M80" s="99"/>
      <c r="N80" s="99"/>
      <c r="O80" s="10"/>
      <c r="P80" s="99"/>
      <c r="Q80" s="99"/>
      <c r="R80" s="99"/>
      <c r="S80" s="99"/>
      <c r="T80" s="99"/>
      <c r="U80" s="99"/>
      <c r="W80" s="99"/>
      <c r="X80" s="99"/>
      <c r="Y80" s="99"/>
      <c r="Z80" s="99"/>
      <c r="AA80" s="99"/>
      <c r="AB80" s="99"/>
      <c r="AD80" s="99"/>
      <c r="AE80" s="99"/>
      <c r="AF80" s="99"/>
      <c r="AG80" s="99"/>
      <c r="AH80" s="99"/>
      <c r="AI80" s="99"/>
      <c r="AK80" s="99"/>
      <c r="AL80" s="99"/>
      <c r="AM80" s="99"/>
      <c r="AN80" s="99"/>
      <c r="AO80" s="99"/>
      <c r="AP80" s="99"/>
      <c r="AR80" s="99"/>
      <c r="AS80" s="99"/>
      <c r="AT80" s="99"/>
      <c r="AU80" s="99"/>
      <c r="AV80" s="99"/>
      <c r="AW80" s="99"/>
      <c r="AY80" s="488"/>
      <c r="AZ80" s="488"/>
      <c r="BA80" s="488"/>
      <c r="BB80" s="488"/>
      <c r="BC80" s="488"/>
      <c r="BD80" s="488"/>
      <c r="BE80" s="488"/>
      <c r="BF80" s="488"/>
      <c r="BG80" s="488"/>
      <c r="BH80" s="488"/>
      <c r="BI80" s="488"/>
      <c r="BJ80" s="488"/>
      <c r="BK80" s="488"/>
      <c r="BL80" s="488"/>
      <c r="BM80" s="488"/>
      <c r="BN80" s="488"/>
      <c r="BO80" s="488"/>
      <c r="BP80" s="488"/>
      <c r="BQ80" s="488"/>
      <c r="BR80" s="488"/>
      <c r="BS80" s="488"/>
      <c r="BT80" s="488"/>
      <c r="BU80" s="488"/>
      <c r="BV80" s="488"/>
      <c r="BW80" s="488"/>
      <c r="BX80" s="488"/>
      <c r="BY80" s="488"/>
      <c r="BZ80" s="488"/>
      <c r="CA80" s="488"/>
      <c r="CB80" s="488"/>
      <c r="CC80" s="488"/>
      <c r="CD80" s="488"/>
      <c r="CE80" s="488"/>
      <c r="CF80" s="488"/>
      <c r="CG80" s="488"/>
      <c r="CH80" s="488"/>
      <c r="CI80" s="488"/>
      <c r="CJ80" s="488"/>
      <c r="CK80" s="488"/>
      <c r="CL80" s="488"/>
      <c r="CM80" s="488"/>
      <c r="CN80" s="488"/>
      <c r="CO80" s="488"/>
      <c r="CP80" s="488"/>
      <c r="CQ80" s="488"/>
      <c r="CR80" s="488"/>
      <c r="CS80" s="488"/>
      <c r="CT80" s="488"/>
      <c r="CU80" s="488"/>
      <c r="CV80" s="488"/>
      <c r="CW80" s="488"/>
      <c r="CX80" s="488"/>
      <c r="CY80" s="488"/>
      <c r="CZ80" s="488"/>
      <c r="DA80" s="488"/>
      <c r="DB80" s="488"/>
      <c r="DC80" s="488"/>
      <c r="DD80" s="488"/>
      <c r="DE80" s="488"/>
      <c r="DF80" s="488"/>
      <c r="DG80" s="488"/>
      <c r="DH80" s="488"/>
      <c r="DI80" s="488"/>
      <c r="DJ80" s="488"/>
      <c r="DK80" s="488"/>
      <c r="DL80" s="488"/>
      <c r="DM80" s="488"/>
      <c r="DN80" s="488"/>
      <c r="DO80" s="488"/>
      <c r="DP80" s="488"/>
      <c r="DQ80" s="488"/>
      <c r="DR80" s="488"/>
      <c r="DS80" s="488"/>
      <c r="DT80" s="488"/>
      <c r="DU80" s="488"/>
      <c r="DV80" s="488"/>
      <c r="DW80" s="488"/>
      <c r="DX80" s="488"/>
      <c r="DY80" s="488"/>
      <c r="DZ80" s="488"/>
      <c r="EA80" s="488"/>
      <c r="EB80" s="488"/>
      <c r="EC80" s="488"/>
      <c r="ED80" s="488"/>
      <c r="EE80" s="488"/>
      <c r="EF80" s="488"/>
      <c r="EG80" s="488"/>
      <c r="EH80" s="488"/>
      <c r="EI80" s="488"/>
      <c r="EJ80" s="488"/>
      <c r="EK80" s="488"/>
      <c r="EL80" s="488"/>
      <c r="EM80" s="488"/>
      <c r="EN80" s="488"/>
      <c r="EO80" s="488"/>
      <c r="EP80" s="488"/>
      <c r="EQ80" s="488"/>
      <c r="ER80" s="488"/>
      <c r="ES80" s="488"/>
      <c r="ET80" s="488"/>
      <c r="EU80" s="488"/>
      <c r="EV80" s="488"/>
      <c r="EW80" s="488"/>
      <c r="EX80" s="488"/>
      <c r="EY80" s="488"/>
      <c r="EZ80" s="488"/>
      <c r="FA80" s="488"/>
      <c r="FB80" s="488"/>
      <c r="FC80" s="488"/>
      <c r="FD80" s="488"/>
      <c r="FE80" s="488"/>
      <c r="FF80" s="488"/>
      <c r="FG80" s="488"/>
      <c r="FH80" s="488"/>
    </row>
    <row r="81" spans="1:164" ht="12.75" hidden="1" customHeight="1" x14ac:dyDescent="0.25">
      <c r="A81" t="str">
        <f>Nutrients!B80</f>
        <v>Soybean Meal, High Prot, Dehull, Solv Extr</v>
      </c>
      <c r="B81" s="99"/>
      <c r="C81" s="99"/>
      <c r="D81" s="99"/>
      <c r="E81" s="99"/>
      <c r="F81" s="99"/>
      <c r="G81" s="99"/>
      <c r="H81" s="99"/>
      <c r="I81" s="99"/>
      <c r="J81" s="99"/>
      <c r="K81" s="99"/>
      <c r="L81" s="99"/>
      <c r="M81" s="99"/>
      <c r="N81" s="99"/>
      <c r="O81" s="10"/>
      <c r="P81" s="99"/>
      <c r="Q81" s="99"/>
      <c r="R81" s="99"/>
      <c r="S81" s="99"/>
      <c r="T81" s="99"/>
      <c r="U81" s="99"/>
      <c r="W81" s="99"/>
      <c r="X81" s="99"/>
      <c r="Y81" s="99"/>
      <c r="Z81" s="99"/>
      <c r="AA81" s="99"/>
      <c r="AB81" s="99"/>
      <c r="AD81" s="99"/>
      <c r="AE81" s="99"/>
      <c r="AF81" s="99"/>
      <c r="AG81" s="99"/>
      <c r="AH81" s="99"/>
      <c r="AI81" s="99"/>
      <c r="AK81" s="99"/>
      <c r="AL81" s="99"/>
      <c r="AM81" s="99"/>
      <c r="AN81" s="99"/>
      <c r="AO81" s="99"/>
      <c r="AP81" s="99"/>
      <c r="AR81" s="99"/>
      <c r="AS81" s="99"/>
      <c r="AT81" s="99"/>
      <c r="AU81" s="99"/>
      <c r="AV81" s="99"/>
      <c r="AW81" s="99"/>
      <c r="AY81" s="488"/>
      <c r="AZ81" s="488"/>
      <c r="BA81" s="488"/>
      <c r="BB81" s="488"/>
      <c r="BC81" s="488"/>
      <c r="BD81" s="488"/>
      <c r="BE81" s="488"/>
      <c r="BF81" s="488"/>
      <c r="BG81" s="488"/>
      <c r="BH81" s="488"/>
      <c r="BI81" s="488"/>
      <c r="BJ81" s="488"/>
      <c r="BK81" s="488"/>
      <c r="BL81" s="488"/>
      <c r="BM81" s="488"/>
      <c r="BN81" s="488"/>
      <c r="BO81" s="488"/>
      <c r="BP81" s="488"/>
      <c r="BQ81" s="488"/>
      <c r="BR81" s="488"/>
      <c r="BS81" s="488"/>
      <c r="BT81" s="488"/>
      <c r="BU81" s="488"/>
      <c r="BV81" s="488"/>
      <c r="BW81" s="488"/>
      <c r="BX81" s="488"/>
      <c r="BY81" s="488"/>
      <c r="BZ81" s="488"/>
      <c r="CA81" s="488"/>
      <c r="CB81" s="488"/>
      <c r="CC81" s="488"/>
      <c r="CD81" s="488"/>
      <c r="CE81" s="488"/>
      <c r="CF81" s="488"/>
      <c r="CG81" s="488"/>
      <c r="CH81" s="488"/>
      <c r="CI81" s="488"/>
      <c r="CJ81" s="488"/>
      <c r="CK81" s="488"/>
      <c r="CL81" s="488"/>
      <c r="CM81" s="488"/>
      <c r="CN81" s="488"/>
      <c r="CO81" s="488"/>
      <c r="CP81" s="488"/>
      <c r="CQ81" s="488"/>
      <c r="CR81" s="488"/>
      <c r="CS81" s="488"/>
      <c r="CT81" s="488"/>
      <c r="CU81" s="488"/>
      <c r="CV81" s="488"/>
      <c r="CW81" s="488"/>
      <c r="CX81" s="488"/>
      <c r="CY81" s="488"/>
      <c r="CZ81" s="488"/>
      <c r="DA81" s="488"/>
      <c r="DB81" s="488"/>
      <c r="DC81" s="488"/>
      <c r="DD81" s="488"/>
      <c r="DE81" s="488"/>
      <c r="DF81" s="488"/>
      <c r="DG81" s="488"/>
      <c r="DH81" s="488"/>
      <c r="DI81" s="488"/>
      <c r="DJ81" s="488"/>
      <c r="DK81" s="488"/>
      <c r="DL81" s="488"/>
      <c r="DM81" s="488"/>
      <c r="DN81" s="488"/>
      <c r="DO81" s="488"/>
      <c r="DP81" s="488"/>
      <c r="DQ81" s="488"/>
      <c r="DR81" s="488"/>
      <c r="DS81" s="488"/>
      <c r="DT81" s="488"/>
      <c r="DU81" s="488"/>
      <c r="DV81" s="488"/>
      <c r="DW81" s="488"/>
      <c r="DX81" s="488"/>
      <c r="DY81" s="488"/>
      <c r="DZ81" s="488"/>
      <c r="EA81" s="488"/>
      <c r="EB81" s="488"/>
      <c r="EC81" s="488"/>
      <c r="ED81" s="488"/>
      <c r="EE81" s="488"/>
      <c r="EF81" s="488"/>
      <c r="EG81" s="488"/>
      <c r="EH81" s="488"/>
      <c r="EI81" s="488"/>
      <c r="EJ81" s="488"/>
      <c r="EK81" s="488"/>
      <c r="EL81" s="488"/>
      <c r="EM81" s="488"/>
      <c r="EN81" s="488"/>
      <c r="EO81" s="488"/>
      <c r="EP81" s="488"/>
      <c r="EQ81" s="488"/>
      <c r="ER81" s="488"/>
      <c r="ES81" s="488"/>
      <c r="ET81" s="488"/>
      <c r="EU81" s="488"/>
      <c r="EV81" s="488"/>
      <c r="EW81" s="488"/>
      <c r="EX81" s="488"/>
      <c r="EY81" s="488"/>
      <c r="EZ81" s="488"/>
      <c r="FA81" s="488"/>
      <c r="FB81" s="488"/>
      <c r="FC81" s="488"/>
      <c r="FD81" s="488"/>
      <c r="FE81" s="488"/>
      <c r="FF81" s="488"/>
      <c r="FG81" s="488"/>
      <c r="FH81" s="488"/>
    </row>
    <row r="82" spans="1:164" ht="12.75" hidden="1" customHeight="1" x14ac:dyDescent="0.25">
      <c r="A82" t="str">
        <f>Nutrients!B81</f>
        <v>Soybean Meal, Enzyme Treated</v>
      </c>
      <c r="B82" s="99"/>
      <c r="C82" s="99"/>
      <c r="D82" s="99"/>
      <c r="E82" s="99"/>
      <c r="F82" s="99"/>
      <c r="G82" s="99"/>
      <c r="H82" s="99"/>
      <c r="I82" s="99"/>
      <c r="J82" s="99"/>
      <c r="K82" s="99"/>
      <c r="L82" s="99"/>
      <c r="M82" s="99"/>
      <c r="N82" s="99"/>
      <c r="O82" s="10"/>
      <c r="P82" s="99"/>
      <c r="Q82" s="99"/>
      <c r="R82" s="99"/>
      <c r="S82" s="99"/>
      <c r="T82" s="99"/>
      <c r="U82" s="99"/>
      <c r="W82" s="99"/>
      <c r="X82" s="99"/>
      <c r="Y82" s="99"/>
      <c r="Z82" s="99"/>
      <c r="AA82" s="99"/>
      <c r="AB82" s="99"/>
      <c r="AD82" s="99"/>
      <c r="AE82" s="99"/>
      <c r="AF82" s="99"/>
      <c r="AG82" s="99"/>
      <c r="AH82" s="99"/>
      <c r="AI82" s="99"/>
      <c r="AK82" s="99"/>
      <c r="AL82" s="99"/>
      <c r="AM82" s="99"/>
      <c r="AN82" s="99"/>
      <c r="AO82" s="99"/>
      <c r="AP82" s="99"/>
      <c r="AR82" s="99"/>
      <c r="AS82" s="99"/>
      <c r="AT82" s="99"/>
      <c r="AU82" s="99"/>
      <c r="AV82" s="99"/>
      <c r="AW82" s="99"/>
      <c r="AY82" s="488"/>
      <c r="AZ82" s="488"/>
      <c r="BA82" s="488"/>
      <c r="BB82" s="488"/>
      <c r="BC82" s="488"/>
      <c r="BD82" s="488"/>
      <c r="BE82" s="488"/>
      <c r="BF82" s="488"/>
      <c r="BG82" s="488"/>
      <c r="BH82" s="488"/>
      <c r="BI82" s="488"/>
      <c r="BJ82" s="488"/>
      <c r="BK82" s="488"/>
      <c r="BL82" s="488"/>
      <c r="BM82" s="488"/>
      <c r="BN82" s="488"/>
      <c r="BO82" s="488"/>
      <c r="BP82" s="488"/>
      <c r="BQ82" s="488"/>
      <c r="BR82" s="488"/>
      <c r="BS82" s="488"/>
      <c r="BT82" s="488"/>
      <c r="BU82" s="488"/>
      <c r="BV82" s="488"/>
      <c r="BW82" s="488"/>
      <c r="BX82" s="488"/>
      <c r="BY82" s="488"/>
      <c r="BZ82" s="488"/>
      <c r="CA82" s="488"/>
      <c r="CB82" s="488"/>
      <c r="CC82" s="488"/>
      <c r="CD82" s="488"/>
      <c r="CE82" s="488"/>
      <c r="CF82" s="488"/>
      <c r="CG82" s="488"/>
      <c r="CH82" s="488"/>
      <c r="CI82" s="488"/>
      <c r="CJ82" s="488"/>
      <c r="CK82" s="488"/>
      <c r="CL82" s="488"/>
      <c r="CM82" s="488"/>
      <c r="CN82" s="488"/>
      <c r="CO82" s="488"/>
      <c r="CP82" s="488"/>
      <c r="CQ82" s="488"/>
      <c r="CR82" s="488"/>
      <c r="CS82" s="488"/>
      <c r="CT82" s="488"/>
      <c r="CU82" s="488"/>
      <c r="CV82" s="488"/>
      <c r="CW82" s="488"/>
      <c r="CX82" s="488"/>
      <c r="CY82" s="488"/>
      <c r="CZ82" s="488"/>
      <c r="DA82" s="488"/>
      <c r="DB82" s="488"/>
      <c r="DC82" s="488"/>
      <c r="DD82" s="488"/>
      <c r="DE82" s="488"/>
      <c r="DF82" s="488"/>
      <c r="DG82" s="488"/>
      <c r="DH82" s="488"/>
      <c r="DI82" s="488"/>
      <c r="DJ82" s="488"/>
      <c r="DK82" s="488"/>
      <c r="DL82" s="488"/>
      <c r="DM82" s="488"/>
      <c r="DN82" s="488"/>
      <c r="DO82" s="488"/>
      <c r="DP82" s="488"/>
      <c r="DQ82" s="488"/>
      <c r="DR82" s="488"/>
      <c r="DS82" s="488"/>
      <c r="DT82" s="488"/>
      <c r="DU82" s="488"/>
      <c r="DV82" s="488"/>
      <c r="DW82" s="488"/>
      <c r="DX82" s="488"/>
      <c r="DY82" s="488"/>
      <c r="DZ82" s="488"/>
      <c r="EA82" s="488"/>
      <c r="EB82" s="488"/>
      <c r="EC82" s="488"/>
      <c r="ED82" s="488"/>
      <c r="EE82" s="488"/>
      <c r="EF82" s="488"/>
      <c r="EG82" s="488"/>
      <c r="EH82" s="488"/>
      <c r="EI82" s="488"/>
      <c r="EJ82" s="488"/>
      <c r="EK82" s="488"/>
      <c r="EL82" s="488"/>
      <c r="EM82" s="488"/>
      <c r="EN82" s="488"/>
      <c r="EO82" s="488"/>
      <c r="EP82" s="488"/>
      <c r="EQ82" s="488"/>
      <c r="ER82" s="488"/>
      <c r="ES82" s="488"/>
      <c r="ET82" s="488"/>
      <c r="EU82" s="488"/>
      <c r="EV82" s="488"/>
      <c r="EW82" s="488"/>
      <c r="EX82" s="488"/>
      <c r="EY82" s="488"/>
      <c r="EZ82" s="488"/>
      <c r="FA82" s="488"/>
      <c r="FB82" s="488"/>
      <c r="FC82" s="488"/>
      <c r="FD82" s="488"/>
      <c r="FE82" s="488"/>
      <c r="FF82" s="488"/>
      <c r="FG82" s="488"/>
      <c r="FH82" s="488"/>
    </row>
    <row r="83" spans="1:164" ht="12.75" hidden="1" customHeight="1" x14ac:dyDescent="0.25">
      <c r="A83" t="str">
        <f>Nutrients!B82</f>
        <v>Soybean Meal, Fermented</v>
      </c>
      <c r="B83" s="99"/>
      <c r="C83" s="99"/>
      <c r="D83" s="99"/>
      <c r="E83" s="99"/>
      <c r="F83" s="99"/>
      <c r="G83" s="99"/>
      <c r="H83" s="99"/>
      <c r="I83" s="99"/>
      <c r="J83" s="99"/>
      <c r="K83" s="99"/>
      <c r="L83" s="99"/>
      <c r="M83" s="99"/>
      <c r="N83" s="99"/>
      <c r="O83" s="10"/>
      <c r="P83" s="99"/>
      <c r="Q83" s="99"/>
      <c r="R83" s="99"/>
      <c r="S83" s="99"/>
      <c r="T83" s="99"/>
      <c r="U83" s="99"/>
      <c r="W83" s="99"/>
      <c r="X83" s="99"/>
      <c r="Y83" s="99"/>
      <c r="Z83" s="99"/>
      <c r="AA83" s="99"/>
      <c r="AB83" s="99"/>
      <c r="AD83" s="99"/>
      <c r="AE83" s="99"/>
      <c r="AF83" s="99"/>
      <c r="AG83" s="99"/>
      <c r="AH83" s="99"/>
      <c r="AI83" s="99"/>
      <c r="AK83" s="99"/>
      <c r="AL83" s="99"/>
      <c r="AM83" s="99"/>
      <c r="AN83" s="99"/>
      <c r="AO83" s="99"/>
      <c r="AP83" s="99"/>
      <c r="AR83" s="99"/>
      <c r="AS83" s="99"/>
      <c r="AT83" s="99"/>
      <c r="AU83" s="99"/>
      <c r="AV83" s="99"/>
      <c r="AW83" s="99"/>
      <c r="AY83" s="488"/>
      <c r="AZ83" s="488"/>
      <c r="BA83" s="488"/>
      <c r="BB83" s="488"/>
      <c r="BC83" s="488"/>
      <c r="BD83" s="488"/>
      <c r="BE83" s="488"/>
      <c r="BF83" s="488"/>
      <c r="BG83" s="488"/>
      <c r="BH83" s="488"/>
      <c r="BI83" s="488"/>
      <c r="BJ83" s="488"/>
      <c r="BK83" s="488"/>
      <c r="BL83" s="488"/>
      <c r="BM83" s="488"/>
      <c r="BN83" s="488"/>
      <c r="BO83" s="488"/>
      <c r="BP83" s="488"/>
      <c r="BQ83" s="488"/>
      <c r="BR83" s="488"/>
      <c r="BS83" s="488"/>
      <c r="BT83" s="488"/>
      <c r="BU83" s="488"/>
      <c r="BV83" s="488"/>
      <c r="BW83" s="488"/>
      <c r="BX83" s="488"/>
      <c r="BY83" s="488"/>
      <c r="BZ83" s="488"/>
      <c r="CA83" s="488"/>
      <c r="CB83" s="488"/>
      <c r="CC83" s="488"/>
      <c r="CD83" s="488"/>
      <c r="CE83" s="488"/>
      <c r="CF83" s="488"/>
      <c r="CG83" s="488"/>
      <c r="CH83" s="488"/>
      <c r="CI83" s="488"/>
      <c r="CJ83" s="488"/>
      <c r="CK83" s="488"/>
      <c r="CL83" s="488"/>
      <c r="CM83" s="488"/>
      <c r="CN83" s="488"/>
      <c r="CO83" s="488"/>
      <c r="CP83" s="488"/>
      <c r="CQ83" s="488"/>
      <c r="CR83" s="488"/>
      <c r="CS83" s="488"/>
      <c r="CT83" s="488"/>
      <c r="CU83" s="488"/>
      <c r="CV83" s="488"/>
      <c r="CW83" s="488"/>
      <c r="CX83" s="488"/>
      <c r="CY83" s="488"/>
      <c r="CZ83" s="488"/>
      <c r="DA83" s="488"/>
      <c r="DB83" s="488"/>
      <c r="DC83" s="488"/>
      <c r="DD83" s="488"/>
      <c r="DE83" s="488"/>
      <c r="DF83" s="488"/>
      <c r="DG83" s="488"/>
      <c r="DH83" s="488"/>
      <c r="DI83" s="488"/>
      <c r="DJ83" s="488"/>
      <c r="DK83" s="488"/>
      <c r="DL83" s="488"/>
      <c r="DM83" s="488"/>
      <c r="DN83" s="488"/>
      <c r="DO83" s="488"/>
      <c r="DP83" s="488"/>
      <c r="DQ83" s="488"/>
      <c r="DR83" s="488"/>
      <c r="DS83" s="488"/>
      <c r="DT83" s="488"/>
      <c r="DU83" s="488"/>
      <c r="DV83" s="488"/>
      <c r="DW83" s="488"/>
      <c r="DX83" s="488"/>
      <c r="DY83" s="488"/>
      <c r="DZ83" s="488"/>
      <c r="EA83" s="488"/>
      <c r="EB83" s="488"/>
      <c r="EC83" s="488"/>
      <c r="ED83" s="488"/>
      <c r="EE83" s="488"/>
      <c r="EF83" s="488"/>
      <c r="EG83" s="488"/>
      <c r="EH83" s="488"/>
      <c r="EI83" s="488"/>
      <c r="EJ83" s="488"/>
      <c r="EK83" s="488"/>
      <c r="EL83" s="488"/>
      <c r="EM83" s="488"/>
      <c r="EN83" s="488"/>
      <c r="EO83" s="488"/>
      <c r="EP83" s="488"/>
      <c r="EQ83" s="488"/>
      <c r="ER83" s="488"/>
      <c r="ES83" s="488"/>
      <c r="ET83" s="488"/>
      <c r="EU83" s="488"/>
      <c r="EV83" s="488"/>
      <c r="EW83" s="488"/>
      <c r="EX83" s="488"/>
      <c r="EY83" s="488"/>
      <c r="EZ83" s="488"/>
      <c r="FA83" s="488"/>
      <c r="FB83" s="488"/>
      <c r="FC83" s="488"/>
      <c r="FD83" s="488"/>
      <c r="FE83" s="488"/>
      <c r="FF83" s="488"/>
      <c r="FG83" s="488"/>
      <c r="FH83" s="488"/>
    </row>
    <row r="84" spans="1:164" ht="12.75" hidden="1" customHeight="1" x14ac:dyDescent="0.25">
      <c r="A84" t="str">
        <f>Nutrients!B83</f>
        <v>Soybean Hulls</v>
      </c>
      <c r="B84" s="99"/>
      <c r="C84" s="99"/>
      <c r="D84" s="99"/>
      <c r="E84" s="99"/>
      <c r="F84" s="99"/>
      <c r="G84" s="99"/>
      <c r="H84" s="99"/>
      <c r="I84" s="99"/>
      <c r="J84" s="99"/>
      <c r="K84" s="99"/>
      <c r="L84" s="99"/>
      <c r="M84" s="99"/>
      <c r="N84" s="99"/>
      <c r="O84" s="10"/>
      <c r="P84" s="99"/>
      <c r="Q84" s="99"/>
      <c r="R84" s="99"/>
      <c r="S84" s="99"/>
      <c r="T84" s="99"/>
      <c r="U84" s="99"/>
      <c r="W84" s="99"/>
      <c r="X84" s="99"/>
      <c r="Y84" s="99"/>
      <c r="Z84" s="99"/>
      <c r="AA84" s="99"/>
      <c r="AB84" s="99"/>
      <c r="AD84" s="99"/>
      <c r="AE84" s="99"/>
      <c r="AF84" s="99"/>
      <c r="AG84" s="99"/>
      <c r="AH84" s="99"/>
      <c r="AI84" s="99"/>
      <c r="AK84" s="99"/>
      <c r="AL84" s="99"/>
      <c r="AM84" s="99"/>
      <c r="AN84" s="99"/>
      <c r="AO84" s="99"/>
      <c r="AP84" s="99"/>
      <c r="AR84" s="99"/>
      <c r="AS84" s="99"/>
      <c r="AT84" s="99"/>
      <c r="AU84" s="99"/>
      <c r="AV84" s="99"/>
      <c r="AW84" s="99"/>
      <c r="AY84" s="488"/>
      <c r="AZ84" s="488"/>
      <c r="BA84" s="488"/>
      <c r="BB84" s="488"/>
      <c r="BC84" s="488"/>
      <c r="BD84" s="488"/>
      <c r="BE84" s="488"/>
      <c r="BF84" s="488"/>
      <c r="BG84" s="488"/>
      <c r="BH84" s="488"/>
      <c r="BI84" s="488"/>
      <c r="BJ84" s="488"/>
      <c r="BK84" s="488"/>
      <c r="BL84" s="488"/>
      <c r="BM84" s="488"/>
      <c r="BN84" s="488"/>
      <c r="BO84" s="488"/>
      <c r="BP84" s="488"/>
      <c r="BQ84" s="488"/>
      <c r="BR84" s="488"/>
      <c r="BS84" s="488"/>
      <c r="BT84" s="488"/>
      <c r="BU84" s="488"/>
      <c r="BV84" s="488"/>
      <c r="BW84" s="488"/>
      <c r="BX84" s="488"/>
      <c r="BY84" s="488"/>
      <c r="BZ84" s="488"/>
      <c r="CA84" s="488"/>
      <c r="CB84" s="488"/>
      <c r="CC84" s="488"/>
      <c r="CD84" s="488"/>
      <c r="CE84" s="488"/>
      <c r="CF84" s="488"/>
      <c r="CG84" s="488"/>
      <c r="CH84" s="488"/>
      <c r="CI84" s="488"/>
      <c r="CJ84" s="488"/>
      <c r="CK84" s="488"/>
      <c r="CL84" s="488"/>
      <c r="CM84" s="488"/>
      <c r="CN84" s="488"/>
      <c r="CO84" s="488"/>
      <c r="CP84" s="488"/>
      <c r="CQ84" s="488"/>
      <c r="CR84" s="488"/>
      <c r="CS84" s="488"/>
      <c r="CT84" s="488"/>
      <c r="CU84" s="488"/>
      <c r="CV84" s="488"/>
      <c r="CW84" s="488"/>
      <c r="CX84" s="488"/>
      <c r="CY84" s="488"/>
      <c r="CZ84" s="488"/>
      <c r="DA84" s="488"/>
      <c r="DB84" s="488"/>
      <c r="DC84" s="488"/>
      <c r="DD84" s="488"/>
      <c r="DE84" s="488"/>
      <c r="DF84" s="488"/>
      <c r="DG84" s="488"/>
      <c r="DH84" s="488"/>
      <c r="DI84" s="488"/>
      <c r="DJ84" s="488"/>
      <c r="DK84" s="488"/>
      <c r="DL84" s="488"/>
      <c r="DM84" s="488"/>
      <c r="DN84" s="488"/>
      <c r="DO84" s="488"/>
      <c r="DP84" s="488"/>
      <c r="DQ84" s="488"/>
      <c r="DR84" s="488"/>
      <c r="DS84" s="488"/>
      <c r="DT84" s="488"/>
      <c r="DU84" s="488"/>
      <c r="DV84" s="488"/>
      <c r="DW84" s="488"/>
      <c r="DX84" s="488"/>
      <c r="DY84" s="488"/>
      <c r="DZ84" s="488"/>
      <c r="EA84" s="488"/>
      <c r="EB84" s="488"/>
      <c r="EC84" s="488"/>
      <c r="ED84" s="488"/>
      <c r="EE84" s="488"/>
      <c r="EF84" s="488"/>
      <c r="EG84" s="488"/>
      <c r="EH84" s="488"/>
      <c r="EI84" s="488"/>
      <c r="EJ84" s="488"/>
      <c r="EK84" s="488"/>
      <c r="EL84" s="488"/>
      <c r="EM84" s="488"/>
      <c r="EN84" s="488"/>
      <c r="EO84" s="488"/>
      <c r="EP84" s="488"/>
      <c r="EQ84" s="488"/>
      <c r="ER84" s="488"/>
      <c r="ES84" s="488"/>
      <c r="ET84" s="488"/>
      <c r="EU84" s="488"/>
      <c r="EV84" s="488"/>
      <c r="EW84" s="488"/>
      <c r="EX84" s="488"/>
      <c r="EY84" s="488"/>
      <c r="EZ84" s="488"/>
      <c r="FA84" s="488"/>
      <c r="FB84" s="488"/>
      <c r="FC84" s="488"/>
      <c r="FD84" s="488"/>
      <c r="FE84" s="488"/>
      <c r="FF84" s="488"/>
      <c r="FG84" s="488"/>
      <c r="FH84" s="488"/>
    </row>
    <row r="85" spans="1:164" ht="12.75" hidden="1" customHeight="1" x14ac:dyDescent="0.25">
      <c r="A85" t="str">
        <f>Nutrients!B84</f>
        <v>Soy Protein Concentrate</v>
      </c>
      <c r="B85" s="99"/>
      <c r="C85" s="99"/>
      <c r="D85" s="99"/>
      <c r="E85" s="99"/>
      <c r="F85" s="99"/>
      <c r="G85" s="99"/>
      <c r="H85" s="99"/>
      <c r="I85" s="99"/>
      <c r="J85" s="99"/>
      <c r="K85" s="99"/>
      <c r="L85" s="99"/>
      <c r="M85" s="99"/>
      <c r="N85" s="99"/>
      <c r="O85" s="10"/>
      <c r="P85" s="99"/>
      <c r="Q85" s="99"/>
      <c r="R85" s="99"/>
      <c r="S85" s="99"/>
      <c r="T85" s="99"/>
      <c r="U85" s="99"/>
      <c r="W85" s="99"/>
      <c r="X85" s="99"/>
      <c r="Y85" s="99"/>
      <c r="Z85" s="99"/>
      <c r="AA85" s="99"/>
      <c r="AB85" s="99"/>
      <c r="AD85" s="99"/>
      <c r="AE85" s="99"/>
      <c r="AF85" s="99"/>
      <c r="AG85" s="99"/>
      <c r="AH85" s="99"/>
      <c r="AI85" s="99"/>
      <c r="AK85" s="99"/>
      <c r="AL85" s="99"/>
      <c r="AM85" s="99"/>
      <c r="AN85" s="99"/>
      <c r="AO85" s="99"/>
      <c r="AP85" s="99"/>
      <c r="AR85" s="99"/>
      <c r="AS85" s="99"/>
      <c r="AT85" s="99"/>
      <c r="AU85" s="99"/>
      <c r="AV85" s="99"/>
      <c r="AW85" s="99"/>
      <c r="AY85" s="488"/>
      <c r="AZ85" s="488"/>
      <c r="BA85" s="488"/>
      <c r="BB85" s="488"/>
      <c r="BC85" s="488"/>
      <c r="BD85" s="488"/>
      <c r="BE85" s="488"/>
      <c r="BF85" s="488"/>
      <c r="BG85" s="488"/>
      <c r="BH85" s="488"/>
      <c r="BI85" s="488"/>
      <c r="BJ85" s="488"/>
      <c r="BK85" s="488"/>
      <c r="BL85" s="488"/>
      <c r="BM85" s="488"/>
      <c r="BN85" s="488"/>
      <c r="BO85" s="488"/>
      <c r="BP85" s="488"/>
      <c r="BQ85" s="488"/>
      <c r="BR85" s="488"/>
      <c r="BS85" s="488"/>
      <c r="BT85" s="488"/>
      <c r="BU85" s="488"/>
      <c r="BV85" s="488"/>
      <c r="BW85" s="488"/>
      <c r="BX85" s="488"/>
      <c r="BY85" s="488"/>
      <c r="BZ85" s="488"/>
      <c r="CA85" s="488"/>
      <c r="CB85" s="488"/>
      <c r="CC85" s="488"/>
      <c r="CD85" s="488"/>
      <c r="CE85" s="488"/>
      <c r="CF85" s="488"/>
      <c r="CG85" s="488"/>
      <c r="CH85" s="488"/>
      <c r="CI85" s="488"/>
      <c r="CJ85" s="488"/>
      <c r="CK85" s="488"/>
      <c r="CL85" s="488"/>
      <c r="CM85" s="488"/>
      <c r="CN85" s="488"/>
      <c r="CO85" s="488"/>
      <c r="CP85" s="488"/>
      <c r="CQ85" s="488"/>
      <c r="CR85" s="488"/>
      <c r="CS85" s="488"/>
      <c r="CT85" s="488"/>
      <c r="CU85" s="488"/>
      <c r="CV85" s="488"/>
      <c r="CW85" s="488"/>
      <c r="CX85" s="488"/>
      <c r="CY85" s="488"/>
      <c r="CZ85" s="488"/>
      <c r="DA85" s="488"/>
      <c r="DB85" s="488"/>
      <c r="DC85" s="488"/>
      <c r="DD85" s="488"/>
      <c r="DE85" s="488"/>
      <c r="DF85" s="488"/>
      <c r="DG85" s="488"/>
      <c r="DH85" s="488"/>
      <c r="DI85" s="488"/>
      <c r="DJ85" s="488"/>
      <c r="DK85" s="488"/>
      <c r="DL85" s="488"/>
      <c r="DM85" s="488"/>
      <c r="DN85" s="488"/>
      <c r="DO85" s="488"/>
      <c r="DP85" s="488"/>
      <c r="DQ85" s="488"/>
      <c r="DR85" s="488"/>
      <c r="DS85" s="488"/>
      <c r="DT85" s="488"/>
      <c r="DU85" s="488"/>
      <c r="DV85" s="488"/>
      <c r="DW85" s="488"/>
      <c r="DX85" s="488"/>
      <c r="DY85" s="488"/>
      <c r="DZ85" s="488"/>
      <c r="EA85" s="488"/>
      <c r="EB85" s="488"/>
      <c r="EC85" s="488"/>
      <c r="ED85" s="488"/>
      <c r="EE85" s="488"/>
      <c r="EF85" s="488"/>
      <c r="EG85" s="488"/>
      <c r="EH85" s="488"/>
      <c r="EI85" s="488"/>
      <c r="EJ85" s="488"/>
      <c r="EK85" s="488"/>
      <c r="EL85" s="488"/>
      <c r="EM85" s="488"/>
      <c r="EN85" s="488"/>
      <c r="EO85" s="488"/>
      <c r="EP85" s="488"/>
      <c r="EQ85" s="488"/>
      <c r="ER85" s="488"/>
      <c r="ES85" s="488"/>
      <c r="ET85" s="488"/>
      <c r="EU85" s="488"/>
      <c r="EV85" s="488"/>
      <c r="EW85" s="488"/>
      <c r="EX85" s="488"/>
      <c r="EY85" s="488"/>
      <c r="EZ85" s="488"/>
      <c r="FA85" s="488"/>
      <c r="FB85" s="488"/>
      <c r="FC85" s="488"/>
      <c r="FD85" s="488"/>
      <c r="FE85" s="488"/>
      <c r="FF85" s="488"/>
      <c r="FG85" s="488"/>
      <c r="FH85" s="488"/>
    </row>
    <row r="86" spans="1:164" ht="12.75" hidden="1" customHeight="1" x14ac:dyDescent="0.25">
      <c r="A86" t="str">
        <f>Nutrients!B85</f>
        <v>Soy Protein Isolate</v>
      </c>
      <c r="B86" s="99"/>
      <c r="C86" s="99"/>
      <c r="D86" s="99"/>
      <c r="E86" s="99"/>
      <c r="F86" s="99"/>
      <c r="G86" s="99"/>
      <c r="H86" s="99"/>
      <c r="I86" s="99"/>
      <c r="J86" s="99"/>
      <c r="K86" s="99"/>
      <c r="L86" s="99"/>
      <c r="M86" s="99"/>
      <c r="N86" s="99"/>
      <c r="O86" s="10"/>
      <c r="P86" s="99"/>
      <c r="Q86" s="99"/>
      <c r="R86" s="99"/>
      <c r="S86" s="99"/>
      <c r="T86" s="99"/>
      <c r="U86" s="99"/>
      <c r="W86" s="99"/>
      <c r="X86" s="99"/>
      <c r="Y86" s="99"/>
      <c r="Z86" s="99"/>
      <c r="AA86" s="99"/>
      <c r="AB86" s="99"/>
      <c r="AD86" s="99"/>
      <c r="AE86" s="99"/>
      <c r="AF86" s="99"/>
      <c r="AG86" s="99"/>
      <c r="AH86" s="99"/>
      <c r="AI86" s="99"/>
      <c r="AK86" s="99"/>
      <c r="AL86" s="99"/>
      <c r="AM86" s="99"/>
      <c r="AN86" s="99"/>
      <c r="AO86" s="99"/>
      <c r="AP86" s="99"/>
      <c r="AR86" s="99"/>
      <c r="AS86" s="99"/>
      <c r="AT86" s="99"/>
      <c r="AU86" s="99"/>
      <c r="AV86" s="99"/>
      <c r="AW86" s="99"/>
      <c r="AY86" s="488"/>
      <c r="AZ86" s="488"/>
      <c r="BA86" s="488"/>
      <c r="BB86" s="488"/>
      <c r="BC86" s="488"/>
      <c r="BD86" s="488"/>
      <c r="BE86" s="488"/>
      <c r="BF86" s="488"/>
      <c r="BG86" s="488"/>
      <c r="BH86" s="488"/>
      <c r="BI86" s="488"/>
      <c r="BJ86" s="488"/>
      <c r="BK86" s="488"/>
      <c r="BL86" s="488"/>
      <c r="BM86" s="488"/>
      <c r="BN86" s="488"/>
      <c r="BO86" s="488"/>
      <c r="BP86" s="488"/>
      <c r="BQ86" s="488"/>
      <c r="BR86" s="488"/>
      <c r="BS86" s="488"/>
      <c r="BT86" s="488"/>
      <c r="BU86" s="488"/>
      <c r="BV86" s="488"/>
      <c r="BW86" s="488"/>
      <c r="BX86" s="488"/>
      <c r="BY86" s="488"/>
      <c r="BZ86" s="488"/>
      <c r="CA86" s="488"/>
      <c r="CB86" s="488"/>
      <c r="CC86" s="488"/>
      <c r="CD86" s="488"/>
      <c r="CE86" s="488"/>
      <c r="CF86" s="488"/>
      <c r="CG86" s="488"/>
      <c r="CH86" s="488"/>
      <c r="CI86" s="488"/>
      <c r="CJ86" s="488"/>
      <c r="CK86" s="488"/>
      <c r="CL86" s="488"/>
      <c r="CM86" s="488"/>
      <c r="CN86" s="488"/>
      <c r="CO86" s="488"/>
      <c r="CP86" s="488"/>
      <c r="CQ86" s="488"/>
      <c r="CR86" s="488"/>
      <c r="CS86" s="488"/>
      <c r="CT86" s="488"/>
      <c r="CU86" s="488"/>
      <c r="CV86" s="488"/>
      <c r="CW86" s="488"/>
      <c r="CX86" s="488"/>
      <c r="CY86" s="488"/>
      <c r="CZ86" s="488"/>
      <c r="DA86" s="488"/>
      <c r="DB86" s="488"/>
      <c r="DC86" s="488"/>
      <c r="DD86" s="488"/>
      <c r="DE86" s="488"/>
      <c r="DF86" s="488"/>
      <c r="DG86" s="488"/>
      <c r="DH86" s="488"/>
      <c r="DI86" s="488"/>
      <c r="DJ86" s="488"/>
      <c r="DK86" s="488"/>
      <c r="DL86" s="488"/>
      <c r="DM86" s="488"/>
      <c r="DN86" s="488"/>
      <c r="DO86" s="488"/>
      <c r="DP86" s="488"/>
      <c r="DQ86" s="488"/>
      <c r="DR86" s="488"/>
      <c r="DS86" s="488"/>
      <c r="DT86" s="488"/>
      <c r="DU86" s="488"/>
      <c r="DV86" s="488"/>
      <c r="DW86" s="488"/>
      <c r="DX86" s="488"/>
      <c r="DY86" s="488"/>
      <c r="DZ86" s="488"/>
      <c r="EA86" s="488"/>
      <c r="EB86" s="488"/>
      <c r="EC86" s="488"/>
      <c r="ED86" s="488"/>
      <c r="EE86" s="488"/>
      <c r="EF86" s="488"/>
      <c r="EG86" s="488"/>
      <c r="EH86" s="488"/>
      <c r="EI86" s="488"/>
      <c r="EJ86" s="488"/>
      <c r="EK86" s="488"/>
      <c r="EL86" s="488"/>
      <c r="EM86" s="488"/>
      <c r="EN86" s="488"/>
      <c r="EO86" s="488"/>
      <c r="EP86" s="488"/>
      <c r="EQ86" s="488"/>
      <c r="ER86" s="488"/>
      <c r="ES86" s="488"/>
      <c r="ET86" s="488"/>
      <c r="EU86" s="488"/>
      <c r="EV86" s="488"/>
      <c r="EW86" s="488"/>
      <c r="EX86" s="488"/>
      <c r="EY86" s="488"/>
      <c r="EZ86" s="488"/>
      <c r="FA86" s="488"/>
      <c r="FB86" s="488"/>
      <c r="FC86" s="488"/>
      <c r="FD86" s="488"/>
      <c r="FE86" s="488"/>
      <c r="FF86" s="488"/>
      <c r="FG86" s="488"/>
      <c r="FH86" s="488"/>
    </row>
    <row r="87" spans="1:164" ht="12.75" hidden="1" customHeight="1" x14ac:dyDescent="0.25">
      <c r="A87" t="str">
        <f>Nutrients!B86</f>
        <v>Sugar Beet Pulp</v>
      </c>
      <c r="B87" s="99"/>
      <c r="C87" s="99"/>
      <c r="D87" s="99"/>
      <c r="E87" s="99"/>
      <c r="F87" s="99"/>
      <c r="G87" s="99"/>
      <c r="H87" s="99"/>
      <c r="I87" s="99"/>
      <c r="J87" s="99"/>
      <c r="K87" s="99"/>
      <c r="L87" s="99"/>
      <c r="M87" s="99"/>
      <c r="N87" s="99"/>
      <c r="O87" s="10"/>
      <c r="P87" s="99"/>
      <c r="Q87" s="99"/>
      <c r="R87" s="99"/>
      <c r="S87" s="99"/>
      <c r="T87" s="99"/>
      <c r="U87" s="99"/>
      <c r="W87" s="99"/>
      <c r="X87" s="99"/>
      <c r="Y87" s="99"/>
      <c r="Z87" s="99"/>
      <c r="AA87" s="99"/>
      <c r="AB87" s="99"/>
      <c r="AD87" s="99"/>
      <c r="AE87" s="99"/>
      <c r="AF87" s="99"/>
      <c r="AG87" s="99"/>
      <c r="AH87" s="99"/>
      <c r="AI87" s="99"/>
      <c r="AK87" s="99"/>
      <c r="AL87" s="99"/>
      <c r="AM87" s="99"/>
      <c r="AN87" s="99"/>
      <c r="AO87" s="99"/>
      <c r="AP87" s="99"/>
      <c r="AR87" s="99"/>
      <c r="AS87" s="99"/>
      <c r="AT87" s="99"/>
      <c r="AU87" s="99"/>
      <c r="AV87" s="99"/>
      <c r="AW87" s="99"/>
      <c r="AY87" s="488"/>
      <c r="AZ87" s="488"/>
      <c r="BA87" s="488"/>
      <c r="BB87" s="488"/>
      <c r="BC87" s="488"/>
      <c r="BD87" s="488"/>
      <c r="BE87" s="488"/>
      <c r="BF87" s="488"/>
      <c r="BG87" s="488"/>
      <c r="BH87" s="488"/>
      <c r="BI87" s="488"/>
      <c r="BJ87" s="488"/>
      <c r="BK87" s="488"/>
      <c r="BL87" s="488"/>
      <c r="BM87" s="488"/>
      <c r="BN87" s="488"/>
      <c r="BO87" s="488"/>
      <c r="BP87" s="488"/>
      <c r="BQ87" s="488"/>
      <c r="BR87" s="488"/>
      <c r="BS87" s="488"/>
      <c r="BT87" s="488"/>
      <c r="BU87" s="488"/>
      <c r="BV87" s="488"/>
      <c r="BW87" s="488"/>
      <c r="BX87" s="488"/>
      <c r="BY87" s="488"/>
      <c r="BZ87" s="488"/>
      <c r="CA87" s="488"/>
      <c r="CB87" s="488"/>
      <c r="CC87" s="488"/>
      <c r="CD87" s="488"/>
      <c r="CE87" s="488"/>
      <c r="CF87" s="488"/>
      <c r="CG87" s="488"/>
      <c r="CH87" s="488"/>
      <c r="CI87" s="488"/>
      <c r="CJ87" s="488"/>
      <c r="CK87" s="488"/>
      <c r="CL87" s="488"/>
      <c r="CM87" s="488"/>
      <c r="CN87" s="488"/>
      <c r="CO87" s="488"/>
      <c r="CP87" s="488"/>
      <c r="CQ87" s="488"/>
      <c r="CR87" s="488"/>
      <c r="CS87" s="488"/>
      <c r="CT87" s="488"/>
      <c r="CU87" s="488"/>
      <c r="CV87" s="488"/>
      <c r="CW87" s="488"/>
      <c r="CX87" s="488"/>
      <c r="CY87" s="488"/>
      <c r="CZ87" s="488"/>
      <c r="DA87" s="488"/>
      <c r="DB87" s="488"/>
      <c r="DC87" s="488"/>
      <c r="DD87" s="488"/>
      <c r="DE87" s="488"/>
      <c r="DF87" s="488"/>
      <c r="DG87" s="488"/>
      <c r="DH87" s="488"/>
      <c r="DI87" s="488"/>
      <c r="DJ87" s="488"/>
      <c r="DK87" s="488"/>
      <c r="DL87" s="488"/>
      <c r="DM87" s="488"/>
      <c r="DN87" s="488"/>
      <c r="DO87" s="488"/>
      <c r="DP87" s="488"/>
      <c r="DQ87" s="488"/>
      <c r="DR87" s="488"/>
      <c r="DS87" s="488"/>
      <c r="DT87" s="488"/>
      <c r="DU87" s="488"/>
      <c r="DV87" s="488"/>
      <c r="DW87" s="488"/>
      <c r="DX87" s="488"/>
      <c r="DY87" s="488"/>
      <c r="DZ87" s="488"/>
      <c r="EA87" s="488"/>
      <c r="EB87" s="488"/>
      <c r="EC87" s="488"/>
      <c r="ED87" s="488"/>
      <c r="EE87" s="488"/>
      <c r="EF87" s="488"/>
      <c r="EG87" s="488"/>
      <c r="EH87" s="488"/>
      <c r="EI87" s="488"/>
      <c r="EJ87" s="488"/>
      <c r="EK87" s="488"/>
      <c r="EL87" s="488"/>
      <c r="EM87" s="488"/>
      <c r="EN87" s="488"/>
      <c r="EO87" s="488"/>
      <c r="EP87" s="488"/>
      <c r="EQ87" s="488"/>
      <c r="ER87" s="488"/>
      <c r="ES87" s="488"/>
      <c r="ET87" s="488"/>
      <c r="EU87" s="488"/>
      <c r="EV87" s="488"/>
      <c r="EW87" s="488"/>
      <c r="EX87" s="488"/>
      <c r="EY87" s="488"/>
      <c r="EZ87" s="488"/>
      <c r="FA87" s="488"/>
      <c r="FB87" s="488"/>
      <c r="FC87" s="488"/>
      <c r="FD87" s="488"/>
      <c r="FE87" s="488"/>
      <c r="FF87" s="488"/>
      <c r="FG87" s="488"/>
      <c r="FH87" s="488"/>
    </row>
    <row r="88" spans="1:164" ht="12.75" hidden="1" customHeight="1" x14ac:dyDescent="0.25">
      <c r="A88" t="str">
        <f>Nutrients!B87</f>
        <v>Sunflower, Full Fat</v>
      </c>
      <c r="B88" s="99"/>
      <c r="C88" s="99"/>
      <c r="D88" s="99"/>
      <c r="E88" s="99"/>
      <c r="F88" s="99"/>
      <c r="G88" s="99"/>
      <c r="H88" s="99"/>
      <c r="I88" s="99"/>
      <c r="J88" s="99"/>
      <c r="K88" s="99"/>
      <c r="L88" s="99"/>
      <c r="M88" s="99"/>
      <c r="N88" s="99"/>
      <c r="O88" s="10"/>
      <c r="P88" s="99"/>
      <c r="Q88" s="99"/>
      <c r="R88" s="99"/>
      <c r="S88" s="99"/>
      <c r="T88" s="99"/>
      <c r="U88" s="99"/>
      <c r="W88" s="99"/>
      <c r="X88" s="99"/>
      <c r="Y88" s="99"/>
      <c r="Z88" s="99"/>
      <c r="AA88" s="99"/>
      <c r="AB88" s="99"/>
      <c r="AD88" s="99"/>
      <c r="AE88" s="99"/>
      <c r="AF88" s="99"/>
      <c r="AG88" s="99"/>
      <c r="AH88" s="99"/>
      <c r="AI88" s="99"/>
      <c r="AK88" s="99"/>
      <c r="AL88" s="99"/>
      <c r="AM88" s="99"/>
      <c r="AN88" s="99"/>
      <c r="AO88" s="99"/>
      <c r="AP88" s="99"/>
      <c r="AR88" s="99"/>
      <c r="AS88" s="99"/>
      <c r="AT88" s="99"/>
      <c r="AU88" s="99"/>
      <c r="AV88" s="99"/>
      <c r="AW88" s="99"/>
      <c r="AY88" s="488"/>
      <c r="AZ88" s="488"/>
      <c r="BA88" s="488"/>
      <c r="BB88" s="488"/>
      <c r="BC88" s="488"/>
      <c r="BD88" s="488"/>
      <c r="BE88" s="488"/>
      <c r="BF88" s="488"/>
      <c r="BG88" s="488"/>
      <c r="BH88" s="488"/>
      <c r="BI88" s="488"/>
      <c r="BJ88" s="488"/>
      <c r="BK88" s="488"/>
      <c r="BL88" s="488"/>
      <c r="BM88" s="488"/>
      <c r="BN88" s="488"/>
      <c r="BO88" s="488"/>
      <c r="BP88" s="488"/>
      <c r="BQ88" s="488"/>
      <c r="BR88" s="488"/>
      <c r="BS88" s="488"/>
      <c r="BT88" s="488"/>
      <c r="BU88" s="488"/>
      <c r="BV88" s="488"/>
      <c r="BW88" s="488"/>
      <c r="BX88" s="488"/>
      <c r="BY88" s="488"/>
      <c r="BZ88" s="488"/>
      <c r="CA88" s="488"/>
      <c r="CB88" s="488"/>
      <c r="CC88" s="488"/>
      <c r="CD88" s="488"/>
      <c r="CE88" s="488"/>
      <c r="CF88" s="488"/>
      <c r="CG88" s="488"/>
      <c r="CH88" s="488"/>
      <c r="CI88" s="488"/>
      <c r="CJ88" s="488"/>
      <c r="CK88" s="488"/>
      <c r="CL88" s="488"/>
      <c r="CM88" s="488"/>
      <c r="CN88" s="488"/>
      <c r="CO88" s="488"/>
      <c r="CP88" s="488"/>
      <c r="CQ88" s="488"/>
      <c r="CR88" s="488"/>
      <c r="CS88" s="488"/>
      <c r="CT88" s="488"/>
      <c r="CU88" s="488"/>
      <c r="CV88" s="488"/>
      <c r="CW88" s="488"/>
      <c r="CX88" s="488"/>
      <c r="CY88" s="488"/>
      <c r="CZ88" s="488"/>
      <c r="DA88" s="488"/>
      <c r="DB88" s="488"/>
      <c r="DC88" s="488"/>
      <c r="DD88" s="488"/>
      <c r="DE88" s="488"/>
      <c r="DF88" s="488"/>
      <c r="DG88" s="488"/>
      <c r="DH88" s="488"/>
      <c r="DI88" s="488"/>
      <c r="DJ88" s="488"/>
      <c r="DK88" s="488"/>
      <c r="DL88" s="488"/>
      <c r="DM88" s="488"/>
      <c r="DN88" s="488"/>
      <c r="DO88" s="488"/>
      <c r="DP88" s="488"/>
      <c r="DQ88" s="488"/>
      <c r="DR88" s="488"/>
      <c r="DS88" s="488"/>
      <c r="DT88" s="488"/>
      <c r="DU88" s="488"/>
      <c r="DV88" s="488"/>
      <c r="DW88" s="488"/>
      <c r="DX88" s="488"/>
      <c r="DY88" s="488"/>
      <c r="DZ88" s="488"/>
      <c r="EA88" s="488"/>
      <c r="EB88" s="488"/>
      <c r="EC88" s="488"/>
      <c r="ED88" s="488"/>
      <c r="EE88" s="488"/>
      <c r="EF88" s="488"/>
      <c r="EG88" s="488"/>
      <c r="EH88" s="488"/>
      <c r="EI88" s="488"/>
      <c r="EJ88" s="488"/>
      <c r="EK88" s="488"/>
      <c r="EL88" s="488"/>
      <c r="EM88" s="488"/>
      <c r="EN88" s="488"/>
      <c r="EO88" s="488"/>
      <c r="EP88" s="488"/>
      <c r="EQ88" s="488"/>
      <c r="ER88" s="488"/>
      <c r="ES88" s="488"/>
      <c r="ET88" s="488"/>
      <c r="EU88" s="488"/>
      <c r="EV88" s="488"/>
      <c r="EW88" s="488"/>
      <c r="EX88" s="488"/>
      <c r="EY88" s="488"/>
      <c r="EZ88" s="488"/>
      <c r="FA88" s="488"/>
      <c r="FB88" s="488"/>
      <c r="FC88" s="488"/>
      <c r="FD88" s="488"/>
      <c r="FE88" s="488"/>
      <c r="FF88" s="488"/>
      <c r="FG88" s="488"/>
      <c r="FH88" s="488"/>
    </row>
    <row r="89" spans="1:164" ht="12.75" hidden="1" customHeight="1" x14ac:dyDescent="0.25">
      <c r="A89" t="str">
        <f>Nutrients!B88</f>
        <v>Sunflower Meal, Solvent Extracted</v>
      </c>
      <c r="B89" s="99"/>
      <c r="C89" s="99"/>
      <c r="D89" s="99"/>
      <c r="E89" s="99"/>
      <c r="F89" s="99"/>
      <c r="G89" s="99"/>
      <c r="H89" s="99"/>
      <c r="I89" s="99"/>
      <c r="J89" s="99"/>
      <c r="K89" s="99"/>
      <c r="L89" s="99"/>
      <c r="M89" s="99"/>
      <c r="N89" s="99"/>
      <c r="O89" s="10"/>
      <c r="P89" s="99"/>
      <c r="Q89" s="99"/>
      <c r="R89" s="99"/>
      <c r="S89" s="99"/>
      <c r="T89" s="99"/>
      <c r="U89" s="99"/>
      <c r="W89" s="99"/>
      <c r="X89" s="99"/>
      <c r="Y89" s="99"/>
      <c r="Z89" s="99"/>
      <c r="AA89" s="99"/>
      <c r="AB89" s="99"/>
      <c r="AD89" s="99"/>
      <c r="AE89" s="99"/>
      <c r="AF89" s="99"/>
      <c r="AG89" s="99"/>
      <c r="AH89" s="99"/>
      <c r="AI89" s="99"/>
      <c r="AK89" s="99"/>
      <c r="AL89" s="99"/>
      <c r="AM89" s="99"/>
      <c r="AN89" s="99"/>
      <c r="AO89" s="99"/>
      <c r="AP89" s="99"/>
      <c r="AR89" s="99"/>
      <c r="AS89" s="99"/>
      <c r="AT89" s="99"/>
      <c r="AU89" s="99"/>
      <c r="AV89" s="99"/>
      <c r="AW89" s="99"/>
      <c r="AY89" s="488"/>
      <c r="AZ89" s="488"/>
      <c r="BA89" s="488"/>
      <c r="BB89" s="488"/>
      <c r="BC89" s="488"/>
      <c r="BD89" s="488"/>
      <c r="BE89" s="488"/>
      <c r="BF89" s="488"/>
      <c r="BG89" s="488"/>
      <c r="BH89" s="488"/>
      <c r="BI89" s="488"/>
      <c r="BJ89" s="488"/>
      <c r="BK89" s="488"/>
      <c r="BL89" s="488"/>
      <c r="BM89" s="488"/>
      <c r="BN89" s="488"/>
      <c r="BO89" s="488"/>
      <c r="BP89" s="488"/>
      <c r="BQ89" s="488"/>
      <c r="BR89" s="488"/>
      <c r="BS89" s="488"/>
      <c r="BT89" s="488"/>
      <c r="BU89" s="488"/>
      <c r="BV89" s="488"/>
      <c r="BW89" s="488"/>
      <c r="BX89" s="488"/>
      <c r="BY89" s="488"/>
      <c r="BZ89" s="488"/>
      <c r="CA89" s="488"/>
      <c r="CB89" s="488"/>
      <c r="CC89" s="488"/>
      <c r="CD89" s="488"/>
      <c r="CE89" s="488"/>
      <c r="CF89" s="488"/>
      <c r="CG89" s="488"/>
      <c r="CH89" s="488"/>
      <c r="CI89" s="488"/>
      <c r="CJ89" s="488"/>
      <c r="CK89" s="488"/>
      <c r="CL89" s="488"/>
      <c r="CM89" s="488"/>
      <c r="CN89" s="488"/>
      <c r="CO89" s="488"/>
      <c r="CP89" s="488"/>
      <c r="CQ89" s="488"/>
      <c r="CR89" s="488"/>
      <c r="CS89" s="488"/>
      <c r="CT89" s="488"/>
      <c r="CU89" s="488"/>
      <c r="CV89" s="488"/>
      <c r="CW89" s="488"/>
      <c r="CX89" s="488"/>
      <c r="CY89" s="488"/>
      <c r="CZ89" s="488"/>
      <c r="DA89" s="488"/>
      <c r="DB89" s="488"/>
      <c r="DC89" s="488"/>
      <c r="DD89" s="488"/>
      <c r="DE89" s="488"/>
      <c r="DF89" s="488"/>
      <c r="DG89" s="488"/>
      <c r="DH89" s="488"/>
      <c r="DI89" s="488"/>
      <c r="DJ89" s="488"/>
      <c r="DK89" s="488"/>
      <c r="DL89" s="488"/>
      <c r="DM89" s="488"/>
      <c r="DN89" s="488"/>
      <c r="DO89" s="488"/>
      <c r="DP89" s="488"/>
      <c r="DQ89" s="488"/>
      <c r="DR89" s="488"/>
      <c r="DS89" s="488"/>
      <c r="DT89" s="488"/>
      <c r="DU89" s="488"/>
      <c r="DV89" s="488"/>
      <c r="DW89" s="488"/>
      <c r="DX89" s="488"/>
      <c r="DY89" s="488"/>
      <c r="DZ89" s="488"/>
      <c r="EA89" s="488"/>
      <c r="EB89" s="488"/>
      <c r="EC89" s="488"/>
      <c r="ED89" s="488"/>
      <c r="EE89" s="488"/>
      <c r="EF89" s="488"/>
      <c r="EG89" s="488"/>
      <c r="EH89" s="488"/>
      <c r="EI89" s="488"/>
      <c r="EJ89" s="488"/>
      <c r="EK89" s="488"/>
      <c r="EL89" s="488"/>
      <c r="EM89" s="488"/>
      <c r="EN89" s="488"/>
      <c r="EO89" s="488"/>
      <c r="EP89" s="488"/>
      <c r="EQ89" s="488"/>
      <c r="ER89" s="488"/>
      <c r="ES89" s="488"/>
      <c r="ET89" s="488"/>
      <c r="EU89" s="488"/>
      <c r="EV89" s="488"/>
      <c r="EW89" s="488"/>
      <c r="EX89" s="488"/>
      <c r="EY89" s="488"/>
      <c r="EZ89" s="488"/>
      <c r="FA89" s="488"/>
      <c r="FB89" s="488"/>
      <c r="FC89" s="488"/>
      <c r="FD89" s="488"/>
      <c r="FE89" s="488"/>
      <c r="FF89" s="488"/>
      <c r="FG89" s="488"/>
      <c r="FH89" s="488"/>
    </row>
    <row r="90" spans="1:164" ht="12.75" hidden="1" customHeight="1" x14ac:dyDescent="0.25">
      <c r="A90" t="str">
        <f>Nutrients!B89</f>
        <v>Sunflower Meal, Dehulled, Solvent Extr</v>
      </c>
      <c r="B90" s="99"/>
      <c r="C90" s="99"/>
      <c r="D90" s="99"/>
      <c r="E90" s="99"/>
      <c r="F90" s="99"/>
      <c r="G90" s="99"/>
      <c r="H90" s="99"/>
      <c r="I90" s="99"/>
      <c r="J90" s="99"/>
      <c r="K90" s="99"/>
      <c r="L90" s="99"/>
      <c r="M90" s="99"/>
      <c r="N90" s="99"/>
      <c r="O90" s="10"/>
      <c r="P90" s="99"/>
      <c r="Q90" s="99"/>
      <c r="R90" s="99"/>
      <c r="S90" s="99"/>
      <c r="T90" s="99"/>
      <c r="U90" s="99"/>
      <c r="W90" s="99"/>
      <c r="X90" s="99"/>
      <c r="Y90" s="99"/>
      <c r="Z90" s="99"/>
      <c r="AA90" s="99"/>
      <c r="AB90" s="99"/>
      <c r="AD90" s="99"/>
      <c r="AE90" s="99"/>
      <c r="AF90" s="99"/>
      <c r="AG90" s="99"/>
      <c r="AH90" s="99"/>
      <c r="AI90" s="99"/>
      <c r="AK90" s="99"/>
      <c r="AL90" s="99"/>
      <c r="AM90" s="99"/>
      <c r="AN90" s="99"/>
      <c r="AO90" s="99"/>
      <c r="AP90" s="99"/>
      <c r="AR90" s="99"/>
      <c r="AS90" s="99"/>
      <c r="AT90" s="99"/>
      <c r="AU90" s="99"/>
      <c r="AV90" s="99"/>
      <c r="AW90" s="99"/>
      <c r="AY90" s="488"/>
      <c r="AZ90" s="488"/>
      <c r="BA90" s="488"/>
      <c r="BB90" s="488"/>
      <c r="BC90" s="488"/>
      <c r="BD90" s="488"/>
      <c r="BE90" s="488"/>
      <c r="BF90" s="488"/>
      <c r="BG90" s="488"/>
      <c r="BH90" s="488"/>
      <c r="BI90" s="488"/>
      <c r="BJ90" s="488"/>
      <c r="BK90" s="488"/>
      <c r="BL90" s="488"/>
      <c r="BM90" s="488"/>
      <c r="BN90" s="488"/>
      <c r="BO90" s="488"/>
      <c r="BP90" s="488"/>
      <c r="BQ90" s="488"/>
      <c r="BR90" s="488"/>
      <c r="BS90" s="488"/>
      <c r="BT90" s="488"/>
      <c r="BU90" s="488"/>
      <c r="BV90" s="488"/>
      <c r="BW90" s="488"/>
      <c r="BX90" s="488"/>
      <c r="BY90" s="488"/>
      <c r="BZ90" s="488"/>
      <c r="CA90" s="488"/>
      <c r="CB90" s="488"/>
      <c r="CC90" s="488"/>
      <c r="CD90" s="488"/>
      <c r="CE90" s="488"/>
      <c r="CF90" s="488"/>
      <c r="CG90" s="488"/>
      <c r="CH90" s="488"/>
      <c r="CI90" s="488"/>
      <c r="CJ90" s="488"/>
      <c r="CK90" s="488"/>
      <c r="CL90" s="488"/>
      <c r="CM90" s="488"/>
      <c r="CN90" s="488"/>
      <c r="CO90" s="488"/>
      <c r="CP90" s="488"/>
      <c r="CQ90" s="488"/>
      <c r="CR90" s="488"/>
      <c r="CS90" s="488"/>
      <c r="CT90" s="488"/>
      <c r="CU90" s="488"/>
      <c r="CV90" s="488"/>
      <c r="CW90" s="488"/>
      <c r="CX90" s="488"/>
      <c r="CY90" s="488"/>
      <c r="CZ90" s="488"/>
      <c r="DA90" s="488"/>
      <c r="DB90" s="488"/>
      <c r="DC90" s="488"/>
      <c r="DD90" s="488"/>
      <c r="DE90" s="488"/>
      <c r="DF90" s="488"/>
      <c r="DG90" s="488"/>
      <c r="DH90" s="488"/>
      <c r="DI90" s="488"/>
      <c r="DJ90" s="488"/>
      <c r="DK90" s="488"/>
      <c r="DL90" s="488"/>
      <c r="DM90" s="488"/>
      <c r="DN90" s="488"/>
      <c r="DO90" s="488"/>
      <c r="DP90" s="488"/>
      <c r="DQ90" s="488"/>
      <c r="DR90" s="488"/>
      <c r="DS90" s="488"/>
      <c r="DT90" s="488"/>
      <c r="DU90" s="488"/>
      <c r="DV90" s="488"/>
      <c r="DW90" s="488"/>
      <c r="DX90" s="488"/>
      <c r="DY90" s="488"/>
      <c r="DZ90" s="488"/>
      <c r="EA90" s="488"/>
      <c r="EB90" s="488"/>
      <c r="EC90" s="488"/>
      <c r="ED90" s="488"/>
      <c r="EE90" s="488"/>
      <c r="EF90" s="488"/>
      <c r="EG90" s="488"/>
      <c r="EH90" s="488"/>
      <c r="EI90" s="488"/>
      <c r="EJ90" s="488"/>
      <c r="EK90" s="488"/>
      <c r="EL90" s="488"/>
      <c r="EM90" s="488"/>
      <c r="EN90" s="488"/>
      <c r="EO90" s="488"/>
      <c r="EP90" s="488"/>
      <c r="EQ90" s="488"/>
      <c r="ER90" s="488"/>
      <c r="ES90" s="488"/>
      <c r="ET90" s="488"/>
      <c r="EU90" s="488"/>
      <c r="EV90" s="488"/>
      <c r="EW90" s="488"/>
      <c r="EX90" s="488"/>
      <c r="EY90" s="488"/>
      <c r="EZ90" s="488"/>
      <c r="FA90" s="488"/>
      <c r="FB90" s="488"/>
      <c r="FC90" s="488"/>
      <c r="FD90" s="488"/>
      <c r="FE90" s="488"/>
      <c r="FF90" s="488"/>
      <c r="FG90" s="488"/>
      <c r="FH90" s="488"/>
    </row>
    <row r="91" spans="1:164" ht="12.75" hidden="1" customHeight="1" x14ac:dyDescent="0.25">
      <c r="A91" t="str">
        <f>Nutrients!B90</f>
        <v>Triticale</v>
      </c>
      <c r="B91" s="99"/>
      <c r="C91" s="99"/>
      <c r="D91" s="99"/>
      <c r="E91" s="99"/>
      <c r="F91" s="99"/>
      <c r="G91" s="99"/>
      <c r="H91" s="99"/>
      <c r="I91" s="99"/>
      <c r="J91" s="99"/>
      <c r="K91" s="99"/>
      <c r="L91" s="99"/>
      <c r="M91" s="99"/>
      <c r="N91" s="99"/>
      <c r="O91" s="10"/>
      <c r="P91" s="99"/>
      <c r="Q91" s="99"/>
      <c r="R91" s="99"/>
      <c r="S91" s="99"/>
      <c r="T91" s="99"/>
      <c r="U91" s="99"/>
      <c r="W91" s="99"/>
      <c r="X91" s="99"/>
      <c r="Y91" s="99"/>
      <c r="Z91" s="99"/>
      <c r="AA91" s="99"/>
      <c r="AB91" s="99"/>
      <c r="AD91" s="99"/>
      <c r="AE91" s="99"/>
      <c r="AF91" s="99"/>
      <c r="AG91" s="99"/>
      <c r="AH91" s="99"/>
      <c r="AI91" s="99"/>
      <c r="AK91" s="99"/>
      <c r="AL91" s="99"/>
      <c r="AM91" s="99"/>
      <c r="AN91" s="99"/>
      <c r="AO91" s="99"/>
      <c r="AP91" s="99"/>
      <c r="AR91" s="99"/>
      <c r="AS91" s="99"/>
      <c r="AT91" s="99"/>
      <c r="AU91" s="99"/>
      <c r="AV91" s="99"/>
      <c r="AW91" s="99"/>
      <c r="AY91" s="488"/>
      <c r="AZ91" s="488"/>
      <c r="BA91" s="488"/>
      <c r="BB91" s="488"/>
      <c r="BC91" s="488"/>
      <c r="BD91" s="488"/>
      <c r="BE91" s="488"/>
      <c r="BF91" s="488"/>
      <c r="BG91" s="488"/>
      <c r="BH91" s="488"/>
      <c r="BI91" s="488"/>
      <c r="BJ91" s="488"/>
      <c r="BK91" s="488"/>
      <c r="BL91" s="488"/>
      <c r="BM91" s="488"/>
      <c r="BN91" s="488"/>
      <c r="BO91" s="488"/>
      <c r="BP91" s="488"/>
      <c r="BQ91" s="488"/>
      <c r="BR91" s="488"/>
      <c r="BS91" s="488"/>
      <c r="BT91" s="488"/>
      <c r="BU91" s="488"/>
      <c r="BV91" s="488"/>
      <c r="BW91" s="488"/>
      <c r="BX91" s="488"/>
      <c r="BY91" s="488"/>
      <c r="BZ91" s="488"/>
      <c r="CA91" s="488"/>
      <c r="CB91" s="488"/>
      <c r="CC91" s="488"/>
      <c r="CD91" s="488"/>
      <c r="CE91" s="488"/>
      <c r="CF91" s="488"/>
      <c r="CG91" s="488"/>
      <c r="CH91" s="488"/>
      <c r="CI91" s="488"/>
      <c r="CJ91" s="488"/>
      <c r="CK91" s="488"/>
      <c r="CL91" s="488"/>
      <c r="CM91" s="488"/>
      <c r="CN91" s="488"/>
      <c r="CO91" s="488"/>
      <c r="CP91" s="488"/>
      <c r="CQ91" s="488"/>
      <c r="CR91" s="488"/>
      <c r="CS91" s="488"/>
      <c r="CT91" s="488"/>
      <c r="CU91" s="488"/>
      <c r="CV91" s="488"/>
      <c r="CW91" s="488"/>
      <c r="CX91" s="488"/>
      <c r="CY91" s="488"/>
      <c r="CZ91" s="488"/>
      <c r="DA91" s="488"/>
      <c r="DB91" s="488"/>
      <c r="DC91" s="488"/>
      <c r="DD91" s="488"/>
      <c r="DE91" s="488"/>
      <c r="DF91" s="488"/>
      <c r="DG91" s="488"/>
      <c r="DH91" s="488"/>
      <c r="DI91" s="488"/>
      <c r="DJ91" s="488"/>
      <c r="DK91" s="488"/>
      <c r="DL91" s="488"/>
      <c r="DM91" s="488"/>
      <c r="DN91" s="488"/>
      <c r="DO91" s="488"/>
      <c r="DP91" s="488"/>
      <c r="DQ91" s="488"/>
      <c r="DR91" s="488"/>
      <c r="DS91" s="488"/>
      <c r="DT91" s="488"/>
      <c r="DU91" s="488"/>
      <c r="DV91" s="488"/>
      <c r="DW91" s="488"/>
      <c r="DX91" s="488"/>
      <c r="DY91" s="488"/>
      <c r="DZ91" s="488"/>
      <c r="EA91" s="488"/>
      <c r="EB91" s="488"/>
      <c r="EC91" s="488"/>
      <c r="ED91" s="488"/>
      <c r="EE91" s="488"/>
      <c r="EF91" s="488"/>
      <c r="EG91" s="488"/>
      <c r="EH91" s="488"/>
      <c r="EI91" s="488"/>
      <c r="EJ91" s="488"/>
      <c r="EK91" s="488"/>
      <c r="EL91" s="488"/>
      <c r="EM91" s="488"/>
      <c r="EN91" s="488"/>
      <c r="EO91" s="488"/>
      <c r="EP91" s="488"/>
      <c r="EQ91" s="488"/>
      <c r="ER91" s="488"/>
      <c r="ES91" s="488"/>
      <c r="ET91" s="488"/>
      <c r="EU91" s="488"/>
      <c r="EV91" s="488"/>
      <c r="EW91" s="488"/>
      <c r="EX91" s="488"/>
      <c r="EY91" s="488"/>
      <c r="EZ91" s="488"/>
      <c r="FA91" s="488"/>
      <c r="FB91" s="488"/>
      <c r="FC91" s="488"/>
      <c r="FD91" s="488"/>
      <c r="FE91" s="488"/>
      <c r="FF91" s="488"/>
      <c r="FG91" s="488"/>
      <c r="FH91" s="488"/>
    </row>
    <row r="92" spans="1:164" ht="12.75" hidden="1" customHeight="1" x14ac:dyDescent="0.25">
      <c r="A92" t="str">
        <f>Nutrients!B91</f>
        <v>Wheat, Hard Red</v>
      </c>
      <c r="B92" s="99"/>
      <c r="C92" s="99"/>
      <c r="D92" s="99"/>
      <c r="E92" s="99"/>
      <c r="F92" s="99"/>
      <c r="G92" s="99"/>
      <c r="H92" s="99"/>
      <c r="I92" s="99"/>
      <c r="J92" s="99"/>
      <c r="K92" s="99"/>
      <c r="L92" s="99"/>
      <c r="M92" s="99"/>
      <c r="N92" s="99"/>
      <c r="O92" s="10"/>
      <c r="P92" s="99"/>
      <c r="Q92" s="99"/>
      <c r="R92" s="99"/>
      <c r="S92" s="99"/>
      <c r="T92" s="99"/>
      <c r="U92" s="99"/>
      <c r="W92" s="99"/>
      <c r="X92" s="99"/>
      <c r="Y92" s="99"/>
      <c r="Z92" s="99"/>
      <c r="AA92" s="99"/>
      <c r="AB92" s="99"/>
      <c r="AD92" s="99"/>
      <c r="AE92" s="99"/>
      <c r="AF92" s="99"/>
      <c r="AG92" s="99"/>
      <c r="AH92" s="99"/>
      <c r="AI92" s="99"/>
      <c r="AK92" s="99"/>
      <c r="AL92" s="99"/>
      <c r="AM92" s="99"/>
      <c r="AN92" s="99"/>
      <c r="AO92" s="99"/>
      <c r="AP92" s="99"/>
      <c r="AR92" s="99"/>
      <c r="AS92" s="99"/>
      <c r="AT92" s="99"/>
      <c r="AU92" s="99"/>
      <c r="AV92" s="99"/>
      <c r="AW92" s="99"/>
      <c r="AY92" s="488"/>
      <c r="AZ92" s="488"/>
      <c r="BA92" s="488"/>
      <c r="BB92" s="488"/>
      <c r="BC92" s="488"/>
      <c r="BD92" s="488"/>
      <c r="BE92" s="488"/>
      <c r="BF92" s="488"/>
      <c r="BG92" s="488"/>
      <c r="BH92" s="488"/>
      <c r="BI92" s="488"/>
      <c r="BJ92" s="488"/>
      <c r="BK92" s="488"/>
      <c r="BL92" s="488"/>
      <c r="BM92" s="488"/>
      <c r="BN92" s="488"/>
      <c r="BO92" s="488"/>
      <c r="BP92" s="488"/>
      <c r="BQ92" s="488"/>
      <c r="BR92" s="488"/>
      <c r="BS92" s="488"/>
      <c r="BT92" s="488"/>
      <c r="BU92" s="488"/>
      <c r="BV92" s="488"/>
      <c r="BW92" s="488"/>
      <c r="BX92" s="488"/>
      <c r="BY92" s="488"/>
      <c r="BZ92" s="488"/>
      <c r="CA92" s="488"/>
      <c r="CB92" s="488"/>
      <c r="CC92" s="488"/>
      <c r="CD92" s="488"/>
      <c r="CE92" s="488"/>
      <c r="CF92" s="488"/>
      <c r="CG92" s="488"/>
      <c r="CH92" s="488"/>
      <c r="CI92" s="488"/>
      <c r="CJ92" s="488"/>
      <c r="CK92" s="488"/>
      <c r="CL92" s="488"/>
      <c r="CM92" s="488"/>
      <c r="CN92" s="488"/>
      <c r="CO92" s="488"/>
      <c r="CP92" s="488"/>
      <c r="CQ92" s="488"/>
      <c r="CR92" s="488"/>
      <c r="CS92" s="488"/>
      <c r="CT92" s="488"/>
      <c r="CU92" s="488"/>
      <c r="CV92" s="488"/>
      <c r="CW92" s="488"/>
      <c r="CX92" s="488"/>
      <c r="CY92" s="488"/>
      <c r="CZ92" s="488"/>
      <c r="DA92" s="488"/>
      <c r="DB92" s="488"/>
      <c r="DC92" s="488"/>
      <c r="DD92" s="488"/>
      <c r="DE92" s="488"/>
      <c r="DF92" s="488"/>
      <c r="DG92" s="488"/>
      <c r="DH92" s="488"/>
      <c r="DI92" s="488"/>
      <c r="DJ92" s="488"/>
      <c r="DK92" s="488"/>
      <c r="DL92" s="488"/>
      <c r="DM92" s="488"/>
      <c r="DN92" s="488"/>
      <c r="DO92" s="488"/>
      <c r="DP92" s="488"/>
      <c r="DQ92" s="488"/>
      <c r="DR92" s="488"/>
      <c r="DS92" s="488"/>
      <c r="DT92" s="488"/>
      <c r="DU92" s="488"/>
      <c r="DV92" s="488"/>
      <c r="DW92" s="488"/>
      <c r="DX92" s="488"/>
      <c r="DY92" s="488"/>
      <c r="DZ92" s="488"/>
      <c r="EA92" s="488"/>
      <c r="EB92" s="488"/>
      <c r="EC92" s="488"/>
      <c r="ED92" s="488"/>
      <c r="EE92" s="488"/>
      <c r="EF92" s="488"/>
      <c r="EG92" s="488"/>
      <c r="EH92" s="488"/>
      <c r="EI92" s="488"/>
      <c r="EJ92" s="488"/>
      <c r="EK92" s="488"/>
      <c r="EL92" s="488"/>
      <c r="EM92" s="488"/>
      <c r="EN92" s="488"/>
      <c r="EO92" s="488"/>
      <c r="EP92" s="488"/>
      <c r="EQ92" s="488"/>
      <c r="ER92" s="488"/>
      <c r="ES92" s="488"/>
      <c r="ET92" s="488"/>
      <c r="EU92" s="488"/>
      <c r="EV92" s="488"/>
      <c r="EW92" s="488"/>
      <c r="EX92" s="488"/>
      <c r="EY92" s="488"/>
      <c r="EZ92" s="488"/>
      <c r="FA92" s="488"/>
      <c r="FB92" s="488"/>
      <c r="FC92" s="488"/>
      <c r="FD92" s="488"/>
      <c r="FE92" s="488"/>
      <c r="FF92" s="488"/>
      <c r="FG92" s="488"/>
      <c r="FH92" s="488"/>
    </row>
    <row r="93" spans="1:164" ht="12.75" hidden="1" customHeight="1" x14ac:dyDescent="0.25">
      <c r="A93" t="str">
        <f>Nutrients!B92</f>
        <v>Wheat, Soft Red</v>
      </c>
      <c r="B93" s="99"/>
      <c r="C93" s="99"/>
      <c r="D93" s="99"/>
      <c r="E93" s="99"/>
      <c r="F93" s="99"/>
      <c r="G93" s="99"/>
      <c r="H93" s="99"/>
      <c r="I93" s="99"/>
      <c r="J93" s="99"/>
      <c r="K93" s="99"/>
      <c r="L93" s="99"/>
      <c r="M93" s="99"/>
      <c r="N93" s="99"/>
      <c r="O93" s="10"/>
      <c r="P93" s="99"/>
      <c r="Q93" s="99"/>
      <c r="R93" s="99"/>
      <c r="S93" s="99"/>
      <c r="T93" s="99"/>
      <c r="U93" s="99"/>
      <c r="W93" s="99"/>
      <c r="X93" s="99"/>
      <c r="Y93" s="99"/>
      <c r="Z93" s="99"/>
      <c r="AA93" s="99"/>
      <c r="AB93" s="99"/>
      <c r="AD93" s="99"/>
      <c r="AE93" s="99"/>
      <c r="AF93" s="99"/>
      <c r="AG93" s="99"/>
      <c r="AH93" s="99"/>
      <c r="AI93" s="99"/>
      <c r="AK93" s="99"/>
      <c r="AL93" s="99"/>
      <c r="AM93" s="99"/>
      <c r="AN93" s="99"/>
      <c r="AO93" s="99"/>
      <c r="AP93" s="99"/>
      <c r="AR93" s="99"/>
      <c r="AS93" s="99"/>
      <c r="AT93" s="99"/>
      <c r="AU93" s="99"/>
      <c r="AV93" s="99"/>
      <c r="AW93" s="99"/>
      <c r="AY93" s="488"/>
      <c r="AZ93" s="488"/>
      <c r="BA93" s="488"/>
      <c r="BB93" s="488"/>
      <c r="BC93" s="488"/>
      <c r="BD93" s="488"/>
      <c r="BE93" s="488"/>
      <c r="BF93" s="488"/>
      <c r="BG93" s="488"/>
      <c r="BH93" s="488"/>
      <c r="BI93" s="488"/>
      <c r="BJ93" s="488"/>
      <c r="BK93" s="488"/>
      <c r="BL93" s="488"/>
      <c r="BM93" s="488"/>
      <c r="BN93" s="488"/>
      <c r="BO93" s="488"/>
      <c r="BP93" s="488"/>
      <c r="BQ93" s="488"/>
      <c r="BR93" s="488"/>
      <c r="BS93" s="488"/>
      <c r="BT93" s="488"/>
      <c r="BU93" s="488"/>
      <c r="BV93" s="488"/>
      <c r="BW93" s="488"/>
      <c r="BX93" s="488"/>
      <c r="BY93" s="488"/>
      <c r="BZ93" s="488"/>
      <c r="CA93" s="488"/>
      <c r="CB93" s="488"/>
      <c r="CC93" s="488"/>
      <c r="CD93" s="488"/>
      <c r="CE93" s="488"/>
      <c r="CF93" s="488"/>
      <c r="CG93" s="488"/>
      <c r="CH93" s="488"/>
      <c r="CI93" s="488"/>
      <c r="CJ93" s="488"/>
      <c r="CK93" s="488"/>
      <c r="CL93" s="488"/>
      <c r="CM93" s="488"/>
      <c r="CN93" s="488"/>
      <c r="CO93" s="488"/>
      <c r="CP93" s="488"/>
      <c r="CQ93" s="488"/>
      <c r="CR93" s="488"/>
      <c r="CS93" s="488"/>
      <c r="CT93" s="488"/>
      <c r="CU93" s="488"/>
      <c r="CV93" s="488"/>
      <c r="CW93" s="488"/>
      <c r="CX93" s="488"/>
      <c r="CY93" s="488"/>
      <c r="CZ93" s="488"/>
      <c r="DA93" s="488"/>
      <c r="DB93" s="488"/>
      <c r="DC93" s="488"/>
      <c r="DD93" s="488"/>
      <c r="DE93" s="488"/>
      <c r="DF93" s="488"/>
      <c r="DG93" s="488"/>
      <c r="DH93" s="488"/>
      <c r="DI93" s="488"/>
      <c r="DJ93" s="488"/>
      <c r="DK93" s="488"/>
      <c r="DL93" s="488"/>
      <c r="DM93" s="488"/>
      <c r="DN93" s="488"/>
      <c r="DO93" s="488"/>
      <c r="DP93" s="488"/>
      <c r="DQ93" s="488"/>
      <c r="DR93" s="488"/>
      <c r="DS93" s="488"/>
      <c r="DT93" s="488"/>
      <c r="DU93" s="488"/>
      <c r="DV93" s="488"/>
      <c r="DW93" s="488"/>
      <c r="DX93" s="488"/>
      <c r="DY93" s="488"/>
      <c r="DZ93" s="488"/>
      <c r="EA93" s="488"/>
      <c r="EB93" s="488"/>
      <c r="EC93" s="488"/>
      <c r="ED93" s="488"/>
      <c r="EE93" s="488"/>
      <c r="EF93" s="488"/>
      <c r="EG93" s="488"/>
      <c r="EH93" s="488"/>
      <c r="EI93" s="488"/>
      <c r="EJ93" s="488"/>
      <c r="EK93" s="488"/>
      <c r="EL93" s="488"/>
      <c r="EM93" s="488"/>
      <c r="EN93" s="488"/>
      <c r="EO93" s="488"/>
      <c r="EP93" s="488"/>
      <c r="EQ93" s="488"/>
      <c r="ER93" s="488"/>
      <c r="ES93" s="488"/>
      <c r="ET93" s="488"/>
      <c r="EU93" s="488"/>
      <c r="EV93" s="488"/>
      <c r="EW93" s="488"/>
      <c r="EX93" s="488"/>
      <c r="EY93" s="488"/>
      <c r="EZ93" s="488"/>
      <c r="FA93" s="488"/>
      <c r="FB93" s="488"/>
      <c r="FC93" s="488"/>
      <c r="FD93" s="488"/>
      <c r="FE93" s="488"/>
      <c r="FF93" s="488"/>
      <c r="FG93" s="488"/>
      <c r="FH93" s="488"/>
    </row>
    <row r="94" spans="1:164" ht="12.75" hidden="1" customHeight="1" x14ac:dyDescent="0.25">
      <c r="A94" t="str">
        <f>Nutrients!B93</f>
        <v>Wheat Bran</v>
      </c>
      <c r="B94" s="99"/>
      <c r="C94" s="99"/>
      <c r="D94" s="99"/>
      <c r="E94" s="99"/>
      <c r="F94" s="99"/>
      <c r="G94" s="99"/>
      <c r="H94" s="99"/>
      <c r="I94" s="99"/>
      <c r="J94" s="99"/>
      <c r="K94" s="99"/>
      <c r="L94" s="99"/>
      <c r="M94" s="99"/>
      <c r="N94" s="99"/>
      <c r="O94" s="10"/>
      <c r="P94" s="99"/>
      <c r="Q94" s="99"/>
      <c r="R94" s="99"/>
      <c r="S94" s="99"/>
      <c r="T94" s="99"/>
      <c r="U94" s="99"/>
      <c r="W94" s="99"/>
      <c r="X94" s="99"/>
      <c r="Y94" s="99"/>
      <c r="Z94" s="99"/>
      <c r="AA94" s="99"/>
      <c r="AB94" s="99"/>
      <c r="AD94" s="99"/>
      <c r="AE94" s="99"/>
      <c r="AF94" s="99"/>
      <c r="AG94" s="99"/>
      <c r="AH94" s="99"/>
      <c r="AI94" s="99"/>
      <c r="AK94" s="99"/>
      <c r="AL94" s="99"/>
      <c r="AM94" s="99"/>
      <c r="AN94" s="99"/>
      <c r="AO94" s="99"/>
      <c r="AP94" s="99"/>
      <c r="AR94" s="99"/>
      <c r="AS94" s="99"/>
      <c r="AT94" s="99"/>
      <c r="AU94" s="99"/>
      <c r="AV94" s="99"/>
      <c r="AW94" s="99"/>
      <c r="AY94" s="488"/>
      <c r="AZ94" s="488"/>
      <c r="BA94" s="488"/>
      <c r="BB94" s="488"/>
      <c r="BC94" s="488"/>
      <c r="BD94" s="488"/>
      <c r="BE94" s="488"/>
      <c r="BF94" s="488"/>
      <c r="BG94" s="488"/>
      <c r="BH94" s="488"/>
      <c r="BI94" s="488"/>
      <c r="BJ94" s="488"/>
      <c r="BK94" s="488"/>
      <c r="BL94" s="488"/>
      <c r="BM94" s="488"/>
      <c r="BN94" s="488"/>
      <c r="BO94" s="488"/>
      <c r="BP94" s="488"/>
      <c r="BQ94" s="488"/>
      <c r="BR94" s="488"/>
      <c r="BS94" s="488"/>
      <c r="BT94" s="488"/>
      <c r="BU94" s="488"/>
      <c r="BV94" s="488"/>
      <c r="BW94" s="488"/>
      <c r="BX94" s="488"/>
      <c r="BY94" s="488"/>
      <c r="BZ94" s="488"/>
      <c r="CA94" s="488"/>
      <c r="CB94" s="488"/>
      <c r="CC94" s="488"/>
      <c r="CD94" s="488"/>
      <c r="CE94" s="488"/>
      <c r="CF94" s="488"/>
      <c r="CG94" s="488"/>
      <c r="CH94" s="488"/>
      <c r="CI94" s="488"/>
      <c r="CJ94" s="488"/>
      <c r="CK94" s="488"/>
      <c r="CL94" s="488"/>
      <c r="CM94" s="488"/>
      <c r="CN94" s="488"/>
      <c r="CO94" s="488"/>
      <c r="CP94" s="488"/>
      <c r="CQ94" s="488"/>
      <c r="CR94" s="488"/>
      <c r="CS94" s="488"/>
      <c r="CT94" s="488"/>
      <c r="CU94" s="488"/>
      <c r="CV94" s="488"/>
      <c r="CW94" s="488"/>
      <c r="CX94" s="488"/>
      <c r="CY94" s="488"/>
      <c r="CZ94" s="488"/>
      <c r="DA94" s="488"/>
      <c r="DB94" s="488"/>
      <c r="DC94" s="488"/>
      <c r="DD94" s="488"/>
      <c r="DE94" s="488"/>
      <c r="DF94" s="488"/>
      <c r="DG94" s="488"/>
      <c r="DH94" s="488"/>
      <c r="DI94" s="488"/>
      <c r="DJ94" s="488"/>
      <c r="DK94" s="488"/>
      <c r="DL94" s="488"/>
      <c r="DM94" s="488"/>
      <c r="DN94" s="488"/>
      <c r="DO94" s="488"/>
      <c r="DP94" s="488"/>
      <c r="DQ94" s="488"/>
      <c r="DR94" s="488"/>
      <c r="DS94" s="488"/>
      <c r="DT94" s="488"/>
      <c r="DU94" s="488"/>
      <c r="DV94" s="488"/>
      <c r="DW94" s="488"/>
      <c r="DX94" s="488"/>
      <c r="DY94" s="488"/>
      <c r="DZ94" s="488"/>
      <c r="EA94" s="488"/>
      <c r="EB94" s="488"/>
      <c r="EC94" s="488"/>
      <c r="ED94" s="488"/>
      <c r="EE94" s="488"/>
      <c r="EF94" s="488"/>
      <c r="EG94" s="488"/>
      <c r="EH94" s="488"/>
      <c r="EI94" s="488"/>
      <c r="EJ94" s="488"/>
      <c r="EK94" s="488"/>
      <c r="EL94" s="488"/>
      <c r="EM94" s="488"/>
      <c r="EN94" s="488"/>
      <c r="EO94" s="488"/>
      <c r="EP94" s="488"/>
      <c r="EQ94" s="488"/>
      <c r="ER94" s="488"/>
      <c r="ES94" s="488"/>
      <c r="ET94" s="488"/>
      <c r="EU94" s="488"/>
      <c r="EV94" s="488"/>
      <c r="EW94" s="488"/>
      <c r="EX94" s="488"/>
      <c r="EY94" s="488"/>
      <c r="EZ94" s="488"/>
      <c r="FA94" s="488"/>
      <c r="FB94" s="488"/>
      <c r="FC94" s="488"/>
      <c r="FD94" s="488"/>
      <c r="FE94" s="488"/>
      <c r="FF94" s="488"/>
      <c r="FG94" s="488"/>
      <c r="FH94" s="488"/>
    </row>
    <row r="95" spans="1:164" ht="12.75" hidden="1" customHeight="1" x14ac:dyDescent="0.25">
      <c r="A95" t="str">
        <f>Nutrients!B94</f>
        <v>Wheat Middlings</v>
      </c>
      <c r="B95" s="99"/>
      <c r="C95" s="99"/>
      <c r="D95" s="99"/>
      <c r="E95" s="99"/>
      <c r="F95" s="99"/>
      <c r="G95" s="99"/>
      <c r="H95" s="99"/>
      <c r="I95" s="99"/>
      <c r="J95" s="99"/>
      <c r="K95" s="99"/>
      <c r="L95" s="99"/>
      <c r="M95" s="99"/>
      <c r="N95" s="99"/>
      <c r="O95" s="10"/>
      <c r="P95" s="99"/>
      <c r="Q95" s="99"/>
      <c r="R95" s="99"/>
      <c r="S95" s="99"/>
      <c r="T95" s="99"/>
      <c r="U95" s="99"/>
      <c r="W95" s="99"/>
      <c r="X95" s="99"/>
      <c r="Y95" s="99"/>
      <c r="Z95" s="99"/>
      <c r="AA95" s="99"/>
      <c r="AB95" s="99"/>
      <c r="AD95" s="99"/>
      <c r="AE95" s="99"/>
      <c r="AF95" s="99"/>
      <c r="AG95" s="99"/>
      <c r="AH95" s="99"/>
      <c r="AI95" s="99"/>
      <c r="AK95" s="99"/>
      <c r="AL95" s="99"/>
      <c r="AM95" s="99"/>
      <c r="AN95" s="99"/>
      <c r="AO95" s="99"/>
      <c r="AP95" s="99"/>
      <c r="AR95" s="99"/>
      <c r="AS95" s="99"/>
      <c r="AT95" s="99"/>
      <c r="AU95" s="99"/>
      <c r="AV95" s="99"/>
      <c r="AW95" s="99"/>
      <c r="AY95" s="488"/>
      <c r="AZ95" s="488"/>
      <c r="BA95" s="488"/>
      <c r="BB95" s="488"/>
      <c r="BC95" s="488"/>
      <c r="BD95" s="488"/>
      <c r="BE95" s="488"/>
      <c r="BF95" s="488"/>
      <c r="BG95" s="488"/>
      <c r="BH95" s="488"/>
      <c r="BI95" s="488"/>
      <c r="BJ95" s="488"/>
      <c r="BK95" s="488"/>
      <c r="BL95" s="488"/>
      <c r="BM95" s="488"/>
      <c r="BN95" s="488"/>
      <c r="BO95" s="488"/>
      <c r="BP95" s="488"/>
      <c r="BQ95" s="488"/>
      <c r="BR95" s="488"/>
      <c r="BS95" s="488"/>
      <c r="BT95" s="488"/>
      <c r="BU95" s="488"/>
      <c r="BV95" s="488"/>
      <c r="BW95" s="488"/>
      <c r="BX95" s="488"/>
      <c r="BY95" s="488"/>
      <c r="BZ95" s="488"/>
      <c r="CA95" s="488"/>
      <c r="CB95" s="488"/>
      <c r="CC95" s="488"/>
      <c r="CD95" s="488"/>
      <c r="CE95" s="488"/>
      <c r="CF95" s="488"/>
      <c r="CG95" s="488"/>
      <c r="CH95" s="488"/>
      <c r="CI95" s="488"/>
      <c r="CJ95" s="488"/>
      <c r="CK95" s="488"/>
      <c r="CL95" s="488"/>
      <c r="CM95" s="488"/>
      <c r="CN95" s="488"/>
      <c r="CO95" s="488"/>
      <c r="CP95" s="488"/>
      <c r="CQ95" s="488"/>
      <c r="CR95" s="488"/>
      <c r="CS95" s="488"/>
      <c r="CT95" s="488"/>
      <c r="CU95" s="488"/>
      <c r="CV95" s="488"/>
      <c r="CW95" s="488"/>
      <c r="CX95" s="488"/>
      <c r="CY95" s="488"/>
      <c r="CZ95" s="488"/>
      <c r="DA95" s="488"/>
      <c r="DB95" s="488"/>
      <c r="DC95" s="488"/>
      <c r="DD95" s="488"/>
      <c r="DE95" s="488"/>
      <c r="DF95" s="488"/>
      <c r="DG95" s="488"/>
      <c r="DH95" s="488"/>
      <c r="DI95" s="488"/>
      <c r="DJ95" s="488"/>
      <c r="DK95" s="488"/>
      <c r="DL95" s="488"/>
      <c r="DM95" s="488"/>
      <c r="DN95" s="488"/>
      <c r="DO95" s="488"/>
      <c r="DP95" s="488"/>
      <c r="DQ95" s="488"/>
      <c r="DR95" s="488"/>
      <c r="DS95" s="488"/>
      <c r="DT95" s="488"/>
      <c r="DU95" s="488"/>
      <c r="DV95" s="488"/>
      <c r="DW95" s="488"/>
      <c r="DX95" s="488"/>
      <c r="DY95" s="488"/>
      <c r="DZ95" s="488"/>
      <c r="EA95" s="488"/>
      <c r="EB95" s="488"/>
      <c r="EC95" s="488"/>
      <c r="ED95" s="488"/>
      <c r="EE95" s="488"/>
      <c r="EF95" s="488"/>
      <c r="EG95" s="488"/>
      <c r="EH95" s="488"/>
      <c r="EI95" s="488"/>
      <c r="EJ95" s="488"/>
      <c r="EK95" s="488"/>
      <c r="EL95" s="488"/>
      <c r="EM95" s="488"/>
      <c r="EN95" s="488"/>
      <c r="EO95" s="488"/>
      <c r="EP95" s="488"/>
      <c r="EQ95" s="488"/>
      <c r="ER95" s="488"/>
      <c r="ES95" s="488"/>
      <c r="ET95" s="488"/>
      <c r="EU95" s="488"/>
      <c r="EV95" s="488"/>
      <c r="EW95" s="488"/>
      <c r="EX95" s="488"/>
      <c r="EY95" s="488"/>
      <c r="EZ95" s="488"/>
      <c r="FA95" s="488"/>
      <c r="FB95" s="488"/>
      <c r="FC95" s="488"/>
      <c r="FD95" s="488"/>
      <c r="FE95" s="488"/>
      <c r="FF95" s="488"/>
      <c r="FG95" s="488"/>
      <c r="FH95" s="488"/>
    </row>
    <row r="96" spans="1:164" ht="12.75" hidden="1" customHeight="1" x14ac:dyDescent="0.25">
      <c r="A96" t="str">
        <f>Nutrients!B95</f>
        <v>Wheat Shorts</v>
      </c>
      <c r="B96" s="99"/>
      <c r="C96" s="99"/>
      <c r="D96" s="99"/>
      <c r="E96" s="99"/>
      <c r="F96" s="99"/>
      <c r="G96" s="99"/>
      <c r="H96" s="99"/>
      <c r="I96" s="99"/>
      <c r="J96" s="99"/>
      <c r="K96" s="99"/>
      <c r="L96" s="99"/>
      <c r="M96" s="99"/>
      <c r="N96" s="99"/>
      <c r="O96" s="10"/>
      <c r="P96" s="99"/>
      <c r="Q96" s="99"/>
      <c r="R96" s="99"/>
      <c r="S96" s="99"/>
      <c r="T96" s="99"/>
      <c r="U96" s="99"/>
      <c r="W96" s="99"/>
      <c r="X96" s="99"/>
      <c r="Y96" s="99"/>
      <c r="Z96" s="99"/>
      <c r="AA96" s="99"/>
      <c r="AB96" s="99"/>
      <c r="AD96" s="99"/>
      <c r="AE96" s="99"/>
      <c r="AF96" s="99"/>
      <c r="AG96" s="99"/>
      <c r="AH96" s="99"/>
      <c r="AI96" s="99"/>
      <c r="AK96" s="99"/>
      <c r="AL96" s="99"/>
      <c r="AM96" s="99"/>
      <c r="AN96" s="99"/>
      <c r="AO96" s="99"/>
      <c r="AP96" s="99"/>
      <c r="AR96" s="99"/>
      <c r="AS96" s="99"/>
      <c r="AT96" s="99"/>
      <c r="AU96" s="99"/>
      <c r="AV96" s="99"/>
      <c r="AW96" s="99"/>
      <c r="AY96" s="488"/>
      <c r="AZ96" s="488"/>
      <c r="BA96" s="488"/>
      <c r="BB96" s="488"/>
      <c r="BC96" s="488"/>
      <c r="BD96" s="488"/>
      <c r="BE96" s="488"/>
      <c r="BF96" s="488"/>
      <c r="BG96" s="488"/>
      <c r="BH96" s="488"/>
      <c r="BI96" s="488"/>
      <c r="BJ96" s="488"/>
      <c r="BK96" s="488"/>
      <c r="BL96" s="488"/>
      <c r="BM96" s="488"/>
      <c r="BN96" s="488"/>
      <c r="BO96" s="488"/>
      <c r="BP96" s="488"/>
      <c r="BQ96" s="488"/>
      <c r="BR96" s="488"/>
      <c r="BS96" s="488"/>
      <c r="BT96" s="488"/>
      <c r="BU96" s="488"/>
      <c r="BV96" s="488"/>
      <c r="BW96" s="488"/>
      <c r="BX96" s="488"/>
      <c r="BY96" s="488"/>
      <c r="BZ96" s="488"/>
      <c r="CA96" s="488"/>
      <c r="CB96" s="488"/>
      <c r="CC96" s="488"/>
      <c r="CD96" s="488"/>
      <c r="CE96" s="488"/>
      <c r="CF96" s="488"/>
      <c r="CG96" s="488"/>
      <c r="CH96" s="488"/>
      <c r="CI96" s="488"/>
      <c r="CJ96" s="488"/>
      <c r="CK96" s="488"/>
      <c r="CL96" s="488"/>
      <c r="CM96" s="488"/>
      <c r="CN96" s="488"/>
      <c r="CO96" s="488"/>
      <c r="CP96" s="488"/>
      <c r="CQ96" s="488"/>
      <c r="CR96" s="488"/>
      <c r="CS96" s="488"/>
      <c r="CT96" s="488"/>
      <c r="CU96" s="488"/>
      <c r="CV96" s="488"/>
      <c r="CW96" s="488"/>
      <c r="CX96" s="488"/>
      <c r="CY96" s="488"/>
      <c r="CZ96" s="488"/>
      <c r="DA96" s="488"/>
      <c r="DB96" s="488"/>
      <c r="DC96" s="488"/>
      <c r="DD96" s="488"/>
      <c r="DE96" s="488"/>
      <c r="DF96" s="488"/>
      <c r="DG96" s="488"/>
      <c r="DH96" s="488"/>
      <c r="DI96" s="488"/>
      <c r="DJ96" s="488"/>
      <c r="DK96" s="488"/>
      <c r="DL96" s="488"/>
      <c r="DM96" s="488"/>
      <c r="DN96" s="488"/>
      <c r="DO96" s="488"/>
      <c r="DP96" s="488"/>
      <c r="DQ96" s="488"/>
      <c r="DR96" s="488"/>
      <c r="DS96" s="488"/>
      <c r="DT96" s="488"/>
      <c r="DU96" s="488"/>
      <c r="DV96" s="488"/>
      <c r="DW96" s="488"/>
      <c r="DX96" s="488"/>
      <c r="DY96" s="488"/>
      <c r="DZ96" s="488"/>
      <c r="EA96" s="488"/>
      <c r="EB96" s="488"/>
      <c r="EC96" s="488"/>
      <c r="ED96" s="488"/>
      <c r="EE96" s="488"/>
      <c r="EF96" s="488"/>
      <c r="EG96" s="488"/>
      <c r="EH96" s="488"/>
      <c r="EI96" s="488"/>
      <c r="EJ96" s="488"/>
      <c r="EK96" s="488"/>
      <c r="EL96" s="488"/>
      <c r="EM96" s="488"/>
      <c r="EN96" s="488"/>
      <c r="EO96" s="488"/>
      <c r="EP96" s="488"/>
      <c r="EQ96" s="488"/>
      <c r="ER96" s="488"/>
      <c r="ES96" s="488"/>
      <c r="ET96" s="488"/>
      <c r="EU96" s="488"/>
      <c r="EV96" s="488"/>
      <c r="EW96" s="488"/>
      <c r="EX96" s="488"/>
      <c r="EY96" s="488"/>
      <c r="EZ96" s="488"/>
      <c r="FA96" s="488"/>
      <c r="FB96" s="488"/>
      <c r="FC96" s="488"/>
      <c r="FD96" s="488"/>
      <c r="FE96" s="488"/>
      <c r="FF96" s="488"/>
      <c r="FG96" s="488"/>
      <c r="FH96" s="488"/>
    </row>
    <row r="97" spans="1:164" ht="12.75" hidden="1" customHeight="1" x14ac:dyDescent="0.25">
      <c r="A97" t="str">
        <f>Nutrients!B96</f>
        <v>Wheat DDGS</v>
      </c>
      <c r="B97" s="99"/>
      <c r="C97" s="99"/>
      <c r="D97" s="99"/>
      <c r="E97" s="99"/>
      <c r="F97" s="99"/>
      <c r="G97" s="99"/>
      <c r="H97" s="99"/>
      <c r="I97" s="99"/>
      <c r="J97" s="99"/>
      <c r="K97" s="99"/>
      <c r="L97" s="99"/>
      <c r="M97" s="99"/>
      <c r="N97" s="99"/>
      <c r="O97" s="10"/>
      <c r="P97" s="99"/>
      <c r="Q97" s="99"/>
      <c r="R97" s="99"/>
      <c r="S97" s="99"/>
      <c r="T97" s="99"/>
      <c r="U97" s="99"/>
      <c r="W97" s="99"/>
      <c r="X97" s="99"/>
      <c r="Y97" s="99"/>
      <c r="Z97" s="99"/>
      <c r="AA97" s="99"/>
      <c r="AB97" s="99"/>
      <c r="AD97" s="99"/>
      <c r="AE97" s="99"/>
      <c r="AF97" s="99"/>
      <c r="AG97" s="99"/>
      <c r="AH97" s="99"/>
      <c r="AI97" s="99"/>
      <c r="AK97" s="99"/>
      <c r="AL97" s="99"/>
      <c r="AM97" s="99"/>
      <c r="AN97" s="99"/>
      <c r="AO97" s="99"/>
      <c r="AP97" s="99"/>
      <c r="AR97" s="99"/>
      <c r="AS97" s="99"/>
      <c r="AT97" s="99"/>
      <c r="AU97" s="99"/>
      <c r="AV97" s="99"/>
      <c r="AW97" s="99"/>
      <c r="AY97" s="488"/>
      <c r="AZ97" s="488"/>
      <c r="BA97" s="488"/>
      <c r="BB97" s="488"/>
      <c r="BC97" s="488"/>
      <c r="BD97" s="488"/>
      <c r="BE97" s="488"/>
      <c r="BF97" s="488"/>
      <c r="BG97" s="488"/>
      <c r="BH97" s="488"/>
      <c r="BI97" s="488"/>
      <c r="BJ97" s="488"/>
      <c r="BK97" s="488"/>
      <c r="BL97" s="488"/>
      <c r="BM97" s="488"/>
      <c r="BN97" s="488"/>
      <c r="BO97" s="488"/>
      <c r="BP97" s="488"/>
      <c r="BQ97" s="488"/>
      <c r="BR97" s="488"/>
      <c r="BS97" s="488"/>
      <c r="BT97" s="488"/>
      <c r="BU97" s="488"/>
      <c r="BV97" s="488"/>
      <c r="BW97" s="488"/>
      <c r="BX97" s="488"/>
      <c r="BY97" s="488"/>
      <c r="BZ97" s="488"/>
      <c r="CA97" s="488"/>
      <c r="CB97" s="488"/>
      <c r="CC97" s="488"/>
      <c r="CD97" s="488"/>
      <c r="CE97" s="488"/>
      <c r="CF97" s="488"/>
      <c r="CG97" s="488"/>
      <c r="CH97" s="488"/>
      <c r="CI97" s="488"/>
      <c r="CJ97" s="488"/>
      <c r="CK97" s="488"/>
      <c r="CL97" s="488"/>
      <c r="CM97" s="488"/>
      <c r="CN97" s="488"/>
      <c r="CO97" s="488"/>
      <c r="CP97" s="488"/>
      <c r="CQ97" s="488"/>
      <c r="CR97" s="488"/>
      <c r="CS97" s="488"/>
      <c r="CT97" s="488"/>
      <c r="CU97" s="488"/>
      <c r="CV97" s="488"/>
      <c r="CW97" s="488"/>
      <c r="CX97" s="488"/>
      <c r="CY97" s="488"/>
      <c r="CZ97" s="488"/>
      <c r="DA97" s="488"/>
      <c r="DB97" s="488"/>
      <c r="DC97" s="488"/>
      <c r="DD97" s="488"/>
      <c r="DE97" s="488"/>
      <c r="DF97" s="488"/>
      <c r="DG97" s="488"/>
      <c r="DH97" s="488"/>
      <c r="DI97" s="488"/>
      <c r="DJ97" s="488"/>
      <c r="DK97" s="488"/>
      <c r="DL97" s="488"/>
      <c r="DM97" s="488"/>
      <c r="DN97" s="488"/>
      <c r="DO97" s="488"/>
      <c r="DP97" s="488"/>
      <c r="DQ97" s="488"/>
      <c r="DR97" s="488"/>
      <c r="DS97" s="488"/>
      <c r="DT97" s="488"/>
      <c r="DU97" s="488"/>
      <c r="DV97" s="488"/>
      <c r="DW97" s="488"/>
      <c r="DX97" s="488"/>
      <c r="DY97" s="488"/>
      <c r="DZ97" s="488"/>
      <c r="EA97" s="488"/>
      <c r="EB97" s="488"/>
      <c r="EC97" s="488"/>
      <c r="ED97" s="488"/>
      <c r="EE97" s="488"/>
      <c r="EF97" s="488"/>
      <c r="EG97" s="488"/>
      <c r="EH97" s="488"/>
      <c r="EI97" s="488"/>
      <c r="EJ97" s="488"/>
      <c r="EK97" s="488"/>
      <c r="EL97" s="488"/>
      <c r="EM97" s="488"/>
      <c r="EN97" s="488"/>
      <c r="EO97" s="488"/>
      <c r="EP97" s="488"/>
      <c r="EQ97" s="488"/>
      <c r="ER97" s="488"/>
      <c r="ES97" s="488"/>
      <c r="ET97" s="488"/>
      <c r="EU97" s="488"/>
      <c r="EV97" s="488"/>
      <c r="EW97" s="488"/>
      <c r="EX97" s="488"/>
      <c r="EY97" s="488"/>
      <c r="EZ97" s="488"/>
      <c r="FA97" s="488"/>
      <c r="FB97" s="488"/>
      <c r="FC97" s="488"/>
      <c r="FD97" s="488"/>
      <c r="FE97" s="488"/>
      <c r="FF97" s="488"/>
      <c r="FG97" s="488"/>
      <c r="FH97" s="488"/>
    </row>
    <row r="98" spans="1:164" ht="12.75" hidden="1" customHeight="1" x14ac:dyDescent="0.25">
      <c r="A98" t="str">
        <f>Nutrients!B97</f>
        <v>Yeast, Brewers' Yeast</v>
      </c>
      <c r="B98" s="99"/>
      <c r="C98" s="99"/>
      <c r="D98" s="99"/>
      <c r="E98" s="99"/>
      <c r="F98" s="99"/>
      <c r="G98" s="99"/>
      <c r="H98" s="99"/>
      <c r="I98" s="99"/>
      <c r="J98" s="99"/>
      <c r="K98" s="99"/>
      <c r="L98" s="99"/>
      <c r="M98" s="99"/>
      <c r="N98" s="99"/>
      <c r="O98" s="10"/>
      <c r="P98" s="99"/>
      <c r="Q98" s="99"/>
      <c r="R98" s="99"/>
      <c r="S98" s="99"/>
      <c r="T98" s="99"/>
      <c r="U98" s="99"/>
      <c r="W98" s="99"/>
      <c r="X98" s="99"/>
      <c r="Y98" s="99"/>
      <c r="Z98" s="99"/>
      <c r="AA98" s="99"/>
      <c r="AB98" s="99"/>
      <c r="AD98" s="99"/>
      <c r="AE98" s="99"/>
      <c r="AF98" s="99"/>
      <c r="AG98" s="99"/>
      <c r="AH98" s="99"/>
      <c r="AI98" s="99"/>
      <c r="AK98" s="99"/>
      <c r="AL98" s="99"/>
      <c r="AM98" s="99"/>
      <c r="AN98" s="99"/>
      <c r="AO98" s="99"/>
      <c r="AP98" s="99"/>
      <c r="AR98" s="99"/>
      <c r="AS98" s="99"/>
      <c r="AT98" s="99"/>
      <c r="AU98" s="99"/>
      <c r="AV98" s="99"/>
      <c r="AW98" s="99"/>
      <c r="AY98" s="488"/>
      <c r="AZ98" s="488"/>
      <c r="BA98" s="488"/>
      <c r="BB98" s="488"/>
      <c r="BC98" s="488"/>
      <c r="BD98" s="488"/>
      <c r="BE98" s="488"/>
      <c r="BF98" s="488"/>
      <c r="BG98" s="488"/>
      <c r="BH98" s="488"/>
      <c r="BI98" s="488"/>
      <c r="BJ98" s="488"/>
      <c r="BK98" s="488"/>
      <c r="BL98" s="488"/>
      <c r="BM98" s="488"/>
      <c r="BN98" s="488"/>
      <c r="BO98" s="488"/>
      <c r="BP98" s="488"/>
      <c r="BQ98" s="488"/>
      <c r="BR98" s="488"/>
      <c r="BS98" s="488"/>
      <c r="BT98" s="488"/>
      <c r="BU98" s="488"/>
      <c r="BV98" s="488"/>
      <c r="BW98" s="488"/>
      <c r="BX98" s="488"/>
      <c r="BY98" s="488"/>
      <c r="BZ98" s="488"/>
      <c r="CA98" s="488"/>
      <c r="CB98" s="488"/>
      <c r="CC98" s="488"/>
      <c r="CD98" s="488"/>
      <c r="CE98" s="488"/>
      <c r="CF98" s="488"/>
      <c r="CG98" s="488"/>
      <c r="CH98" s="488"/>
      <c r="CI98" s="488"/>
      <c r="CJ98" s="488"/>
      <c r="CK98" s="488"/>
      <c r="CL98" s="488"/>
      <c r="CM98" s="488"/>
      <c r="CN98" s="488"/>
      <c r="CO98" s="488"/>
      <c r="CP98" s="488"/>
      <c r="CQ98" s="488"/>
      <c r="CR98" s="488"/>
      <c r="CS98" s="488"/>
      <c r="CT98" s="488"/>
      <c r="CU98" s="488"/>
      <c r="CV98" s="488"/>
      <c r="CW98" s="488"/>
      <c r="CX98" s="488"/>
      <c r="CY98" s="488"/>
      <c r="CZ98" s="488"/>
      <c r="DA98" s="488"/>
      <c r="DB98" s="488"/>
      <c r="DC98" s="488"/>
      <c r="DD98" s="488"/>
      <c r="DE98" s="488"/>
      <c r="DF98" s="488"/>
      <c r="DG98" s="488"/>
      <c r="DH98" s="488"/>
      <c r="DI98" s="488"/>
      <c r="DJ98" s="488"/>
      <c r="DK98" s="488"/>
      <c r="DL98" s="488"/>
      <c r="DM98" s="488"/>
      <c r="DN98" s="488"/>
      <c r="DO98" s="488"/>
      <c r="DP98" s="488"/>
      <c r="DQ98" s="488"/>
      <c r="DR98" s="488"/>
      <c r="DS98" s="488"/>
      <c r="DT98" s="488"/>
      <c r="DU98" s="488"/>
      <c r="DV98" s="488"/>
      <c r="DW98" s="488"/>
      <c r="DX98" s="488"/>
      <c r="DY98" s="488"/>
      <c r="DZ98" s="488"/>
      <c r="EA98" s="488"/>
      <c r="EB98" s="488"/>
      <c r="EC98" s="488"/>
      <c r="ED98" s="488"/>
      <c r="EE98" s="488"/>
      <c r="EF98" s="488"/>
      <c r="EG98" s="488"/>
      <c r="EH98" s="488"/>
      <c r="EI98" s="488"/>
      <c r="EJ98" s="488"/>
      <c r="EK98" s="488"/>
      <c r="EL98" s="488"/>
      <c r="EM98" s="488"/>
      <c r="EN98" s="488"/>
      <c r="EO98" s="488"/>
      <c r="EP98" s="488"/>
      <c r="EQ98" s="488"/>
      <c r="ER98" s="488"/>
      <c r="ES98" s="488"/>
      <c r="ET98" s="488"/>
      <c r="EU98" s="488"/>
      <c r="EV98" s="488"/>
      <c r="EW98" s="488"/>
      <c r="EX98" s="488"/>
      <c r="EY98" s="488"/>
      <c r="EZ98" s="488"/>
      <c r="FA98" s="488"/>
      <c r="FB98" s="488"/>
      <c r="FC98" s="488"/>
      <c r="FD98" s="488"/>
      <c r="FE98" s="488"/>
      <c r="FF98" s="488"/>
      <c r="FG98" s="488"/>
      <c r="FH98" s="488"/>
    </row>
    <row r="99" spans="1:164" ht="12.75" hidden="1" customHeight="1" x14ac:dyDescent="0.25">
      <c r="A99" t="str">
        <f>Nutrients!B98</f>
        <v>Yeast, Single Cell Protein</v>
      </c>
      <c r="B99" s="99"/>
      <c r="C99" s="99"/>
      <c r="D99" s="99"/>
      <c r="E99" s="99"/>
      <c r="F99" s="99"/>
      <c r="G99" s="99"/>
      <c r="H99" s="99"/>
      <c r="I99" s="99"/>
      <c r="J99" s="99"/>
      <c r="K99" s="99"/>
      <c r="L99" s="99"/>
      <c r="M99" s="99"/>
      <c r="N99" s="99"/>
      <c r="O99" s="10"/>
      <c r="P99" s="99"/>
      <c r="Q99" s="99"/>
      <c r="R99" s="99"/>
      <c r="S99" s="99"/>
      <c r="T99" s="99"/>
      <c r="U99" s="99"/>
      <c r="W99" s="99"/>
      <c r="X99" s="99"/>
      <c r="Y99" s="99"/>
      <c r="Z99" s="99"/>
      <c r="AA99" s="99"/>
      <c r="AB99" s="99"/>
      <c r="AD99" s="99"/>
      <c r="AE99" s="99"/>
      <c r="AF99" s="99"/>
      <c r="AG99" s="99"/>
      <c r="AH99" s="99"/>
      <c r="AI99" s="99"/>
      <c r="AK99" s="99"/>
      <c r="AL99" s="99"/>
      <c r="AM99" s="99"/>
      <c r="AN99" s="99"/>
      <c r="AO99" s="99"/>
      <c r="AP99" s="99"/>
      <c r="AR99" s="99"/>
      <c r="AS99" s="99"/>
      <c r="AT99" s="99"/>
      <c r="AU99" s="99"/>
      <c r="AV99" s="99"/>
      <c r="AW99" s="99"/>
      <c r="AY99" s="488"/>
      <c r="AZ99" s="488"/>
      <c r="BA99" s="488"/>
      <c r="BB99" s="488"/>
      <c r="BC99" s="488"/>
      <c r="BD99" s="488"/>
      <c r="BE99" s="488"/>
      <c r="BF99" s="488"/>
      <c r="BG99" s="488"/>
      <c r="BH99" s="488"/>
      <c r="BI99" s="488"/>
      <c r="BJ99" s="488"/>
      <c r="BK99" s="488"/>
      <c r="BL99" s="488"/>
      <c r="BM99" s="488"/>
      <c r="BN99" s="488"/>
      <c r="BO99" s="488"/>
      <c r="BP99" s="488"/>
      <c r="BQ99" s="488"/>
      <c r="BR99" s="488"/>
      <c r="BS99" s="488"/>
      <c r="BT99" s="488"/>
      <c r="BU99" s="488"/>
      <c r="BV99" s="488"/>
      <c r="BW99" s="488"/>
      <c r="BX99" s="488"/>
      <c r="BY99" s="488"/>
      <c r="BZ99" s="488"/>
      <c r="CA99" s="488"/>
      <c r="CB99" s="488"/>
      <c r="CC99" s="488"/>
      <c r="CD99" s="488"/>
      <c r="CE99" s="488"/>
      <c r="CF99" s="488"/>
      <c r="CG99" s="488"/>
      <c r="CH99" s="488"/>
      <c r="CI99" s="488"/>
      <c r="CJ99" s="488"/>
      <c r="CK99" s="488"/>
      <c r="CL99" s="488"/>
      <c r="CM99" s="488"/>
      <c r="CN99" s="488"/>
      <c r="CO99" s="488"/>
      <c r="CP99" s="488"/>
      <c r="CQ99" s="488"/>
      <c r="CR99" s="488"/>
      <c r="CS99" s="488"/>
      <c r="CT99" s="488"/>
      <c r="CU99" s="488"/>
      <c r="CV99" s="488"/>
      <c r="CW99" s="488"/>
      <c r="CX99" s="488"/>
      <c r="CY99" s="488"/>
      <c r="CZ99" s="488"/>
      <c r="DA99" s="488"/>
      <c r="DB99" s="488"/>
      <c r="DC99" s="488"/>
      <c r="DD99" s="488"/>
      <c r="DE99" s="488"/>
      <c r="DF99" s="488"/>
      <c r="DG99" s="488"/>
      <c r="DH99" s="488"/>
      <c r="DI99" s="488"/>
      <c r="DJ99" s="488"/>
      <c r="DK99" s="488"/>
      <c r="DL99" s="488"/>
      <c r="DM99" s="488"/>
      <c r="DN99" s="488"/>
      <c r="DO99" s="488"/>
      <c r="DP99" s="488"/>
      <c r="DQ99" s="488"/>
      <c r="DR99" s="488"/>
      <c r="DS99" s="488"/>
      <c r="DT99" s="488"/>
      <c r="DU99" s="488"/>
      <c r="DV99" s="488"/>
      <c r="DW99" s="488"/>
      <c r="DX99" s="488"/>
      <c r="DY99" s="488"/>
      <c r="DZ99" s="488"/>
      <c r="EA99" s="488"/>
      <c r="EB99" s="488"/>
      <c r="EC99" s="488"/>
      <c r="ED99" s="488"/>
      <c r="EE99" s="488"/>
      <c r="EF99" s="488"/>
      <c r="EG99" s="488"/>
      <c r="EH99" s="488"/>
      <c r="EI99" s="488"/>
      <c r="EJ99" s="488"/>
      <c r="EK99" s="488"/>
      <c r="EL99" s="488"/>
      <c r="EM99" s="488"/>
      <c r="EN99" s="488"/>
      <c r="EO99" s="488"/>
      <c r="EP99" s="488"/>
      <c r="EQ99" s="488"/>
      <c r="ER99" s="488"/>
      <c r="ES99" s="488"/>
      <c r="ET99" s="488"/>
      <c r="EU99" s="488"/>
      <c r="EV99" s="488"/>
      <c r="EW99" s="488"/>
      <c r="EX99" s="488"/>
      <c r="EY99" s="488"/>
      <c r="EZ99" s="488"/>
      <c r="FA99" s="488"/>
      <c r="FB99" s="488"/>
      <c r="FC99" s="488"/>
      <c r="FD99" s="488"/>
      <c r="FE99" s="488"/>
      <c r="FF99" s="488"/>
      <c r="FG99" s="488"/>
      <c r="FH99" s="488"/>
    </row>
    <row r="100" spans="1:164" ht="12.75" hidden="1" customHeight="1" x14ac:dyDescent="0.25">
      <c r="A100" t="str">
        <f>Nutrients!B99</f>
        <v>Beef Tallow</v>
      </c>
      <c r="B100" s="99"/>
      <c r="C100" s="99"/>
      <c r="D100" s="99"/>
      <c r="E100" s="99"/>
      <c r="F100" s="99"/>
      <c r="G100" s="99"/>
      <c r="H100" s="99"/>
      <c r="I100" s="99"/>
      <c r="J100" s="99"/>
      <c r="K100" s="99"/>
      <c r="L100" s="99"/>
      <c r="M100" s="99"/>
      <c r="N100" s="99"/>
      <c r="O100" s="10"/>
      <c r="P100" s="99"/>
      <c r="Q100" s="99"/>
      <c r="R100" s="99"/>
      <c r="S100" s="99"/>
      <c r="T100" s="99"/>
      <c r="U100" s="99"/>
      <c r="W100" s="99"/>
      <c r="X100" s="99"/>
      <c r="Y100" s="99"/>
      <c r="Z100" s="99"/>
      <c r="AA100" s="99"/>
      <c r="AB100" s="99"/>
      <c r="AD100" s="99"/>
      <c r="AE100" s="99"/>
      <c r="AF100" s="99"/>
      <c r="AG100" s="99"/>
      <c r="AH100" s="99"/>
      <c r="AI100" s="99"/>
      <c r="AK100" s="99"/>
      <c r="AL100" s="99"/>
      <c r="AM100" s="99"/>
      <c r="AN100" s="99"/>
      <c r="AO100" s="99"/>
      <c r="AP100" s="99"/>
      <c r="AR100" s="99"/>
      <c r="AS100" s="99"/>
      <c r="AT100" s="99"/>
      <c r="AU100" s="99"/>
      <c r="AV100" s="99"/>
      <c r="AW100" s="99"/>
      <c r="AY100" s="488"/>
      <c r="AZ100" s="488"/>
      <c r="BA100" s="488"/>
      <c r="BB100" s="488"/>
      <c r="BC100" s="488"/>
      <c r="BD100" s="488"/>
      <c r="BE100" s="488"/>
      <c r="BF100" s="488"/>
      <c r="BG100" s="488"/>
      <c r="BH100" s="488"/>
      <c r="BI100" s="488"/>
      <c r="BJ100" s="488"/>
      <c r="BK100" s="488"/>
      <c r="BL100" s="488"/>
      <c r="BM100" s="488"/>
      <c r="BN100" s="488"/>
      <c r="BO100" s="488"/>
      <c r="BP100" s="488"/>
      <c r="BQ100" s="488"/>
      <c r="BR100" s="488"/>
      <c r="BS100" s="488"/>
      <c r="BT100" s="488"/>
      <c r="BU100" s="488"/>
      <c r="BV100" s="488"/>
      <c r="BW100" s="488"/>
      <c r="BX100" s="488"/>
      <c r="BY100" s="488"/>
      <c r="BZ100" s="488"/>
      <c r="CA100" s="488"/>
      <c r="CB100" s="488"/>
      <c r="CC100" s="488"/>
      <c r="CD100" s="488"/>
      <c r="CE100" s="488"/>
      <c r="CF100" s="488"/>
      <c r="CG100" s="488"/>
      <c r="CH100" s="488"/>
      <c r="CI100" s="488"/>
      <c r="CJ100" s="488"/>
      <c r="CK100" s="488"/>
      <c r="CL100" s="488"/>
      <c r="CM100" s="488"/>
      <c r="CN100" s="488"/>
      <c r="CO100" s="488"/>
      <c r="CP100" s="488"/>
      <c r="CQ100" s="488"/>
      <c r="CR100" s="488"/>
      <c r="CS100" s="488"/>
      <c r="CT100" s="488"/>
      <c r="CU100" s="488"/>
      <c r="CV100" s="488"/>
      <c r="CW100" s="488"/>
      <c r="CX100" s="488"/>
      <c r="CY100" s="488"/>
      <c r="CZ100" s="488"/>
      <c r="DA100" s="488"/>
      <c r="DB100" s="488"/>
      <c r="DC100" s="488"/>
      <c r="DD100" s="488"/>
      <c r="DE100" s="488"/>
      <c r="DF100" s="488"/>
      <c r="DG100" s="488"/>
      <c r="DH100" s="488"/>
      <c r="DI100" s="488"/>
      <c r="DJ100" s="488"/>
      <c r="DK100" s="488"/>
      <c r="DL100" s="488"/>
      <c r="DM100" s="488"/>
      <c r="DN100" s="488"/>
      <c r="DO100" s="488"/>
      <c r="DP100" s="488"/>
      <c r="DQ100" s="488"/>
      <c r="DR100" s="488"/>
      <c r="DS100" s="488"/>
      <c r="DT100" s="488"/>
      <c r="DU100" s="488"/>
      <c r="DV100" s="488"/>
      <c r="DW100" s="488"/>
      <c r="DX100" s="488"/>
      <c r="DY100" s="488"/>
      <c r="DZ100" s="488"/>
      <c r="EA100" s="488"/>
      <c r="EB100" s="488"/>
      <c r="EC100" s="488"/>
      <c r="ED100" s="488"/>
      <c r="EE100" s="488"/>
      <c r="EF100" s="488"/>
      <c r="EG100" s="488"/>
      <c r="EH100" s="488"/>
      <c r="EI100" s="488"/>
      <c r="EJ100" s="488"/>
      <c r="EK100" s="488"/>
      <c r="EL100" s="488"/>
      <c r="EM100" s="488"/>
      <c r="EN100" s="488"/>
      <c r="EO100" s="488"/>
      <c r="EP100" s="488"/>
      <c r="EQ100" s="488"/>
      <c r="ER100" s="488"/>
      <c r="ES100" s="488"/>
      <c r="ET100" s="488"/>
      <c r="EU100" s="488"/>
      <c r="EV100" s="488"/>
      <c r="EW100" s="488"/>
      <c r="EX100" s="488"/>
      <c r="EY100" s="488"/>
      <c r="EZ100" s="488"/>
      <c r="FA100" s="488"/>
      <c r="FB100" s="488"/>
      <c r="FC100" s="488"/>
      <c r="FD100" s="488"/>
      <c r="FE100" s="488"/>
      <c r="FF100" s="488"/>
      <c r="FG100" s="488"/>
      <c r="FH100" s="488"/>
    </row>
    <row r="101" spans="1:164" x14ac:dyDescent="0.25">
      <c r="A101" t="str">
        <f>Nutrients!B100</f>
        <v>Choice White Grease</v>
      </c>
      <c r="B101" s="99"/>
      <c r="C101" s="99"/>
      <c r="D101" s="99"/>
      <c r="E101" s="99"/>
      <c r="F101" s="99"/>
      <c r="G101" s="99"/>
      <c r="H101" s="99"/>
      <c r="I101" s="106"/>
      <c r="J101" s="106"/>
      <c r="K101" s="106"/>
      <c r="L101" s="106"/>
      <c r="M101" s="106"/>
      <c r="N101" s="106"/>
      <c r="O101" s="29"/>
      <c r="P101" s="106"/>
      <c r="Q101" s="106"/>
      <c r="R101" s="106"/>
      <c r="S101" s="106"/>
      <c r="T101" s="106"/>
      <c r="U101" s="106"/>
      <c r="V101" s="9"/>
      <c r="W101" s="106"/>
      <c r="X101" s="106"/>
      <c r="Y101" s="106"/>
      <c r="Z101" s="106"/>
      <c r="AA101" s="106"/>
      <c r="AB101" s="106"/>
      <c r="AC101" s="9"/>
      <c r="AD101" s="106"/>
      <c r="AE101" s="106"/>
      <c r="AF101" s="106"/>
      <c r="AG101" s="106"/>
      <c r="AH101" s="106"/>
      <c r="AI101" s="106"/>
      <c r="AJ101" s="9"/>
      <c r="AK101" s="106"/>
      <c r="AL101" s="106"/>
      <c r="AM101" s="106"/>
      <c r="AN101" s="106"/>
      <c r="AO101" s="106"/>
      <c r="AP101" s="106"/>
      <c r="AQ101" s="9"/>
      <c r="AR101" s="106"/>
      <c r="AS101" s="106"/>
      <c r="AT101" s="106"/>
      <c r="AU101" s="106"/>
      <c r="AV101" s="106"/>
      <c r="AW101" s="106"/>
      <c r="AX101" s="9"/>
      <c r="AY101" s="488"/>
      <c r="AZ101" s="488"/>
      <c r="BA101" s="488"/>
      <c r="BB101" s="488"/>
      <c r="BC101" s="488"/>
      <c r="BD101" s="488"/>
      <c r="BE101" s="488"/>
      <c r="BF101" s="488"/>
      <c r="BG101" s="488"/>
      <c r="BH101" s="488"/>
      <c r="BI101" s="488"/>
      <c r="BJ101" s="488"/>
      <c r="BK101" s="488"/>
      <c r="BL101" s="488"/>
      <c r="BM101" s="488"/>
      <c r="BN101" s="488"/>
      <c r="BO101" s="488"/>
      <c r="BP101" s="488"/>
      <c r="BQ101" s="488"/>
      <c r="BR101" s="488"/>
      <c r="BS101" s="488"/>
      <c r="BT101" s="488"/>
      <c r="BU101" s="488"/>
      <c r="BV101" s="488"/>
      <c r="BW101" s="488"/>
      <c r="BX101" s="488"/>
      <c r="BY101" s="488"/>
      <c r="BZ101" s="488"/>
      <c r="CA101" s="488"/>
      <c r="CB101" s="488"/>
      <c r="CC101" s="488"/>
      <c r="CD101" s="488"/>
      <c r="CE101" s="488"/>
      <c r="CF101" s="488"/>
      <c r="CG101" s="488"/>
      <c r="CH101" s="488"/>
      <c r="CI101" s="488"/>
      <c r="CJ101" s="488"/>
      <c r="CK101" s="488"/>
      <c r="CL101" s="488"/>
      <c r="CM101" s="488"/>
      <c r="CN101" s="488"/>
      <c r="CO101" s="488"/>
      <c r="CP101" s="488"/>
      <c r="CQ101" s="488"/>
      <c r="CR101" s="488"/>
      <c r="CS101" s="488"/>
      <c r="CT101" s="488"/>
      <c r="CU101" s="488"/>
      <c r="CV101" s="488"/>
      <c r="CW101" s="488"/>
      <c r="CX101" s="488"/>
      <c r="CY101" s="488"/>
      <c r="CZ101" s="488"/>
      <c r="DA101" s="488"/>
      <c r="DB101" s="488"/>
      <c r="DC101" s="488"/>
      <c r="DD101" s="488"/>
      <c r="DE101" s="488"/>
      <c r="DF101" s="488"/>
      <c r="DG101" s="488"/>
      <c r="DH101" s="488"/>
      <c r="DI101" s="488"/>
      <c r="DJ101" s="488"/>
      <c r="DK101" s="488"/>
      <c r="DL101" s="488"/>
      <c r="DM101" s="488"/>
      <c r="DN101" s="488"/>
      <c r="DO101" s="488"/>
      <c r="DP101" s="488"/>
      <c r="DQ101" s="488"/>
      <c r="DR101" s="488"/>
      <c r="DS101" s="488"/>
      <c r="DT101" s="488"/>
      <c r="DU101" s="488"/>
      <c r="DV101" s="488"/>
      <c r="DW101" s="488"/>
      <c r="DX101" s="488"/>
      <c r="DY101" s="488"/>
      <c r="DZ101" s="488"/>
      <c r="EA101" s="488"/>
      <c r="EB101" s="488"/>
      <c r="EC101" s="488"/>
      <c r="ED101" s="488"/>
      <c r="EE101" s="488"/>
      <c r="EF101" s="488"/>
      <c r="EG101" s="488"/>
      <c r="EH101" s="488"/>
      <c r="EI101" s="488"/>
      <c r="EJ101" s="488"/>
      <c r="EK101" s="488"/>
      <c r="EL101" s="488"/>
      <c r="EM101" s="488"/>
      <c r="EN101" s="488"/>
      <c r="EO101" s="488"/>
      <c r="EP101" s="488"/>
      <c r="EQ101" s="488"/>
      <c r="ER101" s="488"/>
      <c r="ES101" s="488"/>
      <c r="ET101" s="488"/>
      <c r="EU101" s="488"/>
      <c r="EV101" s="488"/>
      <c r="EW101" s="488"/>
      <c r="EX101" s="488"/>
      <c r="EY101" s="488"/>
      <c r="EZ101" s="488"/>
      <c r="FA101" s="488"/>
      <c r="FB101" s="488"/>
      <c r="FC101" s="488"/>
      <c r="FD101" s="488"/>
      <c r="FE101" s="488"/>
      <c r="FF101" s="488"/>
      <c r="FG101" s="488"/>
      <c r="FH101" s="488"/>
    </row>
    <row r="102" spans="1:164" ht="13.05" hidden="1" customHeight="1" x14ac:dyDescent="0.25">
      <c r="A102" t="str">
        <f>Nutrients!B101</f>
        <v>Poultry Fat</v>
      </c>
      <c r="B102" s="99"/>
      <c r="C102" s="99"/>
      <c r="D102" s="99"/>
      <c r="E102" s="99"/>
      <c r="F102" s="99"/>
      <c r="G102" s="99"/>
      <c r="H102" s="99"/>
      <c r="I102" s="99"/>
      <c r="J102" s="99"/>
      <c r="K102" s="99"/>
      <c r="L102" s="99"/>
      <c r="M102" s="99"/>
      <c r="N102" s="99"/>
      <c r="O102" s="10"/>
      <c r="P102" s="99"/>
      <c r="Q102" s="99"/>
      <c r="R102" s="99"/>
      <c r="S102" s="99"/>
      <c r="T102" s="99"/>
      <c r="U102" s="99"/>
      <c r="W102" s="99"/>
      <c r="X102" s="99"/>
      <c r="Y102" s="99"/>
      <c r="Z102" s="99"/>
      <c r="AA102" s="99"/>
      <c r="AB102" s="99"/>
      <c r="AD102" s="99"/>
      <c r="AE102" s="99"/>
      <c r="AF102" s="99"/>
      <c r="AG102" s="99"/>
      <c r="AH102" s="99"/>
      <c r="AI102" s="99"/>
      <c r="AK102" s="99"/>
      <c r="AL102" s="99"/>
      <c r="AM102" s="99"/>
      <c r="AN102" s="99"/>
      <c r="AO102" s="99"/>
      <c r="AP102" s="99"/>
      <c r="AR102" s="99"/>
      <c r="AS102" s="99"/>
      <c r="AT102" s="99"/>
      <c r="AU102" s="99"/>
      <c r="AV102" s="99"/>
      <c r="AW102" s="99"/>
      <c r="AY102" s="488"/>
      <c r="AZ102" s="488"/>
      <c r="BA102" s="488"/>
      <c r="BB102" s="488"/>
      <c r="BC102" s="488"/>
      <c r="BD102" s="488"/>
      <c r="BE102" s="488"/>
      <c r="BF102" s="488"/>
      <c r="BG102" s="488"/>
      <c r="BH102" s="488"/>
      <c r="BI102" s="488"/>
      <c r="BJ102" s="488"/>
      <c r="BK102" s="488"/>
      <c r="BL102" s="488"/>
      <c r="BM102" s="488"/>
      <c r="BN102" s="488"/>
      <c r="BO102" s="488"/>
      <c r="BP102" s="488"/>
      <c r="BQ102" s="488"/>
      <c r="BR102" s="488"/>
      <c r="BS102" s="488"/>
      <c r="BT102" s="488"/>
      <c r="BU102" s="488"/>
      <c r="BV102" s="488"/>
      <c r="BW102" s="488"/>
      <c r="BX102" s="488"/>
      <c r="BY102" s="488"/>
      <c r="BZ102" s="488"/>
      <c r="CA102" s="488"/>
      <c r="CB102" s="488"/>
      <c r="CC102" s="488"/>
      <c r="CD102" s="488"/>
      <c r="CE102" s="488"/>
      <c r="CF102" s="488"/>
      <c r="CG102" s="488"/>
      <c r="CH102" s="488"/>
      <c r="CI102" s="488"/>
      <c r="CJ102" s="488"/>
      <c r="CK102" s="488"/>
      <c r="CL102" s="488"/>
      <c r="CM102" s="488"/>
      <c r="CN102" s="488"/>
      <c r="CO102" s="488"/>
      <c r="CP102" s="488"/>
      <c r="CQ102" s="488"/>
      <c r="CR102" s="488"/>
      <c r="CS102" s="488"/>
      <c r="CT102" s="488"/>
      <c r="CU102" s="488"/>
      <c r="CV102" s="488"/>
      <c r="CW102" s="488"/>
      <c r="CX102" s="488"/>
      <c r="CY102" s="488"/>
      <c r="CZ102" s="488"/>
      <c r="DA102" s="488"/>
      <c r="DB102" s="488"/>
      <c r="DC102" s="488"/>
      <c r="DD102" s="488"/>
      <c r="DE102" s="488"/>
      <c r="DF102" s="488"/>
      <c r="DG102" s="488"/>
      <c r="DH102" s="488"/>
      <c r="DI102" s="488"/>
      <c r="DJ102" s="488"/>
      <c r="DK102" s="488"/>
      <c r="DL102" s="488"/>
      <c r="DM102" s="488"/>
      <c r="DN102" s="488"/>
      <c r="DO102" s="488"/>
      <c r="DP102" s="488"/>
      <c r="DQ102" s="488"/>
      <c r="DR102" s="488"/>
      <c r="DS102" s="488"/>
      <c r="DT102" s="488"/>
      <c r="DU102" s="488"/>
      <c r="DV102" s="488"/>
      <c r="DW102" s="488"/>
      <c r="DX102" s="488"/>
      <c r="DY102" s="488"/>
      <c r="DZ102" s="488"/>
      <c r="EA102" s="488"/>
      <c r="EB102" s="488"/>
      <c r="EC102" s="488"/>
      <c r="ED102" s="488"/>
      <c r="EE102" s="488"/>
      <c r="EF102" s="488"/>
      <c r="EG102" s="488"/>
      <c r="EH102" s="488"/>
      <c r="EI102" s="488"/>
      <c r="EJ102" s="488"/>
      <c r="EK102" s="488"/>
      <c r="EL102" s="488"/>
      <c r="EM102" s="488"/>
      <c r="EN102" s="488"/>
      <c r="EO102" s="488"/>
      <c r="EP102" s="488"/>
      <c r="EQ102" s="488"/>
      <c r="ER102" s="488"/>
      <c r="ES102" s="488"/>
      <c r="ET102" s="488"/>
      <c r="EU102" s="488"/>
      <c r="EV102" s="488"/>
      <c r="EW102" s="488"/>
      <c r="EX102" s="488"/>
      <c r="EY102" s="488"/>
      <c r="EZ102" s="488"/>
      <c r="FA102" s="488"/>
      <c r="FB102" s="488"/>
      <c r="FC102" s="488"/>
      <c r="FD102" s="488"/>
      <c r="FE102" s="488"/>
      <c r="FF102" s="488"/>
      <c r="FG102" s="488"/>
      <c r="FH102" s="488"/>
    </row>
    <row r="103" spans="1:164" ht="13.05" hidden="1" customHeight="1" x14ac:dyDescent="0.25">
      <c r="A103" t="str">
        <f>Nutrients!B102</f>
        <v>Lard</v>
      </c>
      <c r="B103" s="99"/>
      <c r="C103" s="99"/>
      <c r="D103" s="99"/>
      <c r="E103" s="99"/>
      <c r="F103" s="99"/>
      <c r="G103" s="99"/>
      <c r="H103" s="99"/>
      <c r="I103" s="99"/>
      <c r="J103" s="99"/>
      <c r="K103" s="99"/>
      <c r="L103" s="99"/>
      <c r="M103" s="99"/>
      <c r="N103" s="99"/>
      <c r="O103" s="10"/>
      <c r="P103" s="99"/>
      <c r="Q103" s="99"/>
      <c r="R103" s="99"/>
      <c r="S103" s="99"/>
      <c r="T103" s="99"/>
      <c r="U103" s="99"/>
      <c r="W103" s="99"/>
      <c r="X103" s="99"/>
      <c r="Y103" s="99"/>
      <c r="Z103" s="99"/>
      <c r="AA103" s="99"/>
      <c r="AB103" s="99"/>
      <c r="AD103" s="99"/>
      <c r="AE103" s="99"/>
      <c r="AF103" s="99"/>
      <c r="AG103" s="99"/>
      <c r="AH103" s="99"/>
      <c r="AI103" s="99"/>
      <c r="AK103" s="99"/>
      <c r="AL103" s="99"/>
      <c r="AM103" s="99"/>
      <c r="AN103" s="99"/>
      <c r="AO103" s="99"/>
      <c r="AP103" s="99"/>
      <c r="AR103" s="99"/>
      <c r="AS103" s="99"/>
      <c r="AT103" s="99"/>
      <c r="AU103" s="99"/>
      <c r="AV103" s="99"/>
      <c r="AW103" s="99"/>
      <c r="AY103" s="488"/>
      <c r="AZ103" s="488"/>
      <c r="BA103" s="488"/>
      <c r="BB103" s="488"/>
      <c r="BC103" s="488"/>
      <c r="BD103" s="488"/>
      <c r="BE103" s="488"/>
      <c r="BF103" s="488"/>
      <c r="BG103" s="488"/>
      <c r="BH103" s="488"/>
      <c r="BI103" s="488"/>
      <c r="BJ103" s="488"/>
      <c r="BK103" s="488"/>
      <c r="BL103" s="488"/>
      <c r="BM103" s="488"/>
      <c r="BN103" s="488"/>
      <c r="BO103" s="488"/>
      <c r="BP103" s="488"/>
      <c r="BQ103" s="488"/>
      <c r="BR103" s="488"/>
      <c r="BS103" s="488"/>
      <c r="BT103" s="488"/>
      <c r="BU103" s="488"/>
      <c r="BV103" s="488"/>
      <c r="BW103" s="488"/>
      <c r="BX103" s="488"/>
      <c r="BY103" s="488"/>
      <c r="BZ103" s="488"/>
      <c r="CA103" s="488"/>
      <c r="CB103" s="488"/>
      <c r="CC103" s="488"/>
      <c r="CD103" s="488"/>
      <c r="CE103" s="488"/>
      <c r="CF103" s="488"/>
      <c r="CG103" s="488"/>
      <c r="CH103" s="488"/>
      <c r="CI103" s="488"/>
      <c r="CJ103" s="488"/>
      <c r="CK103" s="488"/>
      <c r="CL103" s="488"/>
      <c r="CM103" s="488"/>
      <c r="CN103" s="488"/>
      <c r="CO103" s="488"/>
      <c r="CP103" s="488"/>
      <c r="CQ103" s="488"/>
      <c r="CR103" s="488"/>
      <c r="CS103" s="488"/>
      <c r="CT103" s="488"/>
      <c r="CU103" s="488"/>
      <c r="CV103" s="488"/>
      <c r="CW103" s="488"/>
      <c r="CX103" s="488"/>
      <c r="CY103" s="488"/>
      <c r="CZ103" s="488"/>
      <c r="DA103" s="488"/>
      <c r="DB103" s="488"/>
      <c r="DC103" s="488"/>
      <c r="DD103" s="488"/>
      <c r="DE103" s="488"/>
      <c r="DF103" s="488"/>
      <c r="DG103" s="488"/>
      <c r="DH103" s="488"/>
      <c r="DI103" s="488"/>
      <c r="DJ103" s="488"/>
      <c r="DK103" s="488"/>
      <c r="DL103" s="488"/>
      <c r="DM103" s="488"/>
      <c r="DN103" s="488"/>
      <c r="DO103" s="488"/>
      <c r="DP103" s="488"/>
      <c r="DQ103" s="488"/>
      <c r="DR103" s="488"/>
      <c r="DS103" s="488"/>
      <c r="DT103" s="488"/>
      <c r="DU103" s="488"/>
      <c r="DV103" s="488"/>
      <c r="DW103" s="488"/>
      <c r="DX103" s="488"/>
      <c r="DY103" s="488"/>
      <c r="DZ103" s="488"/>
      <c r="EA103" s="488"/>
      <c r="EB103" s="488"/>
      <c r="EC103" s="488"/>
      <c r="ED103" s="488"/>
      <c r="EE103" s="488"/>
      <c r="EF103" s="488"/>
      <c r="EG103" s="488"/>
      <c r="EH103" s="488"/>
      <c r="EI103" s="488"/>
      <c r="EJ103" s="488"/>
      <c r="EK103" s="488"/>
      <c r="EL103" s="488"/>
      <c r="EM103" s="488"/>
      <c r="EN103" s="488"/>
      <c r="EO103" s="488"/>
      <c r="EP103" s="488"/>
      <c r="EQ103" s="488"/>
      <c r="ER103" s="488"/>
      <c r="ES103" s="488"/>
      <c r="ET103" s="488"/>
      <c r="EU103" s="488"/>
      <c r="EV103" s="488"/>
      <c r="EW103" s="488"/>
      <c r="EX103" s="488"/>
      <c r="EY103" s="488"/>
      <c r="EZ103" s="488"/>
      <c r="FA103" s="488"/>
      <c r="FB103" s="488"/>
      <c r="FC103" s="488"/>
      <c r="FD103" s="488"/>
      <c r="FE103" s="488"/>
      <c r="FF103" s="488"/>
      <c r="FG103" s="488"/>
      <c r="FH103" s="488"/>
    </row>
    <row r="104" spans="1:164" ht="13.05" hidden="1" customHeight="1" x14ac:dyDescent="0.25">
      <c r="A104" t="str">
        <f>Nutrients!B103</f>
        <v>Restaurant Grease</v>
      </c>
      <c r="B104" s="99"/>
      <c r="C104" s="99"/>
      <c r="D104" s="99"/>
      <c r="E104" s="99"/>
      <c r="F104" s="99"/>
      <c r="G104" s="99"/>
      <c r="H104" s="99"/>
      <c r="I104" s="99"/>
      <c r="J104" s="99"/>
      <c r="K104" s="99"/>
      <c r="L104" s="99"/>
      <c r="M104" s="99"/>
      <c r="N104" s="99"/>
      <c r="O104" s="10"/>
      <c r="P104" s="99"/>
      <c r="Q104" s="99"/>
      <c r="R104" s="99"/>
      <c r="S104" s="99"/>
      <c r="T104" s="99"/>
      <c r="U104" s="99"/>
      <c r="W104" s="99"/>
      <c r="X104" s="99"/>
      <c r="Y104" s="99"/>
      <c r="Z104" s="99"/>
      <c r="AA104" s="99"/>
      <c r="AB104" s="99"/>
      <c r="AD104" s="99"/>
      <c r="AE104" s="99"/>
      <c r="AF104" s="99"/>
      <c r="AG104" s="99"/>
      <c r="AH104" s="99"/>
      <c r="AI104" s="99"/>
      <c r="AK104" s="99"/>
      <c r="AL104" s="99"/>
      <c r="AM104" s="99"/>
      <c r="AN104" s="99"/>
      <c r="AO104" s="99"/>
      <c r="AP104" s="99"/>
      <c r="AR104" s="99"/>
      <c r="AS104" s="99"/>
      <c r="AT104" s="99"/>
      <c r="AU104" s="99"/>
      <c r="AV104" s="99"/>
      <c r="AW104" s="99"/>
      <c r="AY104" s="488"/>
      <c r="AZ104" s="488"/>
      <c r="BA104" s="488"/>
      <c r="BB104" s="488"/>
      <c r="BC104" s="488"/>
      <c r="BD104" s="488"/>
      <c r="BE104" s="488"/>
      <c r="BF104" s="488"/>
      <c r="BG104" s="488"/>
      <c r="BH104" s="488"/>
      <c r="BI104" s="488"/>
      <c r="BJ104" s="488"/>
      <c r="BK104" s="488"/>
      <c r="BL104" s="488"/>
      <c r="BM104" s="488"/>
      <c r="BN104" s="488"/>
      <c r="BO104" s="488"/>
      <c r="BP104" s="488"/>
      <c r="BQ104" s="488"/>
      <c r="BR104" s="488"/>
      <c r="BS104" s="488"/>
      <c r="BT104" s="488"/>
      <c r="BU104" s="488"/>
      <c r="BV104" s="488"/>
      <c r="BW104" s="488"/>
      <c r="BX104" s="488"/>
      <c r="BY104" s="488"/>
      <c r="BZ104" s="488"/>
      <c r="CA104" s="488"/>
      <c r="CB104" s="488"/>
      <c r="CC104" s="488"/>
      <c r="CD104" s="488"/>
      <c r="CE104" s="488"/>
      <c r="CF104" s="488"/>
      <c r="CG104" s="488"/>
      <c r="CH104" s="488"/>
      <c r="CI104" s="488"/>
      <c r="CJ104" s="488"/>
      <c r="CK104" s="488"/>
      <c r="CL104" s="488"/>
      <c r="CM104" s="488"/>
      <c r="CN104" s="488"/>
      <c r="CO104" s="488"/>
      <c r="CP104" s="488"/>
      <c r="CQ104" s="488"/>
      <c r="CR104" s="488"/>
      <c r="CS104" s="488"/>
      <c r="CT104" s="488"/>
      <c r="CU104" s="488"/>
      <c r="CV104" s="488"/>
      <c r="CW104" s="488"/>
      <c r="CX104" s="488"/>
      <c r="CY104" s="488"/>
      <c r="CZ104" s="488"/>
      <c r="DA104" s="488"/>
      <c r="DB104" s="488"/>
      <c r="DC104" s="488"/>
      <c r="DD104" s="488"/>
      <c r="DE104" s="488"/>
      <c r="DF104" s="488"/>
      <c r="DG104" s="488"/>
      <c r="DH104" s="488"/>
      <c r="DI104" s="488"/>
      <c r="DJ104" s="488"/>
      <c r="DK104" s="488"/>
      <c r="DL104" s="488"/>
      <c r="DM104" s="488"/>
      <c r="DN104" s="488"/>
      <c r="DO104" s="488"/>
      <c r="DP104" s="488"/>
      <c r="DQ104" s="488"/>
      <c r="DR104" s="488"/>
      <c r="DS104" s="488"/>
      <c r="DT104" s="488"/>
      <c r="DU104" s="488"/>
      <c r="DV104" s="488"/>
      <c r="DW104" s="488"/>
      <c r="DX104" s="488"/>
      <c r="DY104" s="488"/>
      <c r="DZ104" s="488"/>
      <c r="EA104" s="488"/>
      <c r="EB104" s="488"/>
      <c r="EC104" s="488"/>
      <c r="ED104" s="488"/>
      <c r="EE104" s="488"/>
      <c r="EF104" s="488"/>
      <c r="EG104" s="488"/>
      <c r="EH104" s="488"/>
      <c r="EI104" s="488"/>
      <c r="EJ104" s="488"/>
      <c r="EK104" s="488"/>
      <c r="EL104" s="488"/>
      <c r="EM104" s="488"/>
      <c r="EN104" s="488"/>
      <c r="EO104" s="488"/>
      <c r="EP104" s="488"/>
      <c r="EQ104" s="488"/>
      <c r="ER104" s="488"/>
      <c r="ES104" s="488"/>
      <c r="ET104" s="488"/>
      <c r="EU104" s="488"/>
      <c r="EV104" s="488"/>
      <c r="EW104" s="488"/>
      <c r="EX104" s="488"/>
      <c r="EY104" s="488"/>
      <c r="EZ104" s="488"/>
      <c r="FA104" s="488"/>
      <c r="FB104" s="488"/>
      <c r="FC104" s="488"/>
      <c r="FD104" s="488"/>
      <c r="FE104" s="488"/>
      <c r="FF104" s="488"/>
      <c r="FG104" s="488"/>
      <c r="FH104" s="488"/>
    </row>
    <row r="105" spans="1:164" ht="13.05" hidden="1" customHeight="1" x14ac:dyDescent="0.25">
      <c r="A105" t="str">
        <f>Nutrients!B104</f>
        <v>Canola oil</v>
      </c>
      <c r="B105" s="99"/>
      <c r="C105" s="99"/>
      <c r="D105" s="99"/>
      <c r="E105" s="99"/>
      <c r="F105" s="99"/>
      <c r="G105" s="99"/>
      <c r="H105" s="99"/>
      <c r="I105" s="99"/>
      <c r="J105" s="99"/>
      <c r="K105" s="99"/>
      <c r="L105" s="99"/>
      <c r="M105" s="99"/>
      <c r="N105" s="99"/>
      <c r="O105" s="10"/>
      <c r="P105" s="99"/>
      <c r="Q105" s="99"/>
      <c r="R105" s="99"/>
      <c r="S105" s="99"/>
      <c r="T105" s="99"/>
      <c r="U105" s="99"/>
      <c r="W105" s="99"/>
      <c r="X105" s="99"/>
      <c r="Y105" s="99"/>
      <c r="Z105" s="99"/>
      <c r="AA105" s="99"/>
      <c r="AB105" s="99"/>
      <c r="AD105" s="99"/>
      <c r="AE105" s="99"/>
      <c r="AF105" s="99"/>
      <c r="AG105" s="99"/>
      <c r="AH105" s="99"/>
      <c r="AI105" s="99"/>
      <c r="AK105" s="99"/>
      <c r="AL105" s="99"/>
      <c r="AM105" s="99"/>
      <c r="AN105" s="99"/>
      <c r="AO105" s="99"/>
      <c r="AP105" s="99"/>
      <c r="AR105" s="99"/>
      <c r="AS105" s="99"/>
      <c r="AT105" s="99"/>
      <c r="AU105" s="99"/>
      <c r="AV105" s="99"/>
      <c r="AW105" s="99"/>
      <c r="AY105" s="488"/>
      <c r="AZ105" s="488"/>
      <c r="BA105" s="488"/>
      <c r="BB105" s="488"/>
      <c r="BC105" s="488"/>
      <c r="BD105" s="488"/>
      <c r="BE105" s="488"/>
      <c r="BF105" s="488"/>
      <c r="BG105" s="488"/>
      <c r="BH105" s="488"/>
      <c r="BI105" s="488"/>
      <c r="BJ105" s="488"/>
      <c r="BK105" s="488"/>
      <c r="BL105" s="488"/>
      <c r="BM105" s="488"/>
      <c r="BN105" s="488"/>
      <c r="BO105" s="488"/>
      <c r="BP105" s="488"/>
      <c r="BQ105" s="488"/>
      <c r="BR105" s="488"/>
      <c r="BS105" s="488"/>
      <c r="BT105" s="488"/>
      <c r="BU105" s="488"/>
      <c r="BV105" s="488"/>
      <c r="BW105" s="488"/>
      <c r="BX105" s="488"/>
      <c r="BY105" s="488"/>
      <c r="BZ105" s="488"/>
      <c r="CA105" s="488"/>
      <c r="CB105" s="488"/>
      <c r="CC105" s="488"/>
      <c r="CD105" s="488"/>
      <c r="CE105" s="488"/>
      <c r="CF105" s="488"/>
      <c r="CG105" s="488"/>
      <c r="CH105" s="488"/>
      <c r="CI105" s="488"/>
      <c r="CJ105" s="488"/>
      <c r="CK105" s="488"/>
      <c r="CL105" s="488"/>
      <c r="CM105" s="488"/>
      <c r="CN105" s="488"/>
      <c r="CO105" s="488"/>
      <c r="CP105" s="488"/>
      <c r="CQ105" s="488"/>
      <c r="CR105" s="488"/>
      <c r="CS105" s="488"/>
      <c r="CT105" s="488"/>
      <c r="CU105" s="488"/>
      <c r="CV105" s="488"/>
      <c r="CW105" s="488"/>
      <c r="CX105" s="488"/>
      <c r="CY105" s="488"/>
      <c r="CZ105" s="488"/>
      <c r="DA105" s="488"/>
      <c r="DB105" s="488"/>
      <c r="DC105" s="488"/>
      <c r="DD105" s="488"/>
      <c r="DE105" s="488"/>
      <c r="DF105" s="488"/>
      <c r="DG105" s="488"/>
      <c r="DH105" s="488"/>
      <c r="DI105" s="488"/>
      <c r="DJ105" s="488"/>
      <c r="DK105" s="488"/>
      <c r="DL105" s="488"/>
      <c r="DM105" s="488"/>
      <c r="DN105" s="488"/>
      <c r="DO105" s="488"/>
      <c r="DP105" s="488"/>
      <c r="DQ105" s="488"/>
      <c r="DR105" s="488"/>
      <c r="DS105" s="488"/>
      <c r="DT105" s="488"/>
      <c r="DU105" s="488"/>
      <c r="DV105" s="488"/>
      <c r="DW105" s="488"/>
      <c r="DX105" s="488"/>
      <c r="DY105" s="488"/>
      <c r="DZ105" s="488"/>
      <c r="EA105" s="488"/>
      <c r="EB105" s="488"/>
      <c r="EC105" s="488"/>
      <c r="ED105" s="488"/>
      <c r="EE105" s="488"/>
      <c r="EF105" s="488"/>
      <c r="EG105" s="488"/>
      <c r="EH105" s="488"/>
      <c r="EI105" s="488"/>
      <c r="EJ105" s="488"/>
      <c r="EK105" s="488"/>
      <c r="EL105" s="488"/>
      <c r="EM105" s="488"/>
      <c r="EN105" s="488"/>
      <c r="EO105" s="488"/>
      <c r="EP105" s="488"/>
      <c r="EQ105" s="488"/>
      <c r="ER105" s="488"/>
      <c r="ES105" s="488"/>
      <c r="ET105" s="488"/>
      <c r="EU105" s="488"/>
      <c r="EV105" s="488"/>
      <c r="EW105" s="488"/>
      <c r="EX105" s="488"/>
      <c r="EY105" s="488"/>
      <c r="EZ105" s="488"/>
      <c r="FA105" s="488"/>
      <c r="FB105" s="488"/>
      <c r="FC105" s="488"/>
      <c r="FD105" s="488"/>
      <c r="FE105" s="488"/>
      <c r="FF105" s="488"/>
      <c r="FG105" s="488"/>
      <c r="FH105" s="488"/>
    </row>
    <row r="106" spans="1:164" ht="13.05" hidden="1" customHeight="1" x14ac:dyDescent="0.25">
      <c r="A106" t="str">
        <f>Nutrients!B105</f>
        <v>Coconut oil</v>
      </c>
      <c r="B106" s="99"/>
      <c r="C106" s="99"/>
      <c r="D106" s="99"/>
      <c r="E106" s="99"/>
      <c r="F106" s="99"/>
      <c r="G106" s="99"/>
      <c r="H106" s="99"/>
      <c r="I106" s="99"/>
      <c r="J106" s="99"/>
      <c r="K106" s="99"/>
      <c r="L106" s="99"/>
      <c r="M106" s="99"/>
      <c r="N106" s="99"/>
      <c r="O106" s="10"/>
      <c r="P106" s="99"/>
      <c r="Q106" s="99"/>
      <c r="R106" s="99"/>
      <c r="S106" s="99"/>
      <c r="T106" s="99"/>
      <c r="U106" s="99"/>
      <c r="W106" s="99"/>
      <c r="X106" s="99"/>
      <c r="Y106" s="99"/>
      <c r="Z106" s="99"/>
      <c r="AA106" s="99"/>
      <c r="AB106" s="99"/>
      <c r="AD106" s="99"/>
      <c r="AE106" s="99"/>
      <c r="AF106" s="99"/>
      <c r="AG106" s="99"/>
      <c r="AH106" s="99"/>
      <c r="AI106" s="99"/>
      <c r="AK106" s="99"/>
      <c r="AL106" s="99"/>
      <c r="AM106" s="99"/>
      <c r="AN106" s="99"/>
      <c r="AO106" s="99"/>
      <c r="AP106" s="99"/>
      <c r="AR106" s="99"/>
      <c r="AS106" s="99"/>
      <c r="AT106" s="99"/>
      <c r="AU106" s="99"/>
      <c r="AV106" s="99"/>
      <c r="AW106" s="99"/>
      <c r="AY106" s="488"/>
      <c r="AZ106" s="488"/>
      <c r="BA106" s="488"/>
      <c r="BB106" s="488"/>
      <c r="BC106" s="488"/>
      <c r="BD106" s="488"/>
      <c r="BE106" s="488"/>
      <c r="BF106" s="488"/>
      <c r="BG106" s="488"/>
      <c r="BH106" s="488"/>
      <c r="BI106" s="488"/>
      <c r="BJ106" s="488"/>
      <c r="BK106" s="488"/>
      <c r="BL106" s="488"/>
      <c r="BM106" s="488"/>
      <c r="BN106" s="488"/>
      <c r="BO106" s="488"/>
      <c r="BP106" s="488"/>
      <c r="BQ106" s="488"/>
      <c r="BR106" s="488"/>
      <c r="BS106" s="488"/>
      <c r="BT106" s="488"/>
      <c r="BU106" s="488"/>
      <c r="BV106" s="488"/>
      <c r="BW106" s="488"/>
      <c r="BX106" s="488"/>
      <c r="BY106" s="488"/>
      <c r="BZ106" s="488"/>
      <c r="CA106" s="488"/>
      <c r="CB106" s="488"/>
      <c r="CC106" s="488"/>
      <c r="CD106" s="488"/>
      <c r="CE106" s="488"/>
      <c r="CF106" s="488"/>
      <c r="CG106" s="488"/>
      <c r="CH106" s="488"/>
      <c r="CI106" s="488"/>
      <c r="CJ106" s="488"/>
      <c r="CK106" s="488"/>
      <c r="CL106" s="488"/>
      <c r="CM106" s="488"/>
      <c r="CN106" s="488"/>
      <c r="CO106" s="488"/>
      <c r="CP106" s="488"/>
      <c r="CQ106" s="488"/>
      <c r="CR106" s="488"/>
      <c r="CS106" s="488"/>
      <c r="CT106" s="488"/>
      <c r="CU106" s="488"/>
      <c r="CV106" s="488"/>
      <c r="CW106" s="488"/>
      <c r="CX106" s="488"/>
      <c r="CY106" s="488"/>
      <c r="CZ106" s="488"/>
      <c r="DA106" s="488"/>
      <c r="DB106" s="488"/>
      <c r="DC106" s="488"/>
      <c r="DD106" s="488"/>
      <c r="DE106" s="488"/>
      <c r="DF106" s="488"/>
      <c r="DG106" s="488"/>
      <c r="DH106" s="488"/>
      <c r="DI106" s="488"/>
      <c r="DJ106" s="488"/>
      <c r="DK106" s="488"/>
      <c r="DL106" s="488"/>
      <c r="DM106" s="488"/>
      <c r="DN106" s="488"/>
      <c r="DO106" s="488"/>
      <c r="DP106" s="488"/>
      <c r="DQ106" s="488"/>
      <c r="DR106" s="488"/>
      <c r="DS106" s="488"/>
      <c r="DT106" s="488"/>
      <c r="DU106" s="488"/>
      <c r="DV106" s="488"/>
      <c r="DW106" s="488"/>
      <c r="DX106" s="488"/>
      <c r="DY106" s="488"/>
      <c r="DZ106" s="488"/>
      <c r="EA106" s="488"/>
      <c r="EB106" s="488"/>
      <c r="EC106" s="488"/>
      <c r="ED106" s="488"/>
      <c r="EE106" s="488"/>
      <c r="EF106" s="488"/>
      <c r="EG106" s="488"/>
      <c r="EH106" s="488"/>
      <c r="EI106" s="488"/>
      <c r="EJ106" s="488"/>
      <c r="EK106" s="488"/>
      <c r="EL106" s="488"/>
      <c r="EM106" s="488"/>
      <c r="EN106" s="488"/>
      <c r="EO106" s="488"/>
      <c r="EP106" s="488"/>
      <c r="EQ106" s="488"/>
      <c r="ER106" s="488"/>
      <c r="ES106" s="488"/>
      <c r="ET106" s="488"/>
      <c r="EU106" s="488"/>
      <c r="EV106" s="488"/>
      <c r="EW106" s="488"/>
      <c r="EX106" s="488"/>
      <c r="EY106" s="488"/>
      <c r="EZ106" s="488"/>
      <c r="FA106" s="488"/>
      <c r="FB106" s="488"/>
      <c r="FC106" s="488"/>
      <c r="FD106" s="488"/>
      <c r="FE106" s="488"/>
      <c r="FF106" s="488"/>
      <c r="FG106" s="488"/>
      <c r="FH106" s="488"/>
    </row>
    <row r="107" spans="1:164" ht="13.05" hidden="1" customHeight="1" x14ac:dyDescent="0.25">
      <c r="A107" t="str">
        <f>Nutrients!B106</f>
        <v>Corn oil</v>
      </c>
      <c r="B107" s="99"/>
      <c r="C107" s="99"/>
      <c r="D107" s="99"/>
      <c r="E107" s="99"/>
      <c r="F107" s="99"/>
      <c r="G107" s="99"/>
      <c r="H107" s="99"/>
      <c r="I107" s="99"/>
      <c r="J107" s="99"/>
      <c r="K107" s="99"/>
      <c r="L107" s="99"/>
      <c r="M107" s="99"/>
      <c r="N107" s="99"/>
      <c r="O107" s="10"/>
      <c r="P107" s="99"/>
      <c r="Q107" s="99"/>
      <c r="R107" s="99"/>
      <c r="S107" s="99"/>
      <c r="T107" s="99"/>
      <c r="U107" s="99"/>
      <c r="W107" s="99"/>
      <c r="X107" s="99"/>
      <c r="Y107" s="99"/>
      <c r="Z107" s="99"/>
      <c r="AA107" s="99"/>
      <c r="AB107" s="99"/>
      <c r="AD107" s="99"/>
      <c r="AE107" s="99"/>
      <c r="AF107" s="99"/>
      <c r="AG107" s="99"/>
      <c r="AH107" s="99"/>
      <c r="AI107" s="99"/>
      <c r="AK107" s="99"/>
      <c r="AL107" s="99"/>
      <c r="AM107" s="99"/>
      <c r="AN107" s="99"/>
      <c r="AO107" s="99"/>
      <c r="AP107" s="99"/>
      <c r="AR107" s="99"/>
      <c r="AS107" s="99"/>
      <c r="AT107" s="99"/>
      <c r="AU107" s="99"/>
      <c r="AV107" s="99"/>
      <c r="AW107" s="99"/>
      <c r="AY107" s="488"/>
      <c r="AZ107" s="488"/>
      <c r="BA107" s="488"/>
      <c r="BB107" s="488"/>
      <c r="BC107" s="488"/>
      <c r="BD107" s="488"/>
      <c r="BE107" s="488"/>
      <c r="BF107" s="488"/>
      <c r="BG107" s="488"/>
      <c r="BH107" s="488"/>
      <c r="BI107" s="488"/>
      <c r="BJ107" s="488"/>
      <c r="BK107" s="488"/>
      <c r="BL107" s="488"/>
      <c r="BM107" s="488"/>
      <c r="BN107" s="488"/>
      <c r="BO107" s="488"/>
      <c r="BP107" s="488"/>
      <c r="BQ107" s="488"/>
      <c r="BR107" s="488"/>
      <c r="BS107" s="488"/>
      <c r="BT107" s="488"/>
      <c r="BU107" s="488"/>
      <c r="BV107" s="488"/>
      <c r="BW107" s="488"/>
      <c r="BX107" s="488"/>
      <c r="BY107" s="488"/>
      <c r="BZ107" s="488"/>
      <c r="CA107" s="488"/>
      <c r="CB107" s="488"/>
      <c r="CC107" s="488"/>
      <c r="CD107" s="488"/>
      <c r="CE107" s="488"/>
      <c r="CF107" s="488"/>
      <c r="CG107" s="488"/>
      <c r="CH107" s="488"/>
      <c r="CI107" s="488"/>
      <c r="CJ107" s="488"/>
      <c r="CK107" s="488"/>
      <c r="CL107" s="488"/>
      <c r="CM107" s="488"/>
      <c r="CN107" s="488"/>
      <c r="CO107" s="488"/>
      <c r="CP107" s="488"/>
      <c r="CQ107" s="488"/>
      <c r="CR107" s="488"/>
      <c r="CS107" s="488"/>
      <c r="CT107" s="488"/>
      <c r="CU107" s="488"/>
      <c r="CV107" s="488"/>
      <c r="CW107" s="488"/>
      <c r="CX107" s="488"/>
      <c r="CY107" s="488"/>
      <c r="CZ107" s="488"/>
      <c r="DA107" s="488"/>
      <c r="DB107" s="488"/>
      <c r="DC107" s="488"/>
      <c r="DD107" s="488"/>
      <c r="DE107" s="488"/>
      <c r="DF107" s="488"/>
      <c r="DG107" s="488"/>
      <c r="DH107" s="488"/>
      <c r="DI107" s="488"/>
      <c r="DJ107" s="488"/>
      <c r="DK107" s="488"/>
      <c r="DL107" s="488"/>
      <c r="DM107" s="488"/>
      <c r="DN107" s="488"/>
      <c r="DO107" s="488"/>
      <c r="DP107" s="488"/>
      <c r="DQ107" s="488"/>
      <c r="DR107" s="488"/>
      <c r="DS107" s="488"/>
      <c r="DT107" s="488"/>
      <c r="DU107" s="488"/>
      <c r="DV107" s="488"/>
      <c r="DW107" s="488"/>
      <c r="DX107" s="488"/>
      <c r="DY107" s="488"/>
      <c r="DZ107" s="488"/>
      <c r="EA107" s="488"/>
      <c r="EB107" s="488"/>
      <c r="EC107" s="488"/>
      <c r="ED107" s="488"/>
      <c r="EE107" s="488"/>
      <c r="EF107" s="488"/>
      <c r="EG107" s="488"/>
      <c r="EH107" s="488"/>
      <c r="EI107" s="488"/>
      <c r="EJ107" s="488"/>
      <c r="EK107" s="488"/>
      <c r="EL107" s="488"/>
      <c r="EM107" s="488"/>
      <c r="EN107" s="488"/>
      <c r="EO107" s="488"/>
      <c r="EP107" s="488"/>
      <c r="EQ107" s="488"/>
      <c r="ER107" s="488"/>
      <c r="ES107" s="488"/>
      <c r="ET107" s="488"/>
      <c r="EU107" s="488"/>
      <c r="EV107" s="488"/>
      <c r="EW107" s="488"/>
      <c r="EX107" s="488"/>
      <c r="EY107" s="488"/>
      <c r="EZ107" s="488"/>
      <c r="FA107" s="488"/>
      <c r="FB107" s="488"/>
      <c r="FC107" s="488"/>
      <c r="FD107" s="488"/>
      <c r="FE107" s="488"/>
      <c r="FF107" s="488"/>
      <c r="FG107" s="488"/>
      <c r="FH107" s="488"/>
    </row>
    <row r="108" spans="1:164" ht="13.05" hidden="1" customHeight="1" x14ac:dyDescent="0.25">
      <c r="A108" t="str">
        <f>Nutrients!B107</f>
        <v>Palm Kernel oil</v>
      </c>
      <c r="B108" s="99"/>
      <c r="C108" s="99"/>
      <c r="D108" s="99"/>
      <c r="E108" s="99"/>
      <c r="F108" s="99"/>
      <c r="G108" s="99"/>
      <c r="H108" s="99"/>
      <c r="I108" s="99"/>
      <c r="J108" s="99"/>
      <c r="K108" s="99"/>
      <c r="L108" s="99"/>
      <c r="M108" s="99"/>
      <c r="N108" s="99"/>
      <c r="O108" s="10"/>
      <c r="P108" s="99"/>
      <c r="Q108" s="99"/>
      <c r="R108" s="99"/>
      <c r="S108" s="99"/>
      <c r="T108" s="99"/>
      <c r="U108" s="99"/>
      <c r="W108" s="99"/>
      <c r="X108" s="99"/>
      <c r="Y108" s="99"/>
      <c r="Z108" s="99"/>
      <c r="AA108" s="99"/>
      <c r="AB108" s="99"/>
      <c r="AD108" s="99"/>
      <c r="AE108" s="99"/>
      <c r="AF108" s="99"/>
      <c r="AG108" s="99"/>
      <c r="AH108" s="99"/>
      <c r="AI108" s="99"/>
      <c r="AK108" s="99"/>
      <c r="AL108" s="99"/>
      <c r="AM108" s="99"/>
      <c r="AN108" s="99"/>
      <c r="AO108" s="99"/>
      <c r="AP108" s="99"/>
      <c r="AR108" s="99"/>
      <c r="AS108" s="99"/>
      <c r="AT108" s="99"/>
      <c r="AU108" s="99"/>
      <c r="AV108" s="99"/>
      <c r="AW108" s="99"/>
      <c r="AY108" s="488"/>
      <c r="AZ108" s="488"/>
      <c r="BA108" s="488"/>
      <c r="BB108" s="488"/>
      <c r="BC108" s="488"/>
      <c r="BD108" s="488"/>
      <c r="BE108" s="488"/>
      <c r="BF108" s="488"/>
      <c r="BG108" s="488"/>
      <c r="BH108" s="488"/>
      <c r="BI108" s="488"/>
      <c r="BJ108" s="488"/>
      <c r="BK108" s="488"/>
      <c r="BL108" s="488"/>
      <c r="BM108" s="488"/>
      <c r="BN108" s="488"/>
      <c r="BO108" s="488"/>
      <c r="BP108" s="488"/>
      <c r="BQ108" s="488"/>
      <c r="BR108" s="488"/>
      <c r="BS108" s="488"/>
      <c r="BT108" s="488"/>
      <c r="BU108" s="488"/>
      <c r="BV108" s="488"/>
      <c r="BW108" s="488"/>
      <c r="BX108" s="488"/>
      <c r="BY108" s="488"/>
      <c r="BZ108" s="488"/>
      <c r="CA108" s="488"/>
      <c r="CB108" s="488"/>
      <c r="CC108" s="488"/>
      <c r="CD108" s="488"/>
      <c r="CE108" s="488"/>
      <c r="CF108" s="488"/>
      <c r="CG108" s="488"/>
      <c r="CH108" s="488"/>
      <c r="CI108" s="488"/>
      <c r="CJ108" s="488"/>
      <c r="CK108" s="488"/>
      <c r="CL108" s="488"/>
      <c r="CM108" s="488"/>
      <c r="CN108" s="488"/>
      <c r="CO108" s="488"/>
      <c r="CP108" s="488"/>
      <c r="CQ108" s="488"/>
      <c r="CR108" s="488"/>
      <c r="CS108" s="488"/>
      <c r="CT108" s="488"/>
      <c r="CU108" s="488"/>
      <c r="CV108" s="488"/>
      <c r="CW108" s="488"/>
      <c r="CX108" s="488"/>
      <c r="CY108" s="488"/>
      <c r="CZ108" s="488"/>
      <c r="DA108" s="488"/>
      <c r="DB108" s="488"/>
      <c r="DC108" s="488"/>
      <c r="DD108" s="488"/>
      <c r="DE108" s="488"/>
      <c r="DF108" s="488"/>
      <c r="DG108" s="488"/>
      <c r="DH108" s="488"/>
      <c r="DI108" s="488"/>
      <c r="DJ108" s="488"/>
      <c r="DK108" s="488"/>
      <c r="DL108" s="488"/>
      <c r="DM108" s="488"/>
      <c r="DN108" s="488"/>
      <c r="DO108" s="488"/>
      <c r="DP108" s="488"/>
      <c r="DQ108" s="488"/>
      <c r="DR108" s="488"/>
      <c r="DS108" s="488"/>
      <c r="DT108" s="488"/>
      <c r="DU108" s="488"/>
      <c r="DV108" s="488"/>
      <c r="DW108" s="488"/>
      <c r="DX108" s="488"/>
      <c r="DY108" s="488"/>
      <c r="DZ108" s="488"/>
      <c r="EA108" s="488"/>
      <c r="EB108" s="488"/>
      <c r="EC108" s="488"/>
      <c r="ED108" s="488"/>
      <c r="EE108" s="488"/>
      <c r="EF108" s="488"/>
      <c r="EG108" s="488"/>
      <c r="EH108" s="488"/>
      <c r="EI108" s="488"/>
      <c r="EJ108" s="488"/>
      <c r="EK108" s="488"/>
      <c r="EL108" s="488"/>
      <c r="EM108" s="488"/>
      <c r="EN108" s="488"/>
      <c r="EO108" s="488"/>
      <c r="EP108" s="488"/>
      <c r="EQ108" s="488"/>
      <c r="ER108" s="488"/>
      <c r="ES108" s="488"/>
      <c r="ET108" s="488"/>
      <c r="EU108" s="488"/>
      <c r="EV108" s="488"/>
      <c r="EW108" s="488"/>
      <c r="EX108" s="488"/>
      <c r="EY108" s="488"/>
      <c r="EZ108" s="488"/>
      <c r="FA108" s="488"/>
      <c r="FB108" s="488"/>
      <c r="FC108" s="488"/>
      <c r="FD108" s="488"/>
      <c r="FE108" s="488"/>
      <c r="FF108" s="488"/>
      <c r="FG108" s="488"/>
      <c r="FH108" s="488"/>
    </row>
    <row r="109" spans="1:164" ht="13.05" hidden="1" customHeight="1" x14ac:dyDescent="0.25">
      <c r="A109" t="str">
        <f>Nutrients!B108</f>
        <v>Soybean oil</v>
      </c>
      <c r="B109" s="99"/>
      <c r="C109" s="99"/>
      <c r="D109" s="99"/>
      <c r="E109" s="99"/>
      <c r="F109" s="99"/>
      <c r="G109" s="99"/>
      <c r="H109" s="99"/>
      <c r="I109" s="99"/>
      <c r="J109" s="99"/>
      <c r="K109" s="99"/>
      <c r="L109" s="99"/>
      <c r="M109" s="99"/>
      <c r="N109" s="99"/>
      <c r="O109" s="10"/>
      <c r="P109" s="99"/>
      <c r="Q109" s="99"/>
      <c r="R109" s="99"/>
      <c r="S109" s="99"/>
      <c r="T109" s="99"/>
      <c r="U109" s="99"/>
      <c r="W109" s="99"/>
      <c r="X109" s="99"/>
      <c r="Y109" s="99"/>
      <c r="Z109" s="99"/>
      <c r="AA109" s="99"/>
      <c r="AB109" s="99"/>
      <c r="AD109" s="99"/>
      <c r="AE109" s="99"/>
      <c r="AF109" s="99"/>
      <c r="AG109" s="99"/>
      <c r="AH109" s="99"/>
      <c r="AI109" s="99"/>
      <c r="AK109" s="99"/>
      <c r="AL109" s="99"/>
      <c r="AM109" s="99"/>
      <c r="AN109" s="99"/>
      <c r="AO109" s="99"/>
      <c r="AP109" s="99"/>
      <c r="AR109" s="99"/>
      <c r="AS109" s="99"/>
      <c r="AT109" s="99"/>
      <c r="AU109" s="99"/>
      <c r="AV109" s="99"/>
      <c r="AW109" s="99"/>
      <c r="AY109" s="488"/>
      <c r="AZ109" s="488"/>
      <c r="BA109" s="488"/>
      <c r="BB109" s="488"/>
      <c r="BC109" s="488"/>
      <c r="BD109" s="488"/>
      <c r="BE109" s="488"/>
      <c r="BF109" s="488"/>
      <c r="BG109" s="488"/>
      <c r="BH109" s="488"/>
      <c r="BI109" s="488"/>
      <c r="BJ109" s="488"/>
      <c r="BK109" s="488"/>
      <c r="BL109" s="488"/>
      <c r="BM109" s="488"/>
      <c r="BN109" s="488"/>
      <c r="BO109" s="488"/>
      <c r="BP109" s="488"/>
      <c r="BQ109" s="488"/>
      <c r="BR109" s="488"/>
      <c r="BS109" s="488"/>
      <c r="BT109" s="488"/>
      <c r="BU109" s="488"/>
      <c r="BV109" s="488"/>
      <c r="BW109" s="488"/>
      <c r="BX109" s="488"/>
      <c r="BY109" s="488"/>
      <c r="BZ109" s="488"/>
      <c r="CA109" s="488"/>
      <c r="CB109" s="488"/>
      <c r="CC109" s="488"/>
      <c r="CD109" s="488"/>
      <c r="CE109" s="488"/>
      <c r="CF109" s="488"/>
      <c r="CG109" s="488"/>
      <c r="CH109" s="488"/>
      <c r="CI109" s="488"/>
      <c r="CJ109" s="488"/>
      <c r="CK109" s="488"/>
      <c r="CL109" s="488"/>
      <c r="CM109" s="488"/>
      <c r="CN109" s="488"/>
      <c r="CO109" s="488"/>
      <c r="CP109" s="488"/>
      <c r="CQ109" s="488"/>
      <c r="CR109" s="488"/>
      <c r="CS109" s="488"/>
      <c r="CT109" s="488"/>
      <c r="CU109" s="488"/>
      <c r="CV109" s="488"/>
      <c r="CW109" s="488"/>
      <c r="CX109" s="488"/>
      <c r="CY109" s="488"/>
      <c r="CZ109" s="488"/>
      <c r="DA109" s="488"/>
      <c r="DB109" s="488"/>
      <c r="DC109" s="488"/>
      <c r="DD109" s="488"/>
      <c r="DE109" s="488"/>
      <c r="DF109" s="488"/>
      <c r="DG109" s="488"/>
      <c r="DH109" s="488"/>
      <c r="DI109" s="488"/>
      <c r="DJ109" s="488"/>
      <c r="DK109" s="488"/>
      <c r="DL109" s="488"/>
      <c r="DM109" s="488"/>
      <c r="DN109" s="488"/>
      <c r="DO109" s="488"/>
      <c r="DP109" s="488"/>
      <c r="DQ109" s="488"/>
      <c r="DR109" s="488"/>
      <c r="DS109" s="488"/>
      <c r="DT109" s="488"/>
      <c r="DU109" s="488"/>
      <c r="DV109" s="488"/>
      <c r="DW109" s="488"/>
      <c r="DX109" s="488"/>
      <c r="DY109" s="488"/>
      <c r="DZ109" s="488"/>
      <c r="EA109" s="488"/>
      <c r="EB109" s="488"/>
      <c r="EC109" s="488"/>
      <c r="ED109" s="488"/>
      <c r="EE109" s="488"/>
      <c r="EF109" s="488"/>
      <c r="EG109" s="488"/>
      <c r="EH109" s="488"/>
      <c r="EI109" s="488"/>
      <c r="EJ109" s="488"/>
      <c r="EK109" s="488"/>
      <c r="EL109" s="488"/>
      <c r="EM109" s="488"/>
      <c r="EN109" s="488"/>
      <c r="EO109" s="488"/>
      <c r="EP109" s="488"/>
      <c r="EQ109" s="488"/>
      <c r="ER109" s="488"/>
      <c r="ES109" s="488"/>
      <c r="ET109" s="488"/>
      <c r="EU109" s="488"/>
      <c r="EV109" s="488"/>
      <c r="EW109" s="488"/>
      <c r="EX109" s="488"/>
      <c r="EY109" s="488"/>
      <c r="EZ109" s="488"/>
      <c r="FA109" s="488"/>
      <c r="FB109" s="488"/>
      <c r="FC109" s="488"/>
      <c r="FD109" s="488"/>
      <c r="FE109" s="488"/>
      <c r="FF109" s="488"/>
      <c r="FG109" s="488"/>
      <c r="FH109" s="488"/>
    </row>
    <row r="110" spans="1:164" ht="13.05" hidden="1" customHeight="1" x14ac:dyDescent="0.25">
      <c r="A110" t="str">
        <f>Nutrients!B109</f>
        <v>Soybean Lecithin</v>
      </c>
      <c r="B110" s="99"/>
      <c r="C110" s="99"/>
      <c r="D110" s="99"/>
      <c r="E110" s="99"/>
      <c r="F110" s="99"/>
      <c r="G110" s="99"/>
      <c r="H110" s="99"/>
      <c r="I110" s="99"/>
      <c r="J110" s="99"/>
      <c r="K110" s="99"/>
      <c r="L110" s="99"/>
      <c r="M110" s="99"/>
      <c r="N110" s="99"/>
      <c r="O110" s="10"/>
      <c r="P110" s="99"/>
      <c r="Q110" s="99"/>
      <c r="R110" s="99"/>
      <c r="S110" s="99"/>
      <c r="T110" s="99"/>
      <c r="U110" s="99"/>
      <c r="W110" s="99"/>
      <c r="X110" s="99"/>
      <c r="Y110" s="99"/>
      <c r="Z110" s="99"/>
      <c r="AA110" s="99"/>
      <c r="AB110" s="99"/>
      <c r="AD110" s="99"/>
      <c r="AE110" s="99"/>
      <c r="AF110" s="99"/>
      <c r="AG110" s="99"/>
      <c r="AH110" s="99"/>
      <c r="AI110" s="99"/>
      <c r="AK110" s="99"/>
      <c r="AL110" s="99"/>
      <c r="AM110" s="99"/>
      <c r="AN110" s="99"/>
      <c r="AO110" s="99"/>
      <c r="AP110" s="99"/>
      <c r="AR110" s="99"/>
      <c r="AS110" s="99"/>
      <c r="AT110" s="99"/>
      <c r="AU110" s="99"/>
      <c r="AV110" s="99"/>
      <c r="AW110" s="99"/>
      <c r="AY110" s="488"/>
      <c r="AZ110" s="488"/>
      <c r="BA110" s="488"/>
      <c r="BB110" s="488"/>
      <c r="BC110" s="488"/>
      <c r="BD110" s="488"/>
      <c r="BE110" s="488"/>
      <c r="BF110" s="488"/>
      <c r="BG110" s="488"/>
      <c r="BH110" s="488"/>
      <c r="BI110" s="488"/>
      <c r="BJ110" s="488"/>
      <c r="BK110" s="488"/>
      <c r="BL110" s="488"/>
      <c r="BM110" s="488"/>
      <c r="BN110" s="488"/>
      <c r="BO110" s="488"/>
      <c r="BP110" s="488"/>
      <c r="BQ110" s="488"/>
      <c r="BR110" s="488"/>
      <c r="BS110" s="488"/>
      <c r="BT110" s="488"/>
      <c r="BU110" s="488"/>
      <c r="BV110" s="488"/>
      <c r="BW110" s="488"/>
      <c r="BX110" s="488"/>
      <c r="BY110" s="488"/>
      <c r="BZ110" s="488"/>
      <c r="CA110" s="488"/>
      <c r="CB110" s="488"/>
      <c r="CC110" s="488"/>
      <c r="CD110" s="488"/>
      <c r="CE110" s="488"/>
      <c r="CF110" s="488"/>
      <c r="CG110" s="488"/>
      <c r="CH110" s="488"/>
      <c r="CI110" s="488"/>
      <c r="CJ110" s="488"/>
      <c r="CK110" s="488"/>
      <c r="CL110" s="488"/>
      <c r="CM110" s="488"/>
      <c r="CN110" s="488"/>
      <c r="CO110" s="488"/>
      <c r="CP110" s="488"/>
      <c r="CQ110" s="488"/>
      <c r="CR110" s="488"/>
      <c r="CS110" s="488"/>
      <c r="CT110" s="488"/>
      <c r="CU110" s="488"/>
      <c r="CV110" s="488"/>
      <c r="CW110" s="488"/>
      <c r="CX110" s="488"/>
      <c r="CY110" s="488"/>
      <c r="CZ110" s="488"/>
      <c r="DA110" s="488"/>
      <c r="DB110" s="488"/>
      <c r="DC110" s="488"/>
      <c r="DD110" s="488"/>
      <c r="DE110" s="488"/>
      <c r="DF110" s="488"/>
      <c r="DG110" s="488"/>
      <c r="DH110" s="488"/>
      <c r="DI110" s="488"/>
      <c r="DJ110" s="488"/>
      <c r="DK110" s="488"/>
      <c r="DL110" s="488"/>
      <c r="DM110" s="488"/>
      <c r="DN110" s="488"/>
      <c r="DO110" s="488"/>
      <c r="DP110" s="488"/>
      <c r="DQ110" s="488"/>
      <c r="DR110" s="488"/>
      <c r="DS110" s="488"/>
      <c r="DT110" s="488"/>
      <c r="DU110" s="488"/>
      <c r="DV110" s="488"/>
      <c r="DW110" s="488"/>
      <c r="DX110" s="488"/>
      <c r="DY110" s="488"/>
      <c r="DZ110" s="488"/>
      <c r="EA110" s="488"/>
      <c r="EB110" s="488"/>
      <c r="EC110" s="488"/>
      <c r="ED110" s="488"/>
      <c r="EE110" s="488"/>
      <c r="EF110" s="488"/>
      <c r="EG110" s="488"/>
      <c r="EH110" s="488"/>
      <c r="EI110" s="488"/>
      <c r="EJ110" s="488"/>
      <c r="EK110" s="488"/>
      <c r="EL110" s="488"/>
      <c r="EM110" s="488"/>
      <c r="EN110" s="488"/>
      <c r="EO110" s="488"/>
      <c r="EP110" s="488"/>
      <c r="EQ110" s="488"/>
      <c r="ER110" s="488"/>
      <c r="ES110" s="488"/>
      <c r="ET110" s="488"/>
      <c r="EU110" s="488"/>
      <c r="EV110" s="488"/>
      <c r="EW110" s="488"/>
      <c r="EX110" s="488"/>
      <c r="EY110" s="488"/>
      <c r="EZ110" s="488"/>
      <c r="FA110" s="488"/>
      <c r="FB110" s="488"/>
      <c r="FC110" s="488"/>
      <c r="FD110" s="488"/>
      <c r="FE110" s="488"/>
      <c r="FF110" s="488"/>
      <c r="FG110" s="488"/>
      <c r="FH110" s="488"/>
    </row>
    <row r="111" spans="1:164" ht="13.05" hidden="1" customHeight="1" x14ac:dyDescent="0.25">
      <c r="A111" t="str">
        <f>Nutrients!B110</f>
        <v>Sunflower oil</v>
      </c>
      <c r="B111" s="99"/>
      <c r="C111" s="99"/>
      <c r="D111" s="99"/>
      <c r="E111" s="99"/>
      <c r="F111" s="99"/>
      <c r="G111" s="99"/>
      <c r="H111" s="99"/>
      <c r="I111" s="99"/>
      <c r="J111" s="99"/>
      <c r="K111" s="99"/>
      <c r="L111" s="99"/>
      <c r="M111" s="99"/>
      <c r="N111" s="99"/>
      <c r="O111" s="10"/>
      <c r="P111" s="99"/>
      <c r="Q111" s="99"/>
      <c r="R111" s="99"/>
      <c r="S111" s="99"/>
      <c r="T111" s="99"/>
      <c r="U111" s="99"/>
      <c r="W111" s="99"/>
      <c r="X111" s="99"/>
      <c r="Y111" s="99"/>
      <c r="Z111" s="99"/>
      <c r="AA111" s="99"/>
      <c r="AB111" s="99"/>
      <c r="AD111" s="99"/>
      <c r="AE111" s="99"/>
      <c r="AF111" s="99"/>
      <c r="AG111" s="99"/>
      <c r="AH111" s="99"/>
      <c r="AI111" s="99"/>
      <c r="AK111" s="99"/>
      <c r="AL111" s="99"/>
      <c r="AM111" s="99"/>
      <c r="AN111" s="99"/>
      <c r="AO111" s="99"/>
      <c r="AP111" s="99"/>
      <c r="AR111" s="99"/>
      <c r="AS111" s="99"/>
      <c r="AT111" s="99"/>
      <c r="AU111" s="99"/>
      <c r="AV111" s="99"/>
      <c r="AW111" s="99"/>
      <c r="AY111" s="488"/>
      <c r="AZ111" s="488"/>
      <c r="BA111" s="488"/>
      <c r="BB111" s="488"/>
      <c r="BC111" s="488"/>
      <c r="BD111" s="488"/>
      <c r="BE111" s="488"/>
      <c r="BF111" s="488"/>
      <c r="BG111" s="488"/>
      <c r="BH111" s="488"/>
      <c r="BI111" s="488"/>
      <c r="BJ111" s="488"/>
      <c r="BK111" s="488"/>
      <c r="BL111" s="488"/>
      <c r="BM111" s="488"/>
      <c r="BN111" s="488"/>
      <c r="BO111" s="488"/>
      <c r="BP111" s="488"/>
      <c r="BQ111" s="488"/>
      <c r="BR111" s="488"/>
      <c r="BS111" s="488"/>
      <c r="BT111" s="488"/>
      <c r="BU111" s="488"/>
      <c r="BV111" s="488"/>
      <c r="BW111" s="488"/>
      <c r="BX111" s="488"/>
      <c r="BY111" s="488"/>
      <c r="BZ111" s="488"/>
      <c r="CA111" s="488"/>
      <c r="CB111" s="488"/>
      <c r="CC111" s="488"/>
      <c r="CD111" s="488"/>
      <c r="CE111" s="488"/>
      <c r="CF111" s="488"/>
      <c r="CG111" s="488"/>
      <c r="CH111" s="488"/>
      <c r="CI111" s="488"/>
      <c r="CJ111" s="488"/>
      <c r="CK111" s="488"/>
      <c r="CL111" s="488"/>
      <c r="CM111" s="488"/>
      <c r="CN111" s="488"/>
      <c r="CO111" s="488"/>
      <c r="CP111" s="488"/>
      <c r="CQ111" s="488"/>
      <c r="CR111" s="488"/>
      <c r="CS111" s="488"/>
      <c r="CT111" s="488"/>
      <c r="CU111" s="488"/>
      <c r="CV111" s="488"/>
      <c r="CW111" s="488"/>
      <c r="CX111" s="488"/>
      <c r="CY111" s="488"/>
      <c r="CZ111" s="488"/>
      <c r="DA111" s="488"/>
      <c r="DB111" s="488"/>
      <c r="DC111" s="488"/>
      <c r="DD111" s="488"/>
      <c r="DE111" s="488"/>
      <c r="DF111" s="488"/>
      <c r="DG111" s="488"/>
      <c r="DH111" s="488"/>
      <c r="DI111" s="488"/>
      <c r="DJ111" s="488"/>
      <c r="DK111" s="488"/>
      <c r="DL111" s="488"/>
      <c r="DM111" s="488"/>
      <c r="DN111" s="488"/>
      <c r="DO111" s="488"/>
      <c r="DP111" s="488"/>
      <c r="DQ111" s="488"/>
      <c r="DR111" s="488"/>
      <c r="DS111" s="488"/>
      <c r="DT111" s="488"/>
      <c r="DU111" s="488"/>
      <c r="DV111" s="488"/>
      <c r="DW111" s="488"/>
      <c r="DX111" s="488"/>
      <c r="DY111" s="488"/>
      <c r="DZ111" s="488"/>
      <c r="EA111" s="488"/>
      <c r="EB111" s="488"/>
      <c r="EC111" s="488"/>
      <c r="ED111" s="488"/>
      <c r="EE111" s="488"/>
      <c r="EF111" s="488"/>
      <c r="EG111" s="488"/>
      <c r="EH111" s="488"/>
      <c r="EI111" s="488"/>
      <c r="EJ111" s="488"/>
      <c r="EK111" s="488"/>
      <c r="EL111" s="488"/>
      <c r="EM111" s="488"/>
      <c r="EN111" s="488"/>
      <c r="EO111" s="488"/>
      <c r="EP111" s="488"/>
      <c r="EQ111" s="488"/>
      <c r="ER111" s="488"/>
      <c r="ES111" s="488"/>
      <c r="ET111" s="488"/>
      <c r="EU111" s="488"/>
      <c r="EV111" s="488"/>
      <c r="EW111" s="488"/>
      <c r="EX111" s="488"/>
      <c r="EY111" s="488"/>
      <c r="EZ111" s="488"/>
      <c r="FA111" s="488"/>
      <c r="FB111" s="488"/>
      <c r="FC111" s="488"/>
      <c r="FD111" s="488"/>
      <c r="FE111" s="488"/>
      <c r="FF111" s="488"/>
      <c r="FG111" s="488"/>
      <c r="FH111" s="488"/>
    </row>
    <row r="112" spans="1:164" ht="13.05" hidden="1" customHeight="1" x14ac:dyDescent="0.25">
      <c r="A112" t="str">
        <f>Nutrients!B111</f>
        <v>Fat, A/V blend</v>
      </c>
      <c r="B112" s="99"/>
      <c r="C112" s="99"/>
      <c r="D112" s="99"/>
      <c r="E112" s="99"/>
      <c r="F112" s="99"/>
      <c r="G112" s="99"/>
      <c r="H112" s="99"/>
      <c r="I112" s="99"/>
      <c r="J112" s="99"/>
      <c r="K112" s="99"/>
      <c r="L112" s="99"/>
      <c r="M112" s="99"/>
      <c r="N112" s="99"/>
      <c r="O112" s="10"/>
      <c r="P112" s="99"/>
      <c r="Q112" s="99"/>
      <c r="R112" s="99"/>
      <c r="S112" s="99"/>
      <c r="T112" s="99"/>
      <c r="U112" s="99"/>
      <c r="W112" s="99"/>
      <c r="X112" s="99"/>
      <c r="Y112" s="99"/>
      <c r="Z112" s="99"/>
      <c r="AA112" s="99"/>
      <c r="AB112" s="99"/>
      <c r="AD112" s="99"/>
      <c r="AE112" s="99"/>
      <c r="AF112" s="99"/>
      <c r="AG112" s="99"/>
      <c r="AH112" s="99"/>
      <c r="AI112" s="99"/>
      <c r="AK112" s="99"/>
      <c r="AL112" s="99"/>
      <c r="AM112" s="99"/>
      <c r="AN112" s="99"/>
      <c r="AO112" s="99"/>
      <c r="AP112" s="99"/>
      <c r="AR112" s="99"/>
      <c r="AS112" s="99"/>
      <c r="AT112" s="99"/>
      <c r="AU112" s="99"/>
      <c r="AV112" s="99"/>
      <c r="AW112" s="99"/>
      <c r="AY112" s="488"/>
      <c r="AZ112" s="488"/>
      <c r="BA112" s="488"/>
      <c r="BB112" s="488"/>
      <c r="BC112" s="488"/>
      <c r="BD112" s="488"/>
      <c r="BE112" s="488"/>
      <c r="BF112" s="488"/>
      <c r="BG112" s="488"/>
      <c r="BH112" s="488"/>
      <c r="BI112" s="488"/>
      <c r="BJ112" s="488"/>
      <c r="BK112" s="488"/>
      <c r="BL112" s="488"/>
      <c r="BM112" s="488"/>
      <c r="BN112" s="488"/>
      <c r="BO112" s="488"/>
      <c r="BP112" s="488"/>
      <c r="BQ112" s="488"/>
      <c r="BR112" s="488"/>
      <c r="BS112" s="488"/>
      <c r="BT112" s="488"/>
      <c r="BU112" s="488"/>
      <c r="BV112" s="488"/>
      <c r="BW112" s="488"/>
      <c r="BX112" s="488"/>
      <c r="BY112" s="488"/>
      <c r="BZ112" s="488"/>
      <c r="CA112" s="488"/>
      <c r="CB112" s="488"/>
      <c r="CC112" s="488"/>
      <c r="CD112" s="488"/>
      <c r="CE112" s="488"/>
      <c r="CF112" s="488"/>
      <c r="CG112" s="488"/>
      <c r="CH112" s="488"/>
      <c r="CI112" s="488"/>
      <c r="CJ112" s="488"/>
      <c r="CK112" s="488"/>
      <c r="CL112" s="488"/>
      <c r="CM112" s="488"/>
      <c r="CN112" s="488"/>
      <c r="CO112" s="488"/>
      <c r="CP112" s="488"/>
      <c r="CQ112" s="488"/>
      <c r="CR112" s="488"/>
      <c r="CS112" s="488"/>
      <c r="CT112" s="488"/>
      <c r="CU112" s="488"/>
      <c r="CV112" s="488"/>
      <c r="CW112" s="488"/>
      <c r="CX112" s="488"/>
      <c r="CY112" s="488"/>
      <c r="CZ112" s="488"/>
      <c r="DA112" s="488"/>
      <c r="DB112" s="488"/>
      <c r="DC112" s="488"/>
      <c r="DD112" s="488"/>
      <c r="DE112" s="488"/>
      <c r="DF112" s="488"/>
      <c r="DG112" s="488"/>
      <c r="DH112" s="488"/>
      <c r="DI112" s="488"/>
      <c r="DJ112" s="488"/>
      <c r="DK112" s="488"/>
      <c r="DL112" s="488"/>
      <c r="DM112" s="488"/>
      <c r="DN112" s="488"/>
      <c r="DO112" s="488"/>
      <c r="DP112" s="488"/>
      <c r="DQ112" s="488"/>
      <c r="DR112" s="488"/>
      <c r="DS112" s="488"/>
      <c r="DT112" s="488"/>
      <c r="DU112" s="488"/>
      <c r="DV112" s="488"/>
      <c r="DW112" s="488"/>
      <c r="DX112" s="488"/>
      <c r="DY112" s="488"/>
      <c r="DZ112" s="488"/>
      <c r="EA112" s="488"/>
      <c r="EB112" s="488"/>
      <c r="EC112" s="488"/>
      <c r="ED112" s="488"/>
      <c r="EE112" s="488"/>
      <c r="EF112" s="488"/>
      <c r="EG112" s="488"/>
      <c r="EH112" s="488"/>
      <c r="EI112" s="488"/>
      <c r="EJ112" s="488"/>
      <c r="EK112" s="488"/>
      <c r="EL112" s="488"/>
      <c r="EM112" s="488"/>
      <c r="EN112" s="488"/>
      <c r="EO112" s="488"/>
      <c r="EP112" s="488"/>
      <c r="EQ112" s="488"/>
      <c r="ER112" s="488"/>
      <c r="ES112" s="488"/>
      <c r="ET112" s="488"/>
      <c r="EU112" s="488"/>
      <c r="EV112" s="488"/>
      <c r="EW112" s="488"/>
      <c r="EX112" s="488"/>
      <c r="EY112" s="488"/>
      <c r="EZ112" s="488"/>
      <c r="FA112" s="488"/>
      <c r="FB112" s="488"/>
      <c r="FC112" s="488"/>
      <c r="FD112" s="488"/>
      <c r="FE112" s="488"/>
      <c r="FF112" s="488"/>
      <c r="FG112" s="488"/>
      <c r="FH112" s="488"/>
    </row>
    <row r="113" spans="1:164" x14ac:dyDescent="0.25">
      <c r="A113" t="s">
        <v>327</v>
      </c>
      <c r="B113" s="106">
        <v>20.784768068928035</v>
      </c>
      <c r="C113" s="106">
        <v>19.294892849162764</v>
      </c>
      <c r="D113" s="106">
        <v>19.202445555729952</v>
      </c>
      <c r="E113" s="106">
        <v>18.570305542378705</v>
      </c>
      <c r="F113" s="106">
        <v>18</v>
      </c>
      <c r="G113" s="106">
        <v>17.663512601760306</v>
      </c>
      <c r="H113" s="106"/>
      <c r="I113" s="106">
        <v>21.444409694945055</v>
      </c>
      <c r="J113" s="106">
        <v>19.98553862860571</v>
      </c>
      <c r="K113" s="106">
        <v>19.840873680160215</v>
      </c>
      <c r="L113" s="106">
        <v>19.236124633910652</v>
      </c>
      <c r="M113" s="106">
        <v>18.688958388234227</v>
      </c>
      <c r="N113" s="106">
        <v>18.326770533828554</v>
      </c>
      <c r="O113" s="29"/>
      <c r="P113" s="106">
        <v>22.108119813047963</v>
      </c>
      <c r="Q113" s="106">
        <v>20.660220383685797</v>
      </c>
      <c r="R113" s="106">
        <v>20.500873680160215</v>
      </c>
      <c r="S113" s="106">
        <v>19.896124633910652</v>
      </c>
      <c r="T113" s="106">
        <v>19.348958388234227</v>
      </c>
      <c r="U113" s="106">
        <v>18.986770533828555</v>
      </c>
      <c r="V113" s="9"/>
      <c r="W113" s="106">
        <v>22.768119813047964</v>
      </c>
      <c r="X113" s="106">
        <v>21.320220383685797</v>
      </c>
      <c r="Y113" s="106">
        <v>21.160873680160215</v>
      </c>
      <c r="Z113" s="106">
        <v>20.556124633910652</v>
      </c>
      <c r="AA113" s="106">
        <v>20.008958388234227</v>
      </c>
      <c r="AB113" s="106">
        <v>19.776948503520693</v>
      </c>
      <c r="AC113" s="2"/>
      <c r="AD113" s="106">
        <v>23.428119813047964</v>
      </c>
      <c r="AE113" s="106">
        <v>21.980220383685797</v>
      </c>
      <c r="AF113" s="106">
        <v>21.820873680160215</v>
      </c>
      <c r="AG113" s="106">
        <v>21.243448046973779</v>
      </c>
      <c r="AH113" s="106">
        <v>21.073538708709563</v>
      </c>
      <c r="AI113" s="106">
        <v>20.965067860594516</v>
      </c>
      <c r="AJ113" s="2"/>
      <c r="AK113" s="106">
        <v>24.088119813047964</v>
      </c>
      <c r="AL113" s="106">
        <v>22.640220383685797</v>
      </c>
      <c r="AM113" s="106">
        <v>22.480873680160215</v>
      </c>
      <c r="AN113" s="106">
        <v>22.222553735248766</v>
      </c>
      <c r="AO113" s="106">
        <v>22.260768777249535</v>
      </c>
      <c r="AP113" s="106">
        <v>22.153269320897163</v>
      </c>
      <c r="AQ113" s="2"/>
      <c r="AR113" s="106">
        <v>24.748119813047964</v>
      </c>
      <c r="AS113" s="106">
        <v>23.300220383685797</v>
      </c>
      <c r="AT113" s="106">
        <v>23.169584881524777</v>
      </c>
      <c r="AU113" s="106">
        <v>23.421147625303597</v>
      </c>
      <c r="AV113" s="106">
        <v>23.448077661856235</v>
      </c>
      <c r="AW113" s="106">
        <v>23.341533487872475</v>
      </c>
      <c r="AX113" s="9"/>
      <c r="AY113" s="488"/>
      <c r="AZ113" s="488"/>
      <c r="BA113" s="488"/>
      <c r="BB113" s="488"/>
      <c r="BC113" s="488"/>
      <c r="BD113" s="488"/>
      <c r="BE113" s="488"/>
      <c r="BF113" s="488"/>
      <c r="BG113" s="488"/>
      <c r="BH113" s="488"/>
      <c r="BI113" s="488"/>
      <c r="BJ113" s="488"/>
      <c r="BK113" s="488"/>
      <c r="BL113" s="488"/>
      <c r="BM113" s="488"/>
      <c r="BN113" s="488"/>
      <c r="BO113" s="488"/>
      <c r="BP113" s="488"/>
      <c r="BQ113" s="488"/>
      <c r="BR113" s="488"/>
      <c r="BS113" s="488"/>
      <c r="BT113" s="488"/>
      <c r="BU113" s="488"/>
      <c r="BV113" s="488"/>
      <c r="BW113" s="488"/>
      <c r="BX113" s="488"/>
      <c r="BY113" s="488"/>
      <c r="BZ113" s="488"/>
      <c r="CA113" s="488"/>
      <c r="CB113" s="488"/>
      <c r="CC113" s="488"/>
      <c r="CD113" s="488"/>
      <c r="CE113" s="488"/>
      <c r="CF113" s="488"/>
      <c r="CG113" s="488"/>
      <c r="CH113" s="488"/>
      <c r="CI113" s="488"/>
      <c r="CJ113" s="488"/>
      <c r="CK113" s="488"/>
      <c r="CL113" s="488"/>
      <c r="CM113" s="488"/>
      <c r="CN113" s="488"/>
      <c r="CO113" s="488"/>
      <c r="CP113" s="488"/>
      <c r="CQ113" s="488"/>
      <c r="CR113" s="488"/>
      <c r="CS113" s="488"/>
      <c r="CT113" s="488"/>
      <c r="CU113" s="488"/>
      <c r="CV113" s="488"/>
      <c r="CW113" s="488"/>
      <c r="CX113" s="488"/>
      <c r="CY113" s="488"/>
      <c r="CZ113" s="488"/>
      <c r="DA113" s="488"/>
      <c r="DB113" s="488"/>
      <c r="DC113" s="488"/>
      <c r="DD113" s="488"/>
      <c r="DE113" s="488"/>
      <c r="DF113" s="488"/>
      <c r="DG113" s="488"/>
      <c r="DH113" s="488"/>
      <c r="DI113" s="488"/>
      <c r="DJ113" s="488"/>
      <c r="DK113" s="488"/>
      <c r="DL113" s="488"/>
      <c r="DM113" s="488"/>
      <c r="DN113" s="488"/>
      <c r="DO113" s="488"/>
      <c r="DP113" s="488"/>
      <c r="DQ113" s="488"/>
      <c r="DR113" s="488"/>
      <c r="DS113" s="488"/>
      <c r="DT113" s="488"/>
      <c r="DU113" s="488"/>
      <c r="DV113" s="488"/>
      <c r="DW113" s="488"/>
      <c r="DX113" s="488"/>
      <c r="DY113" s="488"/>
      <c r="DZ113" s="488"/>
      <c r="EA113" s="488"/>
      <c r="EB113" s="488"/>
      <c r="EC113" s="488"/>
      <c r="ED113" s="488"/>
      <c r="EE113" s="488"/>
      <c r="EF113" s="488"/>
      <c r="EG113" s="488"/>
      <c r="EH113" s="488"/>
      <c r="EI113" s="488"/>
      <c r="EJ113" s="488"/>
      <c r="EK113" s="488"/>
      <c r="EL113" s="488"/>
      <c r="EM113" s="488"/>
      <c r="EN113" s="488"/>
      <c r="EO113" s="488"/>
      <c r="EP113" s="488"/>
      <c r="EQ113" s="488"/>
      <c r="ER113" s="488"/>
      <c r="ES113" s="488"/>
      <c r="ET113" s="488"/>
      <c r="EU113" s="488"/>
      <c r="EV113" s="488"/>
      <c r="EW113" s="488"/>
      <c r="EX113" s="488"/>
      <c r="EY113" s="488"/>
      <c r="EZ113" s="488"/>
      <c r="FA113" s="488"/>
      <c r="FB113" s="488"/>
      <c r="FC113" s="488"/>
      <c r="FD113" s="488"/>
      <c r="FE113" s="488"/>
      <c r="FF113" s="488"/>
      <c r="FG113" s="488"/>
      <c r="FH113" s="488"/>
    </row>
    <row r="114" spans="1:164" ht="13.05" hidden="1" customHeight="1" x14ac:dyDescent="0.25">
      <c r="A114" t="str">
        <f>Nutrients!B113</f>
        <v>Calcium phosphate (tricalcium)</v>
      </c>
      <c r="B114" s="106"/>
      <c r="C114" s="106"/>
      <c r="D114" s="106"/>
      <c r="E114" s="106"/>
      <c r="F114" s="106"/>
      <c r="G114" s="106"/>
      <c r="H114" s="106"/>
      <c r="I114" s="106"/>
      <c r="J114" s="106"/>
      <c r="K114" s="106"/>
      <c r="L114" s="106"/>
      <c r="M114" s="106"/>
      <c r="N114" s="106"/>
      <c r="O114" s="29"/>
      <c r="P114" s="106"/>
      <c r="Q114" s="106"/>
      <c r="R114" s="106"/>
      <c r="S114" s="106"/>
      <c r="T114" s="106"/>
      <c r="U114" s="106"/>
      <c r="V114" s="9"/>
      <c r="W114" s="106"/>
      <c r="X114" s="106"/>
      <c r="Y114" s="106"/>
      <c r="Z114" s="106"/>
      <c r="AA114" s="106"/>
      <c r="AB114" s="106"/>
      <c r="AC114" s="2"/>
      <c r="AD114" s="106"/>
      <c r="AE114" s="106"/>
      <c r="AF114" s="106"/>
      <c r="AG114" s="106"/>
      <c r="AH114" s="106"/>
      <c r="AI114" s="106"/>
      <c r="AJ114" s="2"/>
      <c r="AK114" s="106"/>
      <c r="AL114" s="106"/>
      <c r="AM114" s="106"/>
      <c r="AN114" s="106"/>
      <c r="AO114" s="106"/>
      <c r="AP114" s="106"/>
      <c r="AQ114" s="2"/>
      <c r="AR114" s="106"/>
      <c r="AS114" s="106"/>
      <c r="AT114" s="106"/>
      <c r="AU114" s="106"/>
      <c r="AV114" s="106"/>
      <c r="AW114" s="106"/>
      <c r="AX114" s="9"/>
      <c r="AY114" s="488"/>
      <c r="AZ114" s="488"/>
      <c r="BA114" s="488"/>
      <c r="BB114" s="488"/>
      <c r="BC114" s="488"/>
      <c r="BD114" s="488"/>
      <c r="BE114" s="488"/>
      <c r="BF114" s="488"/>
      <c r="BG114" s="488"/>
      <c r="BH114" s="488"/>
      <c r="BI114" s="488"/>
      <c r="BJ114" s="488"/>
      <c r="BK114" s="488"/>
      <c r="BL114" s="488"/>
      <c r="BM114" s="488"/>
      <c r="BN114" s="488"/>
      <c r="BO114" s="488"/>
      <c r="BP114" s="488"/>
      <c r="BQ114" s="488"/>
      <c r="BR114" s="488"/>
      <c r="BS114" s="488"/>
      <c r="BT114" s="488"/>
      <c r="BU114" s="488"/>
      <c r="BV114" s="488"/>
      <c r="BW114" s="488"/>
      <c r="BX114" s="488"/>
      <c r="BY114" s="488"/>
      <c r="BZ114" s="488"/>
      <c r="CA114" s="488"/>
      <c r="CB114" s="488"/>
      <c r="CC114" s="488"/>
      <c r="CD114" s="488"/>
      <c r="CE114" s="488"/>
      <c r="CF114" s="488"/>
      <c r="CG114" s="488"/>
      <c r="CH114" s="488"/>
      <c r="CI114" s="488"/>
      <c r="CJ114" s="488"/>
      <c r="CK114" s="488"/>
      <c r="CL114" s="488"/>
      <c r="CM114" s="488"/>
      <c r="CN114" s="488"/>
      <c r="CO114" s="488"/>
      <c r="CP114" s="488"/>
      <c r="CQ114" s="488"/>
      <c r="CR114" s="488"/>
      <c r="CS114" s="488"/>
      <c r="CT114" s="488"/>
      <c r="CU114" s="488"/>
      <c r="CV114" s="488"/>
      <c r="CW114" s="488"/>
      <c r="CX114" s="488"/>
      <c r="CY114" s="488"/>
      <c r="CZ114" s="488"/>
      <c r="DA114" s="488"/>
      <c r="DB114" s="488"/>
      <c r="DC114" s="488"/>
      <c r="DD114" s="488"/>
      <c r="DE114" s="488"/>
      <c r="DF114" s="488"/>
      <c r="DG114" s="488"/>
      <c r="DH114" s="488"/>
      <c r="DI114" s="488"/>
      <c r="DJ114" s="488"/>
      <c r="DK114" s="488"/>
      <c r="DL114" s="488"/>
      <c r="DM114" s="488"/>
      <c r="DN114" s="488"/>
      <c r="DO114" s="488"/>
      <c r="DP114" s="488"/>
      <c r="DQ114" s="488"/>
      <c r="DR114" s="488"/>
      <c r="DS114" s="488"/>
      <c r="DT114" s="488"/>
      <c r="DU114" s="488"/>
      <c r="DV114" s="488"/>
      <c r="DW114" s="488"/>
      <c r="DX114" s="488"/>
      <c r="DY114" s="488"/>
      <c r="DZ114" s="488"/>
      <c r="EA114" s="488"/>
      <c r="EB114" s="488"/>
      <c r="EC114" s="488"/>
      <c r="ED114" s="488"/>
      <c r="EE114" s="488"/>
      <c r="EF114" s="488"/>
      <c r="EG114" s="488"/>
      <c r="EH114" s="488"/>
      <c r="EI114" s="488"/>
      <c r="EJ114" s="488"/>
      <c r="EK114" s="488"/>
      <c r="EL114" s="488"/>
      <c r="EM114" s="488"/>
      <c r="EN114" s="488"/>
      <c r="EO114" s="488"/>
      <c r="EP114" s="488"/>
      <c r="EQ114" s="488"/>
      <c r="ER114" s="488"/>
      <c r="ES114" s="488"/>
      <c r="ET114" s="488"/>
      <c r="EU114" s="488"/>
      <c r="EV114" s="488"/>
      <c r="EW114" s="488"/>
      <c r="EX114" s="488"/>
      <c r="EY114" s="488"/>
      <c r="EZ114" s="488"/>
      <c r="FA114" s="488"/>
      <c r="FB114" s="488"/>
      <c r="FC114" s="488"/>
      <c r="FD114" s="488"/>
      <c r="FE114" s="488"/>
      <c r="FF114" s="488"/>
      <c r="FG114" s="488"/>
      <c r="FH114" s="488"/>
    </row>
    <row r="115" spans="1:164" hidden="1" x14ac:dyDescent="0.25">
      <c r="A115" t="str">
        <f>Nutrients!B114</f>
        <v>Calcium phosphate (dicalcium)</v>
      </c>
      <c r="B115" s="106"/>
      <c r="C115" s="106"/>
      <c r="D115" s="106"/>
      <c r="E115" s="106"/>
      <c r="F115" s="106"/>
      <c r="G115" s="106"/>
      <c r="H115" s="106"/>
      <c r="I115" s="106"/>
      <c r="J115" s="106"/>
      <c r="K115" s="106"/>
      <c r="L115" s="106"/>
      <c r="M115" s="106"/>
      <c r="N115" s="106"/>
      <c r="O115" s="29"/>
      <c r="P115" s="106"/>
      <c r="Q115" s="106"/>
      <c r="R115" s="106"/>
      <c r="S115" s="106"/>
      <c r="T115" s="106"/>
      <c r="U115" s="106"/>
      <c r="V115" s="9"/>
      <c r="W115" s="106"/>
      <c r="X115" s="106"/>
      <c r="Y115" s="106"/>
      <c r="Z115" s="106"/>
      <c r="AA115" s="106"/>
      <c r="AB115" s="106"/>
      <c r="AC115" s="2"/>
      <c r="AD115" s="106"/>
      <c r="AE115" s="106"/>
      <c r="AF115" s="106"/>
      <c r="AG115" s="106"/>
      <c r="AH115" s="106"/>
      <c r="AI115" s="106"/>
      <c r="AJ115" s="2"/>
      <c r="AK115" s="106"/>
      <c r="AL115" s="106"/>
      <c r="AM115" s="106"/>
      <c r="AN115" s="106"/>
      <c r="AO115" s="106"/>
      <c r="AP115" s="106"/>
      <c r="AQ115" s="2"/>
      <c r="AR115" s="106"/>
      <c r="AS115" s="106"/>
      <c r="AT115" s="106"/>
      <c r="AU115" s="106"/>
      <c r="AV115" s="106"/>
      <c r="AW115" s="106"/>
      <c r="AX115" s="9"/>
      <c r="AY115" s="488"/>
      <c r="AZ115" s="488"/>
      <c r="BA115" s="488"/>
      <c r="BB115" s="488"/>
      <c r="BC115" s="488"/>
      <c r="BD115" s="488"/>
      <c r="BE115" s="488"/>
      <c r="BF115" s="488"/>
      <c r="BG115" s="488"/>
      <c r="BH115" s="488"/>
      <c r="BI115" s="488"/>
      <c r="BJ115" s="488"/>
      <c r="BK115" s="488"/>
      <c r="BL115" s="488"/>
      <c r="BM115" s="488"/>
      <c r="BN115" s="488"/>
      <c r="BO115" s="488"/>
      <c r="BP115" s="488"/>
      <c r="BQ115" s="488"/>
      <c r="BR115" s="488"/>
      <c r="BS115" s="488"/>
      <c r="BT115" s="488"/>
      <c r="BU115" s="488"/>
      <c r="BV115" s="488"/>
      <c r="BW115" s="488"/>
      <c r="BX115" s="488"/>
      <c r="BY115" s="488"/>
      <c r="BZ115" s="488"/>
      <c r="CA115" s="488"/>
      <c r="CB115" s="488"/>
      <c r="CC115" s="488"/>
      <c r="CD115" s="488"/>
      <c r="CE115" s="488"/>
      <c r="CF115" s="488"/>
      <c r="CG115" s="488"/>
      <c r="CH115" s="488"/>
      <c r="CI115" s="488"/>
      <c r="CJ115" s="488"/>
      <c r="CK115" s="488"/>
      <c r="CL115" s="488"/>
      <c r="CM115" s="488"/>
      <c r="CN115" s="488"/>
      <c r="CO115" s="488"/>
      <c r="CP115" s="488"/>
      <c r="CQ115" s="488"/>
      <c r="CR115" s="488"/>
      <c r="CS115" s="488"/>
      <c r="CT115" s="488"/>
      <c r="CU115" s="488"/>
      <c r="CV115" s="488"/>
      <c r="CW115" s="488"/>
      <c r="CX115" s="488"/>
      <c r="CY115" s="488"/>
      <c r="CZ115" s="488"/>
      <c r="DA115" s="488"/>
      <c r="DB115" s="488"/>
      <c r="DC115" s="488"/>
      <c r="DD115" s="488"/>
      <c r="DE115" s="488"/>
      <c r="DF115" s="488"/>
      <c r="DG115" s="488"/>
      <c r="DH115" s="488"/>
      <c r="DI115" s="488"/>
      <c r="DJ115" s="488"/>
      <c r="DK115" s="488"/>
      <c r="DL115" s="488"/>
      <c r="DM115" s="488"/>
      <c r="DN115" s="488"/>
      <c r="DO115" s="488"/>
      <c r="DP115" s="488"/>
      <c r="DQ115" s="488"/>
      <c r="DR115" s="488"/>
      <c r="DS115" s="488"/>
      <c r="DT115" s="488"/>
      <c r="DU115" s="488"/>
      <c r="DV115" s="488"/>
      <c r="DW115" s="488"/>
      <c r="DX115" s="488"/>
      <c r="DY115" s="488"/>
      <c r="DZ115" s="488"/>
      <c r="EA115" s="488"/>
      <c r="EB115" s="488"/>
      <c r="EC115" s="488"/>
      <c r="ED115" s="488"/>
      <c r="EE115" s="488"/>
      <c r="EF115" s="488"/>
      <c r="EG115" s="488"/>
      <c r="EH115" s="488"/>
      <c r="EI115" s="488"/>
      <c r="EJ115" s="488"/>
      <c r="EK115" s="488"/>
      <c r="EL115" s="488"/>
      <c r="EM115" s="488"/>
      <c r="EN115" s="488"/>
      <c r="EO115" s="488"/>
      <c r="EP115" s="488"/>
      <c r="EQ115" s="488"/>
      <c r="ER115" s="488"/>
      <c r="ES115" s="488"/>
      <c r="ET115" s="488"/>
      <c r="EU115" s="488"/>
      <c r="EV115" s="488"/>
      <c r="EW115" s="488"/>
      <c r="EX115" s="488"/>
      <c r="EY115" s="488"/>
      <c r="EZ115" s="488"/>
      <c r="FA115" s="488"/>
      <c r="FB115" s="488"/>
      <c r="FC115" s="488"/>
      <c r="FD115" s="488"/>
      <c r="FE115" s="488"/>
      <c r="FF115" s="488"/>
      <c r="FG115" s="488"/>
      <c r="FH115" s="488"/>
    </row>
    <row r="116" spans="1:164" x14ac:dyDescent="0.25">
      <c r="A116" t="s">
        <v>330</v>
      </c>
      <c r="B116" s="106">
        <v>14.460830899366599</v>
      </c>
      <c r="C116" s="106">
        <v>11.269382271474324</v>
      </c>
      <c r="D116" s="106">
        <v>7.9992000000000001</v>
      </c>
      <c r="E116" s="106">
        <v>5.7362235571478868</v>
      </c>
      <c r="F116" s="106">
        <v>4.249911842640179</v>
      </c>
      <c r="G116" s="106">
        <v>3.6237362366975527</v>
      </c>
      <c r="H116" s="106"/>
      <c r="I116" s="106">
        <v>13.135843328864507</v>
      </c>
      <c r="J116" s="106">
        <v>10.032841615499999</v>
      </c>
      <c r="K116" s="106">
        <v>6.6376572816597772</v>
      </c>
      <c r="L116" s="106">
        <v>4.436223557147887</v>
      </c>
      <c r="M116" s="106">
        <v>2.9499118426401791</v>
      </c>
      <c r="N116" s="106">
        <v>2.3237362366975525</v>
      </c>
      <c r="O116" s="29"/>
      <c r="P116" s="106">
        <v>11.835843328864506</v>
      </c>
      <c r="Q116" s="106">
        <v>8.7328416154999982</v>
      </c>
      <c r="R116" s="106">
        <v>5.3376572816597774</v>
      </c>
      <c r="S116" s="106">
        <v>3.1362235571478871</v>
      </c>
      <c r="T116" s="106">
        <v>1.6499118426401791</v>
      </c>
      <c r="U116" s="106">
        <v>1.0237362366975524</v>
      </c>
      <c r="V116" s="9"/>
      <c r="W116" s="106">
        <v>10.535843328864505</v>
      </c>
      <c r="X116" s="106">
        <v>7.4328416154999983</v>
      </c>
      <c r="Y116" s="106">
        <v>4.0376572816597776</v>
      </c>
      <c r="Z116" s="106">
        <v>1.8362235571478871</v>
      </c>
      <c r="AA116" s="106">
        <v>0.34991184264017905</v>
      </c>
      <c r="AB116" s="106"/>
      <c r="AC116" s="2"/>
      <c r="AD116" s="106">
        <v>9.2358433288645045</v>
      </c>
      <c r="AE116" s="106">
        <v>6.1328416154999985</v>
      </c>
      <c r="AF116" s="106">
        <v>2.7376572816597777</v>
      </c>
      <c r="AG116" s="106">
        <v>0.53622355714788705</v>
      </c>
      <c r="AH116" s="106"/>
      <c r="AI116" s="106"/>
      <c r="AJ116" s="2"/>
      <c r="AK116" s="106">
        <v>7.9358433288645047</v>
      </c>
      <c r="AL116" s="106">
        <v>4.8328416154999987</v>
      </c>
      <c r="AM116" s="106">
        <v>1.4376572816597777</v>
      </c>
      <c r="AN116" s="106"/>
      <c r="AO116" s="106"/>
      <c r="AP116" s="106"/>
      <c r="AQ116" s="2"/>
      <c r="AR116" s="106">
        <v>6.6358433288645049</v>
      </c>
      <c r="AS116" s="106">
        <v>3.5328416154999989</v>
      </c>
      <c r="AT116" s="106">
        <v>0.13765728165977764</v>
      </c>
      <c r="AU116" s="106"/>
      <c r="AV116" s="106"/>
      <c r="AW116" s="106"/>
      <c r="AX116" s="9"/>
      <c r="AY116" s="488"/>
      <c r="AZ116" s="488"/>
      <c r="BA116" s="488"/>
      <c r="BB116" s="488"/>
      <c r="BC116" s="488"/>
      <c r="BD116" s="488"/>
      <c r="BE116" s="488"/>
      <c r="BF116" s="488"/>
      <c r="BG116" s="488"/>
      <c r="BH116" s="488"/>
      <c r="BI116" s="488"/>
      <c r="BJ116" s="488"/>
      <c r="BK116" s="488"/>
      <c r="BL116" s="488"/>
      <c r="BM116" s="488"/>
      <c r="BN116" s="488"/>
      <c r="BO116" s="488"/>
      <c r="BP116" s="488"/>
      <c r="BQ116" s="488"/>
      <c r="BR116" s="488"/>
      <c r="BS116" s="488"/>
      <c r="BT116" s="488"/>
      <c r="BU116" s="488"/>
      <c r="BV116" s="488"/>
      <c r="BW116" s="488"/>
      <c r="BX116" s="488"/>
      <c r="BY116" s="488"/>
      <c r="BZ116" s="488"/>
      <c r="CA116" s="488"/>
      <c r="CB116" s="488"/>
      <c r="CC116" s="488"/>
      <c r="CD116" s="488"/>
      <c r="CE116" s="488"/>
      <c r="CF116" s="488"/>
      <c r="CG116" s="488"/>
      <c r="CH116" s="488"/>
      <c r="CI116" s="488"/>
      <c r="CJ116" s="488"/>
      <c r="CK116" s="488"/>
      <c r="CL116" s="488"/>
      <c r="CM116" s="488"/>
      <c r="CN116" s="488"/>
      <c r="CO116" s="488"/>
      <c r="CP116" s="488"/>
      <c r="CQ116" s="488"/>
      <c r="CR116" s="488"/>
      <c r="CS116" s="488"/>
      <c r="CT116" s="488"/>
      <c r="CU116" s="488"/>
      <c r="CV116" s="488"/>
      <c r="CW116" s="488"/>
      <c r="CX116" s="488"/>
      <c r="CY116" s="488"/>
      <c r="CZ116" s="488"/>
      <c r="DA116" s="488"/>
      <c r="DB116" s="488"/>
      <c r="DC116" s="488"/>
      <c r="DD116" s="488"/>
      <c r="DE116" s="488"/>
      <c r="DF116" s="488"/>
      <c r="DG116" s="488"/>
      <c r="DH116" s="488"/>
      <c r="DI116" s="488"/>
      <c r="DJ116" s="488"/>
      <c r="DK116" s="488"/>
      <c r="DL116" s="488"/>
      <c r="DM116" s="488"/>
      <c r="DN116" s="488"/>
      <c r="DO116" s="488"/>
      <c r="DP116" s="488"/>
      <c r="DQ116" s="488"/>
      <c r="DR116" s="488"/>
      <c r="DS116" s="488"/>
      <c r="DT116" s="488"/>
      <c r="DU116" s="488"/>
      <c r="DV116" s="488"/>
      <c r="DW116" s="488"/>
      <c r="DX116" s="488"/>
      <c r="DY116" s="488"/>
      <c r="DZ116" s="488"/>
      <c r="EA116" s="488"/>
      <c r="EB116" s="488"/>
      <c r="EC116" s="488"/>
      <c r="ED116" s="488"/>
      <c r="EE116" s="488"/>
      <c r="EF116" s="488"/>
      <c r="EG116" s="488"/>
      <c r="EH116" s="488"/>
      <c r="EI116" s="488"/>
      <c r="EJ116" s="488"/>
      <c r="EK116" s="488"/>
      <c r="EL116" s="488"/>
      <c r="EM116" s="488"/>
      <c r="EN116" s="488"/>
      <c r="EO116" s="488"/>
      <c r="EP116" s="488"/>
      <c r="EQ116" s="488"/>
      <c r="ER116" s="488"/>
      <c r="ES116" s="488"/>
      <c r="ET116" s="488"/>
      <c r="EU116" s="488"/>
      <c r="EV116" s="488"/>
      <c r="EW116" s="488"/>
      <c r="EX116" s="488"/>
      <c r="EY116" s="488"/>
      <c r="EZ116" s="488"/>
      <c r="FA116" s="488"/>
      <c r="FB116" s="488"/>
      <c r="FC116" s="488"/>
      <c r="FD116" s="488"/>
      <c r="FE116" s="488"/>
      <c r="FF116" s="488"/>
      <c r="FG116" s="488"/>
      <c r="FH116" s="488"/>
    </row>
    <row r="117" spans="1:164" ht="13.05" hidden="1" customHeight="1" x14ac:dyDescent="0.25">
      <c r="A117" t="str">
        <f>Nutrients!B116</f>
        <v>Calcium sulfate, dihydrate</v>
      </c>
      <c r="B117" s="106"/>
      <c r="C117" s="106"/>
      <c r="D117" s="106"/>
      <c r="E117" s="106"/>
      <c r="F117" s="106"/>
      <c r="G117" s="106"/>
      <c r="H117" s="106"/>
      <c r="I117" s="106"/>
      <c r="J117" s="106"/>
      <c r="K117" s="106"/>
      <c r="L117" s="106"/>
      <c r="M117" s="106"/>
      <c r="N117" s="106"/>
      <c r="O117" s="29"/>
      <c r="P117" s="106"/>
      <c r="Q117" s="106"/>
      <c r="R117" s="106"/>
      <c r="S117" s="106"/>
      <c r="T117" s="106"/>
      <c r="U117" s="106"/>
      <c r="V117" s="9"/>
      <c r="W117" s="106"/>
      <c r="X117" s="106"/>
      <c r="Y117" s="106"/>
      <c r="Z117" s="106"/>
      <c r="AA117" s="106"/>
      <c r="AB117" s="106"/>
      <c r="AC117" s="2"/>
      <c r="AD117" s="106"/>
      <c r="AE117" s="106"/>
      <c r="AF117" s="106"/>
      <c r="AG117" s="106"/>
      <c r="AH117" s="106"/>
      <c r="AI117" s="106"/>
      <c r="AJ117" s="2"/>
      <c r="AK117" s="106"/>
      <c r="AL117" s="106"/>
      <c r="AM117" s="106"/>
      <c r="AN117" s="106"/>
      <c r="AO117" s="106"/>
      <c r="AP117" s="106"/>
      <c r="AQ117" s="2"/>
      <c r="AR117" s="106"/>
      <c r="AS117" s="106"/>
      <c r="AT117" s="106"/>
      <c r="AU117" s="106"/>
      <c r="AV117" s="106"/>
      <c r="AW117" s="106"/>
      <c r="AX117" s="9"/>
      <c r="AY117" s="488"/>
      <c r="AZ117" s="488"/>
      <c r="BA117" s="488"/>
      <c r="BB117" s="488"/>
      <c r="BC117" s="488"/>
      <c r="BD117" s="488"/>
      <c r="BE117" s="488"/>
      <c r="BF117" s="488"/>
      <c r="BG117" s="488"/>
      <c r="BH117" s="488"/>
      <c r="BI117" s="488"/>
      <c r="BJ117" s="488"/>
      <c r="BK117" s="488"/>
      <c r="BL117" s="488"/>
      <c r="BM117" s="488"/>
      <c r="BN117" s="488"/>
      <c r="BO117" s="488"/>
      <c r="BP117" s="488"/>
      <c r="BQ117" s="488"/>
      <c r="BR117" s="488"/>
      <c r="BS117" s="488"/>
      <c r="BT117" s="488"/>
      <c r="BU117" s="488"/>
      <c r="BV117" s="488"/>
      <c r="BW117" s="488"/>
      <c r="BX117" s="488"/>
      <c r="BY117" s="488"/>
      <c r="BZ117" s="488"/>
      <c r="CA117" s="488"/>
      <c r="CB117" s="488"/>
      <c r="CC117" s="488"/>
      <c r="CD117" s="488"/>
      <c r="CE117" s="488"/>
      <c r="CF117" s="488"/>
      <c r="CG117" s="488"/>
      <c r="CH117" s="488"/>
      <c r="CI117" s="488"/>
      <c r="CJ117" s="488"/>
      <c r="CK117" s="488"/>
      <c r="CL117" s="488"/>
      <c r="CM117" s="488"/>
      <c r="CN117" s="488"/>
      <c r="CO117" s="488"/>
      <c r="CP117" s="488"/>
      <c r="CQ117" s="488"/>
      <c r="CR117" s="488"/>
      <c r="CS117" s="488"/>
      <c r="CT117" s="488"/>
      <c r="CU117" s="488"/>
      <c r="CV117" s="488"/>
      <c r="CW117" s="488"/>
      <c r="CX117" s="488"/>
      <c r="CY117" s="488"/>
      <c r="CZ117" s="488"/>
      <c r="DA117" s="488"/>
      <c r="DB117" s="488"/>
      <c r="DC117" s="488"/>
      <c r="DD117" s="488"/>
      <c r="DE117" s="488"/>
      <c r="DF117" s="488"/>
      <c r="DG117" s="488"/>
      <c r="DH117" s="488"/>
      <c r="DI117" s="488"/>
      <c r="DJ117" s="488"/>
      <c r="DK117" s="488"/>
      <c r="DL117" s="488"/>
      <c r="DM117" s="488"/>
      <c r="DN117" s="488"/>
      <c r="DO117" s="488"/>
      <c r="DP117" s="488"/>
      <c r="DQ117" s="488"/>
      <c r="DR117" s="488"/>
      <c r="DS117" s="488"/>
      <c r="DT117" s="488"/>
      <c r="DU117" s="488"/>
      <c r="DV117" s="488"/>
      <c r="DW117" s="488"/>
      <c r="DX117" s="488"/>
      <c r="DY117" s="488"/>
      <c r="DZ117" s="488"/>
      <c r="EA117" s="488"/>
      <c r="EB117" s="488"/>
      <c r="EC117" s="488"/>
      <c r="ED117" s="488"/>
      <c r="EE117" s="488"/>
      <c r="EF117" s="488"/>
      <c r="EG117" s="488"/>
      <c r="EH117" s="488"/>
      <c r="EI117" s="488"/>
      <c r="EJ117" s="488"/>
      <c r="EK117" s="488"/>
      <c r="EL117" s="488"/>
      <c r="EM117" s="488"/>
      <c r="EN117" s="488"/>
      <c r="EO117" s="488"/>
      <c r="EP117" s="488"/>
      <c r="EQ117" s="488"/>
      <c r="ER117" s="488"/>
      <c r="ES117" s="488"/>
      <c r="ET117" s="488"/>
      <c r="EU117" s="488"/>
      <c r="EV117" s="488"/>
      <c r="EW117" s="488"/>
      <c r="EX117" s="488"/>
      <c r="EY117" s="488"/>
      <c r="EZ117" s="488"/>
      <c r="FA117" s="488"/>
      <c r="FB117" s="488"/>
      <c r="FC117" s="488"/>
      <c r="FD117" s="488"/>
      <c r="FE117" s="488"/>
      <c r="FF117" s="488"/>
      <c r="FG117" s="488"/>
      <c r="FH117" s="488"/>
    </row>
    <row r="118" spans="1:164" ht="13.05" hidden="1" customHeight="1" x14ac:dyDescent="0.25">
      <c r="A118" t="str">
        <f>Nutrients!B117</f>
        <v>Limestone, ground</v>
      </c>
      <c r="B118" s="106"/>
      <c r="C118" s="106"/>
      <c r="D118" s="106"/>
      <c r="E118" s="106"/>
      <c r="F118" s="106"/>
      <c r="G118" s="106"/>
      <c r="H118" s="106"/>
      <c r="I118" s="106"/>
      <c r="J118" s="106"/>
      <c r="K118" s="106"/>
      <c r="L118" s="106"/>
      <c r="M118" s="106"/>
      <c r="N118" s="106"/>
      <c r="O118" s="29"/>
      <c r="P118" s="106"/>
      <c r="Q118" s="106"/>
      <c r="R118" s="106"/>
      <c r="S118" s="106"/>
      <c r="T118" s="106"/>
      <c r="U118" s="106"/>
      <c r="V118" s="9"/>
      <c r="W118" s="106"/>
      <c r="X118" s="106"/>
      <c r="Y118" s="106"/>
      <c r="Z118" s="106"/>
      <c r="AA118" s="106"/>
      <c r="AB118" s="106"/>
      <c r="AC118" s="2"/>
      <c r="AD118" s="106"/>
      <c r="AE118" s="106"/>
      <c r="AF118" s="106"/>
      <c r="AG118" s="106"/>
      <c r="AH118" s="106"/>
      <c r="AI118" s="106"/>
      <c r="AJ118" s="2"/>
      <c r="AK118" s="106"/>
      <c r="AL118" s="106"/>
      <c r="AM118" s="106"/>
      <c r="AN118" s="106"/>
      <c r="AO118" s="106"/>
      <c r="AP118" s="106"/>
      <c r="AQ118" s="2"/>
      <c r="AR118" s="106"/>
      <c r="AS118" s="106"/>
      <c r="AT118" s="106"/>
      <c r="AU118" s="106"/>
      <c r="AV118" s="106"/>
      <c r="AW118" s="106"/>
      <c r="AX118" s="9"/>
      <c r="AY118" s="488"/>
      <c r="AZ118" s="488"/>
      <c r="BA118" s="488"/>
      <c r="BB118" s="488"/>
      <c r="BC118" s="488"/>
      <c r="BD118" s="488"/>
      <c r="BE118" s="488"/>
      <c r="BF118" s="488"/>
      <c r="BG118" s="488"/>
      <c r="BH118" s="488"/>
      <c r="BI118" s="488"/>
      <c r="BJ118" s="488"/>
      <c r="BK118" s="488"/>
      <c r="BL118" s="488"/>
      <c r="BM118" s="488"/>
      <c r="BN118" s="488"/>
      <c r="BO118" s="488"/>
      <c r="BP118" s="488"/>
      <c r="BQ118" s="488"/>
      <c r="BR118" s="488"/>
      <c r="BS118" s="488"/>
      <c r="BT118" s="488"/>
      <c r="BU118" s="488"/>
      <c r="BV118" s="488"/>
      <c r="BW118" s="488"/>
      <c r="BX118" s="488"/>
      <c r="BY118" s="488"/>
      <c r="BZ118" s="488"/>
      <c r="CA118" s="488"/>
      <c r="CB118" s="488"/>
      <c r="CC118" s="488"/>
      <c r="CD118" s="488"/>
      <c r="CE118" s="488"/>
      <c r="CF118" s="488"/>
      <c r="CG118" s="488"/>
      <c r="CH118" s="488"/>
      <c r="CI118" s="488"/>
      <c r="CJ118" s="488"/>
      <c r="CK118" s="488"/>
      <c r="CL118" s="488"/>
      <c r="CM118" s="488"/>
      <c r="CN118" s="488"/>
      <c r="CO118" s="488"/>
      <c r="CP118" s="488"/>
      <c r="CQ118" s="488"/>
      <c r="CR118" s="488"/>
      <c r="CS118" s="488"/>
      <c r="CT118" s="488"/>
      <c r="CU118" s="488"/>
      <c r="CV118" s="488"/>
      <c r="CW118" s="488"/>
      <c r="CX118" s="488"/>
      <c r="CY118" s="488"/>
      <c r="CZ118" s="488"/>
      <c r="DA118" s="488"/>
      <c r="DB118" s="488"/>
      <c r="DC118" s="488"/>
      <c r="DD118" s="488"/>
      <c r="DE118" s="488"/>
      <c r="DF118" s="488"/>
      <c r="DG118" s="488"/>
      <c r="DH118" s="488"/>
      <c r="DI118" s="488"/>
      <c r="DJ118" s="488"/>
      <c r="DK118" s="488"/>
      <c r="DL118" s="488"/>
      <c r="DM118" s="488"/>
      <c r="DN118" s="488"/>
      <c r="DO118" s="488"/>
      <c r="DP118" s="488"/>
      <c r="DQ118" s="488"/>
      <c r="DR118" s="488"/>
      <c r="DS118" s="488"/>
      <c r="DT118" s="488"/>
      <c r="DU118" s="488"/>
      <c r="DV118" s="488"/>
      <c r="DW118" s="488"/>
      <c r="DX118" s="488"/>
      <c r="DY118" s="488"/>
      <c r="DZ118" s="488"/>
      <c r="EA118" s="488"/>
      <c r="EB118" s="488"/>
      <c r="EC118" s="488"/>
      <c r="ED118" s="488"/>
      <c r="EE118" s="488"/>
      <c r="EF118" s="488"/>
      <c r="EG118" s="488"/>
      <c r="EH118" s="488"/>
      <c r="EI118" s="488"/>
      <c r="EJ118" s="488"/>
      <c r="EK118" s="488"/>
      <c r="EL118" s="488"/>
      <c r="EM118" s="488"/>
      <c r="EN118" s="488"/>
      <c r="EO118" s="488"/>
      <c r="EP118" s="488"/>
      <c r="EQ118" s="488"/>
      <c r="ER118" s="488"/>
      <c r="ES118" s="488"/>
      <c r="ET118" s="488"/>
      <c r="EU118" s="488"/>
      <c r="EV118" s="488"/>
      <c r="EW118" s="488"/>
      <c r="EX118" s="488"/>
      <c r="EY118" s="488"/>
      <c r="EZ118" s="488"/>
      <c r="FA118" s="488"/>
      <c r="FB118" s="488"/>
      <c r="FC118" s="488"/>
      <c r="FD118" s="488"/>
      <c r="FE118" s="488"/>
      <c r="FF118" s="488"/>
      <c r="FG118" s="488"/>
      <c r="FH118" s="488"/>
    </row>
    <row r="119" spans="1:164" ht="13.05" hidden="1" customHeight="1" x14ac:dyDescent="0.25">
      <c r="A119" t="str">
        <f>Nutrients!B118</f>
        <v>Magnesium phosphate</v>
      </c>
      <c r="B119" s="106"/>
      <c r="C119" s="106"/>
      <c r="D119" s="106"/>
      <c r="E119" s="106"/>
      <c r="F119" s="106"/>
      <c r="G119" s="106"/>
      <c r="H119" s="106"/>
      <c r="I119" s="106"/>
      <c r="J119" s="106"/>
      <c r="K119" s="106"/>
      <c r="L119" s="106"/>
      <c r="M119" s="106"/>
      <c r="N119" s="106"/>
      <c r="O119" s="29"/>
      <c r="P119" s="106"/>
      <c r="Q119" s="106"/>
      <c r="R119" s="106"/>
      <c r="S119" s="106"/>
      <c r="T119" s="106"/>
      <c r="U119" s="106"/>
      <c r="V119" s="9"/>
      <c r="W119" s="106"/>
      <c r="X119" s="106"/>
      <c r="Y119" s="106"/>
      <c r="Z119" s="106"/>
      <c r="AA119" s="106"/>
      <c r="AB119" s="106"/>
      <c r="AC119" s="2"/>
      <c r="AD119" s="106"/>
      <c r="AE119" s="106"/>
      <c r="AF119" s="106"/>
      <c r="AG119" s="106"/>
      <c r="AH119" s="106"/>
      <c r="AI119" s="106"/>
      <c r="AJ119" s="2"/>
      <c r="AK119" s="106"/>
      <c r="AL119" s="106"/>
      <c r="AM119" s="106"/>
      <c r="AN119" s="106"/>
      <c r="AO119" s="106"/>
      <c r="AP119" s="106"/>
      <c r="AQ119" s="2"/>
      <c r="AR119" s="106"/>
      <c r="AS119" s="106"/>
      <c r="AT119" s="106"/>
      <c r="AU119" s="106"/>
      <c r="AV119" s="106"/>
      <c r="AW119" s="106"/>
      <c r="AX119" s="9"/>
      <c r="AY119" s="488"/>
      <c r="AZ119" s="488"/>
      <c r="BA119" s="488"/>
      <c r="BB119" s="488"/>
      <c r="BC119" s="488"/>
      <c r="BD119" s="488"/>
      <c r="BE119" s="488"/>
      <c r="BF119" s="488"/>
      <c r="BG119" s="488"/>
      <c r="BH119" s="488"/>
      <c r="BI119" s="488"/>
      <c r="BJ119" s="488"/>
      <c r="BK119" s="488"/>
      <c r="BL119" s="488"/>
      <c r="BM119" s="488"/>
      <c r="BN119" s="488"/>
      <c r="BO119" s="488"/>
      <c r="BP119" s="488"/>
      <c r="BQ119" s="488"/>
      <c r="BR119" s="488"/>
      <c r="BS119" s="488"/>
      <c r="BT119" s="488"/>
      <c r="BU119" s="488"/>
      <c r="BV119" s="488"/>
      <c r="BW119" s="488"/>
      <c r="BX119" s="488"/>
      <c r="BY119" s="488"/>
      <c r="BZ119" s="488"/>
      <c r="CA119" s="488"/>
      <c r="CB119" s="488"/>
      <c r="CC119" s="488"/>
      <c r="CD119" s="488"/>
      <c r="CE119" s="488"/>
      <c r="CF119" s="488"/>
      <c r="CG119" s="488"/>
      <c r="CH119" s="488"/>
      <c r="CI119" s="488"/>
      <c r="CJ119" s="488"/>
      <c r="CK119" s="488"/>
      <c r="CL119" s="488"/>
      <c r="CM119" s="488"/>
      <c r="CN119" s="488"/>
      <c r="CO119" s="488"/>
      <c r="CP119" s="488"/>
      <c r="CQ119" s="488"/>
      <c r="CR119" s="488"/>
      <c r="CS119" s="488"/>
      <c r="CT119" s="488"/>
      <c r="CU119" s="488"/>
      <c r="CV119" s="488"/>
      <c r="CW119" s="488"/>
      <c r="CX119" s="488"/>
      <c r="CY119" s="488"/>
      <c r="CZ119" s="488"/>
      <c r="DA119" s="488"/>
      <c r="DB119" s="488"/>
      <c r="DC119" s="488"/>
      <c r="DD119" s="488"/>
      <c r="DE119" s="488"/>
      <c r="DF119" s="488"/>
      <c r="DG119" s="488"/>
      <c r="DH119" s="488"/>
      <c r="DI119" s="488"/>
      <c r="DJ119" s="488"/>
      <c r="DK119" s="488"/>
      <c r="DL119" s="488"/>
      <c r="DM119" s="488"/>
      <c r="DN119" s="488"/>
      <c r="DO119" s="488"/>
      <c r="DP119" s="488"/>
      <c r="DQ119" s="488"/>
      <c r="DR119" s="488"/>
      <c r="DS119" s="488"/>
      <c r="DT119" s="488"/>
      <c r="DU119" s="488"/>
      <c r="DV119" s="488"/>
      <c r="DW119" s="488"/>
      <c r="DX119" s="488"/>
      <c r="DY119" s="488"/>
      <c r="DZ119" s="488"/>
      <c r="EA119" s="488"/>
      <c r="EB119" s="488"/>
      <c r="EC119" s="488"/>
      <c r="ED119" s="488"/>
      <c r="EE119" s="488"/>
      <c r="EF119" s="488"/>
      <c r="EG119" s="488"/>
      <c r="EH119" s="488"/>
      <c r="EI119" s="488"/>
      <c r="EJ119" s="488"/>
      <c r="EK119" s="488"/>
      <c r="EL119" s="488"/>
      <c r="EM119" s="488"/>
      <c r="EN119" s="488"/>
      <c r="EO119" s="488"/>
      <c r="EP119" s="488"/>
      <c r="EQ119" s="488"/>
      <c r="ER119" s="488"/>
      <c r="ES119" s="488"/>
      <c r="ET119" s="488"/>
      <c r="EU119" s="488"/>
      <c r="EV119" s="488"/>
      <c r="EW119" s="488"/>
      <c r="EX119" s="488"/>
      <c r="EY119" s="488"/>
      <c r="EZ119" s="488"/>
      <c r="FA119" s="488"/>
      <c r="FB119" s="488"/>
      <c r="FC119" s="488"/>
      <c r="FD119" s="488"/>
      <c r="FE119" s="488"/>
      <c r="FF119" s="488"/>
      <c r="FG119" s="488"/>
      <c r="FH119" s="488"/>
    </row>
    <row r="120" spans="1:164" ht="13.05" hidden="1" customHeight="1" x14ac:dyDescent="0.25">
      <c r="A120" t="str">
        <f>Nutrients!B119</f>
        <v>Sodium carbonate</v>
      </c>
      <c r="B120" s="106"/>
      <c r="C120" s="106"/>
      <c r="D120" s="106"/>
      <c r="E120" s="106"/>
      <c r="F120" s="106"/>
      <c r="G120" s="106"/>
      <c r="H120" s="106"/>
      <c r="I120" s="106"/>
      <c r="J120" s="106"/>
      <c r="K120" s="106"/>
      <c r="L120" s="106"/>
      <c r="M120" s="106"/>
      <c r="N120" s="106"/>
      <c r="O120" s="29"/>
      <c r="P120" s="106"/>
      <c r="Q120" s="106"/>
      <c r="R120" s="106"/>
      <c r="S120" s="106"/>
      <c r="T120" s="106"/>
      <c r="U120" s="106"/>
      <c r="V120" s="9"/>
      <c r="W120" s="106"/>
      <c r="X120" s="106"/>
      <c r="Y120" s="106"/>
      <c r="Z120" s="106"/>
      <c r="AA120" s="106"/>
      <c r="AB120" s="106"/>
      <c r="AC120" s="2"/>
      <c r="AD120" s="106"/>
      <c r="AE120" s="106"/>
      <c r="AF120" s="106"/>
      <c r="AG120" s="106"/>
      <c r="AH120" s="106"/>
      <c r="AI120" s="106"/>
      <c r="AJ120" s="2"/>
      <c r="AK120" s="106"/>
      <c r="AL120" s="106"/>
      <c r="AM120" s="106"/>
      <c r="AN120" s="106"/>
      <c r="AO120" s="106"/>
      <c r="AP120" s="106"/>
      <c r="AQ120" s="2"/>
      <c r="AR120" s="106"/>
      <c r="AS120" s="106"/>
      <c r="AT120" s="106"/>
      <c r="AU120" s="106"/>
      <c r="AV120" s="106"/>
      <c r="AW120" s="106"/>
      <c r="AX120" s="9"/>
      <c r="AY120" s="488"/>
      <c r="AZ120" s="488"/>
      <c r="BA120" s="488"/>
      <c r="BB120" s="488"/>
      <c r="BC120" s="488"/>
      <c r="BD120" s="488"/>
      <c r="BE120" s="488"/>
      <c r="BF120" s="488"/>
      <c r="BG120" s="488"/>
      <c r="BH120" s="488"/>
      <c r="BI120" s="488"/>
      <c r="BJ120" s="488"/>
      <c r="BK120" s="488"/>
      <c r="BL120" s="488"/>
      <c r="BM120" s="488"/>
      <c r="BN120" s="488"/>
      <c r="BO120" s="488"/>
      <c r="BP120" s="488"/>
      <c r="BQ120" s="488"/>
      <c r="BR120" s="488"/>
      <c r="BS120" s="488"/>
      <c r="BT120" s="488"/>
      <c r="BU120" s="488"/>
      <c r="BV120" s="488"/>
      <c r="BW120" s="488"/>
      <c r="BX120" s="488"/>
      <c r="BY120" s="488"/>
      <c r="BZ120" s="488"/>
      <c r="CA120" s="488"/>
      <c r="CB120" s="488"/>
      <c r="CC120" s="488"/>
      <c r="CD120" s="488"/>
      <c r="CE120" s="488"/>
      <c r="CF120" s="488"/>
      <c r="CG120" s="488"/>
      <c r="CH120" s="488"/>
      <c r="CI120" s="488"/>
      <c r="CJ120" s="488"/>
      <c r="CK120" s="488"/>
      <c r="CL120" s="488"/>
      <c r="CM120" s="488"/>
      <c r="CN120" s="488"/>
      <c r="CO120" s="488"/>
      <c r="CP120" s="488"/>
      <c r="CQ120" s="488"/>
      <c r="CR120" s="488"/>
      <c r="CS120" s="488"/>
      <c r="CT120" s="488"/>
      <c r="CU120" s="488"/>
      <c r="CV120" s="488"/>
      <c r="CW120" s="488"/>
      <c r="CX120" s="488"/>
      <c r="CY120" s="488"/>
      <c r="CZ120" s="488"/>
      <c r="DA120" s="488"/>
      <c r="DB120" s="488"/>
      <c r="DC120" s="488"/>
      <c r="DD120" s="488"/>
      <c r="DE120" s="488"/>
      <c r="DF120" s="488"/>
      <c r="DG120" s="488"/>
      <c r="DH120" s="488"/>
      <c r="DI120" s="488"/>
      <c r="DJ120" s="488"/>
      <c r="DK120" s="488"/>
      <c r="DL120" s="488"/>
      <c r="DM120" s="488"/>
      <c r="DN120" s="488"/>
      <c r="DO120" s="488"/>
      <c r="DP120" s="488"/>
      <c r="DQ120" s="488"/>
      <c r="DR120" s="488"/>
      <c r="DS120" s="488"/>
      <c r="DT120" s="488"/>
      <c r="DU120" s="488"/>
      <c r="DV120" s="488"/>
      <c r="DW120" s="488"/>
      <c r="DX120" s="488"/>
      <c r="DY120" s="488"/>
      <c r="DZ120" s="488"/>
      <c r="EA120" s="488"/>
      <c r="EB120" s="488"/>
      <c r="EC120" s="488"/>
      <c r="ED120" s="488"/>
      <c r="EE120" s="488"/>
      <c r="EF120" s="488"/>
      <c r="EG120" s="488"/>
      <c r="EH120" s="488"/>
      <c r="EI120" s="488"/>
      <c r="EJ120" s="488"/>
      <c r="EK120" s="488"/>
      <c r="EL120" s="488"/>
      <c r="EM120" s="488"/>
      <c r="EN120" s="488"/>
      <c r="EO120" s="488"/>
      <c r="EP120" s="488"/>
      <c r="EQ120" s="488"/>
      <c r="ER120" s="488"/>
      <c r="ES120" s="488"/>
      <c r="ET120" s="488"/>
      <c r="EU120" s="488"/>
      <c r="EV120" s="488"/>
      <c r="EW120" s="488"/>
      <c r="EX120" s="488"/>
      <c r="EY120" s="488"/>
      <c r="EZ120" s="488"/>
      <c r="FA120" s="488"/>
      <c r="FB120" s="488"/>
      <c r="FC120" s="488"/>
      <c r="FD120" s="488"/>
      <c r="FE120" s="488"/>
      <c r="FF120" s="488"/>
      <c r="FG120" s="488"/>
      <c r="FH120" s="488"/>
    </row>
    <row r="121" spans="1:164" ht="13.05" hidden="1" customHeight="1" x14ac:dyDescent="0.25">
      <c r="A121" t="str">
        <f>Nutrients!B120</f>
        <v>Sodium bicarbonate</v>
      </c>
      <c r="B121" s="106"/>
      <c r="C121" s="106"/>
      <c r="D121" s="106"/>
      <c r="E121" s="106"/>
      <c r="F121" s="106"/>
      <c r="G121" s="106"/>
      <c r="H121" s="106"/>
      <c r="I121" s="106"/>
      <c r="J121" s="106"/>
      <c r="K121" s="106"/>
      <c r="L121" s="106"/>
      <c r="M121" s="106"/>
      <c r="N121" s="106"/>
      <c r="O121" s="29"/>
      <c r="P121" s="106"/>
      <c r="Q121" s="106"/>
      <c r="R121" s="106"/>
      <c r="S121" s="106"/>
      <c r="T121" s="106"/>
      <c r="U121" s="106"/>
      <c r="V121" s="9"/>
      <c r="W121" s="106"/>
      <c r="X121" s="106"/>
      <c r="Y121" s="106"/>
      <c r="Z121" s="106"/>
      <c r="AA121" s="106"/>
      <c r="AB121" s="106"/>
      <c r="AC121" s="2"/>
      <c r="AD121" s="106"/>
      <c r="AE121" s="106"/>
      <c r="AF121" s="106"/>
      <c r="AG121" s="106"/>
      <c r="AH121" s="106"/>
      <c r="AI121" s="106"/>
      <c r="AJ121" s="2"/>
      <c r="AK121" s="106"/>
      <c r="AL121" s="106"/>
      <c r="AM121" s="106"/>
      <c r="AN121" s="106"/>
      <c r="AO121" s="106"/>
      <c r="AP121" s="106"/>
      <c r="AQ121" s="2"/>
      <c r="AR121" s="106"/>
      <c r="AS121" s="106"/>
      <c r="AT121" s="106"/>
      <c r="AU121" s="106"/>
      <c r="AV121" s="106"/>
      <c r="AW121" s="106"/>
      <c r="AX121" s="9"/>
      <c r="AY121" s="488"/>
      <c r="AZ121" s="488"/>
      <c r="BA121" s="488"/>
      <c r="BB121" s="488"/>
      <c r="BC121" s="488"/>
      <c r="BD121" s="488"/>
      <c r="BE121" s="488"/>
      <c r="BF121" s="488"/>
      <c r="BG121" s="488"/>
      <c r="BH121" s="488"/>
      <c r="BI121" s="488"/>
      <c r="BJ121" s="488"/>
      <c r="BK121" s="488"/>
      <c r="BL121" s="488"/>
      <c r="BM121" s="488"/>
      <c r="BN121" s="488"/>
      <c r="BO121" s="488"/>
      <c r="BP121" s="488"/>
      <c r="BQ121" s="488"/>
      <c r="BR121" s="488"/>
      <c r="BS121" s="488"/>
      <c r="BT121" s="488"/>
      <c r="BU121" s="488"/>
      <c r="BV121" s="488"/>
      <c r="BW121" s="488"/>
      <c r="BX121" s="488"/>
      <c r="BY121" s="488"/>
      <c r="BZ121" s="488"/>
      <c r="CA121" s="488"/>
      <c r="CB121" s="488"/>
      <c r="CC121" s="488"/>
      <c r="CD121" s="488"/>
      <c r="CE121" s="488"/>
      <c r="CF121" s="488"/>
      <c r="CG121" s="488"/>
      <c r="CH121" s="488"/>
      <c r="CI121" s="488"/>
      <c r="CJ121" s="488"/>
      <c r="CK121" s="488"/>
      <c r="CL121" s="488"/>
      <c r="CM121" s="488"/>
      <c r="CN121" s="488"/>
      <c r="CO121" s="488"/>
      <c r="CP121" s="488"/>
      <c r="CQ121" s="488"/>
      <c r="CR121" s="488"/>
      <c r="CS121" s="488"/>
      <c r="CT121" s="488"/>
      <c r="CU121" s="488"/>
      <c r="CV121" s="488"/>
      <c r="CW121" s="488"/>
      <c r="CX121" s="488"/>
      <c r="CY121" s="488"/>
      <c r="CZ121" s="488"/>
      <c r="DA121" s="488"/>
      <c r="DB121" s="488"/>
      <c r="DC121" s="488"/>
      <c r="DD121" s="488"/>
      <c r="DE121" s="488"/>
      <c r="DF121" s="488"/>
      <c r="DG121" s="488"/>
      <c r="DH121" s="488"/>
      <c r="DI121" s="488"/>
      <c r="DJ121" s="488"/>
      <c r="DK121" s="488"/>
      <c r="DL121" s="488"/>
      <c r="DM121" s="488"/>
      <c r="DN121" s="488"/>
      <c r="DO121" s="488"/>
      <c r="DP121" s="488"/>
      <c r="DQ121" s="488"/>
      <c r="DR121" s="488"/>
      <c r="DS121" s="488"/>
      <c r="DT121" s="488"/>
      <c r="DU121" s="488"/>
      <c r="DV121" s="488"/>
      <c r="DW121" s="488"/>
      <c r="DX121" s="488"/>
      <c r="DY121" s="488"/>
      <c r="DZ121" s="488"/>
      <c r="EA121" s="488"/>
      <c r="EB121" s="488"/>
      <c r="EC121" s="488"/>
      <c r="ED121" s="488"/>
      <c r="EE121" s="488"/>
      <c r="EF121" s="488"/>
      <c r="EG121" s="488"/>
      <c r="EH121" s="488"/>
      <c r="EI121" s="488"/>
      <c r="EJ121" s="488"/>
      <c r="EK121" s="488"/>
      <c r="EL121" s="488"/>
      <c r="EM121" s="488"/>
      <c r="EN121" s="488"/>
      <c r="EO121" s="488"/>
      <c r="EP121" s="488"/>
      <c r="EQ121" s="488"/>
      <c r="ER121" s="488"/>
      <c r="ES121" s="488"/>
      <c r="ET121" s="488"/>
      <c r="EU121" s="488"/>
      <c r="EV121" s="488"/>
      <c r="EW121" s="488"/>
      <c r="EX121" s="488"/>
      <c r="EY121" s="488"/>
      <c r="EZ121" s="488"/>
      <c r="FA121" s="488"/>
      <c r="FB121" s="488"/>
      <c r="FC121" s="488"/>
      <c r="FD121" s="488"/>
      <c r="FE121" s="488"/>
      <c r="FF121" s="488"/>
      <c r="FG121" s="488"/>
      <c r="FH121" s="488"/>
    </row>
    <row r="122" spans="1:164" x14ac:dyDescent="0.25">
      <c r="A122" t="str">
        <f>Nutrients!B121</f>
        <v>Sodium chloride</v>
      </c>
      <c r="B122" s="106">
        <v>7</v>
      </c>
      <c r="C122" s="106">
        <v>7</v>
      </c>
      <c r="D122" s="106">
        <v>7</v>
      </c>
      <c r="E122" s="106">
        <v>7</v>
      </c>
      <c r="F122" s="106">
        <v>7</v>
      </c>
      <c r="G122" s="106">
        <v>7</v>
      </c>
      <c r="H122" s="106"/>
      <c r="I122" s="106">
        <v>7</v>
      </c>
      <c r="J122" s="106">
        <v>7</v>
      </c>
      <c r="K122" s="106">
        <v>7</v>
      </c>
      <c r="L122" s="106">
        <v>7</v>
      </c>
      <c r="M122" s="106">
        <v>7</v>
      </c>
      <c r="N122" s="106">
        <v>7</v>
      </c>
      <c r="O122" s="29"/>
      <c r="P122" s="106">
        <v>7</v>
      </c>
      <c r="Q122" s="106">
        <v>7</v>
      </c>
      <c r="R122" s="106">
        <v>7</v>
      </c>
      <c r="S122" s="106">
        <v>7</v>
      </c>
      <c r="T122" s="106">
        <v>7</v>
      </c>
      <c r="U122" s="106">
        <v>7</v>
      </c>
      <c r="V122" s="9"/>
      <c r="W122" s="106">
        <v>7</v>
      </c>
      <c r="X122" s="106">
        <v>7</v>
      </c>
      <c r="Y122" s="106">
        <v>7</v>
      </c>
      <c r="Z122" s="106">
        <v>7</v>
      </c>
      <c r="AA122" s="106">
        <v>7</v>
      </c>
      <c r="AB122" s="106">
        <v>7</v>
      </c>
      <c r="AC122" s="2"/>
      <c r="AD122" s="106">
        <v>7</v>
      </c>
      <c r="AE122" s="106">
        <v>7</v>
      </c>
      <c r="AF122" s="106">
        <v>7</v>
      </c>
      <c r="AG122" s="106">
        <v>7</v>
      </c>
      <c r="AH122" s="106">
        <v>7</v>
      </c>
      <c r="AI122" s="106">
        <v>7</v>
      </c>
      <c r="AJ122" s="2"/>
      <c r="AK122" s="106">
        <v>7</v>
      </c>
      <c r="AL122" s="106">
        <v>7</v>
      </c>
      <c r="AM122" s="106">
        <v>7</v>
      </c>
      <c r="AN122" s="106">
        <v>7</v>
      </c>
      <c r="AO122" s="106">
        <v>7</v>
      </c>
      <c r="AP122" s="106">
        <v>7</v>
      </c>
      <c r="AQ122" s="2"/>
      <c r="AR122" s="106">
        <v>7</v>
      </c>
      <c r="AS122" s="106">
        <v>7</v>
      </c>
      <c r="AT122" s="106">
        <v>7</v>
      </c>
      <c r="AU122" s="106">
        <v>7</v>
      </c>
      <c r="AV122" s="106">
        <v>7</v>
      </c>
      <c r="AW122" s="106">
        <v>7</v>
      </c>
      <c r="AX122" s="9"/>
      <c r="AY122" s="488"/>
      <c r="AZ122" s="488"/>
      <c r="BA122" s="488"/>
      <c r="BB122" s="488"/>
      <c r="BC122" s="488"/>
      <c r="BD122" s="488"/>
      <c r="BE122" s="488"/>
      <c r="BF122" s="488"/>
      <c r="BG122" s="488"/>
      <c r="BH122" s="488"/>
      <c r="BI122" s="488"/>
      <c r="BJ122" s="488"/>
      <c r="BK122" s="488"/>
      <c r="BL122" s="488"/>
      <c r="BM122" s="488"/>
      <c r="BN122" s="488"/>
      <c r="BO122" s="488"/>
      <c r="BP122" s="488"/>
      <c r="BQ122" s="488"/>
      <c r="BR122" s="488"/>
      <c r="BS122" s="488"/>
      <c r="BT122" s="488"/>
      <c r="BU122" s="488"/>
      <c r="BV122" s="488"/>
      <c r="BW122" s="488"/>
      <c r="BX122" s="488"/>
      <c r="BY122" s="488"/>
      <c r="BZ122" s="488"/>
      <c r="CA122" s="488"/>
      <c r="CB122" s="488"/>
      <c r="CC122" s="488"/>
      <c r="CD122" s="488"/>
      <c r="CE122" s="488"/>
      <c r="CF122" s="488"/>
      <c r="CG122" s="488"/>
      <c r="CH122" s="488"/>
      <c r="CI122" s="488"/>
      <c r="CJ122" s="488"/>
      <c r="CK122" s="488"/>
      <c r="CL122" s="488"/>
      <c r="CM122" s="488"/>
      <c r="CN122" s="488"/>
      <c r="CO122" s="488"/>
      <c r="CP122" s="488"/>
      <c r="CQ122" s="488"/>
      <c r="CR122" s="488"/>
      <c r="CS122" s="488"/>
      <c r="CT122" s="488"/>
      <c r="CU122" s="488"/>
      <c r="CV122" s="488"/>
      <c r="CW122" s="488"/>
      <c r="CX122" s="488"/>
      <c r="CY122" s="488"/>
      <c r="CZ122" s="488"/>
      <c r="DA122" s="488"/>
      <c r="DB122" s="488"/>
      <c r="DC122" s="488"/>
      <c r="DD122" s="488"/>
      <c r="DE122" s="488"/>
      <c r="DF122" s="488"/>
      <c r="DG122" s="488"/>
      <c r="DH122" s="488"/>
      <c r="DI122" s="488"/>
      <c r="DJ122" s="488"/>
      <c r="DK122" s="488"/>
      <c r="DL122" s="488"/>
      <c r="DM122" s="488"/>
      <c r="DN122" s="488"/>
      <c r="DO122" s="488"/>
      <c r="DP122" s="488"/>
      <c r="DQ122" s="488"/>
      <c r="DR122" s="488"/>
      <c r="DS122" s="488"/>
      <c r="DT122" s="488"/>
      <c r="DU122" s="488"/>
      <c r="DV122" s="488"/>
      <c r="DW122" s="488"/>
      <c r="DX122" s="488"/>
      <c r="DY122" s="488"/>
      <c r="DZ122" s="488"/>
      <c r="EA122" s="488"/>
      <c r="EB122" s="488"/>
      <c r="EC122" s="488"/>
      <c r="ED122" s="488"/>
      <c r="EE122" s="488"/>
      <c r="EF122" s="488"/>
      <c r="EG122" s="488"/>
      <c r="EH122" s="488"/>
      <c r="EI122" s="488"/>
      <c r="EJ122" s="488"/>
      <c r="EK122" s="488"/>
      <c r="EL122" s="488"/>
      <c r="EM122" s="488"/>
      <c r="EN122" s="488"/>
      <c r="EO122" s="488"/>
      <c r="EP122" s="488"/>
      <c r="EQ122" s="488"/>
      <c r="ER122" s="488"/>
      <c r="ES122" s="488"/>
      <c r="ET122" s="488"/>
      <c r="EU122" s="488"/>
      <c r="EV122" s="488"/>
      <c r="EW122" s="488"/>
      <c r="EX122" s="488"/>
      <c r="EY122" s="488"/>
      <c r="EZ122" s="488"/>
      <c r="FA122" s="488"/>
      <c r="FB122" s="488"/>
      <c r="FC122" s="488"/>
      <c r="FD122" s="488"/>
      <c r="FE122" s="488"/>
      <c r="FF122" s="488"/>
      <c r="FG122" s="488"/>
      <c r="FH122" s="488"/>
    </row>
    <row r="123" spans="1:164" ht="13.05" hidden="1" customHeight="1" x14ac:dyDescent="0.25">
      <c r="A123" t="str">
        <f>Nutrients!B122</f>
        <v>Sodium phosphate, monobasic</v>
      </c>
      <c r="B123" s="106"/>
      <c r="C123" s="106"/>
      <c r="D123" s="106"/>
      <c r="E123" s="106"/>
      <c r="F123" s="106"/>
      <c r="G123" s="106"/>
      <c r="H123" s="106"/>
      <c r="I123" s="106"/>
      <c r="J123" s="106"/>
      <c r="K123" s="106"/>
      <c r="L123" s="106"/>
      <c r="M123" s="106"/>
      <c r="N123" s="106"/>
      <c r="O123" s="29"/>
      <c r="P123" s="106"/>
      <c r="Q123" s="106"/>
      <c r="R123" s="106"/>
      <c r="S123" s="106"/>
      <c r="T123" s="106"/>
      <c r="U123" s="106"/>
      <c r="V123" s="9"/>
      <c r="W123" s="106"/>
      <c r="X123" s="106"/>
      <c r="Y123" s="106"/>
      <c r="Z123" s="106"/>
      <c r="AA123" s="106"/>
      <c r="AB123" s="106"/>
      <c r="AC123" s="2"/>
      <c r="AD123" s="106"/>
      <c r="AE123" s="106"/>
      <c r="AF123" s="106"/>
      <c r="AG123" s="106"/>
      <c r="AH123" s="106"/>
      <c r="AI123" s="106"/>
      <c r="AJ123" s="2"/>
      <c r="AK123" s="106"/>
      <c r="AL123" s="106"/>
      <c r="AM123" s="106"/>
      <c r="AN123" s="106"/>
      <c r="AO123" s="106"/>
      <c r="AP123" s="106"/>
      <c r="AQ123" s="2"/>
      <c r="AR123" s="106"/>
      <c r="AS123" s="106"/>
      <c r="AT123" s="106"/>
      <c r="AU123" s="106"/>
      <c r="AV123" s="106"/>
      <c r="AW123" s="106"/>
      <c r="AX123" s="9"/>
      <c r="AY123" s="488"/>
      <c r="AZ123" s="488"/>
      <c r="BA123" s="488"/>
      <c r="BB123" s="488"/>
      <c r="BC123" s="488"/>
      <c r="BD123" s="488"/>
      <c r="BE123" s="488"/>
      <c r="BF123" s="488"/>
      <c r="BG123" s="488"/>
      <c r="BH123" s="488"/>
      <c r="BI123" s="488"/>
      <c r="BJ123" s="488"/>
      <c r="BK123" s="488"/>
      <c r="BL123" s="488"/>
      <c r="BM123" s="488"/>
      <c r="BN123" s="488"/>
      <c r="BO123" s="488"/>
      <c r="BP123" s="488"/>
      <c r="BQ123" s="488"/>
      <c r="BR123" s="488"/>
      <c r="BS123" s="488"/>
      <c r="BT123" s="488"/>
      <c r="BU123" s="488"/>
      <c r="BV123" s="488"/>
      <c r="BW123" s="488"/>
      <c r="BX123" s="488"/>
      <c r="BY123" s="488"/>
      <c r="BZ123" s="488"/>
      <c r="CA123" s="488"/>
      <c r="CB123" s="488"/>
      <c r="CC123" s="488"/>
      <c r="CD123" s="488"/>
      <c r="CE123" s="488"/>
      <c r="CF123" s="488"/>
      <c r="CG123" s="488"/>
      <c r="CH123" s="488"/>
      <c r="CI123" s="488"/>
      <c r="CJ123" s="488"/>
      <c r="CK123" s="488"/>
      <c r="CL123" s="488"/>
      <c r="CM123" s="488"/>
      <c r="CN123" s="488"/>
      <c r="CO123" s="488"/>
      <c r="CP123" s="488"/>
      <c r="CQ123" s="488"/>
      <c r="CR123" s="488"/>
      <c r="CS123" s="488"/>
      <c r="CT123" s="488"/>
      <c r="CU123" s="488"/>
      <c r="CV123" s="488"/>
      <c r="CW123" s="488"/>
      <c r="CX123" s="488"/>
      <c r="CY123" s="488"/>
      <c r="CZ123" s="488"/>
      <c r="DA123" s="488"/>
      <c r="DB123" s="488"/>
      <c r="DC123" s="488"/>
      <c r="DD123" s="488"/>
      <c r="DE123" s="488"/>
      <c r="DF123" s="488"/>
      <c r="DG123" s="488"/>
      <c r="DH123" s="488"/>
      <c r="DI123" s="488"/>
      <c r="DJ123" s="488"/>
      <c r="DK123" s="488"/>
      <c r="DL123" s="488"/>
      <c r="DM123" s="488"/>
      <c r="DN123" s="488"/>
      <c r="DO123" s="488"/>
      <c r="DP123" s="488"/>
      <c r="DQ123" s="488"/>
      <c r="DR123" s="488"/>
      <c r="DS123" s="488"/>
      <c r="DT123" s="488"/>
      <c r="DU123" s="488"/>
      <c r="DV123" s="488"/>
      <c r="DW123" s="488"/>
      <c r="DX123" s="488"/>
      <c r="DY123" s="488"/>
      <c r="DZ123" s="488"/>
      <c r="EA123" s="488"/>
      <c r="EB123" s="488"/>
      <c r="EC123" s="488"/>
      <c r="ED123" s="488"/>
      <c r="EE123" s="488"/>
      <c r="EF123" s="488"/>
      <c r="EG123" s="488"/>
      <c r="EH123" s="488"/>
      <c r="EI123" s="488"/>
      <c r="EJ123" s="488"/>
      <c r="EK123" s="488"/>
      <c r="EL123" s="488"/>
      <c r="EM123" s="488"/>
      <c r="EN123" s="488"/>
      <c r="EO123" s="488"/>
      <c r="EP123" s="488"/>
      <c r="EQ123" s="488"/>
      <c r="ER123" s="488"/>
      <c r="ES123" s="488"/>
      <c r="ET123" s="488"/>
      <c r="EU123" s="488"/>
      <c r="EV123" s="488"/>
      <c r="EW123" s="488"/>
      <c r="EX123" s="488"/>
      <c r="EY123" s="488"/>
      <c r="EZ123" s="488"/>
      <c r="FA123" s="488"/>
      <c r="FB123" s="488"/>
      <c r="FC123" s="488"/>
      <c r="FD123" s="488"/>
      <c r="FE123" s="488"/>
      <c r="FF123" s="488"/>
      <c r="FG123" s="488"/>
      <c r="FH123" s="488"/>
    </row>
    <row r="124" spans="1:164" ht="13.05" hidden="1" customHeight="1" x14ac:dyDescent="0.25">
      <c r="A124" t="str">
        <f>Nutrients!B123</f>
        <v>Sodium sulfate, decahydrate</v>
      </c>
      <c r="B124" s="106"/>
      <c r="C124" s="106"/>
      <c r="D124" s="106"/>
      <c r="E124" s="106"/>
      <c r="F124" s="106"/>
      <c r="G124" s="106"/>
      <c r="H124" s="106"/>
      <c r="I124" s="106"/>
      <c r="J124" s="106"/>
      <c r="K124" s="106"/>
      <c r="L124" s="106"/>
      <c r="M124" s="106"/>
      <c r="N124" s="106"/>
      <c r="O124" s="29"/>
      <c r="P124" s="106"/>
      <c r="Q124" s="106"/>
      <c r="R124" s="106"/>
      <c r="S124" s="106"/>
      <c r="T124" s="106"/>
      <c r="U124" s="106"/>
      <c r="V124" s="9"/>
      <c r="W124" s="106"/>
      <c r="X124" s="106"/>
      <c r="Y124" s="106"/>
      <c r="Z124" s="106"/>
      <c r="AA124" s="106"/>
      <c r="AB124" s="106"/>
      <c r="AC124" s="2"/>
      <c r="AD124" s="106"/>
      <c r="AE124" s="106"/>
      <c r="AF124" s="106"/>
      <c r="AG124" s="106"/>
      <c r="AH124" s="106"/>
      <c r="AI124" s="106"/>
      <c r="AJ124" s="2"/>
      <c r="AK124" s="106"/>
      <c r="AL124" s="106"/>
      <c r="AM124" s="106"/>
      <c r="AN124" s="106"/>
      <c r="AO124" s="106"/>
      <c r="AP124" s="106"/>
      <c r="AQ124" s="2"/>
      <c r="AR124" s="106"/>
      <c r="AS124" s="106"/>
      <c r="AT124" s="106"/>
      <c r="AU124" s="106"/>
      <c r="AV124" s="106"/>
      <c r="AW124" s="106"/>
      <c r="AX124" s="9"/>
      <c r="AY124" s="488"/>
      <c r="AZ124" s="488"/>
      <c r="BA124" s="488"/>
      <c r="BB124" s="488"/>
      <c r="BC124" s="488"/>
      <c r="BD124" s="488"/>
      <c r="BE124" s="488"/>
      <c r="BF124" s="488"/>
      <c r="BG124" s="488"/>
      <c r="BH124" s="488"/>
      <c r="BI124" s="488"/>
      <c r="BJ124" s="488"/>
      <c r="BK124" s="488"/>
      <c r="BL124" s="488"/>
      <c r="BM124" s="488"/>
      <c r="BN124" s="488"/>
      <c r="BO124" s="488"/>
      <c r="BP124" s="488"/>
      <c r="BQ124" s="488"/>
      <c r="BR124" s="488"/>
      <c r="BS124" s="488"/>
      <c r="BT124" s="488"/>
      <c r="BU124" s="488"/>
      <c r="BV124" s="488"/>
      <c r="BW124" s="488"/>
      <c r="BX124" s="488"/>
      <c r="BY124" s="488"/>
      <c r="BZ124" s="488"/>
      <c r="CA124" s="488"/>
      <c r="CB124" s="488"/>
      <c r="CC124" s="488"/>
      <c r="CD124" s="488"/>
      <c r="CE124" s="488"/>
      <c r="CF124" s="488"/>
      <c r="CG124" s="488"/>
      <c r="CH124" s="488"/>
      <c r="CI124" s="488"/>
      <c r="CJ124" s="488"/>
      <c r="CK124" s="488"/>
      <c r="CL124" s="488"/>
      <c r="CM124" s="488"/>
      <c r="CN124" s="488"/>
      <c r="CO124" s="488"/>
      <c r="CP124" s="488"/>
      <c r="CQ124" s="488"/>
      <c r="CR124" s="488"/>
      <c r="CS124" s="488"/>
      <c r="CT124" s="488"/>
      <c r="CU124" s="488"/>
      <c r="CV124" s="488"/>
      <c r="CW124" s="488"/>
      <c r="CX124" s="488"/>
      <c r="CY124" s="488"/>
      <c r="CZ124" s="488"/>
      <c r="DA124" s="488"/>
      <c r="DB124" s="488"/>
      <c r="DC124" s="488"/>
      <c r="DD124" s="488"/>
      <c r="DE124" s="488"/>
      <c r="DF124" s="488"/>
      <c r="DG124" s="488"/>
      <c r="DH124" s="488"/>
      <c r="DI124" s="488"/>
      <c r="DJ124" s="488"/>
      <c r="DK124" s="488"/>
      <c r="DL124" s="488"/>
      <c r="DM124" s="488"/>
      <c r="DN124" s="488"/>
      <c r="DO124" s="488"/>
      <c r="DP124" s="488"/>
      <c r="DQ124" s="488"/>
      <c r="DR124" s="488"/>
      <c r="DS124" s="488"/>
      <c r="DT124" s="488"/>
      <c r="DU124" s="488"/>
      <c r="DV124" s="488"/>
      <c r="DW124" s="488"/>
      <c r="DX124" s="488"/>
      <c r="DY124" s="488"/>
      <c r="DZ124" s="488"/>
      <c r="EA124" s="488"/>
      <c r="EB124" s="488"/>
      <c r="EC124" s="488"/>
      <c r="ED124" s="488"/>
      <c r="EE124" s="488"/>
      <c r="EF124" s="488"/>
      <c r="EG124" s="488"/>
      <c r="EH124" s="488"/>
      <c r="EI124" s="488"/>
      <c r="EJ124" s="488"/>
      <c r="EK124" s="488"/>
      <c r="EL124" s="488"/>
      <c r="EM124" s="488"/>
      <c r="EN124" s="488"/>
      <c r="EO124" s="488"/>
      <c r="EP124" s="488"/>
      <c r="EQ124" s="488"/>
      <c r="ER124" s="488"/>
      <c r="ES124" s="488"/>
      <c r="ET124" s="488"/>
      <c r="EU124" s="488"/>
      <c r="EV124" s="488"/>
      <c r="EW124" s="488"/>
      <c r="EX124" s="488"/>
      <c r="EY124" s="488"/>
      <c r="EZ124" s="488"/>
      <c r="FA124" s="488"/>
      <c r="FB124" s="488"/>
      <c r="FC124" s="488"/>
      <c r="FD124" s="488"/>
      <c r="FE124" s="488"/>
      <c r="FF124" s="488"/>
      <c r="FG124" s="488"/>
      <c r="FH124" s="488"/>
    </row>
    <row r="125" spans="1:164" x14ac:dyDescent="0.25">
      <c r="A125" t="s">
        <v>377</v>
      </c>
      <c r="B125" s="106">
        <v>9</v>
      </c>
      <c r="C125" s="106">
        <v>8</v>
      </c>
      <c r="D125" s="106">
        <v>7</v>
      </c>
      <c r="E125" s="106">
        <v>6.5209098242968704</v>
      </c>
      <c r="F125" s="106">
        <v>6.5209098242968704</v>
      </c>
      <c r="G125" s="106">
        <v>6.5209098242968704</v>
      </c>
      <c r="H125" s="106"/>
      <c r="I125" s="106">
        <v>9.43</v>
      </c>
      <c r="J125" s="106">
        <v>8.43</v>
      </c>
      <c r="K125" s="106">
        <v>7.43</v>
      </c>
      <c r="L125" s="106">
        <v>6.9509098242968701</v>
      </c>
      <c r="M125" s="106">
        <v>6.9509098242968701</v>
      </c>
      <c r="N125" s="106">
        <v>6.9509098242968701</v>
      </c>
      <c r="O125" s="106"/>
      <c r="P125" s="106">
        <v>9.86</v>
      </c>
      <c r="Q125" s="106">
        <v>8.86</v>
      </c>
      <c r="R125" s="106">
        <v>7.8599999999999994</v>
      </c>
      <c r="S125" s="106">
        <v>7.3809098242968698</v>
      </c>
      <c r="T125" s="106">
        <v>7.3809098242968698</v>
      </c>
      <c r="U125" s="106">
        <v>7.3809098242968698</v>
      </c>
      <c r="V125" s="106"/>
      <c r="W125" s="106">
        <v>10.29</v>
      </c>
      <c r="X125" s="106">
        <v>9.2899999999999991</v>
      </c>
      <c r="Y125" s="106">
        <v>8.2899999999999991</v>
      </c>
      <c r="Z125" s="106">
        <v>7.8109098242968695</v>
      </c>
      <c r="AA125" s="106">
        <v>7.8109098242968695</v>
      </c>
      <c r="AB125" s="106">
        <v>7.8109098242968695</v>
      </c>
      <c r="AC125" s="2"/>
      <c r="AD125" s="106">
        <v>10.719999999999999</v>
      </c>
      <c r="AE125" s="106">
        <v>9.7199999999999989</v>
      </c>
      <c r="AF125" s="106">
        <v>8.7199999999999989</v>
      </c>
      <c r="AG125" s="106">
        <v>8.2409098242968692</v>
      </c>
      <c r="AH125" s="106">
        <v>8.2409098242968692</v>
      </c>
      <c r="AI125" s="106">
        <v>8.2409098242968692</v>
      </c>
      <c r="AJ125" s="2"/>
      <c r="AK125" s="106">
        <v>11.149999999999999</v>
      </c>
      <c r="AL125" s="106">
        <v>10.149999999999999</v>
      </c>
      <c r="AM125" s="106">
        <v>9.1499999999999986</v>
      </c>
      <c r="AN125" s="106">
        <v>8.670909824296869</v>
      </c>
      <c r="AO125" s="106">
        <v>8.670909824296869</v>
      </c>
      <c r="AP125" s="106">
        <v>8.670909824296869</v>
      </c>
      <c r="AQ125" s="2"/>
      <c r="AR125" s="106">
        <v>11.579999999999998</v>
      </c>
      <c r="AS125" s="106">
        <v>10.579999999999998</v>
      </c>
      <c r="AT125" s="106">
        <v>9.5799999999999983</v>
      </c>
      <c r="AU125" s="106">
        <v>9.1009098242968687</v>
      </c>
      <c r="AV125" s="106">
        <v>9.1009098242968687</v>
      </c>
      <c r="AW125" s="106">
        <v>9.1009098242968687</v>
      </c>
      <c r="AX125" s="9"/>
      <c r="AY125" s="488"/>
      <c r="AZ125" s="488"/>
      <c r="BA125" s="488"/>
      <c r="BB125" s="488"/>
      <c r="BC125" s="488"/>
      <c r="BD125" s="488"/>
      <c r="BE125" s="488"/>
      <c r="BF125" s="488"/>
      <c r="BG125" s="488"/>
      <c r="BH125" s="488"/>
      <c r="BI125" s="488"/>
      <c r="BJ125" s="488"/>
      <c r="BK125" s="488"/>
      <c r="BL125" s="488"/>
      <c r="BM125" s="488"/>
      <c r="BN125" s="488"/>
      <c r="BO125" s="488"/>
      <c r="BP125" s="488"/>
      <c r="BQ125" s="488"/>
      <c r="BR125" s="488"/>
      <c r="BS125" s="488"/>
      <c r="BT125" s="488"/>
      <c r="BU125" s="488"/>
      <c r="BV125" s="488"/>
      <c r="BW125" s="488"/>
      <c r="BX125" s="488"/>
      <c r="BY125" s="488"/>
      <c r="BZ125" s="488"/>
      <c r="CA125" s="488"/>
      <c r="CB125" s="488"/>
      <c r="CC125" s="488"/>
      <c r="CD125" s="488"/>
      <c r="CE125" s="488"/>
      <c r="CF125" s="488"/>
      <c r="CG125" s="488"/>
      <c r="CH125" s="488"/>
      <c r="CI125" s="488"/>
      <c r="CJ125" s="488"/>
      <c r="CK125" s="488"/>
      <c r="CL125" s="488"/>
      <c r="CM125" s="488"/>
      <c r="CN125" s="488"/>
      <c r="CO125" s="488"/>
      <c r="CP125" s="488"/>
      <c r="CQ125" s="488"/>
      <c r="CR125" s="488"/>
      <c r="CS125" s="488"/>
      <c r="CT125" s="488"/>
      <c r="CU125" s="488"/>
      <c r="CV125" s="488"/>
      <c r="CW125" s="488"/>
      <c r="CX125" s="488"/>
      <c r="CY125" s="488"/>
      <c r="CZ125" s="488"/>
      <c r="DA125" s="488"/>
      <c r="DB125" s="488"/>
      <c r="DC125" s="488"/>
      <c r="DD125" s="488"/>
      <c r="DE125" s="488"/>
      <c r="DF125" s="488"/>
      <c r="DG125" s="488"/>
      <c r="DH125" s="488"/>
      <c r="DI125" s="488"/>
      <c r="DJ125" s="488"/>
      <c r="DK125" s="488"/>
      <c r="DL125" s="488"/>
      <c r="DM125" s="488"/>
      <c r="DN125" s="488"/>
      <c r="DO125" s="488"/>
      <c r="DP125" s="488"/>
      <c r="DQ125" s="488"/>
      <c r="DR125" s="488"/>
      <c r="DS125" s="488"/>
      <c r="DT125" s="488"/>
      <c r="DU125" s="488"/>
      <c r="DV125" s="488"/>
      <c r="DW125" s="488"/>
      <c r="DX125" s="488"/>
      <c r="DY125" s="488"/>
      <c r="DZ125" s="488"/>
      <c r="EA125" s="488"/>
      <c r="EB125" s="488"/>
      <c r="EC125" s="488"/>
      <c r="ED125" s="488"/>
      <c r="EE125" s="488"/>
      <c r="EF125" s="488"/>
      <c r="EG125" s="488"/>
      <c r="EH125" s="488"/>
      <c r="EI125" s="488"/>
      <c r="EJ125" s="488"/>
      <c r="EK125" s="488"/>
      <c r="EL125" s="488"/>
      <c r="EM125" s="488"/>
      <c r="EN125" s="488"/>
      <c r="EO125" s="488"/>
      <c r="EP125" s="488"/>
      <c r="EQ125" s="488"/>
      <c r="ER125" s="488"/>
      <c r="ES125" s="488"/>
      <c r="ET125" s="488"/>
      <c r="EU125" s="488"/>
      <c r="EV125" s="488"/>
      <c r="EW125" s="488"/>
      <c r="EX125" s="488"/>
      <c r="EY125" s="488"/>
      <c r="EZ125" s="488"/>
      <c r="FA125" s="488"/>
      <c r="FB125" s="488"/>
      <c r="FC125" s="488"/>
      <c r="FD125" s="488"/>
      <c r="FE125" s="488"/>
      <c r="FF125" s="488"/>
      <c r="FG125" s="488"/>
      <c r="FH125" s="488"/>
    </row>
    <row r="126" spans="1:164" x14ac:dyDescent="0.25">
      <c r="A126" t="s">
        <v>338</v>
      </c>
      <c r="B126" s="106">
        <v>2.7899868108851815</v>
      </c>
      <c r="C126" s="106">
        <v>1.9290679550175049</v>
      </c>
      <c r="D126" s="106">
        <v>1.13207908850893</v>
      </c>
      <c r="E126" s="106">
        <v>0.75200939944039891</v>
      </c>
      <c r="F126" s="106">
        <v>0.4642187503637718</v>
      </c>
      <c r="G126" s="106">
        <v>0.41815988679019511</v>
      </c>
      <c r="H126" s="106"/>
      <c r="I126" s="106">
        <v>2.5299868108851813</v>
      </c>
      <c r="J126" s="106">
        <v>1.6690679550175049</v>
      </c>
      <c r="K126" s="106">
        <v>0.88278153865148223</v>
      </c>
      <c r="L126" s="106">
        <v>0.4920093994403989</v>
      </c>
      <c r="M126" s="106">
        <v>0.18898309487451329</v>
      </c>
      <c r="N126" s="106">
        <v>0.16855734086394303</v>
      </c>
      <c r="O126" s="29"/>
      <c r="P126" s="106">
        <v>2.2799868108851813</v>
      </c>
      <c r="Q126" s="106">
        <v>1.4190679550175049</v>
      </c>
      <c r="R126" s="106">
        <v>0.63278153865148223</v>
      </c>
      <c r="S126" s="106">
        <v>0.2420093994403989</v>
      </c>
      <c r="T126" s="106"/>
      <c r="U126" s="106"/>
      <c r="V126" s="9"/>
      <c r="W126" s="106">
        <v>2.0199868108851815</v>
      </c>
      <c r="X126" s="106">
        <v>1.1690679550175049</v>
      </c>
      <c r="Y126" s="106">
        <v>0.38278153865148223</v>
      </c>
      <c r="Z126" s="106">
        <v>-7.990600559601102E-3</v>
      </c>
      <c r="AA126" s="106"/>
      <c r="AB126" s="106"/>
      <c r="AC126" s="2"/>
      <c r="AD126" s="106">
        <v>1.7599868108851815</v>
      </c>
      <c r="AE126" s="106">
        <v>0.91906795501750493</v>
      </c>
      <c r="AF126" s="106">
        <v>0.13278153865148223</v>
      </c>
      <c r="AG126" s="106"/>
      <c r="AH126" s="106"/>
      <c r="AI126" s="106"/>
      <c r="AJ126" s="2"/>
      <c r="AK126" s="106">
        <v>1.5199868108851815</v>
      </c>
      <c r="AL126" s="106">
        <v>0.65906795501750493</v>
      </c>
      <c r="AM126" s="106"/>
      <c r="AN126" s="106"/>
      <c r="AO126" s="106"/>
      <c r="AP126" s="106"/>
      <c r="AQ126" s="2"/>
      <c r="AR126" s="106">
        <v>1.2599868108851815</v>
      </c>
      <c r="AS126" s="106">
        <v>0.39906795501750492</v>
      </c>
      <c r="AT126" s="106"/>
      <c r="AU126" s="106"/>
      <c r="AV126" s="106"/>
      <c r="AW126" s="106"/>
      <c r="AX126" s="9"/>
      <c r="AY126" s="488"/>
      <c r="AZ126" s="488"/>
      <c r="BA126" s="488"/>
      <c r="BB126" s="488"/>
      <c r="BC126" s="488"/>
      <c r="BD126" s="488"/>
      <c r="BE126" s="488"/>
      <c r="BF126" s="488"/>
      <c r="BG126" s="488"/>
      <c r="BH126" s="488"/>
      <c r="BI126" s="488"/>
      <c r="BJ126" s="488"/>
      <c r="BK126" s="488"/>
      <c r="BL126" s="488"/>
      <c r="BM126" s="488"/>
      <c r="BN126" s="488"/>
      <c r="BO126" s="488"/>
      <c r="BP126" s="488"/>
      <c r="BQ126" s="488"/>
      <c r="BR126" s="488"/>
      <c r="BS126" s="488"/>
      <c r="BT126" s="488"/>
      <c r="BU126" s="488"/>
      <c r="BV126" s="488"/>
      <c r="BW126" s="488"/>
      <c r="BX126" s="488"/>
      <c r="BY126" s="488"/>
      <c r="BZ126" s="488"/>
      <c r="CA126" s="488"/>
      <c r="CB126" s="488"/>
      <c r="CC126" s="488"/>
      <c r="CD126" s="488"/>
      <c r="CE126" s="488"/>
      <c r="CF126" s="488"/>
      <c r="CG126" s="488"/>
      <c r="CH126" s="488"/>
      <c r="CI126" s="488"/>
      <c r="CJ126" s="488"/>
      <c r="CK126" s="488"/>
      <c r="CL126" s="488"/>
      <c r="CM126" s="488"/>
      <c r="CN126" s="488"/>
      <c r="CO126" s="488"/>
      <c r="CP126" s="488"/>
      <c r="CQ126" s="488"/>
      <c r="CR126" s="488"/>
      <c r="CS126" s="488"/>
      <c r="CT126" s="488"/>
      <c r="CU126" s="488"/>
      <c r="CV126" s="488"/>
      <c r="CW126" s="488"/>
      <c r="CX126" s="488"/>
      <c r="CY126" s="488"/>
      <c r="CZ126" s="488"/>
      <c r="DA126" s="488"/>
      <c r="DB126" s="488"/>
      <c r="DC126" s="488"/>
      <c r="DD126" s="488"/>
      <c r="DE126" s="488"/>
      <c r="DF126" s="488"/>
      <c r="DG126" s="488"/>
      <c r="DH126" s="488"/>
      <c r="DI126" s="488"/>
      <c r="DJ126" s="488"/>
      <c r="DK126" s="488"/>
      <c r="DL126" s="488"/>
      <c r="DM126" s="488"/>
      <c r="DN126" s="488"/>
      <c r="DO126" s="488"/>
      <c r="DP126" s="488"/>
      <c r="DQ126" s="488"/>
      <c r="DR126" s="488"/>
      <c r="DS126" s="488"/>
      <c r="DT126" s="488"/>
      <c r="DU126" s="488"/>
      <c r="DV126" s="488"/>
      <c r="DW126" s="488"/>
      <c r="DX126" s="488"/>
      <c r="DY126" s="488"/>
      <c r="DZ126" s="488"/>
      <c r="EA126" s="488"/>
      <c r="EB126" s="488"/>
      <c r="EC126" s="488"/>
      <c r="ED126" s="488"/>
      <c r="EE126" s="488"/>
      <c r="EF126" s="488"/>
      <c r="EG126" s="488"/>
      <c r="EH126" s="488"/>
      <c r="EI126" s="488"/>
      <c r="EJ126" s="488"/>
      <c r="EK126" s="488"/>
      <c r="EL126" s="488"/>
      <c r="EM126" s="488"/>
      <c r="EN126" s="488"/>
      <c r="EO126" s="488"/>
      <c r="EP126" s="488"/>
      <c r="EQ126" s="488"/>
      <c r="ER126" s="488"/>
      <c r="ES126" s="488"/>
      <c r="ET126" s="488"/>
      <c r="EU126" s="488"/>
      <c r="EV126" s="488"/>
      <c r="EW126" s="488"/>
      <c r="EX126" s="488"/>
      <c r="EY126" s="488"/>
      <c r="EZ126" s="488"/>
      <c r="FA126" s="488"/>
      <c r="FB126" s="488"/>
      <c r="FC126" s="488"/>
      <c r="FD126" s="488"/>
      <c r="FE126" s="488"/>
      <c r="FF126" s="488"/>
      <c r="FG126" s="488"/>
      <c r="FH126" s="488"/>
    </row>
    <row r="127" spans="1:164" x14ac:dyDescent="0.25">
      <c r="A127" t="s">
        <v>339</v>
      </c>
      <c r="B127" s="106">
        <v>3.311714981497218</v>
      </c>
      <c r="C127" s="106">
        <v>2.6822978939662598</v>
      </c>
      <c r="D127" s="106">
        <v>2.0730406828281205</v>
      </c>
      <c r="E127" s="106">
        <v>1.9101926587313733</v>
      </c>
      <c r="F127" s="106">
        <v>1.8273540665098165</v>
      </c>
      <c r="G127" s="106">
        <v>1.8754623140236151</v>
      </c>
      <c r="H127" s="106"/>
      <c r="I127" s="106">
        <v>3.1748372375899616</v>
      </c>
      <c r="J127" s="106">
        <v>2.5422978939662597</v>
      </c>
      <c r="K127" s="106">
        <v>1.9406205514746149</v>
      </c>
      <c r="L127" s="106">
        <v>1.7602215425154948</v>
      </c>
      <c r="M127" s="106">
        <v>1.6537673570424269</v>
      </c>
      <c r="N127" s="106">
        <v>1.7412122000761558</v>
      </c>
      <c r="O127" s="29"/>
      <c r="P127" s="106">
        <v>3.0403521048893358</v>
      </c>
      <c r="Q127" s="106">
        <v>2.4143454920119956</v>
      </c>
      <c r="R127" s="106">
        <v>1.8082894669109586</v>
      </c>
      <c r="S127" s="106">
        <v>1.6260816125761768</v>
      </c>
      <c r="T127" s="106">
        <v>1.5209850918036218</v>
      </c>
      <c r="U127" s="106">
        <v>1.6079057932299738</v>
      </c>
      <c r="V127" s="9"/>
      <c r="W127" s="106">
        <v>2.9103521048893359</v>
      </c>
      <c r="X127" s="106">
        <v>2.2843454920119957</v>
      </c>
      <c r="Y127" s="106">
        <v>1.6782894669109587</v>
      </c>
      <c r="Z127" s="106">
        <v>1.4960816125761767</v>
      </c>
      <c r="AA127" s="106">
        <v>1.3909850918036217</v>
      </c>
      <c r="AB127" s="106">
        <v>1.477905793229974</v>
      </c>
      <c r="AC127" s="2"/>
      <c r="AD127" s="106">
        <v>2.780352104889336</v>
      </c>
      <c r="AE127" s="106">
        <v>2.1543454920119958</v>
      </c>
      <c r="AF127" s="106">
        <v>1.5482894669109588</v>
      </c>
      <c r="AG127" s="106">
        <v>1.3660816125761768</v>
      </c>
      <c r="AH127" s="106">
        <v>1.2609850918036218</v>
      </c>
      <c r="AI127" s="106">
        <v>1.3479057932299741</v>
      </c>
      <c r="AJ127" s="2"/>
      <c r="AK127" s="106">
        <v>2.6503521048893361</v>
      </c>
      <c r="AL127" s="106">
        <v>2.0243454920119959</v>
      </c>
      <c r="AM127" s="106">
        <v>1.4182894669109589</v>
      </c>
      <c r="AN127" s="106">
        <v>1.2360816125761769</v>
      </c>
      <c r="AO127" s="106">
        <v>1.1309850918036219</v>
      </c>
      <c r="AP127" s="106">
        <v>1.2179057932299742</v>
      </c>
      <c r="AQ127" s="2"/>
      <c r="AR127" s="106">
        <v>2.5203521048893363</v>
      </c>
      <c r="AS127" s="106">
        <v>1.894345492011996</v>
      </c>
      <c r="AT127" s="106">
        <v>1.288289466910959</v>
      </c>
      <c r="AU127" s="106">
        <v>1.106081612576177</v>
      </c>
      <c r="AV127" s="106">
        <v>1.0009850918036221</v>
      </c>
      <c r="AW127" s="106">
        <v>1.0879057932299743</v>
      </c>
      <c r="AX127" s="9"/>
      <c r="AY127" s="488"/>
      <c r="AZ127" s="488"/>
      <c r="BA127" s="488"/>
      <c r="BB127" s="488"/>
      <c r="BC127" s="488"/>
      <c r="BD127" s="488"/>
      <c r="BE127" s="488"/>
      <c r="BF127" s="488"/>
      <c r="BG127" s="488"/>
      <c r="BH127" s="488"/>
      <c r="BI127" s="488"/>
      <c r="BJ127" s="488"/>
      <c r="BK127" s="488"/>
      <c r="BL127" s="488"/>
      <c r="BM127" s="488"/>
      <c r="BN127" s="488"/>
      <c r="BO127" s="488"/>
      <c r="BP127" s="488"/>
      <c r="BQ127" s="488"/>
      <c r="BR127" s="488"/>
      <c r="BS127" s="488"/>
      <c r="BT127" s="488"/>
      <c r="BU127" s="488"/>
      <c r="BV127" s="488"/>
      <c r="BW127" s="488"/>
      <c r="BX127" s="488"/>
      <c r="BY127" s="488"/>
      <c r="BZ127" s="488"/>
      <c r="CA127" s="488"/>
      <c r="CB127" s="488"/>
      <c r="CC127" s="488"/>
      <c r="CD127" s="488"/>
      <c r="CE127" s="488"/>
      <c r="CF127" s="488"/>
      <c r="CG127" s="488"/>
      <c r="CH127" s="488"/>
      <c r="CI127" s="488"/>
      <c r="CJ127" s="488"/>
      <c r="CK127" s="488"/>
      <c r="CL127" s="488"/>
      <c r="CM127" s="488"/>
      <c r="CN127" s="488"/>
      <c r="CO127" s="488"/>
      <c r="CP127" s="488"/>
      <c r="CQ127" s="488"/>
      <c r="CR127" s="488"/>
      <c r="CS127" s="488"/>
      <c r="CT127" s="488"/>
      <c r="CU127" s="488"/>
      <c r="CV127" s="488"/>
      <c r="CW127" s="488"/>
      <c r="CX127" s="488"/>
      <c r="CY127" s="488"/>
      <c r="CZ127" s="488"/>
      <c r="DA127" s="488"/>
      <c r="DB127" s="488"/>
      <c r="DC127" s="488"/>
      <c r="DD127" s="488"/>
      <c r="DE127" s="488"/>
      <c r="DF127" s="488"/>
      <c r="DG127" s="488"/>
      <c r="DH127" s="488"/>
      <c r="DI127" s="488"/>
      <c r="DJ127" s="488"/>
      <c r="DK127" s="488"/>
      <c r="DL127" s="488"/>
      <c r="DM127" s="488"/>
      <c r="DN127" s="488"/>
      <c r="DO127" s="488"/>
      <c r="DP127" s="488"/>
      <c r="DQ127" s="488"/>
      <c r="DR127" s="488"/>
      <c r="DS127" s="488"/>
      <c r="DT127" s="488"/>
      <c r="DU127" s="488"/>
      <c r="DV127" s="488"/>
      <c r="DW127" s="488"/>
      <c r="DX127" s="488"/>
      <c r="DY127" s="488"/>
      <c r="DZ127" s="488"/>
      <c r="EA127" s="488"/>
      <c r="EB127" s="488"/>
      <c r="EC127" s="488"/>
      <c r="ED127" s="488"/>
      <c r="EE127" s="488"/>
      <c r="EF127" s="488"/>
      <c r="EG127" s="488"/>
      <c r="EH127" s="488"/>
      <c r="EI127" s="488"/>
      <c r="EJ127" s="488"/>
      <c r="EK127" s="488"/>
      <c r="EL127" s="488"/>
      <c r="EM127" s="488"/>
      <c r="EN127" s="488"/>
      <c r="EO127" s="488"/>
      <c r="EP127" s="488"/>
      <c r="EQ127" s="488"/>
      <c r="ER127" s="488"/>
      <c r="ES127" s="488"/>
      <c r="ET127" s="488"/>
      <c r="EU127" s="488"/>
      <c r="EV127" s="488"/>
      <c r="EW127" s="488"/>
      <c r="EX127" s="488"/>
      <c r="EY127" s="488"/>
      <c r="EZ127" s="488"/>
      <c r="FA127" s="488"/>
      <c r="FB127" s="488"/>
      <c r="FC127" s="488"/>
      <c r="FD127" s="488"/>
      <c r="FE127" s="488"/>
      <c r="FF127" s="488"/>
      <c r="FG127" s="488"/>
      <c r="FH127" s="488"/>
    </row>
    <row r="128" spans="1:164" x14ac:dyDescent="0.25">
      <c r="A128" t="s">
        <v>340</v>
      </c>
      <c r="B128" s="106">
        <v>0.64715411983197724</v>
      </c>
      <c r="C128" s="106">
        <v>0.56508100549263673</v>
      </c>
      <c r="D128" s="106">
        <v>0.47170370784158877</v>
      </c>
      <c r="E128" s="106">
        <v>0.46467722263870981</v>
      </c>
      <c r="F128" s="106">
        <v>0.5242318057378007</v>
      </c>
      <c r="G128" s="106">
        <v>0.53625865021646124</v>
      </c>
      <c r="H128" s="106"/>
      <c r="I128" s="106">
        <v>0.71347901910320866</v>
      </c>
      <c r="J128" s="106">
        <v>0.6303749007613858</v>
      </c>
      <c r="K128" s="106">
        <v>0.53614770830416902</v>
      </c>
      <c r="L128" s="106">
        <v>0.52160740074835188</v>
      </c>
      <c r="M128" s="106">
        <v>0.57180239827998214</v>
      </c>
      <c r="N128" s="106">
        <v>0.59929639982485594</v>
      </c>
      <c r="O128" s="29"/>
      <c r="P128" s="106">
        <v>0.77844506115054912</v>
      </c>
      <c r="Q128" s="106">
        <v>0.69469309080141695</v>
      </c>
      <c r="R128" s="106">
        <v>0.59614770830416908</v>
      </c>
      <c r="S128" s="106">
        <v>0.58160740074835182</v>
      </c>
      <c r="T128" s="106">
        <v>0.63180239827998208</v>
      </c>
      <c r="U128" s="106">
        <v>0.65929639982485599</v>
      </c>
      <c r="V128" s="9"/>
      <c r="W128" s="106">
        <v>0.83844506115054918</v>
      </c>
      <c r="X128" s="106">
        <v>0.75469309080141689</v>
      </c>
      <c r="Y128" s="106">
        <v>0.65614770830416913</v>
      </c>
      <c r="Z128" s="106">
        <v>0.64160740074835187</v>
      </c>
      <c r="AA128" s="106">
        <v>0.69180239827998213</v>
      </c>
      <c r="AB128" s="106">
        <v>0.71929639982485605</v>
      </c>
      <c r="AC128" s="2"/>
      <c r="AD128" s="106">
        <v>0.90844506115054924</v>
      </c>
      <c r="AE128" s="106">
        <v>0.82469309080141695</v>
      </c>
      <c r="AF128" s="106">
        <v>0.72614770830416919</v>
      </c>
      <c r="AG128" s="106">
        <v>0.71160740074835194</v>
      </c>
      <c r="AH128" s="106">
        <v>0.7618023982799822</v>
      </c>
      <c r="AI128" s="106">
        <v>0.78929639982485611</v>
      </c>
      <c r="AJ128" s="2"/>
      <c r="AK128" s="106">
        <v>0.96844506115054929</v>
      </c>
      <c r="AL128" s="106">
        <v>0.884693090801417</v>
      </c>
      <c r="AM128" s="106">
        <v>0.78614770830416925</v>
      </c>
      <c r="AN128" s="106">
        <v>0.77160740074835199</v>
      </c>
      <c r="AO128" s="106">
        <v>0.82180239827998225</v>
      </c>
      <c r="AP128" s="106">
        <v>0.84929639982485616</v>
      </c>
      <c r="AQ128" s="2"/>
      <c r="AR128" s="106">
        <v>1.0284450611505493</v>
      </c>
      <c r="AS128" s="106">
        <v>0.94469309080141706</v>
      </c>
      <c r="AT128" s="106">
        <v>0.8461477083041693</v>
      </c>
      <c r="AU128" s="106">
        <v>0.83160740074835204</v>
      </c>
      <c r="AV128" s="106">
        <v>0.8818023982799823</v>
      </c>
      <c r="AW128" s="106">
        <v>0.90929639982485622</v>
      </c>
      <c r="AX128" s="9"/>
      <c r="AY128" s="488"/>
      <c r="AZ128" s="488"/>
      <c r="BA128" s="488"/>
      <c r="BB128" s="488"/>
      <c r="BC128" s="488"/>
      <c r="BD128" s="488"/>
      <c r="BE128" s="488"/>
      <c r="BF128" s="488"/>
      <c r="BG128" s="488"/>
      <c r="BH128" s="488"/>
      <c r="BI128" s="488"/>
      <c r="BJ128" s="488"/>
      <c r="BK128" s="488"/>
      <c r="BL128" s="488"/>
      <c r="BM128" s="488"/>
      <c r="BN128" s="488"/>
      <c r="BO128" s="488"/>
      <c r="BP128" s="488"/>
      <c r="BQ128" s="488"/>
      <c r="BR128" s="488"/>
      <c r="BS128" s="488"/>
      <c r="BT128" s="488"/>
      <c r="BU128" s="488"/>
      <c r="BV128" s="488"/>
      <c r="BW128" s="488"/>
      <c r="BX128" s="488"/>
      <c r="BY128" s="488"/>
      <c r="BZ128" s="488"/>
      <c r="CA128" s="488"/>
      <c r="CB128" s="488"/>
      <c r="CC128" s="488"/>
      <c r="CD128" s="488"/>
      <c r="CE128" s="488"/>
      <c r="CF128" s="488"/>
      <c r="CG128" s="488"/>
      <c r="CH128" s="488"/>
      <c r="CI128" s="488"/>
      <c r="CJ128" s="488"/>
      <c r="CK128" s="488"/>
      <c r="CL128" s="488"/>
      <c r="CM128" s="488"/>
      <c r="CN128" s="488"/>
      <c r="CO128" s="488"/>
      <c r="CP128" s="488"/>
      <c r="CQ128" s="488"/>
      <c r="CR128" s="488"/>
      <c r="CS128" s="488"/>
      <c r="CT128" s="488"/>
      <c r="CU128" s="488"/>
      <c r="CV128" s="488"/>
      <c r="CW128" s="488"/>
      <c r="CX128" s="488"/>
      <c r="CY128" s="488"/>
      <c r="CZ128" s="488"/>
      <c r="DA128" s="488"/>
      <c r="DB128" s="488"/>
      <c r="DC128" s="488"/>
      <c r="DD128" s="488"/>
      <c r="DE128" s="488"/>
      <c r="DF128" s="488"/>
      <c r="DG128" s="488"/>
      <c r="DH128" s="488"/>
      <c r="DI128" s="488"/>
      <c r="DJ128" s="488"/>
      <c r="DK128" s="488"/>
      <c r="DL128" s="488"/>
      <c r="DM128" s="488"/>
      <c r="DN128" s="488"/>
      <c r="DO128" s="488"/>
      <c r="DP128" s="488"/>
      <c r="DQ128" s="488"/>
      <c r="DR128" s="488"/>
      <c r="DS128" s="488"/>
      <c r="DT128" s="488"/>
      <c r="DU128" s="488"/>
      <c r="DV128" s="488"/>
      <c r="DW128" s="488"/>
      <c r="DX128" s="488"/>
      <c r="DY128" s="488"/>
      <c r="DZ128" s="488"/>
      <c r="EA128" s="488"/>
      <c r="EB128" s="488"/>
      <c r="EC128" s="488"/>
      <c r="ED128" s="488"/>
      <c r="EE128" s="488"/>
      <c r="EF128" s="488"/>
      <c r="EG128" s="488"/>
      <c r="EH128" s="488"/>
      <c r="EI128" s="488"/>
      <c r="EJ128" s="488"/>
      <c r="EK128" s="488"/>
      <c r="EL128" s="488"/>
      <c r="EM128" s="488"/>
      <c r="EN128" s="488"/>
      <c r="EO128" s="488"/>
      <c r="EP128" s="488"/>
      <c r="EQ128" s="488"/>
      <c r="ER128" s="488"/>
      <c r="ES128" s="488"/>
      <c r="ET128" s="488"/>
      <c r="EU128" s="488"/>
      <c r="EV128" s="488"/>
      <c r="EW128" s="488"/>
      <c r="EX128" s="488"/>
      <c r="EY128" s="488"/>
      <c r="EZ128" s="488"/>
      <c r="FA128" s="488"/>
      <c r="FB128" s="488"/>
      <c r="FC128" s="488"/>
      <c r="FD128" s="488"/>
      <c r="FE128" s="488"/>
      <c r="FF128" s="488"/>
      <c r="FG128" s="488"/>
      <c r="FH128" s="488"/>
    </row>
    <row r="129" spans="1:164" x14ac:dyDescent="0.25">
      <c r="A129" t="s">
        <v>341</v>
      </c>
      <c r="B129" s="106">
        <v>1.4782324055847444</v>
      </c>
      <c r="C129" s="106">
        <v>0.90319623176357955</v>
      </c>
      <c r="D129" s="106">
        <v>0.3833689639367559</v>
      </c>
      <c r="E129" s="106">
        <v>0.26954963031428469</v>
      </c>
      <c r="F129" s="106">
        <v>0.33319678683181891</v>
      </c>
      <c r="G129" s="106">
        <v>0.31598976510963955</v>
      </c>
      <c r="H129" s="106"/>
      <c r="I129" s="106">
        <v>1.1534631270189402</v>
      </c>
      <c r="J129" s="106">
        <v>0.62077568050685106</v>
      </c>
      <c r="K129" s="106">
        <v>0.2472380429409072</v>
      </c>
      <c r="L129" s="106">
        <v>0.10195907802470887</v>
      </c>
      <c r="M129" s="91">
        <v>0.14083246142135958</v>
      </c>
      <c r="N129" s="106">
        <v>0.17761691396538071</v>
      </c>
      <c r="O129" s="29"/>
      <c r="P129" s="106">
        <v>0.87755052921916477</v>
      </c>
      <c r="Q129" s="106">
        <v>0.46245604760860204</v>
      </c>
      <c r="R129" s="106">
        <v>9.5807909161483171E-2</v>
      </c>
      <c r="S129" s="106"/>
      <c r="T129" s="106"/>
      <c r="U129" s="106"/>
      <c r="V129" s="9"/>
      <c r="W129" s="106">
        <v>0.66589817086726644</v>
      </c>
      <c r="X129" s="106">
        <v>0.2879876444344644</v>
      </c>
      <c r="Y129" s="106"/>
      <c r="Z129" s="106"/>
      <c r="AA129" s="106"/>
      <c r="AB129" s="106"/>
      <c r="AC129" s="2"/>
      <c r="AD129" s="106">
        <v>0.51716060291089117</v>
      </c>
      <c r="AE129" s="106">
        <v>0.16701127287845019</v>
      </c>
      <c r="AF129" s="106"/>
      <c r="AG129" s="106"/>
      <c r="AH129" s="106"/>
      <c r="AI129" s="106"/>
      <c r="AJ129" s="2"/>
      <c r="AK129" s="106">
        <v>0.38209282857183691</v>
      </c>
      <c r="AL129" s="106"/>
      <c r="AM129" s="106"/>
      <c r="AN129" s="106"/>
      <c r="AO129" s="106"/>
      <c r="AP129" s="106"/>
      <c r="AQ129" s="2"/>
      <c r="AR129" s="106">
        <v>0.23881768344794968</v>
      </c>
      <c r="AS129" s="106"/>
      <c r="AT129" s="106"/>
      <c r="AU129" s="106"/>
      <c r="AV129" s="106"/>
      <c r="AW129" s="106"/>
      <c r="AX129" s="9"/>
      <c r="AY129" s="488"/>
      <c r="AZ129" s="488"/>
      <c r="BA129" s="488"/>
      <c r="BB129" s="488"/>
      <c r="BC129" s="488"/>
      <c r="BD129" s="488"/>
      <c r="BE129" s="488"/>
      <c r="BF129" s="488"/>
      <c r="BG129" s="488"/>
      <c r="BH129" s="488"/>
      <c r="BI129" s="488"/>
      <c r="BJ129" s="488"/>
      <c r="BK129" s="488"/>
      <c r="BL129" s="488"/>
      <c r="BM129" s="488"/>
      <c r="BN129" s="488"/>
      <c r="BO129" s="488"/>
      <c r="BP129" s="488"/>
      <c r="BQ129" s="488"/>
      <c r="BR129" s="488"/>
      <c r="BS129" s="488"/>
      <c r="BT129" s="488"/>
      <c r="BU129" s="488"/>
      <c r="BV129" s="488"/>
      <c r="BW129" s="488"/>
      <c r="BX129" s="488"/>
      <c r="BY129" s="488"/>
      <c r="BZ129" s="488"/>
      <c r="CA129" s="488"/>
      <c r="CB129" s="488"/>
      <c r="CC129" s="488"/>
      <c r="CD129" s="488"/>
      <c r="CE129" s="488"/>
      <c r="CF129" s="488"/>
      <c r="CG129" s="488"/>
      <c r="CH129" s="488"/>
      <c r="CI129" s="488"/>
      <c r="CJ129" s="488"/>
      <c r="CK129" s="488"/>
      <c r="CL129" s="488"/>
      <c r="CM129" s="488"/>
      <c r="CN129" s="488"/>
      <c r="CO129" s="488"/>
      <c r="CP129" s="488"/>
      <c r="CQ129" s="488"/>
      <c r="CR129" s="488"/>
      <c r="CS129" s="488"/>
      <c r="CT129" s="488"/>
      <c r="CU129" s="488"/>
      <c r="CV129" s="488"/>
      <c r="CW129" s="488"/>
      <c r="CX129" s="488"/>
      <c r="CY129" s="488"/>
      <c r="CZ129" s="488"/>
      <c r="DA129" s="488"/>
      <c r="DB129" s="488"/>
      <c r="DC129" s="488"/>
      <c r="DD129" s="488"/>
      <c r="DE129" s="488"/>
      <c r="DF129" s="488"/>
      <c r="DG129" s="488"/>
      <c r="DH129" s="488"/>
      <c r="DI129" s="488"/>
      <c r="DJ129" s="488"/>
      <c r="DK129" s="488"/>
      <c r="DL129" s="488"/>
      <c r="DM129" s="488"/>
      <c r="DN129" s="488"/>
      <c r="DO129" s="488"/>
      <c r="DP129" s="488"/>
      <c r="DQ129" s="488"/>
      <c r="DR129" s="488"/>
      <c r="DS129" s="488"/>
      <c r="DT129" s="488"/>
      <c r="DU129" s="488"/>
      <c r="DV129" s="488"/>
      <c r="DW129" s="488"/>
      <c r="DX129" s="488"/>
      <c r="DY129" s="488"/>
      <c r="DZ129" s="488"/>
      <c r="EA129" s="488"/>
      <c r="EB129" s="488"/>
      <c r="EC129" s="488"/>
      <c r="ED129" s="488"/>
      <c r="EE129" s="488"/>
      <c r="EF129" s="488"/>
      <c r="EG129" s="488"/>
      <c r="EH129" s="488"/>
      <c r="EI129" s="488"/>
      <c r="EJ129" s="488"/>
      <c r="EK129" s="488"/>
      <c r="EL129" s="488"/>
      <c r="EM129" s="488"/>
      <c r="EN129" s="488"/>
      <c r="EO129" s="488"/>
      <c r="EP129" s="488"/>
      <c r="EQ129" s="488"/>
      <c r="ER129" s="488"/>
      <c r="ES129" s="488"/>
      <c r="ET129" s="488"/>
      <c r="EU129" s="488"/>
      <c r="EV129" s="488"/>
      <c r="EW129" s="488"/>
      <c r="EX129" s="488"/>
      <c r="EY129" s="488"/>
      <c r="EZ129" s="488"/>
      <c r="FA129" s="488"/>
      <c r="FB129" s="488"/>
      <c r="FC129" s="488"/>
      <c r="FD129" s="488"/>
      <c r="FE129" s="488"/>
      <c r="FF129" s="488"/>
      <c r="FG129" s="488"/>
      <c r="FH129" s="488"/>
    </row>
    <row r="130" spans="1:164" ht="13.05" hidden="1" customHeight="1" x14ac:dyDescent="0.25">
      <c r="A130" t="str">
        <f>Nutrients!B129</f>
        <v>L-Ile</v>
      </c>
      <c r="B130" s="106"/>
      <c r="C130" s="106"/>
      <c r="D130" s="106"/>
      <c r="E130" s="106"/>
      <c r="F130" s="106"/>
      <c r="G130" s="106"/>
      <c r="H130" s="106"/>
      <c r="I130" s="106"/>
      <c r="J130" s="106"/>
      <c r="K130" s="106"/>
      <c r="L130" s="106"/>
      <c r="M130" s="106"/>
      <c r="N130" s="106"/>
      <c r="O130" s="29"/>
      <c r="P130" s="106"/>
      <c r="Q130" s="106"/>
      <c r="R130" s="106"/>
      <c r="S130" s="106"/>
      <c r="T130" s="106"/>
      <c r="U130" s="106"/>
      <c r="V130" s="9"/>
      <c r="W130" s="106"/>
      <c r="X130" s="106"/>
      <c r="Y130" s="106"/>
      <c r="Z130" s="106"/>
      <c r="AA130" s="106"/>
      <c r="AB130" s="106"/>
      <c r="AC130" s="2"/>
      <c r="AD130" s="106"/>
      <c r="AE130" s="106"/>
      <c r="AF130" s="106"/>
      <c r="AG130" s="106"/>
      <c r="AH130" s="106"/>
      <c r="AI130" s="106"/>
      <c r="AJ130" s="2"/>
      <c r="AK130" s="106"/>
      <c r="AL130" s="106"/>
      <c r="AM130" s="106"/>
      <c r="AN130" s="106"/>
      <c r="AO130" s="106"/>
      <c r="AP130" s="106"/>
      <c r="AQ130" s="2"/>
      <c r="AR130" s="106"/>
      <c r="AS130" s="106"/>
      <c r="AT130" s="106"/>
      <c r="AU130" s="106"/>
      <c r="AV130" s="106"/>
      <c r="AW130" s="106"/>
      <c r="AX130" s="9"/>
      <c r="AY130" s="488"/>
      <c r="AZ130" s="488"/>
      <c r="BA130" s="488"/>
      <c r="BB130" s="488"/>
      <c r="BC130" s="488"/>
      <c r="BD130" s="488"/>
      <c r="BE130" s="488"/>
      <c r="BF130" s="488"/>
      <c r="BG130" s="488"/>
      <c r="BH130" s="488"/>
      <c r="BI130" s="488"/>
      <c r="BJ130" s="488"/>
      <c r="BK130" s="488"/>
      <c r="BL130" s="488"/>
      <c r="BM130" s="488"/>
      <c r="BN130" s="488"/>
      <c r="BO130" s="488"/>
      <c r="BP130" s="488"/>
      <c r="BQ130" s="488"/>
      <c r="BR130" s="488"/>
      <c r="BS130" s="488"/>
      <c r="BT130" s="488"/>
      <c r="BU130" s="488"/>
      <c r="BV130" s="488"/>
      <c r="BW130" s="488"/>
      <c r="BX130" s="488"/>
      <c r="BY130" s="488"/>
      <c r="BZ130" s="488"/>
      <c r="CA130" s="488"/>
      <c r="CB130" s="488"/>
      <c r="CC130" s="488"/>
      <c r="CD130" s="488"/>
      <c r="CE130" s="488"/>
      <c r="CF130" s="488"/>
      <c r="CG130" s="488"/>
      <c r="CH130" s="488"/>
      <c r="CI130" s="488"/>
      <c r="CJ130" s="488"/>
      <c r="CK130" s="488"/>
      <c r="CL130" s="488"/>
      <c r="CM130" s="488"/>
      <c r="CN130" s="488"/>
      <c r="CO130" s="488"/>
      <c r="CP130" s="488"/>
      <c r="CQ130" s="488"/>
      <c r="CR130" s="488"/>
      <c r="CS130" s="488"/>
      <c r="CT130" s="488"/>
      <c r="CU130" s="488"/>
      <c r="CV130" s="488"/>
      <c r="CW130" s="488"/>
      <c r="CX130" s="488"/>
      <c r="CY130" s="488"/>
      <c r="CZ130" s="488"/>
      <c r="DA130" s="488"/>
      <c r="DB130" s="488"/>
      <c r="DC130" s="488"/>
      <c r="DD130" s="488"/>
      <c r="DE130" s="488"/>
      <c r="DF130" s="488"/>
      <c r="DG130" s="488"/>
      <c r="DH130" s="488"/>
      <c r="DI130" s="488"/>
      <c r="DJ130" s="488"/>
      <c r="DK130" s="488"/>
      <c r="DL130" s="488"/>
      <c r="DM130" s="488"/>
      <c r="DN130" s="488"/>
      <c r="DO130" s="488"/>
      <c r="DP130" s="488"/>
      <c r="DQ130" s="488"/>
      <c r="DR130" s="488"/>
      <c r="DS130" s="488"/>
      <c r="DT130" s="488"/>
      <c r="DU130" s="488"/>
      <c r="DV130" s="488"/>
      <c r="DW130" s="488"/>
      <c r="DX130" s="488"/>
      <c r="DY130" s="488"/>
      <c r="DZ130" s="488"/>
      <c r="EA130" s="488"/>
      <c r="EB130" s="488"/>
      <c r="EC130" s="488"/>
      <c r="ED130" s="488"/>
      <c r="EE130" s="488"/>
      <c r="EF130" s="488"/>
      <c r="EG130" s="488"/>
      <c r="EH130" s="488"/>
      <c r="EI130" s="488"/>
      <c r="EJ130" s="488"/>
      <c r="EK130" s="488"/>
      <c r="EL130" s="488"/>
      <c r="EM130" s="488"/>
      <c r="EN130" s="488"/>
      <c r="EO130" s="488"/>
      <c r="EP130" s="488"/>
      <c r="EQ130" s="488"/>
      <c r="ER130" s="488"/>
      <c r="ES130" s="488"/>
      <c r="ET130" s="488"/>
      <c r="EU130" s="488"/>
      <c r="EV130" s="488"/>
      <c r="EW130" s="488"/>
      <c r="EX130" s="488"/>
      <c r="EY130" s="488"/>
      <c r="EZ130" s="488"/>
      <c r="FA130" s="488"/>
      <c r="FB130" s="488"/>
      <c r="FC130" s="488"/>
      <c r="FD130" s="488"/>
      <c r="FE130" s="488"/>
      <c r="FF130" s="488"/>
      <c r="FG130" s="488"/>
      <c r="FH130" s="488"/>
    </row>
    <row r="131" spans="1:164" ht="13.05" hidden="1" customHeight="1" x14ac:dyDescent="0.25">
      <c r="A131" t="str">
        <f>Nutrients!B130</f>
        <v>Methionine hydroxy analog</v>
      </c>
      <c r="B131" s="106"/>
      <c r="C131" s="106"/>
      <c r="D131" s="106"/>
      <c r="E131" s="106"/>
      <c r="F131" s="106"/>
      <c r="G131" s="106"/>
      <c r="H131" s="106"/>
      <c r="I131" s="106"/>
      <c r="J131" s="106"/>
      <c r="K131" s="106"/>
      <c r="L131" s="106"/>
      <c r="M131" s="106"/>
      <c r="N131" s="106"/>
      <c r="O131" s="29"/>
      <c r="P131" s="106"/>
      <c r="Q131" s="106"/>
      <c r="R131" s="106"/>
      <c r="S131" s="106"/>
      <c r="T131" s="106"/>
      <c r="U131" s="106"/>
      <c r="V131" s="9"/>
      <c r="W131" s="106"/>
      <c r="X131" s="106"/>
      <c r="Y131" s="106"/>
      <c r="Z131" s="106"/>
      <c r="AA131" s="106"/>
      <c r="AB131" s="106"/>
      <c r="AC131" s="2"/>
      <c r="AD131" s="106"/>
      <c r="AE131" s="106"/>
      <c r="AF131" s="106"/>
      <c r="AG131" s="106"/>
      <c r="AH131" s="106"/>
      <c r="AI131" s="106"/>
      <c r="AJ131" s="2"/>
      <c r="AK131" s="106"/>
      <c r="AL131" s="106"/>
      <c r="AM131" s="106"/>
      <c r="AN131" s="106"/>
      <c r="AO131" s="106"/>
      <c r="AP131" s="106"/>
      <c r="AQ131" s="2"/>
      <c r="AR131" s="106"/>
      <c r="AS131" s="106"/>
      <c r="AT131" s="106"/>
      <c r="AU131" s="106"/>
      <c r="AV131" s="106"/>
      <c r="AW131" s="106"/>
      <c r="AX131" s="9"/>
      <c r="AY131" s="488"/>
      <c r="AZ131" s="488"/>
      <c r="BA131" s="488"/>
      <c r="BB131" s="488"/>
      <c r="BC131" s="488"/>
      <c r="BD131" s="488"/>
      <c r="BE131" s="488"/>
      <c r="BF131" s="488"/>
      <c r="BG131" s="488"/>
      <c r="BH131" s="488"/>
      <c r="BI131" s="488"/>
      <c r="BJ131" s="488"/>
      <c r="BK131" s="488"/>
      <c r="BL131" s="488"/>
      <c r="BM131" s="488"/>
      <c r="BN131" s="488"/>
      <c r="BO131" s="488"/>
      <c r="BP131" s="488"/>
      <c r="BQ131" s="488"/>
      <c r="BR131" s="488"/>
      <c r="BS131" s="488"/>
      <c r="BT131" s="488"/>
      <c r="BU131" s="488"/>
      <c r="BV131" s="488"/>
      <c r="BW131" s="488"/>
      <c r="BX131" s="488"/>
      <c r="BY131" s="488"/>
      <c r="BZ131" s="488"/>
      <c r="CA131" s="488"/>
      <c r="CB131" s="488"/>
      <c r="CC131" s="488"/>
      <c r="CD131" s="488"/>
      <c r="CE131" s="488"/>
      <c r="CF131" s="488"/>
      <c r="CG131" s="488"/>
      <c r="CH131" s="488"/>
      <c r="CI131" s="488"/>
      <c r="CJ131" s="488"/>
      <c r="CK131" s="488"/>
      <c r="CL131" s="488"/>
      <c r="CM131" s="488"/>
      <c r="CN131" s="488"/>
      <c r="CO131" s="488"/>
      <c r="CP131" s="488"/>
      <c r="CQ131" s="488"/>
      <c r="CR131" s="488"/>
      <c r="CS131" s="488"/>
      <c r="CT131" s="488"/>
      <c r="CU131" s="488"/>
      <c r="CV131" s="488"/>
      <c r="CW131" s="488"/>
      <c r="CX131" s="488"/>
      <c r="CY131" s="488"/>
      <c r="CZ131" s="488"/>
      <c r="DA131" s="488"/>
      <c r="DB131" s="488"/>
      <c r="DC131" s="488"/>
      <c r="DD131" s="488"/>
      <c r="DE131" s="488"/>
      <c r="DF131" s="488"/>
      <c r="DG131" s="488"/>
      <c r="DH131" s="488"/>
      <c r="DI131" s="488"/>
      <c r="DJ131" s="488"/>
      <c r="DK131" s="488"/>
      <c r="DL131" s="488"/>
      <c r="DM131" s="488"/>
      <c r="DN131" s="488"/>
      <c r="DO131" s="488"/>
      <c r="DP131" s="488"/>
      <c r="DQ131" s="488"/>
      <c r="DR131" s="488"/>
      <c r="DS131" s="488"/>
      <c r="DT131" s="488"/>
      <c r="DU131" s="488"/>
      <c r="DV131" s="488"/>
      <c r="DW131" s="488"/>
      <c r="DX131" s="488"/>
      <c r="DY131" s="488"/>
      <c r="DZ131" s="488"/>
      <c r="EA131" s="488"/>
      <c r="EB131" s="488"/>
      <c r="EC131" s="488"/>
      <c r="ED131" s="488"/>
      <c r="EE131" s="488"/>
      <c r="EF131" s="488"/>
      <c r="EG131" s="488"/>
      <c r="EH131" s="488"/>
      <c r="EI131" s="488"/>
      <c r="EJ131" s="488"/>
      <c r="EK131" s="488"/>
      <c r="EL131" s="488"/>
      <c r="EM131" s="488"/>
      <c r="EN131" s="488"/>
      <c r="EO131" s="488"/>
      <c r="EP131" s="488"/>
      <c r="EQ131" s="488"/>
      <c r="ER131" s="488"/>
      <c r="ES131" s="488"/>
      <c r="ET131" s="488"/>
      <c r="EU131" s="488"/>
      <c r="EV131" s="488"/>
      <c r="EW131" s="488"/>
      <c r="EX131" s="488"/>
      <c r="EY131" s="488"/>
      <c r="EZ131" s="488"/>
      <c r="FA131" s="488"/>
      <c r="FB131" s="488"/>
      <c r="FC131" s="488"/>
      <c r="FD131" s="488"/>
      <c r="FE131" s="488"/>
      <c r="FF131" s="488"/>
      <c r="FG131" s="488"/>
      <c r="FH131" s="488"/>
    </row>
    <row r="132" spans="1:164" ht="13.05" hidden="1" customHeight="1" x14ac:dyDescent="0.25">
      <c r="A132" t="str">
        <f>Nutrients!B131</f>
        <v>Glutamine</v>
      </c>
      <c r="B132" s="106"/>
      <c r="C132" s="106"/>
      <c r="D132" s="106"/>
      <c r="E132" s="106"/>
      <c r="F132" s="106"/>
      <c r="G132" s="106"/>
      <c r="H132" s="106"/>
      <c r="I132" s="106"/>
      <c r="J132" s="106"/>
      <c r="K132" s="106"/>
      <c r="L132" s="106"/>
      <c r="M132" s="106"/>
      <c r="N132" s="106"/>
      <c r="O132" s="29"/>
      <c r="P132" s="106"/>
      <c r="Q132" s="106"/>
      <c r="R132" s="106"/>
      <c r="S132" s="106"/>
      <c r="T132" s="106"/>
      <c r="U132" s="106"/>
      <c r="V132" s="9"/>
      <c r="W132" s="106"/>
      <c r="X132" s="106"/>
      <c r="Y132" s="106"/>
      <c r="Z132" s="106"/>
      <c r="AA132" s="106"/>
      <c r="AB132" s="106"/>
      <c r="AC132" s="2"/>
      <c r="AD132" s="106"/>
      <c r="AE132" s="106"/>
      <c r="AF132" s="106"/>
      <c r="AG132" s="106"/>
      <c r="AH132" s="106"/>
      <c r="AI132" s="106"/>
      <c r="AJ132" s="2"/>
      <c r="AK132" s="106"/>
      <c r="AL132" s="106"/>
      <c r="AM132" s="106"/>
      <c r="AN132" s="106"/>
      <c r="AO132" s="106"/>
      <c r="AP132" s="106"/>
      <c r="AQ132" s="2"/>
      <c r="AR132" s="106"/>
      <c r="AS132" s="106"/>
      <c r="AT132" s="106"/>
      <c r="AU132" s="106"/>
      <c r="AV132" s="106"/>
      <c r="AW132" s="106"/>
      <c r="AX132" s="9"/>
      <c r="AY132" s="488"/>
      <c r="AZ132" s="488"/>
      <c r="BA132" s="488"/>
      <c r="BB132" s="488"/>
      <c r="BC132" s="488"/>
      <c r="BD132" s="488"/>
      <c r="BE132" s="488"/>
      <c r="BF132" s="488"/>
      <c r="BG132" s="488"/>
      <c r="BH132" s="488"/>
      <c r="BI132" s="488"/>
      <c r="BJ132" s="488"/>
      <c r="BK132" s="488"/>
      <c r="BL132" s="488"/>
      <c r="BM132" s="488"/>
      <c r="BN132" s="488"/>
      <c r="BO132" s="488"/>
      <c r="BP132" s="488"/>
      <c r="BQ132" s="488"/>
      <c r="BR132" s="488"/>
      <c r="BS132" s="488"/>
      <c r="BT132" s="488"/>
      <c r="BU132" s="488"/>
      <c r="BV132" s="488"/>
      <c r="BW132" s="488"/>
      <c r="BX132" s="488"/>
      <c r="BY132" s="488"/>
      <c r="BZ132" s="488"/>
      <c r="CA132" s="488"/>
      <c r="CB132" s="488"/>
      <c r="CC132" s="488"/>
      <c r="CD132" s="488"/>
      <c r="CE132" s="488"/>
      <c r="CF132" s="488"/>
      <c r="CG132" s="488"/>
      <c r="CH132" s="488"/>
      <c r="CI132" s="488"/>
      <c r="CJ132" s="488"/>
      <c r="CK132" s="488"/>
      <c r="CL132" s="488"/>
      <c r="CM132" s="488"/>
      <c r="CN132" s="488"/>
      <c r="CO132" s="488"/>
      <c r="CP132" s="488"/>
      <c r="CQ132" s="488"/>
      <c r="CR132" s="488"/>
      <c r="CS132" s="488"/>
      <c r="CT132" s="488"/>
      <c r="CU132" s="488"/>
      <c r="CV132" s="488"/>
      <c r="CW132" s="488"/>
      <c r="CX132" s="488"/>
      <c r="CY132" s="488"/>
      <c r="CZ132" s="488"/>
      <c r="DA132" s="488"/>
      <c r="DB132" s="488"/>
      <c r="DC132" s="488"/>
      <c r="DD132" s="488"/>
      <c r="DE132" s="488"/>
      <c r="DF132" s="488"/>
      <c r="DG132" s="488"/>
      <c r="DH132" s="488"/>
      <c r="DI132" s="488"/>
      <c r="DJ132" s="488"/>
      <c r="DK132" s="488"/>
      <c r="DL132" s="488"/>
      <c r="DM132" s="488"/>
      <c r="DN132" s="488"/>
      <c r="DO132" s="488"/>
      <c r="DP132" s="488"/>
      <c r="DQ132" s="488"/>
      <c r="DR132" s="488"/>
      <c r="DS132" s="488"/>
      <c r="DT132" s="488"/>
      <c r="DU132" s="488"/>
      <c r="DV132" s="488"/>
      <c r="DW132" s="488"/>
      <c r="DX132" s="488"/>
      <c r="DY132" s="488"/>
      <c r="DZ132" s="488"/>
      <c r="EA132" s="488"/>
      <c r="EB132" s="488"/>
      <c r="EC132" s="488"/>
      <c r="ED132" s="488"/>
      <c r="EE132" s="488"/>
      <c r="EF132" s="488"/>
      <c r="EG132" s="488"/>
      <c r="EH132" s="488"/>
      <c r="EI132" s="488"/>
      <c r="EJ132" s="488"/>
      <c r="EK132" s="488"/>
      <c r="EL132" s="488"/>
      <c r="EM132" s="488"/>
      <c r="EN132" s="488"/>
      <c r="EO132" s="488"/>
      <c r="EP132" s="488"/>
      <c r="EQ132" s="488"/>
      <c r="ER132" s="488"/>
      <c r="ES132" s="488"/>
      <c r="ET132" s="488"/>
      <c r="EU132" s="488"/>
      <c r="EV132" s="488"/>
      <c r="EW132" s="488"/>
      <c r="EX132" s="488"/>
      <c r="EY132" s="488"/>
      <c r="EZ132" s="488"/>
      <c r="FA132" s="488"/>
      <c r="FB132" s="488"/>
      <c r="FC132" s="488"/>
      <c r="FD132" s="488"/>
      <c r="FE132" s="488"/>
      <c r="FF132" s="488"/>
      <c r="FG132" s="488"/>
      <c r="FH132" s="488"/>
    </row>
    <row r="133" spans="1:164" ht="13.05" hidden="1" customHeight="1" x14ac:dyDescent="0.25">
      <c r="A133" t="str">
        <f>Nutrients!B132</f>
        <v>Glutamic acid</v>
      </c>
      <c r="B133" s="106"/>
      <c r="C133" s="106"/>
      <c r="D133" s="106"/>
      <c r="E133" s="106"/>
      <c r="F133" s="106"/>
      <c r="G133" s="106"/>
      <c r="H133" s="106"/>
      <c r="I133" s="106"/>
      <c r="J133" s="106"/>
      <c r="K133" s="106"/>
      <c r="L133" s="106"/>
      <c r="M133" s="106"/>
      <c r="N133" s="106"/>
      <c r="O133" s="29"/>
      <c r="P133" s="106"/>
      <c r="Q133" s="106"/>
      <c r="R133" s="106"/>
      <c r="S133" s="106"/>
      <c r="T133" s="106"/>
      <c r="U133" s="106"/>
      <c r="V133" s="9"/>
      <c r="W133" s="106"/>
      <c r="X133" s="106"/>
      <c r="Y133" s="106"/>
      <c r="Z133" s="106"/>
      <c r="AA133" s="106"/>
      <c r="AB133" s="106"/>
      <c r="AC133" s="2"/>
      <c r="AD133" s="106"/>
      <c r="AE133" s="106"/>
      <c r="AF133" s="106"/>
      <c r="AG133" s="106"/>
      <c r="AH133" s="106"/>
      <c r="AI133" s="106"/>
      <c r="AJ133" s="2"/>
      <c r="AK133" s="106"/>
      <c r="AL133" s="106"/>
      <c r="AM133" s="106"/>
      <c r="AN133" s="106"/>
      <c r="AO133" s="106"/>
      <c r="AP133" s="106"/>
      <c r="AQ133" s="2"/>
      <c r="AR133" s="106"/>
      <c r="AS133" s="106"/>
      <c r="AT133" s="106"/>
      <c r="AU133" s="106"/>
      <c r="AV133" s="106"/>
      <c r="AW133" s="106"/>
      <c r="AX133" s="9"/>
      <c r="AY133" s="488"/>
      <c r="AZ133" s="488"/>
      <c r="BA133" s="488"/>
      <c r="BB133" s="488"/>
      <c r="BC133" s="488"/>
      <c r="BD133" s="488"/>
      <c r="BE133" s="488"/>
      <c r="BF133" s="488"/>
      <c r="BG133" s="488"/>
      <c r="BH133" s="488"/>
      <c r="BI133" s="488"/>
      <c r="BJ133" s="488"/>
      <c r="BK133" s="488"/>
      <c r="BL133" s="488"/>
      <c r="BM133" s="488"/>
      <c r="BN133" s="488"/>
      <c r="BO133" s="488"/>
      <c r="BP133" s="488"/>
      <c r="BQ133" s="488"/>
      <c r="BR133" s="488"/>
      <c r="BS133" s="488"/>
      <c r="BT133" s="488"/>
      <c r="BU133" s="488"/>
      <c r="BV133" s="488"/>
      <c r="BW133" s="488"/>
      <c r="BX133" s="488"/>
      <c r="BY133" s="488"/>
      <c r="BZ133" s="488"/>
      <c r="CA133" s="488"/>
      <c r="CB133" s="488"/>
      <c r="CC133" s="488"/>
      <c r="CD133" s="488"/>
      <c r="CE133" s="488"/>
      <c r="CF133" s="488"/>
      <c r="CG133" s="488"/>
      <c r="CH133" s="488"/>
      <c r="CI133" s="488"/>
      <c r="CJ133" s="488"/>
      <c r="CK133" s="488"/>
      <c r="CL133" s="488"/>
      <c r="CM133" s="488"/>
      <c r="CN133" s="488"/>
      <c r="CO133" s="488"/>
      <c r="CP133" s="488"/>
      <c r="CQ133" s="488"/>
      <c r="CR133" s="488"/>
      <c r="CS133" s="488"/>
      <c r="CT133" s="488"/>
      <c r="CU133" s="488"/>
      <c r="CV133" s="488"/>
      <c r="CW133" s="488"/>
      <c r="CX133" s="488"/>
      <c r="CY133" s="488"/>
      <c r="CZ133" s="488"/>
      <c r="DA133" s="488"/>
      <c r="DB133" s="488"/>
      <c r="DC133" s="488"/>
      <c r="DD133" s="488"/>
      <c r="DE133" s="488"/>
      <c r="DF133" s="488"/>
      <c r="DG133" s="488"/>
      <c r="DH133" s="488"/>
      <c r="DI133" s="488"/>
      <c r="DJ133" s="488"/>
      <c r="DK133" s="488"/>
      <c r="DL133" s="488"/>
      <c r="DM133" s="488"/>
      <c r="DN133" s="488"/>
      <c r="DO133" s="488"/>
      <c r="DP133" s="488"/>
      <c r="DQ133" s="488"/>
      <c r="DR133" s="488"/>
      <c r="DS133" s="488"/>
      <c r="DT133" s="488"/>
      <c r="DU133" s="488"/>
      <c r="DV133" s="488"/>
      <c r="DW133" s="488"/>
      <c r="DX133" s="488"/>
      <c r="DY133" s="488"/>
      <c r="DZ133" s="488"/>
      <c r="EA133" s="488"/>
      <c r="EB133" s="488"/>
      <c r="EC133" s="488"/>
      <c r="ED133" s="488"/>
      <c r="EE133" s="488"/>
      <c r="EF133" s="488"/>
      <c r="EG133" s="488"/>
      <c r="EH133" s="488"/>
      <c r="EI133" s="488"/>
      <c r="EJ133" s="488"/>
      <c r="EK133" s="488"/>
      <c r="EL133" s="488"/>
      <c r="EM133" s="488"/>
      <c r="EN133" s="488"/>
      <c r="EO133" s="488"/>
      <c r="EP133" s="488"/>
      <c r="EQ133" s="488"/>
      <c r="ER133" s="488"/>
      <c r="ES133" s="488"/>
      <c r="ET133" s="488"/>
      <c r="EU133" s="488"/>
      <c r="EV133" s="488"/>
      <c r="EW133" s="488"/>
      <c r="EX133" s="488"/>
      <c r="EY133" s="488"/>
      <c r="EZ133" s="488"/>
      <c r="FA133" s="488"/>
      <c r="FB133" s="488"/>
      <c r="FC133" s="488"/>
      <c r="FD133" s="488"/>
      <c r="FE133" s="488"/>
      <c r="FF133" s="488"/>
      <c r="FG133" s="488"/>
      <c r="FH133" s="488"/>
    </row>
    <row r="134" spans="1:164" ht="13.05" hidden="1" customHeight="1" x14ac:dyDescent="0.25">
      <c r="A134" t="str">
        <f>Nutrients!B133</f>
        <v>Biolys</v>
      </c>
      <c r="B134" s="106"/>
      <c r="C134" s="106"/>
      <c r="D134" s="106"/>
      <c r="E134" s="106"/>
      <c r="F134" s="106"/>
      <c r="G134" s="106"/>
      <c r="H134" s="106"/>
      <c r="I134" s="106"/>
      <c r="J134" s="106"/>
      <c r="K134" s="106"/>
      <c r="L134" s="106"/>
      <c r="M134" s="106"/>
      <c r="N134" s="106"/>
      <c r="O134" s="29"/>
      <c r="P134" s="106"/>
      <c r="Q134" s="106"/>
      <c r="R134" s="106"/>
      <c r="S134" s="106"/>
      <c r="T134" s="106"/>
      <c r="U134" s="106"/>
      <c r="V134" s="9"/>
      <c r="W134" s="106"/>
      <c r="X134" s="106"/>
      <c r="Y134" s="106"/>
      <c r="Z134" s="106"/>
      <c r="AA134" s="106"/>
      <c r="AB134" s="106"/>
      <c r="AC134" s="2"/>
      <c r="AD134" s="106"/>
      <c r="AE134" s="106"/>
      <c r="AF134" s="106"/>
      <c r="AG134" s="106"/>
      <c r="AH134" s="106"/>
      <c r="AI134" s="106"/>
      <c r="AJ134" s="2"/>
      <c r="AK134" s="106"/>
      <c r="AL134" s="106"/>
      <c r="AM134" s="106"/>
      <c r="AN134" s="106"/>
      <c r="AO134" s="106"/>
      <c r="AP134" s="106"/>
      <c r="AQ134" s="2"/>
      <c r="AR134" s="106"/>
      <c r="AS134" s="106"/>
      <c r="AT134" s="106"/>
      <c r="AU134" s="106"/>
      <c r="AV134" s="106"/>
      <c r="AW134" s="106"/>
      <c r="AX134" s="9"/>
      <c r="AY134" s="488"/>
      <c r="AZ134" s="488"/>
      <c r="BA134" s="488"/>
      <c r="BB134" s="488"/>
      <c r="BC134" s="488"/>
      <c r="BD134" s="488"/>
      <c r="BE134" s="488"/>
      <c r="BF134" s="488"/>
      <c r="BG134" s="488"/>
      <c r="BH134" s="488"/>
      <c r="BI134" s="488"/>
      <c r="BJ134" s="488"/>
      <c r="BK134" s="488"/>
      <c r="BL134" s="488"/>
      <c r="BM134" s="488"/>
      <c r="BN134" s="488"/>
      <c r="BO134" s="488"/>
      <c r="BP134" s="488"/>
      <c r="BQ134" s="488"/>
      <c r="BR134" s="488"/>
      <c r="BS134" s="488"/>
      <c r="BT134" s="488"/>
      <c r="BU134" s="488"/>
      <c r="BV134" s="488"/>
      <c r="BW134" s="488"/>
      <c r="BX134" s="488"/>
      <c r="BY134" s="488"/>
      <c r="BZ134" s="488"/>
      <c r="CA134" s="488"/>
      <c r="CB134" s="488"/>
      <c r="CC134" s="488"/>
      <c r="CD134" s="488"/>
      <c r="CE134" s="488"/>
      <c r="CF134" s="488"/>
      <c r="CG134" s="488"/>
      <c r="CH134" s="488"/>
      <c r="CI134" s="488"/>
      <c r="CJ134" s="488"/>
      <c r="CK134" s="488"/>
      <c r="CL134" s="488"/>
      <c r="CM134" s="488"/>
      <c r="CN134" s="488"/>
      <c r="CO134" s="488"/>
      <c r="CP134" s="488"/>
      <c r="CQ134" s="488"/>
      <c r="CR134" s="488"/>
      <c r="CS134" s="488"/>
      <c r="CT134" s="488"/>
      <c r="CU134" s="488"/>
      <c r="CV134" s="488"/>
      <c r="CW134" s="488"/>
      <c r="CX134" s="488"/>
      <c r="CY134" s="488"/>
      <c r="CZ134" s="488"/>
      <c r="DA134" s="488"/>
      <c r="DB134" s="488"/>
      <c r="DC134" s="488"/>
      <c r="DD134" s="488"/>
      <c r="DE134" s="488"/>
      <c r="DF134" s="488"/>
      <c r="DG134" s="488"/>
      <c r="DH134" s="488"/>
      <c r="DI134" s="488"/>
      <c r="DJ134" s="488"/>
      <c r="DK134" s="488"/>
      <c r="DL134" s="488"/>
      <c r="DM134" s="488"/>
      <c r="DN134" s="488"/>
      <c r="DO134" s="488"/>
      <c r="DP134" s="488"/>
      <c r="DQ134" s="488"/>
      <c r="DR134" s="488"/>
      <c r="DS134" s="488"/>
      <c r="DT134" s="488"/>
      <c r="DU134" s="488"/>
      <c r="DV134" s="488"/>
      <c r="DW134" s="488"/>
      <c r="DX134" s="488"/>
      <c r="DY134" s="488"/>
      <c r="DZ134" s="488"/>
      <c r="EA134" s="488"/>
      <c r="EB134" s="488"/>
      <c r="EC134" s="488"/>
      <c r="ED134" s="488"/>
      <c r="EE134" s="488"/>
      <c r="EF134" s="488"/>
      <c r="EG134" s="488"/>
      <c r="EH134" s="488"/>
      <c r="EI134" s="488"/>
      <c r="EJ134" s="488"/>
      <c r="EK134" s="488"/>
      <c r="EL134" s="488"/>
      <c r="EM134" s="488"/>
      <c r="EN134" s="488"/>
      <c r="EO134" s="488"/>
      <c r="EP134" s="488"/>
      <c r="EQ134" s="488"/>
      <c r="ER134" s="488"/>
      <c r="ES134" s="488"/>
      <c r="ET134" s="488"/>
      <c r="EU134" s="488"/>
      <c r="EV134" s="488"/>
      <c r="EW134" s="488"/>
      <c r="EX134" s="488"/>
      <c r="EY134" s="488"/>
      <c r="EZ134" s="488"/>
      <c r="FA134" s="488"/>
      <c r="FB134" s="488"/>
      <c r="FC134" s="488"/>
      <c r="FD134" s="488"/>
      <c r="FE134" s="488"/>
      <c r="FF134" s="488"/>
      <c r="FG134" s="488"/>
      <c r="FH134" s="488"/>
    </row>
    <row r="135" spans="1:164" ht="13.05" hidden="1" customHeight="1" x14ac:dyDescent="0.25">
      <c r="A135" t="str">
        <f>Nutrients!B134</f>
        <v>Liquid lysine 60%</v>
      </c>
      <c r="B135" s="106"/>
      <c r="C135" s="106"/>
      <c r="D135" s="106"/>
      <c r="E135" s="106"/>
      <c r="F135" s="106"/>
      <c r="G135" s="106"/>
      <c r="H135" s="106"/>
      <c r="I135" s="106"/>
      <c r="J135" s="106"/>
      <c r="K135" s="106"/>
      <c r="L135" s="106"/>
      <c r="M135" s="106"/>
      <c r="N135" s="106"/>
      <c r="O135" s="29"/>
      <c r="P135" s="106"/>
      <c r="Q135" s="106"/>
      <c r="R135" s="106"/>
      <c r="S135" s="106"/>
      <c r="T135" s="106"/>
      <c r="U135" s="106"/>
      <c r="V135" s="9"/>
      <c r="W135" s="106"/>
      <c r="X135" s="106"/>
      <c r="Y135" s="106"/>
      <c r="Z135" s="106"/>
      <c r="AA135" s="106"/>
      <c r="AB135" s="106"/>
      <c r="AC135" s="2"/>
      <c r="AD135" s="106"/>
      <c r="AE135" s="106"/>
      <c r="AF135" s="106"/>
      <c r="AG135" s="106"/>
      <c r="AH135" s="106"/>
      <c r="AI135" s="106"/>
      <c r="AJ135" s="2"/>
      <c r="AK135" s="106"/>
      <c r="AL135" s="106"/>
      <c r="AM135" s="106"/>
      <c r="AN135" s="106"/>
      <c r="AO135" s="106"/>
      <c r="AP135" s="106"/>
      <c r="AQ135" s="2"/>
      <c r="AR135" s="106"/>
      <c r="AS135" s="106"/>
      <c r="AT135" s="106"/>
      <c r="AU135" s="106"/>
      <c r="AV135" s="106"/>
      <c r="AW135" s="106"/>
      <c r="AX135" s="9"/>
      <c r="AY135" s="488"/>
      <c r="AZ135" s="488"/>
      <c r="BA135" s="488"/>
      <c r="BB135" s="488"/>
      <c r="BC135" s="488"/>
      <c r="BD135" s="488"/>
      <c r="BE135" s="488"/>
      <c r="BF135" s="488"/>
      <c r="BG135" s="488"/>
      <c r="BH135" s="488"/>
      <c r="BI135" s="488"/>
      <c r="BJ135" s="488"/>
      <c r="BK135" s="488"/>
      <c r="BL135" s="488"/>
      <c r="BM135" s="488"/>
      <c r="BN135" s="488"/>
      <c r="BO135" s="488"/>
      <c r="BP135" s="488"/>
      <c r="BQ135" s="488"/>
      <c r="BR135" s="488"/>
      <c r="BS135" s="488"/>
      <c r="BT135" s="488"/>
      <c r="BU135" s="488"/>
      <c r="BV135" s="488"/>
      <c r="BW135" s="488"/>
      <c r="BX135" s="488"/>
      <c r="BY135" s="488"/>
      <c r="BZ135" s="488"/>
      <c r="CA135" s="488"/>
      <c r="CB135" s="488"/>
      <c r="CC135" s="488"/>
      <c r="CD135" s="488"/>
      <c r="CE135" s="488"/>
      <c r="CF135" s="488"/>
      <c r="CG135" s="488"/>
      <c r="CH135" s="488"/>
      <c r="CI135" s="488"/>
      <c r="CJ135" s="488"/>
      <c r="CK135" s="488"/>
      <c r="CL135" s="488"/>
      <c r="CM135" s="488"/>
      <c r="CN135" s="488"/>
      <c r="CO135" s="488"/>
      <c r="CP135" s="488"/>
      <c r="CQ135" s="488"/>
      <c r="CR135" s="488"/>
      <c r="CS135" s="488"/>
      <c r="CT135" s="488"/>
      <c r="CU135" s="488"/>
      <c r="CV135" s="488"/>
      <c r="CW135" s="488"/>
      <c r="CX135" s="488"/>
      <c r="CY135" s="488"/>
      <c r="CZ135" s="488"/>
      <c r="DA135" s="488"/>
      <c r="DB135" s="488"/>
      <c r="DC135" s="488"/>
      <c r="DD135" s="488"/>
      <c r="DE135" s="488"/>
      <c r="DF135" s="488"/>
      <c r="DG135" s="488"/>
      <c r="DH135" s="488"/>
      <c r="DI135" s="488"/>
      <c r="DJ135" s="488"/>
      <c r="DK135" s="488"/>
      <c r="DL135" s="488"/>
      <c r="DM135" s="488"/>
      <c r="DN135" s="488"/>
      <c r="DO135" s="488"/>
      <c r="DP135" s="488"/>
      <c r="DQ135" s="488"/>
      <c r="DR135" s="488"/>
      <c r="DS135" s="488"/>
      <c r="DT135" s="488"/>
      <c r="DU135" s="488"/>
      <c r="DV135" s="488"/>
      <c r="DW135" s="488"/>
      <c r="DX135" s="488"/>
      <c r="DY135" s="488"/>
      <c r="DZ135" s="488"/>
      <c r="EA135" s="488"/>
      <c r="EB135" s="488"/>
      <c r="EC135" s="488"/>
      <c r="ED135" s="488"/>
      <c r="EE135" s="488"/>
      <c r="EF135" s="488"/>
      <c r="EG135" s="488"/>
      <c r="EH135" s="488"/>
      <c r="EI135" s="488"/>
      <c r="EJ135" s="488"/>
      <c r="EK135" s="488"/>
      <c r="EL135" s="488"/>
      <c r="EM135" s="488"/>
      <c r="EN135" s="488"/>
      <c r="EO135" s="488"/>
      <c r="EP135" s="488"/>
      <c r="EQ135" s="488"/>
      <c r="ER135" s="488"/>
      <c r="ES135" s="488"/>
      <c r="ET135" s="488"/>
      <c r="EU135" s="488"/>
      <c r="EV135" s="488"/>
      <c r="EW135" s="488"/>
      <c r="EX135" s="488"/>
      <c r="EY135" s="488"/>
      <c r="EZ135" s="488"/>
      <c r="FA135" s="488"/>
      <c r="FB135" s="488"/>
      <c r="FC135" s="488"/>
      <c r="FD135" s="488"/>
      <c r="FE135" s="488"/>
      <c r="FF135" s="488"/>
      <c r="FG135" s="488"/>
      <c r="FH135" s="488"/>
    </row>
    <row r="136" spans="1:164" ht="13.05" hidden="1" customHeight="1" x14ac:dyDescent="0.25">
      <c r="A136" t="str">
        <f>Nutrients!B135</f>
        <v>MHA dry</v>
      </c>
      <c r="B136" s="106"/>
      <c r="C136" s="106"/>
      <c r="D136" s="106"/>
      <c r="E136" s="106"/>
      <c r="F136" s="106"/>
      <c r="G136" s="106"/>
      <c r="H136" s="106"/>
      <c r="I136" s="106"/>
      <c r="J136" s="106"/>
      <c r="K136" s="106"/>
      <c r="L136" s="106"/>
      <c r="M136" s="106"/>
      <c r="N136" s="106"/>
      <c r="O136" s="29"/>
      <c r="P136" s="106"/>
      <c r="Q136" s="106"/>
      <c r="R136" s="106"/>
      <c r="S136" s="106"/>
      <c r="T136" s="106"/>
      <c r="U136" s="106"/>
      <c r="V136" s="9"/>
      <c r="W136" s="106"/>
      <c r="X136" s="106"/>
      <c r="Y136" s="106"/>
      <c r="Z136" s="106"/>
      <c r="AA136" s="106"/>
      <c r="AB136" s="106"/>
      <c r="AC136" s="2"/>
      <c r="AD136" s="106"/>
      <c r="AE136" s="106"/>
      <c r="AF136" s="106"/>
      <c r="AG136" s="106"/>
      <c r="AH136" s="106"/>
      <c r="AI136" s="106"/>
      <c r="AJ136" s="2"/>
      <c r="AK136" s="106"/>
      <c r="AL136" s="106"/>
      <c r="AM136" s="106"/>
      <c r="AN136" s="106"/>
      <c r="AO136" s="106"/>
      <c r="AP136" s="106"/>
      <c r="AQ136" s="2"/>
      <c r="AR136" s="106"/>
      <c r="AS136" s="106"/>
      <c r="AT136" s="106"/>
      <c r="AU136" s="106"/>
      <c r="AV136" s="106"/>
      <c r="AW136" s="106"/>
      <c r="AX136" s="9"/>
      <c r="AY136" s="488"/>
      <c r="AZ136" s="488"/>
      <c r="BA136" s="488"/>
      <c r="BB136" s="488"/>
      <c r="BC136" s="488"/>
      <c r="BD136" s="488"/>
      <c r="BE136" s="488"/>
      <c r="BF136" s="488"/>
      <c r="BG136" s="488"/>
      <c r="BH136" s="488"/>
      <c r="BI136" s="488"/>
      <c r="BJ136" s="488"/>
      <c r="BK136" s="488"/>
      <c r="BL136" s="488"/>
      <c r="BM136" s="488"/>
      <c r="BN136" s="488"/>
      <c r="BO136" s="488"/>
      <c r="BP136" s="488"/>
      <c r="BQ136" s="488"/>
      <c r="BR136" s="488"/>
      <c r="BS136" s="488"/>
      <c r="BT136" s="488"/>
      <c r="BU136" s="488"/>
      <c r="BV136" s="488"/>
      <c r="BW136" s="488"/>
      <c r="BX136" s="488"/>
      <c r="BY136" s="488"/>
      <c r="BZ136" s="488"/>
      <c r="CA136" s="488"/>
      <c r="CB136" s="488"/>
      <c r="CC136" s="488"/>
      <c r="CD136" s="488"/>
      <c r="CE136" s="488"/>
      <c r="CF136" s="488"/>
      <c r="CG136" s="488"/>
      <c r="CH136" s="488"/>
      <c r="CI136" s="488"/>
      <c r="CJ136" s="488"/>
      <c r="CK136" s="488"/>
      <c r="CL136" s="488"/>
      <c r="CM136" s="488"/>
      <c r="CN136" s="488"/>
      <c r="CO136" s="488"/>
      <c r="CP136" s="488"/>
      <c r="CQ136" s="488"/>
      <c r="CR136" s="488"/>
      <c r="CS136" s="488"/>
      <c r="CT136" s="488"/>
      <c r="CU136" s="488"/>
      <c r="CV136" s="488"/>
      <c r="CW136" s="488"/>
      <c r="CX136" s="488"/>
      <c r="CY136" s="488"/>
      <c r="CZ136" s="488"/>
      <c r="DA136" s="488"/>
      <c r="DB136" s="488"/>
      <c r="DC136" s="488"/>
      <c r="DD136" s="488"/>
      <c r="DE136" s="488"/>
      <c r="DF136" s="488"/>
      <c r="DG136" s="488"/>
      <c r="DH136" s="488"/>
      <c r="DI136" s="488"/>
      <c r="DJ136" s="488"/>
      <c r="DK136" s="488"/>
      <c r="DL136" s="488"/>
      <c r="DM136" s="488"/>
      <c r="DN136" s="488"/>
      <c r="DO136" s="488"/>
      <c r="DP136" s="488"/>
      <c r="DQ136" s="488"/>
      <c r="DR136" s="488"/>
      <c r="DS136" s="488"/>
      <c r="DT136" s="488"/>
      <c r="DU136" s="488"/>
      <c r="DV136" s="488"/>
      <c r="DW136" s="488"/>
      <c r="DX136" s="488"/>
      <c r="DY136" s="488"/>
      <c r="DZ136" s="488"/>
      <c r="EA136" s="488"/>
      <c r="EB136" s="488"/>
      <c r="EC136" s="488"/>
      <c r="ED136" s="488"/>
      <c r="EE136" s="488"/>
      <c r="EF136" s="488"/>
      <c r="EG136" s="488"/>
      <c r="EH136" s="488"/>
      <c r="EI136" s="488"/>
      <c r="EJ136" s="488"/>
      <c r="EK136" s="488"/>
      <c r="EL136" s="488"/>
      <c r="EM136" s="488"/>
      <c r="EN136" s="488"/>
      <c r="EO136" s="488"/>
      <c r="EP136" s="488"/>
      <c r="EQ136" s="488"/>
      <c r="ER136" s="488"/>
      <c r="ES136" s="488"/>
      <c r="ET136" s="488"/>
      <c r="EU136" s="488"/>
      <c r="EV136" s="488"/>
      <c r="EW136" s="488"/>
      <c r="EX136" s="488"/>
      <c r="EY136" s="488"/>
      <c r="EZ136" s="488"/>
      <c r="FA136" s="488"/>
      <c r="FB136" s="488"/>
      <c r="FC136" s="488"/>
      <c r="FD136" s="488"/>
      <c r="FE136" s="488"/>
      <c r="FF136" s="488"/>
      <c r="FG136" s="488"/>
      <c r="FH136" s="488"/>
    </row>
    <row r="137" spans="1:164" ht="13.05" hidden="1" customHeight="1" x14ac:dyDescent="0.25">
      <c r="A137" t="str">
        <f>Nutrients!B136</f>
        <v>Paylean, 9 g/lb</v>
      </c>
      <c r="B137" s="106"/>
      <c r="C137" s="106"/>
      <c r="D137" s="106"/>
      <c r="E137" s="106"/>
      <c r="F137" s="106"/>
      <c r="G137" s="106"/>
      <c r="H137" s="106"/>
      <c r="I137" s="106"/>
      <c r="J137" s="106"/>
      <c r="K137" s="106"/>
      <c r="L137" s="106"/>
      <c r="M137" s="106"/>
      <c r="N137" s="106"/>
      <c r="O137" s="29"/>
      <c r="P137" s="106"/>
      <c r="Q137" s="106"/>
      <c r="R137" s="106"/>
      <c r="S137" s="106"/>
      <c r="T137" s="106"/>
      <c r="U137" s="106"/>
      <c r="V137" s="9"/>
      <c r="W137" s="106"/>
      <c r="X137" s="106"/>
      <c r="Y137" s="106"/>
      <c r="Z137" s="106"/>
      <c r="AA137" s="106"/>
      <c r="AB137" s="106"/>
      <c r="AC137" s="2"/>
      <c r="AD137" s="106"/>
      <c r="AE137" s="106"/>
      <c r="AF137" s="106"/>
      <c r="AG137" s="106"/>
      <c r="AH137" s="106"/>
      <c r="AI137" s="106"/>
      <c r="AJ137" s="2"/>
      <c r="AK137" s="106"/>
      <c r="AL137" s="106"/>
      <c r="AM137" s="106"/>
      <c r="AN137" s="106"/>
      <c r="AO137" s="106"/>
      <c r="AP137" s="106"/>
      <c r="AQ137" s="2"/>
      <c r="AR137" s="106"/>
      <c r="AS137" s="106"/>
      <c r="AT137" s="106"/>
      <c r="AU137" s="106"/>
      <c r="AV137" s="106"/>
      <c r="AW137" s="106"/>
      <c r="AX137" s="9"/>
      <c r="AY137" s="488"/>
      <c r="AZ137" s="488"/>
      <c r="BA137" s="488"/>
      <c r="BB137" s="488"/>
      <c r="BC137" s="488"/>
      <c r="BD137" s="488"/>
      <c r="BE137" s="488"/>
      <c r="BF137" s="488"/>
      <c r="BG137" s="488"/>
      <c r="BH137" s="488"/>
      <c r="BI137" s="488"/>
      <c r="BJ137" s="488"/>
      <c r="BK137" s="488"/>
      <c r="BL137" s="488"/>
      <c r="BM137" s="488"/>
      <c r="BN137" s="488"/>
      <c r="BO137" s="488"/>
      <c r="BP137" s="488"/>
      <c r="BQ137" s="488"/>
      <c r="BR137" s="488"/>
      <c r="BS137" s="488"/>
      <c r="BT137" s="488"/>
      <c r="BU137" s="488"/>
      <c r="BV137" s="488"/>
      <c r="BW137" s="488"/>
      <c r="BX137" s="488"/>
      <c r="BY137" s="488"/>
      <c r="BZ137" s="488"/>
      <c r="CA137" s="488"/>
      <c r="CB137" s="488"/>
      <c r="CC137" s="488"/>
      <c r="CD137" s="488"/>
      <c r="CE137" s="488"/>
      <c r="CF137" s="488"/>
      <c r="CG137" s="488"/>
      <c r="CH137" s="488"/>
      <c r="CI137" s="488"/>
      <c r="CJ137" s="488"/>
      <c r="CK137" s="488"/>
      <c r="CL137" s="488"/>
      <c r="CM137" s="488"/>
      <c r="CN137" s="488"/>
      <c r="CO137" s="488"/>
      <c r="CP137" s="488"/>
      <c r="CQ137" s="488"/>
      <c r="CR137" s="488"/>
      <c r="CS137" s="488"/>
      <c r="CT137" s="488"/>
      <c r="CU137" s="488"/>
      <c r="CV137" s="488"/>
      <c r="CW137" s="488"/>
      <c r="CX137" s="488"/>
      <c r="CY137" s="488"/>
      <c r="CZ137" s="488"/>
      <c r="DA137" s="488"/>
      <c r="DB137" s="488"/>
      <c r="DC137" s="488"/>
      <c r="DD137" s="488"/>
      <c r="DE137" s="488"/>
      <c r="DF137" s="488"/>
      <c r="DG137" s="488"/>
      <c r="DH137" s="488"/>
      <c r="DI137" s="488"/>
      <c r="DJ137" s="488"/>
      <c r="DK137" s="488"/>
      <c r="DL137" s="488"/>
      <c r="DM137" s="488"/>
      <c r="DN137" s="488"/>
      <c r="DO137" s="488"/>
      <c r="DP137" s="488"/>
      <c r="DQ137" s="488"/>
      <c r="DR137" s="488"/>
      <c r="DS137" s="488"/>
      <c r="DT137" s="488"/>
      <c r="DU137" s="488"/>
      <c r="DV137" s="488"/>
      <c r="DW137" s="488"/>
      <c r="DX137" s="488"/>
      <c r="DY137" s="488"/>
      <c r="DZ137" s="488"/>
      <c r="EA137" s="488"/>
      <c r="EB137" s="488"/>
      <c r="EC137" s="488"/>
      <c r="ED137" s="488"/>
      <c r="EE137" s="488"/>
      <c r="EF137" s="488"/>
      <c r="EG137" s="488"/>
      <c r="EH137" s="488"/>
      <c r="EI137" s="488"/>
      <c r="EJ137" s="488"/>
      <c r="EK137" s="488"/>
      <c r="EL137" s="488"/>
      <c r="EM137" s="488"/>
      <c r="EN137" s="488"/>
      <c r="EO137" s="488"/>
      <c r="EP137" s="488"/>
      <c r="EQ137" s="488"/>
      <c r="ER137" s="488"/>
      <c r="ES137" s="488"/>
      <c r="ET137" s="488"/>
      <c r="EU137" s="488"/>
      <c r="EV137" s="488"/>
      <c r="EW137" s="488"/>
      <c r="EX137" s="488"/>
      <c r="EY137" s="488"/>
      <c r="EZ137" s="488"/>
      <c r="FA137" s="488"/>
      <c r="FB137" s="488"/>
      <c r="FC137" s="488"/>
      <c r="FD137" s="488"/>
      <c r="FE137" s="488"/>
      <c r="FF137" s="488"/>
      <c r="FG137" s="488"/>
      <c r="FH137" s="488"/>
    </row>
    <row r="138" spans="1:164" ht="13.05" hidden="1" customHeight="1" x14ac:dyDescent="0.25">
      <c r="A138" t="str">
        <f>Nutrients!B137</f>
        <v>Tribasic copper chloride</v>
      </c>
      <c r="B138" s="106"/>
      <c r="C138" s="106"/>
      <c r="D138" s="106"/>
      <c r="E138" s="106"/>
      <c r="F138" s="106"/>
      <c r="G138" s="106"/>
      <c r="H138" s="106"/>
      <c r="I138" s="106"/>
      <c r="J138" s="106"/>
      <c r="K138" s="106"/>
      <c r="L138" s="106"/>
      <c r="M138" s="106"/>
      <c r="N138" s="106"/>
      <c r="O138" s="29"/>
      <c r="P138" s="106"/>
      <c r="Q138" s="106"/>
      <c r="R138" s="106"/>
      <c r="S138" s="106"/>
      <c r="T138" s="106"/>
      <c r="U138" s="106"/>
      <c r="V138" s="9"/>
      <c r="W138" s="106"/>
      <c r="X138" s="106"/>
      <c r="Y138" s="106"/>
      <c r="Z138" s="106"/>
      <c r="AA138" s="106"/>
      <c r="AB138" s="106"/>
      <c r="AC138" s="2"/>
      <c r="AD138" s="106"/>
      <c r="AE138" s="106"/>
      <c r="AF138" s="106"/>
      <c r="AG138" s="106"/>
      <c r="AH138" s="106"/>
      <c r="AI138" s="106"/>
      <c r="AJ138" s="2"/>
      <c r="AK138" s="106"/>
      <c r="AL138" s="106"/>
      <c r="AM138" s="106"/>
      <c r="AN138" s="106"/>
      <c r="AO138" s="106"/>
      <c r="AP138" s="106"/>
      <c r="AQ138" s="2"/>
      <c r="AR138" s="106"/>
      <c r="AS138" s="106"/>
      <c r="AT138" s="106"/>
      <c r="AU138" s="106"/>
      <c r="AV138" s="106"/>
      <c r="AW138" s="106"/>
      <c r="AX138" s="9"/>
      <c r="AY138" s="488"/>
      <c r="AZ138" s="488"/>
      <c r="BA138" s="488"/>
      <c r="BB138" s="488"/>
      <c r="BC138" s="488"/>
      <c r="BD138" s="488"/>
      <c r="BE138" s="488"/>
      <c r="BF138" s="488"/>
      <c r="BG138" s="488"/>
      <c r="BH138" s="488"/>
      <c r="BI138" s="488"/>
      <c r="BJ138" s="488"/>
      <c r="BK138" s="488"/>
      <c r="BL138" s="488"/>
      <c r="BM138" s="488"/>
      <c r="BN138" s="488"/>
      <c r="BO138" s="488"/>
      <c r="BP138" s="488"/>
      <c r="BQ138" s="488"/>
      <c r="BR138" s="488"/>
      <c r="BS138" s="488"/>
      <c r="BT138" s="488"/>
      <c r="BU138" s="488"/>
      <c r="BV138" s="488"/>
      <c r="BW138" s="488"/>
      <c r="BX138" s="488"/>
      <c r="BY138" s="488"/>
      <c r="BZ138" s="488"/>
      <c r="CA138" s="488"/>
      <c r="CB138" s="488"/>
      <c r="CC138" s="488"/>
      <c r="CD138" s="488"/>
      <c r="CE138" s="488"/>
      <c r="CF138" s="488"/>
      <c r="CG138" s="488"/>
      <c r="CH138" s="488"/>
      <c r="CI138" s="488"/>
      <c r="CJ138" s="488"/>
      <c r="CK138" s="488"/>
      <c r="CL138" s="488"/>
      <c r="CM138" s="488"/>
      <c r="CN138" s="488"/>
      <c r="CO138" s="488"/>
      <c r="CP138" s="488"/>
      <c r="CQ138" s="488"/>
      <c r="CR138" s="488"/>
      <c r="CS138" s="488"/>
      <c r="CT138" s="488"/>
      <c r="CU138" s="488"/>
      <c r="CV138" s="488"/>
      <c r="CW138" s="488"/>
      <c r="CX138" s="488"/>
      <c r="CY138" s="488"/>
      <c r="CZ138" s="488"/>
      <c r="DA138" s="488"/>
      <c r="DB138" s="488"/>
      <c r="DC138" s="488"/>
      <c r="DD138" s="488"/>
      <c r="DE138" s="488"/>
      <c r="DF138" s="488"/>
      <c r="DG138" s="488"/>
      <c r="DH138" s="488"/>
      <c r="DI138" s="488"/>
      <c r="DJ138" s="488"/>
      <c r="DK138" s="488"/>
      <c r="DL138" s="488"/>
      <c r="DM138" s="488"/>
      <c r="DN138" s="488"/>
      <c r="DO138" s="488"/>
      <c r="DP138" s="488"/>
      <c r="DQ138" s="488"/>
      <c r="DR138" s="488"/>
      <c r="DS138" s="488"/>
      <c r="DT138" s="488"/>
      <c r="DU138" s="488"/>
      <c r="DV138" s="488"/>
      <c r="DW138" s="488"/>
      <c r="DX138" s="488"/>
      <c r="DY138" s="488"/>
      <c r="DZ138" s="488"/>
      <c r="EA138" s="488"/>
      <c r="EB138" s="488"/>
      <c r="EC138" s="488"/>
      <c r="ED138" s="488"/>
      <c r="EE138" s="488"/>
      <c r="EF138" s="488"/>
      <c r="EG138" s="488"/>
      <c r="EH138" s="488"/>
      <c r="EI138" s="488"/>
      <c r="EJ138" s="488"/>
      <c r="EK138" s="488"/>
      <c r="EL138" s="488"/>
      <c r="EM138" s="488"/>
      <c r="EN138" s="488"/>
      <c r="EO138" s="488"/>
      <c r="EP138" s="488"/>
      <c r="EQ138" s="488"/>
      <c r="ER138" s="488"/>
      <c r="ES138" s="488"/>
      <c r="ET138" s="488"/>
      <c r="EU138" s="488"/>
      <c r="EV138" s="488"/>
      <c r="EW138" s="488"/>
      <c r="EX138" s="488"/>
      <c r="EY138" s="488"/>
      <c r="EZ138" s="488"/>
      <c r="FA138" s="488"/>
      <c r="FB138" s="488"/>
      <c r="FC138" s="488"/>
      <c r="FD138" s="488"/>
      <c r="FE138" s="488"/>
      <c r="FF138" s="488"/>
      <c r="FG138" s="488"/>
      <c r="FH138" s="488"/>
    </row>
    <row r="139" spans="1:164" ht="13.05" hidden="1" customHeight="1" x14ac:dyDescent="0.25">
      <c r="A139" t="str">
        <f>Nutrients!B138</f>
        <v>2018 Starter base mix</v>
      </c>
      <c r="B139" s="106"/>
      <c r="C139" s="106"/>
      <c r="D139" s="106"/>
      <c r="E139" s="106"/>
      <c r="F139" s="106"/>
      <c r="G139" s="106"/>
      <c r="H139" s="106"/>
      <c r="I139" s="106"/>
      <c r="J139" s="106"/>
      <c r="K139" s="106"/>
      <c r="L139" s="106"/>
      <c r="M139" s="106"/>
      <c r="N139" s="106"/>
      <c r="O139" s="29"/>
      <c r="P139" s="106"/>
      <c r="Q139" s="106"/>
      <c r="R139" s="106"/>
      <c r="S139" s="106"/>
      <c r="T139" s="106"/>
      <c r="U139" s="106"/>
      <c r="V139" s="9"/>
      <c r="W139" s="106"/>
      <c r="X139" s="106"/>
      <c r="Y139" s="106"/>
      <c r="Z139" s="106"/>
      <c r="AA139" s="106"/>
      <c r="AB139" s="106"/>
      <c r="AC139" s="2"/>
      <c r="AD139" s="106"/>
      <c r="AE139" s="106"/>
      <c r="AF139" s="106"/>
      <c r="AG139" s="106"/>
      <c r="AH139" s="106"/>
      <c r="AI139" s="106"/>
      <c r="AJ139" s="2"/>
      <c r="AK139" s="106"/>
      <c r="AL139" s="106"/>
      <c r="AM139" s="106"/>
      <c r="AN139" s="106"/>
      <c r="AO139" s="106"/>
      <c r="AP139" s="106"/>
      <c r="AQ139" s="2"/>
      <c r="AR139" s="106"/>
      <c r="AS139" s="106"/>
      <c r="AT139" s="106"/>
      <c r="AU139" s="106"/>
      <c r="AV139" s="106"/>
      <c r="AW139" s="106"/>
      <c r="AX139" s="9"/>
      <c r="AY139" s="488"/>
      <c r="AZ139" s="488"/>
      <c r="BA139" s="488"/>
      <c r="BB139" s="488"/>
      <c r="BC139" s="488"/>
      <c r="BD139" s="488"/>
      <c r="BE139" s="488"/>
      <c r="BF139" s="488"/>
      <c r="BG139" s="488"/>
      <c r="BH139" s="488"/>
      <c r="BI139" s="488"/>
      <c r="BJ139" s="488"/>
      <c r="BK139" s="488"/>
      <c r="BL139" s="488"/>
      <c r="BM139" s="488"/>
      <c r="BN139" s="488"/>
      <c r="BO139" s="488"/>
      <c r="BP139" s="488"/>
      <c r="BQ139" s="488"/>
      <c r="BR139" s="488"/>
      <c r="BS139" s="488"/>
      <c r="BT139" s="488"/>
      <c r="BU139" s="488"/>
      <c r="BV139" s="488"/>
      <c r="BW139" s="488"/>
      <c r="BX139" s="488"/>
      <c r="BY139" s="488"/>
      <c r="BZ139" s="488"/>
      <c r="CA139" s="488"/>
      <c r="CB139" s="488"/>
      <c r="CC139" s="488"/>
      <c r="CD139" s="488"/>
      <c r="CE139" s="488"/>
      <c r="CF139" s="488"/>
      <c r="CG139" s="488"/>
      <c r="CH139" s="488"/>
      <c r="CI139" s="488"/>
      <c r="CJ139" s="488"/>
      <c r="CK139" s="488"/>
      <c r="CL139" s="488"/>
      <c r="CM139" s="488"/>
      <c r="CN139" s="488"/>
      <c r="CO139" s="488"/>
      <c r="CP139" s="488"/>
      <c r="CQ139" s="488"/>
      <c r="CR139" s="488"/>
      <c r="CS139" s="488"/>
      <c r="CT139" s="488"/>
      <c r="CU139" s="488"/>
      <c r="CV139" s="488"/>
      <c r="CW139" s="488"/>
      <c r="CX139" s="488"/>
      <c r="CY139" s="488"/>
      <c r="CZ139" s="488"/>
      <c r="DA139" s="488"/>
      <c r="DB139" s="488"/>
      <c r="DC139" s="488"/>
      <c r="DD139" s="488"/>
      <c r="DE139" s="488"/>
      <c r="DF139" s="488"/>
      <c r="DG139" s="488"/>
      <c r="DH139" s="488"/>
      <c r="DI139" s="488"/>
      <c r="DJ139" s="488"/>
      <c r="DK139" s="488"/>
      <c r="DL139" s="488"/>
      <c r="DM139" s="488"/>
      <c r="DN139" s="488"/>
      <c r="DO139" s="488"/>
      <c r="DP139" s="488"/>
      <c r="DQ139" s="488"/>
      <c r="DR139" s="488"/>
      <c r="DS139" s="488"/>
      <c r="DT139" s="488"/>
      <c r="DU139" s="488"/>
      <c r="DV139" s="488"/>
      <c r="DW139" s="488"/>
      <c r="DX139" s="488"/>
      <c r="DY139" s="488"/>
      <c r="DZ139" s="488"/>
      <c r="EA139" s="488"/>
      <c r="EB139" s="488"/>
      <c r="EC139" s="488"/>
      <c r="ED139" s="488"/>
      <c r="EE139" s="488"/>
      <c r="EF139" s="488"/>
      <c r="EG139" s="488"/>
      <c r="EH139" s="488"/>
      <c r="EI139" s="488"/>
      <c r="EJ139" s="488"/>
      <c r="EK139" s="488"/>
      <c r="EL139" s="488"/>
      <c r="EM139" s="488"/>
      <c r="EN139" s="488"/>
      <c r="EO139" s="488"/>
      <c r="EP139" s="488"/>
      <c r="EQ139" s="488"/>
      <c r="ER139" s="488"/>
      <c r="ES139" s="488"/>
      <c r="ET139" s="488"/>
      <c r="EU139" s="488"/>
      <c r="EV139" s="488"/>
      <c r="EW139" s="488"/>
      <c r="EX139" s="488"/>
      <c r="EY139" s="488"/>
      <c r="EZ139" s="488"/>
      <c r="FA139" s="488"/>
      <c r="FB139" s="488"/>
      <c r="FC139" s="488"/>
      <c r="FD139" s="488"/>
      <c r="FE139" s="488"/>
      <c r="FF139" s="488"/>
      <c r="FG139" s="488"/>
      <c r="FH139" s="488"/>
    </row>
    <row r="140" spans="1:164" ht="13.05" hidden="1" customHeight="1" x14ac:dyDescent="0.25">
      <c r="A140" t="str">
        <f>Nutrients!B139</f>
        <v>2018 Grow-finish base mix</v>
      </c>
      <c r="B140" s="106"/>
      <c r="C140" s="106"/>
      <c r="D140" s="106"/>
      <c r="E140" s="106"/>
      <c r="F140" s="106"/>
      <c r="G140" s="106"/>
      <c r="H140" s="106"/>
      <c r="I140" s="106"/>
      <c r="J140" s="106"/>
      <c r="K140" s="106"/>
      <c r="L140" s="106"/>
      <c r="M140" s="106"/>
      <c r="N140" s="106"/>
      <c r="O140" s="29"/>
      <c r="P140" s="106"/>
      <c r="Q140" s="106"/>
      <c r="R140" s="106"/>
      <c r="S140" s="106"/>
      <c r="T140" s="106"/>
      <c r="U140" s="106"/>
      <c r="V140" s="9"/>
      <c r="W140" s="106"/>
      <c r="X140" s="106"/>
      <c r="Y140" s="106"/>
      <c r="Z140" s="106"/>
      <c r="AA140" s="106"/>
      <c r="AB140" s="106"/>
      <c r="AC140" s="2"/>
      <c r="AD140" s="106"/>
      <c r="AE140" s="106"/>
      <c r="AF140" s="106"/>
      <c r="AG140" s="106"/>
      <c r="AH140" s="106"/>
      <c r="AI140" s="106"/>
      <c r="AJ140" s="2"/>
      <c r="AK140" s="106"/>
      <c r="AL140" s="106"/>
      <c r="AM140" s="106"/>
      <c r="AN140" s="106"/>
      <c r="AO140" s="106"/>
      <c r="AP140" s="106"/>
      <c r="AQ140" s="2"/>
      <c r="AR140" s="106"/>
      <c r="AS140" s="106"/>
      <c r="AT140" s="106"/>
      <c r="AU140" s="106"/>
      <c r="AV140" s="106"/>
      <c r="AW140" s="106"/>
      <c r="AX140" s="9"/>
      <c r="AY140" s="488"/>
      <c r="AZ140" s="488"/>
      <c r="BA140" s="488"/>
      <c r="BB140" s="488"/>
      <c r="BC140" s="488"/>
      <c r="BD140" s="488"/>
      <c r="BE140" s="488"/>
      <c r="BF140" s="488"/>
      <c r="BG140" s="488"/>
      <c r="BH140" s="488"/>
      <c r="BI140" s="488"/>
      <c r="BJ140" s="488"/>
      <c r="BK140" s="488"/>
      <c r="BL140" s="488"/>
      <c r="BM140" s="488"/>
      <c r="BN140" s="488"/>
      <c r="BO140" s="488"/>
      <c r="BP140" s="488"/>
      <c r="BQ140" s="488"/>
      <c r="BR140" s="488"/>
      <c r="BS140" s="488"/>
      <c r="BT140" s="488"/>
      <c r="BU140" s="488"/>
      <c r="BV140" s="488"/>
      <c r="BW140" s="488"/>
      <c r="BX140" s="488"/>
      <c r="BY140" s="488"/>
      <c r="BZ140" s="488"/>
      <c r="CA140" s="488"/>
      <c r="CB140" s="488"/>
      <c r="CC140" s="488"/>
      <c r="CD140" s="488"/>
      <c r="CE140" s="488"/>
      <c r="CF140" s="488"/>
      <c r="CG140" s="488"/>
      <c r="CH140" s="488"/>
      <c r="CI140" s="488"/>
      <c r="CJ140" s="488"/>
      <c r="CK140" s="488"/>
      <c r="CL140" s="488"/>
      <c r="CM140" s="488"/>
      <c r="CN140" s="488"/>
      <c r="CO140" s="488"/>
      <c r="CP140" s="488"/>
      <c r="CQ140" s="488"/>
      <c r="CR140" s="488"/>
      <c r="CS140" s="488"/>
      <c r="CT140" s="488"/>
      <c r="CU140" s="488"/>
      <c r="CV140" s="488"/>
      <c r="CW140" s="488"/>
      <c r="CX140" s="488"/>
      <c r="CY140" s="488"/>
      <c r="CZ140" s="488"/>
      <c r="DA140" s="488"/>
      <c r="DB140" s="488"/>
      <c r="DC140" s="488"/>
      <c r="DD140" s="488"/>
      <c r="DE140" s="488"/>
      <c r="DF140" s="488"/>
      <c r="DG140" s="488"/>
      <c r="DH140" s="488"/>
      <c r="DI140" s="488"/>
      <c r="DJ140" s="488"/>
      <c r="DK140" s="488"/>
      <c r="DL140" s="488"/>
      <c r="DM140" s="488"/>
      <c r="DN140" s="488"/>
      <c r="DO140" s="488"/>
      <c r="DP140" s="488"/>
      <c r="DQ140" s="488"/>
      <c r="DR140" s="488"/>
      <c r="DS140" s="488"/>
      <c r="DT140" s="488"/>
      <c r="DU140" s="488"/>
      <c r="DV140" s="488"/>
      <c r="DW140" s="488"/>
      <c r="DX140" s="488"/>
      <c r="DY140" s="488"/>
      <c r="DZ140" s="488"/>
      <c r="EA140" s="488"/>
      <c r="EB140" s="488"/>
      <c r="EC140" s="488"/>
      <c r="ED140" s="488"/>
      <c r="EE140" s="488"/>
      <c r="EF140" s="488"/>
      <c r="EG140" s="488"/>
      <c r="EH140" s="488"/>
      <c r="EI140" s="488"/>
      <c r="EJ140" s="488"/>
      <c r="EK140" s="488"/>
      <c r="EL140" s="488"/>
      <c r="EM140" s="488"/>
      <c r="EN140" s="488"/>
      <c r="EO140" s="488"/>
      <c r="EP140" s="488"/>
      <c r="EQ140" s="488"/>
      <c r="ER140" s="488"/>
      <c r="ES140" s="488"/>
      <c r="ET140" s="488"/>
      <c r="EU140" s="488"/>
      <c r="EV140" s="488"/>
      <c r="EW140" s="488"/>
      <c r="EX140" s="488"/>
      <c r="EY140" s="488"/>
      <c r="EZ140" s="488"/>
      <c r="FA140" s="488"/>
      <c r="FB140" s="488"/>
      <c r="FC140" s="488"/>
      <c r="FD140" s="488"/>
      <c r="FE140" s="488"/>
      <c r="FF140" s="488"/>
      <c r="FG140" s="488"/>
      <c r="FH140" s="488"/>
    </row>
    <row r="141" spans="1:164" ht="13.05" hidden="1" customHeight="1" x14ac:dyDescent="0.25">
      <c r="A141" t="str">
        <f>Nutrients!B140</f>
        <v>Developer base mix</v>
      </c>
      <c r="B141" s="106"/>
      <c r="C141" s="106"/>
      <c r="D141" s="106"/>
      <c r="E141" s="106"/>
      <c r="F141" s="106"/>
      <c r="G141" s="106"/>
      <c r="H141" s="106"/>
      <c r="I141" s="106"/>
      <c r="J141" s="106"/>
      <c r="K141" s="106"/>
      <c r="L141" s="106"/>
      <c r="M141" s="106"/>
      <c r="N141" s="106"/>
      <c r="O141" s="29"/>
      <c r="P141" s="106"/>
      <c r="Q141" s="106"/>
      <c r="R141" s="106"/>
      <c r="S141" s="106"/>
      <c r="T141" s="106"/>
      <c r="U141" s="106"/>
      <c r="V141" s="9"/>
      <c r="W141" s="106"/>
      <c r="X141" s="106"/>
      <c r="Y141" s="106"/>
      <c r="Z141" s="106"/>
      <c r="AA141" s="106"/>
      <c r="AB141" s="106"/>
      <c r="AC141" s="2"/>
      <c r="AD141" s="106"/>
      <c r="AE141" s="106"/>
      <c r="AF141" s="106"/>
      <c r="AG141" s="106"/>
      <c r="AH141" s="106"/>
      <c r="AI141" s="106"/>
      <c r="AJ141" s="2"/>
      <c r="AK141" s="106"/>
      <c r="AL141" s="106"/>
      <c r="AM141" s="106"/>
      <c r="AN141" s="106"/>
      <c r="AO141" s="106"/>
      <c r="AP141" s="106"/>
      <c r="AQ141" s="2"/>
      <c r="AR141" s="106"/>
      <c r="AS141" s="106"/>
      <c r="AT141" s="106"/>
      <c r="AU141" s="106"/>
      <c r="AV141" s="106"/>
      <c r="AW141" s="106"/>
      <c r="AX141" s="9"/>
      <c r="AY141" s="488"/>
      <c r="AZ141" s="488"/>
      <c r="BA141" s="488"/>
      <c r="BB141" s="488"/>
      <c r="BC141" s="488"/>
      <c r="BD141" s="488"/>
      <c r="BE141" s="488"/>
      <c r="BF141" s="488"/>
      <c r="BG141" s="488"/>
      <c r="BH141" s="488"/>
      <c r="BI141" s="488"/>
      <c r="BJ141" s="488"/>
      <c r="BK141" s="488"/>
      <c r="BL141" s="488"/>
      <c r="BM141" s="488"/>
      <c r="BN141" s="488"/>
      <c r="BO141" s="488"/>
      <c r="BP141" s="488"/>
      <c r="BQ141" s="488"/>
      <c r="BR141" s="488"/>
      <c r="BS141" s="488"/>
      <c r="BT141" s="488"/>
      <c r="BU141" s="488"/>
      <c r="BV141" s="488"/>
      <c r="BW141" s="488"/>
      <c r="BX141" s="488"/>
      <c r="BY141" s="488"/>
      <c r="BZ141" s="488"/>
      <c r="CA141" s="488"/>
      <c r="CB141" s="488"/>
      <c r="CC141" s="488"/>
      <c r="CD141" s="488"/>
      <c r="CE141" s="488"/>
      <c r="CF141" s="488"/>
      <c r="CG141" s="488"/>
      <c r="CH141" s="488"/>
      <c r="CI141" s="488"/>
      <c r="CJ141" s="488"/>
      <c r="CK141" s="488"/>
      <c r="CL141" s="488"/>
      <c r="CM141" s="488"/>
      <c r="CN141" s="488"/>
      <c r="CO141" s="488"/>
      <c r="CP141" s="488"/>
      <c r="CQ141" s="488"/>
      <c r="CR141" s="488"/>
      <c r="CS141" s="488"/>
      <c r="CT141" s="488"/>
      <c r="CU141" s="488"/>
      <c r="CV141" s="488"/>
      <c r="CW141" s="488"/>
      <c r="CX141" s="488"/>
      <c r="CY141" s="488"/>
      <c r="CZ141" s="488"/>
      <c r="DA141" s="488"/>
      <c r="DB141" s="488"/>
      <c r="DC141" s="488"/>
      <c r="DD141" s="488"/>
      <c r="DE141" s="488"/>
      <c r="DF141" s="488"/>
      <c r="DG141" s="488"/>
      <c r="DH141" s="488"/>
      <c r="DI141" s="488"/>
      <c r="DJ141" s="488"/>
      <c r="DK141" s="488"/>
      <c r="DL141" s="488"/>
      <c r="DM141" s="488"/>
      <c r="DN141" s="488"/>
      <c r="DO141" s="488"/>
      <c r="DP141" s="488"/>
      <c r="DQ141" s="488"/>
      <c r="DR141" s="488"/>
      <c r="DS141" s="488"/>
      <c r="DT141" s="488"/>
      <c r="DU141" s="488"/>
      <c r="DV141" s="488"/>
      <c r="DW141" s="488"/>
      <c r="DX141" s="488"/>
      <c r="DY141" s="488"/>
      <c r="DZ141" s="488"/>
      <c r="EA141" s="488"/>
      <c r="EB141" s="488"/>
      <c r="EC141" s="488"/>
      <c r="ED141" s="488"/>
      <c r="EE141" s="488"/>
      <c r="EF141" s="488"/>
      <c r="EG141" s="488"/>
      <c r="EH141" s="488"/>
      <c r="EI141" s="488"/>
      <c r="EJ141" s="488"/>
      <c r="EK141" s="488"/>
      <c r="EL141" s="488"/>
      <c r="EM141" s="488"/>
      <c r="EN141" s="488"/>
      <c r="EO141" s="488"/>
      <c r="EP141" s="488"/>
      <c r="EQ141" s="488"/>
      <c r="ER141" s="488"/>
      <c r="ES141" s="488"/>
      <c r="ET141" s="488"/>
      <c r="EU141" s="488"/>
      <c r="EV141" s="488"/>
      <c r="EW141" s="488"/>
      <c r="EX141" s="488"/>
      <c r="EY141" s="488"/>
      <c r="EZ141" s="488"/>
      <c r="FA141" s="488"/>
      <c r="FB141" s="488"/>
      <c r="FC141" s="488"/>
      <c r="FD141" s="488"/>
      <c r="FE141" s="488"/>
      <c r="FF141" s="488"/>
      <c r="FG141" s="488"/>
      <c r="FH141" s="488"/>
    </row>
    <row r="142" spans="1:164" ht="13.05" hidden="1" customHeight="1" x14ac:dyDescent="0.25">
      <c r="A142" t="str">
        <f>Nutrients!B141</f>
        <v>2018 Sow base mix</v>
      </c>
      <c r="B142" s="106"/>
      <c r="C142" s="106"/>
      <c r="D142" s="106"/>
      <c r="E142" s="106"/>
      <c r="F142" s="106"/>
      <c r="G142" s="106"/>
      <c r="H142" s="106"/>
      <c r="I142" s="106"/>
      <c r="J142" s="106"/>
      <c r="K142" s="106"/>
      <c r="L142" s="106"/>
      <c r="M142" s="106"/>
      <c r="N142" s="106"/>
      <c r="O142" s="29"/>
      <c r="P142" s="106"/>
      <c r="Q142" s="106"/>
      <c r="R142" s="106"/>
      <c r="S142" s="106"/>
      <c r="T142" s="106"/>
      <c r="U142" s="106"/>
      <c r="V142" s="9"/>
      <c r="W142" s="106"/>
      <c r="X142" s="106"/>
      <c r="Y142" s="106"/>
      <c r="Z142" s="106"/>
      <c r="AA142" s="106"/>
      <c r="AB142" s="106"/>
      <c r="AC142" s="2"/>
      <c r="AD142" s="106"/>
      <c r="AE142" s="106"/>
      <c r="AF142" s="106"/>
      <c r="AG142" s="106"/>
      <c r="AH142" s="106"/>
      <c r="AI142" s="106"/>
      <c r="AJ142" s="2"/>
      <c r="AK142" s="106"/>
      <c r="AL142" s="106"/>
      <c r="AM142" s="106"/>
      <c r="AN142" s="106"/>
      <c r="AO142" s="106"/>
      <c r="AP142" s="106"/>
      <c r="AQ142" s="2"/>
      <c r="AR142" s="106"/>
      <c r="AS142" s="106"/>
      <c r="AT142" s="106"/>
      <c r="AU142" s="106"/>
      <c r="AV142" s="106"/>
      <c r="AW142" s="106"/>
      <c r="AX142" s="9"/>
      <c r="AY142" s="488"/>
      <c r="AZ142" s="488"/>
      <c r="BA142" s="488"/>
      <c r="BB142" s="488"/>
      <c r="BC142" s="488"/>
      <c r="BD142" s="488"/>
      <c r="BE142" s="488"/>
      <c r="BF142" s="488"/>
      <c r="BG142" s="488"/>
      <c r="BH142" s="488"/>
      <c r="BI142" s="488"/>
      <c r="BJ142" s="488"/>
      <c r="BK142" s="488"/>
      <c r="BL142" s="488"/>
      <c r="BM142" s="488"/>
      <c r="BN142" s="488"/>
      <c r="BO142" s="488"/>
      <c r="BP142" s="488"/>
      <c r="BQ142" s="488"/>
      <c r="BR142" s="488"/>
      <c r="BS142" s="488"/>
      <c r="BT142" s="488"/>
      <c r="BU142" s="488"/>
      <c r="BV142" s="488"/>
      <c r="BW142" s="488"/>
      <c r="BX142" s="488"/>
      <c r="BY142" s="488"/>
      <c r="BZ142" s="488"/>
      <c r="CA142" s="488"/>
      <c r="CB142" s="488"/>
      <c r="CC142" s="488"/>
      <c r="CD142" s="488"/>
      <c r="CE142" s="488"/>
      <c r="CF142" s="488"/>
      <c r="CG142" s="488"/>
      <c r="CH142" s="488"/>
      <c r="CI142" s="488"/>
      <c r="CJ142" s="488"/>
      <c r="CK142" s="488"/>
      <c r="CL142" s="488"/>
      <c r="CM142" s="488"/>
      <c r="CN142" s="488"/>
      <c r="CO142" s="488"/>
      <c r="CP142" s="488"/>
      <c r="CQ142" s="488"/>
      <c r="CR142" s="488"/>
      <c r="CS142" s="488"/>
      <c r="CT142" s="488"/>
      <c r="CU142" s="488"/>
      <c r="CV142" s="488"/>
      <c r="CW142" s="488"/>
      <c r="CX142" s="488"/>
      <c r="CY142" s="488"/>
      <c r="CZ142" s="488"/>
      <c r="DA142" s="488"/>
      <c r="DB142" s="488"/>
      <c r="DC142" s="488"/>
      <c r="DD142" s="488"/>
      <c r="DE142" s="488"/>
      <c r="DF142" s="488"/>
      <c r="DG142" s="488"/>
      <c r="DH142" s="488"/>
      <c r="DI142" s="488"/>
      <c r="DJ142" s="488"/>
      <c r="DK142" s="488"/>
      <c r="DL142" s="488"/>
      <c r="DM142" s="488"/>
      <c r="DN142" s="488"/>
      <c r="DO142" s="488"/>
      <c r="DP142" s="488"/>
      <c r="DQ142" s="488"/>
      <c r="DR142" s="488"/>
      <c r="DS142" s="488"/>
      <c r="DT142" s="488"/>
      <c r="DU142" s="488"/>
      <c r="DV142" s="488"/>
      <c r="DW142" s="488"/>
      <c r="DX142" s="488"/>
      <c r="DY142" s="488"/>
      <c r="DZ142" s="488"/>
      <c r="EA142" s="488"/>
      <c r="EB142" s="488"/>
      <c r="EC142" s="488"/>
      <c r="ED142" s="488"/>
      <c r="EE142" s="488"/>
      <c r="EF142" s="488"/>
      <c r="EG142" s="488"/>
      <c r="EH142" s="488"/>
      <c r="EI142" s="488"/>
      <c r="EJ142" s="488"/>
      <c r="EK142" s="488"/>
      <c r="EL142" s="488"/>
      <c r="EM142" s="488"/>
      <c r="EN142" s="488"/>
      <c r="EO142" s="488"/>
      <c r="EP142" s="488"/>
      <c r="EQ142" s="488"/>
      <c r="ER142" s="488"/>
      <c r="ES142" s="488"/>
      <c r="ET142" s="488"/>
      <c r="EU142" s="488"/>
      <c r="EV142" s="488"/>
      <c r="EW142" s="488"/>
      <c r="EX142" s="488"/>
      <c r="EY142" s="488"/>
      <c r="EZ142" s="488"/>
      <c r="FA142" s="488"/>
      <c r="FB142" s="488"/>
      <c r="FC142" s="488"/>
      <c r="FD142" s="488"/>
      <c r="FE142" s="488"/>
      <c r="FF142" s="488"/>
      <c r="FG142" s="488"/>
      <c r="FH142" s="488"/>
    </row>
    <row r="143" spans="1:164" hidden="1" x14ac:dyDescent="0.25">
      <c r="A143" t="str">
        <f>Nutrients!B142</f>
        <v>Vitamin premix with phytase</v>
      </c>
      <c r="B143" s="106"/>
      <c r="C143" s="106"/>
      <c r="D143" s="106"/>
      <c r="E143" s="106"/>
      <c r="F143" s="106"/>
      <c r="G143" s="106"/>
      <c r="H143" s="106"/>
      <c r="I143" s="106"/>
      <c r="J143" s="106"/>
      <c r="K143" s="106"/>
      <c r="L143" s="106"/>
      <c r="M143" s="106"/>
      <c r="N143" s="106"/>
      <c r="O143" s="29"/>
      <c r="P143" s="106"/>
      <c r="Q143" s="106"/>
      <c r="R143" s="106"/>
      <c r="S143" s="106"/>
      <c r="T143" s="106"/>
      <c r="U143" s="106"/>
      <c r="V143" s="9"/>
      <c r="W143" s="106"/>
      <c r="X143" s="106"/>
      <c r="Y143" s="106"/>
      <c r="Z143" s="106"/>
      <c r="AA143" s="106"/>
      <c r="AB143" s="106"/>
      <c r="AC143" s="2"/>
      <c r="AD143" s="106"/>
      <c r="AE143" s="106"/>
      <c r="AF143" s="106"/>
      <c r="AG143" s="106"/>
      <c r="AH143" s="106"/>
      <c r="AI143" s="106"/>
      <c r="AJ143" s="2"/>
      <c r="AK143" s="106"/>
      <c r="AL143" s="106"/>
      <c r="AM143" s="106"/>
      <c r="AN143" s="106"/>
      <c r="AO143" s="106"/>
      <c r="AP143" s="106"/>
      <c r="AQ143" s="2"/>
      <c r="AR143" s="106"/>
      <c r="AS143" s="106"/>
      <c r="AT143" s="106"/>
      <c r="AU143" s="106"/>
      <c r="AV143" s="106"/>
      <c r="AW143" s="106"/>
      <c r="AX143" s="9"/>
      <c r="AY143" s="488"/>
      <c r="AZ143" s="488"/>
      <c r="BA143" s="488"/>
      <c r="BB143" s="488"/>
      <c r="BC143" s="488"/>
      <c r="BD143" s="488"/>
      <c r="BE143" s="488"/>
      <c r="BF143" s="488"/>
      <c r="BG143" s="488"/>
      <c r="BH143" s="488"/>
      <c r="BI143" s="488"/>
      <c r="BJ143" s="488"/>
      <c r="BK143" s="488"/>
      <c r="BL143" s="488"/>
      <c r="BM143" s="488"/>
      <c r="BN143" s="488"/>
      <c r="BO143" s="488"/>
      <c r="BP143" s="488"/>
      <c r="BQ143" s="488"/>
      <c r="BR143" s="488"/>
      <c r="BS143" s="488"/>
      <c r="BT143" s="488"/>
      <c r="BU143" s="488"/>
      <c r="BV143" s="488"/>
      <c r="BW143" s="488"/>
      <c r="BX143" s="488"/>
      <c r="BY143" s="488"/>
      <c r="BZ143" s="488"/>
      <c r="CA143" s="488"/>
      <c r="CB143" s="488"/>
      <c r="CC143" s="488"/>
      <c r="CD143" s="488"/>
      <c r="CE143" s="488"/>
      <c r="CF143" s="488"/>
      <c r="CG143" s="488"/>
      <c r="CH143" s="488"/>
      <c r="CI143" s="488"/>
      <c r="CJ143" s="488"/>
      <c r="CK143" s="488"/>
      <c r="CL143" s="488"/>
      <c r="CM143" s="488"/>
      <c r="CN143" s="488"/>
      <c r="CO143" s="488"/>
      <c r="CP143" s="488"/>
      <c r="CQ143" s="488"/>
      <c r="CR143" s="488"/>
      <c r="CS143" s="488"/>
      <c r="CT143" s="488"/>
      <c r="CU143" s="488"/>
      <c r="CV143" s="488"/>
      <c r="CW143" s="488"/>
      <c r="CX143" s="488"/>
      <c r="CY143" s="488"/>
      <c r="CZ143" s="488"/>
      <c r="DA143" s="488"/>
      <c r="DB143" s="488"/>
      <c r="DC143" s="488"/>
      <c r="DD143" s="488"/>
      <c r="DE143" s="488"/>
      <c r="DF143" s="488"/>
      <c r="DG143" s="488"/>
      <c r="DH143" s="488"/>
      <c r="DI143" s="488"/>
      <c r="DJ143" s="488"/>
      <c r="DK143" s="488"/>
      <c r="DL143" s="488"/>
      <c r="DM143" s="488"/>
      <c r="DN143" s="488"/>
      <c r="DO143" s="488"/>
      <c r="DP143" s="488"/>
      <c r="DQ143" s="488"/>
      <c r="DR143" s="488"/>
      <c r="DS143" s="488"/>
      <c r="DT143" s="488"/>
      <c r="DU143" s="488"/>
      <c r="DV143" s="488"/>
      <c r="DW143" s="488"/>
      <c r="DX143" s="488"/>
      <c r="DY143" s="488"/>
      <c r="DZ143" s="488"/>
      <c r="EA143" s="488"/>
      <c r="EB143" s="488"/>
      <c r="EC143" s="488"/>
      <c r="ED143" s="488"/>
      <c r="EE143" s="488"/>
      <c r="EF143" s="488"/>
      <c r="EG143" s="488"/>
      <c r="EH143" s="488"/>
      <c r="EI143" s="488"/>
      <c r="EJ143" s="488"/>
      <c r="EK143" s="488"/>
      <c r="EL143" s="488"/>
      <c r="EM143" s="488"/>
      <c r="EN143" s="488"/>
      <c r="EO143" s="488"/>
      <c r="EP143" s="488"/>
      <c r="EQ143" s="488"/>
      <c r="ER143" s="488"/>
      <c r="ES143" s="488"/>
      <c r="ET143" s="488"/>
      <c r="EU143" s="488"/>
      <c r="EV143" s="488"/>
      <c r="EW143" s="488"/>
      <c r="EX143" s="488"/>
      <c r="EY143" s="488"/>
      <c r="EZ143" s="488"/>
      <c r="FA143" s="488"/>
      <c r="FB143" s="488"/>
      <c r="FC143" s="488"/>
      <c r="FD143" s="488"/>
      <c r="FE143" s="488"/>
      <c r="FF143" s="488"/>
      <c r="FG143" s="488"/>
      <c r="FH143" s="488"/>
    </row>
    <row r="144" spans="1:164" x14ac:dyDescent="0.25">
      <c r="A144" t="str">
        <f>Nutrients!B143</f>
        <v>Trace mineral premix</v>
      </c>
      <c r="B144" s="106">
        <v>3</v>
      </c>
      <c r="C144" s="106">
        <v>3</v>
      </c>
      <c r="D144" s="106">
        <v>2.5</v>
      </c>
      <c r="E144" s="106">
        <v>2</v>
      </c>
      <c r="F144" s="106">
        <v>1.5</v>
      </c>
      <c r="G144" s="106">
        <v>1.5</v>
      </c>
      <c r="H144" s="106"/>
      <c r="I144" s="106">
        <v>3</v>
      </c>
      <c r="J144" s="106">
        <v>3</v>
      </c>
      <c r="K144" s="106">
        <v>2.5</v>
      </c>
      <c r="L144" s="106">
        <v>2</v>
      </c>
      <c r="M144" s="106">
        <v>1.5</v>
      </c>
      <c r="N144" s="106">
        <v>1.5</v>
      </c>
      <c r="O144" s="29"/>
      <c r="P144" s="106">
        <v>3</v>
      </c>
      <c r="Q144" s="106">
        <v>3</v>
      </c>
      <c r="R144" s="106">
        <v>2.5</v>
      </c>
      <c r="S144" s="106">
        <v>2</v>
      </c>
      <c r="T144" s="106">
        <v>1.5</v>
      </c>
      <c r="U144" s="106">
        <v>1.5</v>
      </c>
      <c r="V144" s="9"/>
      <c r="W144" s="106">
        <v>3</v>
      </c>
      <c r="X144" s="106">
        <v>3</v>
      </c>
      <c r="Y144" s="106">
        <v>2.5</v>
      </c>
      <c r="Z144" s="106">
        <v>2</v>
      </c>
      <c r="AA144" s="106">
        <v>1.5</v>
      </c>
      <c r="AB144" s="106">
        <v>1.5</v>
      </c>
      <c r="AC144" s="2"/>
      <c r="AD144" s="106">
        <v>3</v>
      </c>
      <c r="AE144" s="106">
        <v>3</v>
      </c>
      <c r="AF144" s="106">
        <v>2.5</v>
      </c>
      <c r="AG144" s="106">
        <v>2</v>
      </c>
      <c r="AH144" s="106">
        <v>1.5</v>
      </c>
      <c r="AI144" s="106">
        <v>1.5</v>
      </c>
      <c r="AJ144" s="2"/>
      <c r="AK144" s="106">
        <v>3</v>
      </c>
      <c r="AL144" s="106">
        <v>3</v>
      </c>
      <c r="AM144" s="106">
        <v>2.5</v>
      </c>
      <c r="AN144" s="106">
        <v>2</v>
      </c>
      <c r="AO144" s="106">
        <v>1.5</v>
      </c>
      <c r="AP144" s="106">
        <v>1.5</v>
      </c>
      <c r="AQ144" s="2"/>
      <c r="AR144" s="106">
        <v>3</v>
      </c>
      <c r="AS144" s="106">
        <v>3</v>
      </c>
      <c r="AT144" s="106">
        <v>2.5</v>
      </c>
      <c r="AU144" s="106">
        <v>2</v>
      </c>
      <c r="AV144" s="106">
        <v>1.5</v>
      </c>
      <c r="AW144" s="106">
        <v>1.5</v>
      </c>
      <c r="AX144" s="9"/>
      <c r="AY144" s="488"/>
      <c r="AZ144" s="488"/>
      <c r="BA144" s="488"/>
      <c r="BB144" s="488"/>
      <c r="BC144" s="488"/>
      <c r="BD144" s="488"/>
      <c r="BE144" s="488"/>
      <c r="BF144" s="488"/>
      <c r="BG144" s="488"/>
      <c r="BH144" s="488"/>
      <c r="BI144" s="488"/>
      <c r="BJ144" s="488"/>
      <c r="BK144" s="488"/>
      <c r="BL144" s="488"/>
      <c r="BM144" s="488"/>
      <c r="BN144" s="488"/>
      <c r="BO144" s="488"/>
      <c r="BP144" s="488"/>
      <c r="BQ144" s="488"/>
      <c r="BR144" s="488"/>
      <c r="BS144" s="488"/>
      <c r="BT144" s="488"/>
      <c r="BU144" s="488"/>
      <c r="BV144" s="488"/>
      <c r="BW144" s="488"/>
      <c r="BX144" s="488"/>
      <c r="BY144" s="488"/>
      <c r="BZ144" s="488"/>
      <c r="CA144" s="488"/>
      <c r="CB144" s="488"/>
      <c r="CC144" s="488"/>
      <c r="CD144" s="488"/>
      <c r="CE144" s="488"/>
      <c r="CF144" s="488"/>
      <c r="CG144" s="488"/>
      <c r="CH144" s="488"/>
      <c r="CI144" s="488"/>
      <c r="CJ144" s="488"/>
      <c r="CK144" s="488"/>
      <c r="CL144" s="488"/>
      <c r="CM144" s="488"/>
      <c r="CN144" s="488"/>
      <c r="CO144" s="488"/>
      <c r="CP144" s="488"/>
      <c r="CQ144" s="488"/>
      <c r="CR144" s="488"/>
      <c r="CS144" s="488"/>
      <c r="CT144" s="488"/>
      <c r="CU144" s="488"/>
      <c r="CV144" s="488"/>
      <c r="CW144" s="488"/>
      <c r="CX144" s="488"/>
      <c r="CY144" s="488"/>
      <c r="CZ144" s="488"/>
      <c r="DA144" s="488"/>
      <c r="DB144" s="488"/>
      <c r="DC144" s="488"/>
      <c r="DD144" s="488"/>
      <c r="DE144" s="488"/>
      <c r="DF144" s="488"/>
      <c r="DG144" s="488"/>
      <c r="DH144" s="488"/>
      <c r="DI144" s="488"/>
      <c r="DJ144" s="488"/>
      <c r="DK144" s="488"/>
      <c r="DL144" s="488"/>
      <c r="DM144" s="488"/>
      <c r="DN144" s="488"/>
      <c r="DO144" s="488"/>
      <c r="DP144" s="488"/>
      <c r="DQ144" s="488"/>
      <c r="DR144" s="488"/>
      <c r="DS144" s="488"/>
      <c r="DT144" s="488"/>
      <c r="DU144" s="488"/>
      <c r="DV144" s="488"/>
      <c r="DW144" s="488"/>
      <c r="DX144" s="488"/>
      <c r="DY144" s="488"/>
      <c r="DZ144" s="488"/>
      <c r="EA144" s="488"/>
      <c r="EB144" s="488"/>
      <c r="EC144" s="488"/>
      <c r="ED144" s="488"/>
      <c r="EE144" s="488"/>
      <c r="EF144" s="488"/>
      <c r="EG144" s="488"/>
      <c r="EH144" s="488"/>
      <c r="EI144" s="488"/>
      <c r="EJ144" s="488"/>
      <c r="EK144" s="488"/>
      <c r="EL144" s="488"/>
      <c r="EM144" s="488"/>
      <c r="EN144" s="488"/>
      <c r="EO144" s="488"/>
      <c r="EP144" s="488"/>
      <c r="EQ144" s="488"/>
      <c r="ER144" s="488"/>
      <c r="ES144" s="488"/>
      <c r="ET144" s="488"/>
      <c r="EU144" s="488"/>
      <c r="EV144" s="488"/>
      <c r="EW144" s="488"/>
      <c r="EX144" s="488"/>
      <c r="EY144" s="488"/>
      <c r="EZ144" s="488"/>
      <c r="FA144" s="488"/>
      <c r="FB144" s="488"/>
      <c r="FC144" s="488"/>
      <c r="FD144" s="488"/>
      <c r="FE144" s="488"/>
      <c r="FF144" s="488"/>
      <c r="FG144" s="488"/>
      <c r="FH144" s="488"/>
    </row>
    <row r="145" spans="1:164" ht="13.05" hidden="1" customHeight="1" x14ac:dyDescent="0.25">
      <c r="A145" t="str">
        <f>Nutrients!B144</f>
        <v>Sow add pack</v>
      </c>
      <c r="B145" s="106"/>
      <c r="C145" s="106"/>
      <c r="D145" s="106"/>
      <c r="E145" s="106"/>
      <c r="F145" s="106"/>
      <c r="G145" s="106"/>
      <c r="H145" s="106"/>
      <c r="I145" s="106"/>
      <c r="J145" s="106"/>
      <c r="K145" s="106"/>
      <c r="L145" s="106"/>
      <c r="M145" s="106"/>
      <c r="N145" s="106"/>
      <c r="O145" s="29"/>
      <c r="P145" s="106"/>
      <c r="Q145" s="106"/>
      <c r="R145" s="106"/>
      <c r="S145" s="106"/>
      <c r="T145" s="106"/>
      <c r="U145" s="106"/>
      <c r="V145" s="9"/>
      <c r="W145" s="106"/>
      <c r="X145" s="106"/>
      <c r="Y145" s="106"/>
      <c r="Z145" s="106"/>
      <c r="AA145" s="106"/>
      <c r="AB145" s="106"/>
      <c r="AC145" s="2"/>
      <c r="AD145" s="106"/>
      <c r="AE145" s="106"/>
      <c r="AF145" s="106"/>
      <c r="AG145" s="106"/>
      <c r="AH145" s="106"/>
      <c r="AI145" s="106"/>
      <c r="AJ145" s="2"/>
      <c r="AK145" s="106"/>
      <c r="AL145" s="106"/>
      <c r="AM145" s="106"/>
      <c r="AN145" s="106"/>
      <c r="AO145" s="106"/>
      <c r="AP145" s="106"/>
      <c r="AQ145" s="2"/>
      <c r="AR145" s="106"/>
      <c r="AS145" s="106"/>
      <c r="AT145" s="106"/>
      <c r="AU145" s="106"/>
      <c r="AV145" s="106"/>
      <c r="AW145" s="106"/>
      <c r="AX145" s="9"/>
      <c r="AY145" s="488"/>
      <c r="AZ145" s="488"/>
      <c r="BA145" s="488"/>
      <c r="BB145" s="488"/>
      <c r="BC145" s="488"/>
      <c r="BD145" s="488"/>
      <c r="BE145" s="488"/>
      <c r="BF145" s="488"/>
      <c r="BG145" s="488"/>
      <c r="BH145" s="488"/>
      <c r="BI145" s="488"/>
      <c r="BJ145" s="488"/>
      <c r="BK145" s="488"/>
      <c r="BL145" s="488"/>
      <c r="BM145" s="488"/>
      <c r="BN145" s="488"/>
      <c r="BO145" s="488"/>
      <c r="BP145" s="488"/>
      <c r="BQ145" s="488"/>
      <c r="BR145" s="488"/>
      <c r="BS145" s="488"/>
      <c r="BT145" s="488"/>
      <c r="BU145" s="488"/>
      <c r="BV145" s="488"/>
      <c r="BW145" s="488"/>
      <c r="BX145" s="488"/>
      <c r="BY145" s="488"/>
      <c r="BZ145" s="488"/>
      <c r="CA145" s="488"/>
      <c r="CB145" s="488"/>
      <c r="CC145" s="488"/>
      <c r="CD145" s="488"/>
      <c r="CE145" s="488"/>
      <c r="CF145" s="488"/>
      <c r="CG145" s="488"/>
      <c r="CH145" s="488"/>
      <c r="CI145" s="488"/>
      <c r="CJ145" s="488"/>
      <c r="CK145" s="488"/>
      <c r="CL145" s="488"/>
      <c r="CM145" s="488"/>
      <c r="CN145" s="488"/>
      <c r="CO145" s="488"/>
      <c r="CP145" s="488"/>
      <c r="CQ145" s="488"/>
      <c r="CR145" s="488"/>
      <c r="CS145" s="488"/>
      <c r="CT145" s="488"/>
      <c r="CU145" s="488"/>
      <c r="CV145" s="488"/>
      <c r="CW145" s="488"/>
      <c r="CX145" s="488"/>
      <c r="CY145" s="488"/>
      <c r="CZ145" s="488"/>
      <c r="DA145" s="488"/>
      <c r="DB145" s="488"/>
      <c r="DC145" s="488"/>
      <c r="DD145" s="488"/>
      <c r="DE145" s="488"/>
      <c r="DF145" s="488"/>
      <c r="DG145" s="488"/>
      <c r="DH145" s="488"/>
      <c r="DI145" s="488"/>
      <c r="DJ145" s="488"/>
      <c r="DK145" s="488"/>
      <c r="DL145" s="488"/>
      <c r="DM145" s="488"/>
      <c r="DN145" s="488"/>
      <c r="DO145" s="488"/>
      <c r="DP145" s="488"/>
      <c r="DQ145" s="488"/>
      <c r="DR145" s="488"/>
      <c r="DS145" s="488"/>
      <c r="DT145" s="488"/>
      <c r="DU145" s="488"/>
      <c r="DV145" s="488"/>
      <c r="DW145" s="488"/>
      <c r="DX145" s="488"/>
      <c r="DY145" s="488"/>
      <c r="DZ145" s="488"/>
      <c r="EA145" s="488"/>
      <c r="EB145" s="488"/>
      <c r="EC145" s="488"/>
      <c r="ED145" s="488"/>
      <c r="EE145" s="488"/>
      <c r="EF145" s="488"/>
      <c r="EG145" s="488"/>
      <c r="EH145" s="488"/>
      <c r="EI145" s="488"/>
      <c r="EJ145" s="488"/>
      <c r="EK145" s="488"/>
      <c r="EL145" s="488"/>
      <c r="EM145" s="488"/>
      <c r="EN145" s="488"/>
      <c r="EO145" s="488"/>
      <c r="EP145" s="488"/>
      <c r="EQ145" s="488"/>
      <c r="ER145" s="488"/>
      <c r="ES145" s="488"/>
      <c r="ET145" s="488"/>
      <c r="EU145" s="488"/>
      <c r="EV145" s="488"/>
      <c r="EW145" s="488"/>
      <c r="EX145" s="488"/>
      <c r="EY145" s="488"/>
      <c r="EZ145" s="488"/>
      <c r="FA145" s="488"/>
      <c r="FB145" s="488"/>
      <c r="FC145" s="488"/>
      <c r="FD145" s="488"/>
      <c r="FE145" s="488"/>
      <c r="FF145" s="488"/>
      <c r="FG145" s="488"/>
      <c r="FH145" s="488"/>
    </row>
    <row r="146" spans="1:164" x14ac:dyDescent="0.25">
      <c r="A146" t="str">
        <f>Nutrients!B145</f>
        <v>Vitamin premix without phytase</v>
      </c>
      <c r="B146" s="106">
        <v>3</v>
      </c>
      <c r="C146" s="106">
        <v>3</v>
      </c>
      <c r="D146" s="106">
        <v>2.5</v>
      </c>
      <c r="E146" s="106">
        <v>2</v>
      </c>
      <c r="F146" s="106">
        <v>1.5</v>
      </c>
      <c r="G146" s="106">
        <v>1.5</v>
      </c>
      <c r="H146" s="106"/>
      <c r="I146" s="106">
        <v>3</v>
      </c>
      <c r="J146" s="106">
        <v>3</v>
      </c>
      <c r="K146" s="106">
        <v>2.5</v>
      </c>
      <c r="L146" s="106">
        <v>2</v>
      </c>
      <c r="M146" s="106">
        <v>1.5</v>
      </c>
      <c r="N146" s="106">
        <v>1.5</v>
      </c>
      <c r="O146" s="29"/>
      <c r="P146" s="106">
        <v>3</v>
      </c>
      <c r="Q146" s="106">
        <v>3</v>
      </c>
      <c r="R146" s="106">
        <v>2.5</v>
      </c>
      <c r="S146" s="106">
        <v>2</v>
      </c>
      <c r="T146" s="106">
        <v>1.5</v>
      </c>
      <c r="U146" s="106">
        <v>1.5</v>
      </c>
      <c r="V146" s="9"/>
      <c r="W146" s="106">
        <v>3</v>
      </c>
      <c r="X146" s="106">
        <v>3</v>
      </c>
      <c r="Y146" s="106">
        <v>2.5</v>
      </c>
      <c r="Z146" s="106">
        <v>2</v>
      </c>
      <c r="AA146" s="106">
        <v>1.5</v>
      </c>
      <c r="AB146" s="106">
        <v>1.5</v>
      </c>
      <c r="AC146" s="2"/>
      <c r="AD146" s="106">
        <v>3</v>
      </c>
      <c r="AE146" s="106">
        <v>3</v>
      </c>
      <c r="AF146" s="106">
        <v>2.5</v>
      </c>
      <c r="AG146" s="106">
        <v>2</v>
      </c>
      <c r="AH146" s="106">
        <v>1.5</v>
      </c>
      <c r="AI146" s="106">
        <v>1.5</v>
      </c>
      <c r="AJ146" s="2"/>
      <c r="AK146" s="106">
        <v>3</v>
      </c>
      <c r="AL146" s="106">
        <v>3</v>
      </c>
      <c r="AM146" s="106">
        <v>2.5</v>
      </c>
      <c r="AN146" s="106">
        <v>2</v>
      </c>
      <c r="AO146" s="106">
        <v>1.5</v>
      </c>
      <c r="AP146" s="106">
        <v>1.5</v>
      </c>
      <c r="AQ146" s="2"/>
      <c r="AR146" s="106">
        <v>3</v>
      </c>
      <c r="AS146" s="106">
        <v>3</v>
      </c>
      <c r="AT146" s="106">
        <v>2.5</v>
      </c>
      <c r="AU146" s="106">
        <v>2</v>
      </c>
      <c r="AV146" s="106">
        <v>1.5</v>
      </c>
      <c r="AW146" s="106">
        <v>1.5</v>
      </c>
      <c r="AX146" s="9"/>
      <c r="AY146" s="488"/>
      <c r="AZ146" s="488"/>
      <c r="BA146" s="488"/>
      <c r="BB146" s="488"/>
      <c r="BC146" s="488"/>
      <c r="BD146" s="488"/>
      <c r="BE146" s="488"/>
      <c r="BF146" s="488"/>
      <c r="BG146" s="488"/>
      <c r="BH146" s="488"/>
      <c r="BI146" s="488"/>
      <c r="BJ146" s="488"/>
      <c r="BK146" s="488"/>
      <c r="BL146" s="488"/>
      <c r="BM146" s="488"/>
      <c r="BN146" s="488"/>
      <c r="BO146" s="488"/>
      <c r="BP146" s="488"/>
      <c r="BQ146" s="488"/>
      <c r="BR146" s="488"/>
      <c r="BS146" s="488"/>
      <c r="BT146" s="488"/>
      <c r="BU146" s="488"/>
      <c r="BV146" s="488"/>
      <c r="BW146" s="488"/>
      <c r="BX146" s="488"/>
      <c r="BY146" s="488"/>
      <c r="BZ146" s="488"/>
      <c r="CA146" s="488"/>
      <c r="CB146" s="488"/>
      <c r="CC146" s="488"/>
      <c r="CD146" s="488"/>
      <c r="CE146" s="488"/>
      <c r="CF146" s="488"/>
      <c r="CG146" s="488"/>
      <c r="CH146" s="488"/>
      <c r="CI146" s="488"/>
      <c r="CJ146" s="488"/>
      <c r="CK146" s="488"/>
      <c r="CL146" s="488"/>
      <c r="CM146" s="488"/>
      <c r="CN146" s="488"/>
      <c r="CO146" s="488"/>
      <c r="CP146" s="488"/>
      <c r="CQ146" s="488"/>
      <c r="CR146" s="488"/>
      <c r="CS146" s="488"/>
      <c r="CT146" s="488"/>
      <c r="CU146" s="488"/>
      <c r="CV146" s="488"/>
      <c r="CW146" s="488"/>
      <c r="CX146" s="488"/>
      <c r="CY146" s="488"/>
      <c r="CZ146" s="488"/>
      <c r="DA146" s="488"/>
      <c r="DB146" s="488"/>
      <c r="DC146" s="488"/>
      <c r="DD146" s="488"/>
      <c r="DE146" s="488"/>
      <c r="DF146" s="488"/>
      <c r="DG146" s="488"/>
      <c r="DH146" s="488"/>
      <c r="DI146" s="488"/>
      <c r="DJ146" s="488"/>
      <c r="DK146" s="488"/>
      <c r="DL146" s="488"/>
      <c r="DM146" s="488"/>
      <c r="DN146" s="488"/>
      <c r="DO146" s="488"/>
      <c r="DP146" s="488"/>
      <c r="DQ146" s="488"/>
      <c r="DR146" s="488"/>
      <c r="DS146" s="488"/>
      <c r="DT146" s="488"/>
      <c r="DU146" s="488"/>
      <c r="DV146" s="488"/>
      <c r="DW146" s="488"/>
      <c r="DX146" s="488"/>
      <c r="DY146" s="488"/>
      <c r="DZ146" s="488"/>
      <c r="EA146" s="488"/>
      <c r="EB146" s="488"/>
      <c r="EC146" s="488"/>
      <c r="ED146" s="488"/>
      <c r="EE146" s="488"/>
      <c r="EF146" s="488"/>
      <c r="EG146" s="488"/>
      <c r="EH146" s="488"/>
      <c r="EI146" s="488"/>
      <c r="EJ146" s="488"/>
      <c r="EK146" s="488"/>
      <c r="EL146" s="488"/>
      <c r="EM146" s="488"/>
      <c r="EN146" s="488"/>
      <c r="EO146" s="488"/>
      <c r="EP146" s="488"/>
      <c r="EQ146" s="488"/>
      <c r="ER146" s="488"/>
      <c r="ES146" s="488"/>
      <c r="ET146" s="488"/>
      <c r="EU146" s="488"/>
      <c r="EV146" s="488"/>
      <c r="EW146" s="488"/>
      <c r="EX146" s="488"/>
      <c r="EY146" s="488"/>
      <c r="EZ146" s="488"/>
      <c r="FA146" s="488"/>
      <c r="FB146" s="488"/>
      <c r="FC146" s="488"/>
      <c r="FD146" s="488"/>
      <c r="FE146" s="488"/>
      <c r="FF146" s="488"/>
      <c r="FG146" s="488"/>
      <c r="FH146" s="488"/>
    </row>
    <row r="147" spans="1:164" ht="13.05" hidden="1" customHeight="1" x14ac:dyDescent="0.25">
      <c r="A147" t="str">
        <f>Nutrients!B146</f>
        <v>GF DDGS Base Mix</v>
      </c>
      <c r="B147" s="106"/>
      <c r="C147" s="106"/>
      <c r="D147" s="106"/>
      <c r="E147" s="106"/>
      <c r="F147" s="106"/>
      <c r="G147" s="106"/>
      <c r="H147" s="106"/>
      <c r="I147" s="106"/>
      <c r="J147" s="106"/>
      <c r="K147" s="106"/>
      <c r="L147" s="106"/>
      <c r="M147" s="106"/>
      <c r="N147" s="106"/>
      <c r="O147" s="29"/>
      <c r="P147" s="106"/>
      <c r="Q147" s="106"/>
      <c r="R147" s="106"/>
      <c r="S147" s="106"/>
      <c r="T147" s="106"/>
      <c r="U147" s="106"/>
      <c r="V147" s="9"/>
      <c r="W147" s="106"/>
      <c r="X147" s="106"/>
      <c r="Y147" s="106"/>
      <c r="Z147" s="106"/>
      <c r="AA147" s="106"/>
      <c r="AB147" s="106"/>
      <c r="AC147" s="2"/>
      <c r="AD147" s="106"/>
      <c r="AE147" s="106"/>
      <c r="AF147" s="106"/>
      <c r="AG147" s="106"/>
      <c r="AH147" s="106"/>
      <c r="AI147" s="106"/>
      <c r="AJ147" s="2"/>
      <c r="AK147" s="106"/>
      <c r="AL147" s="106"/>
      <c r="AM147" s="106"/>
      <c r="AN147" s="106"/>
      <c r="AO147" s="106"/>
      <c r="AP147" s="106"/>
      <c r="AQ147" s="2"/>
      <c r="AR147" s="106"/>
      <c r="AS147" s="106"/>
      <c r="AT147" s="106"/>
      <c r="AU147" s="106"/>
      <c r="AV147" s="106"/>
      <c r="AW147" s="106"/>
      <c r="AX147" s="9"/>
      <c r="AY147" s="488"/>
      <c r="AZ147" s="488"/>
      <c r="BA147" s="488"/>
      <c r="BB147" s="488"/>
      <c r="BC147" s="488"/>
      <c r="BD147" s="488"/>
      <c r="BE147" s="488"/>
      <c r="BF147" s="488"/>
      <c r="BG147" s="488"/>
      <c r="BH147" s="488"/>
      <c r="BI147" s="488"/>
      <c r="BJ147" s="488"/>
      <c r="BK147" s="488"/>
      <c r="BL147" s="488"/>
      <c r="BM147" s="488"/>
      <c r="BN147" s="488"/>
      <c r="BO147" s="488"/>
      <c r="BP147" s="488"/>
      <c r="BQ147" s="488"/>
      <c r="BR147" s="488"/>
      <c r="BS147" s="488"/>
      <c r="BT147" s="488"/>
      <c r="BU147" s="488"/>
      <c r="BV147" s="488"/>
      <c r="BW147" s="488"/>
      <c r="BX147" s="488"/>
      <c r="BY147" s="488"/>
      <c r="BZ147" s="488"/>
      <c r="CA147" s="488"/>
      <c r="CB147" s="488"/>
      <c r="CC147" s="488"/>
      <c r="CD147" s="488"/>
      <c r="CE147" s="488"/>
      <c r="CF147" s="488"/>
      <c r="CG147" s="488"/>
      <c r="CH147" s="488"/>
      <c r="CI147" s="488"/>
      <c r="CJ147" s="488"/>
      <c r="CK147" s="488"/>
      <c r="CL147" s="488"/>
      <c r="CM147" s="488"/>
      <c r="CN147" s="488"/>
      <c r="CO147" s="488"/>
      <c r="CP147" s="488"/>
      <c r="CQ147" s="488"/>
      <c r="CR147" s="488"/>
      <c r="CS147" s="488"/>
      <c r="CT147" s="488"/>
      <c r="CU147" s="488"/>
      <c r="CV147" s="488"/>
      <c r="CW147" s="488"/>
      <c r="CX147" s="488"/>
      <c r="CY147" s="488"/>
      <c r="CZ147" s="488"/>
      <c r="DA147" s="488"/>
      <c r="DB147" s="488"/>
      <c r="DC147" s="488"/>
      <c r="DD147" s="488"/>
      <c r="DE147" s="488"/>
      <c r="DF147" s="488"/>
      <c r="DG147" s="488"/>
      <c r="DH147" s="488"/>
      <c r="DI147" s="488"/>
      <c r="DJ147" s="488"/>
      <c r="DK147" s="488"/>
      <c r="DL147" s="488"/>
      <c r="DM147" s="488"/>
      <c r="DN147" s="488"/>
      <c r="DO147" s="488"/>
      <c r="DP147" s="488"/>
      <c r="DQ147" s="488"/>
      <c r="DR147" s="488"/>
      <c r="DS147" s="488"/>
      <c r="DT147" s="488"/>
      <c r="DU147" s="488"/>
      <c r="DV147" s="488"/>
      <c r="DW147" s="488"/>
      <c r="DX147" s="488"/>
      <c r="DY147" s="488"/>
      <c r="DZ147" s="488"/>
      <c r="EA147" s="488"/>
      <c r="EB147" s="488"/>
      <c r="EC147" s="488"/>
      <c r="ED147" s="488"/>
      <c r="EE147" s="488"/>
      <c r="EF147" s="488"/>
      <c r="EG147" s="488"/>
      <c r="EH147" s="488"/>
      <c r="EI147" s="488"/>
      <c r="EJ147" s="488"/>
      <c r="EK147" s="488"/>
      <c r="EL147" s="488"/>
      <c r="EM147" s="488"/>
      <c r="EN147" s="488"/>
      <c r="EO147" s="488"/>
      <c r="EP147" s="488"/>
      <c r="EQ147" s="488"/>
      <c r="ER147" s="488"/>
      <c r="ES147" s="488"/>
      <c r="ET147" s="488"/>
      <c r="EU147" s="488"/>
      <c r="EV147" s="488"/>
      <c r="EW147" s="488"/>
      <c r="EX147" s="488"/>
      <c r="EY147" s="488"/>
      <c r="EZ147" s="488"/>
      <c r="FA147" s="488"/>
      <c r="FB147" s="488"/>
      <c r="FC147" s="488"/>
      <c r="FD147" s="488"/>
      <c r="FE147" s="488"/>
      <c r="FF147" s="488"/>
      <c r="FG147" s="488"/>
      <c r="FH147" s="488"/>
    </row>
    <row r="148" spans="1:164" ht="13.05" hidden="1" customHeight="1" x14ac:dyDescent="0.25">
      <c r="A148" t="str">
        <f>Nutrients!B147</f>
        <v>GF synthetics Base Mix</v>
      </c>
      <c r="B148" s="106"/>
      <c r="C148" s="106"/>
      <c r="D148" s="106"/>
      <c r="E148" s="106"/>
      <c r="F148" s="106"/>
      <c r="G148" s="106"/>
      <c r="H148" s="106"/>
      <c r="I148" s="106"/>
      <c r="J148" s="106"/>
      <c r="K148" s="106"/>
      <c r="L148" s="106"/>
      <c r="M148" s="106"/>
      <c r="N148" s="106"/>
      <c r="O148" s="29"/>
      <c r="P148" s="106"/>
      <c r="Q148" s="106"/>
      <c r="R148" s="106"/>
      <c r="S148" s="106"/>
      <c r="T148" s="106"/>
      <c r="U148" s="106"/>
      <c r="V148" s="9"/>
      <c r="W148" s="106"/>
      <c r="X148" s="106"/>
      <c r="Y148" s="106"/>
      <c r="Z148" s="106"/>
      <c r="AA148" s="106"/>
      <c r="AB148" s="106"/>
      <c r="AC148" s="2"/>
      <c r="AD148" s="106"/>
      <c r="AE148" s="106"/>
      <c r="AF148" s="106"/>
      <c r="AG148" s="106"/>
      <c r="AH148" s="106"/>
      <c r="AI148" s="106"/>
      <c r="AJ148" s="2"/>
      <c r="AK148" s="106"/>
      <c r="AL148" s="106"/>
      <c r="AM148" s="106"/>
      <c r="AN148" s="106"/>
      <c r="AO148" s="106"/>
      <c r="AP148" s="106"/>
      <c r="AQ148" s="2"/>
      <c r="AR148" s="106"/>
      <c r="AS148" s="106"/>
      <c r="AT148" s="106"/>
      <c r="AU148" s="106"/>
      <c r="AV148" s="106"/>
      <c r="AW148" s="106"/>
      <c r="AX148" s="9"/>
      <c r="AY148" s="488"/>
      <c r="AZ148" s="488"/>
      <c r="BA148" s="488"/>
      <c r="BB148" s="488"/>
      <c r="BC148" s="488"/>
      <c r="BD148" s="488"/>
      <c r="BE148" s="488"/>
      <c r="BF148" s="488"/>
      <c r="BG148" s="488"/>
      <c r="BH148" s="488"/>
      <c r="BI148" s="488"/>
      <c r="BJ148" s="488"/>
      <c r="BK148" s="488"/>
      <c r="BL148" s="488"/>
      <c r="BM148" s="488"/>
      <c r="BN148" s="488"/>
      <c r="BO148" s="488"/>
      <c r="BP148" s="488"/>
      <c r="BQ148" s="488"/>
      <c r="BR148" s="488"/>
      <c r="BS148" s="488"/>
      <c r="BT148" s="488"/>
      <c r="BU148" s="488"/>
      <c r="BV148" s="488"/>
      <c r="BW148" s="488"/>
      <c r="BX148" s="488"/>
      <c r="BY148" s="488"/>
      <c r="BZ148" s="488"/>
      <c r="CA148" s="488"/>
      <c r="CB148" s="488"/>
      <c r="CC148" s="488"/>
      <c r="CD148" s="488"/>
      <c r="CE148" s="488"/>
      <c r="CF148" s="488"/>
      <c r="CG148" s="488"/>
      <c r="CH148" s="488"/>
      <c r="CI148" s="488"/>
      <c r="CJ148" s="488"/>
      <c r="CK148" s="488"/>
      <c r="CL148" s="488"/>
      <c r="CM148" s="488"/>
      <c r="CN148" s="488"/>
      <c r="CO148" s="488"/>
      <c r="CP148" s="488"/>
      <c r="CQ148" s="488"/>
      <c r="CR148" s="488"/>
      <c r="CS148" s="488"/>
      <c r="CT148" s="488"/>
      <c r="CU148" s="488"/>
      <c r="CV148" s="488"/>
      <c r="CW148" s="488"/>
      <c r="CX148" s="488"/>
      <c r="CY148" s="488"/>
      <c r="CZ148" s="488"/>
      <c r="DA148" s="488"/>
      <c r="DB148" s="488"/>
      <c r="DC148" s="488"/>
      <c r="DD148" s="488"/>
      <c r="DE148" s="488"/>
      <c r="DF148" s="488"/>
      <c r="DG148" s="488"/>
      <c r="DH148" s="488"/>
      <c r="DI148" s="488"/>
      <c r="DJ148" s="488"/>
      <c r="DK148" s="488"/>
      <c r="DL148" s="488"/>
      <c r="DM148" s="488"/>
      <c r="DN148" s="488"/>
      <c r="DO148" s="488"/>
      <c r="DP148" s="488"/>
      <c r="DQ148" s="488"/>
      <c r="DR148" s="488"/>
      <c r="DS148" s="488"/>
      <c r="DT148" s="488"/>
      <c r="DU148" s="488"/>
      <c r="DV148" s="488"/>
      <c r="DW148" s="488"/>
      <c r="DX148" s="488"/>
      <c r="DY148" s="488"/>
      <c r="DZ148" s="488"/>
      <c r="EA148" s="488"/>
      <c r="EB148" s="488"/>
      <c r="EC148" s="488"/>
      <c r="ED148" s="488"/>
      <c r="EE148" s="488"/>
      <c r="EF148" s="488"/>
      <c r="EG148" s="488"/>
      <c r="EH148" s="488"/>
      <c r="EI148" s="488"/>
      <c r="EJ148" s="488"/>
      <c r="EK148" s="488"/>
      <c r="EL148" s="488"/>
      <c r="EM148" s="488"/>
      <c r="EN148" s="488"/>
      <c r="EO148" s="488"/>
      <c r="EP148" s="488"/>
      <c r="EQ148" s="488"/>
      <c r="ER148" s="488"/>
      <c r="ES148" s="488"/>
      <c r="ET148" s="488"/>
      <c r="EU148" s="488"/>
      <c r="EV148" s="488"/>
      <c r="EW148" s="488"/>
      <c r="EX148" s="488"/>
      <c r="EY148" s="488"/>
      <c r="EZ148" s="488"/>
      <c r="FA148" s="488"/>
      <c r="FB148" s="488"/>
      <c r="FC148" s="488"/>
      <c r="FD148" s="488"/>
      <c r="FE148" s="488"/>
      <c r="FF148" s="488"/>
      <c r="FG148" s="488"/>
      <c r="FH148" s="488"/>
    </row>
    <row r="149" spans="1:164" ht="13.05" hidden="1" customHeight="1" x14ac:dyDescent="0.25">
      <c r="A149" t="str">
        <f>Nutrients!B148</f>
        <v>Choline chloride 60%</v>
      </c>
      <c r="B149" s="106"/>
      <c r="C149" s="106"/>
      <c r="D149" s="106"/>
      <c r="E149" s="106"/>
      <c r="F149" s="106"/>
      <c r="G149" s="106"/>
      <c r="H149" s="106"/>
      <c r="I149" s="106"/>
      <c r="J149" s="106"/>
      <c r="K149" s="106"/>
      <c r="L149" s="106"/>
      <c r="M149" s="106"/>
      <c r="N149" s="106"/>
      <c r="O149" s="29"/>
      <c r="P149" s="106"/>
      <c r="Q149" s="106"/>
      <c r="R149" s="106"/>
      <c r="S149" s="106"/>
      <c r="T149" s="106"/>
      <c r="U149" s="106"/>
      <c r="V149" s="9"/>
      <c r="W149" s="106"/>
      <c r="X149" s="106"/>
      <c r="Y149" s="106"/>
      <c r="Z149" s="106"/>
      <c r="AA149" s="106"/>
      <c r="AB149" s="106"/>
      <c r="AC149" s="2"/>
      <c r="AD149" s="106"/>
      <c r="AE149" s="106"/>
      <c r="AF149" s="106"/>
      <c r="AG149" s="106"/>
      <c r="AH149" s="106"/>
      <c r="AI149" s="106"/>
      <c r="AJ149" s="2"/>
      <c r="AK149" s="106"/>
      <c r="AL149" s="106"/>
      <c r="AM149" s="106"/>
      <c r="AN149" s="106"/>
      <c r="AO149" s="106"/>
      <c r="AP149" s="106"/>
      <c r="AQ149" s="2"/>
      <c r="AR149" s="106"/>
      <c r="AS149" s="106"/>
      <c r="AT149" s="106"/>
      <c r="AU149" s="106"/>
      <c r="AV149" s="106"/>
      <c r="AW149" s="106"/>
      <c r="AX149" s="9"/>
      <c r="AY149" s="488"/>
      <c r="AZ149" s="488"/>
      <c r="BA149" s="488"/>
      <c r="BB149" s="488"/>
      <c r="BC149" s="488"/>
      <c r="BD149" s="488"/>
      <c r="BE149" s="488"/>
      <c r="BF149" s="488"/>
      <c r="BG149" s="488"/>
      <c r="BH149" s="488"/>
      <c r="BI149" s="488"/>
      <c r="BJ149" s="488"/>
      <c r="BK149" s="488"/>
      <c r="BL149" s="488"/>
      <c r="BM149" s="488"/>
      <c r="BN149" s="488"/>
      <c r="BO149" s="488"/>
      <c r="BP149" s="488"/>
      <c r="BQ149" s="488"/>
      <c r="BR149" s="488"/>
      <c r="BS149" s="488"/>
      <c r="BT149" s="488"/>
      <c r="BU149" s="488"/>
      <c r="BV149" s="488"/>
      <c r="BW149" s="488"/>
      <c r="BX149" s="488"/>
      <c r="BY149" s="488"/>
      <c r="BZ149" s="488"/>
      <c r="CA149" s="488"/>
      <c r="CB149" s="488"/>
      <c r="CC149" s="488"/>
      <c r="CD149" s="488"/>
      <c r="CE149" s="488"/>
      <c r="CF149" s="488"/>
      <c r="CG149" s="488"/>
      <c r="CH149" s="488"/>
      <c r="CI149" s="488"/>
      <c r="CJ149" s="488"/>
      <c r="CK149" s="488"/>
      <c r="CL149" s="488"/>
      <c r="CM149" s="488"/>
      <c r="CN149" s="488"/>
      <c r="CO149" s="488"/>
      <c r="CP149" s="488"/>
      <c r="CQ149" s="488"/>
      <c r="CR149" s="488"/>
      <c r="CS149" s="488"/>
      <c r="CT149" s="488"/>
      <c r="CU149" s="488"/>
      <c r="CV149" s="488"/>
      <c r="CW149" s="488"/>
      <c r="CX149" s="488"/>
      <c r="CY149" s="488"/>
      <c r="CZ149" s="488"/>
      <c r="DA149" s="488"/>
      <c r="DB149" s="488"/>
      <c r="DC149" s="488"/>
      <c r="DD149" s="488"/>
      <c r="DE149" s="488"/>
      <c r="DF149" s="488"/>
      <c r="DG149" s="488"/>
      <c r="DH149" s="488"/>
      <c r="DI149" s="488"/>
      <c r="DJ149" s="488"/>
      <c r="DK149" s="488"/>
      <c r="DL149" s="488"/>
      <c r="DM149" s="488"/>
      <c r="DN149" s="488"/>
      <c r="DO149" s="488"/>
      <c r="DP149" s="488"/>
      <c r="DQ149" s="488"/>
      <c r="DR149" s="488"/>
      <c r="DS149" s="488"/>
      <c r="DT149" s="488"/>
      <c r="DU149" s="488"/>
      <c r="DV149" s="488"/>
      <c r="DW149" s="488"/>
      <c r="DX149" s="488"/>
      <c r="DY149" s="488"/>
      <c r="DZ149" s="488"/>
      <c r="EA149" s="488"/>
      <c r="EB149" s="488"/>
      <c r="EC149" s="488"/>
      <c r="ED149" s="488"/>
      <c r="EE149" s="488"/>
      <c r="EF149" s="488"/>
      <c r="EG149" s="488"/>
      <c r="EH149" s="488"/>
      <c r="EI149" s="488"/>
      <c r="EJ149" s="488"/>
      <c r="EK149" s="488"/>
      <c r="EL149" s="488"/>
      <c r="EM149" s="488"/>
      <c r="EN149" s="488"/>
      <c r="EO149" s="488"/>
      <c r="EP149" s="488"/>
      <c r="EQ149" s="488"/>
      <c r="ER149" s="488"/>
      <c r="ES149" s="488"/>
      <c r="ET149" s="488"/>
      <c r="EU149" s="488"/>
      <c r="EV149" s="488"/>
      <c r="EW149" s="488"/>
      <c r="EX149" s="488"/>
      <c r="EY149" s="488"/>
      <c r="EZ149" s="488"/>
      <c r="FA149" s="488"/>
      <c r="FB149" s="488"/>
      <c r="FC149" s="488"/>
      <c r="FD149" s="488"/>
      <c r="FE149" s="488"/>
      <c r="FF149" s="488"/>
      <c r="FG149" s="488"/>
      <c r="FH149" s="488"/>
    </row>
    <row r="150" spans="1:164" ht="13.05" hidden="1" customHeight="1" x14ac:dyDescent="0.25">
      <c r="A150" t="str">
        <f>Nutrients!B149</f>
        <v>Natuphos 600</v>
      </c>
      <c r="B150" s="106"/>
      <c r="C150" s="106"/>
      <c r="D150" s="106"/>
      <c r="E150" s="106"/>
      <c r="F150" s="106"/>
      <c r="G150" s="106"/>
      <c r="H150" s="106"/>
      <c r="I150" s="106"/>
      <c r="J150" s="106"/>
      <c r="K150" s="106"/>
      <c r="L150" s="106"/>
      <c r="M150" s="106"/>
      <c r="N150" s="106"/>
      <c r="O150" s="29"/>
      <c r="P150" s="106"/>
      <c r="Q150" s="106"/>
      <c r="R150" s="106"/>
      <c r="S150" s="106"/>
      <c r="T150" s="106"/>
      <c r="U150" s="106"/>
      <c r="V150" s="9"/>
      <c r="W150" s="106"/>
      <c r="X150" s="106"/>
      <c r="Y150" s="106"/>
      <c r="Z150" s="106"/>
      <c r="AA150" s="106"/>
      <c r="AB150" s="106"/>
      <c r="AC150" s="2"/>
      <c r="AD150" s="106"/>
      <c r="AE150" s="106"/>
      <c r="AF150" s="106"/>
      <c r="AG150" s="106"/>
      <c r="AH150" s="106"/>
      <c r="AI150" s="106"/>
      <c r="AJ150" s="2"/>
      <c r="AK150" s="106"/>
      <c r="AL150" s="106"/>
      <c r="AM150" s="106"/>
      <c r="AN150" s="106"/>
      <c r="AO150" s="106"/>
      <c r="AP150" s="106"/>
      <c r="AQ150" s="2"/>
      <c r="AR150" s="106"/>
      <c r="AS150" s="106"/>
      <c r="AT150" s="106"/>
      <c r="AU150" s="106"/>
      <c r="AV150" s="106"/>
      <c r="AW150" s="106"/>
      <c r="AX150" s="9"/>
      <c r="AY150" s="488"/>
      <c r="AZ150" s="488"/>
      <c r="BA150" s="488"/>
      <c r="BB150" s="488"/>
      <c r="BC150" s="488"/>
      <c r="BD150" s="488"/>
      <c r="BE150" s="488"/>
      <c r="BF150" s="488"/>
      <c r="BG150" s="488"/>
      <c r="BH150" s="488"/>
      <c r="BI150" s="488"/>
      <c r="BJ150" s="488"/>
      <c r="BK150" s="488"/>
      <c r="BL150" s="488"/>
      <c r="BM150" s="488"/>
      <c r="BN150" s="488"/>
      <c r="BO150" s="488"/>
      <c r="BP150" s="488"/>
      <c r="BQ150" s="488"/>
      <c r="BR150" s="488"/>
      <c r="BS150" s="488"/>
      <c r="BT150" s="488"/>
      <c r="BU150" s="488"/>
      <c r="BV150" s="488"/>
      <c r="BW150" s="488"/>
      <c r="BX150" s="488"/>
      <c r="BY150" s="488"/>
      <c r="BZ150" s="488"/>
      <c r="CA150" s="488"/>
      <c r="CB150" s="488"/>
      <c r="CC150" s="488"/>
      <c r="CD150" s="488"/>
      <c r="CE150" s="488"/>
      <c r="CF150" s="488"/>
      <c r="CG150" s="488"/>
      <c r="CH150" s="488"/>
      <c r="CI150" s="488"/>
      <c r="CJ150" s="488"/>
      <c r="CK150" s="488"/>
      <c r="CL150" s="488"/>
      <c r="CM150" s="488"/>
      <c r="CN150" s="488"/>
      <c r="CO150" s="488"/>
      <c r="CP150" s="488"/>
      <c r="CQ150" s="488"/>
      <c r="CR150" s="488"/>
      <c r="CS150" s="488"/>
      <c r="CT150" s="488"/>
      <c r="CU150" s="488"/>
      <c r="CV150" s="488"/>
      <c r="CW150" s="488"/>
      <c r="CX150" s="488"/>
      <c r="CY150" s="488"/>
      <c r="CZ150" s="488"/>
      <c r="DA150" s="488"/>
      <c r="DB150" s="488"/>
      <c r="DC150" s="488"/>
      <c r="DD150" s="488"/>
      <c r="DE150" s="488"/>
      <c r="DF150" s="488"/>
      <c r="DG150" s="488"/>
      <c r="DH150" s="488"/>
      <c r="DI150" s="488"/>
      <c r="DJ150" s="488"/>
      <c r="DK150" s="488"/>
      <c r="DL150" s="488"/>
      <c r="DM150" s="488"/>
      <c r="DN150" s="488"/>
      <c r="DO150" s="488"/>
      <c r="DP150" s="488"/>
      <c r="DQ150" s="488"/>
      <c r="DR150" s="488"/>
      <c r="DS150" s="488"/>
      <c r="DT150" s="488"/>
      <c r="DU150" s="488"/>
      <c r="DV150" s="488"/>
      <c r="DW150" s="488"/>
      <c r="DX150" s="488"/>
      <c r="DY150" s="488"/>
      <c r="DZ150" s="488"/>
      <c r="EA150" s="488"/>
      <c r="EB150" s="488"/>
      <c r="EC150" s="488"/>
      <c r="ED150" s="488"/>
      <c r="EE150" s="488"/>
      <c r="EF150" s="488"/>
      <c r="EG150" s="488"/>
      <c r="EH150" s="488"/>
      <c r="EI150" s="488"/>
      <c r="EJ150" s="488"/>
      <c r="EK150" s="488"/>
      <c r="EL150" s="488"/>
      <c r="EM150" s="488"/>
      <c r="EN150" s="488"/>
      <c r="EO150" s="488"/>
      <c r="EP150" s="488"/>
      <c r="EQ150" s="488"/>
      <c r="ER150" s="488"/>
      <c r="ES150" s="488"/>
      <c r="ET150" s="488"/>
      <c r="EU150" s="488"/>
      <c r="EV150" s="488"/>
      <c r="EW150" s="488"/>
      <c r="EX150" s="488"/>
      <c r="EY150" s="488"/>
      <c r="EZ150" s="488"/>
      <c r="FA150" s="488"/>
      <c r="FB150" s="488"/>
      <c r="FC150" s="488"/>
      <c r="FD150" s="488"/>
      <c r="FE150" s="488"/>
      <c r="FF150" s="488"/>
      <c r="FG150" s="488"/>
      <c r="FH150" s="488"/>
    </row>
    <row r="151" spans="1:164" ht="13.05" hidden="1" customHeight="1" x14ac:dyDescent="0.25">
      <c r="A151" t="str">
        <f>Nutrients!B150</f>
        <v>Natuphos 1200</v>
      </c>
      <c r="B151" s="106"/>
      <c r="C151" s="106"/>
      <c r="D151" s="106"/>
      <c r="E151" s="106"/>
      <c r="F151" s="106"/>
      <c r="G151" s="106"/>
      <c r="H151" s="106"/>
      <c r="I151" s="106"/>
      <c r="J151" s="106"/>
      <c r="K151" s="106"/>
      <c r="L151" s="106"/>
      <c r="M151" s="106"/>
      <c r="N151" s="106"/>
      <c r="O151" s="29"/>
      <c r="P151" s="106"/>
      <c r="Q151" s="106"/>
      <c r="R151" s="106"/>
      <c r="S151" s="106"/>
      <c r="T151" s="106"/>
      <c r="U151" s="106"/>
      <c r="V151" s="9"/>
      <c r="W151" s="106"/>
      <c r="X151" s="106"/>
      <c r="Y151" s="106"/>
      <c r="Z151" s="106"/>
      <c r="AA151" s="106"/>
      <c r="AB151" s="106"/>
      <c r="AC151" s="2"/>
      <c r="AD151" s="106"/>
      <c r="AE151" s="106"/>
      <c r="AF151" s="106"/>
      <c r="AG151" s="106"/>
      <c r="AH151" s="106"/>
      <c r="AI151" s="106"/>
      <c r="AJ151" s="2"/>
      <c r="AK151" s="106"/>
      <c r="AL151" s="106"/>
      <c r="AM151" s="106"/>
      <c r="AN151" s="106"/>
      <c r="AO151" s="106"/>
      <c r="AP151" s="106"/>
      <c r="AQ151" s="2"/>
      <c r="AR151" s="106"/>
      <c r="AS151" s="106"/>
      <c r="AT151" s="106"/>
      <c r="AU151" s="106"/>
      <c r="AV151" s="106"/>
      <c r="AW151" s="106"/>
      <c r="AX151" s="9"/>
      <c r="AY151" s="488"/>
      <c r="AZ151" s="488"/>
      <c r="BA151" s="488"/>
      <c r="BB151" s="488"/>
      <c r="BC151" s="488"/>
      <c r="BD151" s="488"/>
      <c r="BE151" s="488"/>
      <c r="BF151" s="488"/>
      <c r="BG151" s="488"/>
      <c r="BH151" s="488"/>
      <c r="BI151" s="488"/>
      <c r="BJ151" s="488"/>
      <c r="BK151" s="488"/>
      <c r="BL151" s="488"/>
      <c r="BM151" s="488"/>
      <c r="BN151" s="488"/>
      <c r="BO151" s="488"/>
      <c r="BP151" s="488"/>
      <c r="BQ151" s="488"/>
      <c r="BR151" s="488"/>
      <c r="BS151" s="488"/>
      <c r="BT151" s="488"/>
      <c r="BU151" s="488"/>
      <c r="BV151" s="488"/>
      <c r="BW151" s="488"/>
      <c r="BX151" s="488"/>
      <c r="BY151" s="488"/>
      <c r="BZ151" s="488"/>
      <c r="CA151" s="488"/>
      <c r="CB151" s="488"/>
      <c r="CC151" s="488"/>
      <c r="CD151" s="488"/>
      <c r="CE151" s="488"/>
      <c r="CF151" s="488"/>
      <c r="CG151" s="488"/>
      <c r="CH151" s="488"/>
      <c r="CI151" s="488"/>
      <c r="CJ151" s="488"/>
      <c r="CK151" s="488"/>
      <c r="CL151" s="488"/>
      <c r="CM151" s="488"/>
      <c r="CN151" s="488"/>
      <c r="CO151" s="488"/>
      <c r="CP151" s="488"/>
      <c r="CQ151" s="488"/>
      <c r="CR151" s="488"/>
      <c r="CS151" s="488"/>
      <c r="CT151" s="488"/>
      <c r="CU151" s="488"/>
      <c r="CV151" s="488"/>
      <c r="CW151" s="488"/>
      <c r="CX151" s="488"/>
      <c r="CY151" s="488"/>
      <c r="CZ151" s="488"/>
      <c r="DA151" s="488"/>
      <c r="DB151" s="488"/>
      <c r="DC151" s="488"/>
      <c r="DD151" s="488"/>
      <c r="DE151" s="488"/>
      <c r="DF151" s="488"/>
      <c r="DG151" s="488"/>
      <c r="DH151" s="488"/>
      <c r="DI151" s="488"/>
      <c r="DJ151" s="488"/>
      <c r="DK151" s="488"/>
      <c r="DL151" s="488"/>
      <c r="DM151" s="488"/>
      <c r="DN151" s="488"/>
      <c r="DO151" s="488"/>
      <c r="DP151" s="488"/>
      <c r="DQ151" s="488"/>
      <c r="DR151" s="488"/>
      <c r="DS151" s="488"/>
      <c r="DT151" s="488"/>
      <c r="DU151" s="488"/>
      <c r="DV151" s="488"/>
      <c r="DW151" s="488"/>
      <c r="DX151" s="488"/>
      <c r="DY151" s="488"/>
      <c r="DZ151" s="488"/>
      <c r="EA151" s="488"/>
      <c r="EB151" s="488"/>
      <c r="EC151" s="488"/>
      <c r="ED151" s="488"/>
      <c r="EE151" s="488"/>
      <c r="EF151" s="488"/>
      <c r="EG151" s="488"/>
      <c r="EH151" s="488"/>
      <c r="EI151" s="488"/>
      <c r="EJ151" s="488"/>
      <c r="EK151" s="488"/>
      <c r="EL151" s="488"/>
      <c r="EM151" s="488"/>
      <c r="EN151" s="488"/>
      <c r="EO151" s="488"/>
      <c r="EP151" s="488"/>
      <c r="EQ151" s="488"/>
      <c r="ER151" s="488"/>
      <c r="ES151" s="488"/>
      <c r="ET151" s="488"/>
      <c r="EU151" s="488"/>
      <c r="EV151" s="488"/>
      <c r="EW151" s="488"/>
      <c r="EX151" s="488"/>
      <c r="EY151" s="488"/>
      <c r="EZ151" s="488"/>
      <c r="FA151" s="488"/>
      <c r="FB151" s="488"/>
      <c r="FC151" s="488"/>
      <c r="FD151" s="488"/>
      <c r="FE151" s="488"/>
      <c r="FF151" s="488"/>
      <c r="FG151" s="488"/>
      <c r="FH151" s="488"/>
    </row>
    <row r="152" spans="1:164" ht="13.05" hidden="1" customHeight="1" x14ac:dyDescent="0.25">
      <c r="A152" t="str">
        <f>Nutrients!B151</f>
        <v>Optiphos 2000</v>
      </c>
      <c r="B152" s="106"/>
      <c r="C152" s="106"/>
      <c r="D152" s="106"/>
      <c r="E152" s="106"/>
      <c r="F152" s="106"/>
      <c r="G152" s="106"/>
      <c r="H152" s="106"/>
      <c r="I152" s="106"/>
      <c r="J152" s="106"/>
      <c r="K152" s="106"/>
      <c r="L152" s="106"/>
      <c r="M152" s="106"/>
      <c r="N152" s="106"/>
      <c r="O152" s="29"/>
      <c r="P152" s="106"/>
      <c r="Q152" s="106"/>
      <c r="R152" s="106"/>
      <c r="S152" s="106"/>
      <c r="T152" s="106"/>
      <c r="U152" s="106"/>
      <c r="V152" s="9"/>
      <c r="W152" s="106"/>
      <c r="X152" s="106"/>
      <c r="Y152" s="106"/>
      <c r="Z152" s="106"/>
      <c r="AA152" s="106"/>
      <c r="AB152" s="106"/>
      <c r="AC152" s="2"/>
      <c r="AD152" s="106"/>
      <c r="AE152" s="106"/>
      <c r="AF152" s="106"/>
      <c r="AG152" s="106"/>
      <c r="AH152" s="106"/>
      <c r="AI152" s="106"/>
      <c r="AJ152" s="2"/>
      <c r="AK152" s="106"/>
      <c r="AL152" s="106"/>
      <c r="AM152" s="106"/>
      <c r="AN152" s="106"/>
      <c r="AO152" s="106"/>
      <c r="AP152" s="106"/>
      <c r="AQ152" s="2"/>
      <c r="AR152" s="106"/>
      <c r="AS152" s="106"/>
      <c r="AT152" s="106"/>
      <c r="AU152" s="106"/>
      <c r="AV152" s="106"/>
      <c r="AW152" s="106"/>
      <c r="AX152" s="9"/>
      <c r="AY152" s="488"/>
      <c r="AZ152" s="488"/>
      <c r="BA152" s="488"/>
      <c r="BB152" s="488"/>
      <c r="BC152" s="488"/>
      <c r="BD152" s="488"/>
      <c r="BE152" s="488"/>
      <c r="BF152" s="488"/>
      <c r="BG152" s="488"/>
      <c r="BH152" s="488"/>
      <c r="BI152" s="488"/>
      <c r="BJ152" s="488"/>
      <c r="BK152" s="488"/>
      <c r="BL152" s="488"/>
      <c r="BM152" s="488"/>
      <c r="BN152" s="488"/>
      <c r="BO152" s="488"/>
      <c r="BP152" s="488"/>
      <c r="BQ152" s="488"/>
      <c r="BR152" s="488"/>
      <c r="BS152" s="488"/>
      <c r="BT152" s="488"/>
      <c r="BU152" s="488"/>
      <c r="BV152" s="488"/>
      <c r="BW152" s="488"/>
      <c r="BX152" s="488"/>
      <c r="BY152" s="488"/>
      <c r="BZ152" s="488"/>
      <c r="CA152" s="488"/>
      <c r="CB152" s="488"/>
      <c r="CC152" s="488"/>
      <c r="CD152" s="488"/>
      <c r="CE152" s="488"/>
      <c r="CF152" s="488"/>
      <c r="CG152" s="488"/>
      <c r="CH152" s="488"/>
      <c r="CI152" s="488"/>
      <c r="CJ152" s="488"/>
      <c r="CK152" s="488"/>
      <c r="CL152" s="488"/>
      <c r="CM152" s="488"/>
      <c r="CN152" s="488"/>
      <c r="CO152" s="488"/>
      <c r="CP152" s="488"/>
      <c r="CQ152" s="488"/>
      <c r="CR152" s="488"/>
      <c r="CS152" s="488"/>
      <c r="CT152" s="488"/>
      <c r="CU152" s="488"/>
      <c r="CV152" s="488"/>
      <c r="CW152" s="488"/>
      <c r="CX152" s="488"/>
      <c r="CY152" s="488"/>
      <c r="CZ152" s="488"/>
      <c r="DA152" s="488"/>
      <c r="DB152" s="488"/>
      <c r="DC152" s="488"/>
      <c r="DD152" s="488"/>
      <c r="DE152" s="488"/>
      <c r="DF152" s="488"/>
      <c r="DG152" s="488"/>
      <c r="DH152" s="488"/>
      <c r="DI152" s="488"/>
      <c r="DJ152" s="488"/>
      <c r="DK152" s="488"/>
      <c r="DL152" s="488"/>
      <c r="DM152" s="488"/>
      <c r="DN152" s="488"/>
      <c r="DO152" s="488"/>
      <c r="DP152" s="488"/>
      <c r="DQ152" s="488"/>
      <c r="DR152" s="488"/>
      <c r="DS152" s="488"/>
      <c r="DT152" s="488"/>
      <c r="DU152" s="488"/>
      <c r="DV152" s="488"/>
      <c r="DW152" s="488"/>
      <c r="DX152" s="488"/>
      <c r="DY152" s="488"/>
      <c r="DZ152" s="488"/>
      <c r="EA152" s="488"/>
      <c r="EB152" s="488"/>
      <c r="EC152" s="488"/>
      <c r="ED152" s="488"/>
      <c r="EE152" s="488"/>
      <c r="EF152" s="488"/>
      <c r="EG152" s="488"/>
      <c r="EH152" s="488"/>
      <c r="EI152" s="488"/>
      <c r="EJ152" s="488"/>
      <c r="EK152" s="488"/>
      <c r="EL152" s="488"/>
      <c r="EM152" s="488"/>
      <c r="EN152" s="488"/>
      <c r="EO152" s="488"/>
      <c r="EP152" s="488"/>
      <c r="EQ152" s="488"/>
      <c r="ER152" s="488"/>
      <c r="ES152" s="488"/>
      <c r="ET152" s="488"/>
      <c r="EU152" s="488"/>
      <c r="EV152" s="488"/>
      <c r="EW152" s="488"/>
      <c r="EX152" s="488"/>
      <c r="EY152" s="488"/>
      <c r="EZ152" s="488"/>
      <c r="FA152" s="488"/>
      <c r="FB152" s="488"/>
      <c r="FC152" s="488"/>
      <c r="FD152" s="488"/>
      <c r="FE152" s="488"/>
      <c r="FF152" s="488"/>
      <c r="FG152" s="488"/>
      <c r="FH152" s="488"/>
    </row>
    <row r="153" spans="1:164" ht="13.05" hidden="1" customHeight="1" x14ac:dyDescent="0.25">
      <c r="A153" t="str">
        <f>Nutrients!B152</f>
        <v>Phyzyme 1200</v>
      </c>
      <c r="B153" s="106"/>
      <c r="C153" s="106"/>
      <c r="D153" s="106"/>
      <c r="E153" s="106"/>
      <c r="F153" s="106"/>
      <c r="G153" s="106"/>
      <c r="H153" s="106"/>
      <c r="I153" s="106"/>
      <c r="J153" s="106"/>
      <c r="K153" s="106"/>
      <c r="L153" s="106"/>
      <c r="M153" s="106"/>
      <c r="N153" s="106"/>
      <c r="O153" s="29"/>
      <c r="P153" s="106"/>
      <c r="Q153" s="106"/>
      <c r="R153" s="106"/>
      <c r="S153" s="106"/>
      <c r="T153" s="106"/>
      <c r="U153" s="106"/>
      <c r="V153" s="9"/>
      <c r="W153" s="106"/>
      <c r="X153" s="106"/>
      <c r="Y153" s="106"/>
      <c r="Z153" s="106"/>
      <c r="AA153" s="106"/>
      <c r="AB153" s="106"/>
      <c r="AC153" s="2"/>
      <c r="AD153" s="106"/>
      <c r="AE153" s="106"/>
      <c r="AF153" s="106"/>
      <c r="AG153" s="106"/>
      <c r="AH153" s="106"/>
      <c r="AI153" s="106"/>
      <c r="AJ153" s="2"/>
      <c r="AK153" s="106"/>
      <c r="AL153" s="106"/>
      <c r="AM153" s="106"/>
      <c r="AN153" s="106"/>
      <c r="AO153" s="106"/>
      <c r="AP153" s="106"/>
      <c r="AQ153" s="2"/>
      <c r="AR153" s="106"/>
      <c r="AS153" s="106"/>
      <c r="AT153" s="106"/>
      <c r="AU153" s="106"/>
      <c r="AV153" s="106"/>
      <c r="AW153" s="106"/>
      <c r="AX153" s="9"/>
      <c r="AY153" s="488"/>
      <c r="AZ153" s="488"/>
      <c r="BA153" s="488"/>
      <c r="BB153" s="488"/>
      <c r="BC153" s="488"/>
      <c r="BD153" s="488"/>
      <c r="BE153" s="488"/>
      <c r="BF153" s="488"/>
      <c r="BG153" s="488"/>
      <c r="BH153" s="488"/>
      <c r="BI153" s="488"/>
      <c r="BJ153" s="488"/>
      <c r="BK153" s="488"/>
      <c r="BL153" s="488"/>
      <c r="BM153" s="488"/>
      <c r="BN153" s="488"/>
      <c r="BO153" s="488"/>
      <c r="BP153" s="488"/>
      <c r="BQ153" s="488"/>
      <c r="BR153" s="488"/>
      <c r="BS153" s="488"/>
      <c r="BT153" s="488"/>
      <c r="BU153" s="488"/>
      <c r="BV153" s="488"/>
      <c r="BW153" s="488"/>
      <c r="BX153" s="488"/>
      <c r="BY153" s="488"/>
      <c r="BZ153" s="488"/>
      <c r="CA153" s="488"/>
      <c r="CB153" s="488"/>
      <c r="CC153" s="488"/>
      <c r="CD153" s="488"/>
      <c r="CE153" s="488"/>
      <c r="CF153" s="488"/>
      <c r="CG153" s="488"/>
      <c r="CH153" s="488"/>
      <c r="CI153" s="488"/>
      <c r="CJ153" s="488"/>
      <c r="CK153" s="488"/>
      <c r="CL153" s="488"/>
      <c r="CM153" s="488"/>
      <c r="CN153" s="488"/>
      <c r="CO153" s="488"/>
      <c r="CP153" s="488"/>
      <c r="CQ153" s="488"/>
      <c r="CR153" s="488"/>
      <c r="CS153" s="488"/>
      <c r="CT153" s="488"/>
      <c r="CU153" s="488"/>
      <c r="CV153" s="488"/>
      <c r="CW153" s="488"/>
      <c r="CX153" s="488"/>
      <c r="CY153" s="488"/>
      <c r="CZ153" s="488"/>
      <c r="DA153" s="488"/>
      <c r="DB153" s="488"/>
      <c r="DC153" s="488"/>
      <c r="DD153" s="488"/>
      <c r="DE153" s="488"/>
      <c r="DF153" s="488"/>
      <c r="DG153" s="488"/>
      <c r="DH153" s="488"/>
      <c r="DI153" s="488"/>
      <c r="DJ153" s="488"/>
      <c r="DK153" s="488"/>
      <c r="DL153" s="488"/>
      <c r="DM153" s="488"/>
      <c r="DN153" s="488"/>
      <c r="DO153" s="488"/>
      <c r="DP153" s="488"/>
      <c r="DQ153" s="488"/>
      <c r="DR153" s="488"/>
      <c r="DS153" s="488"/>
      <c r="DT153" s="488"/>
      <c r="DU153" s="488"/>
      <c r="DV153" s="488"/>
      <c r="DW153" s="488"/>
      <c r="DX153" s="488"/>
      <c r="DY153" s="488"/>
      <c r="DZ153" s="488"/>
      <c r="EA153" s="488"/>
      <c r="EB153" s="488"/>
      <c r="EC153" s="488"/>
      <c r="ED153" s="488"/>
      <c r="EE153" s="488"/>
      <c r="EF153" s="488"/>
      <c r="EG153" s="488"/>
      <c r="EH153" s="488"/>
      <c r="EI153" s="488"/>
      <c r="EJ153" s="488"/>
      <c r="EK153" s="488"/>
      <c r="EL153" s="488"/>
      <c r="EM153" s="488"/>
      <c r="EN153" s="488"/>
      <c r="EO153" s="488"/>
      <c r="EP153" s="488"/>
      <c r="EQ153" s="488"/>
      <c r="ER153" s="488"/>
      <c r="ES153" s="488"/>
      <c r="ET153" s="488"/>
      <c r="EU153" s="488"/>
      <c r="EV153" s="488"/>
      <c r="EW153" s="488"/>
      <c r="EX153" s="488"/>
      <c r="EY153" s="488"/>
      <c r="EZ153" s="488"/>
      <c r="FA153" s="488"/>
      <c r="FB153" s="488"/>
      <c r="FC153" s="488"/>
      <c r="FD153" s="488"/>
      <c r="FE153" s="488"/>
      <c r="FF153" s="488"/>
      <c r="FG153" s="488"/>
      <c r="FH153" s="488"/>
    </row>
    <row r="154" spans="1:164" ht="13.05" hidden="1" customHeight="1" x14ac:dyDescent="0.25">
      <c r="A154" t="str">
        <f>Nutrients!B153</f>
        <v>Phyzyme 5000</v>
      </c>
      <c r="B154" s="106"/>
      <c r="C154" s="106"/>
      <c r="D154" s="106"/>
      <c r="E154" s="106"/>
      <c r="F154" s="106"/>
      <c r="G154" s="106"/>
      <c r="H154" s="106"/>
      <c r="I154" s="106"/>
      <c r="J154" s="106"/>
      <c r="K154" s="106"/>
      <c r="L154" s="106"/>
      <c r="M154" s="106"/>
      <c r="N154" s="106"/>
      <c r="O154" s="29"/>
      <c r="P154" s="106"/>
      <c r="Q154" s="106"/>
      <c r="R154" s="106"/>
      <c r="S154" s="106"/>
      <c r="T154" s="106"/>
      <c r="U154" s="106"/>
      <c r="V154" s="9"/>
      <c r="W154" s="106"/>
      <c r="X154" s="106"/>
      <c r="Y154" s="106"/>
      <c r="Z154" s="106"/>
      <c r="AA154" s="106"/>
      <c r="AB154" s="106"/>
      <c r="AC154" s="2"/>
      <c r="AD154" s="106"/>
      <c r="AE154" s="106"/>
      <c r="AF154" s="106"/>
      <c r="AG154" s="106"/>
      <c r="AH154" s="106"/>
      <c r="AI154" s="106"/>
      <c r="AJ154" s="2"/>
      <c r="AK154" s="106"/>
      <c r="AL154" s="106"/>
      <c r="AM154" s="106"/>
      <c r="AN154" s="106"/>
      <c r="AO154" s="106"/>
      <c r="AP154" s="106"/>
      <c r="AQ154" s="2"/>
      <c r="AR154" s="106"/>
      <c r="AS154" s="106"/>
      <c r="AT154" s="106"/>
      <c r="AU154" s="106"/>
      <c r="AV154" s="106"/>
      <c r="AW154" s="106"/>
      <c r="AX154" s="9"/>
      <c r="AY154" s="488"/>
      <c r="AZ154" s="488"/>
      <c r="BA154" s="488"/>
      <c r="BB154" s="488"/>
      <c r="BC154" s="488"/>
      <c r="BD154" s="488"/>
      <c r="BE154" s="488"/>
      <c r="BF154" s="488"/>
      <c r="BG154" s="488"/>
      <c r="BH154" s="488"/>
      <c r="BI154" s="488"/>
      <c r="BJ154" s="488"/>
      <c r="BK154" s="488"/>
      <c r="BL154" s="488"/>
      <c r="BM154" s="488"/>
      <c r="BN154" s="488"/>
      <c r="BO154" s="488"/>
      <c r="BP154" s="488"/>
      <c r="BQ154" s="488"/>
      <c r="BR154" s="488"/>
      <c r="BS154" s="488"/>
      <c r="BT154" s="488"/>
      <c r="BU154" s="488"/>
      <c r="BV154" s="488"/>
      <c r="BW154" s="488"/>
      <c r="BX154" s="488"/>
      <c r="BY154" s="488"/>
      <c r="BZ154" s="488"/>
      <c r="CA154" s="488"/>
      <c r="CB154" s="488"/>
      <c r="CC154" s="488"/>
      <c r="CD154" s="488"/>
      <c r="CE154" s="488"/>
      <c r="CF154" s="488"/>
      <c r="CG154" s="488"/>
      <c r="CH154" s="488"/>
      <c r="CI154" s="488"/>
      <c r="CJ154" s="488"/>
      <c r="CK154" s="488"/>
      <c r="CL154" s="488"/>
      <c r="CM154" s="488"/>
      <c r="CN154" s="488"/>
      <c r="CO154" s="488"/>
      <c r="CP154" s="488"/>
      <c r="CQ154" s="488"/>
      <c r="CR154" s="488"/>
      <c r="CS154" s="488"/>
      <c r="CT154" s="488"/>
      <c r="CU154" s="488"/>
      <c r="CV154" s="488"/>
      <c r="CW154" s="488"/>
      <c r="CX154" s="488"/>
      <c r="CY154" s="488"/>
      <c r="CZ154" s="488"/>
      <c r="DA154" s="488"/>
      <c r="DB154" s="488"/>
      <c r="DC154" s="488"/>
      <c r="DD154" s="488"/>
      <c r="DE154" s="488"/>
      <c r="DF154" s="488"/>
      <c r="DG154" s="488"/>
      <c r="DH154" s="488"/>
      <c r="DI154" s="488"/>
      <c r="DJ154" s="488"/>
      <c r="DK154" s="488"/>
      <c r="DL154" s="488"/>
      <c r="DM154" s="488"/>
      <c r="DN154" s="488"/>
      <c r="DO154" s="488"/>
      <c r="DP154" s="488"/>
      <c r="DQ154" s="488"/>
      <c r="DR154" s="488"/>
      <c r="DS154" s="488"/>
      <c r="DT154" s="488"/>
      <c r="DU154" s="488"/>
      <c r="DV154" s="488"/>
      <c r="DW154" s="488"/>
      <c r="DX154" s="488"/>
      <c r="DY154" s="488"/>
      <c r="DZ154" s="488"/>
      <c r="EA154" s="488"/>
      <c r="EB154" s="488"/>
      <c r="EC154" s="488"/>
      <c r="ED154" s="488"/>
      <c r="EE154" s="488"/>
      <c r="EF154" s="488"/>
      <c r="EG154" s="488"/>
      <c r="EH154" s="488"/>
      <c r="EI154" s="488"/>
      <c r="EJ154" s="488"/>
      <c r="EK154" s="488"/>
      <c r="EL154" s="488"/>
      <c r="EM154" s="488"/>
      <c r="EN154" s="488"/>
      <c r="EO154" s="488"/>
      <c r="EP154" s="488"/>
      <c r="EQ154" s="488"/>
      <c r="ER154" s="488"/>
      <c r="ES154" s="488"/>
      <c r="ET154" s="488"/>
      <c r="EU154" s="488"/>
      <c r="EV154" s="488"/>
      <c r="EW154" s="488"/>
      <c r="EX154" s="488"/>
      <c r="EY154" s="488"/>
      <c r="EZ154" s="488"/>
      <c r="FA154" s="488"/>
      <c r="FB154" s="488"/>
      <c r="FC154" s="488"/>
      <c r="FD154" s="488"/>
      <c r="FE154" s="488"/>
      <c r="FF154" s="488"/>
      <c r="FG154" s="488"/>
      <c r="FH154" s="488"/>
    </row>
    <row r="155" spans="1:164" ht="13.05" hidden="1" customHeight="1" x14ac:dyDescent="0.25">
      <c r="A155" t="str">
        <f>Nutrients!B154</f>
        <v>Ronozyme Hiphos GT (10,000)</v>
      </c>
      <c r="B155" s="106"/>
      <c r="C155" s="106"/>
      <c r="D155" s="106"/>
      <c r="E155" s="106"/>
      <c r="F155" s="106"/>
      <c r="G155" s="106"/>
      <c r="H155" s="106"/>
      <c r="I155" s="106"/>
      <c r="J155" s="106"/>
      <c r="K155" s="106"/>
      <c r="L155" s="106"/>
      <c r="M155" s="106"/>
      <c r="N155" s="106"/>
      <c r="O155" s="29"/>
      <c r="P155" s="106"/>
      <c r="Q155" s="106"/>
      <c r="R155" s="106"/>
      <c r="S155" s="106"/>
      <c r="T155" s="106"/>
      <c r="U155" s="106"/>
      <c r="V155" s="9"/>
      <c r="W155" s="106"/>
      <c r="X155" s="106"/>
      <c r="Y155" s="106"/>
      <c r="Z155" s="106"/>
      <c r="AA155" s="106"/>
      <c r="AB155" s="106"/>
      <c r="AC155" s="2"/>
      <c r="AD155" s="106"/>
      <c r="AE155" s="106"/>
      <c r="AF155" s="106"/>
      <c r="AG155" s="106"/>
      <c r="AH155" s="106"/>
      <c r="AI155" s="106"/>
      <c r="AJ155" s="2"/>
      <c r="AK155" s="106"/>
      <c r="AL155" s="106"/>
      <c r="AM155" s="106"/>
      <c r="AN155" s="106"/>
      <c r="AO155" s="106"/>
      <c r="AP155" s="106"/>
      <c r="AQ155" s="2"/>
      <c r="AR155" s="106"/>
      <c r="AS155" s="106"/>
      <c r="AT155" s="106"/>
      <c r="AU155" s="106"/>
      <c r="AV155" s="106"/>
      <c r="AW155" s="106"/>
      <c r="AX155" s="9"/>
      <c r="AY155" s="488"/>
      <c r="AZ155" s="488"/>
      <c r="BA155" s="488"/>
      <c r="BB155" s="488"/>
      <c r="BC155" s="488"/>
      <c r="BD155" s="488"/>
      <c r="BE155" s="488"/>
      <c r="BF155" s="488"/>
      <c r="BG155" s="488"/>
      <c r="BH155" s="488"/>
      <c r="BI155" s="488"/>
      <c r="BJ155" s="488"/>
      <c r="BK155" s="488"/>
      <c r="BL155" s="488"/>
      <c r="BM155" s="488"/>
      <c r="BN155" s="488"/>
      <c r="BO155" s="488"/>
      <c r="BP155" s="488"/>
      <c r="BQ155" s="488"/>
      <c r="BR155" s="488"/>
      <c r="BS155" s="488"/>
      <c r="BT155" s="488"/>
      <c r="BU155" s="488"/>
      <c r="BV155" s="488"/>
      <c r="BW155" s="488"/>
      <c r="BX155" s="488"/>
      <c r="BY155" s="488"/>
      <c r="BZ155" s="488"/>
      <c r="CA155" s="488"/>
      <c r="CB155" s="488"/>
      <c r="CC155" s="488"/>
      <c r="CD155" s="488"/>
      <c r="CE155" s="488"/>
      <c r="CF155" s="488"/>
      <c r="CG155" s="488"/>
      <c r="CH155" s="488"/>
      <c r="CI155" s="488"/>
      <c r="CJ155" s="488"/>
      <c r="CK155" s="488"/>
      <c r="CL155" s="488"/>
      <c r="CM155" s="488"/>
      <c r="CN155" s="488"/>
      <c r="CO155" s="488"/>
      <c r="CP155" s="488"/>
      <c r="CQ155" s="488"/>
      <c r="CR155" s="488"/>
      <c r="CS155" s="488"/>
      <c r="CT155" s="488"/>
      <c r="CU155" s="488"/>
      <c r="CV155" s="488"/>
      <c r="CW155" s="488"/>
      <c r="CX155" s="488"/>
      <c r="CY155" s="488"/>
      <c r="CZ155" s="488"/>
      <c r="DA155" s="488"/>
      <c r="DB155" s="488"/>
      <c r="DC155" s="488"/>
      <c r="DD155" s="488"/>
      <c r="DE155" s="488"/>
      <c r="DF155" s="488"/>
      <c r="DG155" s="488"/>
      <c r="DH155" s="488"/>
      <c r="DI155" s="488"/>
      <c r="DJ155" s="488"/>
      <c r="DK155" s="488"/>
      <c r="DL155" s="488"/>
      <c r="DM155" s="488"/>
      <c r="DN155" s="488"/>
      <c r="DO155" s="488"/>
      <c r="DP155" s="488"/>
      <c r="DQ155" s="488"/>
      <c r="DR155" s="488"/>
      <c r="DS155" s="488"/>
      <c r="DT155" s="488"/>
      <c r="DU155" s="488"/>
      <c r="DV155" s="488"/>
      <c r="DW155" s="488"/>
      <c r="DX155" s="488"/>
      <c r="DY155" s="488"/>
      <c r="DZ155" s="488"/>
      <c r="EA155" s="488"/>
      <c r="EB155" s="488"/>
      <c r="EC155" s="488"/>
      <c r="ED155" s="488"/>
      <c r="EE155" s="488"/>
      <c r="EF155" s="488"/>
      <c r="EG155" s="488"/>
      <c r="EH155" s="488"/>
      <c r="EI155" s="488"/>
      <c r="EJ155" s="488"/>
      <c r="EK155" s="488"/>
      <c r="EL155" s="488"/>
      <c r="EM155" s="488"/>
      <c r="EN155" s="488"/>
      <c r="EO155" s="488"/>
      <c r="EP155" s="488"/>
      <c r="EQ155" s="488"/>
      <c r="ER155" s="488"/>
      <c r="ES155" s="488"/>
      <c r="ET155" s="488"/>
      <c r="EU155" s="488"/>
      <c r="EV155" s="488"/>
      <c r="EW155" s="488"/>
      <c r="EX155" s="488"/>
      <c r="EY155" s="488"/>
      <c r="EZ155" s="488"/>
      <c r="FA155" s="488"/>
      <c r="FB155" s="488"/>
      <c r="FC155" s="488"/>
      <c r="FD155" s="488"/>
      <c r="FE155" s="488"/>
      <c r="FF155" s="488"/>
      <c r="FG155" s="488"/>
      <c r="FH155" s="488"/>
    </row>
    <row r="156" spans="1:164" ht="13.05" hidden="1" customHeight="1" x14ac:dyDescent="0.25">
      <c r="A156" t="str">
        <f>Nutrients!B155</f>
        <v>Ronozyme Hiphos M (50,000)</v>
      </c>
      <c r="B156" s="106"/>
      <c r="C156" s="106"/>
      <c r="D156" s="106"/>
      <c r="E156" s="106"/>
      <c r="F156" s="106"/>
      <c r="G156" s="106"/>
      <c r="H156" s="106"/>
      <c r="I156" s="106"/>
      <c r="J156" s="106"/>
      <c r="K156" s="106"/>
      <c r="L156" s="106"/>
      <c r="M156" s="106"/>
      <c r="N156" s="106"/>
      <c r="O156" s="29"/>
      <c r="P156" s="106"/>
      <c r="Q156" s="106"/>
      <c r="R156" s="106"/>
      <c r="S156" s="106"/>
      <c r="T156" s="106"/>
      <c r="U156" s="106"/>
      <c r="V156" s="9"/>
      <c r="W156" s="106"/>
      <c r="X156" s="106"/>
      <c r="Y156" s="106"/>
      <c r="Z156" s="106"/>
      <c r="AA156" s="106"/>
      <c r="AB156" s="106"/>
      <c r="AC156" s="2"/>
      <c r="AD156" s="106"/>
      <c r="AE156" s="106"/>
      <c r="AF156" s="106"/>
      <c r="AG156" s="106"/>
      <c r="AH156" s="106"/>
      <c r="AI156" s="106"/>
      <c r="AJ156" s="2"/>
      <c r="AK156" s="106"/>
      <c r="AL156" s="106"/>
      <c r="AM156" s="106"/>
      <c r="AN156" s="106"/>
      <c r="AO156" s="106"/>
      <c r="AP156" s="106"/>
      <c r="AQ156" s="2"/>
      <c r="AR156" s="106"/>
      <c r="AS156" s="106"/>
      <c r="AT156" s="106"/>
      <c r="AU156" s="106"/>
      <c r="AV156" s="106"/>
      <c r="AW156" s="106"/>
      <c r="AX156" s="9"/>
      <c r="AY156" s="488"/>
      <c r="AZ156" s="488"/>
      <c r="BA156" s="488"/>
      <c r="BB156" s="488"/>
      <c r="BC156" s="488"/>
      <c r="BD156" s="488"/>
      <c r="BE156" s="488"/>
      <c r="BF156" s="488"/>
      <c r="BG156" s="488"/>
      <c r="BH156" s="488"/>
      <c r="BI156" s="488"/>
      <c r="BJ156" s="488"/>
      <c r="BK156" s="488"/>
      <c r="BL156" s="488"/>
      <c r="BM156" s="488"/>
      <c r="BN156" s="488"/>
      <c r="BO156" s="488"/>
      <c r="BP156" s="488"/>
      <c r="BQ156" s="488"/>
      <c r="BR156" s="488"/>
      <c r="BS156" s="488"/>
      <c r="BT156" s="488"/>
      <c r="BU156" s="488"/>
      <c r="BV156" s="488"/>
      <c r="BW156" s="488"/>
      <c r="BX156" s="488"/>
      <c r="BY156" s="488"/>
      <c r="BZ156" s="488"/>
      <c r="CA156" s="488"/>
      <c r="CB156" s="488"/>
      <c r="CC156" s="488"/>
      <c r="CD156" s="488"/>
      <c r="CE156" s="488"/>
      <c r="CF156" s="488"/>
      <c r="CG156" s="488"/>
      <c r="CH156" s="488"/>
      <c r="CI156" s="488"/>
      <c r="CJ156" s="488"/>
      <c r="CK156" s="488"/>
      <c r="CL156" s="488"/>
      <c r="CM156" s="488"/>
      <c r="CN156" s="488"/>
      <c r="CO156" s="488"/>
      <c r="CP156" s="488"/>
      <c r="CQ156" s="488"/>
      <c r="CR156" s="488"/>
      <c r="CS156" s="488"/>
      <c r="CT156" s="488"/>
      <c r="CU156" s="488"/>
      <c r="CV156" s="488"/>
      <c r="CW156" s="488"/>
      <c r="CX156" s="488"/>
      <c r="CY156" s="488"/>
      <c r="CZ156" s="488"/>
      <c r="DA156" s="488"/>
      <c r="DB156" s="488"/>
      <c r="DC156" s="488"/>
      <c r="DD156" s="488"/>
      <c r="DE156" s="488"/>
      <c r="DF156" s="488"/>
      <c r="DG156" s="488"/>
      <c r="DH156" s="488"/>
      <c r="DI156" s="488"/>
      <c r="DJ156" s="488"/>
      <c r="DK156" s="488"/>
      <c r="DL156" s="488"/>
      <c r="DM156" s="488"/>
      <c r="DN156" s="488"/>
      <c r="DO156" s="488"/>
      <c r="DP156" s="488"/>
      <c r="DQ156" s="488"/>
      <c r="DR156" s="488"/>
      <c r="DS156" s="488"/>
      <c r="DT156" s="488"/>
      <c r="DU156" s="488"/>
      <c r="DV156" s="488"/>
      <c r="DW156" s="488"/>
      <c r="DX156" s="488"/>
      <c r="DY156" s="488"/>
      <c r="DZ156" s="488"/>
      <c r="EA156" s="488"/>
      <c r="EB156" s="488"/>
      <c r="EC156" s="488"/>
      <c r="ED156" s="488"/>
      <c r="EE156" s="488"/>
      <c r="EF156" s="488"/>
      <c r="EG156" s="488"/>
      <c r="EH156" s="488"/>
      <c r="EI156" s="488"/>
      <c r="EJ156" s="488"/>
      <c r="EK156" s="488"/>
      <c r="EL156" s="488"/>
      <c r="EM156" s="488"/>
      <c r="EN156" s="488"/>
      <c r="EO156" s="488"/>
      <c r="EP156" s="488"/>
      <c r="EQ156" s="488"/>
      <c r="ER156" s="488"/>
      <c r="ES156" s="488"/>
      <c r="ET156" s="488"/>
      <c r="EU156" s="488"/>
      <c r="EV156" s="488"/>
      <c r="EW156" s="488"/>
      <c r="EX156" s="488"/>
      <c r="EY156" s="488"/>
      <c r="EZ156" s="488"/>
      <c r="FA156" s="488"/>
      <c r="FB156" s="488"/>
      <c r="FC156" s="488"/>
      <c r="FD156" s="488"/>
      <c r="FE156" s="488"/>
      <c r="FF156" s="488"/>
      <c r="FG156" s="488"/>
      <c r="FH156" s="488"/>
    </row>
    <row r="157" spans="1:164" ht="13.05" customHeight="1" x14ac:dyDescent="0.25">
      <c r="A157" t="str">
        <f>Nutrients!B156</f>
        <v>Ronozyme HiPhos 2700</v>
      </c>
      <c r="B157" s="106">
        <v>0.45</v>
      </c>
      <c r="C157" s="106">
        <v>0.45</v>
      </c>
      <c r="D157" s="106">
        <v>0.45</v>
      </c>
      <c r="E157" s="106">
        <v>0.45</v>
      </c>
      <c r="F157" s="106">
        <v>0.45</v>
      </c>
      <c r="G157" s="106">
        <v>0.45</v>
      </c>
      <c r="H157" s="106"/>
      <c r="I157" s="106">
        <v>0.45</v>
      </c>
      <c r="J157" s="106">
        <v>0.45</v>
      </c>
      <c r="K157" s="106">
        <v>0.45</v>
      </c>
      <c r="L157" s="106">
        <v>0.45</v>
      </c>
      <c r="M157" s="106">
        <v>0.45</v>
      </c>
      <c r="N157" s="106">
        <v>0.45</v>
      </c>
      <c r="O157" s="29"/>
      <c r="P157" s="106">
        <v>0.45</v>
      </c>
      <c r="Q157" s="106">
        <v>0.45</v>
      </c>
      <c r="R157" s="106">
        <v>0.45</v>
      </c>
      <c r="S157" s="106">
        <v>0.45</v>
      </c>
      <c r="T157" s="106">
        <v>0.45</v>
      </c>
      <c r="U157" s="106">
        <v>0.45</v>
      </c>
      <c r="V157" s="9"/>
      <c r="W157" s="106">
        <v>0.45</v>
      </c>
      <c r="X157" s="106">
        <v>0.45</v>
      </c>
      <c r="Y157" s="106">
        <v>0.45</v>
      </c>
      <c r="Z157" s="106">
        <v>0.45</v>
      </c>
      <c r="AA157" s="106">
        <v>0.45</v>
      </c>
      <c r="AB157" s="106">
        <v>0.45</v>
      </c>
      <c r="AC157" s="2"/>
      <c r="AD157" s="106">
        <v>0.45</v>
      </c>
      <c r="AE157" s="106">
        <v>0.45</v>
      </c>
      <c r="AF157" s="106">
        <v>0.45</v>
      </c>
      <c r="AG157" s="106">
        <v>0.45</v>
      </c>
      <c r="AH157" s="106">
        <v>0.45</v>
      </c>
      <c r="AI157" s="106">
        <v>0.45</v>
      </c>
      <c r="AJ157" s="2"/>
      <c r="AK157" s="106">
        <v>0.45</v>
      </c>
      <c r="AL157" s="106">
        <v>0.45</v>
      </c>
      <c r="AM157" s="106">
        <v>0.45</v>
      </c>
      <c r="AN157" s="106">
        <v>0.45</v>
      </c>
      <c r="AO157" s="106">
        <v>0.45</v>
      </c>
      <c r="AP157" s="106">
        <v>0.45</v>
      </c>
      <c r="AQ157" s="2"/>
      <c r="AR157" s="106">
        <v>0.45</v>
      </c>
      <c r="AS157" s="106">
        <v>0.45</v>
      </c>
      <c r="AT157" s="106">
        <v>0.45</v>
      </c>
      <c r="AU157" s="106">
        <v>0.45</v>
      </c>
      <c r="AV157" s="106">
        <v>0.45</v>
      </c>
      <c r="AW157" s="106">
        <v>0.45</v>
      </c>
      <c r="AX157" s="9"/>
      <c r="AY157" s="488"/>
      <c r="AZ157" s="488"/>
      <c r="BA157" s="488"/>
      <c r="BB157" s="488"/>
      <c r="BC157" s="488"/>
      <c r="BD157" s="488"/>
      <c r="BE157" s="488"/>
      <c r="BF157" s="488"/>
      <c r="BG157" s="488"/>
      <c r="BH157" s="488"/>
      <c r="BI157" s="488"/>
      <c r="BJ157" s="488"/>
      <c r="BK157" s="488"/>
      <c r="BL157" s="488"/>
      <c r="BM157" s="488"/>
      <c r="BN157" s="488"/>
      <c r="BO157" s="488"/>
      <c r="BP157" s="488"/>
      <c r="BQ157" s="488"/>
      <c r="BR157" s="488"/>
      <c r="BS157" s="488"/>
      <c r="BT157" s="488"/>
      <c r="BU157" s="488"/>
      <c r="BV157" s="488"/>
      <c r="BW157" s="488"/>
      <c r="BX157" s="488"/>
      <c r="BY157" s="488"/>
      <c r="BZ157" s="488"/>
      <c r="CA157" s="488"/>
      <c r="CB157" s="488"/>
      <c r="CC157" s="488"/>
      <c r="CD157" s="488"/>
      <c r="CE157" s="488"/>
      <c r="CF157" s="488"/>
      <c r="CG157" s="488"/>
      <c r="CH157" s="488"/>
      <c r="CI157" s="488"/>
      <c r="CJ157" s="488"/>
      <c r="CK157" s="488"/>
      <c r="CL157" s="488"/>
      <c r="CM157" s="488"/>
      <c r="CN157" s="488"/>
      <c r="CO157" s="488"/>
      <c r="CP157" s="488"/>
      <c r="CQ157" s="488"/>
      <c r="CR157" s="488"/>
      <c r="CS157" s="488"/>
      <c r="CT157" s="488"/>
      <c r="CU157" s="488"/>
      <c r="CV157" s="488"/>
      <c r="CW157" s="488"/>
      <c r="CX157" s="488"/>
      <c r="CY157" s="488"/>
      <c r="CZ157" s="488"/>
      <c r="DA157" s="488"/>
      <c r="DB157" s="488"/>
      <c r="DC157" s="488"/>
      <c r="DD157" s="488"/>
      <c r="DE157" s="488"/>
      <c r="DF157" s="488"/>
      <c r="DG157" s="488"/>
      <c r="DH157" s="488"/>
      <c r="DI157" s="488"/>
      <c r="DJ157" s="488"/>
      <c r="DK157" s="488"/>
      <c r="DL157" s="488"/>
      <c r="DM157" s="488"/>
      <c r="DN157" s="488"/>
      <c r="DO157" s="488"/>
      <c r="DP157" s="488"/>
      <c r="DQ157" s="488"/>
      <c r="DR157" s="488"/>
      <c r="DS157" s="488"/>
      <c r="DT157" s="488"/>
      <c r="DU157" s="488"/>
      <c r="DV157" s="488"/>
      <c r="DW157" s="488"/>
      <c r="DX157" s="488"/>
      <c r="DY157" s="488"/>
      <c r="DZ157" s="488"/>
      <c r="EA157" s="488"/>
      <c r="EB157" s="488"/>
      <c r="EC157" s="488"/>
      <c r="ED157" s="488"/>
      <c r="EE157" s="488"/>
      <c r="EF157" s="488"/>
      <c r="EG157" s="488"/>
      <c r="EH157" s="488"/>
      <c r="EI157" s="488"/>
      <c r="EJ157" s="488"/>
      <c r="EK157" s="488"/>
      <c r="EL157" s="488"/>
      <c r="EM157" s="488"/>
      <c r="EN157" s="488"/>
      <c r="EO157" s="488"/>
      <c r="EP157" s="488"/>
      <c r="EQ157" s="488"/>
      <c r="ER157" s="488"/>
      <c r="ES157" s="488"/>
      <c r="ET157" s="488"/>
      <c r="EU157" s="488"/>
      <c r="EV157" s="488"/>
      <c r="EW157" s="488"/>
      <c r="EX157" s="488"/>
      <c r="EY157" s="488"/>
      <c r="EZ157" s="488"/>
      <c r="FA157" s="488"/>
      <c r="FB157" s="488"/>
      <c r="FC157" s="488"/>
      <c r="FD157" s="488"/>
      <c r="FE157" s="488"/>
      <c r="FF157" s="488"/>
      <c r="FG157" s="488"/>
      <c r="FH157" s="488"/>
    </row>
    <row r="158" spans="1:164" ht="13.05" hidden="1" customHeight="1" x14ac:dyDescent="0.25">
      <c r="A158" t="str">
        <f>Nutrients!B157</f>
        <v>Zinc oxide</v>
      </c>
      <c r="B158" s="106"/>
      <c r="C158" s="106"/>
      <c r="D158" s="106"/>
      <c r="E158" s="106"/>
      <c r="F158" s="106"/>
      <c r="G158" s="106"/>
      <c r="H158" s="106"/>
      <c r="I158" s="106"/>
      <c r="J158" s="106"/>
      <c r="K158" s="106"/>
      <c r="L158" s="106"/>
      <c r="M158" s="106"/>
      <c r="N158" s="106"/>
      <c r="O158" s="29"/>
      <c r="P158" s="106"/>
      <c r="Q158" s="106"/>
      <c r="R158" s="106"/>
      <c r="S158" s="106"/>
      <c r="T158" s="106"/>
      <c r="U158" s="106"/>
      <c r="V158" s="9"/>
      <c r="W158" s="106"/>
      <c r="X158" s="106"/>
      <c r="Y158" s="106"/>
      <c r="Z158" s="106"/>
      <c r="AA158" s="106"/>
      <c r="AB158" s="106"/>
      <c r="AC158" s="2"/>
      <c r="AD158" s="106"/>
      <c r="AE158" s="106"/>
      <c r="AF158" s="106"/>
      <c r="AG158" s="106"/>
      <c r="AH158" s="106"/>
      <c r="AI158" s="106"/>
      <c r="AJ158" s="2"/>
      <c r="AK158" s="106"/>
      <c r="AL158" s="106"/>
      <c r="AM158" s="106"/>
      <c r="AN158" s="106"/>
      <c r="AO158" s="106"/>
      <c r="AP158" s="106"/>
      <c r="AQ158" s="2"/>
      <c r="AR158" s="106"/>
      <c r="AS158" s="106"/>
      <c r="AT158" s="106"/>
      <c r="AU158" s="106"/>
      <c r="AV158" s="106"/>
      <c r="AW158" s="106"/>
      <c r="AX158" s="9"/>
      <c r="AY158" s="488"/>
      <c r="AZ158" s="488"/>
      <c r="BA158" s="488"/>
      <c r="BB158" s="488"/>
      <c r="BC158" s="488"/>
      <c r="BD158" s="488"/>
      <c r="BE158" s="488"/>
      <c r="BF158" s="488"/>
      <c r="BG158" s="488"/>
      <c r="BH158" s="488"/>
      <c r="BI158" s="488"/>
      <c r="BJ158" s="488"/>
      <c r="BK158" s="488"/>
      <c r="BL158" s="488"/>
      <c r="BM158" s="488"/>
      <c r="BN158" s="488"/>
      <c r="BO158" s="488"/>
      <c r="BP158" s="488"/>
      <c r="BQ158" s="488"/>
      <c r="BR158" s="488"/>
      <c r="BS158" s="488"/>
      <c r="BT158" s="488"/>
      <c r="BU158" s="488"/>
      <c r="BV158" s="488"/>
      <c r="BW158" s="488"/>
      <c r="BX158" s="488"/>
      <c r="BY158" s="488"/>
      <c r="BZ158" s="488"/>
      <c r="CA158" s="488"/>
      <c r="CB158" s="488"/>
      <c r="CC158" s="488"/>
      <c r="CD158" s="488"/>
      <c r="CE158" s="488"/>
      <c r="CF158" s="488"/>
      <c r="CG158" s="488"/>
      <c r="CH158" s="488"/>
      <c r="CI158" s="488"/>
      <c r="CJ158" s="488"/>
      <c r="CK158" s="488"/>
      <c r="CL158" s="488"/>
      <c r="CM158" s="488"/>
      <c r="CN158" s="488"/>
      <c r="CO158" s="488"/>
      <c r="CP158" s="488"/>
      <c r="CQ158" s="488"/>
      <c r="CR158" s="488"/>
      <c r="CS158" s="488"/>
      <c r="CT158" s="488"/>
      <c r="CU158" s="488"/>
      <c r="CV158" s="488"/>
      <c r="CW158" s="488"/>
      <c r="CX158" s="488"/>
      <c r="CY158" s="488"/>
      <c r="CZ158" s="488"/>
      <c r="DA158" s="488"/>
      <c r="DB158" s="488"/>
      <c r="DC158" s="488"/>
      <c r="DD158" s="488"/>
      <c r="DE158" s="488"/>
      <c r="DF158" s="488"/>
      <c r="DG158" s="488"/>
      <c r="DH158" s="488"/>
      <c r="DI158" s="488"/>
      <c r="DJ158" s="488"/>
      <c r="DK158" s="488"/>
      <c r="DL158" s="488"/>
      <c r="DM158" s="488"/>
      <c r="DN158" s="488"/>
      <c r="DO158" s="488"/>
      <c r="DP158" s="488"/>
      <c r="DQ158" s="488"/>
      <c r="DR158" s="488"/>
      <c r="DS158" s="488"/>
      <c r="DT158" s="488"/>
      <c r="DU158" s="488"/>
      <c r="DV158" s="488"/>
      <c r="DW158" s="488"/>
      <c r="DX158" s="488"/>
      <c r="DY158" s="488"/>
      <c r="DZ158" s="488"/>
      <c r="EA158" s="488"/>
      <c r="EB158" s="488"/>
      <c r="EC158" s="488"/>
      <c r="ED158" s="488"/>
      <c r="EE158" s="488"/>
      <c r="EF158" s="488"/>
      <c r="EG158" s="488"/>
      <c r="EH158" s="488"/>
      <c r="EI158" s="488"/>
      <c r="EJ158" s="488"/>
      <c r="EK158" s="488"/>
      <c r="EL158" s="488"/>
      <c r="EM158" s="488"/>
      <c r="EN158" s="488"/>
      <c r="EO158" s="488"/>
      <c r="EP158" s="488"/>
      <c r="EQ158" s="488"/>
      <c r="ER158" s="488"/>
      <c r="ES158" s="488"/>
      <c r="ET158" s="488"/>
      <c r="EU158" s="488"/>
      <c r="EV158" s="488"/>
      <c r="EW158" s="488"/>
      <c r="EX158" s="488"/>
      <c r="EY158" s="488"/>
      <c r="EZ158" s="488"/>
      <c r="FA158" s="488"/>
      <c r="FB158" s="488"/>
      <c r="FC158" s="488"/>
      <c r="FD158" s="488"/>
      <c r="FE158" s="488"/>
      <c r="FF158" s="488"/>
      <c r="FG158" s="488"/>
      <c r="FH158" s="488"/>
    </row>
    <row r="159" spans="1:164" ht="13.05" hidden="1" customHeight="1" x14ac:dyDescent="0.25">
      <c r="A159" t="str">
        <f>Nutrients!B158</f>
        <v>Copper sulfate</v>
      </c>
      <c r="B159" s="106"/>
      <c r="C159" s="106"/>
      <c r="D159" s="106"/>
      <c r="E159" s="106"/>
      <c r="F159" s="106"/>
      <c r="G159" s="106"/>
      <c r="H159" s="106"/>
      <c r="I159" s="106"/>
      <c r="J159" s="106"/>
      <c r="K159" s="106"/>
      <c r="L159" s="106"/>
      <c r="M159" s="106"/>
      <c r="N159" s="106"/>
      <c r="O159" s="29"/>
      <c r="P159" s="106"/>
      <c r="Q159" s="106"/>
      <c r="R159" s="106"/>
      <c r="S159" s="106"/>
      <c r="T159" s="106"/>
      <c r="U159" s="106"/>
      <c r="V159" s="9"/>
      <c r="W159" s="106"/>
      <c r="X159" s="106"/>
      <c r="Y159" s="106"/>
      <c r="Z159" s="106"/>
      <c r="AA159" s="106"/>
      <c r="AB159" s="106"/>
      <c r="AC159" s="2"/>
      <c r="AD159" s="106"/>
      <c r="AE159" s="106"/>
      <c r="AF159" s="106"/>
      <c r="AG159" s="106"/>
      <c r="AH159" s="106"/>
      <c r="AI159" s="106"/>
      <c r="AJ159" s="2"/>
      <c r="AK159" s="106"/>
      <c r="AL159" s="106"/>
      <c r="AM159" s="106"/>
      <c r="AN159" s="106"/>
      <c r="AO159" s="106"/>
      <c r="AP159" s="106"/>
      <c r="AQ159" s="2"/>
      <c r="AR159" s="106"/>
      <c r="AS159" s="106"/>
      <c r="AT159" s="106"/>
      <c r="AU159" s="106"/>
      <c r="AV159" s="106"/>
      <c r="AW159" s="106"/>
      <c r="AX159" s="9"/>
      <c r="AY159" s="488"/>
      <c r="AZ159" s="488"/>
      <c r="BA159" s="488"/>
      <c r="BB159" s="488"/>
      <c r="BC159" s="488"/>
      <c r="BD159" s="488"/>
      <c r="BE159" s="488"/>
      <c r="BF159" s="488"/>
      <c r="BG159" s="488"/>
      <c r="BH159" s="488"/>
      <c r="BI159" s="488"/>
      <c r="BJ159" s="488"/>
      <c r="BK159" s="488"/>
      <c r="BL159" s="488"/>
      <c r="BM159" s="488"/>
      <c r="BN159" s="488"/>
      <c r="BO159" s="488"/>
      <c r="BP159" s="488"/>
      <c r="BQ159" s="488"/>
      <c r="BR159" s="488"/>
      <c r="BS159" s="488"/>
      <c r="BT159" s="488"/>
      <c r="BU159" s="488"/>
      <c r="BV159" s="488"/>
      <c r="BW159" s="488"/>
      <c r="BX159" s="488"/>
      <c r="BY159" s="488"/>
      <c r="BZ159" s="488"/>
      <c r="CA159" s="488"/>
      <c r="CB159" s="488"/>
      <c r="CC159" s="488"/>
      <c r="CD159" s="488"/>
      <c r="CE159" s="488"/>
      <c r="CF159" s="488"/>
      <c r="CG159" s="488"/>
      <c r="CH159" s="488"/>
      <c r="CI159" s="488"/>
      <c r="CJ159" s="488"/>
      <c r="CK159" s="488"/>
      <c r="CL159" s="488"/>
      <c r="CM159" s="488"/>
      <c r="CN159" s="488"/>
      <c r="CO159" s="488"/>
      <c r="CP159" s="488"/>
      <c r="CQ159" s="488"/>
      <c r="CR159" s="488"/>
      <c r="CS159" s="488"/>
      <c r="CT159" s="488"/>
      <c r="CU159" s="488"/>
      <c r="CV159" s="488"/>
      <c r="CW159" s="488"/>
      <c r="CX159" s="488"/>
      <c r="CY159" s="488"/>
      <c r="CZ159" s="488"/>
      <c r="DA159" s="488"/>
      <c r="DB159" s="488"/>
      <c r="DC159" s="488"/>
      <c r="DD159" s="488"/>
      <c r="DE159" s="488"/>
      <c r="DF159" s="488"/>
      <c r="DG159" s="488"/>
      <c r="DH159" s="488"/>
      <c r="DI159" s="488"/>
      <c r="DJ159" s="488"/>
      <c r="DK159" s="488"/>
      <c r="DL159" s="488"/>
      <c r="DM159" s="488"/>
      <c r="DN159" s="488"/>
      <c r="DO159" s="488"/>
      <c r="DP159" s="488"/>
      <c r="DQ159" s="488"/>
      <c r="DR159" s="488"/>
      <c r="DS159" s="488"/>
      <c r="DT159" s="488"/>
      <c r="DU159" s="488"/>
      <c r="DV159" s="488"/>
      <c r="DW159" s="488"/>
      <c r="DX159" s="488"/>
      <c r="DY159" s="488"/>
      <c r="DZ159" s="488"/>
      <c r="EA159" s="488"/>
      <c r="EB159" s="488"/>
      <c r="EC159" s="488"/>
      <c r="ED159" s="488"/>
      <c r="EE159" s="488"/>
      <c r="EF159" s="488"/>
      <c r="EG159" s="488"/>
      <c r="EH159" s="488"/>
      <c r="EI159" s="488"/>
      <c r="EJ159" s="488"/>
      <c r="EK159" s="488"/>
      <c r="EL159" s="488"/>
      <c r="EM159" s="488"/>
      <c r="EN159" s="488"/>
      <c r="EO159" s="488"/>
      <c r="EP159" s="488"/>
      <c r="EQ159" s="488"/>
      <c r="ER159" s="488"/>
      <c r="ES159" s="488"/>
      <c r="ET159" s="488"/>
      <c r="EU159" s="488"/>
      <c r="EV159" s="488"/>
      <c r="EW159" s="488"/>
      <c r="EX159" s="488"/>
      <c r="EY159" s="488"/>
      <c r="EZ159" s="488"/>
      <c r="FA159" s="488"/>
      <c r="FB159" s="488"/>
      <c r="FC159" s="488"/>
      <c r="FD159" s="488"/>
      <c r="FE159" s="488"/>
      <c r="FF159" s="488"/>
      <c r="FG159" s="488"/>
      <c r="FH159" s="488"/>
    </row>
    <row r="160" spans="1:164" ht="13.05" hidden="1" customHeight="1" x14ac:dyDescent="0.25">
      <c r="A160" t="str">
        <f>Nutrients!B159</f>
        <v>Potassium chloride</v>
      </c>
      <c r="B160" s="106"/>
      <c r="C160" s="106"/>
      <c r="D160" s="106"/>
      <c r="E160" s="106"/>
      <c r="F160" s="106"/>
      <c r="G160" s="106"/>
      <c r="H160" s="106"/>
      <c r="I160" s="106"/>
      <c r="J160" s="106"/>
      <c r="K160" s="106"/>
      <c r="L160" s="106"/>
      <c r="M160" s="106"/>
      <c r="N160" s="106"/>
      <c r="O160" s="29"/>
      <c r="P160" s="106"/>
      <c r="Q160" s="106"/>
      <c r="R160" s="106"/>
      <c r="S160" s="106"/>
      <c r="T160" s="106"/>
      <c r="U160" s="106"/>
      <c r="V160" s="9"/>
      <c r="W160" s="106"/>
      <c r="X160" s="106"/>
      <c r="Y160" s="106"/>
      <c r="Z160" s="106"/>
      <c r="AA160" s="106"/>
      <c r="AB160" s="106"/>
      <c r="AC160" s="2"/>
      <c r="AD160" s="106"/>
      <c r="AE160" s="106"/>
      <c r="AF160" s="106"/>
      <c r="AG160" s="106"/>
      <c r="AH160" s="106"/>
      <c r="AI160" s="106"/>
      <c r="AJ160" s="2"/>
      <c r="AK160" s="106"/>
      <c r="AL160" s="106"/>
      <c r="AM160" s="106"/>
      <c r="AN160" s="106"/>
      <c r="AO160" s="106"/>
      <c r="AP160" s="106"/>
      <c r="AQ160" s="2"/>
      <c r="AR160" s="106"/>
      <c r="AS160" s="106"/>
      <c r="AT160" s="106"/>
      <c r="AU160" s="106"/>
      <c r="AV160" s="106"/>
      <c r="AW160" s="106"/>
      <c r="AX160" s="9"/>
      <c r="AY160" s="488"/>
      <c r="AZ160" s="488"/>
      <c r="BA160" s="488"/>
      <c r="BB160" s="488"/>
      <c r="BC160" s="488"/>
      <c r="BD160" s="488"/>
      <c r="BE160" s="488"/>
      <c r="BF160" s="488"/>
      <c r="BG160" s="488"/>
      <c r="BH160" s="488"/>
      <c r="BI160" s="488"/>
      <c r="BJ160" s="488"/>
      <c r="BK160" s="488"/>
      <c r="BL160" s="488"/>
      <c r="BM160" s="488"/>
      <c r="BN160" s="488"/>
      <c r="BO160" s="488"/>
      <c r="BP160" s="488"/>
      <c r="BQ160" s="488"/>
      <c r="BR160" s="488"/>
      <c r="BS160" s="488"/>
      <c r="BT160" s="488"/>
      <c r="BU160" s="488"/>
      <c r="BV160" s="488"/>
      <c r="BW160" s="488"/>
      <c r="BX160" s="488"/>
      <c r="BY160" s="488"/>
      <c r="BZ160" s="488"/>
      <c r="CA160" s="488"/>
      <c r="CB160" s="488"/>
      <c r="CC160" s="488"/>
      <c r="CD160" s="488"/>
      <c r="CE160" s="488"/>
      <c r="CF160" s="488"/>
      <c r="CG160" s="488"/>
      <c r="CH160" s="488"/>
      <c r="CI160" s="488"/>
      <c r="CJ160" s="488"/>
      <c r="CK160" s="488"/>
      <c r="CL160" s="488"/>
      <c r="CM160" s="488"/>
      <c r="CN160" s="488"/>
      <c r="CO160" s="488"/>
      <c r="CP160" s="488"/>
      <c r="CQ160" s="488"/>
      <c r="CR160" s="488"/>
      <c r="CS160" s="488"/>
      <c r="CT160" s="488"/>
      <c r="CU160" s="488"/>
      <c r="CV160" s="488"/>
      <c r="CW160" s="488"/>
      <c r="CX160" s="488"/>
      <c r="CY160" s="488"/>
      <c r="CZ160" s="488"/>
      <c r="DA160" s="488"/>
      <c r="DB160" s="488"/>
      <c r="DC160" s="488"/>
      <c r="DD160" s="488"/>
      <c r="DE160" s="488"/>
      <c r="DF160" s="488"/>
      <c r="DG160" s="488"/>
      <c r="DH160" s="488"/>
      <c r="DI160" s="488"/>
      <c r="DJ160" s="488"/>
      <c r="DK160" s="488"/>
      <c r="DL160" s="488"/>
      <c r="DM160" s="488"/>
      <c r="DN160" s="488"/>
      <c r="DO160" s="488"/>
      <c r="DP160" s="488"/>
      <c r="DQ160" s="488"/>
      <c r="DR160" s="488"/>
      <c r="DS160" s="488"/>
      <c r="DT160" s="488"/>
      <c r="DU160" s="488"/>
      <c r="DV160" s="488"/>
      <c r="DW160" s="488"/>
      <c r="DX160" s="488"/>
      <c r="DY160" s="488"/>
      <c r="DZ160" s="488"/>
      <c r="EA160" s="488"/>
      <c r="EB160" s="488"/>
      <c r="EC160" s="488"/>
      <c r="ED160" s="488"/>
      <c r="EE160" s="488"/>
      <c r="EF160" s="488"/>
      <c r="EG160" s="488"/>
      <c r="EH160" s="488"/>
      <c r="EI160" s="488"/>
      <c r="EJ160" s="488"/>
      <c r="EK160" s="488"/>
      <c r="EL160" s="488"/>
      <c r="EM160" s="488"/>
      <c r="EN160" s="488"/>
      <c r="EO160" s="488"/>
      <c r="EP160" s="488"/>
      <c r="EQ160" s="488"/>
      <c r="ER160" s="488"/>
      <c r="ES160" s="488"/>
      <c r="ET160" s="488"/>
      <c r="EU160" s="488"/>
      <c r="EV160" s="488"/>
      <c r="EW160" s="488"/>
      <c r="EX160" s="488"/>
      <c r="EY160" s="488"/>
      <c r="EZ160" s="488"/>
      <c r="FA160" s="488"/>
      <c r="FB160" s="488"/>
      <c r="FC160" s="488"/>
      <c r="FD160" s="488"/>
      <c r="FE160" s="488"/>
      <c r="FF160" s="488"/>
      <c r="FG160" s="488"/>
      <c r="FH160" s="488"/>
    </row>
    <row r="161" spans="1:164" ht="13.05" hidden="1" customHeight="1" x14ac:dyDescent="0.25">
      <c r="A161" t="str">
        <f>Nutrients!B160</f>
        <v>Calcium chloride</v>
      </c>
      <c r="B161" s="106"/>
      <c r="C161" s="106"/>
      <c r="D161" s="106"/>
      <c r="E161" s="106"/>
      <c r="F161" s="106"/>
      <c r="G161" s="106"/>
      <c r="H161" s="106"/>
      <c r="I161" s="106"/>
      <c r="J161" s="106"/>
      <c r="K161" s="106"/>
      <c r="L161" s="106"/>
      <c r="M161" s="106"/>
      <c r="N161" s="106"/>
      <c r="O161" s="29"/>
      <c r="P161" s="106"/>
      <c r="Q161" s="106"/>
      <c r="R161" s="106"/>
      <c r="S161" s="106"/>
      <c r="T161" s="106"/>
      <c r="U161" s="106"/>
      <c r="V161" s="9"/>
      <c r="W161" s="106"/>
      <c r="X161" s="106"/>
      <c r="Y161" s="106"/>
      <c r="Z161" s="106"/>
      <c r="AA161" s="106"/>
      <c r="AB161" s="106"/>
      <c r="AC161" s="2"/>
      <c r="AD161" s="106"/>
      <c r="AE161" s="106"/>
      <c r="AF161" s="106"/>
      <c r="AG161" s="106"/>
      <c r="AH161" s="106"/>
      <c r="AI161" s="106"/>
      <c r="AJ161" s="2"/>
      <c r="AK161" s="106"/>
      <c r="AL161" s="106"/>
      <c r="AM161" s="106"/>
      <c r="AN161" s="106"/>
      <c r="AO161" s="106"/>
      <c r="AP161" s="106"/>
      <c r="AQ161" s="2"/>
      <c r="AR161" s="106"/>
      <c r="AS161" s="106"/>
      <c r="AT161" s="106"/>
      <c r="AU161" s="106"/>
      <c r="AV161" s="106"/>
      <c r="AW161" s="106"/>
      <c r="AX161" s="9"/>
      <c r="AY161" s="488"/>
      <c r="AZ161" s="488"/>
      <c r="BA161" s="488"/>
      <c r="BB161" s="488"/>
      <c r="BC161" s="488"/>
      <c r="BD161" s="488"/>
      <c r="BE161" s="488"/>
      <c r="BF161" s="488"/>
      <c r="BG161" s="488"/>
      <c r="BH161" s="488"/>
      <c r="BI161" s="488"/>
      <c r="BJ161" s="488"/>
      <c r="BK161" s="488"/>
      <c r="BL161" s="488"/>
      <c r="BM161" s="488"/>
      <c r="BN161" s="488"/>
      <c r="BO161" s="488"/>
      <c r="BP161" s="488"/>
      <c r="BQ161" s="488"/>
      <c r="BR161" s="488"/>
      <c r="BS161" s="488"/>
      <c r="BT161" s="488"/>
      <c r="BU161" s="488"/>
      <c r="BV161" s="488"/>
      <c r="BW161" s="488"/>
      <c r="BX161" s="488"/>
      <c r="BY161" s="488"/>
      <c r="BZ161" s="488"/>
      <c r="CA161" s="488"/>
      <c r="CB161" s="488"/>
      <c r="CC161" s="488"/>
      <c r="CD161" s="488"/>
      <c r="CE161" s="488"/>
      <c r="CF161" s="488"/>
      <c r="CG161" s="488"/>
      <c r="CH161" s="488"/>
      <c r="CI161" s="488"/>
      <c r="CJ161" s="488"/>
      <c r="CK161" s="488"/>
      <c r="CL161" s="488"/>
      <c r="CM161" s="488"/>
      <c r="CN161" s="488"/>
      <c r="CO161" s="488"/>
      <c r="CP161" s="488"/>
      <c r="CQ161" s="488"/>
      <c r="CR161" s="488"/>
      <c r="CS161" s="488"/>
      <c r="CT161" s="488"/>
      <c r="CU161" s="488"/>
      <c r="CV161" s="488"/>
      <c r="CW161" s="488"/>
      <c r="CX161" s="488"/>
      <c r="CY161" s="488"/>
      <c r="CZ161" s="488"/>
      <c r="DA161" s="488"/>
      <c r="DB161" s="488"/>
      <c r="DC161" s="488"/>
      <c r="DD161" s="488"/>
      <c r="DE161" s="488"/>
      <c r="DF161" s="488"/>
      <c r="DG161" s="488"/>
      <c r="DH161" s="488"/>
      <c r="DI161" s="488"/>
      <c r="DJ161" s="488"/>
      <c r="DK161" s="488"/>
      <c r="DL161" s="488"/>
      <c r="DM161" s="488"/>
      <c r="DN161" s="488"/>
      <c r="DO161" s="488"/>
      <c r="DP161" s="488"/>
      <c r="DQ161" s="488"/>
      <c r="DR161" s="488"/>
      <c r="DS161" s="488"/>
      <c r="DT161" s="488"/>
      <c r="DU161" s="488"/>
      <c r="DV161" s="488"/>
      <c r="DW161" s="488"/>
      <c r="DX161" s="488"/>
      <c r="DY161" s="488"/>
      <c r="DZ161" s="488"/>
      <c r="EA161" s="488"/>
      <c r="EB161" s="488"/>
      <c r="EC161" s="488"/>
      <c r="ED161" s="488"/>
      <c r="EE161" s="488"/>
      <c r="EF161" s="488"/>
      <c r="EG161" s="488"/>
      <c r="EH161" s="488"/>
      <c r="EI161" s="488"/>
      <c r="EJ161" s="488"/>
      <c r="EK161" s="488"/>
      <c r="EL161" s="488"/>
      <c r="EM161" s="488"/>
      <c r="EN161" s="488"/>
      <c r="EO161" s="488"/>
      <c r="EP161" s="488"/>
      <c r="EQ161" s="488"/>
      <c r="ER161" s="488"/>
      <c r="ES161" s="488"/>
      <c r="ET161" s="488"/>
      <c r="EU161" s="488"/>
      <c r="EV161" s="488"/>
      <c r="EW161" s="488"/>
      <c r="EX161" s="488"/>
      <c r="EY161" s="488"/>
      <c r="EZ161" s="488"/>
      <c r="FA161" s="488"/>
      <c r="FB161" s="488"/>
      <c r="FC161" s="488"/>
      <c r="FD161" s="488"/>
      <c r="FE161" s="488"/>
      <c r="FF161" s="488"/>
      <c r="FG161" s="488"/>
      <c r="FH161" s="488"/>
    </row>
    <row r="162" spans="1:164" ht="13.05" hidden="1" customHeight="1" x14ac:dyDescent="0.25">
      <c r="A162" t="str">
        <f>Nutrients!B161</f>
        <v>Acidifier</v>
      </c>
      <c r="B162" s="106"/>
      <c r="C162" s="106"/>
      <c r="D162" s="106"/>
      <c r="E162" s="106"/>
      <c r="F162" s="106"/>
      <c r="G162" s="106"/>
      <c r="H162" s="106"/>
      <c r="I162" s="106"/>
      <c r="J162" s="106"/>
      <c r="K162" s="106"/>
      <c r="L162" s="106"/>
      <c r="M162" s="106"/>
      <c r="N162" s="106"/>
      <c r="O162" s="29"/>
      <c r="P162" s="106"/>
      <c r="Q162" s="106"/>
      <c r="R162" s="106"/>
      <c r="S162" s="106"/>
      <c r="T162" s="106"/>
      <c r="U162" s="106"/>
      <c r="V162" s="9"/>
      <c r="W162" s="106"/>
      <c r="X162" s="106"/>
      <c r="Y162" s="106"/>
      <c r="Z162" s="106"/>
      <c r="AA162" s="106"/>
      <c r="AB162" s="106"/>
      <c r="AC162" s="2"/>
      <c r="AD162" s="106"/>
      <c r="AE162" s="106"/>
      <c r="AF162" s="106"/>
      <c r="AG162" s="106"/>
      <c r="AH162" s="106"/>
      <c r="AI162" s="106"/>
      <c r="AJ162" s="2"/>
      <c r="AK162" s="106"/>
      <c r="AL162" s="106"/>
      <c r="AM162" s="106"/>
      <c r="AN162" s="106"/>
      <c r="AO162" s="106"/>
      <c r="AP162" s="106"/>
      <c r="AQ162" s="2"/>
      <c r="AR162" s="106"/>
      <c r="AS162" s="106"/>
      <c r="AT162" s="106"/>
      <c r="AU162" s="106"/>
      <c r="AV162" s="106"/>
      <c r="AW162" s="106"/>
      <c r="AX162" s="9"/>
      <c r="AY162" s="488"/>
      <c r="AZ162" s="488"/>
      <c r="BA162" s="488"/>
      <c r="BB162" s="488"/>
      <c r="BC162" s="488"/>
      <c r="BD162" s="488"/>
      <c r="BE162" s="488"/>
      <c r="BF162" s="488"/>
      <c r="BG162" s="488"/>
      <c r="BH162" s="488"/>
      <c r="BI162" s="488"/>
      <c r="BJ162" s="488"/>
      <c r="BK162" s="488"/>
      <c r="BL162" s="488"/>
      <c r="BM162" s="488"/>
      <c r="BN162" s="488"/>
      <c r="BO162" s="488"/>
      <c r="BP162" s="488"/>
      <c r="BQ162" s="488"/>
      <c r="BR162" s="488"/>
      <c r="BS162" s="488"/>
      <c r="BT162" s="488"/>
      <c r="BU162" s="488"/>
      <c r="BV162" s="488"/>
      <c r="BW162" s="488"/>
      <c r="BX162" s="488"/>
      <c r="BY162" s="488"/>
      <c r="BZ162" s="488"/>
      <c r="CA162" s="488"/>
      <c r="CB162" s="488"/>
      <c r="CC162" s="488"/>
      <c r="CD162" s="488"/>
      <c r="CE162" s="488"/>
      <c r="CF162" s="488"/>
      <c r="CG162" s="488"/>
      <c r="CH162" s="488"/>
      <c r="CI162" s="488"/>
      <c r="CJ162" s="488"/>
      <c r="CK162" s="488"/>
      <c r="CL162" s="488"/>
      <c r="CM162" s="488"/>
      <c r="CN162" s="488"/>
      <c r="CO162" s="488"/>
      <c r="CP162" s="488"/>
      <c r="CQ162" s="488"/>
      <c r="CR162" s="488"/>
      <c r="CS162" s="488"/>
      <c r="CT162" s="488"/>
      <c r="CU162" s="488"/>
      <c r="CV162" s="488"/>
      <c r="CW162" s="488"/>
      <c r="CX162" s="488"/>
      <c r="CY162" s="488"/>
      <c r="CZ162" s="488"/>
      <c r="DA162" s="488"/>
      <c r="DB162" s="488"/>
      <c r="DC162" s="488"/>
      <c r="DD162" s="488"/>
      <c r="DE162" s="488"/>
      <c r="DF162" s="488"/>
      <c r="DG162" s="488"/>
      <c r="DH162" s="488"/>
      <c r="DI162" s="488"/>
      <c r="DJ162" s="488"/>
      <c r="DK162" s="488"/>
      <c r="DL162" s="488"/>
      <c r="DM162" s="488"/>
      <c r="DN162" s="488"/>
      <c r="DO162" s="488"/>
      <c r="DP162" s="488"/>
      <c r="DQ162" s="488"/>
      <c r="DR162" s="488"/>
      <c r="DS162" s="488"/>
      <c r="DT162" s="488"/>
      <c r="DU162" s="488"/>
      <c r="DV162" s="488"/>
      <c r="DW162" s="488"/>
      <c r="DX162" s="488"/>
      <c r="DY162" s="488"/>
      <c r="DZ162" s="488"/>
      <c r="EA162" s="488"/>
      <c r="EB162" s="488"/>
      <c r="EC162" s="488"/>
      <c r="ED162" s="488"/>
      <c r="EE162" s="488"/>
      <c r="EF162" s="488"/>
      <c r="EG162" s="488"/>
      <c r="EH162" s="488"/>
      <c r="EI162" s="488"/>
      <c r="EJ162" s="488"/>
      <c r="EK162" s="488"/>
      <c r="EL162" s="488"/>
      <c r="EM162" s="488"/>
      <c r="EN162" s="488"/>
      <c r="EO162" s="488"/>
      <c r="EP162" s="488"/>
      <c r="EQ162" s="488"/>
      <c r="ER162" s="488"/>
      <c r="ES162" s="488"/>
      <c r="ET162" s="488"/>
      <c r="EU162" s="488"/>
      <c r="EV162" s="488"/>
      <c r="EW162" s="488"/>
      <c r="EX162" s="488"/>
      <c r="EY162" s="488"/>
      <c r="EZ162" s="488"/>
      <c r="FA162" s="488"/>
      <c r="FB162" s="488"/>
      <c r="FC162" s="488"/>
      <c r="FD162" s="488"/>
      <c r="FE162" s="488"/>
      <c r="FF162" s="488"/>
      <c r="FG162" s="488"/>
      <c r="FH162" s="488"/>
    </row>
    <row r="163" spans="1:164" ht="13.05" hidden="1" customHeight="1" x14ac:dyDescent="0.25">
      <c r="A163" t="str">
        <f>Nutrients!B162</f>
        <v>Vitamin E, 20,000 IU</v>
      </c>
      <c r="B163" s="106"/>
      <c r="C163" s="106"/>
      <c r="D163" s="106"/>
      <c r="E163" s="106"/>
      <c r="F163" s="106"/>
      <c r="G163" s="106"/>
      <c r="H163" s="106"/>
      <c r="I163" s="106"/>
      <c r="J163" s="106"/>
      <c r="K163" s="106"/>
      <c r="L163" s="106"/>
      <c r="M163" s="106"/>
      <c r="N163" s="106"/>
      <c r="O163" s="29"/>
      <c r="P163" s="106"/>
      <c r="Q163" s="106"/>
      <c r="R163" s="106"/>
      <c r="S163" s="106"/>
      <c r="T163" s="106"/>
      <c r="U163" s="106"/>
      <c r="V163" s="9"/>
      <c r="W163" s="106"/>
      <c r="X163" s="106"/>
      <c r="Y163" s="106"/>
      <c r="Z163" s="106"/>
      <c r="AA163" s="106"/>
      <c r="AB163" s="106"/>
      <c r="AC163" s="2"/>
      <c r="AD163" s="106"/>
      <c r="AE163" s="106"/>
      <c r="AF163" s="106"/>
      <c r="AG163" s="106"/>
      <c r="AH163" s="106"/>
      <c r="AI163" s="106"/>
      <c r="AJ163" s="2"/>
      <c r="AK163" s="106"/>
      <c r="AL163" s="106"/>
      <c r="AM163" s="106"/>
      <c r="AN163" s="106"/>
      <c r="AO163" s="106"/>
      <c r="AP163" s="106"/>
      <c r="AQ163" s="2"/>
      <c r="AR163" s="106"/>
      <c r="AS163" s="106"/>
      <c r="AT163" s="106"/>
      <c r="AU163" s="106"/>
      <c r="AV163" s="106"/>
      <c r="AW163" s="106"/>
      <c r="AX163" s="9"/>
      <c r="AY163" s="488"/>
      <c r="AZ163" s="488"/>
      <c r="BA163" s="488"/>
      <c r="BB163" s="488"/>
      <c r="BC163" s="488"/>
      <c r="BD163" s="488"/>
      <c r="BE163" s="488"/>
      <c r="BF163" s="488"/>
      <c r="BG163" s="488"/>
      <c r="BH163" s="488"/>
      <c r="BI163" s="488"/>
      <c r="BJ163" s="488"/>
      <c r="BK163" s="488"/>
      <c r="BL163" s="488"/>
      <c r="BM163" s="488"/>
      <c r="BN163" s="488"/>
      <c r="BO163" s="488"/>
      <c r="BP163" s="488"/>
      <c r="BQ163" s="488"/>
      <c r="BR163" s="488"/>
      <c r="BS163" s="488"/>
      <c r="BT163" s="488"/>
      <c r="BU163" s="488"/>
      <c r="BV163" s="488"/>
      <c r="BW163" s="488"/>
      <c r="BX163" s="488"/>
      <c r="BY163" s="488"/>
      <c r="BZ163" s="488"/>
      <c r="CA163" s="488"/>
      <c r="CB163" s="488"/>
      <c r="CC163" s="488"/>
      <c r="CD163" s="488"/>
      <c r="CE163" s="488"/>
      <c r="CF163" s="488"/>
      <c r="CG163" s="488"/>
      <c r="CH163" s="488"/>
      <c r="CI163" s="488"/>
      <c r="CJ163" s="488"/>
      <c r="CK163" s="488"/>
      <c r="CL163" s="488"/>
      <c r="CM163" s="488"/>
      <c r="CN163" s="488"/>
      <c r="CO163" s="488"/>
      <c r="CP163" s="488"/>
      <c r="CQ163" s="488"/>
      <c r="CR163" s="488"/>
      <c r="CS163" s="488"/>
      <c r="CT163" s="488"/>
      <c r="CU163" s="488"/>
      <c r="CV163" s="488"/>
      <c r="CW163" s="488"/>
      <c r="CX163" s="488"/>
      <c r="CY163" s="488"/>
      <c r="CZ163" s="488"/>
      <c r="DA163" s="488"/>
      <c r="DB163" s="488"/>
      <c r="DC163" s="488"/>
      <c r="DD163" s="488"/>
      <c r="DE163" s="488"/>
      <c r="DF163" s="488"/>
      <c r="DG163" s="488"/>
      <c r="DH163" s="488"/>
      <c r="DI163" s="488"/>
      <c r="DJ163" s="488"/>
      <c r="DK163" s="488"/>
      <c r="DL163" s="488"/>
      <c r="DM163" s="488"/>
      <c r="DN163" s="488"/>
      <c r="DO163" s="488"/>
      <c r="DP163" s="488"/>
      <c r="DQ163" s="488"/>
      <c r="DR163" s="488"/>
      <c r="DS163" s="488"/>
      <c r="DT163" s="488"/>
      <c r="DU163" s="488"/>
      <c r="DV163" s="488"/>
      <c r="DW163" s="488"/>
      <c r="DX163" s="488"/>
      <c r="DY163" s="488"/>
      <c r="DZ163" s="488"/>
      <c r="EA163" s="488"/>
      <c r="EB163" s="488"/>
      <c r="EC163" s="488"/>
      <c r="ED163" s="488"/>
      <c r="EE163" s="488"/>
      <c r="EF163" s="488"/>
      <c r="EG163" s="488"/>
      <c r="EH163" s="488"/>
      <c r="EI163" s="488"/>
      <c r="EJ163" s="488"/>
      <c r="EK163" s="488"/>
      <c r="EL163" s="488"/>
      <c r="EM163" s="488"/>
      <c r="EN163" s="488"/>
      <c r="EO163" s="488"/>
      <c r="EP163" s="488"/>
      <c r="EQ163" s="488"/>
      <c r="ER163" s="488"/>
      <c r="ES163" s="488"/>
      <c r="ET163" s="488"/>
      <c r="EU163" s="488"/>
      <c r="EV163" s="488"/>
      <c r="EW163" s="488"/>
      <c r="EX163" s="488"/>
      <c r="EY163" s="488"/>
      <c r="EZ163" s="488"/>
      <c r="FA163" s="488"/>
      <c r="FB163" s="488"/>
      <c r="FC163" s="488"/>
      <c r="FD163" s="488"/>
      <c r="FE163" s="488"/>
      <c r="FF163" s="488"/>
      <c r="FG163" s="488"/>
      <c r="FH163" s="488"/>
    </row>
    <row r="164" spans="1:164" ht="13.05" hidden="1" customHeight="1" x14ac:dyDescent="0.25">
      <c r="A164" t="str">
        <f>Nutrients!B163</f>
        <v>Other ingredient</v>
      </c>
      <c r="B164" s="106"/>
      <c r="C164" s="106"/>
      <c r="D164" s="106"/>
      <c r="E164" s="106"/>
      <c r="F164" s="106"/>
      <c r="G164" s="106"/>
      <c r="H164" s="106"/>
      <c r="I164" s="106"/>
      <c r="J164" s="106"/>
      <c r="K164" s="106"/>
      <c r="L164" s="106"/>
      <c r="M164" s="106"/>
      <c r="N164" s="106"/>
      <c r="O164" s="29"/>
      <c r="P164" s="106"/>
      <c r="Q164" s="106"/>
      <c r="R164" s="106"/>
      <c r="S164" s="106"/>
      <c r="T164" s="106"/>
      <c r="U164" s="106"/>
      <c r="V164" s="9"/>
      <c r="W164" s="106"/>
      <c r="X164" s="106"/>
      <c r="Y164" s="106"/>
      <c r="Z164" s="106"/>
      <c r="AA164" s="106"/>
      <c r="AB164" s="106"/>
      <c r="AC164" s="2"/>
      <c r="AD164" s="106"/>
      <c r="AE164" s="106"/>
      <c r="AF164" s="106"/>
      <c r="AG164" s="106"/>
      <c r="AH164" s="106"/>
      <c r="AI164" s="106"/>
      <c r="AJ164" s="2"/>
      <c r="AK164" s="106"/>
      <c r="AL164" s="106"/>
      <c r="AM164" s="106"/>
      <c r="AN164" s="106"/>
      <c r="AO164" s="106"/>
      <c r="AP164" s="106"/>
      <c r="AQ164" s="2"/>
      <c r="AR164" s="106"/>
      <c r="AS164" s="106"/>
      <c r="AT164" s="106"/>
      <c r="AU164" s="106"/>
      <c r="AV164" s="106"/>
      <c r="AW164" s="106"/>
      <c r="AX164" s="9"/>
      <c r="AY164" s="488"/>
      <c r="AZ164" s="488"/>
      <c r="BA164" s="488"/>
      <c r="BB164" s="488"/>
      <c r="BC164" s="488"/>
      <c r="BD164" s="488"/>
      <c r="BE164" s="488"/>
      <c r="BF164" s="488"/>
      <c r="BG164" s="488"/>
      <c r="BH164" s="488"/>
      <c r="BI164" s="488"/>
      <c r="BJ164" s="488"/>
      <c r="BK164" s="488"/>
      <c r="BL164" s="488"/>
      <c r="BM164" s="488"/>
      <c r="BN164" s="488"/>
      <c r="BO164" s="488"/>
      <c r="BP164" s="488"/>
      <c r="BQ164" s="488"/>
      <c r="BR164" s="488"/>
      <c r="BS164" s="488"/>
      <c r="BT164" s="488"/>
      <c r="BU164" s="488"/>
      <c r="BV164" s="488"/>
      <c r="BW164" s="488"/>
      <c r="BX164" s="488"/>
      <c r="BY164" s="488"/>
      <c r="BZ164" s="488"/>
      <c r="CA164" s="488"/>
      <c r="CB164" s="488"/>
      <c r="CC164" s="488"/>
      <c r="CD164" s="488"/>
      <c r="CE164" s="488"/>
      <c r="CF164" s="488"/>
      <c r="CG164" s="488"/>
      <c r="CH164" s="488"/>
      <c r="CI164" s="488"/>
      <c r="CJ164" s="488"/>
      <c r="CK164" s="488"/>
      <c r="CL164" s="488"/>
      <c r="CM164" s="488"/>
      <c r="CN164" s="488"/>
      <c r="CO164" s="488"/>
      <c r="CP164" s="488"/>
      <c r="CQ164" s="488"/>
      <c r="CR164" s="488"/>
      <c r="CS164" s="488"/>
      <c r="CT164" s="488"/>
      <c r="CU164" s="488"/>
      <c r="CV164" s="488"/>
      <c r="CW164" s="488"/>
      <c r="CX164" s="488"/>
      <c r="CY164" s="488"/>
      <c r="CZ164" s="488"/>
      <c r="DA164" s="488"/>
      <c r="DB164" s="488"/>
      <c r="DC164" s="488"/>
      <c r="DD164" s="488"/>
      <c r="DE164" s="488"/>
      <c r="DF164" s="488"/>
      <c r="DG164" s="488"/>
      <c r="DH164" s="488"/>
      <c r="DI164" s="488"/>
      <c r="DJ164" s="488"/>
      <c r="DK164" s="488"/>
      <c r="DL164" s="488"/>
      <c r="DM164" s="488"/>
      <c r="DN164" s="488"/>
      <c r="DO164" s="488"/>
      <c r="DP164" s="488"/>
      <c r="DQ164" s="488"/>
      <c r="DR164" s="488"/>
      <c r="DS164" s="488"/>
      <c r="DT164" s="488"/>
      <c r="DU164" s="488"/>
      <c r="DV164" s="488"/>
      <c r="DW164" s="488"/>
      <c r="DX164" s="488"/>
      <c r="DY164" s="488"/>
      <c r="DZ164" s="488"/>
      <c r="EA164" s="488"/>
      <c r="EB164" s="488"/>
      <c r="EC164" s="488"/>
      <c r="ED164" s="488"/>
      <c r="EE164" s="488"/>
      <c r="EF164" s="488"/>
      <c r="EG164" s="488"/>
      <c r="EH164" s="488"/>
      <c r="EI164" s="488"/>
      <c r="EJ164" s="488"/>
      <c r="EK164" s="488"/>
      <c r="EL164" s="488"/>
      <c r="EM164" s="488"/>
      <c r="EN164" s="488"/>
      <c r="EO164" s="488"/>
      <c r="EP164" s="488"/>
      <c r="EQ164" s="488"/>
      <c r="ER164" s="488"/>
      <c r="ES164" s="488"/>
      <c r="ET164" s="488"/>
      <c r="EU164" s="488"/>
      <c r="EV164" s="488"/>
      <c r="EW164" s="488"/>
      <c r="EX164" s="488"/>
      <c r="EY164" s="488"/>
      <c r="EZ164" s="488"/>
      <c r="FA164" s="488"/>
      <c r="FB164" s="488"/>
      <c r="FC164" s="488"/>
      <c r="FD164" s="488"/>
      <c r="FE164" s="488"/>
      <c r="FF164" s="488"/>
      <c r="FG164" s="488"/>
      <c r="FH164" s="488"/>
    </row>
    <row r="165" spans="1:164" ht="13.05" hidden="1" customHeight="1" x14ac:dyDescent="0.25">
      <c r="A165" t="str">
        <f>Nutrients!B164</f>
        <v>DPS 50</v>
      </c>
      <c r="B165" s="106"/>
      <c r="C165" s="106"/>
      <c r="D165" s="106"/>
      <c r="E165" s="106"/>
      <c r="F165" s="106"/>
      <c r="G165" s="106"/>
      <c r="H165" s="106"/>
      <c r="I165" s="106"/>
      <c r="J165" s="106"/>
      <c r="K165" s="106"/>
      <c r="L165" s="106"/>
      <c r="M165" s="106"/>
      <c r="N165" s="106"/>
      <c r="O165" s="29"/>
      <c r="P165" s="106"/>
      <c r="Q165" s="106"/>
      <c r="R165" s="106"/>
      <c r="S165" s="106"/>
      <c r="T165" s="106"/>
      <c r="U165" s="106"/>
      <c r="V165" s="9"/>
      <c r="W165" s="106"/>
      <c r="X165" s="106"/>
      <c r="Y165" s="106"/>
      <c r="Z165" s="106"/>
      <c r="AA165" s="106"/>
      <c r="AB165" s="106"/>
      <c r="AC165" s="2"/>
      <c r="AD165" s="106"/>
      <c r="AE165" s="106"/>
      <c r="AF165" s="106"/>
      <c r="AG165" s="106"/>
      <c r="AH165" s="106"/>
      <c r="AI165" s="106"/>
      <c r="AJ165" s="2"/>
      <c r="AK165" s="106"/>
      <c r="AL165" s="106"/>
      <c r="AM165" s="106"/>
      <c r="AN165" s="106"/>
      <c r="AO165" s="106"/>
      <c r="AP165" s="106"/>
      <c r="AQ165" s="2"/>
      <c r="AR165" s="106"/>
      <c r="AS165" s="106"/>
      <c r="AT165" s="106"/>
      <c r="AU165" s="106"/>
      <c r="AV165" s="106"/>
      <c r="AW165" s="106"/>
      <c r="AX165" s="9"/>
      <c r="AY165" s="488"/>
      <c r="AZ165" s="488"/>
      <c r="BA165" s="488"/>
      <c r="BB165" s="488"/>
      <c r="BC165" s="488"/>
      <c r="BD165" s="488"/>
      <c r="BE165" s="488"/>
      <c r="BF165" s="488"/>
      <c r="BG165" s="488"/>
      <c r="BH165" s="488"/>
      <c r="BI165" s="488"/>
      <c r="BJ165" s="488"/>
      <c r="BK165" s="488"/>
      <c r="BL165" s="488"/>
      <c r="BM165" s="488"/>
      <c r="BN165" s="488"/>
      <c r="BO165" s="488"/>
      <c r="BP165" s="488"/>
      <c r="BQ165" s="488"/>
      <c r="BR165" s="488"/>
      <c r="BS165" s="488"/>
      <c r="BT165" s="488"/>
      <c r="BU165" s="488"/>
      <c r="BV165" s="488"/>
      <c r="BW165" s="488"/>
      <c r="BX165" s="488"/>
      <c r="BY165" s="488"/>
      <c r="BZ165" s="488"/>
      <c r="CA165" s="488"/>
      <c r="CB165" s="488"/>
      <c r="CC165" s="488"/>
      <c r="CD165" s="488"/>
      <c r="CE165" s="488"/>
      <c r="CF165" s="488"/>
      <c r="CG165" s="488"/>
      <c r="CH165" s="488"/>
      <c r="CI165" s="488"/>
      <c r="CJ165" s="488"/>
      <c r="CK165" s="488"/>
      <c r="CL165" s="488"/>
      <c r="CM165" s="488"/>
      <c r="CN165" s="488"/>
      <c r="CO165" s="488"/>
      <c r="CP165" s="488"/>
      <c r="CQ165" s="488"/>
      <c r="CR165" s="488"/>
      <c r="CS165" s="488"/>
      <c r="CT165" s="488"/>
      <c r="CU165" s="488"/>
      <c r="CV165" s="488"/>
      <c r="CW165" s="488"/>
      <c r="CX165" s="488"/>
      <c r="CY165" s="488"/>
      <c r="CZ165" s="488"/>
      <c r="DA165" s="488"/>
      <c r="DB165" s="488"/>
      <c r="DC165" s="488"/>
      <c r="DD165" s="488"/>
      <c r="DE165" s="488"/>
      <c r="DF165" s="488"/>
      <c r="DG165" s="488"/>
      <c r="DH165" s="488"/>
      <c r="DI165" s="488"/>
      <c r="DJ165" s="488"/>
      <c r="DK165" s="488"/>
      <c r="DL165" s="488"/>
      <c r="DM165" s="488"/>
      <c r="DN165" s="488"/>
      <c r="DO165" s="488"/>
      <c r="DP165" s="488"/>
      <c r="DQ165" s="488"/>
      <c r="DR165" s="488"/>
      <c r="DS165" s="488"/>
      <c r="DT165" s="488"/>
      <c r="DU165" s="488"/>
      <c r="DV165" s="488"/>
      <c r="DW165" s="488"/>
      <c r="DX165" s="488"/>
      <c r="DY165" s="488"/>
      <c r="DZ165" s="488"/>
      <c r="EA165" s="488"/>
      <c r="EB165" s="488"/>
      <c r="EC165" s="488"/>
      <c r="ED165" s="488"/>
      <c r="EE165" s="488"/>
      <c r="EF165" s="488"/>
      <c r="EG165" s="488"/>
      <c r="EH165" s="488"/>
      <c r="EI165" s="488"/>
      <c r="EJ165" s="488"/>
      <c r="EK165" s="488"/>
      <c r="EL165" s="488"/>
      <c r="EM165" s="488"/>
      <c r="EN165" s="488"/>
      <c r="EO165" s="488"/>
      <c r="EP165" s="488"/>
      <c r="EQ165" s="488"/>
      <c r="ER165" s="488"/>
      <c r="ES165" s="488"/>
      <c r="ET165" s="488"/>
      <c r="EU165" s="488"/>
      <c r="EV165" s="488"/>
      <c r="EW165" s="488"/>
      <c r="EX165" s="488"/>
      <c r="EY165" s="488"/>
      <c r="EZ165" s="488"/>
      <c r="FA165" s="488"/>
      <c r="FB165" s="488"/>
      <c r="FC165" s="488"/>
      <c r="FD165" s="488"/>
      <c r="FE165" s="488"/>
      <c r="FF165" s="488"/>
      <c r="FG165" s="488"/>
      <c r="FH165" s="488"/>
    </row>
    <row r="166" spans="1:164" ht="13.05" hidden="1" customHeight="1" x14ac:dyDescent="0.25">
      <c r="A166" t="str">
        <f>Nutrients!B165</f>
        <v>PEP2+</v>
      </c>
      <c r="B166" s="106"/>
      <c r="C166" s="106"/>
      <c r="D166" s="106"/>
      <c r="E166" s="106"/>
      <c r="F166" s="106"/>
      <c r="G166" s="106"/>
      <c r="H166" s="106"/>
      <c r="I166" s="106"/>
      <c r="J166" s="106"/>
      <c r="K166" s="106"/>
      <c r="L166" s="106"/>
      <c r="M166" s="106"/>
      <c r="N166" s="106"/>
      <c r="O166" s="29"/>
      <c r="P166" s="106"/>
      <c r="Q166" s="106"/>
      <c r="R166" s="106"/>
      <c r="S166" s="106"/>
      <c r="T166" s="106"/>
      <c r="U166" s="106"/>
      <c r="V166" s="9"/>
      <c r="W166" s="106"/>
      <c r="X166" s="106"/>
      <c r="Y166" s="106"/>
      <c r="Z166" s="106"/>
      <c r="AA166" s="106"/>
      <c r="AB166" s="106"/>
      <c r="AC166" s="2"/>
      <c r="AD166" s="106"/>
      <c r="AE166" s="106"/>
      <c r="AF166" s="106"/>
      <c r="AG166" s="106"/>
      <c r="AH166" s="106"/>
      <c r="AI166" s="106"/>
      <c r="AJ166" s="2"/>
      <c r="AK166" s="106"/>
      <c r="AL166" s="106"/>
      <c r="AM166" s="106"/>
      <c r="AN166" s="106"/>
      <c r="AO166" s="106"/>
      <c r="AP166" s="106"/>
      <c r="AQ166" s="2"/>
      <c r="AR166" s="106"/>
      <c r="AS166" s="106"/>
      <c r="AT166" s="106"/>
      <c r="AU166" s="106"/>
      <c r="AV166" s="106"/>
      <c r="AW166" s="106"/>
      <c r="AX166" s="9"/>
      <c r="AY166" s="488"/>
      <c r="AZ166" s="488"/>
      <c r="BA166" s="488"/>
      <c r="BB166" s="488"/>
      <c r="BC166" s="488"/>
      <c r="BD166" s="488"/>
      <c r="BE166" s="488"/>
      <c r="BF166" s="488"/>
      <c r="BG166" s="488"/>
      <c r="BH166" s="488"/>
      <c r="BI166" s="488"/>
      <c r="BJ166" s="488"/>
      <c r="BK166" s="488"/>
      <c r="BL166" s="488"/>
      <c r="BM166" s="488"/>
      <c r="BN166" s="488"/>
      <c r="BO166" s="488"/>
      <c r="BP166" s="488"/>
      <c r="BQ166" s="488"/>
      <c r="BR166" s="488"/>
      <c r="BS166" s="488"/>
      <c r="BT166" s="488"/>
      <c r="BU166" s="488"/>
      <c r="BV166" s="488"/>
      <c r="BW166" s="488"/>
      <c r="BX166" s="488"/>
      <c r="BY166" s="488"/>
      <c r="BZ166" s="488"/>
      <c r="CA166" s="488"/>
      <c r="CB166" s="488"/>
      <c r="CC166" s="488"/>
      <c r="CD166" s="488"/>
      <c r="CE166" s="488"/>
      <c r="CF166" s="488"/>
      <c r="CG166" s="488"/>
      <c r="CH166" s="488"/>
      <c r="CI166" s="488"/>
      <c r="CJ166" s="488"/>
      <c r="CK166" s="488"/>
      <c r="CL166" s="488"/>
      <c r="CM166" s="488"/>
      <c r="CN166" s="488"/>
      <c r="CO166" s="488"/>
      <c r="CP166" s="488"/>
      <c r="CQ166" s="488"/>
      <c r="CR166" s="488"/>
      <c r="CS166" s="488"/>
      <c r="CT166" s="488"/>
      <c r="CU166" s="488"/>
      <c r="CV166" s="488"/>
      <c r="CW166" s="488"/>
      <c r="CX166" s="488"/>
      <c r="CY166" s="488"/>
      <c r="CZ166" s="488"/>
      <c r="DA166" s="488"/>
      <c r="DB166" s="488"/>
      <c r="DC166" s="488"/>
      <c r="DD166" s="488"/>
      <c r="DE166" s="488"/>
      <c r="DF166" s="488"/>
      <c r="DG166" s="488"/>
      <c r="DH166" s="488"/>
      <c r="DI166" s="488"/>
      <c r="DJ166" s="488"/>
      <c r="DK166" s="488"/>
      <c r="DL166" s="488"/>
      <c r="DM166" s="488"/>
      <c r="DN166" s="488"/>
      <c r="DO166" s="488"/>
      <c r="DP166" s="488"/>
      <c r="DQ166" s="488"/>
      <c r="DR166" s="488"/>
      <c r="DS166" s="488"/>
      <c r="DT166" s="488"/>
      <c r="DU166" s="488"/>
      <c r="DV166" s="488"/>
      <c r="DW166" s="488"/>
      <c r="DX166" s="488"/>
      <c r="DY166" s="488"/>
      <c r="DZ166" s="488"/>
      <c r="EA166" s="488"/>
      <c r="EB166" s="488"/>
      <c r="EC166" s="488"/>
      <c r="ED166" s="488"/>
      <c r="EE166" s="488"/>
      <c r="EF166" s="488"/>
      <c r="EG166" s="488"/>
      <c r="EH166" s="488"/>
      <c r="EI166" s="488"/>
      <c r="EJ166" s="488"/>
      <c r="EK166" s="488"/>
      <c r="EL166" s="488"/>
      <c r="EM166" s="488"/>
      <c r="EN166" s="488"/>
      <c r="EO166" s="488"/>
      <c r="EP166" s="488"/>
      <c r="EQ166" s="488"/>
      <c r="ER166" s="488"/>
      <c r="ES166" s="488"/>
      <c r="ET166" s="488"/>
      <c r="EU166" s="488"/>
      <c r="EV166" s="488"/>
      <c r="EW166" s="488"/>
      <c r="EX166" s="488"/>
      <c r="EY166" s="488"/>
      <c r="EZ166" s="488"/>
      <c r="FA166" s="488"/>
      <c r="FB166" s="488"/>
      <c r="FC166" s="488"/>
      <c r="FD166" s="488"/>
      <c r="FE166" s="488"/>
      <c r="FF166" s="488"/>
      <c r="FG166" s="488"/>
      <c r="FH166" s="488"/>
    </row>
    <row r="167" spans="1:164" ht="13.05" hidden="1" customHeight="1" x14ac:dyDescent="0.25">
      <c r="A167" t="str">
        <f>Nutrients!B166</f>
        <v>PEP NS</v>
      </c>
      <c r="B167" s="106"/>
      <c r="C167" s="106"/>
      <c r="D167" s="106"/>
      <c r="E167" s="106"/>
      <c r="F167" s="106"/>
      <c r="G167" s="106"/>
      <c r="H167" s="106"/>
      <c r="I167" s="106"/>
      <c r="J167" s="106"/>
      <c r="K167" s="106"/>
      <c r="L167" s="106"/>
      <c r="M167" s="106"/>
      <c r="N167" s="106"/>
      <c r="O167" s="29"/>
      <c r="P167" s="106"/>
      <c r="Q167" s="106"/>
      <c r="R167" s="106"/>
      <c r="S167" s="106"/>
      <c r="T167" s="106"/>
      <c r="U167" s="106"/>
      <c r="V167" s="9"/>
      <c r="W167" s="106"/>
      <c r="X167" s="106"/>
      <c r="Y167" s="106"/>
      <c r="Z167" s="106"/>
      <c r="AA167" s="106"/>
      <c r="AB167" s="106"/>
      <c r="AC167" s="2"/>
      <c r="AD167" s="106"/>
      <c r="AE167" s="106"/>
      <c r="AF167" s="106"/>
      <c r="AG167" s="106"/>
      <c r="AH167" s="106"/>
      <c r="AI167" s="106"/>
      <c r="AJ167" s="2"/>
      <c r="AK167" s="106"/>
      <c r="AL167" s="106"/>
      <c r="AM167" s="106"/>
      <c r="AN167" s="106"/>
      <c r="AO167" s="106"/>
      <c r="AP167" s="106"/>
      <c r="AQ167" s="2"/>
      <c r="AR167" s="106"/>
      <c r="AS167" s="106"/>
      <c r="AT167" s="106"/>
      <c r="AU167" s="106"/>
      <c r="AV167" s="106"/>
      <c r="AW167" s="106"/>
      <c r="AX167" s="9"/>
      <c r="AY167" s="488"/>
      <c r="AZ167" s="488"/>
      <c r="BA167" s="488"/>
      <c r="BB167" s="488"/>
      <c r="BC167" s="488"/>
      <c r="BD167" s="488"/>
      <c r="BE167" s="488"/>
      <c r="BF167" s="488"/>
      <c r="BG167" s="488"/>
      <c r="BH167" s="488"/>
      <c r="BI167" s="488"/>
      <c r="BJ167" s="488"/>
      <c r="BK167" s="488"/>
      <c r="BL167" s="488"/>
      <c r="BM167" s="488"/>
      <c r="BN167" s="488"/>
      <c r="BO167" s="488"/>
      <c r="BP167" s="488"/>
      <c r="BQ167" s="488"/>
      <c r="BR167" s="488"/>
      <c r="BS167" s="488"/>
      <c r="BT167" s="488"/>
      <c r="BU167" s="488"/>
      <c r="BV167" s="488"/>
      <c r="BW167" s="488"/>
      <c r="BX167" s="488"/>
      <c r="BY167" s="488"/>
      <c r="BZ167" s="488"/>
      <c r="CA167" s="488"/>
      <c r="CB167" s="488"/>
      <c r="CC167" s="488"/>
      <c r="CD167" s="488"/>
      <c r="CE167" s="488"/>
      <c r="CF167" s="488"/>
      <c r="CG167" s="488"/>
      <c r="CH167" s="488"/>
      <c r="CI167" s="488"/>
      <c r="CJ167" s="488"/>
      <c r="CK167" s="488"/>
      <c r="CL167" s="488"/>
      <c r="CM167" s="488"/>
      <c r="CN167" s="488"/>
      <c r="CO167" s="488"/>
      <c r="CP167" s="488"/>
      <c r="CQ167" s="488"/>
      <c r="CR167" s="488"/>
      <c r="CS167" s="488"/>
      <c r="CT167" s="488"/>
      <c r="CU167" s="488"/>
      <c r="CV167" s="488"/>
      <c r="CW167" s="488"/>
      <c r="CX167" s="488"/>
      <c r="CY167" s="488"/>
      <c r="CZ167" s="488"/>
      <c r="DA167" s="488"/>
      <c r="DB167" s="488"/>
      <c r="DC167" s="488"/>
      <c r="DD167" s="488"/>
      <c r="DE167" s="488"/>
      <c r="DF167" s="488"/>
      <c r="DG167" s="488"/>
      <c r="DH167" s="488"/>
      <c r="DI167" s="488"/>
      <c r="DJ167" s="488"/>
      <c r="DK167" s="488"/>
      <c r="DL167" s="488"/>
      <c r="DM167" s="488"/>
      <c r="DN167" s="488"/>
      <c r="DO167" s="488"/>
      <c r="DP167" s="488"/>
      <c r="DQ167" s="488"/>
      <c r="DR167" s="488"/>
      <c r="DS167" s="488"/>
      <c r="DT167" s="488"/>
      <c r="DU167" s="488"/>
      <c r="DV167" s="488"/>
      <c r="DW167" s="488"/>
      <c r="DX167" s="488"/>
      <c r="DY167" s="488"/>
      <c r="DZ167" s="488"/>
      <c r="EA167" s="488"/>
      <c r="EB167" s="488"/>
      <c r="EC167" s="488"/>
      <c r="ED167" s="488"/>
      <c r="EE167" s="488"/>
      <c r="EF167" s="488"/>
      <c r="EG167" s="488"/>
      <c r="EH167" s="488"/>
      <c r="EI167" s="488"/>
      <c r="EJ167" s="488"/>
      <c r="EK167" s="488"/>
      <c r="EL167" s="488"/>
      <c r="EM167" s="488"/>
      <c r="EN167" s="488"/>
      <c r="EO167" s="488"/>
      <c r="EP167" s="488"/>
      <c r="EQ167" s="488"/>
      <c r="ER167" s="488"/>
      <c r="ES167" s="488"/>
      <c r="ET167" s="488"/>
      <c r="EU167" s="488"/>
      <c r="EV167" s="488"/>
      <c r="EW167" s="488"/>
      <c r="EX167" s="488"/>
      <c r="EY167" s="488"/>
      <c r="EZ167" s="488"/>
      <c r="FA167" s="488"/>
      <c r="FB167" s="488"/>
      <c r="FC167" s="488"/>
      <c r="FD167" s="488"/>
      <c r="FE167" s="488"/>
      <c r="FF167" s="488"/>
      <c r="FG167" s="488"/>
      <c r="FH167" s="488"/>
    </row>
    <row r="168" spans="1:164" ht="13.05" hidden="1" customHeight="1" x14ac:dyDescent="0.25">
      <c r="A168" t="str">
        <f>Nutrients!B167</f>
        <v>Vitamin premix (2x) with phytase</v>
      </c>
      <c r="B168" s="106"/>
      <c r="C168" s="106"/>
      <c r="D168" s="106"/>
      <c r="E168" s="106"/>
      <c r="F168" s="106"/>
      <c r="G168" s="106"/>
      <c r="H168" s="106"/>
      <c r="I168" s="106"/>
      <c r="J168" s="106"/>
      <c r="K168" s="106"/>
      <c r="L168" s="106"/>
      <c r="M168" s="106"/>
      <c r="N168" s="106"/>
      <c r="O168" s="29"/>
      <c r="P168" s="106"/>
      <c r="Q168" s="106"/>
      <c r="R168" s="106"/>
      <c r="S168" s="106"/>
      <c r="T168" s="106"/>
      <c r="U168" s="106"/>
      <c r="V168" s="9"/>
      <c r="W168" s="106"/>
      <c r="X168" s="106"/>
      <c r="Y168" s="106"/>
      <c r="Z168" s="106"/>
      <c r="AA168" s="106"/>
      <c r="AB168" s="106"/>
      <c r="AC168" s="2"/>
      <c r="AD168" s="106"/>
      <c r="AE168" s="106"/>
      <c r="AF168" s="106"/>
      <c r="AG168" s="106"/>
      <c r="AH168" s="106"/>
      <c r="AI168" s="106"/>
      <c r="AJ168" s="2"/>
      <c r="AK168" s="106"/>
      <c r="AL168" s="106"/>
      <c r="AM168" s="106"/>
      <c r="AN168" s="106"/>
      <c r="AO168" s="106"/>
      <c r="AP168" s="106"/>
      <c r="AQ168" s="2"/>
      <c r="AR168" s="106"/>
      <c r="AS168" s="106"/>
      <c r="AT168" s="106"/>
      <c r="AU168" s="106"/>
      <c r="AV168" s="106"/>
      <c r="AW168" s="106"/>
      <c r="AX168" s="9"/>
      <c r="AY168" s="488"/>
      <c r="AZ168" s="488"/>
      <c r="BA168" s="488"/>
      <c r="BB168" s="488"/>
      <c r="BC168" s="488"/>
      <c r="BD168" s="488"/>
      <c r="BE168" s="488"/>
      <c r="BF168" s="488"/>
      <c r="BG168" s="488"/>
      <c r="BH168" s="488"/>
      <c r="BI168" s="488"/>
      <c r="BJ168" s="488"/>
      <c r="BK168" s="488"/>
      <c r="BL168" s="488"/>
      <c r="BM168" s="488"/>
      <c r="BN168" s="488"/>
      <c r="BO168" s="488"/>
      <c r="BP168" s="488"/>
      <c r="BQ168" s="488"/>
      <c r="BR168" s="488"/>
      <c r="BS168" s="488"/>
      <c r="BT168" s="488"/>
      <c r="BU168" s="488"/>
      <c r="BV168" s="488"/>
      <c r="BW168" s="488"/>
      <c r="BX168" s="488"/>
      <c r="BY168" s="488"/>
      <c r="BZ168" s="488"/>
      <c r="CA168" s="488"/>
      <c r="CB168" s="488"/>
      <c r="CC168" s="488"/>
      <c r="CD168" s="488"/>
      <c r="CE168" s="488"/>
      <c r="CF168" s="488"/>
      <c r="CG168" s="488"/>
      <c r="CH168" s="488"/>
      <c r="CI168" s="488"/>
      <c r="CJ168" s="488"/>
      <c r="CK168" s="488"/>
      <c r="CL168" s="488"/>
      <c r="CM168" s="488"/>
      <c r="CN168" s="488"/>
      <c r="CO168" s="488"/>
      <c r="CP168" s="488"/>
      <c r="CQ168" s="488"/>
      <c r="CR168" s="488"/>
      <c r="CS168" s="488"/>
      <c r="CT168" s="488"/>
      <c r="CU168" s="488"/>
      <c r="CV168" s="488"/>
      <c r="CW168" s="488"/>
      <c r="CX168" s="488"/>
      <c r="CY168" s="488"/>
      <c r="CZ168" s="488"/>
      <c r="DA168" s="488"/>
      <c r="DB168" s="488"/>
      <c r="DC168" s="488"/>
      <c r="DD168" s="488"/>
      <c r="DE168" s="488"/>
      <c r="DF168" s="488"/>
      <c r="DG168" s="488"/>
      <c r="DH168" s="488"/>
      <c r="DI168" s="488"/>
      <c r="DJ168" s="488"/>
      <c r="DK168" s="488"/>
      <c r="DL168" s="488"/>
      <c r="DM168" s="488"/>
      <c r="DN168" s="488"/>
      <c r="DO168" s="488"/>
      <c r="DP168" s="488"/>
      <c r="DQ168" s="488"/>
      <c r="DR168" s="488"/>
      <c r="DS168" s="488"/>
      <c r="DT168" s="488"/>
      <c r="DU168" s="488"/>
      <c r="DV168" s="488"/>
      <c r="DW168" s="488"/>
      <c r="DX168" s="488"/>
      <c r="DY168" s="488"/>
      <c r="DZ168" s="488"/>
      <c r="EA168" s="488"/>
      <c r="EB168" s="488"/>
      <c r="EC168" s="488"/>
      <c r="ED168" s="488"/>
      <c r="EE168" s="488"/>
      <c r="EF168" s="488"/>
      <c r="EG168" s="488"/>
      <c r="EH168" s="488"/>
      <c r="EI168" s="488"/>
      <c r="EJ168" s="488"/>
      <c r="EK168" s="488"/>
      <c r="EL168" s="488"/>
      <c r="EM168" s="488"/>
      <c r="EN168" s="488"/>
      <c r="EO168" s="488"/>
      <c r="EP168" s="488"/>
      <c r="EQ168" s="488"/>
      <c r="ER168" s="488"/>
      <c r="ES168" s="488"/>
      <c r="ET168" s="488"/>
      <c r="EU168" s="488"/>
      <c r="EV168" s="488"/>
      <c r="EW168" s="488"/>
      <c r="EX168" s="488"/>
      <c r="EY168" s="488"/>
      <c r="EZ168" s="488"/>
      <c r="FA168" s="488"/>
      <c r="FB168" s="488"/>
      <c r="FC168" s="488"/>
      <c r="FD168" s="488"/>
      <c r="FE168" s="488"/>
      <c r="FF168" s="488"/>
      <c r="FG168" s="488"/>
      <c r="FH168" s="488"/>
    </row>
    <row r="169" spans="1:164" ht="13.05" hidden="1" customHeight="1" x14ac:dyDescent="0.25">
      <c r="A169" t="str">
        <f>Nutrients!B168</f>
        <v>Vitamin premix (2x) without phytase</v>
      </c>
      <c r="B169" s="106"/>
      <c r="C169" s="106"/>
      <c r="D169" s="106"/>
      <c r="E169" s="106"/>
      <c r="F169" s="106"/>
      <c r="G169" s="106"/>
      <c r="H169" s="106"/>
      <c r="I169" s="106"/>
      <c r="J169" s="106"/>
      <c r="K169" s="106"/>
      <c r="L169" s="106"/>
      <c r="M169" s="106"/>
      <c r="N169" s="106"/>
      <c r="O169" s="29"/>
      <c r="P169" s="106"/>
      <c r="Q169" s="106"/>
      <c r="R169" s="106"/>
      <c r="S169" s="106"/>
      <c r="T169" s="106"/>
      <c r="U169" s="106"/>
      <c r="V169" s="9"/>
      <c r="W169" s="106"/>
      <c r="X169" s="106"/>
      <c r="Y169" s="106"/>
      <c r="Z169" s="106"/>
      <c r="AA169" s="106"/>
      <c r="AB169" s="106"/>
      <c r="AC169" s="2"/>
      <c r="AD169" s="106"/>
      <c r="AE169" s="106"/>
      <c r="AF169" s="106"/>
      <c r="AG169" s="106"/>
      <c r="AH169" s="106"/>
      <c r="AI169" s="106"/>
      <c r="AJ169" s="2"/>
      <c r="AK169" s="106"/>
      <c r="AL169" s="106"/>
      <c r="AM169" s="106"/>
      <c r="AN169" s="106"/>
      <c r="AO169" s="106"/>
      <c r="AP169" s="106"/>
      <c r="AQ169" s="2"/>
      <c r="AR169" s="106"/>
      <c r="AS169" s="106"/>
      <c r="AT169" s="106"/>
      <c r="AU169" s="106"/>
      <c r="AV169" s="106"/>
      <c r="AW169" s="106"/>
      <c r="AX169" s="9"/>
      <c r="AY169" s="488"/>
      <c r="AZ169" s="488"/>
      <c r="BA169" s="488"/>
      <c r="BB169" s="488"/>
      <c r="BC169" s="488"/>
      <c r="BD169" s="488"/>
      <c r="BE169" s="488"/>
      <c r="BF169" s="488"/>
      <c r="BG169" s="488"/>
      <c r="BH169" s="488"/>
      <c r="BI169" s="488"/>
      <c r="BJ169" s="488"/>
      <c r="BK169" s="488"/>
      <c r="BL169" s="488"/>
      <c r="BM169" s="488"/>
      <c r="BN169" s="488"/>
      <c r="BO169" s="488"/>
      <c r="BP169" s="488"/>
      <c r="BQ169" s="488"/>
      <c r="BR169" s="488"/>
      <c r="BS169" s="488"/>
      <c r="BT169" s="488"/>
      <c r="BU169" s="488"/>
      <c r="BV169" s="488"/>
      <c r="BW169" s="488"/>
      <c r="BX169" s="488"/>
      <c r="BY169" s="488"/>
      <c r="BZ169" s="488"/>
      <c r="CA169" s="488"/>
      <c r="CB169" s="488"/>
      <c r="CC169" s="488"/>
      <c r="CD169" s="488"/>
      <c r="CE169" s="488"/>
      <c r="CF169" s="488"/>
      <c r="CG169" s="488"/>
      <c r="CH169" s="488"/>
      <c r="CI169" s="488"/>
      <c r="CJ169" s="488"/>
      <c r="CK169" s="488"/>
      <c r="CL169" s="488"/>
      <c r="CM169" s="488"/>
      <c r="CN169" s="488"/>
      <c r="CO169" s="488"/>
      <c r="CP169" s="488"/>
      <c r="CQ169" s="488"/>
      <c r="CR169" s="488"/>
      <c r="CS169" s="488"/>
      <c r="CT169" s="488"/>
      <c r="CU169" s="488"/>
      <c r="CV169" s="488"/>
      <c r="CW169" s="488"/>
      <c r="CX169" s="488"/>
      <c r="CY169" s="488"/>
      <c r="CZ169" s="488"/>
      <c r="DA169" s="488"/>
      <c r="DB169" s="488"/>
      <c r="DC169" s="488"/>
      <c r="DD169" s="488"/>
      <c r="DE169" s="488"/>
      <c r="DF169" s="488"/>
      <c r="DG169" s="488"/>
      <c r="DH169" s="488"/>
      <c r="DI169" s="488"/>
      <c r="DJ169" s="488"/>
      <c r="DK169" s="488"/>
      <c r="DL169" s="488"/>
      <c r="DM169" s="488"/>
      <c r="DN169" s="488"/>
      <c r="DO169" s="488"/>
      <c r="DP169" s="488"/>
      <c r="DQ169" s="488"/>
      <c r="DR169" s="488"/>
      <c r="DS169" s="488"/>
      <c r="DT169" s="488"/>
      <c r="DU169" s="488"/>
      <c r="DV169" s="488"/>
      <c r="DW169" s="488"/>
      <c r="DX169" s="488"/>
      <c r="DY169" s="488"/>
      <c r="DZ169" s="488"/>
      <c r="EA169" s="488"/>
      <c r="EB169" s="488"/>
      <c r="EC169" s="488"/>
      <c r="ED169" s="488"/>
      <c r="EE169" s="488"/>
      <c r="EF169" s="488"/>
      <c r="EG169" s="488"/>
      <c r="EH169" s="488"/>
      <c r="EI169" s="488"/>
      <c r="EJ169" s="488"/>
      <c r="EK169" s="488"/>
      <c r="EL169" s="488"/>
      <c r="EM169" s="488"/>
      <c r="EN169" s="488"/>
      <c r="EO169" s="488"/>
      <c r="EP169" s="488"/>
      <c r="EQ169" s="488"/>
      <c r="ER169" s="488"/>
      <c r="ES169" s="488"/>
      <c r="ET169" s="488"/>
      <c r="EU169" s="488"/>
      <c r="EV169" s="488"/>
      <c r="EW169" s="488"/>
      <c r="EX169" s="488"/>
      <c r="EY169" s="488"/>
      <c r="EZ169" s="488"/>
      <c r="FA169" s="488"/>
      <c r="FB169" s="488"/>
      <c r="FC169" s="488"/>
      <c r="FD169" s="488"/>
      <c r="FE169" s="488"/>
      <c r="FF169" s="488"/>
      <c r="FG169" s="488"/>
      <c r="FH169" s="488"/>
    </row>
    <row r="170" spans="1:164" hidden="1" x14ac:dyDescent="0.25">
      <c r="A170" t="str">
        <f>Nutrients!B169</f>
        <v>Corn DDGS, 10.5% Oil</v>
      </c>
      <c r="B170" s="106"/>
      <c r="C170" s="106"/>
      <c r="D170" s="106"/>
      <c r="E170" s="106"/>
      <c r="F170" s="106"/>
      <c r="G170" s="106"/>
      <c r="H170" s="106"/>
      <c r="I170" s="106"/>
      <c r="J170" s="106"/>
      <c r="K170" s="106"/>
      <c r="L170" s="106"/>
      <c r="M170" s="106"/>
      <c r="N170" s="106"/>
      <c r="O170" s="29"/>
      <c r="P170" s="106"/>
      <c r="Q170" s="106"/>
      <c r="R170" s="106"/>
      <c r="S170" s="106"/>
      <c r="T170" s="106"/>
      <c r="U170" s="106"/>
      <c r="V170" s="9"/>
      <c r="W170" s="106"/>
      <c r="X170" s="106"/>
      <c r="Y170" s="106"/>
      <c r="Z170" s="106"/>
      <c r="AA170" s="106"/>
      <c r="AB170" s="106"/>
      <c r="AC170" s="2"/>
      <c r="AD170" s="106"/>
      <c r="AE170" s="106"/>
      <c r="AF170" s="106"/>
      <c r="AG170" s="106"/>
      <c r="AH170" s="106"/>
      <c r="AI170" s="106"/>
      <c r="AJ170" s="2"/>
      <c r="AK170" s="106"/>
      <c r="AL170" s="106"/>
      <c r="AM170" s="106"/>
      <c r="AN170" s="106"/>
      <c r="AO170" s="106"/>
      <c r="AP170" s="106"/>
      <c r="AQ170" s="2"/>
      <c r="AR170" s="106"/>
      <c r="AS170" s="106"/>
      <c r="AT170" s="106"/>
      <c r="AU170" s="106"/>
      <c r="AV170" s="106"/>
      <c r="AW170" s="106"/>
      <c r="AX170" s="9"/>
      <c r="AY170" s="488"/>
      <c r="AZ170" s="488"/>
      <c r="BA170" s="488"/>
      <c r="BB170" s="488"/>
      <c r="BC170" s="488"/>
      <c r="BD170" s="488"/>
      <c r="BE170" s="488"/>
      <c r="BF170" s="488"/>
      <c r="BG170" s="488"/>
      <c r="BH170" s="488"/>
      <c r="BI170" s="488"/>
      <c r="BJ170" s="488"/>
      <c r="BK170" s="488"/>
      <c r="BL170" s="488"/>
      <c r="BM170" s="488"/>
      <c r="BN170" s="488"/>
      <c r="BO170" s="488"/>
      <c r="BP170" s="488"/>
      <c r="BQ170" s="488"/>
      <c r="BR170" s="488"/>
      <c r="BS170" s="488"/>
      <c r="BT170" s="488"/>
      <c r="BU170" s="488"/>
      <c r="BV170" s="488"/>
      <c r="BW170" s="488"/>
      <c r="BX170" s="488"/>
      <c r="BY170" s="488"/>
      <c r="BZ170" s="488"/>
      <c r="CA170" s="488"/>
      <c r="CB170" s="488"/>
      <c r="CC170" s="488"/>
      <c r="CD170" s="488"/>
      <c r="CE170" s="488"/>
      <c r="CF170" s="488"/>
      <c r="CG170" s="488"/>
      <c r="CH170" s="488"/>
      <c r="CI170" s="488"/>
      <c r="CJ170" s="488"/>
      <c r="CK170" s="488"/>
      <c r="CL170" s="488"/>
      <c r="CM170" s="488"/>
      <c r="CN170" s="488"/>
      <c r="CO170" s="488"/>
      <c r="CP170" s="488"/>
      <c r="CQ170" s="488"/>
      <c r="CR170" s="488"/>
      <c r="CS170" s="488"/>
      <c r="CT170" s="488"/>
      <c r="CU170" s="488"/>
      <c r="CV170" s="488"/>
      <c r="CW170" s="488"/>
      <c r="CX170" s="488"/>
      <c r="CY170" s="488"/>
      <c r="CZ170" s="488"/>
      <c r="DA170" s="488"/>
      <c r="DB170" s="488"/>
      <c r="DC170" s="488"/>
      <c r="DD170" s="488"/>
      <c r="DE170" s="488"/>
      <c r="DF170" s="488"/>
      <c r="DG170" s="488"/>
      <c r="DH170" s="488"/>
      <c r="DI170" s="488"/>
      <c r="DJ170" s="488"/>
      <c r="DK170" s="488"/>
      <c r="DL170" s="488"/>
      <c r="DM170" s="488"/>
      <c r="DN170" s="488"/>
      <c r="DO170" s="488"/>
      <c r="DP170" s="488"/>
      <c r="DQ170" s="488"/>
      <c r="DR170" s="488"/>
      <c r="DS170" s="488"/>
      <c r="DT170" s="488"/>
      <c r="DU170" s="488"/>
      <c r="DV170" s="488"/>
      <c r="DW170" s="488"/>
      <c r="DX170" s="488"/>
      <c r="DY170" s="488"/>
      <c r="DZ170" s="488"/>
      <c r="EA170" s="488"/>
      <c r="EB170" s="488"/>
      <c r="EC170" s="488"/>
      <c r="ED170" s="488"/>
      <c r="EE170" s="488"/>
      <c r="EF170" s="488"/>
      <c r="EG170" s="488"/>
      <c r="EH170" s="488"/>
      <c r="EI170" s="488"/>
      <c r="EJ170" s="488"/>
      <c r="EK170" s="488"/>
      <c r="EL170" s="488"/>
      <c r="EM170" s="488"/>
      <c r="EN170" s="488"/>
      <c r="EO170" s="488"/>
      <c r="EP170" s="488"/>
      <c r="EQ170" s="488"/>
      <c r="ER170" s="488"/>
      <c r="ES170" s="488"/>
      <c r="ET170" s="488"/>
      <c r="EU170" s="488"/>
      <c r="EV170" s="488"/>
      <c r="EW170" s="488"/>
      <c r="EX170" s="488"/>
      <c r="EY170" s="488"/>
      <c r="EZ170" s="488"/>
      <c r="FA170" s="488"/>
      <c r="FB170" s="488"/>
      <c r="FC170" s="488"/>
      <c r="FD170" s="488"/>
      <c r="FE170" s="488"/>
      <c r="FF170" s="488"/>
      <c r="FG170" s="488"/>
      <c r="FH170" s="488"/>
    </row>
    <row r="171" spans="1:164" hidden="1" x14ac:dyDescent="0.25">
      <c r="A171" t="str">
        <f>Nutrients!B170</f>
        <v>Corn DDGS, 7.5% Oil</v>
      </c>
      <c r="B171" s="106"/>
      <c r="C171" s="106"/>
      <c r="D171" s="106"/>
      <c r="E171" s="106"/>
      <c r="F171" s="106"/>
      <c r="G171" s="106"/>
      <c r="H171" s="106"/>
      <c r="I171" s="106"/>
      <c r="J171" s="106"/>
      <c r="K171" s="106"/>
      <c r="L171" s="106"/>
      <c r="M171" s="106"/>
      <c r="N171" s="106"/>
      <c r="O171" s="29"/>
      <c r="P171" s="106"/>
      <c r="Q171" s="106"/>
      <c r="R171" s="106"/>
      <c r="S171" s="106"/>
      <c r="T171" s="106"/>
      <c r="U171" s="106"/>
      <c r="V171" s="9"/>
      <c r="W171" s="106"/>
      <c r="X171" s="106"/>
      <c r="Y171" s="106"/>
      <c r="Z171" s="106"/>
      <c r="AA171" s="106"/>
      <c r="AB171" s="106"/>
      <c r="AC171" s="2"/>
      <c r="AD171" s="106"/>
      <c r="AE171" s="106"/>
      <c r="AF171" s="106"/>
      <c r="AG171" s="106"/>
      <c r="AH171" s="106"/>
      <c r="AI171" s="106"/>
      <c r="AJ171" s="2"/>
      <c r="AK171" s="106"/>
      <c r="AL171" s="106"/>
      <c r="AM171" s="106"/>
      <c r="AN171" s="106"/>
      <c r="AO171" s="106"/>
      <c r="AP171" s="106"/>
      <c r="AQ171" s="2"/>
      <c r="AR171" s="106"/>
      <c r="AS171" s="106"/>
      <c r="AT171" s="106"/>
      <c r="AU171" s="106"/>
      <c r="AV171" s="106"/>
      <c r="AW171" s="106"/>
      <c r="AX171" s="9"/>
      <c r="AY171" s="488"/>
      <c r="AZ171" s="488"/>
      <c r="BA171" s="488"/>
      <c r="BB171" s="488"/>
      <c r="BC171" s="488"/>
      <c r="BD171" s="488"/>
      <c r="BE171" s="488"/>
      <c r="BF171" s="488"/>
      <c r="BG171" s="488"/>
      <c r="BH171" s="488"/>
      <c r="BI171" s="488"/>
      <c r="BJ171" s="488"/>
      <c r="BK171" s="488"/>
      <c r="BL171" s="488"/>
      <c r="BM171" s="488"/>
      <c r="BN171" s="488"/>
      <c r="BO171" s="488"/>
      <c r="BP171" s="488"/>
      <c r="BQ171" s="488"/>
      <c r="BR171" s="488"/>
      <c r="BS171" s="488"/>
      <c r="BT171" s="488"/>
      <c r="BU171" s="488"/>
      <c r="BV171" s="488"/>
      <c r="BW171" s="488"/>
      <c r="BX171" s="488"/>
      <c r="BY171" s="488"/>
      <c r="BZ171" s="488"/>
      <c r="CA171" s="488"/>
      <c r="CB171" s="488"/>
      <c r="CC171" s="488"/>
      <c r="CD171" s="488"/>
      <c r="CE171" s="488"/>
      <c r="CF171" s="488"/>
      <c r="CG171" s="488"/>
      <c r="CH171" s="488"/>
      <c r="CI171" s="488"/>
      <c r="CJ171" s="488"/>
      <c r="CK171" s="488"/>
      <c r="CL171" s="488"/>
      <c r="CM171" s="488"/>
      <c r="CN171" s="488"/>
      <c r="CO171" s="488"/>
      <c r="CP171" s="488"/>
      <c r="CQ171" s="488"/>
      <c r="CR171" s="488"/>
      <c r="CS171" s="488"/>
      <c r="CT171" s="488"/>
      <c r="CU171" s="488"/>
      <c r="CV171" s="488"/>
      <c r="CW171" s="488"/>
      <c r="CX171" s="488"/>
      <c r="CY171" s="488"/>
      <c r="CZ171" s="488"/>
      <c r="DA171" s="488"/>
      <c r="DB171" s="488"/>
      <c r="DC171" s="488"/>
      <c r="DD171" s="488"/>
      <c r="DE171" s="488"/>
      <c r="DF171" s="488"/>
      <c r="DG171" s="488"/>
      <c r="DH171" s="488"/>
      <c r="DI171" s="488"/>
      <c r="DJ171" s="488"/>
      <c r="DK171" s="488"/>
      <c r="DL171" s="488"/>
      <c r="DM171" s="488"/>
      <c r="DN171" s="488"/>
      <c r="DO171" s="488"/>
      <c r="DP171" s="488"/>
      <c r="DQ171" s="488"/>
      <c r="DR171" s="488"/>
      <c r="DS171" s="488"/>
      <c r="DT171" s="488"/>
      <c r="DU171" s="488"/>
      <c r="DV171" s="488"/>
      <c r="DW171" s="488"/>
      <c r="DX171" s="488"/>
      <c r="DY171" s="488"/>
      <c r="DZ171" s="488"/>
      <c r="EA171" s="488"/>
      <c r="EB171" s="488"/>
      <c r="EC171" s="488"/>
      <c r="ED171" s="488"/>
      <c r="EE171" s="488"/>
      <c r="EF171" s="488"/>
      <c r="EG171" s="488"/>
      <c r="EH171" s="488"/>
      <c r="EI171" s="488"/>
      <c r="EJ171" s="488"/>
      <c r="EK171" s="488"/>
      <c r="EL171" s="488"/>
      <c r="EM171" s="488"/>
      <c r="EN171" s="488"/>
      <c r="EO171" s="488"/>
      <c r="EP171" s="488"/>
      <c r="EQ171" s="488"/>
      <c r="ER171" s="488"/>
      <c r="ES171" s="488"/>
      <c r="ET171" s="488"/>
      <c r="EU171" s="488"/>
      <c r="EV171" s="488"/>
      <c r="EW171" s="488"/>
      <c r="EX171" s="488"/>
      <c r="EY171" s="488"/>
      <c r="EZ171" s="488"/>
      <c r="FA171" s="488"/>
      <c r="FB171" s="488"/>
      <c r="FC171" s="488"/>
      <c r="FD171" s="488"/>
      <c r="FE171" s="488"/>
      <c r="FF171" s="488"/>
      <c r="FG171" s="488"/>
      <c r="FH171" s="488"/>
    </row>
    <row r="172" spans="1:164" ht="12.75" hidden="1" customHeight="1" x14ac:dyDescent="0.25">
      <c r="A172" t="str">
        <f>Nutrients!B171</f>
        <v>Corn DDGS, 4.5% Oil</v>
      </c>
      <c r="B172" s="106"/>
      <c r="C172" s="106"/>
      <c r="D172" s="106"/>
      <c r="E172" s="106"/>
      <c r="F172" s="106"/>
      <c r="G172" s="106"/>
      <c r="H172" s="106"/>
      <c r="I172" s="106"/>
      <c r="J172" s="106"/>
      <c r="K172" s="106"/>
      <c r="L172" s="106"/>
      <c r="M172" s="106"/>
      <c r="N172" s="106"/>
      <c r="O172" s="29"/>
      <c r="P172" s="106"/>
      <c r="Q172" s="106"/>
      <c r="R172" s="106"/>
      <c r="S172" s="106"/>
      <c r="T172" s="106"/>
      <c r="U172" s="106"/>
      <c r="V172" s="9"/>
      <c r="W172" s="106"/>
      <c r="X172" s="106"/>
      <c r="Y172" s="106"/>
      <c r="Z172" s="106"/>
      <c r="AA172" s="106"/>
      <c r="AB172" s="106"/>
      <c r="AC172" s="2"/>
      <c r="AD172" s="106"/>
      <c r="AE172" s="106"/>
      <c r="AF172" s="106"/>
      <c r="AG172" s="106"/>
      <c r="AH172" s="106"/>
      <c r="AI172" s="106"/>
      <c r="AJ172" s="2"/>
      <c r="AK172" s="106"/>
      <c r="AL172" s="106"/>
      <c r="AM172" s="106"/>
      <c r="AN172" s="106"/>
      <c r="AO172" s="106"/>
      <c r="AP172" s="106"/>
      <c r="AQ172" s="2"/>
      <c r="AR172" s="106"/>
      <c r="AS172" s="106"/>
      <c r="AT172" s="106"/>
      <c r="AU172" s="106"/>
      <c r="AV172" s="106"/>
      <c r="AW172" s="106"/>
      <c r="AX172" s="9"/>
      <c r="AY172" s="488"/>
      <c r="AZ172" s="488"/>
      <c r="BA172" s="488"/>
      <c r="BB172" s="488"/>
      <c r="BC172" s="488"/>
      <c r="BD172" s="488"/>
      <c r="BE172" s="488"/>
      <c r="BF172" s="488"/>
      <c r="BG172" s="488"/>
      <c r="BH172" s="488"/>
      <c r="BI172" s="488"/>
      <c r="BJ172" s="488"/>
      <c r="BK172" s="488"/>
      <c r="BL172" s="488"/>
      <c r="BM172" s="488"/>
      <c r="BN172" s="488"/>
      <c r="BO172" s="488"/>
      <c r="BP172" s="488"/>
      <c r="BQ172" s="488"/>
      <c r="BR172" s="488"/>
      <c r="BS172" s="488"/>
      <c r="BT172" s="488"/>
      <c r="BU172" s="488"/>
      <c r="BV172" s="488"/>
      <c r="BW172" s="488"/>
      <c r="BX172" s="488"/>
      <c r="BY172" s="488"/>
      <c r="BZ172" s="488"/>
      <c r="CA172" s="488"/>
      <c r="CB172" s="488"/>
      <c r="CC172" s="488"/>
      <c r="CD172" s="488"/>
      <c r="CE172" s="488"/>
      <c r="CF172" s="488"/>
      <c r="CG172" s="488"/>
      <c r="CH172" s="488"/>
      <c r="CI172" s="488"/>
      <c r="CJ172" s="488"/>
      <c r="CK172" s="488"/>
      <c r="CL172" s="488"/>
      <c r="CM172" s="488"/>
      <c r="CN172" s="488"/>
      <c r="CO172" s="488"/>
      <c r="CP172" s="488"/>
      <c r="CQ172" s="488"/>
      <c r="CR172" s="488"/>
      <c r="CS172" s="488"/>
      <c r="CT172" s="488"/>
      <c r="CU172" s="488"/>
      <c r="CV172" s="488"/>
      <c r="CW172" s="488"/>
      <c r="CX172" s="488"/>
      <c r="CY172" s="488"/>
      <c r="CZ172" s="488"/>
      <c r="DA172" s="488"/>
      <c r="DB172" s="488"/>
      <c r="DC172" s="488"/>
      <c r="DD172" s="488"/>
      <c r="DE172" s="488"/>
      <c r="DF172" s="488"/>
      <c r="DG172" s="488"/>
      <c r="DH172" s="488"/>
      <c r="DI172" s="488"/>
      <c r="DJ172" s="488"/>
      <c r="DK172" s="488"/>
      <c r="DL172" s="488"/>
      <c r="DM172" s="488"/>
      <c r="DN172" s="488"/>
      <c r="DO172" s="488"/>
      <c r="DP172" s="488"/>
      <c r="DQ172" s="488"/>
      <c r="DR172" s="488"/>
      <c r="DS172" s="488"/>
      <c r="DT172" s="488"/>
      <c r="DU172" s="488"/>
      <c r="DV172" s="488"/>
      <c r="DW172" s="488"/>
      <c r="DX172" s="488"/>
      <c r="DY172" s="488"/>
      <c r="DZ172" s="488"/>
      <c r="EA172" s="488"/>
      <c r="EB172" s="488"/>
      <c r="EC172" s="488"/>
      <c r="ED172" s="488"/>
      <c r="EE172" s="488"/>
      <c r="EF172" s="488"/>
      <c r="EG172" s="488"/>
      <c r="EH172" s="488"/>
      <c r="EI172" s="488"/>
      <c r="EJ172" s="488"/>
      <c r="EK172" s="488"/>
      <c r="EL172" s="488"/>
      <c r="EM172" s="488"/>
      <c r="EN172" s="488"/>
      <c r="EO172" s="488"/>
      <c r="EP172" s="488"/>
      <c r="EQ172" s="488"/>
      <c r="ER172" s="488"/>
      <c r="ES172" s="488"/>
      <c r="ET172" s="488"/>
      <c r="EU172" s="488"/>
      <c r="EV172" s="488"/>
      <c r="EW172" s="488"/>
      <c r="EX172" s="488"/>
      <c r="EY172" s="488"/>
      <c r="EZ172" s="488"/>
      <c r="FA172" s="488"/>
      <c r="FB172" s="488"/>
      <c r="FC172" s="488"/>
      <c r="FD172" s="488"/>
      <c r="FE172" s="488"/>
      <c r="FF172" s="488"/>
      <c r="FG172" s="488"/>
      <c r="FH172" s="488"/>
    </row>
    <row r="173" spans="1:164" ht="13.05" hidden="1" customHeight="1" x14ac:dyDescent="0.25">
      <c r="A173" t="str">
        <f>Nutrients!B172</f>
        <v>MEPRO Hubbard</v>
      </c>
      <c r="B173" s="106"/>
      <c r="C173" s="106"/>
      <c r="D173" s="106"/>
      <c r="E173" s="106"/>
      <c r="F173" s="106"/>
      <c r="G173" s="106"/>
      <c r="H173" s="106"/>
      <c r="I173" s="106"/>
      <c r="J173" s="106"/>
      <c r="K173" s="106"/>
      <c r="L173" s="106"/>
      <c r="M173" s="106"/>
      <c r="N173" s="106"/>
      <c r="O173" s="29"/>
      <c r="P173" s="106"/>
      <c r="Q173" s="106"/>
      <c r="R173" s="106"/>
      <c r="S173" s="106"/>
      <c r="T173" s="106"/>
      <c r="U173" s="106"/>
      <c r="V173" s="9"/>
      <c r="W173" s="106"/>
      <c r="X173" s="106"/>
      <c r="Y173" s="106"/>
      <c r="Z173" s="106"/>
      <c r="AA173" s="106"/>
      <c r="AB173" s="106"/>
      <c r="AC173" s="2"/>
      <c r="AD173" s="106"/>
      <c r="AE173" s="106"/>
      <c r="AF173" s="106"/>
      <c r="AG173" s="106"/>
      <c r="AH173" s="106"/>
      <c r="AI173" s="106"/>
      <c r="AJ173" s="2"/>
      <c r="AK173" s="106"/>
      <c r="AL173" s="106"/>
      <c r="AM173" s="106"/>
      <c r="AN173" s="106"/>
      <c r="AO173" s="106"/>
      <c r="AP173" s="106"/>
      <c r="AQ173" s="2"/>
      <c r="AR173" s="106"/>
      <c r="AS173" s="106"/>
      <c r="AT173" s="106"/>
      <c r="AU173" s="106"/>
      <c r="AV173" s="106"/>
      <c r="AW173" s="106"/>
      <c r="AX173" s="9"/>
      <c r="AY173" s="488"/>
      <c r="AZ173" s="488"/>
      <c r="BA173" s="488"/>
      <c r="BB173" s="488"/>
      <c r="BC173" s="488"/>
      <c r="BD173" s="488"/>
      <c r="BE173" s="488"/>
      <c r="BF173" s="488"/>
      <c r="BG173" s="488"/>
      <c r="BH173" s="488"/>
      <c r="BI173" s="488"/>
      <c r="BJ173" s="488"/>
      <c r="BK173" s="488"/>
      <c r="BL173" s="488"/>
      <c r="BM173" s="488"/>
      <c r="BN173" s="488"/>
      <c r="BO173" s="488"/>
      <c r="BP173" s="488"/>
      <c r="BQ173" s="488"/>
      <c r="BR173" s="488"/>
      <c r="BS173" s="488"/>
      <c r="BT173" s="488"/>
      <c r="BU173" s="488"/>
      <c r="BV173" s="488"/>
      <c r="BW173" s="488"/>
      <c r="BX173" s="488"/>
      <c r="BY173" s="488"/>
      <c r="BZ173" s="488"/>
      <c r="CA173" s="488"/>
      <c r="CB173" s="488"/>
      <c r="CC173" s="488"/>
      <c r="CD173" s="488"/>
      <c r="CE173" s="488"/>
      <c r="CF173" s="488"/>
      <c r="CG173" s="488"/>
      <c r="CH173" s="488"/>
      <c r="CI173" s="488"/>
      <c r="CJ173" s="488"/>
      <c r="CK173" s="488"/>
      <c r="CL173" s="488"/>
      <c r="CM173" s="488"/>
      <c r="CN173" s="488"/>
      <c r="CO173" s="488"/>
      <c r="CP173" s="488"/>
      <c r="CQ173" s="488"/>
      <c r="CR173" s="488"/>
      <c r="CS173" s="488"/>
      <c r="CT173" s="488"/>
      <c r="CU173" s="488"/>
      <c r="CV173" s="488"/>
      <c r="CW173" s="488"/>
      <c r="CX173" s="488"/>
      <c r="CY173" s="488"/>
      <c r="CZ173" s="488"/>
      <c r="DA173" s="488"/>
      <c r="DB173" s="488"/>
      <c r="DC173" s="488"/>
      <c r="DD173" s="488"/>
      <c r="DE173" s="488"/>
      <c r="DF173" s="488"/>
      <c r="DG173" s="488"/>
      <c r="DH173" s="488"/>
      <c r="DI173" s="488"/>
      <c r="DJ173" s="488"/>
      <c r="DK173" s="488"/>
      <c r="DL173" s="488"/>
      <c r="DM173" s="488"/>
      <c r="DN173" s="488"/>
      <c r="DO173" s="488"/>
      <c r="DP173" s="488"/>
      <c r="DQ173" s="488"/>
      <c r="DR173" s="488"/>
      <c r="DS173" s="488"/>
      <c r="DT173" s="488"/>
      <c r="DU173" s="488"/>
      <c r="DV173" s="488"/>
      <c r="DW173" s="488"/>
      <c r="DX173" s="488"/>
      <c r="DY173" s="488"/>
      <c r="DZ173" s="488"/>
      <c r="EA173" s="488"/>
      <c r="EB173" s="488"/>
      <c r="EC173" s="488"/>
      <c r="ED173" s="488"/>
      <c r="EE173" s="488"/>
      <c r="EF173" s="488"/>
      <c r="EG173" s="488"/>
      <c r="EH173" s="488"/>
      <c r="EI173" s="488"/>
      <c r="EJ173" s="488"/>
      <c r="EK173" s="488"/>
      <c r="EL173" s="488"/>
      <c r="EM173" s="488"/>
      <c r="EN173" s="488"/>
      <c r="EO173" s="488"/>
      <c r="EP173" s="488"/>
      <c r="EQ173" s="488"/>
      <c r="ER173" s="488"/>
      <c r="ES173" s="488"/>
      <c r="ET173" s="488"/>
      <c r="EU173" s="488"/>
      <c r="EV173" s="488"/>
      <c r="EW173" s="488"/>
      <c r="EX173" s="488"/>
      <c r="EY173" s="488"/>
      <c r="EZ173" s="488"/>
      <c r="FA173" s="488"/>
      <c r="FB173" s="488"/>
      <c r="FC173" s="488"/>
      <c r="FD173" s="488"/>
      <c r="FE173" s="488"/>
      <c r="FF173" s="488"/>
      <c r="FG173" s="488"/>
      <c r="FH173" s="488"/>
    </row>
    <row r="174" spans="1:164" ht="13.05" hidden="1" customHeight="1" x14ac:dyDescent="0.25">
      <c r="A174" t="str">
        <f>Nutrients!B173</f>
        <v>HP 300 Apr 2022 loadings</v>
      </c>
      <c r="B174" s="106"/>
      <c r="C174" s="106"/>
      <c r="D174" s="106"/>
      <c r="E174" s="106"/>
      <c r="F174" s="106"/>
      <c r="G174" s="106"/>
      <c r="H174" s="106"/>
      <c r="I174" s="106"/>
      <c r="J174" s="106"/>
      <c r="K174" s="106"/>
      <c r="L174" s="106"/>
      <c r="M174" s="106"/>
      <c r="N174" s="106"/>
      <c r="O174" s="29"/>
      <c r="P174" s="106"/>
      <c r="Q174" s="106"/>
      <c r="R174" s="106"/>
      <c r="S174" s="106"/>
      <c r="T174" s="106"/>
      <c r="U174" s="106"/>
      <c r="V174" s="9"/>
      <c r="W174" s="106"/>
      <c r="X174" s="106"/>
      <c r="Y174" s="106"/>
      <c r="Z174" s="106"/>
      <c r="AA174" s="106"/>
      <c r="AB174" s="106"/>
      <c r="AC174" s="2"/>
      <c r="AD174" s="106"/>
      <c r="AE174" s="106"/>
      <c r="AF174" s="106"/>
      <c r="AG174" s="106"/>
      <c r="AH174" s="106"/>
      <c r="AI174" s="106"/>
      <c r="AJ174" s="2"/>
      <c r="AK174" s="106"/>
      <c r="AL174" s="106"/>
      <c r="AM174" s="106"/>
      <c r="AN174" s="106"/>
      <c r="AO174" s="106"/>
      <c r="AP174" s="106"/>
      <c r="AQ174" s="2"/>
      <c r="AR174" s="106"/>
      <c r="AS174" s="106"/>
      <c r="AT174" s="106"/>
      <c r="AU174" s="106"/>
      <c r="AV174" s="106"/>
      <c r="AW174" s="106"/>
      <c r="AX174" s="9"/>
      <c r="AY174" s="488"/>
      <c r="AZ174" s="488"/>
      <c r="BA174" s="488"/>
      <c r="BB174" s="488"/>
      <c r="BC174" s="488"/>
      <c r="BD174" s="488"/>
      <c r="BE174" s="488"/>
      <c r="BF174" s="488"/>
      <c r="BG174" s="488"/>
      <c r="BH174" s="488"/>
      <c r="BI174" s="488"/>
      <c r="BJ174" s="488"/>
      <c r="BK174" s="488"/>
      <c r="BL174" s="488"/>
      <c r="BM174" s="488"/>
      <c r="BN174" s="488"/>
      <c r="BO174" s="488"/>
      <c r="BP174" s="488"/>
      <c r="BQ174" s="488"/>
      <c r="BR174" s="488"/>
      <c r="BS174" s="488"/>
      <c r="BT174" s="488"/>
      <c r="BU174" s="488"/>
      <c r="BV174" s="488"/>
      <c r="BW174" s="488"/>
      <c r="BX174" s="488"/>
      <c r="BY174" s="488"/>
      <c r="BZ174" s="488"/>
      <c r="CA174" s="488"/>
      <c r="CB174" s="488"/>
      <c r="CC174" s="488"/>
      <c r="CD174" s="488"/>
      <c r="CE174" s="488"/>
      <c r="CF174" s="488"/>
      <c r="CG174" s="488"/>
      <c r="CH174" s="488"/>
      <c r="CI174" s="488"/>
      <c r="CJ174" s="488"/>
      <c r="CK174" s="488"/>
      <c r="CL174" s="488"/>
      <c r="CM174" s="488"/>
      <c r="CN174" s="488"/>
      <c r="CO174" s="488"/>
      <c r="CP174" s="488"/>
      <c r="CQ174" s="488"/>
      <c r="CR174" s="488"/>
      <c r="CS174" s="488"/>
      <c r="CT174" s="488"/>
      <c r="CU174" s="488"/>
      <c r="CV174" s="488"/>
      <c r="CW174" s="488"/>
      <c r="CX174" s="488"/>
      <c r="CY174" s="488"/>
      <c r="CZ174" s="488"/>
      <c r="DA174" s="488"/>
      <c r="DB174" s="488"/>
      <c r="DC174" s="488"/>
      <c r="DD174" s="488"/>
      <c r="DE174" s="488"/>
      <c r="DF174" s="488"/>
      <c r="DG174" s="488"/>
      <c r="DH174" s="488"/>
      <c r="DI174" s="488"/>
      <c r="DJ174" s="488"/>
      <c r="DK174" s="488"/>
      <c r="DL174" s="488"/>
      <c r="DM174" s="488"/>
      <c r="DN174" s="488"/>
      <c r="DO174" s="488"/>
      <c r="DP174" s="488"/>
      <c r="DQ174" s="488"/>
      <c r="DR174" s="488"/>
      <c r="DS174" s="488"/>
      <c r="DT174" s="488"/>
      <c r="DU174" s="488"/>
      <c r="DV174" s="488"/>
      <c r="DW174" s="488"/>
      <c r="DX174" s="488"/>
      <c r="DY174" s="488"/>
      <c r="DZ174" s="488"/>
      <c r="EA174" s="488"/>
      <c r="EB174" s="488"/>
      <c r="EC174" s="488"/>
      <c r="ED174" s="488"/>
      <c r="EE174" s="488"/>
      <c r="EF174" s="488"/>
      <c r="EG174" s="488"/>
      <c r="EH174" s="488"/>
      <c r="EI174" s="488"/>
      <c r="EJ174" s="488"/>
      <c r="EK174" s="488"/>
      <c r="EL174" s="488"/>
      <c r="EM174" s="488"/>
      <c r="EN174" s="488"/>
      <c r="EO174" s="488"/>
      <c r="EP174" s="488"/>
      <c r="EQ174" s="488"/>
      <c r="ER174" s="488"/>
      <c r="ES174" s="488"/>
      <c r="ET174" s="488"/>
      <c r="EU174" s="488"/>
      <c r="EV174" s="488"/>
      <c r="EW174" s="488"/>
      <c r="EX174" s="488"/>
      <c r="EY174" s="488"/>
      <c r="EZ174" s="488"/>
      <c r="FA174" s="488"/>
      <c r="FB174" s="488"/>
      <c r="FC174" s="488"/>
      <c r="FD174" s="488"/>
      <c r="FE174" s="488"/>
      <c r="FF174" s="488"/>
      <c r="FG174" s="488"/>
      <c r="FH174" s="488"/>
    </row>
    <row r="175" spans="1:164" ht="13.05" hidden="1" customHeight="1" x14ac:dyDescent="0.25">
      <c r="A175" t="str">
        <f>Nutrients!B174</f>
        <v>Glycine</v>
      </c>
      <c r="B175" s="106"/>
      <c r="C175" s="106"/>
      <c r="D175" s="106"/>
      <c r="E175" s="106"/>
      <c r="F175" s="106"/>
      <c r="G175" s="106"/>
      <c r="H175" s="106"/>
      <c r="I175" s="106"/>
      <c r="J175" s="106"/>
      <c r="K175" s="106"/>
      <c r="L175" s="106"/>
      <c r="M175" s="106"/>
      <c r="N175" s="106"/>
      <c r="O175" s="29"/>
      <c r="P175" s="106"/>
      <c r="Q175" s="106"/>
      <c r="R175" s="106"/>
      <c r="S175" s="106"/>
      <c r="T175" s="106"/>
      <c r="U175" s="106"/>
      <c r="V175" s="9"/>
      <c r="W175" s="106"/>
      <c r="X175" s="106"/>
      <c r="Y175" s="106"/>
      <c r="Z175" s="106"/>
      <c r="AA175" s="106"/>
      <c r="AB175" s="106"/>
      <c r="AC175" s="2"/>
      <c r="AD175" s="106"/>
      <c r="AE175" s="106"/>
      <c r="AF175" s="106"/>
      <c r="AG175" s="106"/>
      <c r="AH175" s="106"/>
      <c r="AI175" s="106"/>
      <c r="AJ175" s="2"/>
      <c r="AK175" s="106"/>
      <c r="AL175" s="106"/>
      <c r="AM175" s="106"/>
      <c r="AN175" s="106"/>
      <c r="AO175" s="106"/>
      <c r="AP175" s="106"/>
      <c r="AQ175" s="2"/>
      <c r="AR175" s="106"/>
      <c r="AS175" s="106"/>
      <c r="AT175" s="106"/>
      <c r="AU175" s="106"/>
      <c r="AV175" s="106"/>
      <c r="AW175" s="106"/>
      <c r="AX175" s="9"/>
      <c r="AY175" s="488"/>
      <c r="AZ175" s="488"/>
      <c r="BA175" s="488"/>
      <c r="BB175" s="488"/>
      <c r="BC175" s="488"/>
      <c r="BD175" s="488"/>
      <c r="BE175" s="488"/>
      <c r="BF175" s="488"/>
      <c r="BG175" s="488"/>
      <c r="BH175" s="488"/>
      <c r="BI175" s="488"/>
      <c r="BJ175" s="488"/>
      <c r="BK175" s="488"/>
      <c r="BL175" s="488"/>
      <c r="BM175" s="488"/>
      <c r="BN175" s="488"/>
      <c r="BO175" s="488"/>
      <c r="BP175" s="488"/>
      <c r="BQ175" s="488"/>
      <c r="BR175" s="488"/>
      <c r="BS175" s="488"/>
      <c r="BT175" s="488"/>
      <c r="BU175" s="488"/>
      <c r="BV175" s="488"/>
      <c r="BW175" s="488"/>
      <c r="BX175" s="488"/>
      <c r="BY175" s="488"/>
      <c r="BZ175" s="488"/>
      <c r="CA175" s="488"/>
      <c r="CB175" s="488"/>
      <c r="CC175" s="488"/>
      <c r="CD175" s="488"/>
      <c r="CE175" s="488"/>
      <c r="CF175" s="488"/>
      <c r="CG175" s="488"/>
      <c r="CH175" s="488"/>
      <c r="CI175" s="488"/>
      <c r="CJ175" s="488"/>
      <c r="CK175" s="488"/>
      <c r="CL175" s="488"/>
      <c r="CM175" s="488"/>
      <c r="CN175" s="488"/>
      <c r="CO175" s="488"/>
      <c r="CP175" s="488"/>
      <c r="CQ175" s="488"/>
      <c r="CR175" s="488"/>
      <c r="CS175" s="488"/>
      <c r="CT175" s="488"/>
      <c r="CU175" s="488"/>
      <c r="CV175" s="488"/>
      <c r="CW175" s="488"/>
      <c r="CX175" s="488"/>
      <c r="CY175" s="488"/>
      <c r="CZ175" s="488"/>
      <c r="DA175" s="488"/>
      <c r="DB175" s="488"/>
      <c r="DC175" s="488"/>
      <c r="DD175" s="488"/>
      <c r="DE175" s="488"/>
      <c r="DF175" s="488"/>
      <c r="DG175" s="488"/>
      <c r="DH175" s="488"/>
      <c r="DI175" s="488"/>
      <c r="DJ175" s="488"/>
      <c r="DK175" s="488"/>
      <c r="DL175" s="488"/>
      <c r="DM175" s="488"/>
      <c r="DN175" s="488"/>
      <c r="DO175" s="488"/>
      <c r="DP175" s="488"/>
      <c r="DQ175" s="488"/>
      <c r="DR175" s="488"/>
      <c r="DS175" s="488"/>
      <c r="DT175" s="488"/>
      <c r="DU175" s="488"/>
      <c r="DV175" s="488"/>
      <c r="DW175" s="488"/>
      <c r="DX175" s="488"/>
      <c r="DY175" s="488"/>
      <c r="DZ175" s="488"/>
      <c r="EA175" s="488"/>
      <c r="EB175" s="488"/>
      <c r="EC175" s="488"/>
      <c r="ED175" s="488"/>
      <c r="EE175" s="488"/>
      <c r="EF175" s="488"/>
      <c r="EG175" s="488"/>
      <c r="EH175" s="488"/>
      <c r="EI175" s="488"/>
      <c r="EJ175" s="488"/>
      <c r="EK175" s="488"/>
      <c r="EL175" s="488"/>
      <c r="EM175" s="488"/>
      <c r="EN175" s="488"/>
      <c r="EO175" s="488"/>
      <c r="EP175" s="488"/>
      <c r="EQ175" s="488"/>
      <c r="ER175" s="488"/>
      <c r="ES175" s="488"/>
      <c r="ET175" s="488"/>
      <c r="EU175" s="488"/>
      <c r="EV175" s="488"/>
      <c r="EW175" s="488"/>
      <c r="EX175" s="488"/>
      <c r="EY175" s="488"/>
      <c r="EZ175" s="488"/>
      <c r="FA175" s="488"/>
      <c r="FB175" s="488"/>
      <c r="FC175" s="488"/>
      <c r="FD175" s="488"/>
      <c r="FE175" s="488"/>
      <c r="FF175" s="488"/>
      <c r="FG175" s="488"/>
      <c r="FH175" s="488"/>
    </row>
    <row r="176" spans="1:164" ht="13.05" hidden="1" customHeight="1" x14ac:dyDescent="0.25">
      <c r="A176" t="str">
        <f>Nutrients!B175</f>
        <v>Phase 2 supplement 2018</v>
      </c>
      <c r="B176" s="106"/>
      <c r="C176" s="106"/>
      <c r="D176" s="106"/>
      <c r="E176" s="106"/>
      <c r="F176" s="106"/>
      <c r="G176" s="106"/>
      <c r="H176" s="106"/>
      <c r="I176" s="106"/>
      <c r="J176" s="106"/>
      <c r="K176" s="106"/>
      <c r="L176" s="106"/>
      <c r="M176" s="106"/>
      <c r="N176" s="106"/>
      <c r="O176" s="29"/>
      <c r="P176" s="106"/>
      <c r="Q176" s="106"/>
      <c r="R176" s="106"/>
      <c r="S176" s="106"/>
      <c r="T176" s="106"/>
      <c r="U176" s="106"/>
      <c r="V176" s="9"/>
      <c r="W176" s="106"/>
      <c r="X176" s="106"/>
      <c r="Y176" s="106"/>
      <c r="Z176" s="106"/>
      <c r="AA176" s="106"/>
      <c r="AB176" s="106"/>
      <c r="AC176" s="2"/>
      <c r="AD176" s="106"/>
      <c r="AE176" s="106"/>
      <c r="AF176" s="106"/>
      <c r="AG176" s="106"/>
      <c r="AH176" s="106"/>
      <c r="AI176" s="106"/>
      <c r="AJ176" s="2"/>
      <c r="AK176" s="106"/>
      <c r="AL176" s="106"/>
      <c r="AM176" s="106"/>
      <c r="AN176" s="106"/>
      <c r="AO176" s="106"/>
      <c r="AP176" s="106"/>
      <c r="AQ176" s="2"/>
      <c r="AR176" s="106"/>
      <c r="AS176" s="106"/>
      <c r="AT176" s="106"/>
      <c r="AU176" s="106"/>
      <c r="AV176" s="106"/>
      <c r="AW176" s="106"/>
      <c r="AX176" s="9"/>
      <c r="AY176" s="488"/>
      <c r="AZ176" s="488"/>
      <c r="BA176" s="488"/>
      <c r="BB176" s="488"/>
      <c r="BC176" s="488"/>
      <c r="BD176" s="488"/>
      <c r="BE176" s="488"/>
      <c r="BF176" s="488"/>
      <c r="BG176" s="488"/>
      <c r="BH176" s="488"/>
      <c r="BI176" s="488"/>
      <c r="BJ176" s="488"/>
      <c r="BK176" s="488"/>
      <c r="BL176" s="488"/>
      <c r="BM176" s="488"/>
      <c r="BN176" s="488"/>
      <c r="BO176" s="488"/>
      <c r="BP176" s="488"/>
      <c r="BQ176" s="488"/>
      <c r="BR176" s="488"/>
      <c r="BS176" s="488"/>
      <c r="BT176" s="488"/>
      <c r="BU176" s="488"/>
      <c r="BV176" s="488"/>
      <c r="BW176" s="488"/>
      <c r="BX176" s="488"/>
      <c r="BY176" s="488"/>
      <c r="BZ176" s="488"/>
      <c r="CA176" s="488"/>
      <c r="CB176" s="488"/>
      <c r="CC176" s="488"/>
      <c r="CD176" s="488"/>
      <c r="CE176" s="488"/>
      <c r="CF176" s="488"/>
      <c r="CG176" s="488"/>
      <c r="CH176" s="488"/>
      <c r="CI176" s="488"/>
      <c r="CJ176" s="488"/>
      <c r="CK176" s="488"/>
      <c r="CL176" s="488"/>
      <c r="CM176" s="488"/>
      <c r="CN176" s="488"/>
      <c r="CO176" s="488"/>
      <c r="CP176" s="488"/>
      <c r="CQ176" s="488"/>
      <c r="CR176" s="488"/>
      <c r="CS176" s="488"/>
      <c r="CT176" s="488"/>
      <c r="CU176" s="488"/>
      <c r="CV176" s="488"/>
      <c r="CW176" s="488"/>
      <c r="CX176" s="488"/>
      <c r="CY176" s="488"/>
      <c r="CZ176" s="488"/>
      <c r="DA176" s="488"/>
      <c r="DB176" s="488"/>
      <c r="DC176" s="488"/>
      <c r="DD176" s="488"/>
      <c r="DE176" s="488"/>
      <c r="DF176" s="488"/>
      <c r="DG176" s="488"/>
      <c r="DH176" s="488"/>
      <c r="DI176" s="488"/>
      <c r="DJ176" s="488"/>
      <c r="DK176" s="488"/>
      <c r="DL176" s="488"/>
      <c r="DM176" s="488"/>
      <c r="DN176" s="488"/>
      <c r="DO176" s="488"/>
      <c r="DP176" s="488"/>
      <c r="DQ176" s="488"/>
      <c r="DR176" s="488"/>
      <c r="DS176" s="488"/>
      <c r="DT176" s="488"/>
      <c r="DU176" s="488"/>
      <c r="DV176" s="488"/>
      <c r="DW176" s="488"/>
      <c r="DX176" s="488"/>
      <c r="DY176" s="488"/>
      <c r="DZ176" s="488"/>
      <c r="EA176" s="488"/>
      <c r="EB176" s="488"/>
      <c r="EC176" s="488"/>
      <c r="ED176" s="488"/>
      <c r="EE176" s="488"/>
      <c r="EF176" s="488"/>
      <c r="EG176" s="488"/>
      <c r="EH176" s="488"/>
      <c r="EI176" s="488"/>
      <c r="EJ176" s="488"/>
      <c r="EK176" s="488"/>
      <c r="EL176" s="488"/>
      <c r="EM176" s="488"/>
      <c r="EN176" s="488"/>
      <c r="EO176" s="488"/>
      <c r="EP176" s="488"/>
      <c r="EQ176" s="488"/>
      <c r="ER176" s="488"/>
      <c r="ES176" s="488"/>
      <c r="ET176" s="488"/>
      <c r="EU176" s="488"/>
      <c r="EV176" s="488"/>
      <c r="EW176" s="488"/>
      <c r="EX176" s="488"/>
      <c r="EY176" s="488"/>
      <c r="EZ176" s="488"/>
      <c r="FA176" s="488"/>
      <c r="FB176" s="488"/>
      <c r="FC176" s="488"/>
      <c r="FD176" s="488"/>
      <c r="FE176" s="488"/>
      <c r="FF176" s="488"/>
      <c r="FG176" s="488"/>
      <c r="FH176" s="488"/>
    </row>
    <row r="177" spans="1:164" ht="13.05" hidden="1" customHeight="1" x14ac:dyDescent="0.25">
      <c r="A177" t="str">
        <f>Nutrients!B176</f>
        <v>Fermex 200</v>
      </c>
      <c r="B177" s="106"/>
      <c r="C177" s="106"/>
      <c r="D177" s="106"/>
      <c r="E177" s="106"/>
      <c r="F177" s="106"/>
      <c r="G177" s="106"/>
      <c r="H177" s="106"/>
      <c r="I177" s="106"/>
      <c r="J177" s="106"/>
      <c r="K177" s="106"/>
      <c r="L177" s="106"/>
      <c r="M177" s="106"/>
      <c r="N177" s="106"/>
      <c r="O177" s="29"/>
      <c r="P177" s="106"/>
      <c r="Q177" s="106"/>
      <c r="R177" s="106"/>
      <c r="S177" s="106"/>
      <c r="T177" s="106"/>
      <c r="U177" s="106"/>
      <c r="V177" s="9"/>
      <c r="W177" s="106"/>
      <c r="X177" s="106"/>
      <c r="Y177" s="106"/>
      <c r="Z177" s="106"/>
      <c r="AA177" s="106"/>
      <c r="AB177" s="106"/>
      <c r="AC177" s="2"/>
      <c r="AD177" s="106"/>
      <c r="AE177" s="106"/>
      <c r="AF177" s="106"/>
      <c r="AG177" s="106"/>
      <c r="AH177" s="106"/>
      <c r="AI177" s="106"/>
      <c r="AJ177" s="2"/>
      <c r="AK177" s="106"/>
      <c r="AL177" s="106"/>
      <c r="AM177" s="106"/>
      <c r="AN177" s="106"/>
      <c r="AO177" s="106"/>
      <c r="AP177" s="106"/>
      <c r="AQ177" s="2"/>
      <c r="AR177" s="106"/>
      <c r="AS177" s="106"/>
      <c r="AT177" s="106"/>
      <c r="AU177" s="106"/>
      <c r="AV177" s="106"/>
      <c r="AW177" s="106"/>
      <c r="AX177" s="9"/>
      <c r="AY177" s="488"/>
      <c r="AZ177" s="488"/>
      <c r="BA177" s="488"/>
      <c r="BB177" s="488"/>
      <c r="BC177" s="488"/>
      <c r="BD177" s="488"/>
      <c r="BE177" s="488"/>
      <c r="BF177" s="488"/>
      <c r="BG177" s="488"/>
      <c r="BH177" s="488"/>
      <c r="BI177" s="488"/>
      <c r="BJ177" s="488"/>
      <c r="BK177" s="488"/>
      <c r="BL177" s="488"/>
      <c r="BM177" s="488"/>
      <c r="BN177" s="488"/>
      <c r="BO177" s="488"/>
      <c r="BP177" s="488"/>
      <c r="BQ177" s="488"/>
      <c r="BR177" s="488"/>
      <c r="BS177" s="488"/>
      <c r="BT177" s="488"/>
      <c r="BU177" s="488"/>
      <c r="BV177" s="488"/>
      <c r="BW177" s="488"/>
      <c r="BX177" s="488"/>
      <c r="BY177" s="488"/>
      <c r="BZ177" s="488"/>
      <c r="CA177" s="488"/>
      <c r="CB177" s="488"/>
      <c r="CC177" s="488"/>
      <c r="CD177" s="488"/>
      <c r="CE177" s="488"/>
      <c r="CF177" s="488"/>
      <c r="CG177" s="488"/>
      <c r="CH177" s="488"/>
      <c r="CI177" s="488"/>
      <c r="CJ177" s="488"/>
      <c r="CK177" s="488"/>
      <c r="CL177" s="488"/>
      <c r="CM177" s="488"/>
      <c r="CN177" s="488"/>
      <c r="CO177" s="488"/>
      <c r="CP177" s="488"/>
      <c r="CQ177" s="488"/>
      <c r="CR177" s="488"/>
      <c r="CS177" s="488"/>
      <c r="CT177" s="488"/>
      <c r="CU177" s="488"/>
      <c r="CV177" s="488"/>
      <c r="CW177" s="488"/>
      <c r="CX177" s="488"/>
      <c r="CY177" s="488"/>
      <c r="CZ177" s="488"/>
      <c r="DA177" s="488"/>
      <c r="DB177" s="488"/>
      <c r="DC177" s="488"/>
      <c r="DD177" s="488"/>
      <c r="DE177" s="488"/>
      <c r="DF177" s="488"/>
      <c r="DG177" s="488"/>
      <c r="DH177" s="488"/>
      <c r="DI177" s="488"/>
      <c r="DJ177" s="488"/>
      <c r="DK177" s="488"/>
      <c r="DL177" s="488"/>
      <c r="DM177" s="488"/>
      <c r="DN177" s="488"/>
      <c r="DO177" s="488"/>
      <c r="DP177" s="488"/>
      <c r="DQ177" s="488"/>
      <c r="DR177" s="488"/>
      <c r="DS177" s="488"/>
      <c r="DT177" s="488"/>
      <c r="DU177" s="488"/>
      <c r="DV177" s="488"/>
      <c r="DW177" s="488"/>
      <c r="DX177" s="488"/>
      <c r="DY177" s="488"/>
      <c r="DZ177" s="488"/>
      <c r="EA177" s="488"/>
      <c r="EB177" s="488"/>
      <c r="EC177" s="488"/>
      <c r="ED177" s="488"/>
      <c r="EE177" s="488"/>
      <c r="EF177" s="488"/>
      <c r="EG177" s="488"/>
      <c r="EH177" s="488"/>
      <c r="EI177" s="488"/>
      <c r="EJ177" s="488"/>
      <c r="EK177" s="488"/>
      <c r="EL177" s="488"/>
      <c r="EM177" s="488"/>
      <c r="EN177" s="488"/>
      <c r="EO177" s="488"/>
      <c r="EP177" s="488"/>
      <c r="EQ177" s="488"/>
      <c r="ER177" s="488"/>
      <c r="ES177" s="488"/>
      <c r="ET177" s="488"/>
      <c r="EU177" s="488"/>
      <c r="EV177" s="488"/>
      <c r="EW177" s="488"/>
      <c r="EX177" s="488"/>
      <c r="EY177" s="488"/>
      <c r="EZ177" s="488"/>
      <c r="FA177" s="488"/>
      <c r="FB177" s="488"/>
      <c r="FC177" s="488"/>
      <c r="FD177" s="488"/>
      <c r="FE177" s="488"/>
      <c r="FF177" s="488"/>
      <c r="FG177" s="488"/>
      <c r="FH177" s="488"/>
    </row>
    <row r="178" spans="1:164" ht="13.05" hidden="1" customHeight="1" x14ac:dyDescent="0.25">
      <c r="A178" t="str">
        <f>Nutrients!B177</f>
        <v>Soybean meal with 88% NE of corn</v>
      </c>
      <c r="B178" s="106"/>
      <c r="C178" s="106"/>
      <c r="D178" s="106"/>
      <c r="E178" s="106"/>
      <c r="F178" s="106"/>
      <c r="G178" s="106"/>
      <c r="H178" s="106"/>
      <c r="I178" s="106"/>
      <c r="J178" s="106"/>
      <c r="K178" s="106"/>
      <c r="L178" s="106"/>
      <c r="M178" s="106"/>
      <c r="N178" s="106"/>
      <c r="O178" s="29"/>
      <c r="P178" s="106"/>
      <c r="Q178" s="106"/>
      <c r="R178" s="106"/>
      <c r="S178" s="106"/>
      <c r="T178" s="106"/>
      <c r="U178" s="106"/>
      <c r="V178" s="9"/>
      <c r="W178" s="106"/>
      <c r="X178" s="106"/>
      <c r="Y178" s="106"/>
      <c r="Z178" s="106"/>
      <c r="AA178" s="106"/>
      <c r="AB178" s="106"/>
      <c r="AC178" s="2"/>
      <c r="AD178" s="106"/>
      <c r="AE178" s="106"/>
      <c r="AF178" s="106"/>
      <c r="AG178" s="106"/>
      <c r="AH178" s="106"/>
      <c r="AI178" s="106"/>
      <c r="AJ178" s="2"/>
      <c r="AK178" s="106"/>
      <c r="AL178" s="106"/>
      <c r="AM178" s="106"/>
      <c r="AN178" s="106"/>
      <c r="AO178" s="106"/>
      <c r="AP178" s="106"/>
      <c r="AQ178" s="2"/>
      <c r="AR178" s="106"/>
      <c r="AS178" s="106"/>
      <c r="AT178" s="106"/>
      <c r="AU178" s="106"/>
      <c r="AV178" s="106"/>
      <c r="AW178" s="106"/>
      <c r="AX178" s="9"/>
      <c r="AY178" s="488"/>
      <c r="AZ178" s="488"/>
      <c r="BA178" s="488"/>
      <c r="BB178" s="488"/>
      <c r="BC178" s="488"/>
      <c r="BD178" s="488"/>
      <c r="BE178" s="488"/>
      <c r="BF178" s="488"/>
      <c r="BG178" s="488"/>
      <c r="BH178" s="488"/>
      <c r="BI178" s="488"/>
      <c r="BJ178" s="488"/>
      <c r="BK178" s="488"/>
      <c r="BL178" s="488"/>
      <c r="BM178" s="488"/>
      <c r="BN178" s="488"/>
      <c r="BO178" s="488"/>
      <c r="BP178" s="488"/>
      <c r="BQ178" s="488"/>
      <c r="BR178" s="488"/>
      <c r="BS178" s="488"/>
      <c r="BT178" s="488"/>
      <c r="BU178" s="488"/>
      <c r="BV178" s="488"/>
      <c r="BW178" s="488"/>
      <c r="BX178" s="488"/>
      <c r="BY178" s="488"/>
      <c r="BZ178" s="488"/>
      <c r="CA178" s="488"/>
      <c r="CB178" s="488"/>
      <c r="CC178" s="488"/>
      <c r="CD178" s="488"/>
      <c r="CE178" s="488"/>
      <c r="CF178" s="488"/>
      <c r="CG178" s="488"/>
      <c r="CH178" s="488"/>
      <c r="CI178" s="488"/>
      <c r="CJ178" s="488"/>
      <c r="CK178" s="488"/>
      <c r="CL178" s="488"/>
      <c r="CM178" s="488"/>
      <c r="CN178" s="488"/>
      <c r="CO178" s="488"/>
      <c r="CP178" s="488"/>
      <c r="CQ178" s="488"/>
      <c r="CR178" s="488"/>
      <c r="CS178" s="488"/>
      <c r="CT178" s="488"/>
      <c r="CU178" s="488"/>
      <c r="CV178" s="488"/>
      <c r="CW178" s="488"/>
      <c r="CX178" s="488"/>
      <c r="CY178" s="488"/>
      <c r="CZ178" s="488"/>
      <c r="DA178" s="488"/>
      <c r="DB178" s="488"/>
      <c r="DC178" s="488"/>
      <c r="DD178" s="488"/>
      <c r="DE178" s="488"/>
      <c r="DF178" s="488"/>
      <c r="DG178" s="488"/>
      <c r="DH178" s="488"/>
      <c r="DI178" s="488"/>
      <c r="DJ178" s="488"/>
      <c r="DK178" s="488"/>
      <c r="DL178" s="488"/>
      <c r="DM178" s="488"/>
      <c r="DN178" s="488"/>
      <c r="DO178" s="488"/>
      <c r="DP178" s="488"/>
      <c r="DQ178" s="488"/>
      <c r="DR178" s="488"/>
      <c r="DS178" s="488"/>
      <c r="DT178" s="488"/>
      <c r="DU178" s="488"/>
      <c r="DV178" s="488"/>
      <c r="DW178" s="488"/>
      <c r="DX178" s="488"/>
      <c r="DY178" s="488"/>
      <c r="DZ178" s="488"/>
      <c r="EA178" s="488"/>
      <c r="EB178" s="488"/>
      <c r="EC178" s="488"/>
      <c r="ED178" s="488"/>
      <c r="EE178" s="488"/>
      <c r="EF178" s="488"/>
      <c r="EG178" s="488"/>
      <c r="EH178" s="488"/>
      <c r="EI178" s="488"/>
      <c r="EJ178" s="488"/>
      <c r="EK178" s="488"/>
      <c r="EL178" s="488"/>
      <c r="EM178" s="488"/>
      <c r="EN178" s="488"/>
      <c r="EO178" s="488"/>
      <c r="EP178" s="488"/>
      <c r="EQ178" s="488"/>
      <c r="ER178" s="488"/>
      <c r="ES178" s="488"/>
      <c r="ET178" s="488"/>
      <c r="EU178" s="488"/>
      <c r="EV178" s="488"/>
      <c r="EW178" s="488"/>
      <c r="EX178" s="488"/>
      <c r="EY178" s="488"/>
      <c r="EZ178" s="488"/>
      <c r="FA178" s="488"/>
      <c r="FB178" s="488"/>
      <c r="FC178" s="488"/>
      <c r="FD178" s="488"/>
      <c r="FE178" s="488"/>
      <c r="FF178" s="488"/>
      <c r="FG178" s="488"/>
      <c r="FH178" s="488"/>
    </row>
    <row r="179" spans="1:164" ht="13.05" hidden="1" customHeight="1" x14ac:dyDescent="0.25">
      <c r="A179" t="str">
        <f>Nutrients!B178</f>
        <v>Blue Dye NFP</v>
      </c>
      <c r="B179" s="106"/>
      <c r="C179" s="106"/>
      <c r="D179" s="106"/>
      <c r="E179" s="106"/>
      <c r="F179" s="106"/>
      <c r="G179" s="106"/>
      <c r="H179" s="106"/>
      <c r="I179" s="106"/>
      <c r="J179" s="106"/>
      <c r="K179" s="106"/>
      <c r="L179" s="106"/>
      <c r="M179" s="106"/>
      <c r="N179" s="106"/>
      <c r="O179" s="29"/>
      <c r="P179" s="106"/>
      <c r="Q179" s="106"/>
      <c r="R179" s="106"/>
      <c r="S179" s="106"/>
      <c r="T179" s="106"/>
      <c r="U179" s="106"/>
      <c r="V179" s="9"/>
      <c r="W179" s="106"/>
      <c r="X179" s="106"/>
      <c r="Y179" s="106"/>
      <c r="Z179" s="106"/>
      <c r="AA179" s="106"/>
      <c r="AB179" s="106"/>
      <c r="AC179" s="2"/>
      <c r="AD179" s="106"/>
      <c r="AE179" s="106"/>
      <c r="AF179" s="106"/>
      <c r="AG179" s="106"/>
      <c r="AH179" s="106"/>
      <c r="AI179" s="106"/>
      <c r="AJ179" s="2"/>
      <c r="AK179" s="106"/>
      <c r="AL179" s="106"/>
      <c r="AM179" s="106"/>
      <c r="AN179" s="106"/>
      <c r="AO179" s="106"/>
      <c r="AP179" s="106"/>
      <c r="AQ179" s="2"/>
      <c r="AR179" s="106"/>
      <c r="AS179" s="106"/>
      <c r="AT179" s="106"/>
      <c r="AU179" s="106"/>
      <c r="AV179" s="106"/>
      <c r="AW179" s="106"/>
      <c r="AX179" s="9"/>
      <c r="AY179" s="488"/>
      <c r="AZ179" s="488"/>
      <c r="BA179" s="488"/>
      <c r="BB179" s="488"/>
      <c r="BC179" s="488"/>
      <c r="BD179" s="488"/>
      <c r="BE179" s="488"/>
      <c r="BF179" s="488"/>
      <c r="BG179" s="488"/>
      <c r="BH179" s="488"/>
      <c r="BI179" s="488"/>
      <c r="BJ179" s="488"/>
      <c r="BK179" s="488"/>
      <c r="BL179" s="488"/>
      <c r="BM179" s="488"/>
      <c r="BN179" s="488"/>
      <c r="BO179" s="488"/>
      <c r="BP179" s="488"/>
      <c r="BQ179" s="488"/>
      <c r="BR179" s="488"/>
      <c r="BS179" s="488"/>
      <c r="BT179" s="488"/>
      <c r="BU179" s="488"/>
      <c r="BV179" s="488"/>
      <c r="BW179" s="488"/>
      <c r="BX179" s="488"/>
      <c r="BY179" s="488"/>
      <c r="BZ179" s="488"/>
      <c r="CA179" s="488"/>
      <c r="CB179" s="488"/>
      <c r="CC179" s="488"/>
      <c r="CD179" s="488"/>
      <c r="CE179" s="488"/>
      <c r="CF179" s="488"/>
      <c r="CG179" s="488"/>
      <c r="CH179" s="488"/>
      <c r="CI179" s="488"/>
      <c r="CJ179" s="488"/>
      <c r="CK179" s="488"/>
      <c r="CL179" s="488"/>
      <c r="CM179" s="488"/>
      <c r="CN179" s="488"/>
      <c r="CO179" s="488"/>
      <c r="CP179" s="488"/>
      <c r="CQ179" s="488"/>
      <c r="CR179" s="488"/>
      <c r="CS179" s="488"/>
      <c r="CT179" s="488"/>
      <c r="CU179" s="488"/>
      <c r="CV179" s="488"/>
      <c r="CW179" s="488"/>
      <c r="CX179" s="488"/>
      <c r="CY179" s="488"/>
      <c r="CZ179" s="488"/>
      <c r="DA179" s="488"/>
      <c r="DB179" s="488"/>
      <c r="DC179" s="488"/>
      <c r="DD179" s="488"/>
      <c r="DE179" s="488"/>
      <c r="DF179" s="488"/>
      <c r="DG179" s="488"/>
      <c r="DH179" s="488"/>
      <c r="DI179" s="488"/>
      <c r="DJ179" s="488"/>
      <c r="DK179" s="488"/>
      <c r="DL179" s="488"/>
      <c r="DM179" s="488"/>
      <c r="DN179" s="488"/>
      <c r="DO179" s="488"/>
      <c r="DP179" s="488"/>
      <c r="DQ179" s="488"/>
      <c r="DR179" s="488"/>
      <c r="DS179" s="488"/>
      <c r="DT179" s="488"/>
      <c r="DU179" s="488"/>
      <c r="DV179" s="488"/>
      <c r="DW179" s="488"/>
      <c r="DX179" s="488"/>
      <c r="DY179" s="488"/>
      <c r="DZ179" s="488"/>
      <c r="EA179" s="488"/>
      <c r="EB179" s="488"/>
      <c r="EC179" s="488"/>
      <c r="ED179" s="488"/>
      <c r="EE179" s="488"/>
      <c r="EF179" s="488"/>
      <c r="EG179" s="488"/>
      <c r="EH179" s="488"/>
      <c r="EI179" s="488"/>
      <c r="EJ179" s="488"/>
      <c r="EK179" s="488"/>
      <c r="EL179" s="488"/>
      <c r="EM179" s="488"/>
      <c r="EN179" s="488"/>
      <c r="EO179" s="488"/>
      <c r="EP179" s="488"/>
      <c r="EQ179" s="488"/>
      <c r="ER179" s="488"/>
      <c r="ES179" s="488"/>
      <c r="ET179" s="488"/>
      <c r="EU179" s="488"/>
      <c r="EV179" s="488"/>
      <c r="EW179" s="488"/>
      <c r="EX179" s="488"/>
      <c r="EY179" s="488"/>
      <c r="EZ179" s="488"/>
      <c r="FA179" s="488"/>
      <c r="FB179" s="488"/>
      <c r="FC179" s="488"/>
      <c r="FD179" s="488"/>
      <c r="FE179" s="488"/>
      <c r="FF179" s="488"/>
      <c r="FG179" s="488"/>
      <c r="FH179" s="488"/>
    </row>
    <row r="180" spans="1:164" ht="13.05" hidden="1" customHeight="1" x14ac:dyDescent="0.25">
      <c r="A180" t="str">
        <f>Nutrients!B179</f>
        <v>HP 300 2022 NFP</v>
      </c>
      <c r="B180" s="106"/>
      <c r="C180" s="106"/>
      <c r="D180" s="106"/>
      <c r="E180" s="106"/>
      <c r="F180" s="106"/>
      <c r="G180" s="106"/>
      <c r="H180" s="106"/>
      <c r="I180" s="106"/>
      <c r="J180" s="106"/>
      <c r="K180" s="106"/>
      <c r="L180" s="106"/>
      <c r="M180" s="106"/>
      <c r="N180" s="106"/>
      <c r="O180" s="29"/>
      <c r="P180" s="106"/>
      <c r="Q180" s="106"/>
      <c r="R180" s="106"/>
      <c r="S180" s="106"/>
      <c r="T180" s="106"/>
      <c r="U180" s="106"/>
      <c r="V180" s="9"/>
      <c r="W180" s="106"/>
      <c r="X180" s="106"/>
      <c r="Y180" s="106"/>
      <c r="Z180" s="106"/>
      <c r="AA180" s="106"/>
      <c r="AB180" s="106"/>
      <c r="AC180" s="2"/>
      <c r="AD180" s="106"/>
      <c r="AE180" s="106"/>
      <c r="AF180" s="106"/>
      <c r="AG180" s="106"/>
      <c r="AH180" s="106"/>
      <c r="AI180" s="106"/>
      <c r="AJ180" s="2"/>
      <c r="AK180" s="106"/>
      <c r="AL180" s="106"/>
      <c r="AM180" s="106"/>
      <c r="AN180" s="106"/>
      <c r="AO180" s="106"/>
      <c r="AP180" s="106"/>
      <c r="AQ180" s="2"/>
      <c r="AR180" s="106"/>
      <c r="AS180" s="106"/>
      <c r="AT180" s="106"/>
      <c r="AU180" s="106"/>
      <c r="AV180" s="106"/>
      <c r="AW180" s="106"/>
      <c r="AX180" s="9"/>
      <c r="AY180" s="488"/>
      <c r="AZ180" s="488"/>
      <c r="BA180" s="488"/>
      <c r="BB180" s="488"/>
      <c r="BC180" s="488"/>
      <c r="BD180" s="488"/>
      <c r="BE180" s="488"/>
      <c r="BF180" s="488"/>
      <c r="BG180" s="488"/>
      <c r="BH180" s="488"/>
      <c r="BI180" s="488"/>
      <c r="BJ180" s="488"/>
      <c r="BK180" s="488"/>
      <c r="BL180" s="488"/>
      <c r="BM180" s="488"/>
      <c r="BN180" s="488"/>
      <c r="BO180" s="488"/>
      <c r="BP180" s="488"/>
      <c r="BQ180" s="488"/>
      <c r="BR180" s="488"/>
      <c r="BS180" s="488"/>
      <c r="BT180" s="488"/>
      <c r="BU180" s="488"/>
      <c r="BV180" s="488"/>
      <c r="BW180" s="488"/>
      <c r="BX180" s="488"/>
      <c r="BY180" s="488"/>
      <c r="BZ180" s="488"/>
      <c r="CA180" s="488"/>
      <c r="CB180" s="488"/>
      <c r="CC180" s="488"/>
      <c r="CD180" s="488"/>
      <c r="CE180" s="488"/>
      <c r="CF180" s="488"/>
      <c r="CG180" s="488"/>
      <c r="CH180" s="488"/>
      <c r="CI180" s="488"/>
      <c r="CJ180" s="488"/>
      <c r="CK180" s="488"/>
      <c r="CL180" s="488"/>
      <c r="CM180" s="488"/>
      <c r="CN180" s="488"/>
      <c r="CO180" s="488"/>
      <c r="CP180" s="488"/>
      <c r="CQ180" s="488"/>
      <c r="CR180" s="488"/>
      <c r="CS180" s="488"/>
      <c r="CT180" s="488"/>
      <c r="CU180" s="488"/>
      <c r="CV180" s="488"/>
      <c r="CW180" s="488"/>
      <c r="CX180" s="488"/>
      <c r="CY180" s="488"/>
      <c r="CZ180" s="488"/>
      <c r="DA180" s="488"/>
      <c r="DB180" s="488"/>
      <c r="DC180" s="488"/>
      <c r="DD180" s="488"/>
      <c r="DE180" s="488"/>
      <c r="DF180" s="488"/>
      <c r="DG180" s="488"/>
      <c r="DH180" s="488"/>
      <c r="DI180" s="488"/>
      <c r="DJ180" s="488"/>
      <c r="DK180" s="488"/>
      <c r="DL180" s="488"/>
      <c r="DM180" s="488"/>
      <c r="DN180" s="488"/>
      <c r="DO180" s="488"/>
      <c r="DP180" s="488"/>
      <c r="DQ180" s="488"/>
      <c r="DR180" s="488"/>
      <c r="DS180" s="488"/>
      <c r="DT180" s="488"/>
      <c r="DU180" s="488"/>
      <c r="DV180" s="488"/>
      <c r="DW180" s="488"/>
      <c r="DX180" s="488"/>
      <c r="DY180" s="488"/>
      <c r="DZ180" s="488"/>
      <c r="EA180" s="488"/>
      <c r="EB180" s="488"/>
      <c r="EC180" s="488"/>
      <c r="ED180" s="488"/>
      <c r="EE180" s="488"/>
      <c r="EF180" s="488"/>
      <c r="EG180" s="488"/>
      <c r="EH180" s="488"/>
      <c r="EI180" s="488"/>
      <c r="EJ180" s="488"/>
      <c r="EK180" s="488"/>
      <c r="EL180" s="488"/>
      <c r="EM180" s="488"/>
      <c r="EN180" s="488"/>
      <c r="EO180" s="488"/>
      <c r="EP180" s="488"/>
      <c r="EQ180" s="488"/>
      <c r="ER180" s="488"/>
      <c r="ES180" s="488"/>
      <c r="ET180" s="488"/>
      <c r="EU180" s="488"/>
      <c r="EV180" s="488"/>
      <c r="EW180" s="488"/>
      <c r="EX180" s="488"/>
      <c r="EY180" s="488"/>
      <c r="EZ180" s="488"/>
      <c r="FA180" s="488"/>
      <c r="FB180" s="488"/>
      <c r="FC180" s="488"/>
      <c r="FD180" s="488"/>
      <c r="FE180" s="488"/>
      <c r="FF180" s="488"/>
      <c r="FG180" s="488"/>
      <c r="FH180" s="488"/>
    </row>
    <row r="181" spans="1:164" ht="13.05" hidden="1" customHeight="1" x14ac:dyDescent="0.25">
      <c r="A181" t="str">
        <f>Nutrients!B180</f>
        <v>AX3 Digest NFP</v>
      </c>
      <c r="B181" s="106"/>
      <c r="C181" s="106"/>
      <c r="D181" s="106"/>
      <c r="E181" s="106"/>
      <c r="F181" s="106"/>
      <c r="G181" s="106"/>
      <c r="H181" s="106"/>
      <c r="I181" s="106"/>
      <c r="J181" s="106"/>
      <c r="K181" s="106"/>
      <c r="L181" s="106"/>
      <c r="M181" s="106"/>
      <c r="N181" s="106"/>
      <c r="O181" s="29"/>
      <c r="P181" s="106"/>
      <c r="Q181" s="106"/>
      <c r="R181" s="106"/>
      <c r="S181" s="106"/>
      <c r="T181" s="106"/>
      <c r="U181" s="106"/>
      <c r="V181" s="9"/>
      <c r="W181" s="106"/>
      <c r="X181" s="106"/>
      <c r="Y181" s="106"/>
      <c r="Z181" s="106"/>
      <c r="AA181" s="106"/>
      <c r="AB181" s="106"/>
      <c r="AC181" s="2"/>
      <c r="AD181" s="106"/>
      <c r="AE181" s="106"/>
      <c r="AF181" s="106"/>
      <c r="AG181" s="106"/>
      <c r="AH181" s="106"/>
      <c r="AI181" s="106"/>
      <c r="AJ181" s="2"/>
      <c r="AK181" s="106"/>
      <c r="AL181" s="106"/>
      <c r="AM181" s="106"/>
      <c r="AN181" s="106"/>
      <c r="AO181" s="106"/>
      <c r="AP181" s="106"/>
      <c r="AQ181" s="2"/>
      <c r="AR181" s="106"/>
      <c r="AS181" s="106"/>
      <c r="AT181" s="106"/>
      <c r="AU181" s="106"/>
      <c r="AV181" s="106"/>
      <c r="AW181" s="106"/>
      <c r="AX181" s="9"/>
      <c r="AY181" s="488"/>
      <c r="AZ181" s="488"/>
      <c r="BA181" s="488"/>
      <c r="BB181" s="488"/>
      <c r="BC181" s="488"/>
      <c r="BD181" s="488"/>
      <c r="BE181" s="488"/>
      <c r="BF181" s="488"/>
      <c r="BG181" s="488"/>
      <c r="BH181" s="488"/>
      <c r="BI181" s="488"/>
      <c r="BJ181" s="488"/>
      <c r="BK181" s="488"/>
      <c r="BL181" s="488"/>
      <c r="BM181" s="488"/>
      <c r="BN181" s="488"/>
      <c r="BO181" s="488"/>
      <c r="BP181" s="488"/>
      <c r="BQ181" s="488"/>
      <c r="BR181" s="488"/>
      <c r="BS181" s="488"/>
      <c r="BT181" s="488"/>
      <c r="BU181" s="488"/>
      <c r="BV181" s="488"/>
      <c r="BW181" s="488"/>
      <c r="BX181" s="488"/>
      <c r="BY181" s="488"/>
      <c r="BZ181" s="488"/>
      <c r="CA181" s="488"/>
      <c r="CB181" s="488"/>
      <c r="CC181" s="488"/>
      <c r="CD181" s="488"/>
      <c r="CE181" s="488"/>
      <c r="CF181" s="488"/>
      <c r="CG181" s="488"/>
      <c r="CH181" s="488"/>
      <c r="CI181" s="488"/>
      <c r="CJ181" s="488"/>
      <c r="CK181" s="488"/>
      <c r="CL181" s="488"/>
      <c r="CM181" s="488"/>
      <c r="CN181" s="488"/>
      <c r="CO181" s="488"/>
      <c r="CP181" s="488"/>
      <c r="CQ181" s="488"/>
      <c r="CR181" s="488"/>
      <c r="CS181" s="488"/>
      <c r="CT181" s="488"/>
      <c r="CU181" s="488"/>
      <c r="CV181" s="488"/>
      <c r="CW181" s="488"/>
      <c r="CX181" s="488"/>
      <c r="CY181" s="488"/>
      <c r="CZ181" s="488"/>
      <c r="DA181" s="488"/>
      <c r="DB181" s="488"/>
      <c r="DC181" s="488"/>
      <c r="DD181" s="488"/>
      <c r="DE181" s="488"/>
      <c r="DF181" s="488"/>
      <c r="DG181" s="488"/>
      <c r="DH181" s="488"/>
      <c r="DI181" s="488"/>
      <c r="DJ181" s="488"/>
      <c r="DK181" s="488"/>
      <c r="DL181" s="488"/>
      <c r="DM181" s="488"/>
      <c r="DN181" s="488"/>
      <c r="DO181" s="488"/>
      <c r="DP181" s="488"/>
      <c r="DQ181" s="488"/>
      <c r="DR181" s="488"/>
      <c r="DS181" s="488"/>
      <c r="DT181" s="488"/>
      <c r="DU181" s="488"/>
      <c r="DV181" s="488"/>
      <c r="DW181" s="488"/>
      <c r="DX181" s="488"/>
      <c r="DY181" s="488"/>
      <c r="DZ181" s="488"/>
      <c r="EA181" s="488"/>
      <c r="EB181" s="488"/>
      <c r="EC181" s="488"/>
      <c r="ED181" s="488"/>
      <c r="EE181" s="488"/>
      <c r="EF181" s="488"/>
      <c r="EG181" s="488"/>
      <c r="EH181" s="488"/>
      <c r="EI181" s="488"/>
      <c r="EJ181" s="488"/>
      <c r="EK181" s="488"/>
      <c r="EL181" s="488"/>
      <c r="EM181" s="488"/>
      <c r="EN181" s="488"/>
      <c r="EO181" s="488"/>
      <c r="EP181" s="488"/>
      <c r="EQ181" s="488"/>
      <c r="ER181" s="488"/>
      <c r="ES181" s="488"/>
      <c r="ET181" s="488"/>
      <c r="EU181" s="488"/>
      <c r="EV181" s="488"/>
      <c r="EW181" s="488"/>
      <c r="EX181" s="488"/>
      <c r="EY181" s="488"/>
      <c r="EZ181" s="488"/>
      <c r="FA181" s="488"/>
      <c r="FB181" s="488"/>
      <c r="FC181" s="488"/>
      <c r="FD181" s="488"/>
      <c r="FE181" s="488"/>
      <c r="FF181" s="488"/>
      <c r="FG181" s="488"/>
      <c r="FH181" s="488"/>
    </row>
    <row r="182" spans="1:164" ht="13.05" hidden="1" customHeight="1" x14ac:dyDescent="0.25">
      <c r="A182" t="str">
        <f>Nutrients!B181</f>
        <v>Phase 2 supplement 2018 NFP</v>
      </c>
      <c r="B182" s="106"/>
      <c r="C182" s="106"/>
      <c r="D182" s="106"/>
      <c r="E182" s="106"/>
      <c r="F182" s="106"/>
      <c r="G182" s="106"/>
      <c r="H182" s="106"/>
      <c r="I182" s="106"/>
      <c r="J182" s="106"/>
      <c r="K182" s="106"/>
      <c r="L182" s="106"/>
      <c r="M182" s="106"/>
      <c r="N182" s="106"/>
      <c r="O182" s="29"/>
      <c r="P182" s="106"/>
      <c r="Q182" s="106"/>
      <c r="R182" s="106"/>
      <c r="S182" s="106"/>
      <c r="T182" s="106"/>
      <c r="U182" s="106"/>
      <c r="V182" s="9"/>
      <c r="W182" s="106"/>
      <c r="X182" s="106"/>
      <c r="Y182" s="106"/>
      <c r="Z182" s="106"/>
      <c r="AA182" s="106"/>
      <c r="AB182" s="106"/>
      <c r="AC182" s="2"/>
      <c r="AD182" s="106"/>
      <c r="AE182" s="106"/>
      <c r="AF182" s="106"/>
      <c r="AG182" s="106"/>
      <c r="AH182" s="106"/>
      <c r="AI182" s="106"/>
      <c r="AJ182" s="2"/>
      <c r="AK182" s="106"/>
      <c r="AL182" s="106"/>
      <c r="AM182" s="106"/>
      <c r="AN182" s="106"/>
      <c r="AO182" s="106"/>
      <c r="AP182" s="106"/>
      <c r="AQ182" s="2"/>
      <c r="AR182" s="106"/>
      <c r="AS182" s="106"/>
      <c r="AT182" s="106"/>
      <c r="AU182" s="106"/>
      <c r="AV182" s="106"/>
      <c r="AW182" s="106"/>
      <c r="AX182" s="9"/>
      <c r="AY182" s="488"/>
      <c r="AZ182" s="488"/>
      <c r="BA182" s="488"/>
      <c r="BB182" s="488"/>
      <c r="BC182" s="488"/>
      <c r="BD182" s="488"/>
      <c r="BE182" s="488"/>
      <c r="BF182" s="488"/>
      <c r="BG182" s="488"/>
      <c r="BH182" s="488"/>
      <c r="BI182" s="488"/>
      <c r="BJ182" s="488"/>
      <c r="BK182" s="488"/>
      <c r="BL182" s="488"/>
      <c r="BM182" s="488"/>
      <c r="BN182" s="488"/>
      <c r="BO182" s="488"/>
      <c r="BP182" s="488"/>
      <c r="BQ182" s="488"/>
      <c r="BR182" s="488"/>
      <c r="BS182" s="488"/>
      <c r="BT182" s="488"/>
      <c r="BU182" s="488"/>
      <c r="BV182" s="488"/>
      <c r="BW182" s="488"/>
      <c r="BX182" s="488"/>
      <c r="BY182" s="488"/>
      <c r="BZ182" s="488"/>
      <c r="CA182" s="488"/>
      <c r="CB182" s="488"/>
      <c r="CC182" s="488"/>
      <c r="CD182" s="488"/>
      <c r="CE182" s="488"/>
      <c r="CF182" s="488"/>
      <c r="CG182" s="488"/>
      <c r="CH182" s="488"/>
      <c r="CI182" s="488"/>
      <c r="CJ182" s="488"/>
      <c r="CK182" s="488"/>
      <c r="CL182" s="488"/>
      <c r="CM182" s="488"/>
      <c r="CN182" s="488"/>
      <c r="CO182" s="488"/>
      <c r="CP182" s="488"/>
      <c r="CQ182" s="488"/>
      <c r="CR182" s="488"/>
      <c r="CS182" s="488"/>
      <c r="CT182" s="488"/>
      <c r="CU182" s="488"/>
      <c r="CV182" s="488"/>
      <c r="CW182" s="488"/>
      <c r="CX182" s="488"/>
      <c r="CY182" s="488"/>
      <c r="CZ182" s="488"/>
      <c r="DA182" s="488"/>
      <c r="DB182" s="488"/>
      <c r="DC182" s="488"/>
      <c r="DD182" s="488"/>
      <c r="DE182" s="488"/>
      <c r="DF182" s="488"/>
      <c r="DG182" s="488"/>
      <c r="DH182" s="488"/>
      <c r="DI182" s="488"/>
      <c r="DJ182" s="488"/>
      <c r="DK182" s="488"/>
      <c r="DL182" s="488"/>
      <c r="DM182" s="488"/>
      <c r="DN182" s="488"/>
      <c r="DO182" s="488"/>
      <c r="DP182" s="488"/>
      <c r="DQ182" s="488"/>
      <c r="DR182" s="488"/>
      <c r="DS182" s="488"/>
      <c r="DT182" s="488"/>
      <c r="DU182" s="488"/>
      <c r="DV182" s="488"/>
      <c r="DW182" s="488"/>
      <c r="DX182" s="488"/>
      <c r="DY182" s="488"/>
      <c r="DZ182" s="488"/>
      <c r="EA182" s="488"/>
      <c r="EB182" s="488"/>
      <c r="EC182" s="488"/>
      <c r="ED182" s="488"/>
      <c r="EE182" s="488"/>
      <c r="EF182" s="488"/>
      <c r="EG182" s="488"/>
      <c r="EH182" s="488"/>
      <c r="EI182" s="488"/>
      <c r="EJ182" s="488"/>
      <c r="EK182" s="488"/>
      <c r="EL182" s="488"/>
      <c r="EM182" s="488"/>
      <c r="EN182" s="488"/>
      <c r="EO182" s="488"/>
      <c r="EP182" s="488"/>
      <c r="EQ182" s="488"/>
      <c r="ER182" s="488"/>
      <c r="ES182" s="488"/>
      <c r="ET182" s="488"/>
      <c r="EU182" s="488"/>
      <c r="EV182" s="488"/>
      <c r="EW182" s="488"/>
      <c r="EX182" s="488"/>
      <c r="EY182" s="488"/>
      <c r="EZ182" s="488"/>
      <c r="FA182" s="488"/>
      <c r="FB182" s="488"/>
      <c r="FC182" s="488"/>
      <c r="FD182" s="488"/>
      <c r="FE182" s="488"/>
      <c r="FF182" s="488"/>
      <c r="FG182" s="488"/>
      <c r="FH182" s="488"/>
    </row>
    <row r="183" spans="1:164" ht="13.05" hidden="1" customHeight="1" x14ac:dyDescent="0.25">
      <c r="A183" t="str">
        <f>Nutrients!B182</f>
        <v>Femex 200 NFP</v>
      </c>
      <c r="B183" s="106"/>
      <c r="C183" s="106"/>
      <c r="D183" s="106"/>
      <c r="E183" s="106"/>
      <c r="F183" s="106"/>
      <c r="G183" s="106"/>
      <c r="H183" s="106"/>
      <c r="I183" s="106"/>
      <c r="J183" s="106"/>
      <c r="K183" s="106"/>
      <c r="L183" s="106"/>
      <c r="M183" s="106"/>
      <c r="N183" s="106"/>
      <c r="O183" s="29"/>
      <c r="P183" s="106"/>
      <c r="Q183" s="106"/>
      <c r="R183" s="106"/>
      <c r="S183" s="106"/>
      <c r="T183" s="106"/>
      <c r="U183" s="106"/>
      <c r="V183" s="9"/>
      <c r="W183" s="106"/>
      <c r="X183" s="106"/>
      <c r="Y183" s="106"/>
      <c r="Z183" s="106"/>
      <c r="AA183" s="106"/>
      <c r="AB183" s="106"/>
      <c r="AC183" s="2"/>
      <c r="AD183" s="106"/>
      <c r="AE183" s="106"/>
      <c r="AF183" s="106"/>
      <c r="AG183" s="106"/>
      <c r="AH183" s="106"/>
      <c r="AI183" s="106"/>
      <c r="AJ183" s="2"/>
      <c r="AK183" s="106"/>
      <c r="AL183" s="106"/>
      <c r="AM183" s="106"/>
      <c r="AN183" s="106"/>
      <c r="AO183" s="106"/>
      <c r="AP183" s="106"/>
      <c r="AQ183" s="2"/>
      <c r="AR183" s="106"/>
      <c r="AS183" s="106"/>
      <c r="AT183" s="106"/>
      <c r="AU183" s="106"/>
      <c r="AV183" s="106"/>
      <c r="AW183" s="106"/>
      <c r="AX183" s="9"/>
      <c r="AY183" s="488"/>
      <c r="AZ183" s="488"/>
      <c r="BA183" s="488"/>
      <c r="BB183" s="488"/>
      <c r="BC183" s="488"/>
      <c r="BD183" s="488"/>
      <c r="BE183" s="488"/>
      <c r="BF183" s="488"/>
      <c r="BG183" s="488"/>
      <c r="BH183" s="488"/>
      <c r="BI183" s="488"/>
      <c r="BJ183" s="488"/>
      <c r="BK183" s="488"/>
      <c r="BL183" s="488"/>
      <c r="BM183" s="488"/>
      <c r="BN183" s="488"/>
      <c r="BO183" s="488"/>
      <c r="BP183" s="488"/>
      <c r="BQ183" s="488"/>
      <c r="BR183" s="488"/>
      <c r="BS183" s="488"/>
      <c r="BT183" s="488"/>
      <c r="BU183" s="488"/>
      <c r="BV183" s="488"/>
      <c r="BW183" s="488"/>
      <c r="BX183" s="488"/>
      <c r="BY183" s="488"/>
      <c r="BZ183" s="488"/>
      <c r="CA183" s="488"/>
      <c r="CB183" s="488"/>
      <c r="CC183" s="488"/>
      <c r="CD183" s="488"/>
      <c r="CE183" s="488"/>
      <c r="CF183" s="488"/>
      <c r="CG183" s="488"/>
      <c r="CH183" s="488"/>
      <c r="CI183" s="488"/>
      <c r="CJ183" s="488"/>
      <c r="CK183" s="488"/>
      <c r="CL183" s="488"/>
      <c r="CM183" s="488"/>
      <c r="CN183" s="488"/>
      <c r="CO183" s="488"/>
      <c r="CP183" s="488"/>
      <c r="CQ183" s="488"/>
      <c r="CR183" s="488"/>
      <c r="CS183" s="488"/>
      <c r="CT183" s="488"/>
      <c r="CU183" s="488"/>
      <c r="CV183" s="488"/>
      <c r="CW183" s="488"/>
      <c r="CX183" s="488"/>
      <c r="CY183" s="488"/>
      <c r="CZ183" s="488"/>
      <c r="DA183" s="488"/>
      <c r="DB183" s="488"/>
      <c r="DC183" s="488"/>
      <c r="DD183" s="488"/>
      <c r="DE183" s="488"/>
      <c r="DF183" s="488"/>
      <c r="DG183" s="488"/>
      <c r="DH183" s="488"/>
      <c r="DI183" s="488"/>
      <c r="DJ183" s="488"/>
      <c r="DK183" s="488"/>
      <c r="DL183" s="488"/>
      <c r="DM183" s="488"/>
      <c r="DN183" s="488"/>
      <c r="DO183" s="488"/>
      <c r="DP183" s="488"/>
      <c r="DQ183" s="488"/>
      <c r="DR183" s="488"/>
      <c r="DS183" s="488"/>
      <c r="DT183" s="488"/>
      <c r="DU183" s="488"/>
      <c r="DV183" s="488"/>
      <c r="DW183" s="488"/>
      <c r="DX183" s="488"/>
      <c r="DY183" s="488"/>
      <c r="DZ183" s="488"/>
      <c r="EA183" s="488"/>
      <c r="EB183" s="488"/>
      <c r="EC183" s="488"/>
      <c r="ED183" s="488"/>
      <c r="EE183" s="488"/>
      <c r="EF183" s="488"/>
      <c r="EG183" s="488"/>
      <c r="EH183" s="488"/>
      <c r="EI183" s="488"/>
      <c r="EJ183" s="488"/>
      <c r="EK183" s="488"/>
      <c r="EL183" s="488"/>
      <c r="EM183" s="488"/>
      <c r="EN183" s="488"/>
      <c r="EO183" s="488"/>
      <c r="EP183" s="488"/>
      <c r="EQ183" s="488"/>
      <c r="ER183" s="488"/>
      <c r="ES183" s="488"/>
      <c r="ET183" s="488"/>
      <c r="EU183" s="488"/>
      <c r="EV183" s="488"/>
      <c r="EW183" s="488"/>
      <c r="EX183" s="488"/>
      <c r="EY183" s="488"/>
      <c r="EZ183" s="488"/>
      <c r="FA183" s="488"/>
      <c r="FB183" s="488"/>
      <c r="FC183" s="488"/>
      <c r="FD183" s="488"/>
      <c r="FE183" s="488"/>
      <c r="FF183" s="488"/>
      <c r="FG183" s="488"/>
      <c r="FH183" s="488"/>
    </row>
    <row r="184" spans="1:164" ht="13.05" hidden="1" customHeight="1" x14ac:dyDescent="0.25">
      <c r="A184" t="str">
        <f>Nutrients!B183</f>
        <v xml:space="preserve">NFP Soybean meal w/88% NE of corn </v>
      </c>
      <c r="B184" s="106"/>
      <c r="C184" s="106"/>
      <c r="D184" s="106"/>
      <c r="E184" s="106"/>
      <c r="F184" s="106"/>
      <c r="G184" s="106"/>
      <c r="H184" s="106"/>
      <c r="I184" s="106"/>
      <c r="J184" s="106"/>
      <c r="K184" s="106"/>
      <c r="L184" s="106"/>
      <c r="M184" s="106"/>
      <c r="N184" s="106"/>
      <c r="O184" s="29"/>
      <c r="P184" s="106"/>
      <c r="Q184" s="106"/>
      <c r="R184" s="106"/>
      <c r="S184" s="106"/>
      <c r="T184" s="106"/>
      <c r="U184" s="106"/>
      <c r="V184" s="9"/>
      <c r="W184" s="106"/>
      <c r="X184" s="106"/>
      <c r="Y184" s="106"/>
      <c r="Z184" s="106"/>
      <c r="AA184" s="106"/>
      <c r="AB184" s="106"/>
      <c r="AC184" s="2"/>
      <c r="AD184" s="106"/>
      <c r="AE184" s="106"/>
      <c r="AF184" s="106"/>
      <c r="AG184" s="106"/>
      <c r="AH184" s="106"/>
      <c r="AI184" s="106"/>
      <c r="AJ184" s="2"/>
      <c r="AK184" s="106"/>
      <c r="AL184" s="106"/>
      <c r="AM184" s="106"/>
      <c r="AN184" s="106"/>
      <c r="AO184" s="106"/>
      <c r="AP184" s="106"/>
      <c r="AQ184" s="2"/>
      <c r="AR184" s="106"/>
      <c r="AS184" s="106"/>
      <c r="AT184" s="106"/>
      <c r="AU184" s="106"/>
      <c r="AV184" s="106"/>
      <c r="AW184" s="106"/>
      <c r="AX184" s="9"/>
      <c r="AY184" s="488"/>
      <c r="AZ184" s="488"/>
      <c r="BA184" s="488"/>
      <c r="BB184" s="488"/>
      <c r="BC184" s="488"/>
      <c r="BD184" s="488"/>
      <c r="BE184" s="488"/>
      <c r="BF184" s="488"/>
      <c r="BG184" s="488"/>
      <c r="BH184" s="488"/>
      <c r="BI184" s="488"/>
      <c r="BJ184" s="488"/>
      <c r="BK184" s="488"/>
      <c r="BL184" s="488"/>
      <c r="BM184" s="488"/>
      <c r="BN184" s="488"/>
      <c r="BO184" s="488"/>
      <c r="BP184" s="488"/>
      <c r="BQ184" s="488"/>
      <c r="BR184" s="488"/>
      <c r="BS184" s="488"/>
      <c r="BT184" s="488"/>
      <c r="BU184" s="488"/>
      <c r="BV184" s="488"/>
      <c r="BW184" s="488"/>
      <c r="BX184" s="488"/>
      <c r="BY184" s="488"/>
      <c r="BZ184" s="488"/>
      <c r="CA184" s="488"/>
      <c r="CB184" s="488"/>
      <c r="CC184" s="488"/>
      <c r="CD184" s="488"/>
      <c r="CE184" s="488"/>
      <c r="CF184" s="488"/>
      <c r="CG184" s="488"/>
      <c r="CH184" s="488"/>
      <c r="CI184" s="488"/>
      <c r="CJ184" s="488"/>
      <c r="CK184" s="488"/>
      <c r="CL184" s="488"/>
      <c r="CM184" s="488"/>
      <c r="CN184" s="488"/>
      <c r="CO184" s="488"/>
      <c r="CP184" s="488"/>
      <c r="CQ184" s="488"/>
      <c r="CR184" s="488"/>
      <c r="CS184" s="488"/>
      <c r="CT184" s="488"/>
      <c r="CU184" s="488"/>
      <c r="CV184" s="488"/>
      <c r="CW184" s="488"/>
      <c r="CX184" s="488"/>
      <c r="CY184" s="488"/>
      <c r="CZ184" s="488"/>
      <c r="DA184" s="488"/>
      <c r="DB184" s="488"/>
      <c r="DC184" s="488"/>
      <c r="DD184" s="488"/>
      <c r="DE184" s="488"/>
      <c r="DF184" s="488"/>
      <c r="DG184" s="488"/>
      <c r="DH184" s="488"/>
      <c r="DI184" s="488"/>
      <c r="DJ184" s="488"/>
      <c r="DK184" s="488"/>
      <c r="DL184" s="488"/>
      <c r="DM184" s="488"/>
      <c r="DN184" s="488"/>
      <c r="DO184" s="488"/>
      <c r="DP184" s="488"/>
      <c r="DQ184" s="488"/>
      <c r="DR184" s="488"/>
      <c r="DS184" s="488"/>
      <c r="DT184" s="488"/>
      <c r="DU184" s="488"/>
      <c r="DV184" s="488"/>
      <c r="DW184" s="488"/>
      <c r="DX184" s="488"/>
      <c r="DY184" s="488"/>
      <c r="DZ184" s="488"/>
      <c r="EA184" s="488"/>
      <c r="EB184" s="488"/>
      <c r="EC184" s="488"/>
      <c r="ED184" s="488"/>
      <c r="EE184" s="488"/>
      <c r="EF184" s="488"/>
      <c r="EG184" s="488"/>
      <c r="EH184" s="488"/>
      <c r="EI184" s="488"/>
      <c r="EJ184" s="488"/>
      <c r="EK184" s="488"/>
      <c r="EL184" s="488"/>
      <c r="EM184" s="488"/>
      <c r="EN184" s="488"/>
      <c r="EO184" s="488"/>
      <c r="EP184" s="488"/>
      <c r="EQ184" s="488"/>
      <c r="ER184" s="488"/>
      <c r="ES184" s="488"/>
      <c r="ET184" s="488"/>
      <c r="EU184" s="488"/>
      <c r="EV184" s="488"/>
      <c r="EW184" s="488"/>
      <c r="EX184" s="488"/>
      <c r="EY184" s="488"/>
      <c r="EZ184" s="488"/>
      <c r="FA184" s="488"/>
      <c r="FB184" s="488"/>
      <c r="FC184" s="488"/>
      <c r="FD184" s="488"/>
      <c r="FE184" s="488"/>
      <c r="FF184" s="488"/>
      <c r="FG184" s="488"/>
      <c r="FH184" s="488"/>
    </row>
    <row r="185" spans="1:164" ht="13.05" hidden="1" customHeight="1" x14ac:dyDescent="0.25">
      <c r="A185" t="str">
        <f>Nutrients!B184</f>
        <v>AV-E Digest NFP</v>
      </c>
      <c r="B185" s="106"/>
      <c r="C185" s="106"/>
      <c r="D185" s="106"/>
      <c r="E185" s="106"/>
      <c r="F185" s="106"/>
      <c r="G185" s="106"/>
      <c r="H185" s="106"/>
      <c r="I185" s="106"/>
      <c r="J185" s="106"/>
      <c r="K185" s="106"/>
      <c r="L185" s="106"/>
      <c r="M185" s="106"/>
      <c r="N185" s="106"/>
      <c r="O185" s="29"/>
      <c r="P185" s="106"/>
      <c r="Q185" s="106"/>
      <c r="R185" s="106"/>
      <c r="S185" s="106"/>
      <c r="T185" s="106"/>
      <c r="U185" s="106"/>
      <c r="V185" s="9"/>
      <c r="W185" s="106"/>
      <c r="X185" s="106"/>
      <c r="Y185" s="106"/>
      <c r="Z185" s="106"/>
      <c r="AA185" s="106"/>
      <c r="AB185" s="106"/>
      <c r="AC185" s="2"/>
      <c r="AD185" s="106"/>
      <c r="AE185" s="106"/>
      <c r="AF185" s="106"/>
      <c r="AG185" s="106"/>
      <c r="AH185" s="106"/>
      <c r="AI185" s="106"/>
      <c r="AJ185" s="2"/>
      <c r="AK185" s="106"/>
      <c r="AL185" s="106"/>
      <c r="AM185" s="106"/>
      <c r="AN185" s="106"/>
      <c r="AO185" s="106"/>
      <c r="AP185" s="106"/>
      <c r="AQ185" s="2"/>
      <c r="AR185" s="106"/>
      <c r="AS185" s="106"/>
      <c r="AT185" s="106"/>
      <c r="AU185" s="106"/>
      <c r="AV185" s="106"/>
      <c r="AW185" s="106"/>
      <c r="AX185" s="9"/>
      <c r="AY185" s="488"/>
      <c r="AZ185" s="488"/>
      <c r="BA185" s="488"/>
      <c r="BB185" s="488"/>
      <c r="BC185" s="488"/>
      <c r="BD185" s="488"/>
      <c r="BE185" s="488"/>
      <c r="BF185" s="488"/>
      <c r="BG185" s="488"/>
      <c r="BH185" s="488"/>
      <c r="BI185" s="488"/>
      <c r="BJ185" s="488"/>
      <c r="BK185" s="488"/>
      <c r="BL185" s="488"/>
      <c r="BM185" s="488"/>
      <c r="BN185" s="488"/>
      <c r="BO185" s="488"/>
      <c r="BP185" s="488"/>
      <c r="BQ185" s="488"/>
      <c r="BR185" s="488"/>
      <c r="BS185" s="488"/>
      <c r="BT185" s="488"/>
      <c r="BU185" s="488"/>
      <c r="BV185" s="488"/>
      <c r="BW185" s="488"/>
      <c r="BX185" s="488"/>
      <c r="BY185" s="488"/>
      <c r="BZ185" s="488"/>
      <c r="CA185" s="488"/>
      <c r="CB185" s="488"/>
      <c r="CC185" s="488"/>
      <c r="CD185" s="488"/>
      <c r="CE185" s="488"/>
      <c r="CF185" s="488"/>
      <c r="CG185" s="488"/>
      <c r="CH185" s="488"/>
      <c r="CI185" s="488"/>
      <c r="CJ185" s="488"/>
      <c r="CK185" s="488"/>
      <c r="CL185" s="488"/>
      <c r="CM185" s="488"/>
      <c r="CN185" s="488"/>
      <c r="CO185" s="488"/>
      <c r="CP185" s="488"/>
      <c r="CQ185" s="488"/>
      <c r="CR185" s="488"/>
      <c r="CS185" s="488"/>
      <c r="CT185" s="488"/>
      <c r="CU185" s="488"/>
      <c r="CV185" s="488"/>
      <c r="CW185" s="488"/>
      <c r="CX185" s="488"/>
      <c r="CY185" s="488"/>
      <c r="CZ185" s="488"/>
      <c r="DA185" s="488"/>
      <c r="DB185" s="488"/>
      <c r="DC185" s="488"/>
      <c r="DD185" s="488"/>
      <c r="DE185" s="488"/>
      <c r="DF185" s="488"/>
      <c r="DG185" s="488"/>
      <c r="DH185" s="488"/>
      <c r="DI185" s="488"/>
      <c r="DJ185" s="488"/>
      <c r="DK185" s="488"/>
      <c r="DL185" s="488"/>
      <c r="DM185" s="488"/>
      <c r="DN185" s="488"/>
      <c r="DO185" s="488"/>
      <c r="DP185" s="488"/>
      <c r="DQ185" s="488"/>
      <c r="DR185" s="488"/>
      <c r="DS185" s="488"/>
      <c r="DT185" s="488"/>
      <c r="DU185" s="488"/>
      <c r="DV185" s="488"/>
      <c r="DW185" s="488"/>
      <c r="DX185" s="488"/>
      <c r="DY185" s="488"/>
      <c r="DZ185" s="488"/>
      <c r="EA185" s="488"/>
      <c r="EB185" s="488"/>
      <c r="EC185" s="488"/>
      <c r="ED185" s="488"/>
      <c r="EE185" s="488"/>
      <c r="EF185" s="488"/>
      <c r="EG185" s="488"/>
      <c r="EH185" s="488"/>
      <c r="EI185" s="488"/>
      <c r="EJ185" s="488"/>
      <c r="EK185" s="488"/>
      <c r="EL185" s="488"/>
      <c r="EM185" s="488"/>
      <c r="EN185" s="488"/>
      <c r="EO185" s="488"/>
      <c r="EP185" s="488"/>
      <c r="EQ185" s="488"/>
      <c r="ER185" s="488"/>
      <c r="ES185" s="488"/>
      <c r="ET185" s="488"/>
      <c r="EU185" s="488"/>
      <c r="EV185" s="488"/>
      <c r="EW185" s="488"/>
      <c r="EX185" s="488"/>
      <c r="EY185" s="488"/>
      <c r="EZ185" s="488"/>
      <c r="FA185" s="488"/>
      <c r="FB185" s="488"/>
      <c r="FC185" s="488"/>
      <c r="FD185" s="488"/>
      <c r="FE185" s="488"/>
      <c r="FF185" s="488"/>
      <c r="FG185" s="488"/>
      <c r="FH185" s="488"/>
    </row>
    <row r="186" spans="1:164" ht="13.05" hidden="1" customHeight="1" x14ac:dyDescent="0.25">
      <c r="A186" t="str">
        <f>Nutrients!B185</f>
        <v>QFP Cereal Blend NFP</v>
      </c>
      <c r="B186" s="106"/>
      <c r="C186" s="106"/>
      <c r="D186" s="106"/>
      <c r="E186" s="106"/>
      <c r="F186" s="106"/>
      <c r="G186" s="106"/>
      <c r="H186" s="106"/>
      <c r="I186" s="106"/>
      <c r="J186" s="106"/>
      <c r="K186" s="106"/>
      <c r="L186" s="106"/>
      <c r="M186" s="106"/>
      <c r="N186" s="106"/>
      <c r="O186" s="29"/>
      <c r="P186" s="106"/>
      <c r="Q186" s="106"/>
      <c r="R186" s="106"/>
      <c r="S186" s="106"/>
      <c r="T186" s="106"/>
      <c r="U186" s="106"/>
      <c r="V186" s="9"/>
      <c r="W186" s="106"/>
      <c r="X186" s="106"/>
      <c r="Y186" s="106"/>
      <c r="Z186" s="106"/>
      <c r="AA186" s="106"/>
      <c r="AB186" s="106"/>
      <c r="AC186" s="2"/>
      <c r="AD186" s="106"/>
      <c r="AE186" s="106"/>
      <c r="AF186" s="106"/>
      <c r="AG186" s="106"/>
      <c r="AH186" s="106"/>
      <c r="AI186" s="106"/>
      <c r="AJ186" s="2"/>
      <c r="AK186" s="106"/>
      <c r="AL186" s="106"/>
      <c r="AM186" s="106"/>
      <c r="AN186" s="106"/>
      <c r="AO186" s="106"/>
      <c r="AP186" s="106"/>
      <c r="AQ186" s="2"/>
      <c r="AR186" s="106"/>
      <c r="AS186" s="106"/>
      <c r="AT186" s="106"/>
      <c r="AU186" s="106"/>
      <c r="AV186" s="106"/>
      <c r="AW186" s="106"/>
      <c r="AX186" s="9"/>
      <c r="AY186" s="488"/>
      <c r="AZ186" s="488"/>
      <c r="BA186" s="488"/>
      <c r="BB186" s="488"/>
      <c r="BC186" s="488"/>
      <c r="BD186" s="488"/>
      <c r="BE186" s="488"/>
      <c r="BF186" s="488"/>
      <c r="BG186" s="488"/>
      <c r="BH186" s="488"/>
      <c r="BI186" s="488"/>
      <c r="BJ186" s="488"/>
      <c r="BK186" s="488"/>
      <c r="BL186" s="488"/>
      <c r="BM186" s="488"/>
      <c r="BN186" s="488"/>
      <c r="BO186" s="488"/>
      <c r="BP186" s="488"/>
      <c r="BQ186" s="488"/>
      <c r="BR186" s="488"/>
      <c r="BS186" s="488"/>
      <c r="BT186" s="488"/>
      <c r="BU186" s="488"/>
      <c r="BV186" s="488"/>
      <c r="BW186" s="488"/>
      <c r="BX186" s="488"/>
      <c r="BY186" s="488"/>
      <c r="BZ186" s="488"/>
      <c r="CA186" s="488"/>
      <c r="CB186" s="488"/>
      <c r="CC186" s="488"/>
      <c r="CD186" s="488"/>
      <c r="CE186" s="488"/>
      <c r="CF186" s="488"/>
      <c r="CG186" s="488"/>
      <c r="CH186" s="488"/>
      <c r="CI186" s="488"/>
      <c r="CJ186" s="488"/>
      <c r="CK186" s="488"/>
      <c r="CL186" s="488"/>
      <c r="CM186" s="488"/>
      <c r="CN186" s="488"/>
      <c r="CO186" s="488"/>
      <c r="CP186" s="488"/>
      <c r="CQ186" s="488"/>
      <c r="CR186" s="488"/>
      <c r="CS186" s="488"/>
      <c r="CT186" s="488"/>
      <c r="CU186" s="488"/>
      <c r="CV186" s="488"/>
      <c r="CW186" s="488"/>
      <c r="CX186" s="488"/>
      <c r="CY186" s="488"/>
      <c r="CZ186" s="488"/>
      <c r="DA186" s="488"/>
      <c r="DB186" s="488"/>
      <c r="DC186" s="488"/>
      <c r="DD186" s="488"/>
      <c r="DE186" s="488"/>
      <c r="DF186" s="488"/>
      <c r="DG186" s="488"/>
      <c r="DH186" s="488"/>
      <c r="DI186" s="488"/>
      <c r="DJ186" s="488"/>
      <c r="DK186" s="488"/>
      <c r="DL186" s="488"/>
      <c r="DM186" s="488"/>
      <c r="DN186" s="488"/>
      <c r="DO186" s="488"/>
      <c r="DP186" s="488"/>
      <c r="DQ186" s="488"/>
      <c r="DR186" s="488"/>
      <c r="DS186" s="488"/>
      <c r="DT186" s="488"/>
      <c r="DU186" s="488"/>
      <c r="DV186" s="488"/>
      <c r="DW186" s="488"/>
      <c r="DX186" s="488"/>
      <c r="DY186" s="488"/>
      <c r="DZ186" s="488"/>
      <c r="EA186" s="488"/>
      <c r="EB186" s="488"/>
      <c r="EC186" s="488"/>
      <c r="ED186" s="488"/>
      <c r="EE186" s="488"/>
      <c r="EF186" s="488"/>
      <c r="EG186" s="488"/>
      <c r="EH186" s="488"/>
      <c r="EI186" s="488"/>
      <c r="EJ186" s="488"/>
      <c r="EK186" s="488"/>
      <c r="EL186" s="488"/>
      <c r="EM186" s="488"/>
      <c r="EN186" s="488"/>
      <c r="EO186" s="488"/>
      <c r="EP186" s="488"/>
      <c r="EQ186" s="488"/>
      <c r="ER186" s="488"/>
      <c r="ES186" s="488"/>
      <c r="ET186" s="488"/>
      <c r="EU186" s="488"/>
      <c r="EV186" s="488"/>
      <c r="EW186" s="488"/>
      <c r="EX186" s="488"/>
      <c r="EY186" s="488"/>
      <c r="EZ186" s="488"/>
      <c r="FA186" s="488"/>
      <c r="FB186" s="488"/>
      <c r="FC186" s="488"/>
      <c r="FD186" s="488"/>
      <c r="FE186" s="488"/>
      <c r="FF186" s="488"/>
      <c r="FG186" s="488"/>
      <c r="FH186" s="488"/>
    </row>
    <row r="187" spans="1:164" ht="13.05" hidden="1" customHeight="1" x14ac:dyDescent="0.25">
      <c r="A187" t="str">
        <f>Nutrients!B186</f>
        <v>FXP Ani-Tek NFP</v>
      </c>
      <c r="B187" s="106"/>
      <c r="C187" s="106"/>
      <c r="D187" s="106"/>
      <c r="E187" s="106"/>
      <c r="F187" s="106"/>
      <c r="G187" s="106"/>
      <c r="H187" s="106"/>
      <c r="I187" s="106"/>
      <c r="J187" s="106"/>
      <c r="K187" s="106"/>
      <c r="L187" s="106"/>
      <c r="M187" s="106"/>
      <c r="N187" s="106"/>
      <c r="O187" s="29"/>
      <c r="P187" s="106"/>
      <c r="Q187" s="106"/>
      <c r="R187" s="106"/>
      <c r="S187" s="106"/>
      <c r="T187" s="106"/>
      <c r="U187" s="106"/>
      <c r="V187" s="9"/>
      <c r="W187" s="106"/>
      <c r="X187" s="106"/>
      <c r="Y187" s="106"/>
      <c r="Z187" s="106"/>
      <c r="AA187" s="106"/>
      <c r="AB187" s="106"/>
      <c r="AC187" s="2"/>
      <c r="AD187" s="106"/>
      <c r="AE187" s="106"/>
      <c r="AF187" s="106"/>
      <c r="AG187" s="106"/>
      <c r="AH187" s="106"/>
      <c r="AI187" s="106"/>
      <c r="AJ187" s="2"/>
      <c r="AK187" s="106"/>
      <c r="AL187" s="106"/>
      <c r="AM187" s="106"/>
      <c r="AN187" s="106"/>
      <c r="AO187" s="106"/>
      <c r="AP187" s="106"/>
      <c r="AQ187" s="2"/>
      <c r="AR187" s="106"/>
      <c r="AS187" s="106"/>
      <c r="AT187" s="106"/>
      <c r="AU187" s="106"/>
      <c r="AV187" s="106"/>
      <c r="AW187" s="106"/>
      <c r="AX187" s="9"/>
      <c r="AY187" s="488"/>
      <c r="AZ187" s="488"/>
      <c r="BA187" s="488"/>
      <c r="BB187" s="488"/>
      <c r="BC187" s="488"/>
      <c r="BD187" s="488"/>
      <c r="BE187" s="488"/>
      <c r="BF187" s="488"/>
      <c r="BG187" s="488"/>
      <c r="BH187" s="488"/>
      <c r="BI187" s="488"/>
      <c r="BJ187" s="488"/>
      <c r="BK187" s="488"/>
      <c r="BL187" s="488"/>
      <c r="BM187" s="488"/>
      <c r="BN187" s="488"/>
      <c r="BO187" s="488"/>
      <c r="BP187" s="488"/>
      <c r="BQ187" s="488"/>
      <c r="BR187" s="488"/>
      <c r="BS187" s="488"/>
      <c r="BT187" s="488"/>
      <c r="BU187" s="488"/>
      <c r="BV187" s="488"/>
      <c r="BW187" s="488"/>
      <c r="BX187" s="488"/>
      <c r="BY187" s="488"/>
      <c r="BZ187" s="488"/>
      <c r="CA187" s="488"/>
      <c r="CB187" s="488"/>
      <c r="CC187" s="488"/>
      <c r="CD187" s="488"/>
      <c r="CE187" s="488"/>
      <c r="CF187" s="488"/>
      <c r="CG187" s="488"/>
      <c r="CH187" s="488"/>
      <c r="CI187" s="488"/>
      <c r="CJ187" s="488"/>
      <c r="CK187" s="488"/>
      <c r="CL187" s="488"/>
      <c r="CM187" s="488"/>
      <c r="CN187" s="488"/>
      <c r="CO187" s="488"/>
      <c r="CP187" s="488"/>
      <c r="CQ187" s="488"/>
      <c r="CR187" s="488"/>
      <c r="CS187" s="488"/>
      <c r="CT187" s="488"/>
      <c r="CU187" s="488"/>
      <c r="CV187" s="488"/>
      <c r="CW187" s="488"/>
      <c r="CX187" s="488"/>
      <c r="CY187" s="488"/>
      <c r="CZ187" s="488"/>
      <c r="DA187" s="488"/>
      <c r="DB187" s="488"/>
      <c r="DC187" s="488"/>
      <c r="DD187" s="488"/>
      <c r="DE187" s="488"/>
      <c r="DF187" s="488"/>
      <c r="DG187" s="488"/>
      <c r="DH187" s="488"/>
      <c r="DI187" s="488"/>
      <c r="DJ187" s="488"/>
      <c r="DK187" s="488"/>
      <c r="DL187" s="488"/>
      <c r="DM187" s="488"/>
      <c r="DN187" s="488"/>
      <c r="DO187" s="488"/>
      <c r="DP187" s="488"/>
      <c r="DQ187" s="488"/>
      <c r="DR187" s="488"/>
      <c r="DS187" s="488"/>
      <c r="DT187" s="488"/>
      <c r="DU187" s="488"/>
      <c r="DV187" s="488"/>
      <c r="DW187" s="488"/>
      <c r="DX187" s="488"/>
      <c r="DY187" s="488"/>
      <c r="DZ187" s="488"/>
      <c r="EA187" s="488"/>
      <c r="EB187" s="488"/>
      <c r="EC187" s="488"/>
      <c r="ED187" s="488"/>
      <c r="EE187" s="488"/>
      <c r="EF187" s="488"/>
      <c r="EG187" s="488"/>
      <c r="EH187" s="488"/>
      <c r="EI187" s="488"/>
      <c r="EJ187" s="488"/>
      <c r="EK187" s="488"/>
      <c r="EL187" s="488"/>
      <c r="EM187" s="488"/>
      <c r="EN187" s="488"/>
      <c r="EO187" s="488"/>
      <c r="EP187" s="488"/>
      <c r="EQ187" s="488"/>
      <c r="ER187" s="488"/>
      <c r="ES187" s="488"/>
      <c r="ET187" s="488"/>
      <c r="EU187" s="488"/>
      <c r="EV187" s="488"/>
      <c r="EW187" s="488"/>
      <c r="EX187" s="488"/>
      <c r="EY187" s="488"/>
      <c r="EZ187" s="488"/>
      <c r="FA187" s="488"/>
      <c r="FB187" s="488"/>
      <c r="FC187" s="488"/>
      <c r="FD187" s="488"/>
      <c r="FE187" s="488"/>
      <c r="FF187" s="488"/>
      <c r="FG187" s="488"/>
      <c r="FH187" s="488"/>
    </row>
    <row r="188" spans="1:164" ht="13.05" hidden="1" customHeight="1" x14ac:dyDescent="0.25">
      <c r="A188" t="str">
        <f>Nutrients!B187</f>
        <v>NFP VTM Grower (2021)</v>
      </c>
      <c r="B188" s="106"/>
      <c r="C188" s="106"/>
      <c r="D188" s="106"/>
      <c r="E188" s="106"/>
      <c r="F188" s="106"/>
      <c r="G188" s="106"/>
      <c r="H188" s="106"/>
      <c r="I188" s="106"/>
      <c r="J188" s="106"/>
      <c r="K188" s="106"/>
      <c r="L188" s="106"/>
      <c r="M188" s="106"/>
      <c r="N188" s="106"/>
      <c r="O188" s="29"/>
      <c r="P188" s="106"/>
      <c r="Q188" s="106"/>
      <c r="R188" s="106"/>
      <c r="S188" s="106"/>
      <c r="T188" s="106"/>
      <c r="U188" s="106"/>
      <c r="V188" s="9"/>
      <c r="W188" s="106"/>
      <c r="X188" s="106"/>
      <c r="Y188" s="106"/>
      <c r="Z188" s="106"/>
      <c r="AA188" s="106"/>
      <c r="AB188" s="106"/>
      <c r="AC188" s="2"/>
      <c r="AD188" s="106"/>
      <c r="AE188" s="106"/>
      <c r="AF188" s="106"/>
      <c r="AG188" s="106"/>
      <c r="AH188" s="106"/>
      <c r="AI188" s="106"/>
      <c r="AJ188" s="2"/>
      <c r="AK188" s="106"/>
      <c r="AL188" s="106"/>
      <c r="AM188" s="106"/>
      <c r="AN188" s="106"/>
      <c r="AO188" s="106"/>
      <c r="AP188" s="106"/>
      <c r="AQ188" s="2"/>
      <c r="AR188" s="106"/>
      <c r="AS188" s="106"/>
      <c r="AT188" s="106"/>
      <c r="AU188" s="106"/>
      <c r="AV188" s="106"/>
      <c r="AW188" s="106"/>
      <c r="AX188" s="9"/>
      <c r="AY188" s="488"/>
      <c r="AZ188" s="488"/>
      <c r="BA188" s="488"/>
      <c r="BB188" s="488"/>
      <c r="BC188" s="488"/>
      <c r="BD188" s="488"/>
      <c r="BE188" s="488"/>
      <c r="BF188" s="488"/>
      <c r="BG188" s="488"/>
      <c r="BH188" s="488"/>
      <c r="BI188" s="488"/>
      <c r="BJ188" s="488"/>
      <c r="BK188" s="488"/>
      <c r="BL188" s="488"/>
      <c r="BM188" s="488"/>
      <c r="BN188" s="488"/>
      <c r="BO188" s="488"/>
      <c r="BP188" s="488"/>
      <c r="BQ188" s="488"/>
      <c r="BR188" s="488"/>
      <c r="BS188" s="488"/>
      <c r="BT188" s="488"/>
      <c r="BU188" s="488"/>
      <c r="BV188" s="488"/>
      <c r="BW188" s="488"/>
      <c r="BX188" s="488"/>
      <c r="BY188" s="488"/>
      <c r="BZ188" s="488"/>
      <c r="CA188" s="488"/>
      <c r="CB188" s="488"/>
      <c r="CC188" s="488"/>
      <c r="CD188" s="488"/>
      <c r="CE188" s="488"/>
      <c r="CF188" s="488"/>
      <c r="CG188" s="488"/>
      <c r="CH188" s="488"/>
      <c r="CI188" s="488"/>
      <c r="CJ188" s="488"/>
      <c r="CK188" s="488"/>
      <c r="CL188" s="488"/>
      <c r="CM188" s="488"/>
      <c r="CN188" s="488"/>
      <c r="CO188" s="488"/>
      <c r="CP188" s="488"/>
      <c r="CQ188" s="488"/>
      <c r="CR188" s="488"/>
      <c r="CS188" s="488"/>
      <c r="CT188" s="488"/>
      <c r="CU188" s="488"/>
      <c r="CV188" s="488"/>
      <c r="CW188" s="488"/>
      <c r="CX188" s="488"/>
      <c r="CY188" s="488"/>
      <c r="CZ188" s="488"/>
      <c r="DA188" s="488"/>
      <c r="DB188" s="488"/>
      <c r="DC188" s="488"/>
      <c r="DD188" s="488"/>
      <c r="DE188" s="488"/>
      <c r="DF188" s="488"/>
      <c r="DG188" s="488"/>
      <c r="DH188" s="488"/>
      <c r="DI188" s="488"/>
      <c r="DJ188" s="488"/>
      <c r="DK188" s="488"/>
      <c r="DL188" s="488"/>
      <c r="DM188" s="488"/>
      <c r="DN188" s="488"/>
      <c r="DO188" s="488"/>
      <c r="DP188" s="488"/>
      <c r="DQ188" s="488"/>
      <c r="DR188" s="488"/>
      <c r="DS188" s="488"/>
      <c r="DT188" s="488"/>
      <c r="DU188" s="488"/>
      <c r="DV188" s="488"/>
      <c r="DW188" s="488"/>
      <c r="DX188" s="488"/>
      <c r="DY188" s="488"/>
      <c r="DZ188" s="488"/>
      <c r="EA188" s="488"/>
      <c r="EB188" s="488"/>
      <c r="EC188" s="488"/>
      <c r="ED188" s="488"/>
      <c r="EE188" s="488"/>
      <c r="EF188" s="488"/>
      <c r="EG188" s="488"/>
      <c r="EH188" s="488"/>
      <c r="EI188" s="488"/>
      <c r="EJ188" s="488"/>
      <c r="EK188" s="488"/>
      <c r="EL188" s="488"/>
      <c r="EM188" s="488"/>
      <c r="EN188" s="488"/>
      <c r="EO188" s="488"/>
      <c r="EP188" s="488"/>
      <c r="EQ188" s="488"/>
      <c r="ER188" s="488"/>
      <c r="ES188" s="488"/>
      <c r="ET188" s="488"/>
      <c r="EU188" s="488"/>
      <c r="EV188" s="488"/>
      <c r="EW188" s="488"/>
      <c r="EX188" s="488"/>
      <c r="EY188" s="488"/>
      <c r="EZ188" s="488"/>
      <c r="FA188" s="488"/>
      <c r="FB188" s="488"/>
      <c r="FC188" s="488"/>
      <c r="FD188" s="488"/>
      <c r="FE188" s="488"/>
      <c r="FF188" s="488"/>
      <c r="FG188" s="488"/>
      <c r="FH188" s="488"/>
    </row>
    <row r="189" spans="1:164" ht="13.05" hidden="1" customHeight="1" x14ac:dyDescent="0.25">
      <c r="A189" t="str">
        <f>Nutrients!B188</f>
        <v>NFP VTM Sow (2021)</v>
      </c>
      <c r="B189" s="106"/>
      <c r="C189" s="106"/>
      <c r="D189" s="106"/>
      <c r="E189" s="106"/>
      <c r="F189" s="106"/>
      <c r="G189" s="106"/>
      <c r="H189" s="106"/>
      <c r="I189" s="106"/>
      <c r="J189" s="106"/>
      <c r="K189" s="106"/>
      <c r="L189" s="106"/>
      <c r="M189" s="106"/>
      <c r="N189" s="106"/>
      <c r="O189" s="29"/>
      <c r="P189" s="106"/>
      <c r="Q189" s="106"/>
      <c r="R189" s="106"/>
      <c r="S189" s="106"/>
      <c r="T189" s="106"/>
      <c r="U189" s="106"/>
      <c r="V189" s="9"/>
      <c r="W189" s="106"/>
      <c r="X189" s="106"/>
      <c r="Y189" s="106"/>
      <c r="Z189" s="106"/>
      <c r="AA189" s="106"/>
      <c r="AB189" s="106"/>
      <c r="AC189" s="2"/>
      <c r="AD189" s="106"/>
      <c r="AE189" s="106"/>
      <c r="AF189" s="106"/>
      <c r="AG189" s="106"/>
      <c r="AH189" s="106"/>
      <c r="AI189" s="106"/>
      <c r="AJ189" s="2"/>
      <c r="AK189" s="106"/>
      <c r="AL189" s="106"/>
      <c r="AM189" s="106"/>
      <c r="AN189" s="106"/>
      <c r="AO189" s="106"/>
      <c r="AP189" s="106"/>
      <c r="AQ189" s="2"/>
      <c r="AR189" s="106"/>
      <c r="AS189" s="106"/>
      <c r="AT189" s="106"/>
      <c r="AU189" s="106"/>
      <c r="AV189" s="106"/>
      <c r="AW189" s="106"/>
      <c r="AX189" s="9"/>
      <c r="AY189" s="488"/>
      <c r="AZ189" s="488"/>
      <c r="BA189" s="488"/>
      <c r="BB189" s="488"/>
      <c r="BC189" s="488"/>
      <c r="BD189" s="488"/>
      <c r="BE189" s="488"/>
      <c r="BF189" s="488"/>
      <c r="BG189" s="488"/>
      <c r="BH189" s="488"/>
      <c r="BI189" s="488"/>
      <c r="BJ189" s="488"/>
      <c r="BK189" s="488"/>
      <c r="BL189" s="488"/>
      <c r="BM189" s="488"/>
      <c r="BN189" s="488"/>
      <c r="BO189" s="488"/>
      <c r="BP189" s="488"/>
      <c r="BQ189" s="488"/>
      <c r="BR189" s="488"/>
      <c r="BS189" s="488"/>
      <c r="BT189" s="488"/>
      <c r="BU189" s="488"/>
      <c r="BV189" s="488"/>
      <c r="BW189" s="488"/>
      <c r="BX189" s="488"/>
      <c r="BY189" s="488"/>
      <c r="BZ189" s="488"/>
      <c r="CA189" s="488"/>
      <c r="CB189" s="488"/>
      <c r="CC189" s="488"/>
      <c r="CD189" s="488"/>
      <c r="CE189" s="488"/>
      <c r="CF189" s="488"/>
      <c r="CG189" s="488"/>
      <c r="CH189" s="488"/>
      <c r="CI189" s="488"/>
      <c r="CJ189" s="488"/>
      <c r="CK189" s="488"/>
      <c r="CL189" s="488"/>
      <c r="CM189" s="488"/>
      <c r="CN189" s="488"/>
      <c r="CO189" s="488"/>
      <c r="CP189" s="488"/>
      <c r="CQ189" s="488"/>
      <c r="CR189" s="488"/>
      <c r="CS189" s="488"/>
      <c r="CT189" s="488"/>
      <c r="CU189" s="488"/>
      <c r="CV189" s="488"/>
      <c r="CW189" s="488"/>
      <c r="CX189" s="488"/>
      <c r="CY189" s="488"/>
      <c r="CZ189" s="488"/>
      <c r="DA189" s="488"/>
      <c r="DB189" s="488"/>
      <c r="DC189" s="488"/>
      <c r="DD189" s="488"/>
      <c r="DE189" s="488"/>
      <c r="DF189" s="488"/>
      <c r="DG189" s="488"/>
      <c r="DH189" s="488"/>
      <c r="DI189" s="488"/>
      <c r="DJ189" s="488"/>
      <c r="DK189" s="488"/>
      <c r="DL189" s="488"/>
      <c r="DM189" s="488"/>
      <c r="DN189" s="488"/>
      <c r="DO189" s="488"/>
      <c r="DP189" s="488"/>
      <c r="DQ189" s="488"/>
      <c r="DR189" s="488"/>
      <c r="DS189" s="488"/>
      <c r="DT189" s="488"/>
      <c r="DU189" s="488"/>
      <c r="DV189" s="488"/>
      <c r="DW189" s="488"/>
      <c r="DX189" s="488"/>
      <c r="DY189" s="488"/>
      <c r="DZ189" s="488"/>
      <c r="EA189" s="488"/>
      <c r="EB189" s="488"/>
      <c r="EC189" s="488"/>
      <c r="ED189" s="488"/>
      <c r="EE189" s="488"/>
      <c r="EF189" s="488"/>
      <c r="EG189" s="488"/>
      <c r="EH189" s="488"/>
      <c r="EI189" s="488"/>
      <c r="EJ189" s="488"/>
      <c r="EK189" s="488"/>
      <c r="EL189" s="488"/>
      <c r="EM189" s="488"/>
      <c r="EN189" s="488"/>
      <c r="EO189" s="488"/>
      <c r="EP189" s="488"/>
      <c r="EQ189" s="488"/>
      <c r="ER189" s="488"/>
      <c r="ES189" s="488"/>
      <c r="ET189" s="488"/>
      <c r="EU189" s="488"/>
      <c r="EV189" s="488"/>
      <c r="EW189" s="488"/>
      <c r="EX189" s="488"/>
      <c r="EY189" s="488"/>
      <c r="EZ189" s="488"/>
      <c r="FA189" s="488"/>
      <c r="FB189" s="488"/>
      <c r="FC189" s="488"/>
      <c r="FD189" s="488"/>
      <c r="FE189" s="488"/>
      <c r="FF189" s="488"/>
      <c r="FG189" s="488"/>
      <c r="FH189" s="488"/>
    </row>
    <row r="190" spans="1:164" ht="13.05" hidden="1" customHeight="1" x14ac:dyDescent="0.25">
      <c r="A190" t="str">
        <f>Nutrients!B189</f>
        <v>VevoVitall NFP</v>
      </c>
      <c r="B190" s="106"/>
      <c r="C190" s="106"/>
      <c r="D190" s="106"/>
      <c r="E190" s="106"/>
      <c r="F190" s="106"/>
      <c r="G190" s="106"/>
      <c r="H190" s="106"/>
      <c r="I190" s="106"/>
      <c r="J190" s="106"/>
      <c r="K190" s="106"/>
      <c r="L190" s="106"/>
      <c r="M190" s="106"/>
      <c r="N190" s="106"/>
      <c r="O190" s="29"/>
      <c r="P190" s="106"/>
      <c r="Q190" s="106"/>
      <c r="R190" s="106"/>
      <c r="S190" s="106"/>
      <c r="T190" s="106"/>
      <c r="U190" s="106"/>
      <c r="V190" s="9"/>
      <c r="W190" s="106"/>
      <c r="X190" s="106"/>
      <c r="Y190" s="106"/>
      <c r="Z190" s="106"/>
      <c r="AA190" s="106"/>
      <c r="AB190" s="106"/>
      <c r="AC190" s="2"/>
      <c r="AD190" s="106"/>
      <c r="AE190" s="106"/>
      <c r="AF190" s="106"/>
      <c r="AG190" s="106"/>
      <c r="AH190" s="106"/>
      <c r="AI190" s="106"/>
      <c r="AJ190" s="2"/>
      <c r="AK190" s="106"/>
      <c r="AL190" s="106"/>
      <c r="AM190" s="106"/>
      <c r="AN190" s="106"/>
      <c r="AO190" s="106"/>
      <c r="AP190" s="106"/>
      <c r="AQ190" s="2"/>
      <c r="AR190" s="106"/>
      <c r="AS190" s="106"/>
      <c r="AT190" s="106"/>
      <c r="AU190" s="106"/>
      <c r="AV190" s="106"/>
      <c r="AW190" s="106"/>
      <c r="AX190" s="9"/>
      <c r="AY190" s="488"/>
      <c r="AZ190" s="488"/>
      <c r="BA190" s="488"/>
      <c r="BB190" s="488"/>
      <c r="BC190" s="488"/>
      <c r="BD190" s="488"/>
      <c r="BE190" s="488"/>
      <c r="BF190" s="488"/>
      <c r="BG190" s="488"/>
      <c r="BH190" s="488"/>
      <c r="BI190" s="488"/>
      <c r="BJ190" s="488"/>
      <c r="BK190" s="488"/>
      <c r="BL190" s="488"/>
      <c r="BM190" s="488"/>
      <c r="BN190" s="488"/>
      <c r="BO190" s="488"/>
      <c r="BP190" s="488"/>
      <c r="BQ190" s="488"/>
      <c r="BR190" s="488"/>
      <c r="BS190" s="488"/>
      <c r="BT190" s="488"/>
      <c r="BU190" s="488"/>
      <c r="BV190" s="488"/>
      <c r="BW190" s="488"/>
      <c r="BX190" s="488"/>
      <c r="BY190" s="488"/>
      <c r="BZ190" s="488"/>
      <c r="CA190" s="488"/>
      <c r="CB190" s="488"/>
      <c r="CC190" s="488"/>
      <c r="CD190" s="488"/>
      <c r="CE190" s="488"/>
      <c r="CF190" s="488"/>
      <c r="CG190" s="488"/>
      <c r="CH190" s="488"/>
      <c r="CI190" s="488"/>
      <c r="CJ190" s="488"/>
      <c r="CK190" s="488"/>
      <c r="CL190" s="488"/>
      <c r="CM190" s="488"/>
      <c r="CN190" s="488"/>
      <c r="CO190" s="488"/>
      <c r="CP190" s="488"/>
      <c r="CQ190" s="488"/>
      <c r="CR190" s="488"/>
      <c r="CS190" s="488"/>
      <c r="CT190" s="488"/>
      <c r="CU190" s="488"/>
      <c r="CV190" s="488"/>
      <c r="CW190" s="488"/>
      <c r="CX190" s="488"/>
      <c r="CY190" s="488"/>
      <c r="CZ190" s="488"/>
      <c r="DA190" s="488"/>
      <c r="DB190" s="488"/>
      <c r="DC190" s="488"/>
      <c r="DD190" s="488"/>
      <c r="DE190" s="488"/>
      <c r="DF190" s="488"/>
      <c r="DG190" s="488"/>
      <c r="DH190" s="488"/>
      <c r="DI190" s="488"/>
      <c r="DJ190" s="488"/>
      <c r="DK190" s="488"/>
      <c r="DL190" s="488"/>
      <c r="DM190" s="488"/>
      <c r="DN190" s="488"/>
      <c r="DO190" s="488"/>
      <c r="DP190" s="488"/>
      <c r="DQ190" s="488"/>
      <c r="DR190" s="488"/>
      <c r="DS190" s="488"/>
      <c r="DT190" s="488"/>
      <c r="DU190" s="488"/>
      <c r="DV190" s="488"/>
      <c r="DW190" s="488"/>
      <c r="DX190" s="488"/>
      <c r="DY190" s="488"/>
      <c r="DZ190" s="488"/>
      <c r="EA190" s="488"/>
      <c r="EB190" s="488"/>
      <c r="EC190" s="488"/>
      <c r="ED190" s="488"/>
      <c r="EE190" s="488"/>
      <c r="EF190" s="488"/>
      <c r="EG190" s="488"/>
      <c r="EH190" s="488"/>
      <c r="EI190" s="488"/>
      <c r="EJ190" s="488"/>
      <c r="EK190" s="488"/>
      <c r="EL190" s="488"/>
      <c r="EM190" s="488"/>
      <c r="EN190" s="488"/>
      <c r="EO190" s="488"/>
      <c r="EP190" s="488"/>
      <c r="EQ190" s="488"/>
      <c r="ER190" s="488"/>
      <c r="ES190" s="488"/>
      <c r="ET190" s="488"/>
      <c r="EU190" s="488"/>
      <c r="EV190" s="488"/>
      <c r="EW190" s="488"/>
      <c r="EX190" s="488"/>
      <c r="EY190" s="488"/>
      <c r="EZ190" s="488"/>
      <c r="FA190" s="488"/>
      <c r="FB190" s="488"/>
      <c r="FC190" s="488"/>
      <c r="FD190" s="488"/>
      <c r="FE190" s="488"/>
      <c r="FF190" s="488"/>
      <c r="FG190" s="488"/>
      <c r="FH190" s="488"/>
    </row>
    <row r="191" spans="1:164" ht="13.05" hidden="1" customHeight="1" x14ac:dyDescent="0.25">
      <c r="A191" t="str">
        <f>Nutrients!B190</f>
        <v>MEPRO NFP</v>
      </c>
      <c r="B191" s="106"/>
      <c r="C191" s="106"/>
      <c r="D191" s="106"/>
      <c r="E191" s="106"/>
      <c r="F191" s="106"/>
      <c r="G191" s="106"/>
      <c r="H191" s="106"/>
      <c r="I191" s="106"/>
      <c r="J191" s="106"/>
      <c r="K191" s="106"/>
      <c r="L191" s="106"/>
      <c r="M191" s="106"/>
      <c r="N191" s="106"/>
      <c r="O191" s="29"/>
      <c r="P191" s="106"/>
      <c r="Q191" s="106"/>
      <c r="R191" s="106"/>
      <c r="S191" s="106"/>
      <c r="T191" s="106"/>
      <c r="U191" s="106"/>
      <c r="V191" s="9"/>
      <c r="W191" s="106"/>
      <c r="X191" s="106"/>
      <c r="Y191" s="106"/>
      <c r="Z191" s="106"/>
      <c r="AA191" s="106"/>
      <c r="AB191" s="106"/>
      <c r="AC191" s="2"/>
      <c r="AD191" s="106"/>
      <c r="AE191" s="106"/>
      <c r="AF191" s="106"/>
      <c r="AG191" s="106"/>
      <c r="AH191" s="106"/>
      <c r="AI191" s="106"/>
      <c r="AJ191" s="2"/>
      <c r="AK191" s="106"/>
      <c r="AL191" s="106"/>
      <c r="AM191" s="106"/>
      <c r="AN191" s="106"/>
      <c r="AO191" s="106"/>
      <c r="AP191" s="106"/>
      <c r="AQ191" s="2"/>
      <c r="AR191" s="106"/>
      <c r="AS191" s="106"/>
      <c r="AT191" s="106"/>
      <c r="AU191" s="106"/>
      <c r="AV191" s="106"/>
      <c r="AW191" s="106"/>
      <c r="AX191" s="9"/>
      <c r="AY191" s="488"/>
      <c r="AZ191" s="488"/>
      <c r="BA191" s="488"/>
      <c r="BB191" s="488"/>
      <c r="BC191" s="488"/>
      <c r="BD191" s="488"/>
      <c r="BE191" s="488"/>
      <c r="BF191" s="488"/>
      <c r="BG191" s="488"/>
      <c r="BH191" s="488"/>
      <c r="BI191" s="488"/>
      <c r="BJ191" s="488"/>
      <c r="BK191" s="488"/>
      <c r="BL191" s="488"/>
      <c r="BM191" s="488"/>
      <c r="BN191" s="488"/>
      <c r="BO191" s="488"/>
      <c r="BP191" s="488"/>
      <c r="BQ191" s="488"/>
      <c r="BR191" s="488"/>
      <c r="BS191" s="488"/>
      <c r="BT191" s="488"/>
      <c r="BU191" s="488"/>
      <c r="BV191" s="488"/>
      <c r="BW191" s="488"/>
      <c r="BX191" s="488"/>
      <c r="BY191" s="488"/>
      <c r="BZ191" s="488"/>
      <c r="CA191" s="488"/>
      <c r="CB191" s="488"/>
      <c r="CC191" s="488"/>
      <c r="CD191" s="488"/>
      <c r="CE191" s="488"/>
      <c r="CF191" s="488"/>
      <c r="CG191" s="488"/>
      <c r="CH191" s="488"/>
      <c r="CI191" s="488"/>
      <c r="CJ191" s="488"/>
      <c r="CK191" s="488"/>
      <c r="CL191" s="488"/>
      <c r="CM191" s="488"/>
      <c r="CN191" s="488"/>
      <c r="CO191" s="488"/>
      <c r="CP191" s="488"/>
      <c r="CQ191" s="488"/>
      <c r="CR191" s="488"/>
      <c r="CS191" s="488"/>
      <c r="CT191" s="488"/>
      <c r="CU191" s="488"/>
      <c r="CV191" s="488"/>
      <c r="CW191" s="488"/>
      <c r="CX191" s="488"/>
      <c r="CY191" s="488"/>
      <c r="CZ191" s="488"/>
      <c r="DA191" s="488"/>
      <c r="DB191" s="488"/>
      <c r="DC191" s="488"/>
      <c r="DD191" s="488"/>
      <c r="DE191" s="488"/>
      <c r="DF191" s="488"/>
      <c r="DG191" s="488"/>
      <c r="DH191" s="488"/>
      <c r="DI191" s="488"/>
      <c r="DJ191" s="488"/>
      <c r="DK191" s="488"/>
      <c r="DL191" s="488"/>
      <c r="DM191" s="488"/>
      <c r="DN191" s="488"/>
      <c r="DO191" s="488"/>
      <c r="DP191" s="488"/>
      <c r="DQ191" s="488"/>
      <c r="DR191" s="488"/>
      <c r="DS191" s="488"/>
      <c r="DT191" s="488"/>
      <c r="DU191" s="488"/>
      <c r="DV191" s="488"/>
      <c r="DW191" s="488"/>
      <c r="DX191" s="488"/>
      <c r="DY191" s="488"/>
      <c r="DZ191" s="488"/>
      <c r="EA191" s="488"/>
      <c r="EB191" s="488"/>
      <c r="EC191" s="488"/>
      <c r="ED191" s="488"/>
      <c r="EE191" s="488"/>
      <c r="EF191" s="488"/>
      <c r="EG191" s="488"/>
      <c r="EH191" s="488"/>
      <c r="EI191" s="488"/>
      <c r="EJ191" s="488"/>
      <c r="EK191" s="488"/>
      <c r="EL191" s="488"/>
      <c r="EM191" s="488"/>
      <c r="EN191" s="488"/>
      <c r="EO191" s="488"/>
      <c r="EP191" s="488"/>
      <c r="EQ191" s="488"/>
      <c r="ER191" s="488"/>
      <c r="ES191" s="488"/>
      <c r="ET191" s="488"/>
      <c r="EU191" s="488"/>
      <c r="EV191" s="488"/>
      <c r="EW191" s="488"/>
      <c r="EX191" s="488"/>
      <c r="EY191" s="488"/>
      <c r="EZ191" s="488"/>
      <c r="FA191" s="488"/>
      <c r="FB191" s="488"/>
      <c r="FC191" s="488"/>
      <c r="FD191" s="488"/>
      <c r="FE191" s="488"/>
      <c r="FF191" s="488"/>
      <c r="FG191" s="488"/>
      <c r="FH191" s="488"/>
    </row>
    <row r="192" spans="1:164" ht="13.05" hidden="1" customHeight="1" x14ac:dyDescent="0.25">
      <c r="A192" t="str">
        <f>Nutrients!B191</f>
        <v>AlphaGal 280 P NFP</v>
      </c>
      <c r="B192" s="106"/>
      <c r="C192" s="106"/>
      <c r="D192" s="106"/>
      <c r="E192" s="106"/>
      <c r="F192" s="106"/>
      <c r="G192" s="106"/>
      <c r="H192" s="106"/>
      <c r="I192" s="106"/>
      <c r="J192" s="106"/>
      <c r="K192" s="106"/>
      <c r="L192" s="106"/>
      <c r="M192" s="106"/>
      <c r="N192" s="106"/>
      <c r="O192" s="29"/>
      <c r="P192" s="106"/>
      <c r="Q192" s="106"/>
      <c r="R192" s="106"/>
      <c r="S192" s="106"/>
      <c r="T192" s="106"/>
      <c r="U192" s="106"/>
      <c r="V192" s="9"/>
      <c r="W192" s="106"/>
      <c r="X192" s="106"/>
      <c r="Y192" s="106"/>
      <c r="Z192" s="106"/>
      <c r="AA192" s="106"/>
      <c r="AB192" s="106"/>
      <c r="AC192" s="2"/>
      <c r="AD192" s="106"/>
      <c r="AE192" s="106"/>
      <c r="AF192" s="106"/>
      <c r="AG192" s="106"/>
      <c r="AH192" s="106"/>
      <c r="AI192" s="106"/>
      <c r="AJ192" s="2"/>
      <c r="AK192" s="106"/>
      <c r="AL192" s="106"/>
      <c r="AM192" s="106"/>
      <c r="AN192" s="106"/>
      <c r="AO192" s="106"/>
      <c r="AP192" s="106"/>
      <c r="AQ192" s="2"/>
      <c r="AR192" s="106"/>
      <c r="AS192" s="106"/>
      <c r="AT192" s="106"/>
      <c r="AU192" s="106"/>
      <c r="AV192" s="106"/>
      <c r="AW192" s="106"/>
      <c r="AX192" s="9"/>
      <c r="AY192" s="488"/>
      <c r="AZ192" s="488"/>
      <c r="BA192" s="488"/>
      <c r="BB192" s="488"/>
      <c r="BC192" s="488"/>
      <c r="BD192" s="488"/>
      <c r="BE192" s="488"/>
      <c r="BF192" s="488"/>
      <c r="BG192" s="488"/>
      <c r="BH192" s="488"/>
      <c r="BI192" s="488"/>
      <c r="BJ192" s="488"/>
      <c r="BK192" s="488"/>
      <c r="BL192" s="488"/>
      <c r="BM192" s="488"/>
      <c r="BN192" s="488"/>
      <c r="BO192" s="488"/>
      <c r="BP192" s="488"/>
      <c r="BQ192" s="488"/>
      <c r="BR192" s="488"/>
      <c r="BS192" s="488"/>
      <c r="BT192" s="488"/>
      <c r="BU192" s="488"/>
      <c r="BV192" s="488"/>
      <c r="BW192" s="488"/>
      <c r="BX192" s="488"/>
      <c r="BY192" s="488"/>
      <c r="BZ192" s="488"/>
      <c r="CA192" s="488"/>
      <c r="CB192" s="488"/>
      <c r="CC192" s="488"/>
      <c r="CD192" s="488"/>
      <c r="CE192" s="488"/>
      <c r="CF192" s="488"/>
      <c r="CG192" s="488"/>
      <c r="CH192" s="488"/>
      <c r="CI192" s="488"/>
      <c r="CJ192" s="488"/>
      <c r="CK192" s="488"/>
      <c r="CL192" s="488"/>
      <c r="CM192" s="488"/>
      <c r="CN192" s="488"/>
      <c r="CO192" s="488"/>
      <c r="CP192" s="488"/>
      <c r="CQ192" s="488"/>
      <c r="CR192" s="488"/>
      <c r="CS192" s="488"/>
      <c r="CT192" s="488"/>
      <c r="CU192" s="488"/>
      <c r="CV192" s="488"/>
      <c r="CW192" s="488"/>
      <c r="CX192" s="488"/>
      <c r="CY192" s="488"/>
      <c r="CZ192" s="488"/>
      <c r="DA192" s="488"/>
      <c r="DB192" s="488"/>
      <c r="DC192" s="488"/>
      <c r="DD192" s="488"/>
      <c r="DE192" s="488"/>
      <c r="DF192" s="488"/>
      <c r="DG192" s="488"/>
      <c r="DH192" s="488"/>
      <c r="DI192" s="488"/>
      <c r="DJ192" s="488"/>
      <c r="DK192" s="488"/>
      <c r="DL192" s="488"/>
      <c r="DM192" s="488"/>
      <c r="DN192" s="488"/>
      <c r="DO192" s="488"/>
      <c r="DP192" s="488"/>
      <c r="DQ192" s="488"/>
      <c r="DR192" s="488"/>
      <c r="DS192" s="488"/>
      <c r="DT192" s="488"/>
      <c r="DU192" s="488"/>
      <c r="DV192" s="488"/>
      <c r="DW192" s="488"/>
      <c r="DX192" s="488"/>
      <c r="DY192" s="488"/>
      <c r="DZ192" s="488"/>
      <c r="EA192" s="488"/>
      <c r="EB192" s="488"/>
      <c r="EC192" s="488"/>
      <c r="ED192" s="488"/>
      <c r="EE192" s="488"/>
      <c r="EF192" s="488"/>
      <c r="EG192" s="488"/>
      <c r="EH192" s="488"/>
      <c r="EI192" s="488"/>
      <c r="EJ192" s="488"/>
      <c r="EK192" s="488"/>
      <c r="EL192" s="488"/>
      <c r="EM192" s="488"/>
      <c r="EN192" s="488"/>
      <c r="EO192" s="488"/>
      <c r="EP192" s="488"/>
      <c r="EQ192" s="488"/>
      <c r="ER192" s="488"/>
      <c r="ES192" s="488"/>
      <c r="ET192" s="488"/>
      <c r="EU192" s="488"/>
      <c r="EV192" s="488"/>
      <c r="EW192" s="488"/>
      <c r="EX192" s="488"/>
      <c r="EY192" s="488"/>
      <c r="EZ192" s="488"/>
      <c r="FA192" s="488"/>
      <c r="FB192" s="488"/>
      <c r="FC192" s="488"/>
      <c r="FD192" s="488"/>
      <c r="FE192" s="488"/>
      <c r="FF192" s="488"/>
      <c r="FG192" s="488"/>
      <c r="FH192" s="488"/>
    </row>
    <row r="193" spans="1:164" ht="13.05" hidden="1" customHeight="1" x14ac:dyDescent="0.25">
      <c r="A193" t="str">
        <f>Nutrients!B192</f>
        <v xml:space="preserve">NFP Custom Manganese </v>
      </c>
      <c r="B193" s="106"/>
      <c r="C193" s="106"/>
      <c r="D193" s="106"/>
      <c r="E193" s="106"/>
      <c r="F193" s="106"/>
      <c r="G193" s="106"/>
      <c r="H193" s="106"/>
      <c r="I193" s="106"/>
      <c r="J193" s="106"/>
      <c r="K193" s="106"/>
      <c r="L193" s="106"/>
      <c r="M193" s="106"/>
      <c r="N193" s="106"/>
      <c r="O193" s="29"/>
      <c r="P193" s="106"/>
      <c r="Q193" s="106"/>
      <c r="R193" s="106"/>
      <c r="S193" s="106"/>
      <c r="T193" s="106"/>
      <c r="U193" s="106"/>
      <c r="V193" s="9"/>
      <c r="W193" s="106"/>
      <c r="X193" s="106"/>
      <c r="Y193" s="106"/>
      <c r="Z193" s="106"/>
      <c r="AA193" s="106"/>
      <c r="AB193" s="106"/>
      <c r="AC193" s="2"/>
      <c r="AD193" s="106"/>
      <c r="AE193" s="106"/>
      <c r="AF193" s="106"/>
      <c r="AG193" s="106"/>
      <c r="AH193" s="106"/>
      <c r="AI193" s="106"/>
      <c r="AJ193" s="2"/>
      <c r="AK193" s="106"/>
      <c r="AL193" s="106"/>
      <c r="AM193" s="106"/>
      <c r="AN193" s="106"/>
      <c r="AO193" s="106"/>
      <c r="AP193" s="106"/>
      <c r="AQ193" s="2"/>
      <c r="AR193" s="106"/>
      <c r="AS193" s="106"/>
      <c r="AT193" s="106"/>
      <c r="AU193" s="106"/>
      <c r="AV193" s="106"/>
      <c r="AW193" s="106"/>
      <c r="AX193" s="9"/>
      <c r="AY193" s="488"/>
      <c r="AZ193" s="488"/>
      <c r="BA193" s="488"/>
      <c r="BB193" s="488"/>
      <c r="BC193" s="488"/>
      <c r="BD193" s="488"/>
      <c r="BE193" s="488"/>
      <c r="BF193" s="488"/>
      <c r="BG193" s="488"/>
      <c r="BH193" s="488"/>
      <c r="BI193" s="488"/>
      <c r="BJ193" s="488"/>
      <c r="BK193" s="488"/>
      <c r="BL193" s="488"/>
      <c r="BM193" s="488"/>
      <c r="BN193" s="488"/>
      <c r="BO193" s="488"/>
      <c r="BP193" s="488"/>
      <c r="BQ193" s="488"/>
      <c r="BR193" s="488"/>
      <c r="BS193" s="488"/>
      <c r="BT193" s="488"/>
      <c r="BU193" s="488"/>
      <c r="BV193" s="488"/>
      <c r="BW193" s="488"/>
      <c r="BX193" s="488"/>
      <c r="BY193" s="488"/>
      <c r="BZ193" s="488"/>
      <c r="CA193" s="488"/>
      <c r="CB193" s="488"/>
      <c r="CC193" s="488"/>
      <c r="CD193" s="488"/>
      <c r="CE193" s="488"/>
      <c r="CF193" s="488"/>
      <c r="CG193" s="488"/>
      <c r="CH193" s="488"/>
      <c r="CI193" s="488"/>
      <c r="CJ193" s="488"/>
      <c r="CK193" s="488"/>
      <c r="CL193" s="488"/>
      <c r="CM193" s="488"/>
      <c r="CN193" s="488"/>
      <c r="CO193" s="488"/>
      <c r="CP193" s="488"/>
      <c r="CQ193" s="488"/>
      <c r="CR193" s="488"/>
      <c r="CS193" s="488"/>
      <c r="CT193" s="488"/>
      <c r="CU193" s="488"/>
      <c r="CV193" s="488"/>
      <c r="CW193" s="488"/>
      <c r="CX193" s="488"/>
      <c r="CY193" s="488"/>
      <c r="CZ193" s="488"/>
      <c r="DA193" s="488"/>
      <c r="DB193" s="488"/>
      <c r="DC193" s="488"/>
      <c r="DD193" s="488"/>
      <c r="DE193" s="488"/>
      <c r="DF193" s="488"/>
      <c r="DG193" s="488"/>
      <c r="DH193" s="488"/>
      <c r="DI193" s="488"/>
      <c r="DJ193" s="488"/>
      <c r="DK193" s="488"/>
      <c r="DL193" s="488"/>
      <c r="DM193" s="488"/>
      <c r="DN193" s="488"/>
      <c r="DO193" s="488"/>
      <c r="DP193" s="488"/>
      <c r="DQ193" s="488"/>
      <c r="DR193" s="488"/>
      <c r="DS193" s="488"/>
      <c r="DT193" s="488"/>
      <c r="DU193" s="488"/>
      <c r="DV193" s="488"/>
      <c r="DW193" s="488"/>
      <c r="DX193" s="488"/>
      <c r="DY193" s="488"/>
      <c r="DZ193" s="488"/>
      <c r="EA193" s="488"/>
      <c r="EB193" s="488"/>
      <c r="EC193" s="488"/>
      <c r="ED193" s="488"/>
      <c r="EE193" s="488"/>
      <c r="EF193" s="488"/>
      <c r="EG193" s="488"/>
      <c r="EH193" s="488"/>
      <c r="EI193" s="488"/>
      <c r="EJ193" s="488"/>
      <c r="EK193" s="488"/>
      <c r="EL193" s="488"/>
      <c r="EM193" s="488"/>
      <c r="EN193" s="488"/>
      <c r="EO193" s="488"/>
      <c r="EP193" s="488"/>
      <c r="EQ193" s="488"/>
      <c r="ER193" s="488"/>
      <c r="ES193" s="488"/>
      <c r="ET193" s="488"/>
      <c r="EU193" s="488"/>
      <c r="EV193" s="488"/>
      <c r="EW193" s="488"/>
      <c r="EX193" s="488"/>
      <c r="EY193" s="488"/>
      <c r="EZ193" s="488"/>
      <c r="FA193" s="488"/>
      <c r="FB193" s="488"/>
      <c r="FC193" s="488"/>
      <c r="FD193" s="488"/>
      <c r="FE193" s="488"/>
      <c r="FF193" s="488"/>
      <c r="FG193" s="488"/>
      <c r="FH193" s="488"/>
    </row>
    <row r="194" spans="1:164" ht="13.05" hidden="1" customHeight="1" x14ac:dyDescent="0.25">
      <c r="A194" t="str">
        <f>Nutrients!B193</f>
        <v>Fat Build R2 All Veg 4000 NFP</v>
      </c>
      <c r="B194" s="106"/>
      <c r="C194" s="106"/>
      <c r="D194" s="106"/>
      <c r="E194" s="106"/>
      <c r="F194" s="106"/>
      <c r="G194" s="106"/>
      <c r="H194" s="106"/>
      <c r="I194" s="106"/>
      <c r="J194" s="106"/>
      <c r="K194" s="106"/>
      <c r="L194" s="106"/>
      <c r="M194" s="106"/>
      <c r="N194" s="106"/>
      <c r="O194" s="29"/>
      <c r="P194" s="106"/>
      <c r="Q194" s="106"/>
      <c r="R194" s="106"/>
      <c r="S194" s="106"/>
      <c r="T194" s="106"/>
      <c r="U194" s="106"/>
      <c r="V194" s="9"/>
      <c r="W194" s="106"/>
      <c r="X194" s="106"/>
      <c r="Y194" s="106"/>
      <c r="Z194" s="106"/>
      <c r="AA194" s="106"/>
      <c r="AB194" s="106"/>
      <c r="AC194" s="2"/>
      <c r="AD194" s="106"/>
      <c r="AE194" s="106"/>
      <c r="AF194" s="106"/>
      <c r="AG194" s="106"/>
      <c r="AH194" s="106"/>
      <c r="AI194" s="106"/>
      <c r="AJ194" s="2"/>
      <c r="AK194" s="106"/>
      <c r="AL194" s="106"/>
      <c r="AM194" s="106"/>
      <c r="AN194" s="106"/>
      <c r="AO194" s="106"/>
      <c r="AP194" s="106"/>
      <c r="AQ194" s="2"/>
      <c r="AR194" s="106"/>
      <c r="AS194" s="106"/>
      <c r="AT194" s="106"/>
      <c r="AU194" s="106"/>
      <c r="AV194" s="106"/>
      <c r="AW194" s="106"/>
      <c r="AX194" s="9"/>
      <c r="AY194" s="488"/>
      <c r="AZ194" s="488"/>
      <c r="BA194" s="488"/>
      <c r="BB194" s="488"/>
      <c r="BC194" s="488"/>
      <c r="BD194" s="488"/>
      <c r="BE194" s="488"/>
      <c r="BF194" s="488"/>
      <c r="BG194" s="488"/>
      <c r="BH194" s="488"/>
      <c r="BI194" s="488"/>
      <c r="BJ194" s="488"/>
      <c r="BK194" s="488"/>
      <c r="BL194" s="488"/>
      <c r="BM194" s="488"/>
      <c r="BN194" s="488"/>
      <c r="BO194" s="488"/>
      <c r="BP194" s="488"/>
      <c r="BQ194" s="488"/>
      <c r="BR194" s="488"/>
      <c r="BS194" s="488"/>
      <c r="BT194" s="488"/>
      <c r="BU194" s="488"/>
      <c r="BV194" s="488"/>
      <c r="BW194" s="488"/>
      <c r="BX194" s="488"/>
      <c r="BY194" s="488"/>
      <c r="BZ194" s="488"/>
      <c r="CA194" s="488"/>
      <c r="CB194" s="488"/>
      <c r="CC194" s="488"/>
      <c r="CD194" s="488"/>
      <c r="CE194" s="488"/>
      <c r="CF194" s="488"/>
      <c r="CG194" s="488"/>
      <c r="CH194" s="488"/>
      <c r="CI194" s="488"/>
      <c r="CJ194" s="488"/>
      <c r="CK194" s="488"/>
      <c r="CL194" s="488"/>
      <c r="CM194" s="488"/>
      <c r="CN194" s="488"/>
      <c r="CO194" s="488"/>
      <c r="CP194" s="488"/>
      <c r="CQ194" s="488"/>
      <c r="CR194" s="488"/>
      <c r="CS194" s="488"/>
      <c r="CT194" s="488"/>
      <c r="CU194" s="488"/>
      <c r="CV194" s="488"/>
      <c r="CW194" s="488"/>
      <c r="CX194" s="488"/>
      <c r="CY194" s="488"/>
      <c r="CZ194" s="488"/>
      <c r="DA194" s="488"/>
      <c r="DB194" s="488"/>
      <c r="DC194" s="488"/>
      <c r="DD194" s="488"/>
      <c r="DE194" s="488"/>
      <c r="DF194" s="488"/>
      <c r="DG194" s="488"/>
      <c r="DH194" s="488"/>
      <c r="DI194" s="488"/>
      <c r="DJ194" s="488"/>
      <c r="DK194" s="488"/>
      <c r="DL194" s="488"/>
      <c r="DM194" s="488"/>
      <c r="DN194" s="488"/>
      <c r="DO194" s="488"/>
      <c r="DP194" s="488"/>
      <c r="DQ194" s="488"/>
      <c r="DR194" s="488"/>
      <c r="DS194" s="488"/>
      <c r="DT194" s="488"/>
      <c r="DU194" s="488"/>
      <c r="DV194" s="488"/>
      <c r="DW194" s="488"/>
      <c r="DX194" s="488"/>
      <c r="DY194" s="488"/>
      <c r="DZ194" s="488"/>
      <c r="EA194" s="488"/>
      <c r="EB194" s="488"/>
      <c r="EC194" s="488"/>
      <c r="ED194" s="488"/>
      <c r="EE194" s="488"/>
      <c r="EF194" s="488"/>
      <c r="EG194" s="488"/>
      <c r="EH194" s="488"/>
      <c r="EI194" s="488"/>
      <c r="EJ194" s="488"/>
      <c r="EK194" s="488"/>
      <c r="EL194" s="488"/>
      <c r="EM194" s="488"/>
      <c r="EN194" s="488"/>
      <c r="EO194" s="488"/>
      <c r="EP194" s="488"/>
      <c r="EQ194" s="488"/>
      <c r="ER194" s="488"/>
      <c r="ES194" s="488"/>
      <c r="ET194" s="488"/>
      <c r="EU194" s="488"/>
      <c r="EV194" s="488"/>
      <c r="EW194" s="488"/>
      <c r="EX194" s="488"/>
      <c r="EY194" s="488"/>
      <c r="EZ194" s="488"/>
      <c r="FA194" s="488"/>
      <c r="FB194" s="488"/>
      <c r="FC194" s="488"/>
      <c r="FD194" s="488"/>
      <c r="FE194" s="488"/>
      <c r="FF194" s="488"/>
      <c r="FG194" s="488"/>
      <c r="FH194" s="488"/>
    </row>
    <row r="195" spans="1:164" ht="13.05" hidden="1" customHeight="1" x14ac:dyDescent="0.25">
      <c r="A195" t="str">
        <f>Nutrients!B194</f>
        <v>LipoVital GL 90 NFP</v>
      </c>
      <c r="B195" s="106"/>
      <c r="C195" s="106"/>
      <c r="D195" s="106"/>
      <c r="E195" s="106"/>
      <c r="F195" s="106"/>
      <c r="G195" s="106"/>
      <c r="H195" s="106"/>
      <c r="I195" s="106"/>
      <c r="J195" s="106"/>
      <c r="K195" s="106"/>
      <c r="L195" s="106"/>
      <c r="M195" s="106"/>
      <c r="N195" s="106"/>
      <c r="O195" s="29"/>
      <c r="P195" s="106"/>
      <c r="Q195" s="106"/>
      <c r="R195" s="106"/>
      <c r="S195" s="106"/>
      <c r="T195" s="106"/>
      <c r="U195" s="106"/>
      <c r="V195" s="9"/>
      <c r="W195" s="106"/>
      <c r="X195" s="106"/>
      <c r="Y195" s="106"/>
      <c r="Z195" s="106"/>
      <c r="AA195" s="106"/>
      <c r="AB195" s="106"/>
      <c r="AC195" s="2"/>
      <c r="AD195" s="106"/>
      <c r="AE195" s="106"/>
      <c r="AF195" s="106"/>
      <c r="AG195" s="106"/>
      <c r="AH195" s="106"/>
      <c r="AI195" s="106"/>
      <c r="AJ195" s="2"/>
      <c r="AK195" s="106"/>
      <c r="AL195" s="106"/>
      <c r="AM195" s="106"/>
      <c r="AN195" s="106"/>
      <c r="AO195" s="106"/>
      <c r="AP195" s="106"/>
      <c r="AQ195" s="2"/>
      <c r="AR195" s="106"/>
      <c r="AS195" s="106"/>
      <c r="AT195" s="106"/>
      <c r="AU195" s="106"/>
      <c r="AV195" s="106"/>
      <c r="AW195" s="106"/>
      <c r="AX195" s="9"/>
      <c r="AY195" s="488"/>
      <c r="AZ195" s="488"/>
      <c r="BA195" s="488"/>
      <c r="BB195" s="488"/>
      <c r="BC195" s="488"/>
      <c r="BD195" s="488"/>
      <c r="BE195" s="488"/>
      <c r="BF195" s="488"/>
      <c r="BG195" s="488"/>
      <c r="BH195" s="488"/>
      <c r="BI195" s="488"/>
      <c r="BJ195" s="488"/>
      <c r="BK195" s="488"/>
      <c r="BL195" s="488"/>
      <c r="BM195" s="488"/>
      <c r="BN195" s="488"/>
      <c r="BO195" s="488"/>
      <c r="BP195" s="488"/>
      <c r="BQ195" s="488"/>
      <c r="BR195" s="488"/>
      <c r="BS195" s="488"/>
      <c r="BT195" s="488"/>
      <c r="BU195" s="488"/>
      <c r="BV195" s="488"/>
      <c r="BW195" s="488"/>
      <c r="BX195" s="488"/>
      <c r="BY195" s="488"/>
      <c r="BZ195" s="488"/>
      <c r="CA195" s="488"/>
      <c r="CB195" s="488"/>
      <c r="CC195" s="488"/>
      <c r="CD195" s="488"/>
      <c r="CE195" s="488"/>
      <c r="CF195" s="488"/>
      <c r="CG195" s="488"/>
      <c r="CH195" s="488"/>
      <c r="CI195" s="488"/>
      <c r="CJ195" s="488"/>
      <c r="CK195" s="488"/>
      <c r="CL195" s="488"/>
      <c r="CM195" s="488"/>
      <c r="CN195" s="488"/>
      <c r="CO195" s="488"/>
      <c r="CP195" s="488"/>
      <c r="CQ195" s="488"/>
      <c r="CR195" s="488"/>
      <c r="CS195" s="488"/>
      <c r="CT195" s="488"/>
      <c r="CU195" s="488"/>
      <c r="CV195" s="488"/>
      <c r="CW195" s="488"/>
      <c r="CX195" s="488"/>
      <c r="CY195" s="488"/>
      <c r="CZ195" s="488"/>
      <c r="DA195" s="488"/>
      <c r="DB195" s="488"/>
      <c r="DC195" s="488"/>
      <c r="DD195" s="488"/>
      <c r="DE195" s="488"/>
      <c r="DF195" s="488"/>
      <c r="DG195" s="488"/>
      <c r="DH195" s="488"/>
      <c r="DI195" s="488"/>
      <c r="DJ195" s="488"/>
      <c r="DK195" s="488"/>
      <c r="DL195" s="488"/>
      <c r="DM195" s="488"/>
      <c r="DN195" s="488"/>
      <c r="DO195" s="488"/>
      <c r="DP195" s="488"/>
      <c r="DQ195" s="488"/>
      <c r="DR195" s="488"/>
      <c r="DS195" s="488"/>
      <c r="DT195" s="488"/>
      <c r="DU195" s="488"/>
      <c r="DV195" s="488"/>
      <c r="DW195" s="488"/>
      <c r="DX195" s="488"/>
      <c r="DY195" s="488"/>
      <c r="DZ195" s="488"/>
      <c r="EA195" s="488"/>
      <c r="EB195" s="488"/>
      <c r="EC195" s="488"/>
      <c r="ED195" s="488"/>
      <c r="EE195" s="488"/>
      <c r="EF195" s="488"/>
      <c r="EG195" s="488"/>
      <c r="EH195" s="488"/>
      <c r="EI195" s="488"/>
      <c r="EJ195" s="488"/>
      <c r="EK195" s="488"/>
      <c r="EL195" s="488"/>
      <c r="EM195" s="488"/>
      <c r="EN195" s="488"/>
      <c r="EO195" s="488"/>
      <c r="EP195" s="488"/>
      <c r="EQ195" s="488"/>
      <c r="ER195" s="488"/>
      <c r="ES195" s="488"/>
      <c r="ET195" s="488"/>
      <c r="EU195" s="488"/>
      <c r="EV195" s="488"/>
      <c r="EW195" s="488"/>
      <c r="EX195" s="488"/>
      <c r="EY195" s="488"/>
      <c r="EZ195" s="488"/>
      <c r="FA195" s="488"/>
      <c r="FB195" s="488"/>
      <c r="FC195" s="488"/>
      <c r="FD195" s="488"/>
      <c r="FE195" s="488"/>
      <c r="FF195" s="488"/>
      <c r="FG195" s="488"/>
      <c r="FH195" s="488"/>
    </row>
    <row r="196" spans="1:164" ht="13.05" hidden="1" customHeight="1" x14ac:dyDescent="0.25">
      <c r="A196" t="str">
        <f>Nutrients!B195</f>
        <v>NFP Custom Zinc</v>
      </c>
      <c r="B196" s="106"/>
      <c r="C196" s="106"/>
      <c r="D196" s="106"/>
      <c r="E196" s="106"/>
      <c r="F196" s="106"/>
      <c r="G196" s="106"/>
      <c r="H196" s="106"/>
      <c r="I196" s="106"/>
      <c r="J196" s="106"/>
      <c r="K196" s="106"/>
      <c r="L196" s="106"/>
      <c r="M196" s="106"/>
      <c r="N196" s="106"/>
      <c r="O196" s="29"/>
      <c r="P196" s="106"/>
      <c r="Q196" s="106"/>
      <c r="R196" s="106"/>
      <c r="S196" s="106"/>
      <c r="T196" s="106"/>
      <c r="U196" s="106"/>
      <c r="V196" s="9"/>
      <c r="W196" s="106"/>
      <c r="X196" s="106"/>
      <c r="Y196" s="106"/>
      <c r="Z196" s="106"/>
      <c r="AA196" s="106"/>
      <c r="AB196" s="106"/>
      <c r="AC196" s="2"/>
      <c r="AD196" s="106"/>
      <c r="AE196" s="106"/>
      <c r="AF196" s="106"/>
      <c r="AG196" s="106"/>
      <c r="AH196" s="106"/>
      <c r="AI196" s="106"/>
      <c r="AJ196" s="2"/>
      <c r="AK196" s="106"/>
      <c r="AL196" s="106"/>
      <c r="AM196" s="106"/>
      <c r="AN196" s="106"/>
      <c r="AO196" s="106"/>
      <c r="AP196" s="106"/>
      <c r="AQ196" s="2"/>
      <c r="AR196" s="106"/>
      <c r="AS196" s="106"/>
      <c r="AT196" s="106"/>
      <c r="AU196" s="106"/>
      <c r="AV196" s="106"/>
      <c r="AW196" s="106"/>
      <c r="AX196" s="9"/>
      <c r="AY196" s="488"/>
      <c r="AZ196" s="488"/>
      <c r="BA196" s="488"/>
      <c r="BB196" s="488"/>
      <c r="BC196" s="488"/>
      <c r="BD196" s="488"/>
      <c r="BE196" s="488"/>
      <c r="BF196" s="488"/>
      <c r="BG196" s="488"/>
      <c r="BH196" s="488"/>
      <c r="BI196" s="488"/>
      <c r="BJ196" s="488"/>
      <c r="BK196" s="488"/>
      <c r="BL196" s="488"/>
      <c r="BM196" s="488"/>
      <c r="BN196" s="488"/>
      <c r="BO196" s="488"/>
      <c r="BP196" s="488"/>
      <c r="BQ196" s="488"/>
      <c r="BR196" s="488"/>
      <c r="BS196" s="488"/>
      <c r="BT196" s="488"/>
      <c r="BU196" s="488"/>
      <c r="BV196" s="488"/>
      <c r="BW196" s="488"/>
      <c r="BX196" s="488"/>
      <c r="BY196" s="488"/>
      <c r="BZ196" s="488"/>
      <c r="CA196" s="488"/>
      <c r="CB196" s="488"/>
      <c r="CC196" s="488"/>
      <c r="CD196" s="488"/>
      <c r="CE196" s="488"/>
      <c r="CF196" s="488"/>
      <c r="CG196" s="488"/>
      <c r="CH196" s="488"/>
      <c r="CI196" s="488"/>
      <c r="CJ196" s="488"/>
      <c r="CK196" s="488"/>
      <c r="CL196" s="488"/>
      <c r="CM196" s="488"/>
      <c r="CN196" s="488"/>
      <c r="CO196" s="488"/>
      <c r="CP196" s="488"/>
      <c r="CQ196" s="488"/>
      <c r="CR196" s="488"/>
      <c r="CS196" s="488"/>
      <c r="CT196" s="488"/>
      <c r="CU196" s="488"/>
      <c r="CV196" s="488"/>
      <c r="CW196" s="488"/>
      <c r="CX196" s="488"/>
      <c r="CY196" s="488"/>
      <c r="CZ196" s="488"/>
      <c r="DA196" s="488"/>
      <c r="DB196" s="488"/>
      <c r="DC196" s="488"/>
      <c r="DD196" s="488"/>
      <c r="DE196" s="488"/>
      <c r="DF196" s="488"/>
      <c r="DG196" s="488"/>
      <c r="DH196" s="488"/>
      <c r="DI196" s="488"/>
      <c r="DJ196" s="488"/>
      <c r="DK196" s="488"/>
      <c r="DL196" s="488"/>
      <c r="DM196" s="488"/>
      <c r="DN196" s="488"/>
      <c r="DO196" s="488"/>
      <c r="DP196" s="488"/>
      <c r="DQ196" s="488"/>
      <c r="DR196" s="488"/>
      <c r="DS196" s="488"/>
      <c r="DT196" s="488"/>
      <c r="DU196" s="488"/>
      <c r="DV196" s="488"/>
      <c r="DW196" s="488"/>
      <c r="DX196" s="488"/>
      <c r="DY196" s="488"/>
      <c r="DZ196" s="488"/>
      <c r="EA196" s="488"/>
      <c r="EB196" s="488"/>
      <c r="EC196" s="488"/>
      <c r="ED196" s="488"/>
      <c r="EE196" s="488"/>
      <c r="EF196" s="488"/>
      <c r="EG196" s="488"/>
      <c r="EH196" s="488"/>
      <c r="EI196" s="488"/>
      <c r="EJ196" s="488"/>
      <c r="EK196" s="488"/>
      <c r="EL196" s="488"/>
      <c r="EM196" s="488"/>
      <c r="EN196" s="488"/>
      <c r="EO196" s="488"/>
      <c r="EP196" s="488"/>
      <c r="EQ196" s="488"/>
      <c r="ER196" s="488"/>
      <c r="ES196" s="488"/>
      <c r="ET196" s="488"/>
      <c r="EU196" s="488"/>
      <c r="EV196" s="488"/>
      <c r="EW196" s="488"/>
      <c r="EX196" s="488"/>
      <c r="EY196" s="488"/>
      <c r="EZ196" s="488"/>
      <c r="FA196" s="488"/>
      <c r="FB196" s="488"/>
      <c r="FC196" s="488"/>
      <c r="FD196" s="488"/>
      <c r="FE196" s="488"/>
      <c r="FF196" s="488"/>
      <c r="FG196" s="488"/>
      <c r="FH196" s="488"/>
    </row>
    <row r="197" spans="1:164" ht="13.05" hidden="1" customHeight="1" x14ac:dyDescent="0.25">
      <c r="A197" t="str">
        <f>Nutrients!B196</f>
        <v>THRPRO-L Threonine 80% NFP</v>
      </c>
      <c r="B197" s="106"/>
      <c r="C197" s="106"/>
      <c r="D197" s="106"/>
      <c r="E197" s="106"/>
      <c r="F197" s="106"/>
      <c r="G197" s="106"/>
      <c r="H197" s="106"/>
      <c r="I197" s="106"/>
      <c r="J197" s="106"/>
      <c r="K197" s="106"/>
      <c r="L197" s="106"/>
      <c r="M197" s="106"/>
      <c r="N197" s="106"/>
      <c r="O197" s="29"/>
      <c r="P197" s="106"/>
      <c r="Q197" s="106"/>
      <c r="R197" s="106"/>
      <c r="S197" s="106"/>
      <c r="T197" s="106"/>
      <c r="U197" s="106"/>
      <c r="V197" s="9"/>
      <c r="W197" s="106"/>
      <c r="X197" s="106"/>
      <c r="Y197" s="106"/>
      <c r="Z197" s="106"/>
      <c r="AA197" s="106"/>
      <c r="AB197" s="106"/>
      <c r="AC197" s="2"/>
      <c r="AD197" s="106"/>
      <c r="AE197" s="106"/>
      <c r="AF197" s="106"/>
      <c r="AG197" s="106"/>
      <c r="AH197" s="106"/>
      <c r="AI197" s="106"/>
      <c r="AJ197" s="2"/>
      <c r="AK197" s="106"/>
      <c r="AL197" s="106"/>
      <c r="AM197" s="106"/>
      <c r="AN197" s="106"/>
      <c r="AO197" s="106"/>
      <c r="AP197" s="106"/>
      <c r="AQ197" s="2"/>
      <c r="AR197" s="106"/>
      <c r="AS197" s="106"/>
      <c r="AT197" s="106"/>
      <c r="AU197" s="106"/>
      <c r="AV197" s="106"/>
      <c r="AW197" s="106"/>
      <c r="AX197" s="9"/>
      <c r="AY197" s="488"/>
      <c r="AZ197" s="488"/>
      <c r="BA197" s="488"/>
      <c r="BB197" s="488"/>
      <c r="BC197" s="488"/>
      <c r="BD197" s="488"/>
      <c r="BE197" s="488"/>
      <c r="BF197" s="488"/>
      <c r="BG197" s="488"/>
      <c r="BH197" s="488"/>
      <c r="BI197" s="488"/>
      <c r="BJ197" s="488"/>
      <c r="BK197" s="488"/>
      <c r="BL197" s="488"/>
      <c r="BM197" s="488"/>
      <c r="BN197" s="488"/>
      <c r="BO197" s="488"/>
      <c r="BP197" s="488"/>
      <c r="BQ197" s="488"/>
      <c r="BR197" s="488"/>
      <c r="BS197" s="488"/>
      <c r="BT197" s="488"/>
      <c r="BU197" s="488"/>
      <c r="BV197" s="488"/>
      <c r="BW197" s="488"/>
      <c r="BX197" s="488"/>
      <c r="BY197" s="488"/>
      <c r="BZ197" s="488"/>
      <c r="CA197" s="488"/>
      <c r="CB197" s="488"/>
      <c r="CC197" s="488"/>
      <c r="CD197" s="488"/>
      <c r="CE197" s="488"/>
      <c r="CF197" s="488"/>
      <c r="CG197" s="488"/>
      <c r="CH197" s="488"/>
      <c r="CI197" s="488"/>
      <c r="CJ197" s="488"/>
      <c r="CK197" s="488"/>
      <c r="CL197" s="488"/>
      <c r="CM197" s="488"/>
      <c r="CN197" s="488"/>
      <c r="CO197" s="488"/>
      <c r="CP197" s="488"/>
      <c r="CQ197" s="488"/>
      <c r="CR197" s="488"/>
      <c r="CS197" s="488"/>
      <c r="CT197" s="488"/>
      <c r="CU197" s="488"/>
      <c r="CV197" s="488"/>
      <c r="CW197" s="488"/>
      <c r="CX197" s="488"/>
      <c r="CY197" s="488"/>
      <c r="CZ197" s="488"/>
      <c r="DA197" s="488"/>
      <c r="DB197" s="488"/>
      <c r="DC197" s="488"/>
      <c r="DD197" s="488"/>
      <c r="DE197" s="488"/>
      <c r="DF197" s="488"/>
      <c r="DG197" s="488"/>
      <c r="DH197" s="488"/>
      <c r="DI197" s="488"/>
      <c r="DJ197" s="488"/>
      <c r="DK197" s="488"/>
      <c r="DL197" s="488"/>
      <c r="DM197" s="488"/>
      <c r="DN197" s="488"/>
      <c r="DO197" s="488"/>
      <c r="DP197" s="488"/>
      <c r="DQ197" s="488"/>
      <c r="DR197" s="488"/>
      <c r="DS197" s="488"/>
      <c r="DT197" s="488"/>
      <c r="DU197" s="488"/>
      <c r="DV197" s="488"/>
      <c r="DW197" s="488"/>
      <c r="DX197" s="488"/>
      <c r="DY197" s="488"/>
      <c r="DZ197" s="488"/>
      <c r="EA197" s="488"/>
      <c r="EB197" s="488"/>
      <c r="EC197" s="488"/>
      <c r="ED197" s="488"/>
      <c r="EE197" s="488"/>
      <c r="EF197" s="488"/>
      <c r="EG197" s="488"/>
      <c r="EH197" s="488"/>
      <c r="EI197" s="488"/>
      <c r="EJ197" s="488"/>
      <c r="EK197" s="488"/>
      <c r="EL197" s="488"/>
      <c r="EM197" s="488"/>
      <c r="EN197" s="488"/>
      <c r="EO197" s="488"/>
      <c r="EP197" s="488"/>
      <c r="EQ197" s="488"/>
      <c r="ER197" s="488"/>
      <c r="ES197" s="488"/>
      <c r="ET197" s="488"/>
      <c r="EU197" s="488"/>
      <c r="EV197" s="488"/>
      <c r="EW197" s="488"/>
      <c r="EX197" s="488"/>
      <c r="EY197" s="488"/>
      <c r="EZ197" s="488"/>
      <c r="FA197" s="488"/>
      <c r="FB197" s="488"/>
      <c r="FC197" s="488"/>
      <c r="FD197" s="488"/>
      <c r="FE197" s="488"/>
      <c r="FF197" s="488"/>
      <c r="FG197" s="488"/>
      <c r="FH197" s="488"/>
    </row>
    <row r="198" spans="1:164" ht="13.05" hidden="1" customHeight="1" x14ac:dyDescent="0.25">
      <c r="A198" t="str">
        <f>Nutrients!B197</f>
        <v>Copper Chloride Intellibond TBCC NFP</v>
      </c>
      <c r="B198" s="106"/>
      <c r="C198" s="106"/>
      <c r="D198" s="106"/>
      <c r="E198" s="106"/>
      <c r="F198" s="106"/>
      <c r="G198" s="106"/>
      <c r="H198" s="106"/>
      <c r="I198" s="106"/>
      <c r="J198" s="106"/>
      <c r="K198" s="106"/>
      <c r="L198" s="106"/>
      <c r="M198" s="106"/>
      <c r="N198" s="106"/>
      <c r="O198" s="29"/>
      <c r="P198" s="106"/>
      <c r="Q198" s="106"/>
      <c r="R198" s="106"/>
      <c r="S198" s="106"/>
      <c r="T198" s="106"/>
      <c r="U198" s="106"/>
      <c r="V198" s="9"/>
      <c r="W198" s="106"/>
      <c r="X198" s="106"/>
      <c r="Y198" s="106"/>
      <c r="Z198" s="106"/>
      <c r="AA198" s="106"/>
      <c r="AB198" s="106"/>
      <c r="AC198" s="2"/>
      <c r="AD198" s="106"/>
      <c r="AE198" s="106"/>
      <c r="AF198" s="106"/>
      <c r="AG198" s="106"/>
      <c r="AH198" s="106"/>
      <c r="AI198" s="106"/>
      <c r="AJ198" s="2"/>
      <c r="AK198" s="106"/>
      <c r="AL198" s="106"/>
      <c r="AM198" s="106"/>
      <c r="AN198" s="106"/>
      <c r="AO198" s="106"/>
      <c r="AP198" s="106"/>
      <c r="AQ198" s="2"/>
      <c r="AR198" s="106"/>
      <c r="AS198" s="106"/>
      <c r="AT198" s="106"/>
      <c r="AU198" s="106"/>
      <c r="AV198" s="106"/>
      <c r="AW198" s="106"/>
      <c r="AX198" s="9"/>
      <c r="AY198" s="488"/>
      <c r="AZ198" s="488"/>
      <c r="BA198" s="488"/>
      <c r="BB198" s="488"/>
      <c r="BC198" s="488"/>
      <c r="BD198" s="488"/>
      <c r="BE198" s="488"/>
      <c r="BF198" s="488"/>
      <c r="BG198" s="488"/>
      <c r="BH198" s="488"/>
      <c r="BI198" s="488"/>
      <c r="BJ198" s="488"/>
      <c r="BK198" s="488"/>
      <c r="BL198" s="488"/>
      <c r="BM198" s="488"/>
      <c r="BN198" s="488"/>
      <c r="BO198" s="488"/>
      <c r="BP198" s="488"/>
      <c r="BQ198" s="488"/>
      <c r="BR198" s="488"/>
      <c r="BS198" s="488"/>
      <c r="BT198" s="488"/>
      <c r="BU198" s="488"/>
      <c r="BV198" s="488"/>
      <c r="BW198" s="488"/>
      <c r="BX198" s="488"/>
      <c r="BY198" s="488"/>
      <c r="BZ198" s="488"/>
      <c r="CA198" s="488"/>
      <c r="CB198" s="488"/>
      <c r="CC198" s="488"/>
      <c r="CD198" s="488"/>
      <c r="CE198" s="488"/>
      <c r="CF198" s="488"/>
      <c r="CG198" s="488"/>
      <c r="CH198" s="488"/>
      <c r="CI198" s="488"/>
      <c r="CJ198" s="488"/>
      <c r="CK198" s="488"/>
      <c r="CL198" s="488"/>
      <c r="CM198" s="488"/>
      <c r="CN198" s="488"/>
      <c r="CO198" s="488"/>
      <c r="CP198" s="488"/>
      <c r="CQ198" s="488"/>
      <c r="CR198" s="488"/>
      <c r="CS198" s="488"/>
      <c r="CT198" s="488"/>
      <c r="CU198" s="488"/>
      <c r="CV198" s="488"/>
      <c r="CW198" s="488"/>
      <c r="CX198" s="488"/>
      <c r="CY198" s="488"/>
      <c r="CZ198" s="488"/>
      <c r="DA198" s="488"/>
      <c r="DB198" s="488"/>
      <c r="DC198" s="488"/>
      <c r="DD198" s="488"/>
      <c r="DE198" s="488"/>
      <c r="DF198" s="488"/>
      <c r="DG198" s="488"/>
      <c r="DH198" s="488"/>
      <c r="DI198" s="488"/>
      <c r="DJ198" s="488"/>
      <c r="DK198" s="488"/>
      <c r="DL198" s="488"/>
      <c r="DM198" s="488"/>
      <c r="DN198" s="488"/>
      <c r="DO198" s="488"/>
      <c r="DP198" s="488"/>
      <c r="DQ198" s="488"/>
      <c r="DR198" s="488"/>
      <c r="DS198" s="488"/>
      <c r="DT198" s="488"/>
      <c r="DU198" s="488"/>
      <c r="DV198" s="488"/>
      <c r="DW198" s="488"/>
      <c r="DX198" s="488"/>
      <c r="DY198" s="488"/>
      <c r="DZ198" s="488"/>
      <c r="EA198" s="488"/>
      <c r="EB198" s="488"/>
      <c r="EC198" s="488"/>
      <c r="ED198" s="488"/>
      <c r="EE198" s="488"/>
      <c r="EF198" s="488"/>
      <c r="EG198" s="488"/>
      <c r="EH198" s="488"/>
      <c r="EI198" s="488"/>
      <c r="EJ198" s="488"/>
      <c r="EK198" s="488"/>
      <c r="EL198" s="488"/>
      <c r="EM198" s="488"/>
      <c r="EN198" s="488"/>
      <c r="EO198" s="488"/>
      <c r="EP198" s="488"/>
      <c r="EQ198" s="488"/>
      <c r="ER198" s="488"/>
      <c r="ES198" s="488"/>
      <c r="ET198" s="488"/>
      <c r="EU198" s="488"/>
      <c r="EV198" s="488"/>
      <c r="EW198" s="488"/>
      <c r="EX198" s="488"/>
      <c r="EY198" s="488"/>
      <c r="EZ198" s="488"/>
      <c r="FA198" s="488"/>
      <c r="FB198" s="488"/>
      <c r="FC198" s="488"/>
      <c r="FD198" s="488"/>
      <c r="FE198" s="488"/>
      <c r="FF198" s="488"/>
      <c r="FG198" s="488"/>
      <c r="FH198" s="488"/>
    </row>
    <row r="199" spans="1:164" ht="13.05" hidden="1" customHeight="1" x14ac:dyDescent="0.25">
      <c r="A199" t="str">
        <f>Nutrients!B198</f>
        <v>DDGS 7.5% Oil Green Plains NFP</v>
      </c>
      <c r="B199" s="106"/>
      <c r="C199" s="106"/>
      <c r="D199" s="106"/>
      <c r="E199" s="106"/>
      <c r="F199" s="106"/>
      <c r="G199" s="106"/>
      <c r="H199" s="106"/>
      <c r="I199" s="106"/>
      <c r="J199" s="106"/>
      <c r="K199" s="106"/>
      <c r="L199" s="106"/>
      <c r="M199" s="106"/>
      <c r="N199" s="106"/>
      <c r="O199" s="29"/>
      <c r="P199" s="106"/>
      <c r="Q199" s="106"/>
      <c r="R199" s="106"/>
      <c r="S199" s="106"/>
      <c r="T199" s="106"/>
      <c r="U199" s="106"/>
      <c r="V199" s="9"/>
      <c r="W199" s="106"/>
      <c r="X199" s="106"/>
      <c r="Y199" s="106"/>
      <c r="Z199" s="106"/>
      <c r="AA199" s="106"/>
      <c r="AB199" s="106"/>
      <c r="AC199" s="2"/>
      <c r="AD199" s="106"/>
      <c r="AE199" s="106"/>
      <c r="AF199" s="106"/>
      <c r="AG199" s="106"/>
      <c r="AH199" s="106"/>
      <c r="AI199" s="106"/>
      <c r="AJ199" s="2"/>
      <c r="AK199" s="106"/>
      <c r="AL199" s="106"/>
      <c r="AM199" s="106"/>
      <c r="AN199" s="106"/>
      <c r="AO199" s="106"/>
      <c r="AP199" s="106"/>
      <c r="AQ199" s="2"/>
      <c r="AR199" s="106"/>
      <c r="AS199" s="106"/>
      <c r="AT199" s="106"/>
      <c r="AU199" s="106"/>
      <c r="AV199" s="106"/>
      <c r="AW199" s="106"/>
      <c r="AX199" s="9"/>
      <c r="AY199" s="488"/>
      <c r="AZ199" s="488"/>
      <c r="BA199" s="488"/>
      <c r="BB199" s="488"/>
      <c r="BC199" s="488"/>
      <c r="BD199" s="488"/>
      <c r="BE199" s="488"/>
      <c r="BF199" s="488"/>
      <c r="BG199" s="488"/>
      <c r="BH199" s="488"/>
      <c r="BI199" s="488"/>
      <c r="BJ199" s="488"/>
      <c r="BK199" s="488"/>
      <c r="BL199" s="488"/>
      <c r="BM199" s="488"/>
      <c r="BN199" s="488"/>
      <c r="BO199" s="488"/>
      <c r="BP199" s="488"/>
      <c r="BQ199" s="488"/>
      <c r="BR199" s="488"/>
      <c r="BS199" s="488"/>
      <c r="BT199" s="488"/>
      <c r="BU199" s="488"/>
      <c r="BV199" s="488"/>
      <c r="BW199" s="488"/>
      <c r="BX199" s="488"/>
      <c r="BY199" s="488"/>
      <c r="BZ199" s="488"/>
      <c r="CA199" s="488"/>
      <c r="CB199" s="488"/>
      <c r="CC199" s="488"/>
      <c r="CD199" s="488"/>
      <c r="CE199" s="488"/>
      <c r="CF199" s="488"/>
      <c r="CG199" s="488"/>
      <c r="CH199" s="488"/>
      <c r="CI199" s="488"/>
      <c r="CJ199" s="488"/>
      <c r="CK199" s="488"/>
      <c r="CL199" s="488"/>
      <c r="CM199" s="488"/>
      <c r="CN199" s="488"/>
      <c r="CO199" s="488"/>
      <c r="CP199" s="488"/>
      <c r="CQ199" s="488"/>
      <c r="CR199" s="488"/>
      <c r="CS199" s="488"/>
      <c r="CT199" s="488"/>
      <c r="CU199" s="488"/>
      <c r="CV199" s="488"/>
      <c r="CW199" s="488"/>
      <c r="CX199" s="488"/>
      <c r="CY199" s="488"/>
      <c r="CZ199" s="488"/>
      <c r="DA199" s="488"/>
      <c r="DB199" s="488"/>
      <c r="DC199" s="488"/>
      <c r="DD199" s="488"/>
      <c r="DE199" s="488"/>
      <c r="DF199" s="488"/>
      <c r="DG199" s="488"/>
      <c r="DH199" s="488"/>
      <c r="DI199" s="488"/>
      <c r="DJ199" s="488"/>
      <c r="DK199" s="488"/>
      <c r="DL199" s="488"/>
      <c r="DM199" s="488"/>
      <c r="DN199" s="488"/>
      <c r="DO199" s="488"/>
      <c r="DP199" s="488"/>
      <c r="DQ199" s="488"/>
      <c r="DR199" s="488"/>
      <c r="DS199" s="488"/>
      <c r="DT199" s="488"/>
      <c r="DU199" s="488"/>
      <c r="DV199" s="488"/>
      <c r="DW199" s="488"/>
      <c r="DX199" s="488"/>
      <c r="DY199" s="488"/>
      <c r="DZ199" s="488"/>
      <c r="EA199" s="488"/>
      <c r="EB199" s="488"/>
      <c r="EC199" s="488"/>
      <c r="ED199" s="488"/>
      <c r="EE199" s="488"/>
      <c r="EF199" s="488"/>
      <c r="EG199" s="488"/>
      <c r="EH199" s="488"/>
      <c r="EI199" s="488"/>
      <c r="EJ199" s="488"/>
      <c r="EK199" s="488"/>
      <c r="EL199" s="488"/>
      <c r="EM199" s="488"/>
      <c r="EN199" s="488"/>
      <c r="EO199" s="488"/>
      <c r="EP199" s="488"/>
      <c r="EQ199" s="488"/>
      <c r="ER199" s="488"/>
      <c r="ES199" s="488"/>
      <c r="ET199" s="488"/>
      <c r="EU199" s="488"/>
      <c r="EV199" s="488"/>
      <c r="EW199" s="488"/>
      <c r="EX199" s="488"/>
      <c r="EY199" s="488"/>
      <c r="EZ199" s="488"/>
      <c r="FA199" s="488"/>
      <c r="FB199" s="488"/>
      <c r="FC199" s="488"/>
      <c r="FD199" s="488"/>
      <c r="FE199" s="488"/>
      <c r="FF199" s="488"/>
      <c r="FG199" s="488"/>
      <c r="FH199" s="488"/>
    </row>
    <row r="200" spans="1:164" ht="13.05" hidden="1" customHeight="1" x14ac:dyDescent="0.25">
      <c r="A200" t="str">
        <f>Nutrients!B199</f>
        <v>NHF GF VTM 2#</v>
      </c>
      <c r="B200" s="106"/>
      <c r="C200" s="106"/>
      <c r="D200" s="106"/>
      <c r="E200" s="106"/>
      <c r="F200" s="106"/>
      <c r="G200" s="106"/>
      <c r="H200" s="106"/>
      <c r="I200" s="106"/>
      <c r="J200" s="106"/>
      <c r="K200" s="106"/>
      <c r="L200" s="106"/>
      <c r="M200" s="106"/>
      <c r="N200" s="106"/>
      <c r="O200" s="29"/>
      <c r="P200" s="106"/>
      <c r="Q200" s="106"/>
      <c r="R200" s="106"/>
      <c r="S200" s="106"/>
      <c r="T200" s="106"/>
      <c r="U200" s="106"/>
      <c r="V200" s="9"/>
      <c r="W200" s="106"/>
      <c r="X200" s="106"/>
      <c r="Y200" s="106"/>
      <c r="Z200" s="106"/>
      <c r="AA200" s="106"/>
      <c r="AB200" s="106"/>
      <c r="AC200" s="2"/>
      <c r="AD200" s="106"/>
      <c r="AE200" s="106"/>
      <c r="AF200" s="106"/>
      <c r="AG200" s="106"/>
      <c r="AH200" s="106"/>
      <c r="AI200" s="106"/>
      <c r="AJ200" s="2"/>
      <c r="AK200" s="106"/>
      <c r="AL200" s="106"/>
      <c r="AM200" s="106"/>
      <c r="AN200" s="106"/>
      <c r="AO200" s="106"/>
      <c r="AP200" s="106"/>
      <c r="AQ200" s="2"/>
      <c r="AR200" s="106"/>
      <c r="AS200" s="106"/>
      <c r="AT200" s="106"/>
      <c r="AU200" s="106"/>
      <c r="AV200" s="106"/>
      <c r="AW200" s="106"/>
      <c r="AX200" s="9"/>
      <c r="AY200" s="488"/>
      <c r="AZ200" s="488"/>
      <c r="BA200" s="488"/>
      <c r="BB200" s="488"/>
      <c r="BC200" s="488"/>
      <c r="BD200" s="488"/>
      <c r="BE200" s="488"/>
      <c r="BF200" s="488"/>
      <c r="BG200" s="488"/>
      <c r="BH200" s="488"/>
      <c r="BI200" s="488"/>
      <c r="BJ200" s="488"/>
      <c r="BK200" s="488"/>
      <c r="BL200" s="488"/>
      <c r="BM200" s="488"/>
      <c r="BN200" s="488"/>
      <c r="BO200" s="488"/>
      <c r="BP200" s="488"/>
      <c r="BQ200" s="488"/>
      <c r="BR200" s="488"/>
      <c r="BS200" s="488"/>
      <c r="BT200" s="488"/>
      <c r="BU200" s="488"/>
      <c r="BV200" s="488"/>
      <c r="BW200" s="488"/>
      <c r="BX200" s="488"/>
      <c r="BY200" s="488"/>
      <c r="BZ200" s="488"/>
      <c r="CA200" s="488"/>
      <c r="CB200" s="488"/>
      <c r="CC200" s="488"/>
      <c r="CD200" s="488"/>
      <c r="CE200" s="488"/>
      <c r="CF200" s="488"/>
      <c r="CG200" s="488"/>
      <c r="CH200" s="488"/>
      <c r="CI200" s="488"/>
      <c r="CJ200" s="488"/>
      <c r="CK200" s="488"/>
      <c r="CL200" s="488"/>
      <c r="CM200" s="488"/>
      <c r="CN200" s="488"/>
      <c r="CO200" s="488"/>
      <c r="CP200" s="488"/>
      <c r="CQ200" s="488"/>
      <c r="CR200" s="488"/>
      <c r="CS200" s="488"/>
      <c r="CT200" s="488"/>
      <c r="CU200" s="488"/>
      <c r="CV200" s="488"/>
      <c r="CW200" s="488"/>
      <c r="CX200" s="488"/>
      <c r="CY200" s="488"/>
      <c r="CZ200" s="488"/>
      <c r="DA200" s="488"/>
      <c r="DB200" s="488"/>
      <c r="DC200" s="488"/>
      <c r="DD200" s="488"/>
      <c r="DE200" s="488"/>
      <c r="DF200" s="488"/>
      <c r="DG200" s="488"/>
      <c r="DH200" s="488"/>
      <c r="DI200" s="488"/>
      <c r="DJ200" s="488"/>
      <c r="DK200" s="488"/>
      <c r="DL200" s="488"/>
      <c r="DM200" s="488"/>
      <c r="DN200" s="488"/>
      <c r="DO200" s="488"/>
      <c r="DP200" s="488"/>
      <c r="DQ200" s="488"/>
      <c r="DR200" s="488"/>
      <c r="DS200" s="488"/>
      <c r="DT200" s="488"/>
      <c r="DU200" s="488"/>
      <c r="DV200" s="488"/>
      <c r="DW200" s="488"/>
      <c r="DX200" s="488"/>
      <c r="DY200" s="488"/>
      <c r="DZ200" s="488"/>
      <c r="EA200" s="488"/>
      <c r="EB200" s="488"/>
      <c r="EC200" s="488"/>
      <c r="ED200" s="488"/>
      <c r="EE200" s="488"/>
      <c r="EF200" s="488"/>
      <c r="EG200" s="488"/>
      <c r="EH200" s="488"/>
      <c r="EI200" s="488"/>
      <c r="EJ200" s="488"/>
      <c r="EK200" s="488"/>
      <c r="EL200" s="488"/>
      <c r="EM200" s="488"/>
      <c r="EN200" s="488"/>
      <c r="EO200" s="488"/>
      <c r="EP200" s="488"/>
      <c r="EQ200" s="488"/>
      <c r="ER200" s="488"/>
      <c r="ES200" s="488"/>
      <c r="ET200" s="488"/>
      <c r="EU200" s="488"/>
      <c r="EV200" s="488"/>
      <c r="EW200" s="488"/>
      <c r="EX200" s="488"/>
      <c r="EY200" s="488"/>
      <c r="EZ200" s="488"/>
      <c r="FA200" s="488"/>
      <c r="FB200" s="488"/>
      <c r="FC200" s="488"/>
      <c r="FD200" s="488"/>
      <c r="FE200" s="488"/>
      <c r="FF200" s="488"/>
      <c r="FG200" s="488"/>
      <c r="FH200" s="488"/>
    </row>
    <row r="201" spans="1:164" ht="13.05" hidden="1" customHeight="1" x14ac:dyDescent="0.25">
      <c r="A201" t="str">
        <f>Nutrients!B200</f>
        <v xml:space="preserve">Hubbard Vit Premix </v>
      </c>
      <c r="B201" s="106"/>
      <c r="C201" s="106"/>
      <c r="D201" s="106"/>
      <c r="E201" s="106"/>
      <c r="F201" s="106"/>
      <c r="G201" s="106"/>
      <c r="H201" s="106"/>
      <c r="I201" s="106"/>
      <c r="J201" s="106"/>
      <c r="K201" s="106"/>
      <c r="L201" s="106"/>
      <c r="M201" s="106"/>
      <c r="N201" s="106"/>
      <c r="O201" s="29"/>
      <c r="P201" s="106"/>
      <c r="Q201" s="106"/>
      <c r="R201" s="106"/>
      <c r="S201" s="106"/>
      <c r="T201" s="106"/>
      <c r="U201" s="106"/>
      <c r="V201" s="9"/>
      <c r="W201" s="106"/>
      <c r="X201" s="106"/>
      <c r="Y201" s="106"/>
      <c r="Z201" s="106"/>
      <c r="AA201" s="106"/>
      <c r="AB201" s="106"/>
      <c r="AC201" s="2"/>
      <c r="AD201" s="106"/>
      <c r="AE201" s="106"/>
      <c r="AF201" s="106"/>
      <c r="AG201" s="106"/>
      <c r="AH201" s="106"/>
      <c r="AI201" s="106"/>
      <c r="AJ201" s="2"/>
      <c r="AK201" s="106"/>
      <c r="AL201" s="106"/>
      <c r="AM201" s="106"/>
      <c r="AN201" s="106"/>
      <c r="AO201" s="106"/>
      <c r="AP201" s="106"/>
      <c r="AQ201" s="2"/>
      <c r="AR201" s="106"/>
      <c r="AS201" s="106"/>
      <c r="AT201" s="106"/>
      <c r="AU201" s="106"/>
      <c r="AV201" s="106"/>
      <c r="AW201" s="106"/>
      <c r="AX201" s="9"/>
      <c r="AY201" s="488"/>
      <c r="AZ201" s="488"/>
      <c r="BA201" s="488"/>
      <c r="BB201" s="488"/>
      <c r="BC201" s="488"/>
      <c r="BD201" s="488"/>
      <c r="BE201" s="488"/>
      <c r="BF201" s="488"/>
      <c r="BG201" s="488"/>
      <c r="BH201" s="488"/>
      <c r="BI201" s="488"/>
      <c r="BJ201" s="488"/>
      <c r="BK201" s="488"/>
      <c r="BL201" s="488"/>
      <c r="BM201" s="488"/>
      <c r="BN201" s="488"/>
      <c r="BO201" s="488"/>
      <c r="BP201" s="488"/>
      <c r="BQ201" s="488"/>
      <c r="BR201" s="488"/>
      <c r="BS201" s="488"/>
      <c r="BT201" s="488"/>
      <c r="BU201" s="488"/>
      <c r="BV201" s="488"/>
      <c r="BW201" s="488"/>
      <c r="BX201" s="488"/>
      <c r="BY201" s="488"/>
      <c r="BZ201" s="488"/>
      <c r="CA201" s="488"/>
      <c r="CB201" s="488"/>
      <c r="CC201" s="488"/>
      <c r="CD201" s="488"/>
      <c r="CE201" s="488"/>
      <c r="CF201" s="488"/>
      <c r="CG201" s="488"/>
      <c r="CH201" s="488"/>
      <c r="CI201" s="488"/>
      <c r="CJ201" s="488"/>
      <c r="CK201" s="488"/>
      <c r="CL201" s="488"/>
      <c r="CM201" s="488"/>
      <c r="CN201" s="488"/>
      <c r="CO201" s="488"/>
      <c r="CP201" s="488"/>
      <c r="CQ201" s="488"/>
      <c r="CR201" s="488"/>
      <c r="CS201" s="488"/>
      <c r="CT201" s="488"/>
      <c r="CU201" s="488"/>
      <c r="CV201" s="488"/>
      <c r="CW201" s="488"/>
      <c r="CX201" s="488"/>
      <c r="CY201" s="488"/>
      <c r="CZ201" s="488"/>
      <c r="DA201" s="488"/>
      <c r="DB201" s="488"/>
      <c r="DC201" s="488"/>
      <c r="DD201" s="488"/>
      <c r="DE201" s="488"/>
      <c r="DF201" s="488"/>
      <c r="DG201" s="488"/>
      <c r="DH201" s="488"/>
      <c r="DI201" s="488"/>
      <c r="DJ201" s="488"/>
      <c r="DK201" s="488"/>
      <c r="DL201" s="488"/>
      <c r="DM201" s="488"/>
      <c r="DN201" s="488"/>
      <c r="DO201" s="488"/>
      <c r="DP201" s="488"/>
      <c r="DQ201" s="488"/>
      <c r="DR201" s="488"/>
      <c r="DS201" s="488"/>
      <c r="DT201" s="488"/>
      <c r="DU201" s="488"/>
      <c r="DV201" s="488"/>
      <c r="DW201" s="488"/>
      <c r="DX201" s="488"/>
      <c r="DY201" s="488"/>
      <c r="DZ201" s="488"/>
      <c r="EA201" s="488"/>
      <c r="EB201" s="488"/>
      <c r="EC201" s="488"/>
      <c r="ED201" s="488"/>
      <c r="EE201" s="488"/>
      <c r="EF201" s="488"/>
      <c r="EG201" s="488"/>
      <c r="EH201" s="488"/>
      <c r="EI201" s="488"/>
      <c r="EJ201" s="488"/>
      <c r="EK201" s="488"/>
      <c r="EL201" s="488"/>
      <c r="EM201" s="488"/>
      <c r="EN201" s="488"/>
      <c r="EO201" s="488"/>
      <c r="EP201" s="488"/>
      <c r="EQ201" s="488"/>
      <c r="ER201" s="488"/>
      <c r="ES201" s="488"/>
      <c r="ET201" s="488"/>
      <c r="EU201" s="488"/>
      <c r="EV201" s="488"/>
      <c r="EW201" s="488"/>
      <c r="EX201" s="488"/>
      <c r="EY201" s="488"/>
      <c r="EZ201" s="488"/>
      <c r="FA201" s="488"/>
      <c r="FB201" s="488"/>
      <c r="FC201" s="488"/>
      <c r="FD201" s="488"/>
      <c r="FE201" s="488"/>
      <c r="FF201" s="488"/>
      <c r="FG201" s="488"/>
      <c r="FH201" s="488"/>
    </row>
    <row r="202" spans="1:164" ht="13.05" hidden="1" customHeight="1" x14ac:dyDescent="0.25">
      <c r="A202" t="str">
        <f>Nutrients!B201</f>
        <v>Hubbard TMP</v>
      </c>
      <c r="B202" s="106"/>
      <c r="C202" s="106"/>
      <c r="D202" s="106"/>
      <c r="E202" s="106"/>
      <c r="F202" s="106"/>
      <c r="G202" s="106"/>
      <c r="H202" s="106"/>
      <c r="I202" s="106"/>
      <c r="J202" s="106"/>
      <c r="K202" s="106"/>
      <c r="L202" s="106"/>
      <c r="M202" s="106"/>
      <c r="N202" s="106"/>
      <c r="O202" s="29"/>
      <c r="P202" s="106"/>
      <c r="Q202" s="106"/>
      <c r="R202" s="106"/>
      <c r="S202" s="106"/>
      <c r="T202" s="106"/>
      <c r="U202" s="106"/>
      <c r="V202" s="9"/>
      <c r="W202" s="106"/>
      <c r="X202" s="106"/>
      <c r="Y202" s="106"/>
      <c r="Z202" s="106"/>
      <c r="AA202" s="106"/>
      <c r="AB202" s="106"/>
      <c r="AC202" s="2"/>
      <c r="AD202" s="106"/>
      <c r="AE202" s="106"/>
      <c r="AF202" s="106"/>
      <c r="AG202" s="106"/>
      <c r="AH202" s="106"/>
      <c r="AI202" s="106"/>
      <c r="AJ202" s="2"/>
      <c r="AK202" s="106"/>
      <c r="AL202" s="106"/>
      <c r="AM202" s="106"/>
      <c r="AN202" s="106"/>
      <c r="AO202" s="106"/>
      <c r="AP202" s="106"/>
      <c r="AQ202" s="2"/>
      <c r="AR202" s="106"/>
      <c r="AS202" s="106"/>
      <c r="AT202" s="106"/>
      <c r="AU202" s="106"/>
      <c r="AV202" s="106"/>
      <c r="AW202" s="106"/>
      <c r="AX202" s="9"/>
      <c r="AY202" s="488"/>
      <c r="AZ202" s="488"/>
      <c r="BA202" s="488"/>
      <c r="BB202" s="488"/>
      <c r="BC202" s="488"/>
      <c r="BD202" s="488"/>
      <c r="BE202" s="488"/>
      <c r="BF202" s="488"/>
      <c r="BG202" s="488"/>
      <c r="BH202" s="488"/>
      <c r="BI202" s="488"/>
      <c r="BJ202" s="488"/>
      <c r="BK202" s="488"/>
      <c r="BL202" s="488"/>
      <c r="BM202" s="488"/>
      <c r="BN202" s="488"/>
      <c r="BO202" s="488"/>
      <c r="BP202" s="488"/>
      <c r="BQ202" s="488"/>
      <c r="BR202" s="488"/>
      <c r="BS202" s="488"/>
      <c r="BT202" s="488"/>
      <c r="BU202" s="488"/>
      <c r="BV202" s="488"/>
      <c r="BW202" s="488"/>
      <c r="BX202" s="488"/>
      <c r="BY202" s="488"/>
      <c r="BZ202" s="488"/>
      <c r="CA202" s="488"/>
      <c r="CB202" s="488"/>
      <c r="CC202" s="488"/>
      <c r="CD202" s="488"/>
      <c r="CE202" s="488"/>
      <c r="CF202" s="488"/>
      <c r="CG202" s="488"/>
      <c r="CH202" s="488"/>
      <c r="CI202" s="488"/>
      <c r="CJ202" s="488"/>
      <c r="CK202" s="488"/>
      <c r="CL202" s="488"/>
      <c r="CM202" s="488"/>
      <c r="CN202" s="488"/>
      <c r="CO202" s="488"/>
      <c r="CP202" s="488"/>
      <c r="CQ202" s="488"/>
      <c r="CR202" s="488"/>
      <c r="CS202" s="488"/>
      <c r="CT202" s="488"/>
      <c r="CU202" s="488"/>
      <c r="CV202" s="488"/>
      <c r="CW202" s="488"/>
      <c r="CX202" s="488"/>
      <c r="CY202" s="488"/>
      <c r="CZ202" s="488"/>
      <c r="DA202" s="488"/>
      <c r="DB202" s="488"/>
      <c r="DC202" s="488"/>
      <c r="DD202" s="488"/>
      <c r="DE202" s="488"/>
      <c r="DF202" s="488"/>
      <c r="DG202" s="488"/>
      <c r="DH202" s="488"/>
      <c r="DI202" s="488"/>
      <c r="DJ202" s="488"/>
      <c r="DK202" s="488"/>
      <c r="DL202" s="488"/>
      <c r="DM202" s="488"/>
      <c r="DN202" s="488"/>
      <c r="DO202" s="488"/>
      <c r="DP202" s="488"/>
      <c r="DQ202" s="488"/>
      <c r="DR202" s="488"/>
      <c r="DS202" s="488"/>
      <c r="DT202" s="488"/>
      <c r="DU202" s="488"/>
      <c r="DV202" s="488"/>
      <c r="DW202" s="488"/>
      <c r="DX202" s="488"/>
      <c r="DY202" s="488"/>
      <c r="DZ202" s="488"/>
      <c r="EA202" s="488"/>
      <c r="EB202" s="488"/>
      <c r="EC202" s="488"/>
      <c r="ED202" s="488"/>
      <c r="EE202" s="488"/>
      <c r="EF202" s="488"/>
      <c r="EG202" s="488"/>
      <c r="EH202" s="488"/>
      <c r="EI202" s="488"/>
      <c r="EJ202" s="488"/>
      <c r="EK202" s="488"/>
      <c r="EL202" s="488"/>
      <c r="EM202" s="488"/>
      <c r="EN202" s="488"/>
      <c r="EO202" s="488"/>
      <c r="EP202" s="488"/>
      <c r="EQ202" s="488"/>
      <c r="ER202" s="488"/>
      <c r="ES202" s="488"/>
      <c r="ET202" s="488"/>
      <c r="EU202" s="488"/>
      <c r="EV202" s="488"/>
      <c r="EW202" s="488"/>
      <c r="EX202" s="488"/>
      <c r="EY202" s="488"/>
      <c r="EZ202" s="488"/>
      <c r="FA202" s="488"/>
      <c r="FB202" s="488"/>
      <c r="FC202" s="488"/>
      <c r="FD202" s="488"/>
      <c r="FE202" s="488"/>
      <c r="FF202" s="488"/>
      <c r="FG202" s="488"/>
      <c r="FH202" s="488"/>
    </row>
    <row r="203" spans="1:164" ht="13.05" hidden="1" customHeight="1" x14ac:dyDescent="0.25">
      <c r="A203" t="str">
        <f>Nutrients!B202</f>
        <v>Inorganic Se 600 ppm Hubbard</v>
      </c>
      <c r="B203" s="106"/>
      <c r="C203" s="106"/>
      <c r="D203" s="106"/>
      <c r="E203" s="106"/>
      <c r="F203" s="106"/>
      <c r="G203" s="106"/>
      <c r="H203" s="106"/>
      <c r="I203" s="106"/>
      <c r="J203" s="106"/>
      <c r="K203" s="106"/>
      <c r="L203" s="106"/>
      <c r="M203" s="106"/>
      <c r="N203" s="106"/>
      <c r="O203" s="29"/>
      <c r="P203" s="106"/>
      <c r="Q203" s="106"/>
      <c r="R203" s="106"/>
      <c r="S203" s="106"/>
      <c r="T203" s="106"/>
      <c r="U203" s="106"/>
      <c r="V203" s="9"/>
      <c r="W203" s="106"/>
      <c r="X203" s="106"/>
      <c r="Y203" s="106"/>
      <c r="Z203" s="106"/>
      <c r="AA203" s="106"/>
      <c r="AB203" s="106"/>
      <c r="AC203" s="2"/>
      <c r="AD203" s="106"/>
      <c r="AE203" s="106"/>
      <c r="AF203" s="106"/>
      <c r="AG203" s="106"/>
      <c r="AH203" s="106"/>
      <c r="AI203" s="106"/>
      <c r="AJ203" s="2"/>
      <c r="AK203" s="106"/>
      <c r="AL203" s="106"/>
      <c r="AM203" s="106"/>
      <c r="AN203" s="106"/>
      <c r="AO203" s="106"/>
      <c r="AP203" s="106"/>
      <c r="AQ203" s="2"/>
      <c r="AR203" s="106"/>
      <c r="AS203" s="106"/>
      <c r="AT203" s="106"/>
      <c r="AU203" s="106"/>
      <c r="AV203" s="106"/>
      <c r="AW203" s="106"/>
      <c r="AX203" s="9"/>
      <c r="AY203" s="488"/>
      <c r="AZ203" s="488"/>
      <c r="BA203" s="488"/>
      <c r="BB203" s="488"/>
      <c r="BC203" s="488"/>
      <c r="BD203" s="488"/>
      <c r="BE203" s="488"/>
      <c r="BF203" s="488"/>
      <c r="BG203" s="488"/>
      <c r="BH203" s="488"/>
      <c r="BI203" s="488"/>
      <c r="BJ203" s="488"/>
      <c r="BK203" s="488"/>
      <c r="BL203" s="488"/>
      <c r="BM203" s="488"/>
      <c r="BN203" s="488"/>
      <c r="BO203" s="488"/>
      <c r="BP203" s="488"/>
      <c r="BQ203" s="488"/>
      <c r="BR203" s="488"/>
      <c r="BS203" s="488"/>
      <c r="BT203" s="488"/>
      <c r="BU203" s="488"/>
      <c r="BV203" s="488"/>
      <c r="BW203" s="488"/>
      <c r="BX203" s="488"/>
      <c r="BY203" s="488"/>
      <c r="BZ203" s="488"/>
      <c r="CA203" s="488"/>
      <c r="CB203" s="488"/>
      <c r="CC203" s="488"/>
      <c r="CD203" s="488"/>
      <c r="CE203" s="488"/>
      <c r="CF203" s="488"/>
      <c r="CG203" s="488"/>
      <c r="CH203" s="488"/>
      <c r="CI203" s="488"/>
      <c r="CJ203" s="488"/>
      <c r="CK203" s="488"/>
      <c r="CL203" s="488"/>
      <c r="CM203" s="488"/>
      <c r="CN203" s="488"/>
      <c r="CO203" s="488"/>
      <c r="CP203" s="488"/>
      <c r="CQ203" s="488"/>
      <c r="CR203" s="488"/>
      <c r="CS203" s="488"/>
      <c r="CT203" s="488"/>
      <c r="CU203" s="488"/>
      <c r="CV203" s="488"/>
      <c r="CW203" s="488"/>
      <c r="CX203" s="488"/>
      <c r="CY203" s="488"/>
      <c r="CZ203" s="488"/>
      <c r="DA203" s="488"/>
      <c r="DB203" s="488"/>
      <c r="DC203" s="488"/>
      <c r="DD203" s="488"/>
      <c r="DE203" s="488"/>
      <c r="DF203" s="488"/>
      <c r="DG203" s="488"/>
      <c r="DH203" s="488"/>
      <c r="DI203" s="488"/>
      <c r="DJ203" s="488"/>
      <c r="DK203" s="488"/>
      <c r="DL203" s="488"/>
      <c r="DM203" s="488"/>
      <c r="DN203" s="488"/>
      <c r="DO203" s="488"/>
      <c r="DP203" s="488"/>
      <c r="DQ203" s="488"/>
      <c r="DR203" s="488"/>
      <c r="DS203" s="488"/>
      <c r="DT203" s="488"/>
      <c r="DU203" s="488"/>
      <c r="DV203" s="488"/>
      <c r="DW203" s="488"/>
      <c r="DX203" s="488"/>
      <c r="DY203" s="488"/>
      <c r="DZ203" s="488"/>
      <c r="EA203" s="488"/>
      <c r="EB203" s="488"/>
      <c r="EC203" s="488"/>
      <c r="ED203" s="488"/>
      <c r="EE203" s="488"/>
      <c r="EF203" s="488"/>
      <c r="EG203" s="488"/>
      <c r="EH203" s="488"/>
      <c r="EI203" s="488"/>
      <c r="EJ203" s="488"/>
      <c r="EK203" s="488"/>
      <c r="EL203" s="488"/>
      <c r="EM203" s="488"/>
      <c r="EN203" s="488"/>
      <c r="EO203" s="488"/>
      <c r="EP203" s="488"/>
      <c r="EQ203" s="488"/>
      <c r="ER203" s="488"/>
      <c r="ES203" s="488"/>
      <c r="ET203" s="488"/>
      <c r="EU203" s="488"/>
      <c r="EV203" s="488"/>
      <c r="EW203" s="488"/>
      <c r="EX203" s="488"/>
      <c r="EY203" s="488"/>
      <c r="EZ203" s="488"/>
      <c r="FA203" s="488"/>
      <c r="FB203" s="488"/>
      <c r="FC203" s="488"/>
      <c r="FD203" s="488"/>
      <c r="FE203" s="488"/>
      <c r="FF203" s="488"/>
      <c r="FG203" s="488"/>
      <c r="FH203" s="488"/>
    </row>
    <row r="204" spans="1:164" ht="13.05" hidden="1" customHeight="1" x14ac:dyDescent="0.25">
      <c r="A204" t="str">
        <f>Nutrients!B203</f>
        <v>Quantum Blue  5G Hubbard</v>
      </c>
      <c r="B204" s="106"/>
      <c r="C204" s="106"/>
      <c r="D204" s="106"/>
      <c r="E204" s="106"/>
      <c r="F204" s="106"/>
      <c r="G204" s="106"/>
      <c r="H204" s="106"/>
      <c r="I204" s="106"/>
      <c r="J204" s="106"/>
      <c r="K204" s="106"/>
      <c r="L204" s="106"/>
      <c r="M204" s="106"/>
      <c r="N204" s="106"/>
      <c r="O204" s="29"/>
      <c r="P204" s="106"/>
      <c r="Q204" s="106"/>
      <c r="R204" s="106"/>
      <c r="S204" s="106"/>
      <c r="T204" s="106"/>
      <c r="U204" s="106"/>
      <c r="V204" s="9"/>
      <c r="W204" s="106"/>
      <c r="X204" s="106"/>
      <c r="Y204" s="106"/>
      <c r="Z204" s="106"/>
      <c r="AA204" s="106"/>
      <c r="AB204" s="106"/>
      <c r="AC204" s="2"/>
      <c r="AD204" s="106"/>
      <c r="AE204" s="106"/>
      <c r="AF204" s="106"/>
      <c r="AG204" s="106"/>
      <c r="AH204" s="106"/>
      <c r="AI204" s="106"/>
      <c r="AJ204" s="2"/>
      <c r="AK204" s="106"/>
      <c r="AL204" s="106"/>
      <c r="AM204" s="106"/>
      <c r="AN204" s="106"/>
      <c r="AO204" s="106"/>
      <c r="AP204" s="106"/>
      <c r="AQ204" s="2"/>
      <c r="AR204" s="106"/>
      <c r="AS204" s="106"/>
      <c r="AT204" s="106"/>
      <c r="AU204" s="106"/>
      <c r="AV204" s="106"/>
      <c r="AW204" s="106"/>
      <c r="AX204" s="9"/>
      <c r="AY204" s="488"/>
      <c r="AZ204" s="488"/>
      <c r="BA204" s="488"/>
      <c r="BB204" s="488"/>
      <c r="BC204" s="488"/>
      <c r="BD204" s="488"/>
      <c r="BE204" s="488"/>
      <c r="BF204" s="488"/>
      <c r="BG204" s="488"/>
      <c r="BH204" s="488"/>
      <c r="BI204" s="488"/>
      <c r="BJ204" s="488"/>
      <c r="BK204" s="488"/>
      <c r="BL204" s="488"/>
      <c r="BM204" s="488"/>
      <c r="BN204" s="488"/>
      <c r="BO204" s="488"/>
      <c r="BP204" s="488"/>
      <c r="BQ204" s="488"/>
      <c r="BR204" s="488"/>
      <c r="BS204" s="488"/>
      <c r="BT204" s="488"/>
      <c r="BU204" s="488"/>
      <c r="BV204" s="488"/>
      <c r="BW204" s="488"/>
      <c r="BX204" s="488"/>
      <c r="BY204" s="488"/>
      <c r="BZ204" s="488"/>
      <c r="CA204" s="488"/>
      <c r="CB204" s="488"/>
      <c r="CC204" s="488"/>
      <c r="CD204" s="488"/>
      <c r="CE204" s="488"/>
      <c r="CF204" s="488"/>
      <c r="CG204" s="488"/>
      <c r="CH204" s="488"/>
      <c r="CI204" s="488"/>
      <c r="CJ204" s="488"/>
      <c r="CK204" s="488"/>
      <c r="CL204" s="488"/>
      <c r="CM204" s="488"/>
      <c r="CN204" s="488"/>
      <c r="CO204" s="488"/>
      <c r="CP204" s="488"/>
      <c r="CQ204" s="488"/>
      <c r="CR204" s="488"/>
      <c r="CS204" s="488"/>
      <c r="CT204" s="488"/>
      <c r="CU204" s="488"/>
      <c r="CV204" s="488"/>
      <c r="CW204" s="488"/>
      <c r="CX204" s="488"/>
      <c r="CY204" s="488"/>
      <c r="CZ204" s="488"/>
      <c r="DA204" s="488"/>
      <c r="DB204" s="488"/>
      <c r="DC204" s="488"/>
      <c r="DD204" s="488"/>
      <c r="DE204" s="488"/>
      <c r="DF204" s="488"/>
      <c r="DG204" s="488"/>
      <c r="DH204" s="488"/>
      <c r="DI204" s="488"/>
      <c r="DJ204" s="488"/>
      <c r="DK204" s="488"/>
      <c r="DL204" s="488"/>
      <c r="DM204" s="488"/>
      <c r="DN204" s="488"/>
      <c r="DO204" s="488"/>
      <c r="DP204" s="488"/>
      <c r="DQ204" s="488"/>
      <c r="DR204" s="488"/>
      <c r="DS204" s="488"/>
      <c r="DT204" s="488"/>
      <c r="DU204" s="488"/>
      <c r="DV204" s="488"/>
      <c r="DW204" s="488"/>
      <c r="DX204" s="488"/>
      <c r="DY204" s="488"/>
      <c r="DZ204" s="488"/>
      <c r="EA204" s="488"/>
      <c r="EB204" s="488"/>
      <c r="EC204" s="488"/>
      <c r="ED204" s="488"/>
      <c r="EE204" s="488"/>
      <c r="EF204" s="488"/>
      <c r="EG204" s="488"/>
      <c r="EH204" s="488"/>
      <c r="EI204" s="488"/>
      <c r="EJ204" s="488"/>
      <c r="EK204" s="488"/>
      <c r="EL204" s="488"/>
      <c r="EM204" s="488"/>
      <c r="EN204" s="488"/>
      <c r="EO204" s="488"/>
      <c r="EP204" s="488"/>
      <c r="EQ204" s="488"/>
      <c r="ER204" s="488"/>
      <c r="ES204" s="488"/>
      <c r="ET204" s="488"/>
      <c r="EU204" s="488"/>
      <c r="EV204" s="488"/>
      <c r="EW204" s="488"/>
      <c r="EX204" s="488"/>
      <c r="EY204" s="488"/>
      <c r="EZ204" s="488"/>
      <c r="FA204" s="488"/>
      <c r="FB204" s="488"/>
      <c r="FC204" s="488"/>
      <c r="FD204" s="488"/>
      <c r="FE204" s="488"/>
      <c r="FF204" s="488"/>
      <c r="FG204" s="488"/>
      <c r="FH204" s="488"/>
    </row>
    <row r="205" spans="1:164" ht="13.05" hidden="1" customHeight="1" x14ac:dyDescent="0.25">
      <c r="A205" t="str">
        <f>Nutrients!B204</f>
        <v>TASA Prime meal Hubbard</v>
      </c>
      <c r="B205" s="106"/>
      <c r="C205" s="106"/>
      <c r="D205" s="106"/>
      <c r="E205" s="106"/>
      <c r="F205" s="106"/>
      <c r="G205" s="106"/>
      <c r="H205" s="106"/>
      <c r="I205" s="106"/>
      <c r="J205" s="106"/>
      <c r="K205" s="106"/>
      <c r="L205" s="106"/>
      <c r="M205" s="106"/>
      <c r="N205" s="106"/>
      <c r="O205" s="29"/>
      <c r="P205" s="106"/>
      <c r="Q205" s="106"/>
      <c r="R205" s="106"/>
      <c r="S205" s="106"/>
      <c r="T205" s="106"/>
      <c r="U205" s="106"/>
      <c r="V205" s="9"/>
      <c r="W205" s="106"/>
      <c r="X205" s="106"/>
      <c r="Y205" s="106"/>
      <c r="Z205" s="106"/>
      <c r="AA205" s="106"/>
      <c r="AB205" s="106"/>
      <c r="AC205" s="2"/>
      <c r="AD205" s="106"/>
      <c r="AE205" s="106"/>
      <c r="AF205" s="106"/>
      <c r="AG205" s="106"/>
      <c r="AH205" s="106"/>
      <c r="AI205" s="106"/>
      <c r="AJ205" s="2"/>
      <c r="AK205" s="106"/>
      <c r="AL205" s="106"/>
      <c r="AM205" s="106"/>
      <c r="AN205" s="106"/>
      <c r="AO205" s="106"/>
      <c r="AP205" s="106"/>
      <c r="AQ205" s="2"/>
      <c r="AR205" s="106"/>
      <c r="AS205" s="106"/>
      <c r="AT205" s="106"/>
      <c r="AU205" s="106"/>
      <c r="AV205" s="106"/>
      <c r="AW205" s="106"/>
      <c r="AX205" s="9"/>
      <c r="AY205" s="488"/>
      <c r="AZ205" s="488"/>
      <c r="BA205" s="488"/>
      <c r="BB205" s="488"/>
      <c r="BC205" s="488"/>
      <c r="BD205" s="488"/>
      <c r="BE205" s="488"/>
      <c r="BF205" s="488"/>
      <c r="BG205" s="488"/>
      <c r="BH205" s="488"/>
      <c r="BI205" s="488"/>
      <c r="BJ205" s="488"/>
      <c r="BK205" s="488"/>
      <c r="BL205" s="488"/>
      <c r="BM205" s="488"/>
      <c r="BN205" s="488"/>
      <c r="BO205" s="488"/>
      <c r="BP205" s="488"/>
      <c r="BQ205" s="488"/>
      <c r="BR205" s="488"/>
      <c r="BS205" s="488"/>
      <c r="BT205" s="488"/>
      <c r="BU205" s="488"/>
      <c r="BV205" s="488"/>
      <c r="BW205" s="488"/>
      <c r="BX205" s="488"/>
      <c r="BY205" s="488"/>
      <c r="BZ205" s="488"/>
      <c r="CA205" s="488"/>
      <c r="CB205" s="488"/>
      <c r="CC205" s="488"/>
      <c r="CD205" s="488"/>
      <c r="CE205" s="488"/>
      <c r="CF205" s="488"/>
      <c r="CG205" s="488"/>
      <c r="CH205" s="488"/>
      <c r="CI205" s="488"/>
      <c r="CJ205" s="488"/>
      <c r="CK205" s="488"/>
      <c r="CL205" s="488"/>
      <c r="CM205" s="488"/>
      <c r="CN205" s="488"/>
      <c r="CO205" s="488"/>
      <c r="CP205" s="488"/>
      <c r="CQ205" s="488"/>
      <c r="CR205" s="488"/>
      <c r="CS205" s="488"/>
      <c r="CT205" s="488"/>
      <c r="CU205" s="488"/>
      <c r="CV205" s="488"/>
      <c r="CW205" s="488"/>
      <c r="CX205" s="488"/>
      <c r="CY205" s="488"/>
      <c r="CZ205" s="488"/>
      <c r="DA205" s="488"/>
      <c r="DB205" s="488"/>
      <c r="DC205" s="488"/>
      <c r="DD205" s="488"/>
      <c r="DE205" s="488"/>
      <c r="DF205" s="488"/>
      <c r="DG205" s="488"/>
      <c r="DH205" s="488"/>
      <c r="DI205" s="488"/>
      <c r="DJ205" s="488"/>
      <c r="DK205" s="488"/>
      <c r="DL205" s="488"/>
      <c r="DM205" s="488"/>
      <c r="DN205" s="488"/>
      <c r="DO205" s="488"/>
      <c r="DP205" s="488"/>
      <c r="DQ205" s="488"/>
      <c r="DR205" s="488"/>
      <c r="DS205" s="488"/>
      <c r="DT205" s="488"/>
      <c r="DU205" s="488"/>
      <c r="DV205" s="488"/>
      <c r="DW205" s="488"/>
      <c r="DX205" s="488"/>
      <c r="DY205" s="488"/>
      <c r="DZ205" s="488"/>
      <c r="EA205" s="488"/>
      <c r="EB205" s="488"/>
      <c r="EC205" s="488"/>
      <c r="ED205" s="488"/>
      <c r="EE205" s="488"/>
      <c r="EF205" s="488"/>
      <c r="EG205" s="488"/>
      <c r="EH205" s="488"/>
      <c r="EI205" s="488"/>
      <c r="EJ205" s="488"/>
      <c r="EK205" s="488"/>
      <c r="EL205" s="488"/>
      <c r="EM205" s="488"/>
      <c r="EN205" s="488"/>
      <c r="EO205" s="488"/>
      <c r="EP205" s="488"/>
      <c r="EQ205" s="488"/>
      <c r="ER205" s="488"/>
      <c r="ES205" s="488"/>
      <c r="ET205" s="488"/>
      <c r="EU205" s="488"/>
      <c r="EV205" s="488"/>
      <c r="EW205" s="488"/>
      <c r="EX205" s="488"/>
      <c r="EY205" s="488"/>
      <c r="EZ205" s="488"/>
      <c r="FA205" s="488"/>
      <c r="FB205" s="488"/>
      <c r="FC205" s="488"/>
      <c r="FD205" s="488"/>
      <c r="FE205" s="488"/>
      <c r="FF205" s="488"/>
      <c r="FG205" s="488"/>
      <c r="FH205" s="488"/>
    </row>
    <row r="206" spans="1:164" ht="13.05" hidden="1" customHeight="1" x14ac:dyDescent="0.25">
      <c r="A206" t="str">
        <f>Nutrients!B205</f>
        <v>TASA Swine Hubbard</v>
      </c>
      <c r="B206" s="106"/>
      <c r="C206" s="106"/>
      <c r="D206" s="106"/>
      <c r="E206" s="106"/>
      <c r="F206" s="106"/>
      <c r="G206" s="106"/>
      <c r="H206" s="106"/>
      <c r="I206" s="106"/>
      <c r="J206" s="106"/>
      <c r="K206" s="106"/>
      <c r="L206" s="106"/>
      <c r="M206" s="106"/>
      <c r="N206" s="106"/>
      <c r="O206" s="29"/>
      <c r="P206" s="106"/>
      <c r="Q206" s="106"/>
      <c r="R206" s="106"/>
      <c r="S206" s="106"/>
      <c r="T206" s="106"/>
      <c r="U206" s="106"/>
      <c r="V206" s="9"/>
      <c r="W206" s="106"/>
      <c r="X206" s="106"/>
      <c r="Y206" s="106"/>
      <c r="Z206" s="106"/>
      <c r="AA206" s="106"/>
      <c r="AB206" s="106"/>
      <c r="AC206" s="2"/>
      <c r="AD206" s="106"/>
      <c r="AE206" s="106"/>
      <c r="AF206" s="106"/>
      <c r="AG206" s="106"/>
      <c r="AH206" s="106"/>
      <c r="AI206" s="106"/>
      <c r="AJ206" s="2"/>
      <c r="AK206" s="106"/>
      <c r="AL206" s="106"/>
      <c r="AM206" s="106"/>
      <c r="AN206" s="106"/>
      <c r="AO206" s="106"/>
      <c r="AP206" s="106"/>
      <c r="AQ206" s="2"/>
      <c r="AR206" s="106"/>
      <c r="AS206" s="106"/>
      <c r="AT206" s="106"/>
      <c r="AU206" s="106"/>
      <c r="AV206" s="106"/>
      <c r="AW206" s="106"/>
      <c r="AX206" s="9"/>
      <c r="AY206" s="488"/>
      <c r="AZ206" s="488"/>
      <c r="BA206" s="488"/>
      <c r="BB206" s="488"/>
      <c r="BC206" s="488"/>
      <c r="BD206" s="488"/>
      <c r="BE206" s="488"/>
      <c r="BF206" s="488"/>
      <c r="BG206" s="488"/>
      <c r="BH206" s="488"/>
      <c r="BI206" s="488"/>
      <c r="BJ206" s="488"/>
      <c r="BK206" s="488"/>
      <c r="BL206" s="488"/>
      <c r="BM206" s="488"/>
      <c r="BN206" s="488"/>
      <c r="BO206" s="488"/>
      <c r="BP206" s="488"/>
      <c r="BQ206" s="488"/>
      <c r="BR206" s="488"/>
      <c r="BS206" s="488"/>
      <c r="BT206" s="488"/>
      <c r="BU206" s="488"/>
      <c r="BV206" s="488"/>
      <c r="BW206" s="488"/>
      <c r="BX206" s="488"/>
      <c r="BY206" s="488"/>
      <c r="BZ206" s="488"/>
      <c r="CA206" s="488"/>
      <c r="CB206" s="488"/>
      <c r="CC206" s="488"/>
      <c r="CD206" s="488"/>
      <c r="CE206" s="488"/>
      <c r="CF206" s="488"/>
      <c r="CG206" s="488"/>
      <c r="CH206" s="488"/>
      <c r="CI206" s="488"/>
      <c r="CJ206" s="488"/>
      <c r="CK206" s="488"/>
      <c r="CL206" s="488"/>
      <c r="CM206" s="488"/>
      <c r="CN206" s="488"/>
      <c r="CO206" s="488"/>
      <c r="CP206" s="488"/>
      <c r="CQ206" s="488"/>
      <c r="CR206" s="488"/>
      <c r="CS206" s="488"/>
      <c r="CT206" s="488"/>
      <c r="CU206" s="488"/>
      <c r="CV206" s="488"/>
      <c r="CW206" s="488"/>
      <c r="CX206" s="488"/>
      <c r="CY206" s="488"/>
      <c r="CZ206" s="488"/>
      <c r="DA206" s="488"/>
      <c r="DB206" s="488"/>
      <c r="DC206" s="488"/>
      <c r="DD206" s="488"/>
      <c r="DE206" s="488"/>
      <c r="DF206" s="488"/>
      <c r="DG206" s="488"/>
      <c r="DH206" s="488"/>
      <c r="DI206" s="488"/>
      <c r="DJ206" s="488"/>
      <c r="DK206" s="488"/>
      <c r="DL206" s="488"/>
      <c r="DM206" s="488"/>
      <c r="DN206" s="488"/>
      <c r="DO206" s="488"/>
      <c r="DP206" s="488"/>
      <c r="DQ206" s="488"/>
      <c r="DR206" s="488"/>
      <c r="DS206" s="488"/>
      <c r="DT206" s="488"/>
      <c r="DU206" s="488"/>
      <c r="DV206" s="488"/>
      <c r="DW206" s="488"/>
      <c r="DX206" s="488"/>
      <c r="DY206" s="488"/>
      <c r="DZ206" s="488"/>
      <c r="EA206" s="488"/>
      <c r="EB206" s="488"/>
      <c r="EC206" s="488"/>
      <c r="ED206" s="488"/>
      <c r="EE206" s="488"/>
      <c r="EF206" s="488"/>
      <c r="EG206" s="488"/>
      <c r="EH206" s="488"/>
      <c r="EI206" s="488"/>
      <c r="EJ206" s="488"/>
      <c r="EK206" s="488"/>
      <c r="EL206" s="488"/>
      <c r="EM206" s="488"/>
      <c r="EN206" s="488"/>
      <c r="EO206" s="488"/>
      <c r="EP206" s="488"/>
      <c r="EQ206" s="488"/>
      <c r="ER206" s="488"/>
      <c r="ES206" s="488"/>
      <c r="ET206" s="488"/>
      <c r="EU206" s="488"/>
      <c r="EV206" s="488"/>
      <c r="EW206" s="488"/>
      <c r="EX206" s="488"/>
      <c r="EY206" s="488"/>
      <c r="EZ206" s="488"/>
      <c r="FA206" s="488"/>
      <c r="FB206" s="488"/>
      <c r="FC206" s="488"/>
      <c r="FD206" s="488"/>
      <c r="FE206" s="488"/>
      <c r="FF206" s="488"/>
      <c r="FG206" s="488"/>
      <c r="FH206" s="488"/>
    </row>
    <row r="207" spans="1:164" ht="13.05" hidden="1" customHeight="1" x14ac:dyDescent="0.25">
      <c r="A207" t="str">
        <f>Nutrients!B206</f>
        <v>TASA fish solubles Hubbard</v>
      </c>
      <c r="B207" s="106"/>
      <c r="C207" s="106"/>
      <c r="D207" s="106"/>
      <c r="E207" s="106"/>
      <c r="F207" s="106"/>
      <c r="G207" s="106"/>
      <c r="H207" s="106"/>
      <c r="I207" s="106"/>
      <c r="J207" s="106"/>
      <c r="K207" s="106"/>
      <c r="L207" s="106"/>
      <c r="M207" s="106"/>
      <c r="N207" s="106"/>
      <c r="O207" s="29"/>
      <c r="P207" s="106"/>
      <c r="Q207" s="106"/>
      <c r="R207" s="106"/>
      <c r="S207" s="106"/>
      <c r="T207" s="106"/>
      <c r="U207" s="106"/>
      <c r="V207" s="9"/>
      <c r="W207" s="106"/>
      <c r="X207" s="106"/>
      <c r="Y207" s="106"/>
      <c r="Z207" s="106"/>
      <c r="AA207" s="106"/>
      <c r="AB207" s="106"/>
      <c r="AC207" s="2"/>
      <c r="AD207" s="106"/>
      <c r="AE207" s="106"/>
      <c r="AF207" s="106"/>
      <c r="AG207" s="106"/>
      <c r="AH207" s="106"/>
      <c r="AI207" s="106"/>
      <c r="AJ207" s="2"/>
      <c r="AK207" s="106"/>
      <c r="AL207" s="106"/>
      <c r="AM207" s="106"/>
      <c r="AN207" s="106"/>
      <c r="AO207" s="106"/>
      <c r="AP207" s="106"/>
      <c r="AQ207" s="2"/>
      <c r="AR207" s="106"/>
      <c r="AS207" s="106"/>
      <c r="AT207" s="106"/>
      <c r="AU207" s="106"/>
      <c r="AV207" s="106"/>
      <c r="AW207" s="106"/>
      <c r="AX207" s="9"/>
      <c r="AY207" s="488"/>
      <c r="AZ207" s="488"/>
      <c r="BA207" s="488"/>
      <c r="BB207" s="488"/>
      <c r="BC207" s="488"/>
      <c r="BD207" s="488"/>
      <c r="BE207" s="488"/>
      <c r="BF207" s="488"/>
      <c r="BG207" s="488"/>
      <c r="BH207" s="488"/>
      <c r="BI207" s="488"/>
      <c r="BJ207" s="488"/>
      <c r="BK207" s="488"/>
      <c r="BL207" s="488"/>
      <c r="BM207" s="488"/>
      <c r="BN207" s="488"/>
      <c r="BO207" s="488"/>
      <c r="BP207" s="488"/>
      <c r="BQ207" s="488"/>
      <c r="BR207" s="488"/>
      <c r="BS207" s="488"/>
      <c r="BT207" s="488"/>
      <c r="BU207" s="488"/>
      <c r="BV207" s="488"/>
      <c r="BW207" s="488"/>
      <c r="BX207" s="488"/>
      <c r="BY207" s="488"/>
      <c r="BZ207" s="488"/>
      <c r="CA207" s="488"/>
      <c r="CB207" s="488"/>
      <c r="CC207" s="488"/>
      <c r="CD207" s="488"/>
      <c r="CE207" s="488"/>
      <c r="CF207" s="488"/>
      <c r="CG207" s="488"/>
      <c r="CH207" s="488"/>
      <c r="CI207" s="488"/>
      <c r="CJ207" s="488"/>
      <c r="CK207" s="488"/>
      <c r="CL207" s="488"/>
      <c r="CM207" s="488"/>
      <c r="CN207" s="488"/>
      <c r="CO207" s="488"/>
      <c r="CP207" s="488"/>
      <c r="CQ207" s="488"/>
      <c r="CR207" s="488"/>
      <c r="CS207" s="488"/>
      <c r="CT207" s="488"/>
      <c r="CU207" s="488"/>
      <c r="CV207" s="488"/>
      <c r="CW207" s="488"/>
      <c r="CX207" s="488"/>
      <c r="CY207" s="488"/>
      <c r="CZ207" s="488"/>
      <c r="DA207" s="488"/>
      <c r="DB207" s="488"/>
      <c r="DC207" s="488"/>
      <c r="DD207" s="488"/>
      <c r="DE207" s="488"/>
      <c r="DF207" s="488"/>
      <c r="DG207" s="488"/>
      <c r="DH207" s="488"/>
      <c r="DI207" s="488"/>
      <c r="DJ207" s="488"/>
      <c r="DK207" s="488"/>
      <c r="DL207" s="488"/>
      <c r="DM207" s="488"/>
      <c r="DN207" s="488"/>
      <c r="DO207" s="488"/>
      <c r="DP207" s="488"/>
      <c r="DQ207" s="488"/>
      <c r="DR207" s="488"/>
      <c r="DS207" s="488"/>
      <c r="DT207" s="488"/>
      <c r="DU207" s="488"/>
      <c r="DV207" s="488"/>
      <c r="DW207" s="488"/>
      <c r="DX207" s="488"/>
      <c r="DY207" s="488"/>
      <c r="DZ207" s="488"/>
      <c r="EA207" s="488"/>
      <c r="EB207" s="488"/>
      <c r="EC207" s="488"/>
      <c r="ED207" s="488"/>
      <c r="EE207" s="488"/>
      <c r="EF207" s="488"/>
      <c r="EG207" s="488"/>
      <c r="EH207" s="488"/>
      <c r="EI207" s="488"/>
      <c r="EJ207" s="488"/>
      <c r="EK207" s="488"/>
      <c r="EL207" s="488"/>
      <c r="EM207" s="488"/>
      <c r="EN207" s="488"/>
      <c r="EO207" s="488"/>
      <c r="EP207" s="488"/>
      <c r="EQ207" s="488"/>
      <c r="ER207" s="488"/>
      <c r="ES207" s="488"/>
      <c r="ET207" s="488"/>
      <c r="EU207" s="488"/>
      <c r="EV207" s="488"/>
      <c r="EW207" s="488"/>
      <c r="EX207" s="488"/>
      <c r="EY207" s="488"/>
      <c r="EZ207" s="488"/>
      <c r="FA207" s="488"/>
      <c r="FB207" s="488"/>
      <c r="FC207" s="488"/>
      <c r="FD207" s="488"/>
      <c r="FE207" s="488"/>
      <c r="FF207" s="488"/>
      <c r="FG207" s="488"/>
      <c r="FH207" s="488"/>
    </row>
    <row r="208" spans="1:164" ht="13.05" hidden="1" customHeight="1" x14ac:dyDescent="0.25">
      <c r="A208" t="str">
        <f>Nutrients!B207</f>
        <v>Mepro + TASA additive Hubbard</v>
      </c>
      <c r="B208" s="106"/>
      <c r="C208" s="106"/>
      <c r="D208" s="106"/>
      <c r="E208" s="106"/>
      <c r="F208" s="106"/>
      <c r="G208" s="106"/>
      <c r="H208" s="106"/>
      <c r="I208" s="106"/>
      <c r="J208" s="106"/>
      <c r="K208" s="106"/>
      <c r="L208" s="106"/>
      <c r="M208" s="106"/>
      <c r="N208" s="106"/>
      <c r="O208" s="29"/>
      <c r="P208" s="106"/>
      <c r="Q208" s="106"/>
      <c r="R208" s="106"/>
      <c r="S208" s="106"/>
      <c r="T208" s="106"/>
      <c r="U208" s="106"/>
      <c r="V208" s="9"/>
      <c r="W208" s="106"/>
      <c r="X208" s="106"/>
      <c r="Y208" s="106"/>
      <c r="Z208" s="106"/>
      <c r="AA208" s="106"/>
      <c r="AB208" s="106"/>
      <c r="AC208" s="2"/>
      <c r="AD208" s="106"/>
      <c r="AE208" s="106"/>
      <c r="AF208" s="106"/>
      <c r="AG208" s="106"/>
      <c r="AH208" s="106"/>
      <c r="AI208" s="106"/>
      <c r="AJ208" s="2"/>
      <c r="AK208" s="106"/>
      <c r="AL208" s="106"/>
      <c r="AM208" s="106"/>
      <c r="AN208" s="106"/>
      <c r="AO208" s="106"/>
      <c r="AP208" s="106"/>
      <c r="AQ208" s="2"/>
      <c r="AR208" s="106"/>
      <c r="AS208" s="106"/>
      <c r="AT208" s="106"/>
      <c r="AU208" s="106"/>
      <c r="AV208" s="106"/>
      <c r="AW208" s="106"/>
      <c r="AX208" s="9"/>
      <c r="AY208" s="488"/>
      <c r="AZ208" s="488"/>
      <c r="BA208" s="488"/>
      <c r="BB208" s="488"/>
      <c r="BC208" s="488"/>
      <c r="BD208" s="488"/>
      <c r="BE208" s="488"/>
      <c r="BF208" s="488"/>
      <c r="BG208" s="488"/>
      <c r="BH208" s="488"/>
      <c r="BI208" s="488"/>
      <c r="BJ208" s="488"/>
      <c r="BK208" s="488"/>
      <c r="BL208" s="488"/>
      <c r="BM208" s="488"/>
      <c r="BN208" s="488"/>
      <c r="BO208" s="488"/>
      <c r="BP208" s="488"/>
      <c r="BQ208" s="488"/>
      <c r="BR208" s="488"/>
      <c r="BS208" s="488"/>
      <c r="BT208" s="488"/>
      <c r="BU208" s="488"/>
      <c r="BV208" s="488"/>
      <c r="BW208" s="488"/>
      <c r="BX208" s="488"/>
      <c r="BY208" s="488"/>
      <c r="BZ208" s="488"/>
      <c r="CA208" s="488"/>
      <c r="CB208" s="488"/>
      <c r="CC208" s="488"/>
      <c r="CD208" s="488"/>
      <c r="CE208" s="488"/>
      <c r="CF208" s="488"/>
      <c r="CG208" s="488"/>
      <c r="CH208" s="488"/>
      <c r="CI208" s="488"/>
      <c r="CJ208" s="488"/>
      <c r="CK208" s="488"/>
      <c r="CL208" s="488"/>
      <c r="CM208" s="488"/>
      <c r="CN208" s="488"/>
      <c r="CO208" s="488"/>
      <c r="CP208" s="488"/>
      <c r="CQ208" s="488"/>
      <c r="CR208" s="488"/>
      <c r="CS208" s="488"/>
      <c r="CT208" s="488"/>
      <c r="CU208" s="488"/>
      <c r="CV208" s="488"/>
      <c r="CW208" s="488"/>
      <c r="CX208" s="488"/>
      <c r="CY208" s="488"/>
      <c r="CZ208" s="488"/>
      <c r="DA208" s="488"/>
      <c r="DB208" s="488"/>
      <c r="DC208" s="488"/>
      <c r="DD208" s="488"/>
      <c r="DE208" s="488"/>
      <c r="DF208" s="488"/>
      <c r="DG208" s="488"/>
      <c r="DH208" s="488"/>
      <c r="DI208" s="488"/>
      <c r="DJ208" s="488"/>
      <c r="DK208" s="488"/>
      <c r="DL208" s="488"/>
      <c r="DM208" s="488"/>
      <c r="DN208" s="488"/>
      <c r="DO208" s="488"/>
      <c r="DP208" s="488"/>
      <c r="DQ208" s="488"/>
      <c r="DR208" s="488"/>
      <c r="DS208" s="488"/>
      <c r="DT208" s="488"/>
      <c r="DU208" s="488"/>
      <c r="DV208" s="488"/>
      <c r="DW208" s="488"/>
      <c r="DX208" s="488"/>
      <c r="DY208" s="488"/>
      <c r="DZ208" s="488"/>
      <c r="EA208" s="488"/>
      <c r="EB208" s="488"/>
      <c r="EC208" s="488"/>
      <c r="ED208" s="488"/>
      <c r="EE208" s="488"/>
      <c r="EF208" s="488"/>
      <c r="EG208" s="488"/>
      <c r="EH208" s="488"/>
      <c r="EI208" s="488"/>
      <c r="EJ208" s="488"/>
      <c r="EK208" s="488"/>
      <c r="EL208" s="488"/>
      <c r="EM208" s="488"/>
      <c r="EN208" s="488"/>
      <c r="EO208" s="488"/>
      <c r="EP208" s="488"/>
      <c r="EQ208" s="488"/>
      <c r="ER208" s="488"/>
      <c r="ES208" s="488"/>
      <c r="ET208" s="488"/>
      <c r="EU208" s="488"/>
      <c r="EV208" s="488"/>
      <c r="EW208" s="488"/>
      <c r="EX208" s="488"/>
      <c r="EY208" s="488"/>
      <c r="EZ208" s="488"/>
      <c r="FA208" s="488"/>
      <c r="FB208" s="488"/>
      <c r="FC208" s="488"/>
      <c r="FD208" s="488"/>
      <c r="FE208" s="488"/>
      <c r="FF208" s="488"/>
      <c r="FG208" s="488"/>
      <c r="FH208" s="488"/>
    </row>
    <row r="209" spans="1:164" ht="13.05" hidden="1" customHeight="1" x14ac:dyDescent="0.25">
      <c r="A209" t="str">
        <f>Nutrients!B208</f>
        <v>TASA Prime + TASA additive Hubbard</v>
      </c>
      <c r="B209" s="106"/>
      <c r="C209" s="106"/>
      <c r="D209" s="106"/>
      <c r="E209" s="106"/>
      <c r="F209" s="106"/>
      <c r="G209" s="106"/>
      <c r="H209" s="106"/>
      <c r="I209" s="106"/>
      <c r="J209" s="106"/>
      <c r="K209" s="106"/>
      <c r="L209" s="106"/>
      <c r="M209" s="106"/>
      <c r="N209" s="106"/>
      <c r="O209" s="29"/>
      <c r="P209" s="106"/>
      <c r="Q209" s="106"/>
      <c r="R209" s="106"/>
      <c r="S209" s="106"/>
      <c r="T209" s="106"/>
      <c r="U209" s="106"/>
      <c r="V209" s="9"/>
      <c r="W209" s="106"/>
      <c r="X209" s="106"/>
      <c r="Y209" s="106"/>
      <c r="Z209" s="106"/>
      <c r="AA209" s="106"/>
      <c r="AB209" s="106"/>
      <c r="AC209" s="2"/>
      <c r="AD209" s="106"/>
      <c r="AE209" s="106"/>
      <c r="AF209" s="106"/>
      <c r="AG209" s="106"/>
      <c r="AH209" s="106"/>
      <c r="AI209" s="106"/>
      <c r="AJ209" s="2"/>
      <c r="AK209" s="106"/>
      <c r="AL209" s="106"/>
      <c r="AM209" s="106"/>
      <c r="AN209" s="106"/>
      <c r="AO209" s="106"/>
      <c r="AP209" s="106"/>
      <c r="AQ209" s="2"/>
      <c r="AR209" s="106"/>
      <c r="AS209" s="106"/>
      <c r="AT209" s="106"/>
      <c r="AU209" s="106"/>
      <c r="AV209" s="106"/>
      <c r="AW209" s="106"/>
      <c r="AX209" s="9"/>
      <c r="AY209" s="488"/>
      <c r="AZ209" s="488"/>
      <c r="BA209" s="488"/>
      <c r="BB209" s="488"/>
      <c r="BC209" s="488"/>
      <c r="BD209" s="488"/>
      <c r="BE209" s="488"/>
      <c r="BF209" s="488"/>
      <c r="BG209" s="488"/>
      <c r="BH209" s="488"/>
      <c r="BI209" s="488"/>
      <c r="BJ209" s="488"/>
      <c r="BK209" s="488"/>
      <c r="BL209" s="488"/>
      <c r="BM209" s="488"/>
      <c r="BN209" s="488"/>
      <c r="BO209" s="488"/>
      <c r="BP209" s="488"/>
      <c r="BQ209" s="488"/>
      <c r="BR209" s="488"/>
      <c r="BS209" s="488"/>
      <c r="BT209" s="488"/>
      <c r="BU209" s="488"/>
      <c r="BV209" s="488"/>
      <c r="BW209" s="488"/>
      <c r="BX209" s="488"/>
      <c r="BY209" s="488"/>
      <c r="BZ209" s="488"/>
      <c r="CA209" s="488"/>
      <c r="CB209" s="488"/>
      <c r="CC209" s="488"/>
      <c r="CD209" s="488"/>
      <c r="CE209" s="488"/>
      <c r="CF209" s="488"/>
      <c r="CG209" s="488"/>
      <c r="CH209" s="488"/>
      <c r="CI209" s="488"/>
      <c r="CJ209" s="488"/>
      <c r="CK209" s="488"/>
      <c r="CL209" s="488"/>
      <c r="CM209" s="488"/>
      <c r="CN209" s="488"/>
      <c r="CO209" s="488"/>
      <c r="CP209" s="488"/>
      <c r="CQ209" s="488"/>
      <c r="CR209" s="488"/>
      <c r="CS209" s="488"/>
      <c r="CT209" s="488"/>
      <c r="CU209" s="488"/>
      <c r="CV209" s="488"/>
      <c r="CW209" s="488"/>
      <c r="CX209" s="488"/>
      <c r="CY209" s="488"/>
      <c r="CZ209" s="488"/>
      <c r="DA209" s="488"/>
      <c r="DB209" s="488"/>
      <c r="DC209" s="488"/>
      <c r="DD209" s="488"/>
      <c r="DE209" s="488"/>
      <c r="DF209" s="488"/>
      <c r="DG209" s="488"/>
      <c r="DH209" s="488"/>
      <c r="DI209" s="488"/>
      <c r="DJ209" s="488"/>
      <c r="DK209" s="488"/>
      <c r="DL209" s="488"/>
      <c r="DM209" s="488"/>
      <c r="DN209" s="488"/>
      <c r="DO209" s="488"/>
      <c r="DP209" s="488"/>
      <c r="DQ209" s="488"/>
      <c r="DR209" s="488"/>
      <c r="DS209" s="488"/>
      <c r="DT209" s="488"/>
      <c r="DU209" s="488"/>
      <c r="DV209" s="488"/>
      <c r="DW209" s="488"/>
      <c r="DX209" s="488"/>
      <c r="DY209" s="488"/>
      <c r="DZ209" s="488"/>
      <c r="EA209" s="488"/>
      <c r="EB209" s="488"/>
      <c r="EC209" s="488"/>
      <c r="ED209" s="488"/>
      <c r="EE209" s="488"/>
      <c r="EF209" s="488"/>
      <c r="EG209" s="488"/>
      <c r="EH209" s="488"/>
      <c r="EI209" s="488"/>
      <c r="EJ209" s="488"/>
      <c r="EK209" s="488"/>
      <c r="EL209" s="488"/>
      <c r="EM209" s="488"/>
      <c r="EN209" s="488"/>
      <c r="EO209" s="488"/>
      <c r="EP209" s="488"/>
      <c r="EQ209" s="488"/>
      <c r="ER209" s="488"/>
      <c r="ES209" s="488"/>
      <c r="ET209" s="488"/>
      <c r="EU209" s="488"/>
      <c r="EV209" s="488"/>
      <c r="EW209" s="488"/>
      <c r="EX209" s="488"/>
      <c r="EY209" s="488"/>
      <c r="EZ209" s="488"/>
      <c r="FA209" s="488"/>
      <c r="FB209" s="488"/>
      <c r="FC209" s="488"/>
      <c r="FD209" s="488"/>
      <c r="FE209" s="488"/>
      <c r="FF209" s="488"/>
      <c r="FG209" s="488"/>
      <c r="FH209" s="488"/>
    </row>
    <row r="210" spans="1:164" ht="13.05" hidden="1" customHeight="1" x14ac:dyDescent="0.25">
      <c r="A210" t="str">
        <f>Nutrients!B209</f>
        <v>NHF SOW VTM 4# 2022</v>
      </c>
      <c r="B210" s="106"/>
      <c r="C210" s="106"/>
      <c r="D210" s="106"/>
      <c r="E210" s="106"/>
      <c r="F210" s="106"/>
      <c r="G210" s="106"/>
      <c r="H210" s="106"/>
      <c r="I210" s="106"/>
      <c r="J210" s="106"/>
      <c r="K210" s="106"/>
      <c r="L210" s="106"/>
      <c r="M210" s="106"/>
      <c r="N210" s="106"/>
      <c r="O210" s="29"/>
      <c r="P210" s="106"/>
      <c r="Q210" s="106"/>
      <c r="R210" s="106"/>
      <c r="S210" s="106"/>
      <c r="T210" s="106"/>
      <c r="U210" s="106"/>
      <c r="V210" s="9"/>
      <c r="W210" s="106"/>
      <c r="X210" s="106"/>
      <c r="Y210" s="106"/>
      <c r="Z210" s="106"/>
      <c r="AA210" s="106"/>
      <c r="AB210" s="106"/>
      <c r="AC210" s="2"/>
      <c r="AD210" s="106"/>
      <c r="AE210" s="106"/>
      <c r="AF210" s="106"/>
      <c r="AG210" s="106"/>
      <c r="AH210" s="106"/>
      <c r="AI210" s="106"/>
      <c r="AJ210" s="2"/>
      <c r="AK210" s="106"/>
      <c r="AL210" s="106"/>
      <c r="AM210" s="106"/>
      <c r="AN210" s="106"/>
      <c r="AO210" s="106"/>
      <c r="AP210" s="106"/>
      <c r="AQ210" s="2"/>
      <c r="AR210" s="106"/>
      <c r="AS210" s="106"/>
      <c r="AT210" s="106"/>
      <c r="AU210" s="106"/>
      <c r="AV210" s="106"/>
      <c r="AW210" s="106"/>
      <c r="AX210" s="9"/>
      <c r="AY210" s="488"/>
      <c r="AZ210" s="488"/>
      <c r="BA210" s="488"/>
      <c r="BB210" s="488"/>
      <c r="BC210" s="488"/>
      <c r="BD210" s="488"/>
      <c r="BE210" s="488"/>
      <c r="BF210" s="488"/>
      <c r="BG210" s="488"/>
      <c r="BH210" s="488"/>
      <c r="BI210" s="488"/>
      <c r="BJ210" s="488"/>
      <c r="BK210" s="488"/>
      <c r="BL210" s="488"/>
      <c r="BM210" s="488"/>
      <c r="BN210" s="488"/>
      <c r="BO210" s="488"/>
      <c r="BP210" s="488"/>
      <c r="BQ210" s="488"/>
      <c r="BR210" s="488"/>
      <c r="BS210" s="488"/>
      <c r="BT210" s="488"/>
      <c r="BU210" s="488"/>
      <c r="BV210" s="488"/>
      <c r="BW210" s="488"/>
      <c r="BX210" s="488"/>
      <c r="BY210" s="488"/>
      <c r="BZ210" s="488"/>
      <c r="CA210" s="488"/>
      <c r="CB210" s="488"/>
      <c r="CC210" s="488"/>
      <c r="CD210" s="488"/>
      <c r="CE210" s="488"/>
      <c r="CF210" s="488"/>
      <c r="CG210" s="488"/>
      <c r="CH210" s="488"/>
      <c r="CI210" s="488"/>
      <c r="CJ210" s="488"/>
      <c r="CK210" s="488"/>
      <c r="CL210" s="488"/>
      <c r="CM210" s="488"/>
      <c r="CN210" s="488"/>
      <c r="CO210" s="488"/>
      <c r="CP210" s="488"/>
      <c r="CQ210" s="488"/>
      <c r="CR210" s="488"/>
      <c r="CS210" s="488"/>
      <c r="CT210" s="488"/>
      <c r="CU210" s="488"/>
      <c r="CV210" s="488"/>
      <c r="CW210" s="488"/>
      <c r="CX210" s="488"/>
      <c r="CY210" s="488"/>
      <c r="CZ210" s="488"/>
      <c r="DA210" s="488"/>
      <c r="DB210" s="488"/>
      <c r="DC210" s="488"/>
      <c r="DD210" s="488"/>
      <c r="DE210" s="488"/>
      <c r="DF210" s="488"/>
      <c r="DG210" s="488"/>
      <c r="DH210" s="488"/>
      <c r="DI210" s="488"/>
      <c r="DJ210" s="488"/>
      <c r="DK210" s="488"/>
      <c r="DL210" s="488"/>
      <c r="DM210" s="488"/>
      <c r="DN210" s="488"/>
      <c r="DO210" s="488"/>
      <c r="DP210" s="488"/>
      <c r="DQ210" s="488"/>
      <c r="DR210" s="488"/>
      <c r="DS210" s="488"/>
      <c r="DT210" s="488"/>
      <c r="DU210" s="488"/>
      <c r="DV210" s="488"/>
      <c r="DW210" s="488"/>
      <c r="DX210" s="488"/>
      <c r="DY210" s="488"/>
      <c r="DZ210" s="488"/>
      <c r="EA210" s="488"/>
      <c r="EB210" s="488"/>
      <c r="EC210" s="488"/>
      <c r="ED210" s="488"/>
      <c r="EE210" s="488"/>
      <c r="EF210" s="488"/>
      <c r="EG210" s="488"/>
      <c r="EH210" s="488"/>
      <c r="EI210" s="488"/>
      <c r="EJ210" s="488"/>
      <c r="EK210" s="488"/>
      <c r="EL210" s="488"/>
      <c r="EM210" s="488"/>
      <c r="EN210" s="488"/>
      <c r="EO210" s="488"/>
      <c r="EP210" s="488"/>
      <c r="EQ210" s="488"/>
      <c r="ER210" s="488"/>
      <c r="ES210" s="488"/>
      <c r="ET210" s="488"/>
      <c r="EU210" s="488"/>
      <c r="EV210" s="488"/>
      <c r="EW210" s="488"/>
      <c r="EX210" s="488"/>
      <c r="EY210" s="488"/>
      <c r="EZ210" s="488"/>
      <c r="FA210" s="488"/>
      <c r="FB210" s="488"/>
      <c r="FC210" s="488"/>
      <c r="FD210" s="488"/>
      <c r="FE210" s="488"/>
      <c r="FF210" s="488"/>
      <c r="FG210" s="488"/>
      <c r="FH210" s="488"/>
    </row>
    <row r="211" spans="1:164" ht="13.05" hidden="1" customHeight="1" x14ac:dyDescent="0.25">
      <c r="A211" t="str">
        <f>Nutrients!B210</f>
        <v xml:space="preserve">ThrPro </v>
      </c>
      <c r="B211" s="106"/>
      <c r="C211" s="106"/>
      <c r="D211" s="106"/>
      <c r="E211" s="106"/>
      <c r="F211" s="106"/>
      <c r="G211" s="106"/>
      <c r="H211" s="106"/>
      <c r="I211" s="106"/>
      <c r="J211" s="106"/>
      <c r="K211" s="106"/>
      <c r="L211" s="106"/>
      <c r="M211" s="106"/>
      <c r="N211" s="106"/>
      <c r="O211" s="29"/>
      <c r="P211" s="106"/>
      <c r="Q211" s="106"/>
      <c r="R211" s="106"/>
      <c r="S211" s="106"/>
      <c r="T211" s="106"/>
      <c r="U211" s="106"/>
      <c r="V211" s="9"/>
      <c r="W211" s="106"/>
      <c r="X211" s="106"/>
      <c r="Y211" s="106"/>
      <c r="Z211" s="106"/>
      <c r="AA211" s="106"/>
      <c r="AB211" s="106"/>
      <c r="AC211" s="2"/>
      <c r="AD211" s="106"/>
      <c r="AE211" s="106"/>
      <c r="AF211" s="106"/>
      <c r="AG211" s="106"/>
      <c r="AH211" s="106"/>
      <c r="AI211" s="106"/>
      <c r="AJ211" s="2"/>
      <c r="AK211" s="106"/>
      <c r="AL211" s="106"/>
      <c r="AM211" s="106"/>
      <c r="AN211" s="106"/>
      <c r="AO211" s="106"/>
      <c r="AP211" s="106"/>
      <c r="AQ211" s="2"/>
      <c r="AR211" s="106"/>
      <c r="AS211" s="106"/>
      <c r="AT211" s="106"/>
      <c r="AU211" s="106"/>
      <c r="AV211" s="106"/>
      <c r="AW211" s="106"/>
      <c r="AX211" s="9"/>
      <c r="AY211" s="488"/>
      <c r="AZ211" s="488"/>
      <c r="BA211" s="488"/>
      <c r="BB211" s="488"/>
      <c r="BC211" s="488"/>
      <c r="BD211" s="488"/>
      <c r="BE211" s="488"/>
      <c r="BF211" s="488"/>
      <c r="BG211" s="488"/>
      <c r="BH211" s="488"/>
      <c r="BI211" s="488"/>
      <c r="BJ211" s="488"/>
      <c r="BK211" s="488"/>
      <c r="BL211" s="488"/>
      <c r="BM211" s="488"/>
      <c r="BN211" s="488"/>
      <c r="BO211" s="488"/>
      <c r="BP211" s="488"/>
      <c r="BQ211" s="488"/>
      <c r="BR211" s="488"/>
      <c r="BS211" s="488"/>
      <c r="BT211" s="488"/>
      <c r="BU211" s="488"/>
      <c r="BV211" s="488"/>
      <c r="BW211" s="488"/>
      <c r="BX211" s="488"/>
      <c r="BY211" s="488"/>
      <c r="BZ211" s="488"/>
      <c r="CA211" s="488"/>
      <c r="CB211" s="488"/>
      <c r="CC211" s="488"/>
      <c r="CD211" s="488"/>
      <c r="CE211" s="488"/>
      <c r="CF211" s="488"/>
      <c r="CG211" s="488"/>
      <c r="CH211" s="488"/>
      <c r="CI211" s="488"/>
      <c r="CJ211" s="488"/>
      <c r="CK211" s="488"/>
      <c r="CL211" s="488"/>
      <c r="CM211" s="488"/>
      <c r="CN211" s="488"/>
      <c r="CO211" s="488"/>
      <c r="CP211" s="488"/>
      <c r="CQ211" s="488"/>
      <c r="CR211" s="488"/>
      <c r="CS211" s="488"/>
      <c r="CT211" s="488"/>
      <c r="CU211" s="488"/>
      <c r="CV211" s="488"/>
      <c r="CW211" s="488"/>
      <c r="CX211" s="488"/>
      <c r="CY211" s="488"/>
      <c r="CZ211" s="488"/>
      <c r="DA211" s="488"/>
      <c r="DB211" s="488"/>
      <c r="DC211" s="488"/>
      <c r="DD211" s="488"/>
      <c r="DE211" s="488"/>
      <c r="DF211" s="488"/>
      <c r="DG211" s="488"/>
      <c r="DH211" s="488"/>
      <c r="DI211" s="488"/>
      <c r="DJ211" s="488"/>
      <c r="DK211" s="488"/>
      <c r="DL211" s="488"/>
      <c r="DM211" s="488"/>
      <c r="DN211" s="488"/>
      <c r="DO211" s="488"/>
      <c r="DP211" s="488"/>
      <c r="DQ211" s="488"/>
      <c r="DR211" s="488"/>
      <c r="DS211" s="488"/>
      <c r="DT211" s="488"/>
      <c r="DU211" s="488"/>
      <c r="DV211" s="488"/>
      <c r="DW211" s="488"/>
      <c r="DX211" s="488"/>
      <c r="DY211" s="488"/>
      <c r="DZ211" s="488"/>
      <c r="EA211" s="488"/>
      <c r="EB211" s="488"/>
      <c r="EC211" s="488"/>
      <c r="ED211" s="488"/>
      <c r="EE211" s="488"/>
      <c r="EF211" s="488"/>
      <c r="EG211" s="488"/>
      <c r="EH211" s="488"/>
      <c r="EI211" s="488"/>
      <c r="EJ211" s="488"/>
      <c r="EK211" s="488"/>
      <c r="EL211" s="488"/>
      <c r="EM211" s="488"/>
      <c r="EN211" s="488"/>
      <c r="EO211" s="488"/>
      <c r="EP211" s="488"/>
      <c r="EQ211" s="488"/>
      <c r="ER211" s="488"/>
      <c r="ES211" s="488"/>
      <c r="ET211" s="488"/>
      <c r="EU211" s="488"/>
      <c r="EV211" s="488"/>
      <c r="EW211" s="488"/>
      <c r="EX211" s="488"/>
      <c r="EY211" s="488"/>
      <c r="EZ211" s="488"/>
      <c r="FA211" s="488"/>
      <c r="FB211" s="488"/>
      <c r="FC211" s="488"/>
      <c r="FD211" s="488"/>
      <c r="FE211" s="488"/>
      <c r="FF211" s="488"/>
      <c r="FG211" s="488"/>
      <c r="FH211" s="488"/>
    </row>
    <row r="212" spans="1:164" ht="13.05" hidden="1" customHeight="1" x14ac:dyDescent="0.25">
      <c r="A212" t="str">
        <f>Nutrients!B211</f>
        <v>NHF Optiphos Plus 2500 G</v>
      </c>
      <c r="B212" s="106"/>
      <c r="C212" s="106"/>
      <c r="D212" s="106"/>
      <c r="E212" s="106"/>
      <c r="F212" s="106"/>
      <c r="G212" s="106"/>
      <c r="H212" s="106"/>
      <c r="I212" s="106"/>
      <c r="J212" s="106"/>
      <c r="K212" s="106"/>
      <c r="L212" s="106"/>
      <c r="M212" s="106"/>
      <c r="N212" s="106"/>
      <c r="O212" s="29"/>
      <c r="P212" s="106"/>
      <c r="Q212" s="106"/>
      <c r="R212" s="106"/>
      <c r="S212" s="106"/>
      <c r="T212" s="106"/>
      <c r="U212" s="106"/>
      <c r="V212" s="9"/>
      <c r="W212" s="106"/>
      <c r="X212" s="106"/>
      <c r="Y212" s="106"/>
      <c r="Z212" s="106"/>
      <c r="AA212" s="106"/>
      <c r="AB212" s="106"/>
      <c r="AC212" s="2"/>
      <c r="AD212" s="106"/>
      <c r="AE212" s="106"/>
      <c r="AF212" s="106"/>
      <c r="AG212" s="106"/>
      <c r="AH212" s="106"/>
      <c r="AI212" s="106"/>
      <c r="AJ212" s="2"/>
      <c r="AK212" s="106"/>
      <c r="AL212" s="106"/>
      <c r="AM212" s="106"/>
      <c r="AN212" s="106"/>
      <c r="AO212" s="106"/>
      <c r="AP212" s="106"/>
      <c r="AQ212" s="2"/>
      <c r="AR212" s="106"/>
      <c r="AS212" s="106"/>
      <c r="AT212" s="106"/>
      <c r="AU212" s="106"/>
      <c r="AV212" s="106"/>
      <c r="AW212" s="106"/>
      <c r="AX212" s="9"/>
      <c r="AY212" s="488"/>
      <c r="AZ212" s="488"/>
      <c r="BA212" s="488"/>
      <c r="BB212" s="488"/>
      <c r="BC212" s="488"/>
      <c r="BD212" s="488"/>
      <c r="BE212" s="488"/>
      <c r="BF212" s="488"/>
      <c r="BG212" s="488"/>
      <c r="BH212" s="488"/>
      <c r="BI212" s="488"/>
      <c r="BJ212" s="488"/>
      <c r="BK212" s="488"/>
      <c r="BL212" s="488"/>
      <c r="BM212" s="488"/>
      <c r="BN212" s="488"/>
      <c r="BO212" s="488"/>
      <c r="BP212" s="488"/>
      <c r="BQ212" s="488"/>
      <c r="BR212" s="488"/>
      <c r="BS212" s="488"/>
      <c r="BT212" s="488"/>
      <c r="BU212" s="488"/>
      <c r="BV212" s="488"/>
      <c r="BW212" s="488"/>
      <c r="BX212" s="488"/>
      <c r="BY212" s="488"/>
      <c r="BZ212" s="488"/>
      <c r="CA212" s="488"/>
      <c r="CB212" s="488"/>
      <c r="CC212" s="488"/>
      <c r="CD212" s="488"/>
      <c r="CE212" s="488"/>
      <c r="CF212" s="488"/>
      <c r="CG212" s="488"/>
      <c r="CH212" s="488"/>
      <c r="CI212" s="488"/>
      <c r="CJ212" s="488"/>
      <c r="CK212" s="488"/>
      <c r="CL212" s="488"/>
      <c r="CM212" s="488"/>
      <c r="CN212" s="488"/>
      <c r="CO212" s="488"/>
      <c r="CP212" s="488"/>
      <c r="CQ212" s="488"/>
      <c r="CR212" s="488"/>
      <c r="CS212" s="488"/>
      <c r="CT212" s="488"/>
      <c r="CU212" s="488"/>
      <c r="CV212" s="488"/>
      <c r="CW212" s="488"/>
      <c r="CX212" s="488"/>
      <c r="CY212" s="488"/>
      <c r="CZ212" s="488"/>
      <c r="DA212" s="488"/>
      <c r="DB212" s="488"/>
      <c r="DC212" s="488"/>
      <c r="DD212" s="488"/>
      <c r="DE212" s="488"/>
      <c r="DF212" s="488"/>
      <c r="DG212" s="488"/>
      <c r="DH212" s="488"/>
      <c r="DI212" s="488"/>
      <c r="DJ212" s="488"/>
      <c r="DK212" s="488"/>
      <c r="DL212" s="488"/>
      <c r="DM212" s="488"/>
      <c r="DN212" s="488"/>
      <c r="DO212" s="488"/>
      <c r="DP212" s="488"/>
      <c r="DQ212" s="488"/>
      <c r="DR212" s="488"/>
      <c r="DS212" s="488"/>
      <c r="DT212" s="488"/>
      <c r="DU212" s="488"/>
      <c r="DV212" s="488"/>
      <c r="DW212" s="488"/>
      <c r="DX212" s="488"/>
      <c r="DY212" s="488"/>
      <c r="DZ212" s="488"/>
      <c r="EA212" s="488"/>
      <c r="EB212" s="488"/>
      <c r="EC212" s="488"/>
      <c r="ED212" s="488"/>
      <c r="EE212" s="488"/>
      <c r="EF212" s="488"/>
      <c r="EG212" s="488"/>
      <c r="EH212" s="488"/>
      <c r="EI212" s="488"/>
      <c r="EJ212" s="488"/>
      <c r="EK212" s="488"/>
      <c r="EL212" s="488"/>
      <c r="EM212" s="488"/>
      <c r="EN212" s="488"/>
      <c r="EO212" s="488"/>
      <c r="EP212" s="488"/>
      <c r="EQ212" s="488"/>
      <c r="ER212" s="488"/>
      <c r="ES212" s="488"/>
      <c r="ET212" s="488"/>
      <c r="EU212" s="488"/>
      <c r="EV212" s="488"/>
      <c r="EW212" s="488"/>
      <c r="EX212" s="488"/>
      <c r="EY212" s="488"/>
      <c r="EZ212" s="488"/>
      <c r="FA212" s="488"/>
      <c r="FB212" s="488"/>
      <c r="FC212" s="488"/>
      <c r="FD212" s="488"/>
      <c r="FE212" s="488"/>
      <c r="FF212" s="488"/>
      <c r="FG212" s="488"/>
      <c r="FH212" s="488"/>
    </row>
    <row r="213" spans="1:164" ht="13.05" hidden="1" customHeight="1" x14ac:dyDescent="0.25">
      <c r="A213" t="str">
        <f>Nutrients!B212</f>
        <v>NHF Corn DDGS, Valero, Aurora</v>
      </c>
      <c r="B213" s="106"/>
      <c r="C213" s="106"/>
      <c r="D213" s="106"/>
      <c r="E213" s="106"/>
      <c r="F213" s="106"/>
      <c r="G213" s="106"/>
      <c r="H213" s="106"/>
      <c r="I213" s="106"/>
      <c r="J213" s="106"/>
      <c r="K213" s="106"/>
      <c r="L213" s="106"/>
      <c r="M213" s="106"/>
      <c r="N213" s="106"/>
      <c r="O213" s="29"/>
      <c r="P213" s="106"/>
      <c r="Q213" s="106"/>
      <c r="R213" s="106"/>
      <c r="S213" s="106"/>
      <c r="T213" s="106"/>
      <c r="U213" s="106"/>
      <c r="V213" s="9"/>
      <c r="W213" s="106"/>
      <c r="X213" s="106"/>
      <c r="Y213" s="106"/>
      <c r="Z213" s="106"/>
      <c r="AA213" s="106"/>
      <c r="AB213" s="106"/>
      <c r="AC213" s="2"/>
      <c r="AD213" s="106"/>
      <c r="AE213" s="106"/>
      <c r="AF213" s="106"/>
      <c r="AG213" s="106"/>
      <c r="AH213" s="106"/>
      <c r="AI213" s="106"/>
      <c r="AJ213" s="2"/>
      <c r="AK213" s="106"/>
      <c r="AL213" s="106"/>
      <c r="AM213" s="106"/>
      <c r="AN213" s="106"/>
      <c r="AO213" s="106"/>
      <c r="AP213" s="106"/>
      <c r="AQ213" s="2"/>
      <c r="AR213" s="106"/>
      <c r="AS213" s="106"/>
      <c r="AT213" s="106"/>
      <c r="AU213" s="106"/>
      <c r="AV213" s="106"/>
      <c r="AW213" s="106"/>
      <c r="AX213" s="9"/>
      <c r="AY213" s="488"/>
      <c r="AZ213" s="488"/>
      <c r="BA213" s="488"/>
      <c r="BB213" s="488"/>
      <c r="BC213" s="488"/>
      <c r="BD213" s="488"/>
      <c r="BE213" s="488"/>
      <c r="BF213" s="488"/>
      <c r="BG213" s="488"/>
      <c r="BH213" s="488"/>
      <c r="BI213" s="488"/>
      <c r="BJ213" s="488"/>
      <c r="BK213" s="488"/>
      <c r="BL213" s="488"/>
      <c r="BM213" s="488"/>
      <c r="BN213" s="488"/>
      <c r="BO213" s="488"/>
      <c r="BP213" s="488"/>
      <c r="BQ213" s="488"/>
      <c r="BR213" s="488"/>
      <c r="BS213" s="488"/>
      <c r="BT213" s="488"/>
      <c r="BU213" s="488"/>
      <c r="BV213" s="488"/>
      <c r="BW213" s="488"/>
      <c r="BX213" s="488"/>
      <c r="BY213" s="488"/>
      <c r="BZ213" s="488"/>
      <c r="CA213" s="488"/>
      <c r="CB213" s="488"/>
      <c r="CC213" s="488"/>
      <c r="CD213" s="488"/>
      <c r="CE213" s="488"/>
      <c r="CF213" s="488"/>
      <c r="CG213" s="488"/>
      <c r="CH213" s="488"/>
      <c r="CI213" s="488"/>
      <c r="CJ213" s="488"/>
      <c r="CK213" s="488"/>
      <c r="CL213" s="488"/>
      <c r="CM213" s="488"/>
      <c r="CN213" s="488"/>
      <c r="CO213" s="488"/>
      <c r="CP213" s="488"/>
      <c r="CQ213" s="488"/>
      <c r="CR213" s="488"/>
      <c r="CS213" s="488"/>
      <c r="CT213" s="488"/>
      <c r="CU213" s="488"/>
      <c r="CV213" s="488"/>
      <c r="CW213" s="488"/>
      <c r="CX213" s="488"/>
      <c r="CY213" s="488"/>
      <c r="CZ213" s="488"/>
      <c r="DA213" s="488"/>
      <c r="DB213" s="488"/>
      <c r="DC213" s="488"/>
      <c r="DD213" s="488"/>
      <c r="DE213" s="488"/>
      <c r="DF213" s="488"/>
      <c r="DG213" s="488"/>
      <c r="DH213" s="488"/>
      <c r="DI213" s="488"/>
      <c r="DJ213" s="488"/>
      <c r="DK213" s="488"/>
      <c r="DL213" s="488"/>
      <c r="DM213" s="488"/>
      <c r="DN213" s="488"/>
      <c r="DO213" s="488"/>
      <c r="DP213" s="488"/>
      <c r="DQ213" s="488"/>
      <c r="DR213" s="488"/>
      <c r="DS213" s="488"/>
      <c r="DT213" s="488"/>
      <c r="DU213" s="488"/>
      <c r="DV213" s="488"/>
      <c r="DW213" s="488"/>
      <c r="DX213" s="488"/>
      <c r="DY213" s="488"/>
      <c r="DZ213" s="488"/>
      <c r="EA213" s="488"/>
      <c r="EB213" s="488"/>
      <c r="EC213" s="488"/>
      <c r="ED213" s="488"/>
      <c r="EE213" s="488"/>
      <c r="EF213" s="488"/>
      <c r="EG213" s="488"/>
      <c r="EH213" s="488"/>
      <c r="EI213" s="488"/>
      <c r="EJ213" s="488"/>
      <c r="EK213" s="488"/>
      <c r="EL213" s="488"/>
      <c r="EM213" s="488"/>
      <c r="EN213" s="488"/>
      <c r="EO213" s="488"/>
      <c r="EP213" s="488"/>
      <c r="EQ213" s="488"/>
      <c r="ER213" s="488"/>
      <c r="ES213" s="488"/>
      <c r="ET213" s="488"/>
      <c r="EU213" s="488"/>
      <c r="EV213" s="488"/>
      <c r="EW213" s="488"/>
      <c r="EX213" s="488"/>
      <c r="EY213" s="488"/>
      <c r="EZ213" s="488"/>
      <c r="FA213" s="488"/>
      <c r="FB213" s="488"/>
      <c r="FC213" s="488"/>
      <c r="FD213" s="488"/>
      <c r="FE213" s="488"/>
      <c r="FF213" s="488"/>
      <c r="FG213" s="488"/>
      <c r="FH213" s="488"/>
    </row>
    <row r="214" spans="1:164" ht="13.05" hidden="1" customHeight="1" x14ac:dyDescent="0.25">
      <c r="A214" t="str">
        <f>Nutrients!B213</f>
        <v>HP 300 Hubbard</v>
      </c>
      <c r="B214" s="106"/>
      <c r="C214" s="106"/>
      <c r="D214" s="106"/>
      <c r="E214" s="106"/>
      <c r="F214" s="106"/>
      <c r="G214" s="106"/>
      <c r="H214" s="106"/>
      <c r="I214" s="106"/>
      <c r="J214" s="106"/>
      <c r="K214" s="106"/>
      <c r="L214" s="106"/>
      <c r="M214" s="106"/>
      <c r="N214" s="106"/>
      <c r="O214" s="29"/>
      <c r="P214" s="106"/>
      <c r="Q214" s="106"/>
      <c r="R214" s="106"/>
      <c r="S214" s="106"/>
      <c r="T214" s="106"/>
      <c r="U214" s="106"/>
      <c r="V214" s="9"/>
      <c r="W214" s="106"/>
      <c r="X214" s="106"/>
      <c r="Y214" s="106"/>
      <c r="Z214" s="106"/>
      <c r="AA214" s="106"/>
      <c r="AB214" s="106"/>
      <c r="AC214" s="2"/>
      <c r="AD214" s="106"/>
      <c r="AE214" s="106"/>
      <c r="AF214" s="106"/>
      <c r="AG214" s="106"/>
      <c r="AH214" s="106"/>
      <c r="AI214" s="106"/>
      <c r="AJ214" s="2"/>
      <c r="AK214" s="106"/>
      <c r="AL214" s="106"/>
      <c r="AM214" s="106"/>
      <c r="AN214" s="106"/>
      <c r="AO214" s="106"/>
      <c r="AP214" s="106"/>
      <c r="AQ214" s="2"/>
      <c r="AR214" s="106"/>
      <c r="AS214" s="106"/>
      <c r="AT214" s="106"/>
      <c r="AU214" s="106"/>
      <c r="AV214" s="106"/>
      <c r="AW214" s="106"/>
      <c r="AX214" s="9"/>
      <c r="AY214" s="488"/>
      <c r="AZ214" s="488"/>
      <c r="BA214" s="488"/>
      <c r="BB214" s="488"/>
      <c r="BC214" s="488"/>
      <c r="BD214" s="488"/>
      <c r="BE214" s="488"/>
      <c r="BF214" s="488"/>
      <c r="BG214" s="488"/>
      <c r="BH214" s="488"/>
      <c r="BI214" s="488"/>
      <c r="BJ214" s="488"/>
      <c r="BK214" s="488"/>
      <c r="BL214" s="488"/>
      <c r="BM214" s="488"/>
      <c r="BN214" s="488"/>
      <c r="BO214" s="488"/>
      <c r="BP214" s="488"/>
      <c r="BQ214" s="488"/>
      <c r="BR214" s="488"/>
      <c r="BS214" s="488"/>
      <c r="BT214" s="488"/>
      <c r="BU214" s="488"/>
      <c r="BV214" s="488"/>
      <c r="BW214" s="488"/>
      <c r="BX214" s="488"/>
      <c r="BY214" s="488"/>
      <c r="BZ214" s="488"/>
      <c r="CA214" s="488"/>
      <c r="CB214" s="488"/>
      <c r="CC214" s="488"/>
      <c r="CD214" s="488"/>
      <c r="CE214" s="488"/>
      <c r="CF214" s="488"/>
      <c r="CG214" s="488"/>
      <c r="CH214" s="488"/>
      <c r="CI214" s="488"/>
      <c r="CJ214" s="488"/>
      <c r="CK214" s="488"/>
      <c r="CL214" s="488"/>
      <c r="CM214" s="488"/>
      <c r="CN214" s="488"/>
      <c r="CO214" s="488"/>
      <c r="CP214" s="488"/>
      <c r="CQ214" s="488"/>
      <c r="CR214" s="488"/>
      <c r="CS214" s="488"/>
      <c r="CT214" s="488"/>
      <c r="CU214" s="488"/>
      <c r="CV214" s="488"/>
      <c r="CW214" s="488"/>
      <c r="CX214" s="488"/>
      <c r="CY214" s="488"/>
      <c r="CZ214" s="488"/>
      <c r="DA214" s="488"/>
      <c r="DB214" s="488"/>
      <c r="DC214" s="488"/>
      <c r="DD214" s="488"/>
      <c r="DE214" s="488"/>
      <c r="DF214" s="488"/>
      <c r="DG214" s="488"/>
      <c r="DH214" s="488"/>
      <c r="DI214" s="488"/>
      <c r="DJ214" s="488"/>
      <c r="DK214" s="488"/>
      <c r="DL214" s="488"/>
      <c r="DM214" s="488"/>
      <c r="DN214" s="488"/>
      <c r="DO214" s="488"/>
      <c r="DP214" s="488"/>
      <c r="DQ214" s="488"/>
      <c r="DR214" s="488"/>
      <c r="DS214" s="488"/>
      <c r="DT214" s="488"/>
      <c r="DU214" s="488"/>
      <c r="DV214" s="488"/>
      <c r="DW214" s="488"/>
      <c r="DX214" s="488"/>
      <c r="DY214" s="488"/>
      <c r="DZ214" s="488"/>
      <c r="EA214" s="488"/>
      <c r="EB214" s="488"/>
      <c r="EC214" s="488"/>
      <c r="ED214" s="488"/>
      <c r="EE214" s="488"/>
      <c r="EF214" s="488"/>
      <c r="EG214" s="488"/>
      <c r="EH214" s="488"/>
      <c r="EI214" s="488"/>
      <c r="EJ214" s="488"/>
      <c r="EK214" s="488"/>
      <c r="EL214" s="488"/>
      <c r="EM214" s="488"/>
      <c r="EN214" s="488"/>
      <c r="EO214" s="488"/>
      <c r="EP214" s="488"/>
      <c r="EQ214" s="488"/>
      <c r="ER214" s="488"/>
      <c r="ES214" s="488"/>
      <c r="ET214" s="488"/>
      <c r="EU214" s="488"/>
      <c r="EV214" s="488"/>
      <c r="EW214" s="488"/>
      <c r="EX214" s="488"/>
      <c r="EY214" s="488"/>
      <c r="EZ214" s="488"/>
      <c r="FA214" s="488"/>
      <c r="FB214" s="488"/>
      <c r="FC214" s="488"/>
      <c r="FD214" s="488"/>
      <c r="FE214" s="488"/>
      <c r="FF214" s="488"/>
      <c r="FG214" s="488"/>
      <c r="FH214" s="488"/>
    </row>
    <row r="215" spans="1:164" ht="13.05" hidden="1" customHeight="1" x14ac:dyDescent="0.25">
      <c r="A215" t="str">
        <f>Nutrients!B214</f>
        <v>NHF Corn DDGS, Illuminate for Aurora</v>
      </c>
      <c r="B215" s="106"/>
      <c r="C215" s="106"/>
      <c r="D215" s="106"/>
      <c r="E215" s="106"/>
      <c r="F215" s="106"/>
      <c r="G215" s="106"/>
      <c r="H215" s="106"/>
      <c r="I215" s="106"/>
      <c r="J215" s="106"/>
      <c r="K215" s="106"/>
      <c r="L215" s="106"/>
      <c r="M215" s="106"/>
      <c r="N215" s="106"/>
      <c r="O215" s="29"/>
      <c r="P215" s="106"/>
      <c r="Q215" s="106"/>
      <c r="R215" s="106"/>
      <c r="S215" s="106"/>
      <c r="T215" s="106"/>
      <c r="U215" s="106"/>
      <c r="V215" s="9"/>
      <c r="W215" s="106"/>
      <c r="X215" s="106"/>
      <c r="Y215" s="106"/>
      <c r="Z215" s="106"/>
      <c r="AA215" s="106"/>
      <c r="AB215" s="106"/>
      <c r="AC215" s="2"/>
      <c r="AD215" s="106"/>
      <c r="AE215" s="106"/>
      <c r="AF215" s="106"/>
      <c r="AG215" s="106"/>
      <c r="AH215" s="106"/>
      <c r="AI215" s="106"/>
      <c r="AJ215" s="2"/>
      <c r="AK215" s="106"/>
      <c r="AL215" s="106"/>
      <c r="AM215" s="106"/>
      <c r="AN215" s="106"/>
      <c r="AO215" s="106"/>
      <c r="AP215" s="106"/>
      <c r="AQ215" s="2"/>
      <c r="AR215" s="106"/>
      <c r="AS215" s="106"/>
      <c r="AT215" s="106"/>
      <c r="AU215" s="106"/>
      <c r="AV215" s="106"/>
      <c r="AW215" s="106"/>
      <c r="AX215" s="9"/>
      <c r="AY215" s="488"/>
      <c r="AZ215" s="488"/>
      <c r="BA215" s="488"/>
      <c r="BB215" s="488"/>
      <c r="BC215" s="488"/>
      <c r="BD215" s="488"/>
      <c r="BE215" s="488"/>
      <c r="BF215" s="488"/>
      <c r="BG215" s="488"/>
      <c r="BH215" s="488"/>
      <c r="BI215" s="488"/>
      <c r="BJ215" s="488"/>
      <c r="BK215" s="488"/>
      <c r="BL215" s="488"/>
      <c r="BM215" s="488"/>
      <c r="BN215" s="488"/>
      <c r="BO215" s="488"/>
      <c r="BP215" s="488"/>
      <c r="BQ215" s="488"/>
      <c r="BR215" s="488"/>
      <c r="BS215" s="488"/>
      <c r="BT215" s="488"/>
      <c r="BU215" s="488"/>
      <c r="BV215" s="488"/>
      <c r="BW215" s="488"/>
      <c r="BX215" s="488"/>
      <c r="BY215" s="488"/>
      <c r="BZ215" s="488"/>
      <c r="CA215" s="488"/>
      <c r="CB215" s="488"/>
      <c r="CC215" s="488"/>
      <c r="CD215" s="488"/>
      <c r="CE215" s="488"/>
      <c r="CF215" s="488"/>
      <c r="CG215" s="488"/>
      <c r="CH215" s="488"/>
      <c r="CI215" s="488"/>
      <c r="CJ215" s="488"/>
      <c r="CK215" s="488"/>
      <c r="CL215" s="488"/>
      <c r="CM215" s="488"/>
      <c r="CN215" s="488"/>
      <c r="CO215" s="488"/>
      <c r="CP215" s="488"/>
      <c r="CQ215" s="488"/>
      <c r="CR215" s="488"/>
      <c r="CS215" s="488"/>
      <c r="CT215" s="488"/>
      <c r="CU215" s="488"/>
      <c r="CV215" s="488"/>
      <c r="CW215" s="488"/>
      <c r="CX215" s="488"/>
      <c r="CY215" s="488"/>
      <c r="CZ215" s="488"/>
      <c r="DA215" s="488"/>
      <c r="DB215" s="488"/>
      <c r="DC215" s="488"/>
      <c r="DD215" s="488"/>
      <c r="DE215" s="488"/>
      <c r="DF215" s="488"/>
      <c r="DG215" s="488"/>
      <c r="DH215" s="488"/>
      <c r="DI215" s="488"/>
      <c r="DJ215" s="488"/>
      <c r="DK215" s="488"/>
      <c r="DL215" s="488"/>
      <c r="DM215" s="488"/>
      <c r="DN215" s="488"/>
      <c r="DO215" s="488"/>
      <c r="DP215" s="488"/>
      <c r="DQ215" s="488"/>
      <c r="DR215" s="488"/>
      <c r="DS215" s="488"/>
      <c r="DT215" s="488"/>
      <c r="DU215" s="488"/>
      <c r="DV215" s="488"/>
      <c r="DW215" s="488"/>
      <c r="DX215" s="488"/>
      <c r="DY215" s="488"/>
      <c r="DZ215" s="488"/>
      <c r="EA215" s="488"/>
      <c r="EB215" s="488"/>
      <c r="EC215" s="488"/>
      <c r="ED215" s="488"/>
      <c r="EE215" s="488"/>
      <c r="EF215" s="488"/>
      <c r="EG215" s="488"/>
      <c r="EH215" s="488"/>
      <c r="EI215" s="488"/>
      <c r="EJ215" s="488"/>
      <c r="EK215" s="488"/>
      <c r="EL215" s="488"/>
      <c r="EM215" s="488"/>
      <c r="EN215" s="488"/>
      <c r="EO215" s="488"/>
      <c r="EP215" s="488"/>
      <c r="EQ215" s="488"/>
      <c r="ER215" s="488"/>
      <c r="ES215" s="488"/>
      <c r="ET215" s="488"/>
      <c r="EU215" s="488"/>
      <c r="EV215" s="488"/>
      <c r="EW215" s="488"/>
      <c r="EX215" s="488"/>
      <c r="EY215" s="488"/>
      <c r="EZ215" s="488"/>
      <c r="FA215" s="488"/>
      <c r="FB215" s="488"/>
      <c r="FC215" s="488"/>
      <c r="FD215" s="488"/>
      <c r="FE215" s="488"/>
      <c r="FF215" s="488"/>
      <c r="FG215" s="488"/>
      <c r="FH215" s="488"/>
    </row>
    <row r="216" spans="1:164" ht="13.05" hidden="1" customHeight="1" x14ac:dyDescent="0.25">
      <c r="A216" t="str">
        <f>Nutrients!B215</f>
        <v>NFP Corn DDGS, MO analysis</v>
      </c>
      <c r="B216" s="106"/>
      <c r="C216" s="106"/>
      <c r="D216" s="106"/>
      <c r="E216" s="106"/>
      <c r="F216" s="106"/>
      <c r="G216" s="106"/>
      <c r="H216" s="106"/>
      <c r="I216" s="106"/>
      <c r="J216" s="106"/>
      <c r="K216" s="106"/>
      <c r="L216" s="106"/>
      <c r="M216" s="106"/>
      <c r="N216" s="106"/>
      <c r="O216" s="29"/>
      <c r="P216" s="106"/>
      <c r="Q216" s="106"/>
      <c r="R216" s="106"/>
      <c r="S216" s="106"/>
      <c r="T216" s="106"/>
      <c r="U216" s="106"/>
      <c r="V216" s="9"/>
      <c r="W216" s="106"/>
      <c r="X216" s="106"/>
      <c r="Y216" s="106"/>
      <c r="Z216" s="106"/>
      <c r="AA216" s="106"/>
      <c r="AB216" s="106"/>
      <c r="AC216" s="2"/>
      <c r="AD216" s="106"/>
      <c r="AE216" s="106"/>
      <c r="AF216" s="106"/>
      <c r="AG216" s="106"/>
      <c r="AH216" s="106"/>
      <c r="AI216" s="106"/>
      <c r="AJ216" s="2"/>
      <c r="AK216" s="106"/>
      <c r="AL216" s="106"/>
      <c r="AM216" s="106"/>
      <c r="AN216" s="106"/>
      <c r="AO216" s="106"/>
      <c r="AP216" s="106"/>
      <c r="AQ216" s="2"/>
      <c r="AR216" s="106"/>
      <c r="AS216" s="106"/>
      <c r="AT216" s="106"/>
      <c r="AU216" s="106"/>
      <c r="AV216" s="106"/>
      <c r="AW216" s="106"/>
      <c r="AX216" s="9"/>
      <c r="AY216" s="488"/>
      <c r="AZ216" s="488"/>
      <c r="BA216" s="488"/>
      <c r="BB216" s="488"/>
      <c r="BC216" s="488"/>
      <c r="BD216" s="488"/>
      <c r="BE216" s="488"/>
      <c r="BF216" s="488"/>
      <c r="BG216" s="488"/>
      <c r="BH216" s="488"/>
      <c r="BI216" s="488"/>
      <c r="BJ216" s="488"/>
      <c r="BK216" s="488"/>
      <c r="BL216" s="488"/>
      <c r="BM216" s="488"/>
      <c r="BN216" s="488"/>
      <c r="BO216" s="488"/>
      <c r="BP216" s="488"/>
      <c r="BQ216" s="488"/>
      <c r="BR216" s="488"/>
      <c r="BS216" s="488"/>
      <c r="BT216" s="488"/>
      <c r="BU216" s="488"/>
      <c r="BV216" s="488"/>
      <c r="BW216" s="488"/>
      <c r="BX216" s="488"/>
      <c r="BY216" s="488"/>
      <c r="BZ216" s="488"/>
      <c r="CA216" s="488"/>
      <c r="CB216" s="488"/>
      <c r="CC216" s="488"/>
      <c r="CD216" s="488"/>
      <c r="CE216" s="488"/>
      <c r="CF216" s="488"/>
      <c r="CG216" s="488"/>
      <c r="CH216" s="488"/>
      <c r="CI216" s="488"/>
      <c r="CJ216" s="488"/>
      <c r="CK216" s="488"/>
      <c r="CL216" s="488"/>
      <c r="CM216" s="488"/>
      <c r="CN216" s="488"/>
      <c r="CO216" s="488"/>
      <c r="CP216" s="488"/>
      <c r="CQ216" s="488"/>
      <c r="CR216" s="488"/>
      <c r="CS216" s="488"/>
      <c r="CT216" s="488"/>
      <c r="CU216" s="488"/>
      <c r="CV216" s="488"/>
      <c r="CW216" s="488"/>
      <c r="CX216" s="488"/>
      <c r="CY216" s="488"/>
      <c r="CZ216" s="488"/>
      <c r="DA216" s="488"/>
      <c r="DB216" s="488"/>
      <c r="DC216" s="488"/>
      <c r="DD216" s="488"/>
      <c r="DE216" s="488"/>
      <c r="DF216" s="488"/>
      <c r="DG216" s="488"/>
      <c r="DH216" s="488"/>
      <c r="DI216" s="488"/>
      <c r="DJ216" s="488"/>
      <c r="DK216" s="488"/>
      <c r="DL216" s="488"/>
      <c r="DM216" s="488"/>
      <c r="DN216" s="488"/>
      <c r="DO216" s="488"/>
      <c r="DP216" s="488"/>
      <c r="DQ216" s="488"/>
      <c r="DR216" s="488"/>
      <c r="DS216" s="488"/>
      <c r="DT216" s="488"/>
      <c r="DU216" s="488"/>
      <c r="DV216" s="488"/>
      <c r="DW216" s="488"/>
      <c r="DX216" s="488"/>
      <c r="DY216" s="488"/>
      <c r="DZ216" s="488"/>
      <c r="EA216" s="488"/>
      <c r="EB216" s="488"/>
      <c r="EC216" s="488"/>
      <c r="ED216" s="488"/>
      <c r="EE216" s="488"/>
      <c r="EF216" s="488"/>
      <c r="EG216" s="488"/>
      <c r="EH216" s="488"/>
      <c r="EI216" s="488"/>
      <c r="EJ216" s="488"/>
      <c r="EK216" s="488"/>
      <c r="EL216" s="488"/>
      <c r="EM216" s="488"/>
      <c r="EN216" s="488"/>
      <c r="EO216" s="488"/>
      <c r="EP216" s="488"/>
      <c r="EQ216" s="488"/>
      <c r="ER216" s="488"/>
      <c r="ES216" s="488"/>
      <c r="ET216" s="488"/>
      <c r="EU216" s="488"/>
      <c r="EV216" s="488"/>
      <c r="EW216" s="488"/>
      <c r="EX216" s="488"/>
      <c r="EY216" s="488"/>
      <c r="EZ216" s="488"/>
      <c r="FA216" s="488"/>
      <c r="FB216" s="488"/>
      <c r="FC216" s="488"/>
      <c r="FD216" s="488"/>
      <c r="FE216" s="488"/>
      <c r="FF216" s="488"/>
      <c r="FG216" s="488"/>
      <c r="FH216" s="488"/>
    </row>
    <row r="217" spans="1:164" ht="13.05" hidden="1" customHeight="1" x14ac:dyDescent="0.25">
      <c r="A217" t="str">
        <f>Nutrients!B216</f>
        <v>NFP Smizyme 2500</v>
      </c>
      <c r="B217" s="106"/>
      <c r="C217" s="106"/>
      <c r="D217" s="106"/>
      <c r="E217" s="106"/>
      <c r="F217" s="106"/>
      <c r="G217" s="106"/>
      <c r="H217" s="106"/>
      <c r="I217" s="106"/>
      <c r="J217" s="106"/>
      <c r="K217" s="106"/>
      <c r="L217" s="106"/>
      <c r="M217" s="106"/>
      <c r="N217" s="106"/>
      <c r="O217" s="29"/>
      <c r="P217" s="106"/>
      <c r="Q217" s="106"/>
      <c r="R217" s="106"/>
      <c r="S217" s="106"/>
      <c r="T217" s="106"/>
      <c r="U217" s="106"/>
      <c r="V217" s="9"/>
      <c r="W217" s="106"/>
      <c r="X217" s="106"/>
      <c r="Y217" s="106"/>
      <c r="Z217" s="106"/>
      <c r="AA217" s="106"/>
      <c r="AB217" s="106"/>
      <c r="AC217" s="2"/>
      <c r="AD217" s="106"/>
      <c r="AE217" s="106"/>
      <c r="AF217" s="106"/>
      <c r="AG217" s="106"/>
      <c r="AH217" s="106"/>
      <c r="AI217" s="106"/>
      <c r="AJ217" s="2"/>
      <c r="AK217" s="106"/>
      <c r="AL217" s="106"/>
      <c r="AM217" s="106"/>
      <c r="AN217" s="106"/>
      <c r="AO217" s="106"/>
      <c r="AP217" s="106"/>
      <c r="AQ217" s="2"/>
      <c r="AR217" s="106"/>
      <c r="AS217" s="106"/>
      <c r="AT217" s="106"/>
      <c r="AU217" s="106"/>
      <c r="AV217" s="106"/>
      <c r="AW217" s="106"/>
      <c r="AX217" s="9"/>
      <c r="AY217" s="488"/>
      <c r="AZ217" s="488"/>
      <c r="BA217" s="488"/>
      <c r="BB217" s="488"/>
      <c r="BC217" s="488"/>
      <c r="BD217" s="488"/>
      <c r="BE217" s="488"/>
      <c r="BF217" s="488"/>
      <c r="BG217" s="488"/>
      <c r="BH217" s="488"/>
      <c r="BI217" s="488"/>
      <c r="BJ217" s="488"/>
      <c r="BK217" s="488"/>
      <c r="BL217" s="488"/>
      <c r="BM217" s="488"/>
      <c r="BN217" s="488"/>
      <c r="BO217" s="488"/>
      <c r="BP217" s="488"/>
      <c r="BQ217" s="488"/>
      <c r="BR217" s="488"/>
      <c r="BS217" s="488"/>
      <c r="BT217" s="488"/>
      <c r="BU217" s="488"/>
      <c r="BV217" s="488"/>
      <c r="BW217" s="488"/>
      <c r="BX217" s="488"/>
      <c r="BY217" s="488"/>
      <c r="BZ217" s="488"/>
      <c r="CA217" s="488"/>
      <c r="CB217" s="488"/>
      <c r="CC217" s="488"/>
      <c r="CD217" s="488"/>
      <c r="CE217" s="488"/>
      <c r="CF217" s="488"/>
      <c r="CG217" s="488"/>
      <c r="CH217" s="488"/>
      <c r="CI217" s="488"/>
      <c r="CJ217" s="488"/>
      <c r="CK217" s="488"/>
      <c r="CL217" s="488"/>
      <c r="CM217" s="488"/>
      <c r="CN217" s="488"/>
      <c r="CO217" s="488"/>
      <c r="CP217" s="488"/>
      <c r="CQ217" s="488"/>
      <c r="CR217" s="488"/>
      <c r="CS217" s="488"/>
      <c r="CT217" s="488"/>
      <c r="CU217" s="488"/>
      <c r="CV217" s="488"/>
      <c r="CW217" s="488"/>
      <c r="CX217" s="488"/>
      <c r="CY217" s="488"/>
      <c r="CZ217" s="488"/>
      <c r="DA217" s="488"/>
      <c r="DB217" s="488"/>
      <c r="DC217" s="488"/>
      <c r="DD217" s="488"/>
      <c r="DE217" s="488"/>
      <c r="DF217" s="488"/>
      <c r="DG217" s="488"/>
      <c r="DH217" s="488"/>
      <c r="DI217" s="488"/>
      <c r="DJ217" s="488"/>
      <c r="DK217" s="488"/>
      <c r="DL217" s="488"/>
      <c r="DM217" s="488"/>
      <c r="DN217" s="488"/>
      <c r="DO217" s="488"/>
      <c r="DP217" s="488"/>
      <c r="DQ217" s="488"/>
      <c r="DR217" s="488"/>
      <c r="DS217" s="488"/>
      <c r="DT217" s="488"/>
      <c r="DU217" s="488"/>
      <c r="DV217" s="488"/>
      <c r="DW217" s="488"/>
      <c r="DX217" s="488"/>
      <c r="DY217" s="488"/>
      <c r="DZ217" s="488"/>
      <c r="EA217" s="488"/>
      <c r="EB217" s="488"/>
      <c r="EC217" s="488"/>
      <c r="ED217" s="488"/>
      <c r="EE217" s="488"/>
      <c r="EF217" s="488"/>
      <c r="EG217" s="488"/>
      <c r="EH217" s="488"/>
      <c r="EI217" s="488"/>
      <c r="EJ217" s="488"/>
      <c r="EK217" s="488"/>
      <c r="EL217" s="488"/>
      <c r="EM217" s="488"/>
      <c r="EN217" s="488"/>
      <c r="EO217" s="488"/>
      <c r="EP217" s="488"/>
      <c r="EQ217" s="488"/>
      <c r="ER217" s="488"/>
      <c r="ES217" s="488"/>
      <c r="ET217" s="488"/>
      <c r="EU217" s="488"/>
      <c r="EV217" s="488"/>
      <c r="EW217" s="488"/>
      <c r="EX217" s="488"/>
      <c r="EY217" s="488"/>
      <c r="EZ217" s="488"/>
      <c r="FA217" s="488"/>
      <c r="FB217" s="488"/>
      <c r="FC217" s="488"/>
      <c r="FD217" s="488"/>
      <c r="FE217" s="488"/>
      <c r="FF217" s="488"/>
      <c r="FG217" s="488"/>
      <c r="FH217" s="488"/>
    </row>
    <row r="218" spans="1:164" ht="13.05" hidden="1" customHeight="1" x14ac:dyDescent="0.25">
      <c r="A218" t="str">
        <f>Nutrients!B217</f>
        <v>NHF HP300 2022 loadings</v>
      </c>
      <c r="B218" s="106"/>
      <c r="C218" s="106"/>
      <c r="D218" s="106"/>
      <c r="E218" s="106"/>
      <c r="F218" s="106"/>
      <c r="G218" s="106"/>
      <c r="H218" s="106"/>
      <c r="I218" s="106"/>
      <c r="J218" s="106"/>
      <c r="K218" s="106"/>
      <c r="L218" s="106"/>
      <c r="M218" s="106"/>
      <c r="N218" s="106"/>
      <c r="O218" s="29"/>
      <c r="P218" s="106"/>
      <c r="Q218" s="106"/>
      <c r="R218" s="106"/>
      <c r="S218" s="106"/>
      <c r="T218" s="106"/>
      <c r="U218" s="106"/>
      <c r="V218" s="9"/>
      <c r="W218" s="106"/>
      <c r="X218" s="106"/>
      <c r="Y218" s="106"/>
      <c r="Z218" s="106"/>
      <c r="AA218" s="106"/>
      <c r="AB218" s="106"/>
      <c r="AC218" s="2"/>
      <c r="AD218" s="106"/>
      <c r="AE218" s="106"/>
      <c r="AF218" s="106"/>
      <c r="AG218" s="106"/>
      <c r="AH218" s="106"/>
      <c r="AI218" s="106"/>
      <c r="AJ218" s="2"/>
      <c r="AK218" s="106"/>
      <c r="AL218" s="106"/>
      <c r="AM218" s="106"/>
      <c r="AN218" s="106"/>
      <c r="AO218" s="106"/>
      <c r="AP218" s="106"/>
      <c r="AQ218" s="2"/>
      <c r="AR218" s="106"/>
      <c r="AS218" s="106"/>
      <c r="AT218" s="106"/>
      <c r="AU218" s="106"/>
      <c r="AV218" s="106"/>
      <c r="AW218" s="106"/>
      <c r="AX218" s="9"/>
      <c r="AY218" s="488"/>
      <c r="AZ218" s="488"/>
      <c r="BA218" s="488"/>
      <c r="BB218" s="488"/>
      <c r="BC218" s="488"/>
      <c r="BD218" s="488"/>
      <c r="BE218" s="488"/>
      <c r="BF218" s="488"/>
      <c r="BG218" s="488"/>
      <c r="BH218" s="488"/>
      <c r="BI218" s="488"/>
      <c r="BJ218" s="488"/>
      <c r="BK218" s="488"/>
      <c r="BL218" s="488"/>
      <c r="BM218" s="488"/>
      <c r="BN218" s="488"/>
      <c r="BO218" s="488"/>
      <c r="BP218" s="488"/>
      <c r="BQ218" s="488"/>
      <c r="BR218" s="488"/>
      <c r="BS218" s="488"/>
      <c r="BT218" s="488"/>
      <c r="BU218" s="488"/>
      <c r="BV218" s="488"/>
      <c r="BW218" s="488"/>
      <c r="BX218" s="488"/>
      <c r="BY218" s="488"/>
      <c r="BZ218" s="488"/>
      <c r="CA218" s="488"/>
      <c r="CB218" s="488"/>
      <c r="CC218" s="488"/>
      <c r="CD218" s="488"/>
      <c r="CE218" s="488"/>
      <c r="CF218" s="488"/>
      <c r="CG218" s="488"/>
      <c r="CH218" s="488"/>
      <c r="CI218" s="488"/>
      <c r="CJ218" s="488"/>
      <c r="CK218" s="488"/>
      <c r="CL218" s="488"/>
      <c r="CM218" s="488"/>
      <c r="CN218" s="488"/>
      <c r="CO218" s="488"/>
      <c r="CP218" s="488"/>
      <c r="CQ218" s="488"/>
      <c r="CR218" s="488"/>
      <c r="CS218" s="488"/>
      <c r="CT218" s="488"/>
      <c r="CU218" s="488"/>
      <c r="CV218" s="488"/>
      <c r="CW218" s="488"/>
      <c r="CX218" s="488"/>
      <c r="CY218" s="488"/>
      <c r="CZ218" s="488"/>
      <c r="DA218" s="488"/>
      <c r="DB218" s="488"/>
      <c r="DC218" s="488"/>
      <c r="DD218" s="488"/>
      <c r="DE218" s="488"/>
      <c r="DF218" s="488"/>
      <c r="DG218" s="488"/>
      <c r="DH218" s="488"/>
      <c r="DI218" s="488"/>
      <c r="DJ218" s="488"/>
      <c r="DK218" s="488"/>
      <c r="DL218" s="488"/>
      <c r="DM218" s="488"/>
      <c r="DN218" s="488"/>
      <c r="DO218" s="488"/>
      <c r="DP218" s="488"/>
      <c r="DQ218" s="488"/>
      <c r="DR218" s="488"/>
      <c r="DS218" s="488"/>
      <c r="DT218" s="488"/>
      <c r="DU218" s="488"/>
      <c r="DV218" s="488"/>
      <c r="DW218" s="488"/>
      <c r="DX218" s="488"/>
      <c r="DY218" s="488"/>
      <c r="DZ218" s="488"/>
      <c r="EA218" s="488"/>
      <c r="EB218" s="488"/>
      <c r="EC218" s="488"/>
      <c r="ED218" s="488"/>
      <c r="EE218" s="488"/>
      <c r="EF218" s="488"/>
      <c r="EG218" s="488"/>
      <c r="EH218" s="488"/>
      <c r="EI218" s="488"/>
      <c r="EJ218" s="488"/>
      <c r="EK218" s="488"/>
      <c r="EL218" s="488"/>
      <c r="EM218" s="488"/>
      <c r="EN218" s="488"/>
      <c r="EO218" s="488"/>
      <c r="EP218" s="488"/>
      <c r="EQ218" s="488"/>
      <c r="ER218" s="488"/>
      <c r="ES218" s="488"/>
      <c r="ET218" s="488"/>
      <c r="EU218" s="488"/>
      <c r="EV218" s="488"/>
      <c r="EW218" s="488"/>
      <c r="EX218" s="488"/>
      <c r="EY218" s="488"/>
      <c r="EZ218" s="488"/>
      <c r="FA218" s="488"/>
      <c r="FB218" s="488"/>
      <c r="FC218" s="488"/>
      <c r="FD218" s="488"/>
      <c r="FE218" s="488"/>
      <c r="FF218" s="488"/>
      <c r="FG218" s="488"/>
      <c r="FH218" s="488"/>
    </row>
    <row r="219" spans="1:164" ht="13.05" hidden="1" customHeight="1" x14ac:dyDescent="0.25">
      <c r="A219" t="str">
        <f>Nutrients!B218</f>
        <v>NHF Liquid Lys 55%</v>
      </c>
      <c r="B219" s="106"/>
      <c r="C219" s="106"/>
      <c r="D219" s="106"/>
      <c r="E219" s="106"/>
      <c r="F219" s="106"/>
      <c r="G219" s="106"/>
      <c r="H219" s="106"/>
      <c r="I219" s="106"/>
      <c r="J219" s="106"/>
      <c r="K219" s="106"/>
      <c r="L219" s="106"/>
      <c r="M219" s="106"/>
      <c r="N219" s="106"/>
      <c r="O219" s="29"/>
      <c r="P219" s="106"/>
      <c r="Q219" s="106"/>
      <c r="R219" s="106"/>
      <c r="S219" s="106"/>
      <c r="T219" s="106"/>
      <c r="U219" s="106"/>
      <c r="V219" s="9"/>
      <c r="W219" s="106"/>
      <c r="X219" s="106"/>
      <c r="Y219" s="106"/>
      <c r="Z219" s="106"/>
      <c r="AA219" s="106"/>
      <c r="AB219" s="106"/>
      <c r="AC219" s="2"/>
      <c r="AD219" s="106"/>
      <c r="AE219" s="106"/>
      <c r="AF219" s="106"/>
      <c r="AG219" s="106"/>
      <c r="AH219" s="106"/>
      <c r="AI219" s="106"/>
      <c r="AJ219" s="2"/>
      <c r="AK219" s="106"/>
      <c r="AL219" s="106"/>
      <c r="AM219" s="106"/>
      <c r="AN219" s="106"/>
      <c r="AO219" s="106"/>
      <c r="AP219" s="106"/>
      <c r="AQ219" s="2"/>
      <c r="AR219" s="106"/>
      <c r="AS219" s="106"/>
      <c r="AT219" s="106"/>
      <c r="AU219" s="106"/>
      <c r="AV219" s="106"/>
      <c r="AW219" s="106"/>
      <c r="AX219" s="9"/>
      <c r="AY219" s="488"/>
      <c r="AZ219" s="488"/>
      <c r="BA219" s="488"/>
      <c r="BB219" s="488"/>
      <c r="BC219" s="488"/>
      <c r="BD219" s="488"/>
      <c r="BE219" s="488"/>
      <c r="BF219" s="488"/>
      <c r="BG219" s="488"/>
      <c r="BH219" s="488"/>
      <c r="BI219" s="488"/>
      <c r="BJ219" s="488"/>
      <c r="BK219" s="488"/>
      <c r="BL219" s="488"/>
      <c r="BM219" s="488"/>
      <c r="BN219" s="488"/>
      <c r="BO219" s="488"/>
      <c r="BP219" s="488"/>
      <c r="BQ219" s="488"/>
      <c r="BR219" s="488"/>
      <c r="BS219" s="488"/>
      <c r="BT219" s="488"/>
      <c r="BU219" s="488"/>
      <c r="BV219" s="488"/>
      <c r="BW219" s="488"/>
      <c r="BX219" s="488"/>
      <c r="BY219" s="488"/>
      <c r="BZ219" s="488"/>
      <c r="CA219" s="488"/>
      <c r="CB219" s="488"/>
      <c r="CC219" s="488"/>
      <c r="CD219" s="488"/>
      <c r="CE219" s="488"/>
      <c r="CF219" s="488"/>
      <c r="CG219" s="488"/>
      <c r="CH219" s="488"/>
      <c r="CI219" s="488"/>
      <c r="CJ219" s="488"/>
      <c r="CK219" s="488"/>
      <c r="CL219" s="488"/>
      <c r="CM219" s="488"/>
      <c r="CN219" s="488"/>
      <c r="CO219" s="488"/>
      <c r="CP219" s="488"/>
      <c r="CQ219" s="488"/>
      <c r="CR219" s="488"/>
      <c r="CS219" s="488"/>
      <c r="CT219" s="488"/>
      <c r="CU219" s="488"/>
      <c r="CV219" s="488"/>
      <c r="CW219" s="488"/>
      <c r="CX219" s="488"/>
      <c r="CY219" s="488"/>
      <c r="CZ219" s="488"/>
      <c r="DA219" s="488"/>
      <c r="DB219" s="488"/>
      <c r="DC219" s="488"/>
      <c r="DD219" s="488"/>
      <c r="DE219" s="488"/>
      <c r="DF219" s="488"/>
      <c r="DG219" s="488"/>
      <c r="DH219" s="488"/>
      <c r="DI219" s="488"/>
      <c r="DJ219" s="488"/>
      <c r="DK219" s="488"/>
      <c r="DL219" s="488"/>
      <c r="DM219" s="488"/>
      <c r="DN219" s="488"/>
      <c r="DO219" s="488"/>
      <c r="DP219" s="488"/>
      <c r="DQ219" s="488"/>
      <c r="DR219" s="488"/>
      <c r="DS219" s="488"/>
      <c r="DT219" s="488"/>
      <c r="DU219" s="488"/>
      <c r="DV219" s="488"/>
      <c r="DW219" s="488"/>
      <c r="DX219" s="488"/>
      <c r="DY219" s="488"/>
      <c r="DZ219" s="488"/>
      <c r="EA219" s="488"/>
      <c r="EB219" s="488"/>
      <c r="EC219" s="488"/>
      <c r="ED219" s="488"/>
      <c r="EE219" s="488"/>
      <c r="EF219" s="488"/>
      <c r="EG219" s="488"/>
      <c r="EH219" s="488"/>
      <c r="EI219" s="488"/>
      <c r="EJ219" s="488"/>
      <c r="EK219" s="488"/>
      <c r="EL219" s="488"/>
      <c r="EM219" s="488"/>
      <c r="EN219" s="488"/>
      <c r="EO219" s="488"/>
      <c r="EP219" s="488"/>
      <c r="EQ219" s="488"/>
      <c r="ER219" s="488"/>
      <c r="ES219" s="488"/>
      <c r="ET219" s="488"/>
      <c r="EU219" s="488"/>
      <c r="EV219" s="488"/>
      <c r="EW219" s="488"/>
      <c r="EX219" s="488"/>
      <c r="EY219" s="488"/>
      <c r="EZ219" s="488"/>
      <c r="FA219" s="488"/>
      <c r="FB219" s="488"/>
      <c r="FC219" s="488"/>
      <c r="FD219" s="488"/>
      <c r="FE219" s="488"/>
      <c r="FF219" s="488"/>
      <c r="FG219" s="488"/>
      <c r="FH219" s="488"/>
    </row>
    <row r="220" spans="1:164" ht="13.8" thickBot="1" x14ac:dyDescent="0.3">
      <c r="A220" t="str">
        <f>Nutrients!B219</f>
        <v>Corn DDGS with varying energy</v>
      </c>
      <c r="B220" s="106"/>
      <c r="C220" s="106"/>
      <c r="D220" s="106"/>
      <c r="E220" s="106"/>
      <c r="F220" s="106"/>
      <c r="G220" s="106"/>
      <c r="H220" s="106"/>
      <c r="I220" s="106">
        <v>100</v>
      </c>
      <c r="J220" s="106">
        <v>100</v>
      </c>
      <c r="K220" s="106">
        <v>100</v>
      </c>
      <c r="L220" s="106">
        <v>100</v>
      </c>
      <c r="M220" s="106">
        <v>100</v>
      </c>
      <c r="N220" s="106">
        <v>100</v>
      </c>
      <c r="O220" s="29"/>
      <c r="P220" s="106">
        <v>200</v>
      </c>
      <c r="Q220" s="106">
        <v>200</v>
      </c>
      <c r="R220" s="106">
        <v>200</v>
      </c>
      <c r="S220" s="106">
        <v>200</v>
      </c>
      <c r="T220" s="106">
        <v>200</v>
      </c>
      <c r="U220" s="106">
        <v>200</v>
      </c>
      <c r="V220" s="9"/>
      <c r="W220" s="106">
        <v>300</v>
      </c>
      <c r="X220" s="106">
        <v>300</v>
      </c>
      <c r="Y220" s="106">
        <v>300</v>
      </c>
      <c r="Z220" s="106">
        <v>300</v>
      </c>
      <c r="AA220" s="106">
        <v>300</v>
      </c>
      <c r="AB220" s="106">
        <v>300</v>
      </c>
      <c r="AC220" s="2"/>
      <c r="AD220" s="106">
        <v>400</v>
      </c>
      <c r="AE220" s="106">
        <v>400</v>
      </c>
      <c r="AF220" s="106">
        <v>400</v>
      </c>
      <c r="AG220" s="106">
        <v>400</v>
      </c>
      <c r="AH220" s="106">
        <v>400</v>
      </c>
      <c r="AI220" s="106">
        <v>400</v>
      </c>
      <c r="AJ220" s="2"/>
      <c r="AK220" s="106">
        <v>500</v>
      </c>
      <c r="AL220" s="106">
        <v>500</v>
      </c>
      <c r="AM220" s="106">
        <v>500</v>
      </c>
      <c r="AN220" s="106">
        <v>500</v>
      </c>
      <c r="AO220" s="106">
        <v>500</v>
      </c>
      <c r="AP220" s="106">
        <v>500</v>
      </c>
      <c r="AQ220" s="2"/>
      <c r="AR220" s="106">
        <v>600</v>
      </c>
      <c r="AS220" s="106">
        <v>600</v>
      </c>
      <c r="AT220" s="106">
        <v>600</v>
      </c>
      <c r="AU220" s="106">
        <v>600</v>
      </c>
      <c r="AV220" s="106">
        <v>600</v>
      </c>
      <c r="AW220" s="106">
        <v>600</v>
      </c>
      <c r="AX220" s="9"/>
      <c r="AY220" s="488"/>
      <c r="AZ220" s="488"/>
      <c r="BA220" s="488"/>
      <c r="BB220" s="488"/>
      <c r="BC220" s="488"/>
      <c r="BD220" s="488"/>
      <c r="BE220" s="488"/>
      <c r="BF220" s="488"/>
      <c r="BG220" s="488"/>
      <c r="BH220" s="488"/>
      <c r="BI220" s="488"/>
      <c r="BJ220" s="488"/>
      <c r="BK220" s="488"/>
      <c r="BL220" s="488"/>
      <c r="BM220" s="488"/>
      <c r="BN220" s="488"/>
      <c r="BO220" s="488"/>
      <c r="BP220" s="488"/>
      <c r="BQ220" s="488"/>
      <c r="BR220" s="488"/>
      <c r="BS220" s="488"/>
      <c r="BT220" s="488"/>
      <c r="BU220" s="488"/>
      <c r="BV220" s="488"/>
      <c r="BW220" s="488"/>
      <c r="BX220" s="488"/>
      <c r="BY220" s="488"/>
      <c r="BZ220" s="488"/>
      <c r="CA220" s="488"/>
      <c r="CB220" s="488"/>
      <c r="CC220" s="488"/>
      <c r="CD220" s="488"/>
      <c r="CE220" s="488"/>
      <c r="CF220" s="488"/>
      <c r="CG220" s="488"/>
      <c r="CH220" s="488"/>
      <c r="CI220" s="488"/>
      <c r="CJ220" s="488"/>
      <c r="CK220" s="488"/>
      <c r="CL220" s="488"/>
      <c r="CM220" s="488"/>
      <c r="CN220" s="488"/>
      <c r="CO220" s="488"/>
      <c r="CP220" s="488"/>
      <c r="CQ220" s="488"/>
      <c r="CR220" s="488"/>
      <c r="CS220" s="488"/>
      <c r="CT220" s="488"/>
      <c r="CU220" s="488"/>
      <c r="CV220" s="488"/>
      <c r="CW220" s="488"/>
      <c r="CX220" s="488"/>
      <c r="CY220" s="488"/>
      <c r="CZ220" s="488"/>
      <c r="DA220" s="488"/>
      <c r="DB220" s="488"/>
      <c r="DC220" s="488"/>
      <c r="DD220" s="488"/>
      <c r="DE220" s="488"/>
      <c r="DF220" s="488"/>
      <c r="DG220" s="488"/>
      <c r="DH220" s="488"/>
      <c r="DI220" s="488"/>
      <c r="DJ220" s="488"/>
      <c r="DK220" s="488"/>
      <c r="DL220" s="488"/>
      <c r="DM220" s="488"/>
      <c r="DN220" s="488"/>
      <c r="DO220" s="488"/>
      <c r="DP220" s="488"/>
      <c r="DQ220" s="488"/>
      <c r="DR220" s="488"/>
      <c r="DS220" s="488"/>
      <c r="DT220" s="488"/>
      <c r="DU220" s="488"/>
      <c r="DV220" s="488"/>
      <c r="DW220" s="488"/>
      <c r="DX220" s="488"/>
      <c r="DY220" s="488"/>
      <c r="DZ220" s="488"/>
      <c r="EA220" s="488"/>
      <c r="EB220" s="488"/>
      <c r="EC220" s="488"/>
      <c r="ED220" s="488"/>
      <c r="EE220" s="488"/>
      <c r="EF220" s="488"/>
      <c r="EG220" s="488"/>
      <c r="EH220" s="488"/>
      <c r="EI220" s="488"/>
      <c r="EJ220" s="488"/>
      <c r="EK220" s="488"/>
      <c r="EL220" s="488"/>
      <c r="EM220" s="488"/>
      <c r="EN220" s="488"/>
      <c r="EO220" s="488"/>
      <c r="EP220" s="488"/>
      <c r="EQ220" s="488"/>
      <c r="ER220" s="488"/>
      <c r="ES220" s="488"/>
      <c r="ET220" s="488"/>
      <c r="EU220" s="488"/>
      <c r="EV220" s="488"/>
      <c r="EW220" s="488"/>
      <c r="EX220" s="488"/>
      <c r="EY220" s="488"/>
      <c r="EZ220" s="488"/>
      <c r="FA220" s="488"/>
      <c r="FB220" s="488"/>
      <c r="FC220" s="488"/>
      <c r="FD220" s="488"/>
      <c r="FE220" s="488"/>
      <c r="FF220" s="488"/>
      <c r="FG220" s="488"/>
      <c r="FH220" s="488"/>
    </row>
    <row r="221" spans="1:164" ht="13.05" hidden="1" customHeight="1" x14ac:dyDescent="0.25">
      <c r="A221" t="str">
        <f>Nutrients!B220</f>
        <v>Other ingredient</v>
      </c>
      <c r="B221" s="99"/>
      <c r="C221" s="99"/>
      <c r="D221" s="99"/>
      <c r="E221" s="99"/>
      <c r="F221" s="99"/>
      <c r="G221" s="99"/>
      <c r="H221" s="99"/>
      <c r="I221" s="99"/>
      <c r="J221" s="99"/>
      <c r="K221" s="99"/>
      <c r="L221" s="99"/>
      <c r="M221" s="99"/>
      <c r="N221" s="99"/>
      <c r="O221" s="10"/>
      <c r="P221" s="99"/>
      <c r="Q221" s="99"/>
      <c r="R221" s="99"/>
      <c r="S221" s="99"/>
      <c r="T221" s="99"/>
      <c r="U221" s="99"/>
      <c r="W221" s="99"/>
      <c r="X221" s="99"/>
      <c r="Y221" s="99"/>
      <c r="Z221" s="99"/>
      <c r="AA221" s="99"/>
      <c r="AB221" s="99"/>
      <c r="AD221" s="99"/>
      <c r="AE221" s="99"/>
      <c r="AF221" s="99"/>
      <c r="AG221" s="99"/>
      <c r="AH221" s="99"/>
      <c r="AI221" s="99"/>
      <c r="AK221" s="99"/>
      <c r="AL221" s="99"/>
      <c r="AM221" s="99"/>
      <c r="AN221" s="99"/>
      <c r="AO221" s="99"/>
      <c r="AP221" s="99"/>
      <c r="AR221" s="99"/>
      <c r="AS221" s="99"/>
      <c r="AT221" s="99"/>
      <c r="AU221" s="99"/>
      <c r="AV221" s="99"/>
      <c r="AW221" s="99"/>
    </row>
    <row r="222" spans="1:164" ht="13.05" hidden="1" customHeight="1" x14ac:dyDescent="0.25">
      <c r="A222" t="str">
        <f>Nutrients!B221</f>
        <v>Other ingredient</v>
      </c>
      <c r="B222" s="99"/>
      <c r="C222" s="99"/>
      <c r="D222" s="99"/>
      <c r="E222" s="99"/>
      <c r="F222" s="99"/>
      <c r="G222" s="99"/>
      <c r="H222" s="99"/>
      <c r="I222" s="99"/>
      <c r="J222" s="99"/>
      <c r="K222" s="99"/>
      <c r="L222" s="99"/>
      <c r="M222" s="99"/>
      <c r="N222" s="99"/>
      <c r="O222" s="10"/>
      <c r="P222" s="99"/>
      <c r="Q222" s="99"/>
      <c r="R222" s="99"/>
      <c r="S222" s="99"/>
      <c r="T222" s="99"/>
      <c r="U222" s="99"/>
      <c r="W222" s="99"/>
      <c r="X222" s="99"/>
      <c r="Y222" s="99"/>
      <c r="Z222" s="99"/>
      <c r="AA222" s="99"/>
      <c r="AB222" s="99"/>
      <c r="AD222" s="99"/>
      <c r="AE222" s="99"/>
      <c r="AF222" s="99"/>
      <c r="AG222" s="99"/>
      <c r="AH222" s="99"/>
      <c r="AI222" s="99"/>
      <c r="AK222" s="99"/>
      <c r="AL222" s="99"/>
      <c r="AM222" s="99"/>
      <c r="AN222" s="99"/>
      <c r="AO222" s="99"/>
      <c r="AP222" s="99"/>
      <c r="AR222" s="99"/>
      <c r="AS222" s="99"/>
      <c r="AT222" s="99"/>
      <c r="AU222" s="99"/>
      <c r="AV222" s="99"/>
      <c r="AW222" s="99"/>
    </row>
    <row r="223" spans="1:164" ht="13.05" hidden="1" customHeight="1" x14ac:dyDescent="0.25">
      <c r="A223" t="str">
        <f>Nutrients!B222</f>
        <v>Other ingredient</v>
      </c>
      <c r="B223" s="99"/>
      <c r="C223" s="99"/>
      <c r="D223" s="99"/>
      <c r="E223" s="99"/>
      <c r="F223" s="99"/>
      <c r="G223" s="99"/>
      <c r="H223" s="99"/>
      <c r="I223" s="99"/>
      <c r="J223" s="99"/>
      <c r="K223" s="99"/>
      <c r="L223" s="99"/>
      <c r="M223" s="99"/>
      <c r="N223" s="99"/>
      <c r="O223" s="10"/>
      <c r="P223" s="99"/>
      <c r="Q223" s="99"/>
      <c r="R223" s="99"/>
      <c r="S223" s="99"/>
      <c r="T223" s="99"/>
      <c r="U223" s="99"/>
      <c r="W223" s="99"/>
      <c r="X223" s="99"/>
      <c r="Y223" s="99"/>
      <c r="Z223" s="99"/>
      <c r="AA223" s="99"/>
      <c r="AB223" s="99"/>
      <c r="AD223" s="99"/>
      <c r="AE223" s="99"/>
      <c r="AF223" s="99"/>
      <c r="AG223" s="99"/>
      <c r="AH223" s="99"/>
      <c r="AI223" s="99"/>
      <c r="AK223" s="99"/>
      <c r="AL223" s="99"/>
      <c r="AM223" s="99"/>
      <c r="AN223" s="99"/>
      <c r="AO223" s="99"/>
      <c r="AP223" s="99"/>
      <c r="AR223" s="99"/>
      <c r="AS223" s="99"/>
      <c r="AT223" s="99"/>
      <c r="AU223" s="99"/>
      <c r="AV223" s="99"/>
      <c r="AW223" s="99"/>
    </row>
    <row r="224" spans="1:164" ht="13.05" hidden="1" customHeight="1" x14ac:dyDescent="0.25">
      <c r="A224" t="str">
        <f>Nutrients!B223</f>
        <v>Other ingredient</v>
      </c>
      <c r="B224" s="99"/>
      <c r="C224" s="99"/>
      <c r="D224" s="99"/>
      <c r="E224" s="99"/>
      <c r="F224" s="99"/>
      <c r="G224" s="99"/>
      <c r="H224" s="99"/>
      <c r="I224" s="99"/>
      <c r="J224" s="99"/>
      <c r="K224" s="99"/>
      <c r="L224" s="99"/>
      <c r="M224" s="99"/>
      <c r="N224" s="99"/>
      <c r="O224" s="10"/>
      <c r="P224" s="99"/>
      <c r="Q224" s="99"/>
      <c r="R224" s="99"/>
      <c r="S224" s="99"/>
      <c r="T224" s="99"/>
      <c r="U224" s="99"/>
      <c r="W224" s="99"/>
      <c r="X224" s="99"/>
      <c r="Y224" s="99"/>
      <c r="Z224" s="99"/>
      <c r="AA224" s="99"/>
      <c r="AB224" s="99"/>
      <c r="AD224" s="99"/>
      <c r="AE224" s="99"/>
      <c r="AF224" s="99"/>
      <c r="AG224" s="99"/>
      <c r="AH224" s="99"/>
      <c r="AI224" s="99"/>
      <c r="AK224" s="99"/>
      <c r="AL224" s="99"/>
      <c r="AM224" s="99"/>
      <c r="AN224" s="99"/>
      <c r="AO224" s="99"/>
      <c r="AP224" s="99"/>
      <c r="AR224" s="99"/>
      <c r="AS224" s="99"/>
      <c r="AT224" s="99"/>
      <c r="AU224" s="99"/>
      <c r="AV224" s="99"/>
      <c r="AW224" s="99"/>
    </row>
    <row r="225" spans="1:64" ht="13.05" hidden="1" customHeight="1" x14ac:dyDescent="0.25">
      <c r="A225" t="str">
        <f>Nutrients!B224</f>
        <v>Other ingredient</v>
      </c>
      <c r="B225" s="99"/>
      <c r="C225" s="99"/>
      <c r="D225" s="99"/>
      <c r="E225" s="99"/>
      <c r="F225" s="99"/>
      <c r="G225" s="99"/>
      <c r="H225" s="99"/>
      <c r="I225" s="99"/>
      <c r="J225" s="99"/>
      <c r="K225" s="99"/>
      <c r="L225" s="99"/>
      <c r="M225" s="99"/>
      <c r="N225" s="99"/>
      <c r="O225" s="10"/>
      <c r="P225" s="99"/>
      <c r="Q225" s="99"/>
      <c r="R225" s="99"/>
      <c r="S225" s="99"/>
      <c r="T225" s="99"/>
      <c r="U225" s="99"/>
      <c r="W225" s="99"/>
      <c r="X225" s="99"/>
      <c r="Y225" s="99"/>
      <c r="Z225" s="99"/>
      <c r="AA225" s="99"/>
      <c r="AB225" s="99"/>
      <c r="AD225" s="99"/>
      <c r="AE225" s="99"/>
      <c r="AF225" s="99"/>
      <c r="AG225" s="99"/>
      <c r="AH225" s="99"/>
      <c r="AI225" s="99"/>
      <c r="AK225" s="99"/>
      <c r="AL225" s="99"/>
      <c r="AM225" s="99"/>
      <c r="AN225" s="99"/>
      <c r="AO225" s="99"/>
      <c r="AP225" s="99"/>
      <c r="AR225" s="99"/>
      <c r="AS225" s="99"/>
      <c r="AT225" s="99"/>
      <c r="AU225" s="99"/>
      <c r="AV225" s="99"/>
      <c r="AW225" s="99"/>
    </row>
    <row r="226" spans="1:64" ht="13.05" hidden="1" customHeight="1" x14ac:dyDescent="0.25">
      <c r="A226" t="str">
        <f>Nutrients!B225</f>
        <v>Other ingredient</v>
      </c>
      <c r="B226" s="99"/>
      <c r="C226" s="99"/>
      <c r="D226" s="99"/>
      <c r="E226" s="99"/>
      <c r="F226" s="99"/>
      <c r="G226" s="99"/>
      <c r="H226" s="99"/>
      <c r="I226" s="99"/>
      <c r="J226" s="99"/>
      <c r="K226" s="99"/>
      <c r="L226" s="99"/>
      <c r="M226" s="99"/>
      <c r="N226" s="99"/>
      <c r="O226" s="10"/>
      <c r="P226" s="99"/>
      <c r="Q226" s="99"/>
      <c r="R226" s="99"/>
      <c r="S226" s="99"/>
      <c r="T226" s="99"/>
      <c r="U226" s="99"/>
      <c r="W226" s="99"/>
      <c r="X226" s="99"/>
      <c r="Y226" s="99"/>
      <c r="Z226" s="99"/>
      <c r="AA226" s="99"/>
      <c r="AB226" s="99"/>
      <c r="AD226" s="99"/>
      <c r="AE226" s="99"/>
      <c r="AF226" s="99"/>
      <c r="AG226" s="99"/>
      <c r="AH226" s="99"/>
      <c r="AI226" s="99"/>
      <c r="AK226" s="99"/>
      <c r="AL226" s="99"/>
      <c r="AM226" s="99"/>
      <c r="AN226" s="99"/>
      <c r="AO226" s="99"/>
      <c r="AP226" s="99"/>
      <c r="AR226" s="99"/>
      <c r="AS226" s="99"/>
      <c r="AT226" s="99"/>
      <c r="AU226" s="99"/>
      <c r="AV226" s="99"/>
      <c r="AW226" s="99"/>
    </row>
    <row r="227" spans="1:64" ht="13.05" hidden="1" customHeight="1" x14ac:dyDescent="0.25">
      <c r="A227" t="str">
        <f>Nutrients!B226</f>
        <v>Other ingredient</v>
      </c>
      <c r="B227" s="99"/>
      <c r="C227" s="99"/>
      <c r="D227" s="99"/>
      <c r="E227" s="99"/>
      <c r="F227" s="99"/>
      <c r="G227" s="99"/>
      <c r="H227" s="99"/>
      <c r="I227" s="99"/>
      <c r="J227" s="99"/>
      <c r="K227" s="99"/>
      <c r="L227" s="99"/>
      <c r="M227" s="99"/>
      <c r="N227" s="99"/>
      <c r="O227" s="10"/>
      <c r="P227" s="99"/>
      <c r="Q227" s="99"/>
      <c r="R227" s="99"/>
      <c r="S227" s="99"/>
      <c r="T227" s="99"/>
      <c r="U227" s="99"/>
      <c r="W227" s="99"/>
      <c r="X227" s="99"/>
      <c r="Y227" s="99"/>
      <c r="Z227" s="99"/>
      <c r="AA227" s="99"/>
      <c r="AB227" s="99"/>
      <c r="AD227" s="99"/>
      <c r="AE227" s="99"/>
      <c r="AF227" s="99"/>
      <c r="AG227" s="99"/>
      <c r="AH227" s="99"/>
      <c r="AI227" s="99"/>
      <c r="AK227" s="99"/>
      <c r="AL227" s="99"/>
      <c r="AM227" s="99"/>
      <c r="AN227" s="99"/>
      <c r="AO227" s="99"/>
      <c r="AP227" s="99"/>
      <c r="AR227" s="99"/>
      <c r="AS227" s="99"/>
      <c r="AT227" s="99"/>
      <c r="AU227" s="99"/>
      <c r="AV227" s="99"/>
      <c r="AW227" s="99"/>
    </row>
    <row r="228" spans="1:64" ht="13.05" hidden="1" customHeight="1" x14ac:dyDescent="0.25">
      <c r="A228" t="str">
        <f>Nutrients!B227</f>
        <v>Other ingredient</v>
      </c>
      <c r="B228" s="99"/>
      <c r="C228" s="99"/>
      <c r="D228" s="99"/>
      <c r="E228" s="99"/>
      <c r="F228" s="99"/>
      <c r="G228" s="99"/>
      <c r="H228" s="99"/>
      <c r="I228" s="99"/>
      <c r="J228" s="99"/>
      <c r="K228" s="99"/>
      <c r="L228" s="99"/>
      <c r="M228" s="99"/>
      <c r="N228" s="99"/>
      <c r="O228" s="10"/>
      <c r="P228" s="99"/>
      <c r="Q228" s="99"/>
      <c r="R228" s="99"/>
      <c r="S228" s="99"/>
      <c r="T228" s="99"/>
      <c r="U228" s="99"/>
      <c r="W228" s="99"/>
      <c r="X228" s="99"/>
      <c r="Y228" s="99"/>
      <c r="Z228" s="99"/>
      <c r="AA228" s="99"/>
      <c r="AB228" s="99"/>
      <c r="AD228" s="99"/>
      <c r="AE228" s="99"/>
      <c r="AF228" s="99"/>
      <c r="AG228" s="99"/>
      <c r="AH228" s="99"/>
      <c r="AI228" s="99"/>
      <c r="AK228" s="99"/>
      <c r="AL228" s="99"/>
      <c r="AM228" s="99"/>
      <c r="AN228" s="99"/>
      <c r="AO228" s="99"/>
      <c r="AP228" s="99"/>
      <c r="AR228" s="99"/>
      <c r="AS228" s="99"/>
      <c r="AT228" s="99"/>
      <c r="AU228" s="99"/>
      <c r="AV228" s="99"/>
      <c r="AW228" s="99"/>
    </row>
    <row r="229" spans="1:64" ht="13.95" hidden="1" customHeight="1" x14ac:dyDescent="0.25">
      <c r="A229" t="str">
        <f>Nutrients!B228</f>
        <v>Other ingredient</v>
      </c>
      <c r="B229" s="99"/>
      <c r="C229" s="99"/>
      <c r="D229" s="99"/>
      <c r="E229" s="99"/>
      <c r="F229" s="99"/>
      <c r="G229" s="99"/>
      <c r="H229" s="99"/>
      <c r="I229" s="99"/>
      <c r="J229" s="99"/>
      <c r="K229" s="99"/>
      <c r="L229" s="99"/>
      <c r="M229" s="99"/>
      <c r="N229" s="99"/>
      <c r="O229" s="10"/>
      <c r="P229" s="99"/>
      <c r="Q229" s="99"/>
      <c r="R229" s="99"/>
      <c r="S229" s="99"/>
      <c r="T229" s="99"/>
      <c r="U229" s="99"/>
      <c r="W229" s="99"/>
      <c r="X229" s="99"/>
      <c r="Y229" s="99"/>
      <c r="Z229" s="99"/>
      <c r="AA229" s="99"/>
      <c r="AB229" s="99"/>
      <c r="AD229" s="99"/>
      <c r="AE229" s="99"/>
      <c r="AF229" s="99"/>
      <c r="AG229" s="99"/>
      <c r="AH229" s="99"/>
      <c r="AI229" s="99"/>
      <c r="AK229" s="99"/>
      <c r="AL229" s="99"/>
      <c r="AM229" s="99"/>
      <c r="AN229" s="99"/>
      <c r="AO229" s="99"/>
      <c r="AP229" s="99"/>
      <c r="AR229" s="99"/>
      <c r="AS229" s="99"/>
      <c r="AT229" s="99"/>
      <c r="AU229" s="99"/>
      <c r="AV229" s="99"/>
      <c r="AW229" s="99"/>
    </row>
    <row r="230" spans="1:64" x14ac:dyDescent="0.25">
      <c r="A230" s="1" t="s">
        <v>17</v>
      </c>
      <c r="B230" s="292">
        <f t="shared" ref="B230:G230" si="14">SUM(B7:B229)</f>
        <v>2000.0000000000002</v>
      </c>
      <c r="C230" s="292">
        <f t="shared" si="14"/>
        <v>2000</v>
      </c>
      <c r="D230" s="292">
        <f t="shared" si="14"/>
        <v>2000.0000000000002</v>
      </c>
      <c r="E230" s="292">
        <f t="shared" si="14"/>
        <v>2000.0000000000002</v>
      </c>
      <c r="F230" s="292">
        <f t="shared" si="14"/>
        <v>2000</v>
      </c>
      <c r="G230" s="292">
        <f t="shared" si="14"/>
        <v>2000.0000000000002</v>
      </c>
      <c r="H230" s="292"/>
      <c r="I230" s="292">
        <f t="shared" ref="I230:N230" si="15">SUM(I7:I229)</f>
        <v>2000.0000000000005</v>
      </c>
      <c r="J230" s="292">
        <f t="shared" si="15"/>
        <v>2000</v>
      </c>
      <c r="K230" s="292">
        <f t="shared" si="15"/>
        <v>2000.0000000000002</v>
      </c>
      <c r="L230" s="292">
        <f t="shared" si="15"/>
        <v>1999.9999999999998</v>
      </c>
      <c r="M230" s="292">
        <f t="shared" si="15"/>
        <v>1999.9999999999995</v>
      </c>
      <c r="N230" s="292">
        <f t="shared" si="15"/>
        <v>2000.0000000000002</v>
      </c>
      <c r="O230" s="9"/>
      <c r="P230" s="292">
        <f t="shared" ref="P230:U230" si="16">SUM(P7:P229)</f>
        <v>2000</v>
      </c>
      <c r="Q230" s="292">
        <f t="shared" si="16"/>
        <v>2000</v>
      </c>
      <c r="R230" s="292">
        <f t="shared" si="16"/>
        <v>2000</v>
      </c>
      <c r="S230" s="292">
        <f t="shared" si="16"/>
        <v>2000</v>
      </c>
      <c r="T230" s="292">
        <f t="shared" si="16"/>
        <v>2000</v>
      </c>
      <c r="U230" s="292">
        <f t="shared" si="16"/>
        <v>2000</v>
      </c>
      <c r="W230" s="292">
        <f t="shared" ref="W230:AB230" si="17">SUM(W7:W229)</f>
        <v>2000.0000000000002</v>
      </c>
      <c r="X230" s="292">
        <f t="shared" si="17"/>
        <v>2000</v>
      </c>
      <c r="Y230" s="292">
        <f t="shared" si="17"/>
        <v>1999.9999999999998</v>
      </c>
      <c r="Z230" s="292">
        <f t="shared" si="17"/>
        <v>2000.0000000000002</v>
      </c>
      <c r="AA230" s="292">
        <f t="shared" si="17"/>
        <v>2000.0000000000005</v>
      </c>
      <c r="AB230" s="292">
        <f t="shared" si="17"/>
        <v>2000</v>
      </c>
      <c r="AD230" s="292">
        <f t="shared" ref="AD230:AI230" si="18">SUM(AD7:AD229)</f>
        <v>2000.0000000000002</v>
      </c>
      <c r="AE230" s="292">
        <f t="shared" si="18"/>
        <v>2000</v>
      </c>
      <c r="AF230" s="292">
        <f t="shared" si="18"/>
        <v>2000</v>
      </c>
      <c r="AG230" s="292">
        <f t="shared" si="18"/>
        <v>2000</v>
      </c>
      <c r="AH230" s="292">
        <f t="shared" si="18"/>
        <v>2000.0000000000002</v>
      </c>
      <c r="AI230" s="292">
        <f t="shared" si="18"/>
        <v>2000.0000000000002</v>
      </c>
      <c r="AK230" s="292">
        <f t="shared" ref="AK230" si="19">SUM(AK7:AK229)</f>
        <v>2000.0000000000002</v>
      </c>
      <c r="AL230" s="292">
        <f t="shared" ref="AL230:AP230" si="20">SUM(AL7:AL229)</f>
        <v>2000</v>
      </c>
      <c r="AM230" s="292">
        <f t="shared" si="20"/>
        <v>2000.0000000000002</v>
      </c>
      <c r="AN230" s="292">
        <f t="shared" si="20"/>
        <v>1999.9999999999998</v>
      </c>
      <c r="AO230" s="292">
        <f t="shared" si="20"/>
        <v>2000</v>
      </c>
      <c r="AP230" s="292">
        <f t="shared" si="20"/>
        <v>1999.9999999999998</v>
      </c>
      <c r="AR230" s="292">
        <f t="shared" ref="AR230:AW230" si="21">SUM(AR7:AR229)</f>
        <v>1999.9999999999998</v>
      </c>
      <c r="AS230" s="292">
        <f t="shared" si="21"/>
        <v>2000</v>
      </c>
      <c r="AT230" s="292">
        <f t="shared" si="21"/>
        <v>2000.0000000000002</v>
      </c>
      <c r="AU230" s="292">
        <f t="shared" si="21"/>
        <v>2000.0000000000002</v>
      </c>
      <c r="AV230" s="292">
        <f t="shared" si="21"/>
        <v>2000</v>
      </c>
      <c r="AW230" s="292">
        <f t="shared" si="21"/>
        <v>2000.0000000000002</v>
      </c>
    </row>
    <row r="231" spans="1:64" x14ac:dyDescent="0.25">
      <c r="A231" s="9"/>
      <c r="B231" s="7"/>
      <c r="C231" s="7"/>
      <c r="D231" s="7"/>
      <c r="E231" s="7"/>
      <c r="F231" s="7"/>
      <c r="G231" s="7"/>
      <c r="H231" s="7"/>
      <c r="I231" s="7"/>
      <c r="J231" s="7"/>
      <c r="K231" s="7"/>
      <c r="L231" s="7"/>
      <c r="M231" s="7"/>
      <c r="N231" s="7"/>
      <c r="O231" s="9"/>
      <c r="P231" s="7"/>
      <c r="Q231" s="7"/>
      <c r="R231" s="7"/>
      <c r="S231" s="7"/>
      <c r="T231" s="7"/>
      <c r="U231" s="7"/>
      <c r="W231" s="7"/>
      <c r="X231" s="7"/>
      <c r="Y231" s="7"/>
      <c r="Z231" s="7"/>
      <c r="AA231" s="7"/>
      <c r="AB231" s="7"/>
      <c r="AD231" s="7"/>
      <c r="AE231" s="7"/>
      <c r="AF231" s="7"/>
      <c r="AG231" s="7"/>
      <c r="AH231" s="7"/>
      <c r="AI231" s="7"/>
      <c r="AK231" s="7"/>
      <c r="AL231" s="7"/>
      <c r="AM231" s="7"/>
      <c r="AN231" s="7"/>
      <c r="AO231" s="7"/>
      <c r="AP231" s="7"/>
      <c r="AR231" s="7"/>
      <c r="AS231" s="7"/>
      <c r="AT231" s="7"/>
      <c r="AU231" s="7"/>
      <c r="AV231" s="7"/>
      <c r="AW231" s="7"/>
      <c r="BA231" s="137"/>
      <c r="BB231" s="369"/>
    </row>
    <row r="232" spans="1:64" x14ac:dyDescent="0.25">
      <c r="A232" s="41" t="s">
        <v>348</v>
      </c>
      <c r="B232" s="33">
        <f t="shared" ref="B232:G232" si="22" xml:space="preserve">  0.0000415*((B5+B6)/2)^2 - 0.0236*((B5+B6)/2) + 6.096</f>
        <v>4.6920843750000003</v>
      </c>
      <c r="C232" s="33">
        <f t="shared" si="22"/>
        <v>4.1130093749999999</v>
      </c>
      <c r="D232" s="33">
        <f t="shared" si="22"/>
        <v>3.6054000000000004</v>
      </c>
      <c r="E232" s="33">
        <f t="shared" si="22"/>
        <v>3.1925999999999997</v>
      </c>
      <c r="F232" s="33">
        <f t="shared" si="22"/>
        <v>2.9125999999999999</v>
      </c>
      <c r="G232" s="33">
        <f t="shared" si="22"/>
        <v>2.7606093749999996</v>
      </c>
      <c r="H232" s="33"/>
      <c r="I232" s="33">
        <f t="shared" ref="I232:N232" si="23" xml:space="preserve">  0.0000415*((I5+I6)/2)^2 - 0.0236*((I5+I6)/2) + 6.096</f>
        <v>4.6920843750000003</v>
      </c>
      <c r="J232" s="33">
        <f t="shared" si="23"/>
        <v>4.1130093749999999</v>
      </c>
      <c r="K232" s="33">
        <f t="shared" si="23"/>
        <v>3.6054000000000004</v>
      </c>
      <c r="L232" s="33">
        <f t="shared" si="23"/>
        <v>3.1925999999999997</v>
      </c>
      <c r="M232" s="33">
        <f t="shared" si="23"/>
        <v>2.9125999999999999</v>
      </c>
      <c r="N232" s="33">
        <f t="shared" si="23"/>
        <v>2.7606093749999996</v>
      </c>
      <c r="O232" s="7"/>
      <c r="P232" s="33">
        <f t="shared" ref="P232:U232" si="24" xml:space="preserve">  0.0000415*((P5+P6)/2)^2 - 0.0236*((P5+P6)/2) + 6.096</f>
        <v>4.6920843750000003</v>
      </c>
      <c r="Q232" s="33">
        <f t="shared" si="24"/>
        <v>4.1130093749999999</v>
      </c>
      <c r="R232" s="33">
        <f t="shared" si="24"/>
        <v>3.6054000000000004</v>
      </c>
      <c r="S232" s="33">
        <f t="shared" si="24"/>
        <v>3.1925999999999997</v>
      </c>
      <c r="T232" s="33">
        <f t="shared" si="24"/>
        <v>2.9125999999999999</v>
      </c>
      <c r="U232" s="33">
        <f t="shared" si="24"/>
        <v>2.7606093749999996</v>
      </c>
      <c r="W232" s="33">
        <f t="shared" ref="W232:AB232" si="25" xml:space="preserve">  0.0000415*((W5+W6)/2)^2 - 0.0236*((W5+W6)/2) + 6.096</f>
        <v>4.6920843750000003</v>
      </c>
      <c r="X232" s="33">
        <f t="shared" si="25"/>
        <v>4.1130093749999999</v>
      </c>
      <c r="Y232" s="33">
        <f t="shared" si="25"/>
        <v>3.6054000000000004</v>
      </c>
      <c r="Z232" s="33">
        <f t="shared" si="25"/>
        <v>3.1925999999999997</v>
      </c>
      <c r="AA232" s="33">
        <f t="shared" si="25"/>
        <v>2.9125999999999999</v>
      </c>
      <c r="AB232" s="33">
        <f t="shared" si="25"/>
        <v>2.7606093749999996</v>
      </c>
      <c r="AD232" s="33">
        <f t="shared" ref="AD232:AI232" si="26" xml:space="preserve">  0.0000415*((AD5+AD6)/2)^2 - 0.0236*((AD5+AD6)/2) + 6.096</f>
        <v>4.6920843750000003</v>
      </c>
      <c r="AE232" s="33">
        <f t="shared" si="26"/>
        <v>4.1130093749999999</v>
      </c>
      <c r="AF232" s="33">
        <f t="shared" si="26"/>
        <v>3.6054000000000004</v>
      </c>
      <c r="AG232" s="33">
        <f t="shared" si="26"/>
        <v>3.1925999999999997</v>
      </c>
      <c r="AH232" s="33">
        <f t="shared" si="26"/>
        <v>2.9125999999999999</v>
      </c>
      <c r="AI232" s="33">
        <f t="shared" si="26"/>
        <v>2.7606093749999996</v>
      </c>
      <c r="AK232" s="33">
        <f t="shared" ref="AK232" si="27" xml:space="preserve">  0.0000415*((AK5+AK6)/2)^2 - 0.0236*((AK5+AK6)/2) + 6.096</f>
        <v>4.6920843750000003</v>
      </c>
      <c r="AL232" s="33">
        <f t="shared" ref="AL232:AP232" si="28" xml:space="preserve">  0.0000415*((AL5+AL6)/2)^2 - 0.0236*((AL5+AL6)/2) + 6.096</f>
        <v>4.1130093749999999</v>
      </c>
      <c r="AM232" s="33">
        <f t="shared" si="28"/>
        <v>3.6054000000000004</v>
      </c>
      <c r="AN232" s="33">
        <f t="shared" si="28"/>
        <v>3.1925999999999997</v>
      </c>
      <c r="AO232" s="33">
        <f t="shared" si="28"/>
        <v>2.9125999999999999</v>
      </c>
      <c r="AP232" s="33">
        <f t="shared" si="28"/>
        <v>2.7606093749999996</v>
      </c>
      <c r="AR232" s="33">
        <f t="shared" ref="AR232:AW232" si="29" xml:space="preserve">  0.0000415*((AR5+AR6)/2)^2 - 0.0236*((AR5+AR6)/2) + 6.096</f>
        <v>4.6920843750000003</v>
      </c>
      <c r="AS232" s="33">
        <f t="shared" si="29"/>
        <v>4.1130093749999999</v>
      </c>
      <c r="AT232" s="33">
        <f t="shared" si="29"/>
        <v>3.6054000000000004</v>
      </c>
      <c r="AU232" s="33">
        <f t="shared" si="29"/>
        <v>3.1925999999999997</v>
      </c>
      <c r="AV232" s="33">
        <f t="shared" si="29"/>
        <v>2.9125999999999999</v>
      </c>
      <c r="AW232" s="33">
        <f t="shared" si="29"/>
        <v>2.7606093749999996</v>
      </c>
      <c r="BA232" s="137"/>
      <c r="BB232" s="369"/>
      <c r="BC232" s="369"/>
    </row>
    <row r="233" spans="1:64" x14ac:dyDescent="0.25">
      <c r="A233" s="40" t="s">
        <v>108</v>
      </c>
      <c r="B233" s="26">
        <f t="shared" ref="B233:G233" si="30">IF(B232="","",B250*2.2046*B232/10000)</f>
        <v>1.1933289345334586</v>
      </c>
      <c r="C233" s="26">
        <f t="shared" si="30"/>
        <v>1.0523868858191809</v>
      </c>
      <c r="D233" s="26">
        <f t="shared" si="30"/>
        <v>0.92731901794478477</v>
      </c>
      <c r="E233" s="26">
        <f t="shared" si="30"/>
        <v>0.82549698291879381</v>
      </c>
      <c r="F233" s="26">
        <f t="shared" si="30"/>
        <v>0.75646982136751284</v>
      </c>
      <c r="G233" s="26">
        <f t="shared" si="30"/>
        <v>0.71849863102392231</v>
      </c>
      <c r="H233" s="308"/>
      <c r="I233" s="26">
        <f t="shared" ref="I233:N233" si="31">IF(I232="","",I250*2.2046*I232/10000)</f>
        <v>1.1833022056984819</v>
      </c>
      <c r="J233" s="26">
        <f t="shared" si="31"/>
        <v>1.0434796386124037</v>
      </c>
      <c r="K233" s="26">
        <f t="shared" si="31"/>
        <v>0.91959577411897075</v>
      </c>
      <c r="L233" s="26">
        <f t="shared" si="31"/>
        <v>0.81857817798280041</v>
      </c>
      <c r="M233" s="26">
        <f t="shared" si="31"/>
        <v>0.75013775739994371</v>
      </c>
      <c r="N233" s="26">
        <f t="shared" si="31"/>
        <v>0.71251749730524427</v>
      </c>
      <c r="O233" s="307"/>
      <c r="P233" s="26">
        <f t="shared" ref="P233:U233" si="32">IF(P232="","",P250*2.2046*P232/10000)</f>
        <v>1.1731825649149317</v>
      </c>
      <c r="Q233" s="26">
        <f t="shared" si="32"/>
        <v>1.0346027980460959</v>
      </c>
      <c r="R233" s="26">
        <f t="shared" si="32"/>
        <v>0.91178474561411771</v>
      </c>
      <c r="S233" s="26">
        <f t="shared" si="32"/>
        <v>0.81168958667566926</v>
      </c>
      <c r="T233" s="26">
        <f t="shared" si="32"/>
        <v>0.743832413489533</v>
      </c>
      <c r="U233" s="26">
        <f t="shared" si="32"/>
        <v>0.70652755222647978</v>
      </c>
      <c r="W233" s="26">
        <f t="shared" ref="W233:AB233" si="33">IF(W232="","",W250*2.2046*W232/10000)</f>
        <v>1.1630843915073792</v>
      </c>
      <c r="X233" s="26">
        <f t="shared" si="33"/>
        <v>1.0257265277242038</v>
      </c>
      <c r="Y233" s="26">
        <f t="shared" si="33"/>
        <v>0.90404382385441473</v>
      </c>
      <c r="Z233" s="26">
        <f t="shared" si="33"/>
        <v>0.80481560797029361</v>
      </c>
      <c r="AA233" s="26">
        <f t="shared" si="33"/>
        <v>0.73759748334783681</v>
      </c>
      <c r="AB233" s="26">
        <f t="shared" si="33"/>
        <v>0.70046490760455016</v>
      </c>
      <c r="AD233" s="26">
        <f t="shared" ref="AD233:AI233" si="34">IF(AD232="","",AD250*2.2046*AD232/10000)</f>
        <v>1.1530207094405109</v>
      </c>
      <c r="AE233" s="26">
        <f t="shared" si="34"/>
        <v>1.0169326530509482</v>
      </c>
      <c r="AF233" s="26">
        <f t="shared" si="34"/>
        <v>0.89632218371363492</v>
      </c>
      <c r="AG233" s="26">
        <f t="shared" si="34"/>
        <v>0.79799343812895596</v>
      </c>
      <c r="AH233" s="26">
        <f t="shared" si="34"/>
        <v>0.73085095236158992</v>
      </c>
      <c r="AI233" s="26">
        <f t="shared" si="34"/>
        <v>0.6938899445022374</v>
      </c>
      <c r="AK233" s="26">
        <f t="shared" ref="AK233:AP233" si="35">IF(AK232="","",AK250*2.2046*AK232/10000)</f>
        <v>1.1429460765890198</v>
      </c>
      <c r="AL233" s="26">
        <f t="shared" si="35"/>
        <v>1.0080987078638128</v>
      </c>
      <c r="AM233" s="26">
        <f t="shared" si="35"/>
        <v>0.88862113939206977</v>
      </c>
      <c r="AN233" s="26">
        <f t="shared" si="35"/>
        <v>0.79072656035556588</v>
      </c>
      <c r="AO233" s="26">
        <f t="shared" si="35"/>
        <v>0.72392174711107149</v>
      </c>
      <c r="AP233" s="26">
        <f t="shared" si="35"/>
        <v>0.68731221084132166</v>
      </c>
      <c r="AR233" s="26">
        <f t="shared" ref="AR233:AW233" si="36">IF(AR232="","",AR250*2.2046*AR232/10000)</f>
        <v>1.1327269621982992</v>
      </c>
      <c r="AS233" s="26">
        <f t="shared" si="36"/>
        <v>0.99932050791454563</v>
      </c>
      <c r="AT233" s="26">
        <f t="shared" si="36"/>
        <v>0.88093044765470518</v>
      </c>
      <c r="AU233" s="26">
        <f t="shared" si="36"/>
        <v>0.78314186135979102</v>
      </c>
      <c r="AV233" s="26">
        <f t="shared" si="36"/>
        <v>0.71699229621355876</v>
      </c>
      <c r="AW233" s="26">
        <f t="shared" si="36"/>
        <v>0.68073437630821132</v>
      </c>
      <c r="BA233" s="137"/>
      <c r="BB233" s="369"/>
      <c r="BC233" s="369"/>
    </row>
    <row r="234" spans="1:64" x14ac:dyDescent="0.25">
      <c r="A234" s="40"/>
      <c r="B234" s="380"/>
      <c r="C234" s="380"/>
      <c r="D234" s="380"/>
      <c r="E234" s="380"/>
      <c r="F234" s="380"/>
      <c r="G234" s="380"/>
      <c r="H234" s="26"/>
      <c r="I234" s="7"/>
      <c r="J234" s="7"/>
      <c r="K234" s="7"/>
      <c r="L234" s="7"/>
      <c r="M234" s="7"/>
      <c r="N234" s="7"/>
      <c r="O234" s="26"/>
      <c r="P234" s="209"/>
      <c r="Q234" s="209"/>
      <c r="R234" s="209"/>
      <c r="S234" s="209"/>
      <c r="T234" s="209"/>
      <c r="U234" s="209"/>
      <c r="W234" s="7"/>
      <c r="X234" s="7"/>
      <c r="Y234" s="7"/>
      <c r="Z234" s="7"/>
      <c r="AA234" s="7"/>
      <c r="AB234" s="7"/>
      <c r="AD234" s="7"/>
      <c r="AE234" s="7"/>
      <c r="AF234" s="7"/>
      <c r="AG234" s="7"/>
      <c r="AH234" s="7"/>
      <c r="AI234" s="7"/>
      <c r="AK234" s="7"/>
      <c r="AL234" s="7"/>
      <c r="AM234" s="7"/>
      <c r="AN234" s="7"/>
      <c r="AO234" s="7"/>
      <c r="AP234" s="7"/>
      <c r="AR234" s="7"/>
      <c r="AS234" s="7"/>
      <c r="AT234" s="7"/>
      <c r="AU234" s="7"/>
      <c r="AV234" s="7"/>
      <c r="AW234" s="7"/>
      <c r="BA234" s="368"/>
      <c r="BB234" s="369"/>
      <c r="BC234" s="369"/>
    </row>
    <row r="235" spans="1:64" x14ac:dyDescent="0.25">
      <c r="A235" s="44" t="s">
        <v>143</v>
      </c>
      <c r="B235" s="26"/>
      <c r="C235" s="26"/>
      <c r="D235" s="26"/>
      <c r="E235" s="26"/>
      <c r="F235" s="26"/>
      <c r="G235" s="26"/>
      <c r="H235" s="26"/>
      <c r="I235" s="26"/>
      <c r="J235" s="26"/>
      <c r="K235" s="26"/>
      <c r="L235" s="26"/>
      <c r="M235" s="26"/>
      <c r="N235" s="26"/>
      <c r="O235" s="26"/>
      <c r="P235" s="26"/>
      <c r="Q235" s="26"/>
      <c r="R235" s="26"/>
      <c r="S235" s="26"/>
      <c r="T235" s="26"/>
      <c r="U235" s="26"/>
      <c r="W235" s="26"/>
      <c r="X235" s="26"/>
      <c r="Y235" s="26"/>
      <c r="Z235" s="26"/>
      <c r="AA235" s="26"/>
      <c r="AB235" s="26"/>
      <c r="AD235" s="26"/>
      <c r="AE235" s="26"/>
      <c r="AF235" s="26"/>
      <c r="AG235" s="26"/>
      <c r="AH235" s="26"/>
      <c r="AI235" s="26"/>
      <c r="AJ235" s="2"/>
      <c r="AK235" s="26"/>
      <c r="AL235" s="26"/>
      <c r="AM235" s="26"/>
      <c r="AN235" s="26"/>
      <c r="AO235" s="26"/>
      <c r="AP235" s="26"/>
      <c r="AR235" s="26"/>
      <c r="AS235" s="26"/>
      <c r="AT235" s="26"/>
      <c r="AU235" s="26"/>
      <c r="AV235" s="26"/>
      <c r="AW235" s="26"/>
      <c r="BA235" s="137"/>
      <c r="BB235" s="369"/>
      <c r="BC235" s="369"/>
    </row>
    <row r="236" spans="1:64" x14ac:dyDescent="0.25">
      <c r="A236" s="34" t="s">
        <v>381</v>
      </c>
      <c r="B236" s="27">
        <v>1.1861119527718891</v>
      </c>
      <c r="C236" s="27">
        <v>1.0487231011263827</v>
      </c>
      <c r="D236" s="27">
        <v>0.92692570857780632</v>
      </c>
      <c r="E236" s="27">
        <v>0.82606841929078001</v>
      </c>
      <c r="F236" s="27">
        <v>0.75673053182615369</v>
      </c>
      <c r="G236" s="27">
        <v>0.71839352504319809</v>
      </c>
      <c r="H236" s="223"/>
      <c r="I236" s="27">
        <v>1.176359663632115</v>
      </c>
      <c r="J236" s="27">
        <v>1.0404298354051722</v>
      </c>
      <c r="K236" s="27">
        <v>0.9198321876360902</v>
      </c>
      <c r="L236" s="27">
        <v>0.81977155477303221</v>
      </c>
      <c r="M236" s="27">
        <v>0.75037675735226672</v>
      </c>
      <c r="N236" s="27">
        <v>0.71244271689720895</v>
      </c>
      <c r="O236" s="7"/>
      <c r="P236" s="27">
        <v>1.1684857665329609</v>
      </c>
      <c r="Q236" s="27">
        <v>1.0334387360651245</v>
      </c>
      <c r="R236" s="27">
        <v>0.91378340553869708</v>
      </c>
      <c r="S236" s="27">
        <v>0.81328394410468086</v>
      </c>
      <c r="T236" s="27">
        <v>0.74466093217492246</v>
      </c>
      <c r="U236" s="27">
        <v>0.70703878284967125</v>
      </c>
      <c r="V236" s="2"/>
      <c r="W236" s="27">
        <v>1.1606108994103048</v>
      </c>
      <c r="X236" s="27">
        <v>1.0264515137337917</v>
      </c>
      <c r="Y236" s="27">
        <v>0.90637130018555012</v>
      </c>
      <c r="Z236" s="27">
        <v>0.80714498863815465</v>
      </c>
      <c r="AA236" s="27">
        <v>0.73903650635744667</v>
      </c>
      <c r="AB236" s="27">
        <v>0.70148216508308492</v>
      </c>
      <c r="AC236" s="2"/>
      <c r="AD236" s="27">
        <v>1.1526290098320124</v>
      </c>
      <c r="AE236" s="27">
        <v>1.0181241605607756</v>
      </c>
      <c r="AF236" s="27">
        <v>0.89928210531326824</v>
      </c>
      <c r="AG236" s="27">
        <v>0.80098309911292542</v>
      </c>
      <c r="AH236" s="27">
        <v>0.73289361495012595</v>
      </c>
      <c r="AI236" s="27">
        <v>0.69549056609603865</v>
      </c>
      <c r="AJ236" s="2"/>
      <c r="AK236" s="27">
        <v>1.145</v>
      </c>
      <c r="AL236" s="309">
        <v>1.0101833240253375</v>
      </c>
      <c r="AM236" s="309">
        <v>0.89234873408789994</v>
      </c>
      <c r="AN236" s="309">
        <v>0.79441650998473456</v>
      </c>
      <c r="AO236" s="309">
        <v>0.72657321918177553</v>
      </c>
      <c r="AP236" s="309">
        <v>0.6894942592368507</v>
      </c>
      <c r="AQ236" s="2"/>
      <c r="AR236" s="309">
        <v>1.1399999999999999</v>
      </c>
      <c r="AS236" s="309">
        <v>1.0022507297378567</v>
      </c>
      <c r="AT236" s="309">
        <v>0.8856759586639249</v>
      </c>
      <c r="AU236" s="309">
        <v>0.78765042013618369</v>
      </c>
      <c r="AV236" s="309">
        <v>0.720259582186488</v>
      </c>
      <c r="AW236" s="309">
        <v>0.68350052818418994</v>
      </c>
      <c r="AX236" s="2"/>
    </row>
    <row r="237" spans="1:64" x14ac:dyDescent="0.25">
      <c r="A237" s="39" t="s">
        <v>382</v>
      </c>
      <c r="B237" s="192">
        <f>(SUMPRODUCT(B$9:B$229,Nutrients!$CY$8:$CY$228)+(IF($A$7=Nutrients!$B$8,Nutrients!$CY$8,Nutrients!$CY$9)*B$7)+(((IF($A$8=Nutrients!$B$79,Nutrients!$CY$79,(IF($A$8=Nutrients!$B$77,Nutrients!$CY$77,Nutrients!$CY$78)))))*B$8))/2000/B$236*100</f>
        <v>56.344881641231822</v>
      </c>
      <c r="C237" s="192">
        <f>(SUMPRODUCT(C$9:C$229,Nutrients!$CY$8:$CY$228)+(IF($A$7=Nutrients!$B$8,Nutrients!$CY$8,Nutrients!$CY$9)*C$7)+(((IF($A$8=Nutrients!$B$79,Nutrients!$CY$79,(IF($A$8=Nutrients!$B$77,Nutrients!$CY$77,Nutrients!$CY$78)))))*C$8))/2000/C$236*100</f>
        <v>57.375308930399996</v>
      </c>
      <c r="D237" s="192">
        <f>(SUMPRODUCT(D$9:D$229,Nutrients!$CY$8:$CY$228)+(IF($A$7=Nutrients!$B$8,Nutrients!$CY$8,Nutrients!$CY$9)*D$7)+(((IF($A$8=Nutrients!$B$79,Nutrients!$CY$79,(IF($A$8=Nutrients!$B$77,Nutrients!$CY$77,Nutrients!$CY$78)))))*D$8))/2000/D$236*100</f>
        <v>58.876554056537131</v>
      </c>
      <c r="E237" s="192">
        <f>(SUMPRODUCT(E$9:E$229,Nutrients!$CY$8:$CY$228)+(IF($A$7=Nutrients!$B$8,Nutrients!$CY$8,Nutrients!$CY$9)*E$7)+(((IF($A$8=Nutrients!$B$79,Nutrients!$CY$79,(IF($A$8=Nutrients!$B$77,Nutrients!$CY$77,Nutrients!$CY$78)))))*E$8))/2000/E$236*100</f>
        <v>59.309801434553123</v>
      </c>
      <c r="F237" s="192">
        <f>(SUMPRODUCT(F$9:F$229,Nutrients!$CY$8:$CY$228)+(IF($A$7=Nutrients!$B$8,Nutrients!$CY$8,Nutrients!$CY$9)*F$7)+(((IF($A$8=Nutrients!$B$79,Nutrients!$CY$79,(IF($A$8=Nutrients!$B$77,Nutrients!$CY$77,Nutrients!$CY$78)))))*F$8))/2000/F$236*100</f>
        <v>58.50084547001024</v>
      </c>
      <c r="G237" s="192">
        <f>(SUMPRODUCT(G$9:G$229,Nutrients!$CY$8:$CY$228)+(IF($A$7=Nutrients!$B$8,Nutrients!$CY$8,Nutrients!$CY$9)*G$7)+(((IF($A$8=Nutrients!$B$79,Nutrients!$CY$79,(IF($A$8=Nutrients!$B$77,Nutrients!$CY$77,Nutrients!$CY$78)))))*G$8))/2000/G$236*100</f>
        <v>57.980356352367814</v>
      </c>
      <c r="H237" s="224"/>
      <c r="I237" s="225">
        <f>(SUMPRODUCT(I$9:I$229,Nutrients!$CY$8:$CY$228)+(IF($A$7=Nutrients!$B$8,Nutrients!$CY$8,Nutrients!$CY$9)*I$7)+(((IF($A$8=Nutrients!$B$79,Nutrients!$CY$79,(IF($A$8=Nutrients!$B$77,Nutrients!$CY$77,Nutrients!$CY$78)))))*I$8))/2000/I$236*100</f>
        <v>56.482295270436168</v>
      </c>
      <c r="J237" s="225">
        <f>(SUMPRODUCT(J$9:J$229,Nutrients!$CY$8:$CY$228)+(IF($A$7=Nutrients!$B$8,Nutrients!$CY$8,Nutrients!$CY$9)*J$7)+(((IF($A$8=Nutrients!$B$79,Nutrients!$CY$79,(IF($A$8=Nutrients!$B$77,Nutrients!$CY$77,Nutrients!$CY$78)))))*J$8))/2000/J$236*100</f>
        <v>57.55499078871258</v>
      </c>
      <c r="K237" s="225">
        <f>(SUMPRODUCT(K$9:K$229,Nutrients!$CY$8:$CY$228)+(IF($A$7=Nutrients!$B$8,Nutrients!$CY$8,Nutrients!$CY$9)*K$7)+(((IF($A$8=Nutrients!$B$79,Nutrients!$CY$79,(IF($A$8=Nutrients!$B$77,Nutrients!$CY$77,Nutrients!$CY$78)))))*K$8))/2000/K$236*100</f>
        <v>59.105805422878213</v>
      </c>
      <c r="L237" s="225">
        <f>(SUMPRODUCT(L$9:L$229,Nutrients!$CY$8:$CY$228)+(IF($A$7=Nutrients!$B$8,Nutrients!$CY$8,Nutrients!$CY$9)*L$7)+(((IF($A$8=Nutrients!$B$79,Nutrients!$CY$79,(IF($A$8=Nutrients!$B$77,Nutrients!$CY$77,Nutrients!$CY$78)))))*L$8))/2000/L$236*100</f>
        <v>59.579465879893903</v>
      </c>
      <c r="M237" s="225">
        <f>(SUMPRODUCT(M$9:M$229,Nutrients!$CY$8:$CY$228)+(IF($A$7=Nutrients!$B$8,Nutrients!$CY$8,Nutrients!$CY$9)*M$7)+(((IF($A$8=Nutrients!$B$79,Nutrients!$CY$79,(IF($A$8=Nutrients!$B$77,Nutrients!$CY$77,Nutrients!$CY$78)))))*M$8))/2000/M$236*100</f>
        <v>58.788252861538439</v>
      </c>
      <c r="N237" s="225">
        <f>(SUMPRODUCT(N$9:N$229,Nutrients!$CY$8:$CY$228)+(IF($A$7=Nutrients!$B$8,Nutrients!$CY$8,Nutrients!$CY$9)*N$7)+(((IF($A$8=Nutrients!$B$79,Nutrients!$CY$79,(IF($A$8=Nutrients!$B$77,Nutrients!$CY$77,Nutrients!$CY$78)))))*N$8))/2000/N$236*100</f>
        <v>58.283522729320701</v>
      </c>
      <c r="O237" s="471"/>
      <c r="P237" s="225">
        <f>(SUMPRODUCT(P$9:P$229,Nutrients!$CY$8:$CY$228)+(IF($A$7=Nutrients!$B$8,Nutrients!$CY$8,Nutrients!$CY$9)*P$7)+(((IF($A$8=Nutrients!$B$79,Nutrients!$CY$79,(IF($A$8=Nutrients!$B$77,Nutrients!$CY$77,Nutrients!$CY$78)))))*P$8))/2000/P$236*100</f>
        <v>56.640522033074902</v>
      </c>
      <c r="Q237" s="225">
        <f>(SUMPRODUCT(Q$9:Q$229,Nutrients!$CY$8:$CY$228)+(IF($A$7=Nutrients!$B$8,Nutrients!$CY$8,Nutrients!$CY$9)*Q$7)+(((IF($A$8=Nutrients!$B$79,Nutrients!$CY$79,(IF($A$8=Nutrients!$B$77,Nutrients!$CY$77,Nutrients!$CY$78)))))*Q$8))/2000/Q$236*100</f>
        <v>57.750647192151561</v>
      </c>
      <c r="R237" s="225">
        <f>(SUMPRODUCT(R$9:R$229,Nutrients!$CY$8:$CY$228)+(IF($A$7=Nutrients!$B$8,Nutrients!$CY$8,Nutrients!$CY$9)*R$7)+(((IF($A$8=Nutrients!$B$79,Nutrients!$CY$79,(IF($A$8=Nutrients!$B$77,Nutrients!$CY$77,Nutrients!$CY$78)))))*R$8))/2000/R$236*100</f>
        <v>59.348607916557242</v>
      </c>
      <c r="S237" s="225">
        <f>(SUMPRODUCT(S$9:S$229,Nutrients!$CY$8:$CY$228)+(IF($A$7=Nutrients!$B$8,Nutrients!$CY$8,Nutrients!$CY$9)*S$7)+(((IF($A$8=Nutrients!$B$79,Nutrients!$CY$79,(IF($A$8=Nutrients!$B$77,Nutrients!$CY$77,Nutrients!$CY$78)))))*S$8))/2000/S$236*100</f>
        <v>59.850742061035753</v>
      </c>
      <c r="T237" s="225">
        <f>(SUMPRODUCT(T$9:T$229,Nutrients!$CY$8:$CY$228)+(IF($A$7=Nutrients!$B$8,Nutrients!$CY$8,Nutrients!$CY$9)*T$7)+(((IF($A$8=Nutrients!$B$79,Nutrients!$CY$79,(IF($A$8=Nutrients!$B$77,Nutrients!$CY$77,Nutrients!$CY$78)))))*T$8))/2000/T$236*100</f>
        <v>59.087417576268756</v>
      </c>
      <c r="U237" s="225">
        <f>(SUMPRODUCT(U$9:U$229,Nutrients!$CY$8:$CY$228)+(IF($A$7=Nutrients!$B$8,Nutrients!$CY$8,Nutrients!$CY$9)*U$7)+(((IF($A$8=Nutrients!$B$79,Nutrients!$CY$79,(IF($A$8=Nutrients!$B$77,Nutrients!$CY$77,Nutrients!$CY$78)))))*U$8))/2000/U$236*100</f>
        <v>58.599104607260024</v>
      </c>
      <c r="V237" s="9"/>
      <c r="W237" s="225">
        <f>(SUMPRODUCT(W$9:W$229,Nutrients!$CY$8:$CY$228)+(IF($A$7=Nutrients!$B$8,Nutrients!$CY$8,Nutrients!$CY$9)*W$7)+(((IF($A$8=Nutrients!$B$79,Nutrients!$CY$79,(IF($A$8=Nutrients!$B$77,Nutrients!$CY$77,Nutrients!$CY$78)))))*W$8))/2000/W$236*100</f>
        <v>56.800663652900006</v>
      </c>
      <c r="X237" s="225">
        <f>(SUMPRODUCT(X$9:X$229,Nutrients!$CY$8:$CY$228)+(IF($A$7=Nutrients!$B$8,Nutrients!$CY$8,Nutrients!$CY$9)*X$7)+(((IF($A$8=Nutrients!$B$79,Nutrients!$CY$79,(IF($A$8=Nutrients!$B$77,Nutrients!$CY$77,Nutrients!$CY$78)))))*X$8))/2000/X$236*100</f>
        <v>57.949195014620926</v>
      </c>
      <c r="Y237" s="225">
        <f>(SUMPRODUCT(Y$9:Y$229,Nutrients!$CY$8:$CY$228)+(IF($A$7=Nutrients!$B$8,Nutrients!$CY$8,Nutrients!$CY$9)*Y$7)+(((IF($A$8=Nutrients!$B$79,Nutrients!$CY$79,(IF($A$8=Nutrients!$B$77,Nutrients!$CY$77,Nutrients!$CY$78)))))*Y$8))/2000/Y$236*100</f>
        <v>59.581096016986557</v>
      </c>
      <c r="Z237" s="225">
        <f>(SUMPRODUCT(Z$9:Z$229,Nutrients!$CY$8:$CY$228)+(IF($A$7=Nutrients!$B$8,Nutrients!$CY$8,Nutrients!$CY$9)*Z$7)+(((IF($A$8=Nutrients!$B$79,Nutrients!$CY$79,(IF($A$8=Nutrients!$B$77,Nutrients!$CY$77,Nutrients!$CY$78)))))*Z$8))/2000/Z$236*100</f>
        <v>60.129270470708853</v>
      </c>
      <c r="AA237" s="225">
        <f>(SUMPRODUCT(AA$9:AA$229,Nutrients!$CY$8:$CY$228)+(IF($A$7=Nutrients!$B$8,Nutrients!$CY$8,Nutrients!$CY$9)*AA$7)+(((IF($A$8=Nutrients!$B$79,Nutrients!$CY$79,(IF($A$8=Nutrients!$B$77,Nutrients!$CY$77,Nutrients!$CY$78)))))*AA$8))/2000/AA$236*100</f>
        <v>59.390002889693108</v>
      </c>
      <c r="AB237" s="225">
        <f>(SUMPRODUCT(AB$9:AB$229,Nutrients!$CY$8:$CY$228)+(IF($A$7=Nutrients!$B$8,Nutrients!$CY$8,Nutrients!$CY$9)*AB$7)+(((IF($A$8=Nutrients!$B$79,Nutrients!$CY$79,(IF($A$8=Nutrients!$B$77,Nutrients!$CY$77,Nutrients!$CY$78)))))*AB$8))/2000/AB$236*100</f>
        <v>58.9119331189127</v>
      </c>
      <c r="AC237" s="9"/>
      <c r="AD237" s="225">
        <f>(SUMPRODUCT(AD$9:AD$229,Nutrients!$CY$8:$CY$228)+(IF($A$7=Nutrients!$B$8,Nutrients!$CY$8,Nutrients!$CY$9)*AD$7)+(((IF($A$8=Nutrients!$B$79,Nutrients!$CY$79,(IF($A$8=Nutrients!$B$77,Nutrients!$CY$77,Nutrients!$CY$78)))))*AD$8))/2000/AD$236*100</f>
        <v>56.961606746862714</v>
      </c>
      <c r="AE237" s="225">
        <f>(SUMPRODUCT(AE$9:AE$229,Nutrients!$CY$8:$CY$228)+(IF($A$7=Nutrients!$B$8,Nutrients!$CY$8,Nutrients!$CY$9)*AE$7)+(((IF($A$8=Nutrients!$B$79,Nutrients!$CY$79,(IF($A$8=Nutrients!$B$77,Nutrients!$CY$77,Nutrients!$CY$78)))))*AE$8))/2000/AE$236*100</f>
        <v>58.136672750829099</v>
      </c>
      <c r="AF237" s="225">
        <f>(SUMPRODUCT(AF$9:AF$229,Nutrients!$CY$8:$CY$228)+(IF($A$7=Nutrients!$B$8,Nutrients!$CY$8,Nutrients!$CY$9)*AF$7)+(((IF($A$8=Nutrients!$B$79,Nutrients!$CY$79,(IF($A$8=Nutrients!$B$77,Nutrients!$CY$77,Nutrients!$CY$78)))))*AF$8))/2000/AF$236*100</f>
        <v>59.819887563477003</v>
      </c>
      <c r="AG237" s="225">
        <f>(SUMPRODUCT(AG$9:AG$229,Nutrients!$CY$8:$CY$228)+(IF($A$7=Nutrients!$B$8,Nutrients!$CY$8,Nutrients!$CY$9)*AG$7)+(((IF($A$8=Nutrients!$B$79,Nutrients!$CY$79,(IF($A$8=Nutrients!$B$77,Nutrients!$CY$77,Nutrients!$CY$78)))))*AG$8))/2000/AG$236*100</f>
        <v>60.409939538004721</v>
      </c>
      <c r="AH237" s="225">
        <f>(SUMPRODUCT(AH$9:AH$229,Nutrients!$CY$8:$CY$228)+(IF($A$7=Nutrients!$B$8,Nutrients!$CY$8,Nutrients!$CY$9)*AH$7)+(((IF($A$8=Nutrients!$B$79,Nutrients!$CY$79,(IF($A$8=Nutrients!$B$77,Nutrients!$CY$77,Nutrients!$CY$78)))))*AH$8))/2000/AH$236*100</f>
        <v>59.68148610896499</v>
      </c>
      <c r="AI237" s="225">
        <f>(SUMPRODUCT(AI$9:AI$229,Nutrients!$CY$8:$CY$228)+(IF($A$7=Nutrients!$B$8,Nutrients!$CY$8,Nutrients!$CY$9)*AI$7)+(((IF($A$8=Nutrients!$B$79,Nutrients!$CY$79,(IF($A$8=Nutrients!$B$77,Nutrients!$CY$77,Nutrients!$CY$78)))))*AI$8))/2000/AI$236*100</f>
        <v>59.213421229593287</v>
      </c>
      <c r="AJ237" s="9"/>
      <c r="AK237" s="225">
        <f>(SUMPRODUCT(AK$9:AK$229,Nutrients!$CY$8:$CY$228)+(IF($A$7=Nutrients!$B$8,Nutrients!$CY$8,Nutrients!$CY$9)*AK$7)+(((IF($A$8=Nutrients!$B$79,Nutrients!$CY$79,(IF($A$8=Nutrients!$B$77,Nutrients!$CY$77,Nutrients!$CY$78)))))*AK$8))/2000/AK$236*100</f>
        <v>57.128157898122431</v>
      </c>
      <c r="AL237" s="225">
        <f>(SUMPRODUCT(AL$9:AL$229,Nutrients!$CY$8:$CY$228)+(IF($A$7=Nutrients!$B$8,Nutrients!$CY$8,Nutrients!$CY$9)*AL$7)+(((IF($A$8=Nutrients!$B$79,Nutrients!$CY$79,(IF($A$8=Nutrients!$B$77,Nutrients!$CY$77,Nutrients!$CY$78)))))*AL$8))/2000/AL$236*100</f>
        <v>58.331427480269369</v>
      </c>
      <c r="AM237" s="225">
        <f>(SUMPRODUCT(AM$9:AM$229,Nutrients!$CY$8:$CY$228)+(IF($A$7=Nutrients!$B$8,Nutrients!$CY$8,Nutrients!$CY$9)*AM$7)+(((IF($A$8=Nutrients!$B$79,Nutrients!$CY$79,(IF($A$8=Nutrients!$B$77,Nutrients!$CY$77,Nutrients!$CY$78)))))*AM$8))/2000/AM$236*100</f>
        <v>60.063307705822922</v>
      </c>
      <c r="AN237" s="225">
        <f>(SUMPRODUCT(AN$9:AN$229,Nutrients!$CY$8:$CY$228)+(IF($A$7=Nutrients!$B$8,Nutrients!$CY$8,Nutrients!$CY$9)*AN$7)+(((IF($A$8=Nutrients!$B$79,Nutrients!$CY$79,(IF($A$8=Nutrients!$B$77,Nutrients!$CY$77,Nutrients!$CY$78)))))*AN$8))/2000/AN$236*100</f>
        <v>60.684311200905746</v>
      </c>
      <c r="AO237" s="225">
        <f>(SUMPRODUCT(AO$9:AO$229,Nutrients!$CY$8:$CY$228)+(IF($A$7=Nutrients!$B$8,Nutrients!$CY$8,Nutrients!$CY$9)*AO$7)+(((IF($A$8=Nutrients!$B$79,Nutrients!$CY$79,(IF($A$8=Nutrients!$B$77,Nutrients!$CY$77,Nutrients!$CY$78)))))*AO$8))/2000/AO$236*100</f>
        <v>59.972561699341185</v>
      </c>
      <c r="AP237" s="225">
        <f>(SUMPRODUCT(AP$9:AP$229,Nutrients!$CY$8:$CY$228)+(IF($A$7=Nutrients!$B$8,Nutrients!$CY$8,Nutrients!$CY$9)*AP$7)+(((IF($A$8=Nutrients!$B$79,Nutrients!$CY$79,(IF($A$8=Nutrients!$B$77,Nutrients!$CY$77,Nutrients!$CY$78)))))*AP$8))/2000/AP$236*100</f>
        <v>59.520162695461707</v>
      </c>
      <c r="AQ237" s="9"/>
      <c r="AR237" s="225">
        <f>(SUMPRODUCT(AR$9:AR$229,Nutrients!$CY$8:$CY$228)+(IF($A$7=Nutrients!$B$8,Nutrients!$CY$8,Nutrients!$CY$9)*AR$7)+(((IF($A$8=Nutrients!$B$79,Nutrients!$CY$79,(IF($A$8=Nutrients!$B$77,Nutrients!$CY$77,Nutrients!$CY$78)))))*AR$8))/2000/AR$236*100</f>
        <v>57.322639520485744</v>
      </c>
      <c r="AS237" s="225">
        <f>(SUMPRODUCT(AS$9:AS$229,Nutrients!$CY$8:$CY$228)+(IF($A$7=Nutrients!$B$8,Nutrients!$CY$8,Nutrients!$CY$9)*AS$7)+(((IF($A$8=Nutrients!$B$79,Nutrients!$CY$79,(IF($A$8=Nutrients!$B$77,Nutrients!$CY$77,Nutrients!$CY$78)))))*AS$8))/2000/AS$236*100</f>
        <v>58.528490441985738</v>
      </c>
      <c r="AT237" s="225">
        <f>(SUMPRODUCT(AT$9:AT$229,Nutrients!$CY$8:$CY$228)+(IF($A$7=Nutrients!$B$8,Nutrients!$CY$8,Nutrients!$CY$9)*AT$7)+(((IF($A$8=Nutrients!$B$79,Nutrients!$CY$79,(IF($A$8=Nutrients!$B$77,Nutrients!$CY$77,Nutrients!$CY$78)))))*AT$8))/2000/AT$236*100</f>
        <v>60.311975774799855</v>
      </c>
      <c r="AU237" s="225">
        <f>(SUMPRODUCT(AU$9:AU$229,Nutrients!$CY$8:$CY$228)+(IF($A$7=Nutrients!$B$8,Nutrients!$CY$8,Nutrients!$CY$9)*AU$7)+(((IF($A$8=Nutrients!$B$79,Nutrients!$CY$79,(IF($A$8=Nutrients!$B$77,Nutrients!$CY$77,Nutrients!$CY$78)))))*AU$8))/2000/AU$236*100</f>
        <v>60.956431487495088</v>
      </c>
      <c r="AV237" s="225">
        <f>(SUMPRODUCT(AV$9:AV$229,Nutrients!$CY$8:$CY$228)+(IF($A$7=Nutrients!$B$8,Nutrients!$CY$8,Nutrients!$CY$9)*AV$7)+(((IF($A$8=Nutrients!$B$79,Nutrients!$CY$79,(IF($A$8=Nutrients!$B$77,Nutrients!$CY$77,Nutrients!$CY$78)))))*AV$8))/2000/AV$236*100</f>
        <v>60.268821398365226</v>
      </c>
      <c r="AW237" s="225">
        <f>(SUMPRODUCT(AW$9:AW$229,Nutrients!$CY$8:$CY$228)+(IF($A$7=Nutrients!$B$8,Nutrients!$CY$8,Nutrients!$CY$9)*AW$7)+(((IF($A$8=Nutrients!$B$79,Nutrients!$CY$79,(IF($A$8=Nutrients!$B$77,Nutrients!$CY$77,Nutrients!$CY$78)))))*AW$8))/2000/AW$236*100</f>
        <v>59.832317983565531</v>
      </c>
      <c r="AX237" s="9"/>
      <c r="AZ237" s="117"/>
      <c r="BA237" s="117"/>
      <c r="BB237" s="117"/>
      <c r="BC237" s="117"/>
      <c r="BD237" s="117"/>
      <c r="BE237" s="117"/>
      <c r="BG237" s="447"/>
      <c r="BH237" s="447"/>
      <c r="BI237" s="447"/>
      <c r="BJ237" s="447"/>
      <c r="BK237" s="447"/>
      <c r="BL237" s="447"/>
    </row>
    <row r="238" spans="1:64" x14ac:dyDescent="0.25">
      <c r="A238" s="39" t="s">
        <v>383</v>
      </c>
      <c r="B238" s="192">
        <f>(SUMPRODUCT(B$9:B$229,Nutrients!$CZ$8:$CZ$228)+(IF($A$7=Nutrients!$B$8,Nutrients!$CZ$8,Nutrients!$CZ$9)*B$7)+(((IF($A$8=Nutrients!$B$79,Nutrients!$CZ$79,(IF($A$8=Nutrients!$B$77,Nutrients!$CZ$77,Nutrients!$CZ$78)))))*B$8))/2000/B$236*100</f>
        <v>120.89105591211504</v>
      </c>
      <c r="C238" s="192">
        <f>(SUMPRODUCT(C$9:C$229,Nutrients!$CZ$8:$CZ$228)+(IF($A$7=Nutrients!$B$8,Nutrients!$CZ$8,Nutrients!$CZ$9)*C$7)+(((IF($A$8=Nutrients!$B$79,Nutrients!$CZ$79,(IF($A$8=Nutrients!$B$77,Nutrients!$CZ$77,Nutrients!$CZ$78)))))*C$8))/2000/C$236*100</f>
        <v>128.00798727272854</v>
      </c>
      <c r="D238" s="192">
        <f>(SUMPRODUCT(D$9:D$229,Nutrients!$CZ$8:$CZ$228)+(IF($A$7=Nutrients!$B$8,Nutrients!$CZ$8,Nutrients!$CZ$9)*D$7)+(((IF($A$8=Nutrients!$B$79,Nutrients!$CZ$79,(IF($A$8=Nutrients!$B$77,Nutrients!$CZ$77,Nutrients!$CZ$78)))))*D$8))/2000/D$236*100</f>
        <v>136.56000538997691</v>
      </c>
      <c r="E238" s="192">
        <f>(SUMPRODUCT(E$9:E$229,Nutrients!$CZ$8:$CZ$228)+(IF($A$7=Nutrients!$B$8,Nutrients!$CZ$8,Nutrients!$CZ$9)*E$7)+(((IF($A$8=Nutrients!$B$79,Nutrients!$CZ$79,(IF($A$8=Nutrients!$B$77,Nutrients!$CZ$77,Nutrients!$CZ$78)))))*E$8))/2000/E$236*100</f>
        <v>143.9104596541508</v>
      </c>
      <c r="F238" s="192">
        <f>(SUMPRODUCT(F$9:F$229,Nutrients!$CZ$8:$CZ$228)+(IF($A$7=Nutrients!$B$8,Nutrients!$CZ$8,Nutrients!$CZ$9)*F$7)+(((IF($A$8=Nutrients!$B$79,Nutrients!$CZ$79,(IF($A$8=Nutrients!$B$77,Nutrients!$CZ$77,Nutrients!$CZ$78)))))*F$8))/2000/F$236*100</f>
        <v>148.44781930158939</v>
      </c>
      <c r="G238" s="192">
        <f>(SUMPRODUCT(G$9:G$229,Nutrients!$CZ$8:$CZ$228)+(IF($A$7=Nutrients!$B$8,Nutrients!$CZ$8,Nutrients!$CZ$9)*G$7)+(((IF($A$8=Nutrients!$B$79,Nutrients!$CZ$79,(IF($A$8=Nutrients!$B$77,Nutrients!$CZ$77,Nutrients!$CZ$78)))))*G$8))/2000/G$236*100</f>
        <v>151.29313192040226</v>
      </c>
      <c r="H238" s="224"/>
      <c r="I238" s="225">
        <f>(SUMPRODUCT(I$9:I$229,Nutrients!$CZ$8:$CZ$228)+(IF($A$7=Nutrients!$B$8,Nutrients!$CZ$8,Nutrients!$CZ$9)*I$7)+(((IF($A$8=Nutrients!$B$79,Nutrients!$CZ$79,(IF($A$8=Nutrients!$B$77,Nutrients!$CZ$77,Nutrients!$CZ$78)))))*I$8))/2000/I$236*100</f>
        <v>126.6795290689207</v>
      </c>
      <c r="J238" s="225">
        <f>(SUMPRODUCT(J$9:J$229,Nutrients!$CZ$8:$CZ$228)+(IF($A$7=Nutrients!$B$8,Nutrients!$CZ$8,Nutrients!$CZ$9)*J$7)+(((IF($A$8=Nutrients!$B$79,Nutrients!$CZ$79,(IF($A$8=Nutrients!$B$77,Nutrients!$CZ$77,Nutrients!$CZ$78)))))*J$8))/2000/J$236*100</f>
        <v>134.56949392018208</v>
      </c>
      <c r="K238" s="225">
        <f>(SUMPRODUCT(K$9:K$229,Nutrients!$CZ$8:$CZ$228)+(IF($A$7=Nutrients!$B$8,Nutrients!$CZ$8,Nutrients!$CZ$9)*K$7)+(((IF($A$8=Nutrients!$B$79,Nutrients!$CZ$79,(IF($A$8=Nutrients!$B$77,Nutrients!$CZ$77,Nutrients!$CZ$78)))))*K$8))/2000/K$236*100</f>
        <v>144.00641091470737</v>
      </c>
      <c r="L238" s="225">
        <f>(SUMPRODUCT(L$9:L$229,Nutrients!$CZ$8:$CZ$228)+(IF($A$7=Nutrients!$B$8,Nutrients!$CZ$8,Nutrients!$CZ$9)*L$7)+(((IF($A$8=Nutrients!$B$79,Nutrients!$CZ$79,(IF($A$8=Nutrients!$B$77,Nutrients!$CZ$77,Nutrients!$CZ$78)))))*L$8))/2000/L$236*100</f>
        <v>152.28190016231801</v>
      </c>
      <c r="M238" s="225">
        <f>(SUMPRODUCT(M$9:M$229,Nutrients!$CZ$8:$CZ$228)+(IF($A$7=Nutrients!$B$8,Nutrients!$CZ$8,Nutrients!$CZ$9)*M$7)+(((IF($A$8=Nutrients!$B$79,Nutrients!$CZ$79,(IF($A$8=Nutrients!$B$77,Nutrients!$CZ$77,Nutrients!$CZ$78)))))*M$8))/2000/M$236*100</f>
        <v>157.63769113773913</v>
      </c>
      <c r="N238" s="225">
        <f>(SUMPRODUCT(N$9:N$229,Nutrients!$CZ$8:$CZ$228)+(IF($A$7=Nutrients!$B$8,Nutrients!$CZ$8,Nutrients!$CZ$9)*N$7)+(((IF($A$8=Nutrients!$B$79,Nutrients!$CZ$79,(IF($A$8=Nutrients!$B$77,Nutrients!$CZ$77,Nutrients!$CZ$78)))))*N$8))/2000/N$236*100</f>
        <v>160.96137756352829</v>
      </c>
      <c r="O238" s="472"/>
      <c r="P238" s="225">
        <f>(SUMPRODUCT(P$9:P$229,Nutrients!$CZ$8:$CZ$228)+(IF($A$7=Nutrients!$B$8,Nutrients!$CZ$8,Nutrients!$CZ$9)*P$7)+(((IF($A$8=Nutrients!$B$79,Nutrients!$CZ$79,(IF($A$8=Nutrients!$B$77,Nutrients!$CZ$77,Nutrients!$CZ$78)))))*P$8))/2000/P$236*100</f>
        <v>132.50343020501964</v>
      </c>
      <c r="Q238" s="225">
        <f>(SUMPRODUCT(Q$9:Q$229,Nutrients!$CZ$8:$CZ$228)+(IF($A$7=Nutrients!$B$8,Nutrients!$CZ$8,Nutrients!$CZ$9)*Q$7)+(((IF($A$8=Nutrients!$B$79,Nutrients!$CZ$79,(IF($A$8=Nutrients!$B$77,Nutrients!$CZ$77,Nutrients!$CZ$78)))))*Q$8))/2000/Q$236*100</f>
        <v>141.1773003902108</v>
      </c>
      <c r="R238" s="225">
        <f>(SUMPRODUCT(R$9:R$229,Nutrients!$CZ$8:$CZ$228)+(IF($A$7=Nutrients!$B$8,Nutrients!$CZ$8,Nutrients!$CZ$9)*R$7)+(((IF($A$8=Nutrients!$B$79,Nutrients!$CZ$79,(IF($A$8=Nutrients!$B$77,Nutrients!$CZ$77,Nutrients!$CZ$78)))))*R$8))/2000/R$236*100</f>
        <v>151.50272033780507</v>
      </c>
      <c r="S238" s="225">
        <f>(SUMPRODUCT(S$9:S$229,Nutrients!$CZ$8:$CZ$228)+(IF($A$7=Nutrients!$B$8,Nutrients!$CZ$8,Nutrients!$CZ$9)*S$7)+(((IF($A$8=Nutrients!$B$79,Nutrients!$CZ$79,(IF($A$8=Nutrients!$B$77,Nutrients!$CZ$77,Nutrients!$CZ$78)))))*S$8))/2000/S$236*100</f>
        <v>160.79455920196546</v>
      </c>
      <c r="T238" s="225">
        <f>(SUMPRODUCT(T$9:T$229,Nutrients!$CZ$8:$CZ$228)+(IF($A$7=Nutrients!$B$8,Nutrients!$CZ$8,Nutrients!$CZ$9)*T$7)+(((IF($A$8=Nutrients!$B$79,Nutrients!$CZ$79,(IF($A$8=Nutrients!$B$77,Nutrients!$CZ$77,Nutrients!$CZ$78)))))*T$8))/2000/T$236*100</f>
        <v>166.91651691697913</v>
      </c>
      <c r="U238" s="225">
        <f>(SUMPRODUCT(U$9:U$229,Nutrients!$CZ$8:$CZ$228)+(IF($A$7=Nutrients!$B$8,Nutrients!$CZ$8,Nutrients!$CZ$9)*U$7)+(((IF($A$8=Nutrients!$B$79,Nutrients!$CZ$79,(IF($A$8=Nutrients!$B$77,Nutrients!$CZ$77,Nutrients!$CZ$78)))))*U$8))/2000/U$236*100</f>
        <v>170.73291780864116</v>
      </c>
      <c r="V238" s="9"/>
      <c r="W238" s="225">
        <f>(SUMPRODUCT(W$9:W$229,Nutrients!$CZ$8:$CZ$228)+(IF($A$7=Nutrients!$B$8,Nutrients!$CZ$8,Nutrients!$CZ$9)*W$7)+(((IF($A$8=Nutrients!$B$79,Nutrients!$CZ$79,(IF($A$8=Nutrients!$B$77,Nutrients!$CZ$77,Nutrients!$CZ$78)))))*W$8))/2000/W$236*100</f>
        <v>138.40496995912218</v>
      </c>
      <c r="X238" s="225">
        <f>(SUMPRODUCT(X$9:X$229,Nutrients!$CZ$8:$CZ$228)+(IF($A$7=Nutrients!$B$8,Nutrients!$CZ$8,Nutrients!$CZ$9)*X$7)+(((IF($A$8=Nutrients!$B$79,Nutrients!$CZ$79,(IF($A$8=Nutrients!$B$77,Nutrients!$CZ$77,Nutrients!$CZ$78)))))*X$8))/2000/X$236*100</f>
        <v>147.8761134853815</v>
      </c>
      <c r="Y238" s="225">
        <f>(SUMPRODUCT(Y$9:Y$229,Nutrients!$CZ$8:$CZ$228)+(IF($A$7=Nutrients!$B$8,Nutrients!$CZ$8,Nutrients!$CZ$9)*Y$7)+(((IF($A$8=Nutrients!$B$79,Nutrients!$CZ$79,(IF($A$8=Nutrients!$B$77,Nutrients!$CZ$77,Nutrients!$CZ$78)))))*Y$8))/2000/Y$236*100</f>
        <v>159.19180549551325</v>
      </c>
      <c r="Z238" s="225">
        <f>(SUMPRODUCT(Z$9:Z$229,Nutrients!$CZ$8:$CZ$228)+(IF($A$7=Nutrients!$B$8,Nutrients!$CZ$8,Nutrients!$CZ$9)*Z$7)+(((IF($A$8=Nutrients!$B$79,Nutrients!$CZ$79,(IF($A$8=Nutrients!$B$77,Nutrients!$CZ$77,Nutrients!$CZ$78)))))*Z$8))/2000/Z$236*100</f>
        <v>169.40805659379222</v>
      </c>
      <c r="AA238" s="225">
        <f>(SUMPRODUCT(AA$9:AA$229,Nutrients!$CZ$8:$CZ$228)+(IF($A$7=Nutrients!$B$8,Nutrients!$CZ$8,Nutrients!$CZ$9)*AA$7)+(((IF($A$8=Nutrients!$B$79,Nutrients!$CZ$79,(IF($A$8=Nutrients!$B$77,Nutrients!$CZ$77,Nutrients!$CZ$78)))))*AA$8))/2000/AA$236*100</f>
        <v>176.31414814718315</v>
      </c>
      <c r="AB238" s="225">
        <f>(SUMPRODUCT(AB$9:AB$229,Nutrients!$CZ$8:$CZ$228)+(IF($A$7=Nutrients!$B$8,Nutrients!$CZ$8,Nutrients!$CZ$9)*AB$7)+(((IF($A$8=Nutrients!$B$79,Nutrients!$CZ$79,(IF($A$8=Nutrients!$B$77,Nutrients!$CZ$77,Nutrients!$CZ$78)))))*AB$8))/2000/AB$236*100</f>
        <v>180.63797635147714</v>
      </c>
      <c r="AC238" s="9"/>
      <c r="AD238" s="225">
        <f>(SUMPRODUCT(AD$9:AD$229,Nutrients!$CZ$8:$CZ$228)+(IF($A$7=Nutrients!$B$8,Nutrients!$CZ$8,Nutrients!$CZ$9)*AD$7)+(((IF($A$8=Nutrients!$B$79,Nutrients!$CZ$79,(IF($A$8=Nutrients!$B$77,Nutrients!$CZ$77,Nutrients!$CZ$78)))))*AD$8))/2000/AD$236*100</f>
        <v>144.38955839338485</v>
      </c>
      <c r="AE238" s="225">
        <f>(SUMPRODUCT(AE$9:AE$229,Nutrients!$CZ$8:$CZ$228)+(IF($A$7=Nutrients!$B$8,Nutrients!$CZ$8,Nutrients!$CZ$9)*AE$7)+(((IF($A$8=Nutrients!$B$79,Nutrients!$CZ$79,(IF($A$8=Nutrients!$B$77,Nutrients!$CZ$77,Nutrients!$CZ$78)))))*AE$8))/2000/AE$236*100</f>
        <v>154.74197734640612</v>
      </c>
      <c r="AF238" s="225">
        <f>(SUMPRODUCT(AF$9:AF$229,Nutrients!$CZ$8:$CZ$228)+(IF($A$7=Nutrients!$B$8,Nutrients!$CZ$8,Nutrients!$CZ$9)*AF$7)+(((IF($A$8=Nutrients!$B$79,Nutrients!$CZ$79,(IF($A$8=Nutrients!$B$77,Nutrients!$CZ$77,Nutrients!$CZ$78)))))*AF$8))/2000/AF$236*100</f>
        <v>166.97830564974819</v>
      </c>
      <c r="AG238" s="225">
        <f>(SUMPRODUCT(AG$9:AG$229,Nutrients!$CZ$8:$CZ$228)+(IF($A$7=Nutrients!$B$8,Nutrients!$CZ$8,Nutrients!$CZ$9)*AG$7)+(((IF($A$8=Nutrients!$B$79,Nutrients!$CZ$79,(IF($A$8=Nutrients!$B$77,Nutrients!$CZ$77,Nutrients!$CZ$78)))))*AG$8))/2000/AG$236*100</f>
        <v>178.14381216192569</v>
      </c>
      <c r="AH238" s="225">
        <f>(SUMPRODUCT(AH$9:AH$229,Nutrients!$CZ$8:$CZ$228)+(IF($A$7=Nutrients!$B$8,Nutrients!$CZ$8,Nutrients!$CZ$9)*AH$7)+(((IF($A$8=Nutrients!$B$79,Nutrients!$CZ$79,(IF($A$8=Nutrients!$B$77,Nutrients!$CZ$77,Nutrients!$CZ$78)))))*AH$8))/2000/AH$236*100</f>
        <v>185.85828239785803</v>
      </c>
      <c r="AI238" s="225">
        <f>(SUMPRODUCT(AI$9:AI$229,Nutrients!$CZ$8:$CZ$228)+(IF($A$7=Nutrients!$B$8,Nutrients!$CZ$8,Nutrients!$CZ$9)*AI$7)+(((IF($A$8=Nutrients!$B$79,Nutrients!$CZ$79,(IF($A$8=Nutrients!$B$77,Nutrients!$CZ$77,Nutrients!$CZ$78)))))*AI$8))/2000/AI$236*100</f>
        <v>190.69277205331113</v>
      </c>
      <c r="AJ238" s="9"/>
      <c r="AK238" s="225">
        <f>(SUMPRODUCT(AK$9:AK$229,Nutrients!$CZ$8:$CZ$228)+(IF($A$7=Nutrients!$B$8,Nutrients!$CZ$8,Nutrients!$CZ$9)*AK$7)+(((IF($A$8=Nutrients!$B$79,Nutrients!$CZ$79,(IF($A$8=Nutrients!$B$77,Nutrients!$CZ$77,Nutrients!$CZ$78)))))*AK$8))/2000/AK$236*100</f>
        <v>150.44013460588158</v>
      </c>
      <c r="AL238" s="225">
        <f>(SUMPRODUCT(AL$9:AL$229,Nutrients!$CZ$8:$CZ$228)+(IF($A$7=Nutrients!$B$8,Nutrients!$CZ$8,Nutrients!$CZ$9)*AL$7)+(((IF($A$8=Nutrients!$B$79,Nutrients!$CZ$79,(IF($A$8=Nutrients!$B$77,Nutrients!$CZ$77,Nutrients!$CZ$78)))))*AL$8))/2000/AL$236*100</f>
        <v>161.69806814565987</v>
      </c>
      <c r="AM238" s="225">
        <f>(SUMPRODUCT(AM$9:AM$229,Nutrients!$CZ$8:$CZ$228)+(IF($A$7=Nutrients!$B$8,Nutrients!$CZ$8,Nutrients!$CZ$9)*AM$7)+(((IF($A$8=Nutrients!$B$79,Nutrients!$CZ$79,(IF($A$8=Nutrients!$B$77,Nutrients!$CZ$77,Nutrients!$CZ$78)))))*AM$8))/2000/AM$236*100</f>
        <v>174.87081182944416</v>
      </c>
      <c r="AN238" s="225">
        <f>(SUMPRODUCT(AN$9:AN$229,Nutrients!$CZ$8:$CZ$228)+(IF($A$7=Nutrients!$B$8,Nutrients!$CZ$8,Nutrients!$CZ$9)*AN$7)+(((IF($A$8=Nutrients!$B$79,Nutrients!$CZ$79,(IF($A$8=Nutrients!$B$77,Nutrients!$CZ$77,Nutrients!$CZ$78)))))*AN$8))/2000/AN$236*100</f>
        <v>187.0184547143235</v>
      </c>
      <c r="AO238" s="225">
        <f>(SUMPRODUCT(AO$9:AO$229,Nutrients!$CZ$8:$CZ$228)+(IF($A$7=Nutrients!$B$8,Nutrients!$CZ$8,Nutrients!$CZ$9)*AO$7)+(((IF($A$8=Nutrients!$B$79,Nutrients!$CZ$79,(IF($A$8=Nutrients!$B$77,Nutrients!$CZ$77,Nutrients!$CZ$78)))))*AO$8))/2000/AO$236*100</f>
        <v>195.56716003125672</v>
      </c>
      <c r="AP238" s="225">
        <f>(SUMPRODUCT(AP$9:AP$229,Nutrients!$CZ$8:$CZ$228)+(IF($A$7=Nutrients!$B$8,Nutrients!$CZ$8,Nutrients!$CZ$9)*AP$7)+(((IF($A$8=Nutrients!$B$79,Nutrients!$CZ$79,(IF($A$8=Nutrients!$B$77,Nutrients!$CZ$77,Nutrients!$CZ$78)))))*AP$8))/2000/AP$236*100</f>
        <v>200.92350552349095</v>
      </c>
      <c r="AQ238" s="9"/>
      <c r="AR238" s="225">
        <f>(SUMPRODUCT(AR$9:AR$229,Nutrients!$CZ$8:$CZ$228)+(IF($A$7=Nutrients!$B$8,Nutrients!$CZ$8,Nutrients!$CZ$9)*AR$7)+(((IF($A$8=Nutrients!$B$79,Nutrients!$CZ$79,(IF($A$8=Nutrients!$B$77,Nutrients!$CZ$77,Nutrients!$CZ$78)))))*AR$8))/2000/AR$236*100</f>
        <v>156.43290976221735</v>
      </c>
      <c r="AS238" s="225">
        <f>(SUMPRODUCT(AS$9:AS$229,Nutrients!$CZ$8:$CZ$228)+(IF($A$7=Nutrients!$B$8,Nutrients!$CZ$8,Nutrients!$CZ$9)*AS$7)+(((IF($A$8=Nutrients!$B$79,Nutrients!$CZ$79,(IF($A$8=Nutrients!$B$77,Nutrients!$CZ$77,Nutrients!$CZ$78)))))*AS$8))/2000/AS$236*100</f>
        <v>168.7583077393835</v>
      </c>
      <c r="AT238" s="225">
        <f>(SUMPRODUCT(AT$9:AT$229,Nutrients!$CZ$8:$CZ$228)+(IF($A$7=Nutrients!$B$8,Nutrients!$CZ$8,Nutrients!$CZ$9)*AT$7)+(((IF($A$8=Nutrients!$B$79,Nutrients!$CZ$79,(IF($A$8=Nutrients!$B$77,Nutrients!$CZ$77,Nutrients!$CZ$78)))))*AT$8))/2000/AT$236*100</f>
        <v>182.85535143625856</v>
      </c>
      <c r="AU238" s="225">
        <f>(SUMPRODUCT(AU$9:AU$229,Nutrients!$CZ$8:$CZ$228)+(IF($A$7=Nutrients!$B$8,Nutrients!$CZ$8,Nutrients!$CZ$9)*AU$7)+(((IF($A$8=Nutrients!$B$79,Nutrients!$CZ$79,(IF($A$8=Nutrients!$B$77,Nutrients!$CZ$77,Nutrients!$CZ$78)))))*AU$8))/2000/AU$236*100</f>
        <v>196.03483352426267</v>
      </c>
      <c r="AV238" s="225">
        <f>(SUMPRODUCT(AV$9:AV$229,Nutrients!$CZ$8:$CZ$228)+(IF($A$7=Nutrients!$B$8,Nutrients!$CZ$8,Nutrients!$CZ$9)*AV$7)+(((IF($A$8=Nutrients!$B$79,Nutrients!$CZ$79,(IF($A$8=Nutrients!$B$77,Nutrients!$CZ$77,Nutrients!$CZ$78)))))*AV$8))/2000/AV$236*100</f>
        <v>205.44540223121018</v>
      </c>
      <c r="AW238" s="225">
        <f>(SUMPRODUCT(AW$9:AW$229,Nutrients!$CZ$8:$CZ$228)+(IF($A$7=Nutrients!$B$8,Nutrients!$CZ$8,Nutrients!$CZ$9)*AW$7)+(((IF($A$8=Nutrients!$B$79,Nutrients!$CZ$79,(IF($A$8=Nutrients!$B$77,Nutrients!$CZ$77,Nutrients!$CZ$78)))))*AW$8))/2000/AW$236*100</f>
        <v>211.33330900862123</v>
      </c>
      <c r="AX238" s="9"/>
      <c r="AZ238" s="117"/>
      <c r="BA238" s="117"/>
      <c r="BB238" s="117"/>
      <c r="BC238" s="117"/>
      <c r="BD238" s="117"/>
      <c r="BE238" s="117"/>
      <c r="BG238" s="447"/>
      <c r="BH238" s="447"/>
      <c r="BI238" s="447"/>
      <c r="BJ238" s="447"/>
      <c r="BK238" s="447"/>
      <c r="BL238" s="447"/>
    </row>
    <row r="239" spans="1:64" x14ac:dyDescent="0.25">
      <c r="A239" s="38" t="s">
        <v>384</v>
      </c>
      <c r="B239" s="20">
        <f>(SUMPRODUCT(B$9:B$229,Nutrients!$DB$8:$DB$228)+(IF($A$7=Nutrients!$B$8,Nutrients!$DB$8,Nutrients!$DB$9)*B$7)+(((IF($A$8=Nutrients!$B$79,Nutrients!$DB$79,(IF($A$8=Nutrients!$B$77,Nutrients!$DB$77,Nutrients!$DB$78)))))*B$8))/2000/B$236*100</f>
        <v>33.81111138845354</v>
      </c>
      <c r="C239" s="20">
        <f>(SUMPRODUCT(C$9:C$229,Nutrients!$DB$8:$DB$228)+(IF($A$7=Nutrients!$B$8,Nutrients!$DB$8,Nutrients!$DB$9)*C$7)+(((IF($A$8=Nutrients!$B$79,Nutrients!$DB$79,(IF($A$8=Nutrients!$B$77,Nutrients!$DB$77,Nutrients!$DB$78)))))*C$8))/2000/C$236*100</f>
        <v>32.524236458699015</v>
      </c>
      <c r="D239" s="20">
        <f>(SUMPRODUCT(D$9:D$229,Nutrients!$DB$8:$DB$228)+(IF($A$7=Nutrients!$B$8,Nutrients!$DB$8,Nutrients!$DB$9)*D$7)+(((IF($A$8=Nutrients!$B$79,Nutrients!$DB$79,(IF($A$8=Nutrients!$B$77,Nutrients!$DB$77,Nutrients!$DB$78)))))*D$8))/2000/D$236*100</f>
        <v>30.974376755587524</v>
      </c>
      <c r="E239" s="20">
        <f>(SUMPRODUCT(E$9:E$229,Nutrients!$DB$8:$DB$228)+(IF($A$7=Nutrients!$B$8,Nutrients!$DB$8,Nutrients!$DB$9)*E$7)+(((IF($A$8=Nutrients!$B$79,Nutrients!$DB$79,(IF($A$8=Nutrients!$B$77,Nutrients!$DB$77,Nutrients!$DB$78)))))*E$8))/2000/E$236*100</f>
        <v>30.712595168445802</v>
      </c>
      <c r="F239" s="20">
        <f>(SUMPRODUCT(F$9:F$229,Nutrients!$DB$8:$DB$228)+(IF($A$7=Nutrients!$B$8,Nutrients!$DB$8,Nutrients!$DB$9)*F$7)+(((IF($A$8=Nutrients!$B$79,Nutrients!$DB$79,(IF($A$8=Nutrients!$B$77,Nutrients!$DB$77,Nutrients!$DB$78)))))*F$8))/2000/F$236*100</f>
        <v>30.00631713197205</v>
      </c>
      <c r="G239" s="20">
        <f>(SUMPRODUCT(G$9:G$229,Nutrients!$DB$8:$DB$228)+(IF($A$7=Nutrients!$B$8,Nutrients!$DB$8,Nutrients!$DB$9)*G$7)+(((IF($A$8=Nutrients!$B$79,Nutrients!$DB$79,(IF($A$8=Nutrients!$B$77,Nutrients!$DB$77,Nutrients!$DB$78)))))*G$8))/2000/G$236*100</f>
        <v>30.329377095070086</v>
      </c>
      <c r="H239" s="224"/>
      <c r="I239" s="451">
        <f>(SUMPRODUCT(I$9:I$229,Nutrients!$DB$8:$DB$228)+(IF($A$7=Nutrients!$B$8,Nutrients!$DB$8,Nutrients!$DB$9)*I$7)+(((IF($A$8=Nutrients!$B$79,Nutrients!$DB$79,(IF($A$8=Nutrients!$B$77,Nutrients!$DB$77,Nutrients!$DB$78)))))*I$8))/2000/I$236*100</f>
        <v>33.570726139031301</v>
      </c>
      <c r="J239" s="451">
        <f>(SUMPRODUCT(J$9:J$229,Nutrients!$DB$8:$DB$228)+(IF($A$7=Nutrients!$B$8,Nutrients!$DB$8,Nutrients!$DB$9)*J$7)+(((IF($A$8=Nutrients!$B$79,Nutrients!$DB$79,(IF($A$8=Nutrients!$B$77,Nutrients!$DB$77,Nutrients!$DB$78)))))*J$8))/2000/J$236*100</f>
        <v>32.219350212957885</v>
      </c>
      <c r="K239" s="451">
        <f>(SUMPRODUCT(K$9:K$229,Nutrients!$DB$8:$DB$228)+(IF($A$7=Nutrients!$B$8,Nutrients!$DB$8,Nutrients!$DB$9)*K$7)+(((IF($A$8=Nutrients!$B$79,Nutrients!$DB$79,(IF($A$8=Nutrients!$B$77,Nutrients!$DB$77,Nutrients!$DB$78)))))*K$8))/2000/K$236*100</f>
        <v>30.656497935709815</v>
      </c>
      <c r="L239" s="451">
        <f>(SUMPRODUCT(L$9:L$229,Nutrients!$DB$8:$DB$228)+(IF($A$7=Nutrients!$B$8,Nutrients!$DB$8,Nutrients!$DB$9)*L$7)+(((IF($A$8=Nutrients!$B$79,Nutrients!$DB$79,(IF($A$8=Nutrients!$B$77,Nutrients!$DB$77,Nutrients!$DB$78)))))*L$8))/2000/L$236*100</f>
        <v>30.276666496437514</v>
      </c>
      <c r="M239" s="451">
        <f>(SUMPRODUCT(M$9:M$229,Nutrients!$DB$8:$DB$228)+(IF($A$7=Nutrients!$B$8,Nutrients!$DB$8,Nutrients!$DB$9)*M$7)+(((IF($A$8=Nutrients!$B$79,Nutrients!$DB$79,(IF($A$8=Nutrients!$B$77,Nutrients!$DB$77,Nutrients!$DB$78)))))*M$8))/2000/M$236*100</f>
        <v>29.424925937536045</v>
      </c>
      <c r="N239" s="451">
        <f>(SUMPRODUCT(N$9:N$229,Nutrients!$DB$8:$DB$228)+(IF($A$7=Nutrients!$B$8,Nutrients!$DB$8,Nutrients!$DB$9)*N$7)+(((IF($A$8=Nutrients!$B$79,Nutrients!$DB$79,(IF($A$8=Nutrients!$B$77,Nutrients!$DB$77,Nutrients!$DB$78)))))*N$8))/2000/N$236*100</f>
        <v>29.890236019851578</v>
      </c>
      <c r="O239" s="472"/>
      <c r="P239" s="451">
        <f>(SUMPRODUCT(P$9:P$229,Nutrients!$DB$8:$DB$228)+(IF($A$7=Nutrients!$B$8,Nutrients!$DB$8,Nutrients!$DB$9)*P$7)+(((IF($A$8=Nutrients!$B$79,Nutrients!$DB$79,(IF($A$8=Nutrients!$B$77,Nutrients!$DB$77,Nutrients!$DB$78)))))*P$8))/2000/P$236*100</f>
        <v>33.343849198274064</v>
      </c>
      <c r="Q239" s="451">
        <f>(SUMPRODUCT(Q$9:Q$229,Nutrients!$DB$8:$DB$228)+(IF($A$7=Nutrients!$B$8,Nutrients!$DB$8,Nutrients!$DB$9)*Q$7)+(((IF($A$8=Nutrients!$B$79,Nutrients!$DB$79,(IF($A$8=Nutrients!$B$77,Nutrients!$DB$77,Nutrients!$DB$78)))))*Q$8))/2000/Q$236*100</f>
        <v>31.93975856760618</v>
      </c>
      <c r="R239" s="451">
        <f>(SUMPRODUCT(R$9:R$229,Nutrients!$DB$8:$DB$228)+(IF($A$7=Nutrients!$B$8,Nutrients!$DB$8,Nutrients!$DB$9)*R$7)+(((IF($A$8=Nutrients!$B$79,Nutrients!$DB$79,(IF($A$8=Nutrients!$B$77,Nutrients!$DB$77,Nutrients!$DB$78)))))*R$8))/2000/R$236*100</f>
        <v>30.315547130300573</v>
      </c>
      <c r="S239" s="451">
        <f>(SUMPRODUCT(S$9:S$229,Nutrients!$DB$8:$DB$228)+(IF($A$7=Nutrients!$B$8,Nutrients!$DB$8,Nutrients!$DB$9)*S$7)+(((IF($A$8=Nutrients!$B$79,Nutrients!$DB$79,(IF($A$8=Nutrients!$B$77,Nutrients!$DB$77,Nutrients!$DB$78)))))*S$8))/2000/S$236*100</f>
        <v>29.896961721410559</v>
      </c>
      <c r="T239" s="451">
        <f>(SUMPRODUCT(T$9:T$229,Nutrients!$DB$8:$DB$228)+(IF($A$7=Nutrients!$B$8,Nutrients!$DB$8,Nutrients!$DB$9)*T$7)+(((IF($A$8=Nutrients!$B$79,Nutrients!$DB$79,(IF($A$8=Nutrients!$B$77,Nutrients!$DB$77,Nutrients!$DB$78)))))*T$8))/2000/T$236*100</f>
        <v>29.396541570542762</v>
      </c>
      <c r="U239" s="451">
        <f>(SUMPRODUCT(U$9:U$229,Nutrients!$DB$8:$DB$228)+(IF($A$7=Nutrients!$B$8,Nutrients!$DB$8,Nutrients!$DB$9)*U$7)+(((IF($A$8=Nutrients!$B$79,Nutrients!$DB$79,(IF($A$8=Nutrients!$B$77,Nutrients!$DB$77,Nutrients!$DB$78)))))*U$8))/2000/U$236*100</f>
        <v>30.002064268641593</v>
      </c>
      <c r="V239" s="9"/>
      <c r="W239" s="451">
        <f>(SUMPRODUCT(W$9:W$229,Nutrients!$DB$8:$DB$228)+(IF($A$7=Nutrients!$B$8,Nutrients!$DB$8,Nutrients!$DB$9)*W$7)+(((IF($A$8=Nutrients!$B$79,Nutrients!$DB$79,(IF($A$8=Nutrients!$B$77,Nutrients!$DB$77,Nutrients!$DB$78)))))*W$8))/2000/W$236*100</f>
        <v>33.071006598326839</v>
      </c>
      <c r="X239" s="451">
        <f>(SUMPRODUCT(X$9:X$229,Nutrients!$DB$8:$DB$228)+(IF($A$7=Nutrients!$B$8,Nutrients!$DB$8,Nutrients!$DB$9)*X$7)+(((IF($A$8=Nutrients!$B$79,Nutrients!$DB$79,(IF($A$8=Nutrients!$B$77,Nutrients!$DB$77,Nutrients!$DB$78)))))*X$8))/2000/X$236*100</f>
        <v>31.65651718740116</v>
      </c>
      <c r="Y239" s="451">
        <f>(SUMPRODUCT(Y$9:Y$229,Nutrients!$DB$8:$DB$228)+(IF($A$7=Nutrients!$B$8,Nutrients!$DB$8,Nutrients!$DB$9)*Y$7)+(((IF($A$8=Nutrients!$B$79,Nutrients!$DB$79,(IF($A$8=Nutrients!$B$77,Nutrients!$DB$77,Nutrients!$DB$78)))))*Y$8))/2000/Y$236*100</f>
        <v>29.987459241674824</v>
      </c>
      <c r="Z239" s="451">
        <f>(SUMPRODUCT(Z$9:Z$229,Nutrients!$DB$8:$DB$228)+(IF($A$7=Nutrients!$B$8,Nutrients!$DB$8,Nutrients!$DB$9)*Z$7)+(((IF($A$8=Nutrients!$B$79,Nutrients!$DB$79,(IF($A$8=Nutrients!$B$77,Nutrients!$DB$77,Nutrients!$DB$78)))))*Z$8))/2000/Z$236*100</f>
        <v>29.505482180525377</v>
      </c>
      <c r="AA239" s="451">
        <f>(SUMPRODUCT(AA$9:AA$229,Nutrients!$DB$8:$DB$228)+(IF($A$7=Nutrients!$B$8,Nutrients!$DB$8,Nutrients!$DB$9)*AA$7)+(((IF($A$8=Nutrients!$B$79,Nutrients!$DB$79,(IF($A$8=Nutrients!$B$77,Nutrients!$DB$77,Nutrients!$DB$78)))))*AA$8))/2000/AA$236*100</f>
        <v>30.629516490379931</v>
      </c>
      <c r="AB239" s="451">
        <f>(SUMPRODUCT(AB$9:AB$229,Nutrients!$DB$8:$DB$228)+(IF($A$7=Nutrients!$B$8,Nutrients!$DB$8,Nutrients!$DB$9)*AB$7)+(((IF($A$8=Nutrients!$B$79,Nutrients!$DB$79,(IF($A$8=Nutrients!$B$77,Nutrients!$DB$77,Nutrients!$DB$78)))))*AB$8))/2000/AB$236*100</f>
        <v>31.301401537171241</v>
      </c>
      <c r="AC239" s="9"/>
      <c r="AD239" s="451">
        <f>(SUMPRODUCT(AD$9:AD$229,Nutrients!$DB$8:$DB$228)+(IF($A$7=Nutrients!$B$8,Nutrients!$DB$8,Nutrients!$DB$9)*AD$7)+(((IF($A$8=Nutrients!$B$79,Nutrients!$DB$79,(IF($A$8=Nutrients!$B$77,Nutrients!$DB$77,Nutrients!$DB$78)))))*AD$8))/2000/AD$236*100</f>
        <v>32.7954294555365</v>
      </c>
      <c r="AE239" s="451">
        <f>(SUMPRODUCT(AE$9:AE$229,Nutrients!$DB$8:$DB$228)+(IF($A$7=Nutrients!$B$8,Nutrients!$DB$8,Nutrients!$DB$9)*AE$7)+(((IF($A$8=Nutrients!$B$79,Nutrients!$DB$79,(IF($A$8=Nutrients!$B$77,Nutrients!$DB$77,Nutrients!$DB$78)))))*AE$8))/2000/AE$236*100</f>
        <v>31.386430628917573</v>
      </c>
      <c r="AF239" s="451">
        <f>(SUMPRODUCT(AF$9:AF$229,Nutrients!$DB$8:$DB$228)+(IF($A$7=Nutrients!$B$8,Nutrients!$DB$8,Nutrients!$DB$9)*AF$7)+(((IF($A$8=Nutrients!$B$79,Nutrients!$DB$79,(IF($A$8=Nutrients!$B$77,Nutrients!$DB$77,Nutrients!$DB$78)))))*AF$8))/2000/AF$236*100</f>
        <v>29.649149391614394</v>
      </c>
      <c r="AG239" s="451">
        <f>(SUMPRODUCT(AG$9:AG$229,Nutrients!$DB$8:$DB$228)+(IF($A$7=Nutrients!$B$8,Nutrients!$DB$8,Nutrients!$DB$9)*AG$7)+(((IF($A$8=Nutrients!$B$79,Nutrients!$DB$79,(IF($A$8=Nutrients!$B$77,Nutrients!$DB$77,Nutrients!$DB$78)))))*AG$8))/2000/AG$236*100</f>
        <v>30.700538208269201</v>
      </c>
      <c r="AH239" s="451">
        <f>(SUMPRODUCT(AH$9:AH$229,Nutrients!$DB$8:$DB$228)+(IF($A$7=Nutrients!$B$8,Nutrients!$DB$8,Nutrients!$DB$9)*AH$7)+(((IF($A$8=Nutrients!$B$79,Nutrients!$DB$79,(IF($A$8=Nutrients!$B$77,Nutrients!$DB$77,Nutrients!$DB$78)))))*AH$8))/2000/AH$236*100</f>
        <v>31.880332332867106</v>
      </c>
      <c r="AI239" s="451">
        <f>(SUMPRODUCT(AI$9:AI$229,Nutrients!$DB$8:$DB$228)+(IF($A$7=Nutrients!$B$8,Nutrients!$DB$8,Nutrients!$DB$9)*AI$7)+(((IF($A$8=Nutrients!$B$79,Nutrients!$DB$79,(IF($A$8=Nutrients!$B$77,Nutrients!$DB$77,Nutrients!$DB$78)))))*AI$8))/2000/AI$236*100</f>
        <v>32.618617119074869</v>
      </c>
      <c r="AJ239" s="9"/>
      <c r="AK239" s="451">
        <f>(SUMPRODUCT(AK$9:AK$229,Nutrients!$DB$8:$DB$228)+(IF($A$7=Nutrients!$B$8,Nutrients!$DB$8,Nutrients!$DB$9)*AK$7)+(((IF($A$8=Nutrients!$B$79,Nutrients!$DB$79,(IF($A$8=Nutrients!$B$77,Nutrients!$DB$77,Nutrients!$DB$78)))))*AK$8))/2000/AK$236*100</f>
        <v>32.59792509370714</v>
      </c>
      <c r="AL239" s="451">
        <f>(SUMPRODUCT(AL$9:AL$229,Nutrients!$DB$8:$DB$228)+(IF($A$7=Nutrients!$B$8,Nutrients!$DB$8,Nutrients!$DB$9)*AL$7)+(((IF($A$8=Nutrients!$B$79,Nutrients!$DB$79,(IF($A$8=Nutrients!$B$77,Nutrients!$DB$77,Nutrients!$DB$78)))))*AL$8))/2000/AL$236*100</f>
        <v>31.05830809242967</v>
      </c>
      <c r="AM239" s="451">
        <f>(SUMPRODUCT(AM$9:AM$229,Nutrients!$DB$8:$DB$228)+(IF($A$7=Nutrients!$B$8,Nutrients!$DB$8,Nutrients!$DB$9)*AM$7)+(((IF($A$8=Nutrients!$B$79,Nutrients!$DB$79,(IF($A$8=Nutrients!$B$77,Nutrients!$DB$77,Nutrients!$DB$78)))))*AM$8))/2000/AM$236*100</f>
        <v>29.953049099354782</v>
      </c>
      <c r="AN239" s="451">
        <f>(SUMPRODUCT(AN$9:AN$229,Nutrients!$DB$8:$DB$228)+(IF($A$7=Nutrients!$B$8,Nutrients!$DB$8,Nutrients!$DB$9)*AN$7)+(((IF($A$8=Nutrients!$B$79,Nutrients!$DB$79,(IF($A$8=Nutrients!$B$77,Nutrients!$DB$77,Nutrients!$DB$78)))))*AN$8))/2000/AN$236*100</f>
        <v>31.863782027395938</v>
      </c>
      <c r="AO239" s="451">
        <f>(SUMPRODUCT(AO$9:AO$229,Nutrients!$DB$8:$DB$228)+(IF($A$7=Nutrients!$B$8,Nutrients!$DB$8,Nutrients!$DB$9)*AO$7)+(((IF($A$8=Nutrients!$B$79,Nutrients!$DB$79,(IF($A$8=Nutrients!$B$77,Nutrients!$DB$77,Nutrients!$DB$78)))))*AO$8))/2000/AO$236*100</f>
        <v>33.15227134927337</v>
      </c>
      <c r="AP239" s="451">
        <f>(SUMPRODUCT(AP$9:AP$229,Nutrients!$DB$8:$DB$228)+(IF($A$7=Nutrients!$B$8,Nutrients!$DB$8,Nutrients!$DB$9)*AP$7)+(((IF($A$8=Nutrients!$B$79,Nutrients!$DB$79,(IF($A$8=Nutrients!$B$77,Nutrients!$DB$77,Nutrients!$DB$78)))))*AP$8))/2000/AP$236*100</f>
        <v>33.958916578118583</v>
      </c>
      <c r="AQ239" s="9"/>
      <c r="AR239" s="451">
        <f>(SUMPRODUCT(AR$9:AR$229,Nutrients!$DB$8:$DB$228)+(IF($A$7=Nutrients!$B$8,Nutrients!$DB$8,Nutrients!$DB$9)*AR$7)+(((IF($A$8=Nutrients!$B$79,Nutrients!$DB$79,(IF($A$8=Nutrients!$B$77,Nutrients!$DB$77,Nutrients!$DB$78)))))*AR$8))/2000/AR$236*100</f>
        <v>32.278218070237678</v>
      </c>
      <c r="AS239" s="451">
        <f>(SUMPRODUCT(AS$9:AS$229,Nutrients!$DB$8:$DB$228)+(IF($A$7=Nutrients!$B$8,Nutrients!$DB$8,Nutrients!$DB$9)*AS$7)+(((IF($A$8=Nutrients!$B$79,Nutrients!$DB$79,(IF($A$8=Nutrients!$B$77,Nutrients!$DB$77,Nutrients!$DB$78)))))*AS$8))/2000/AS$236*100</f>
        <v>30.723917688986624</v>
      </c>
      <c r="AT239" s="451">
        <f>(SUMPRODUCT(AT$9:AT$229,Nutrients!$DB$8:$DB$228)+(IF($A$7=Nutrients!$B$8,Nutrients!$DB$8,Nutrients!$DB$9)*AT$7)+(((IF($A$8=Nutrients!$B$79,Nutrients!$DB$79,(IF($A$8=Nutrients!$B$77,Nutrients!$DB$77,Nutrients!$DB$78)))))*AT$8))/2000/AT$236*100</f>
        <v>30.999198662184497</v>
      </c>
      <c r="AU239" s="451">
        <f>(SUMPRODUCT(AU$9:AU$229,Nutrients!$DB$8:$DB$228)+(IF($A$7=Nutrients!$B$8,Nutrients!$DB$8,Nutrients!$DB$9)*AU$7)+(((IF($A$8=Nutrients!$B$79,Nutrients!$DB$79,(IF($A$8=Nutrients!$B$77,Nutrients!$DB$77,Nutrients!$DB$78)))))*AU$8))/2000/AU$236*100</f>
        <v>33.0446332327775</v>
      </c>
      <c r="AV239" s="451">
        <f>(SUMPRODUCT(AV$9:AV$229,Nutrients!$DB$8:$DB$228)+(IF($A$7=Nutrients!$B$8,Nutrients!$DB$8,Nutrients!$DB$9)*AV$7)+(((IF($A$8=Nutrients!$B$79,Nutrients!$DB$79,(IF($A$8=Nutrients!$B$77,Nutrients!$DB$77,Nutrients!$DB$78)))))*AV$8))/2000/AV$236*100</f>
        <v>34.446379977281744</v>
      </c>
      <c r="AW239" s="451">
        <f>(SUMPRODUCT(AW$9:AW$229,Nutrients!$DB$8:$DB$228)+(IF($A$7=Nutrients!$B$8,Nutrients!$DB$8,Nutrients!$DB$9)*AW$7)+(((IF($A$8=Nutrients!$B$79,Nutrients!$DB$79,(IF($A$8=Nutrients!$B$77,Nutrients!$DB$77,Nutrients!$DB$78)))))*AW$8))/2000/AW$236*100</f>
        <v>35.322667607989914</v>
      </c>
      <c r="AX239" s="9"/>
      <c r="AZ239" s="117"/>
      <c r="BA239" s="117"/>
      <c r="BB239" s="117"/>
      <c r="BC239" s="117"/>
      <c r="BD239" s="117"/>
      <c r="BE239" s="117"/>
      <c r="BG239" s="447"/>
      <c r="BH239" s="447"/>
      <c r="BI239" s="447"/>
      <c r="BJ239" s="447"/>
      <c r="BK239" s="447"/>
      <c r="BL239" s="447"/>
    </row>
    <row r="240" spans="1:64" x14ac:dyDescent="0.25">
      <c r="A240" s="38" t="s">
        <v>385</v>
      </c>
      <c r="B240" s="192">
        <f>(SUMPRODUCT(B$9:B$229,Nutrients!$DC$8:$DC$228)+(IF($A$7=Nutrients!$B$8,Nutrients!$DC$8,Nutrients!$DC$9)*B$7)+(((IF($A$8=Nutrients!$B$79,Nutrients!$DC$79,(IF($A$8=Nutrients!$B$77,Nutrients!$DC$77,Nutrients!$DC$78)))))*B$8))/2000/B$236*100</f>
        <v>55.997569552010205</v>
      </c>
      <c r="C240" s="192">
        <f>(SUMPRODUCT(C$9:C$229,Nutrients!$DC$8:$DC$228)+(IF($A$7=Nutrients!$B$8,Nutrients!$DC$8,Nutrients!$DC$9)*C$7)+(((IF($A$8=Nutrients!$B$79,Nutrients!$DC$79,(IF($A$8=Nutrients!$B$77,Nutrients!$DC$77,Nutrients!$DC$78)))))*C$8))/2000/C$236*100</f>
        <v>55.998500355280811</v>
      </c>
      <c r="D240" s="192">
        <f>(SUMPRODUCT(D$9:D$229,Nutrients!$DC$8:$DC$228)+(IF($A$7=Nutrients!$B$8,Nutrients!$DC$8,Nutrients!$DC$9)*D$7)+(((IF($A$8=Nutrients!$B$79,Nutrients!$DC$79,(IF($A$8=Nutrients!$B$77,Nutrients!$DC$77,Nutrients!$DC$78)))))*D$8))/2000/D$236*100</f>
        <v>55.998232689384523</v>
      </c>
      <c r="E240" s="192">
        <f>(SUMPRODUCT(E$9:E$229,Nutrients!$DC$8:$DC$228)+(IF($A$7=Nutrients!$B$8,Nutrients!$DC$8,Nutrients!$DC$9)*E$7)+(((IF($A$8=Nutrients!$B$79,Nutrients!$DC$79,(IF($A$8=Nutrients!$B$77,Nutrients!$DC$77,Nutrients!$DC$78)))))*E$8))/2000/E$236*100</f>
        <v>57.061456017842524</v>
      </c>
      <c r="F240" s="192">
        <f>(SUMPRODUCT(F$9:F$229,Nutrients!$DC$8:$DC$228)+(IF($A$7=Nutrients!$B$8,Nutrients!$DC$8,Nutrients!$DC$9)*F$7)+(((IF($A$8=Nutrients!$B$79,Nutrients!$DC$79,(IF($A$8=Nutrients!$B$77,Nutrients!$DC$77,Nutrients!$DC$78)))))*F$8))/2000/F$236*100</f>
        <v>57.164463746746605</v>
      </c>
      <c r="G240" s="192">
        <f>(SUMPRODUCT(G$9:G$229,Nutrients!$DC$8:$DC$228)+(IF($A$7=Nutrients!$B$8,Nutrients!$DC$8,Nutrients!$DC$9)*G$7)+(((IF($A$8=Nutrients!$B$79,Nutrients!$DC$79,(IF($A$8=Nutrients!$B$77,Nutrients!$DC$77,Nutrients!$DC$78)))))*G$8))/2000/G$236*100</f>
        <v>57.994909290351856</v>
      </c>
      <c r="H240" s="224"/>
      <c r="I240" s="225">
        <f>(SUMPRODUCT(I$9:I$229,Nutrients!$DC$8:$DC$228)+(IF($A$7=Nutrients!$B$8,Nutrients!$DC$8,Nutrients!$DC$9)*I$7)+(((IF($A$8=Nutrients!$B$79,Nutrients!$DC$79,(IF($A$8=Nutrients!$B$77,Nutrients!$DC$77,Nutrients!$DC$78)))))*I$8))/2000/I$236*100</f>
        <v>56.01149172320482</v>
      </c>
      <c r="J240" s="225">
        <f>(SUMPRODUCT(J$9:J$229,Nutrients!$DC$8:$DC$228)+(IF($A$7=Nutrients!$B$8,Nutrients!$DC$8,Nutrients!$DC$9)*J$7)+(((IF($A$8=Nutrients!$B$79,Nutrients!$DC$79,(IF($A$8=Nutrients!$B$77,Nutrients!$DC$77,Nutrients!$DC$78)))))*J$8))/2000/J$236*100</f>
        <v>55.984358388386838</v>
      </c>
      <c r="K240" s="225">
        <f>(SUMPRODUCT(K$9:K$229,Nutrients!$DC$8:$DC$228)+(IF($A$7=Nutrients!$B$8,Nutrients!$DC$8,Nutrients!$DC$9)*K$7)+(((IF($A$8=Nutrients!$B$79,Nutrients!$DC$79,(IF($A$8=Nutrients!$B$77,Nutrients!$DC$77,Nutrients!$DC$78)))))*K$8))/2000/K$236*100</f>
        <v>56.013853949686464</v>
      </c>
      <c r="L240" s="225">
        <f>(SUMPRODUCT(L$9:L$229,Nutrients!$DC$8:$DC$228)+(IF($A$7=Nutrients!$B$8,Nutrients!$DC$8,Nutrients!$DC$9)*L$7)+(((IF($A$8=Nutrients!$B$79,Nutrients!$DC$79,(IF($A$8=Nutrients!$B$77,Nutrients!$DC$77,Nutrients!$DC$78)))))*L$8))/2000/L$236*100</f>
        <v>57.002734315313909</v>
      </c>
      <c r="M240" s="225">
        <f>(SUMPRODUCT(M$9:M$229,Nutrients!$DC$8:$DC$228)+(IF($A$7=Nutrients!$B$8,Nutrients!$DC$8,Nutrients!$DC$9)*M$7)+(((IF($A$8=Nutrients!$B$79,Nutrients!$DC$79,(IF($A$8=Nutrients!$B$77,Nutrients!$DC$77,Nutrients!$DC$78)))))*M$8))/2000/M$236*100</f>
        <v>57.00305999497315</v>
      </c>
      <c r="N240" s="225">
        <f>(SUMPRODUCT(N$9:N$229,Nutrients!$DC$8:$DC$228)+(IF($A$7=Nutrients!$B$8,Nutrients!$DC$8,Nutrients!$DC$9)*N$7)+(((IF($A$8=Nutrients!$B$79,Nutrients!$DC$79,(IF($A$8=Nutrients!$B$77,Nutrients!$DC$77,Nutrients!$DC$78)))))*N$8))/2000/N$236*100</f>
        <v>57.996154434837742</v>
      </c>
      <c r="O240" s="472"/>
      <c r="P240" s="225">
        <f>(SUMPRODUCT(P$9:P$229,Nutrients!$DC$8:$DC$228)+(IF($A$7=Nutrients!$B$8,Nutrients!$DC$8,Nutrients!$DC$9)*P$7)+(((IF($A$8=Nutrients!$B$79,Nutrients!$DC$79,(IF($A$8=Nutrients!$B$77,Nutrients!$DC$77,Nutrients!$DC$78)))))*P$8))/2000/P$236*100</f>
        <v>56.034845365738015</v>
      </c>
      <c r="Q240" s="225">
        <f>(SUMPRODUCT(Q$9:Q$229,Nutrients!$DC$8:$DC$228)+(IF($A$7=Nutrients!$B$8,Nutrients!$DC$8,Nutrients!$DC$9)*Q$7)+(((IF($A$8=Nutrients!$B$79,Nutrients!$DC$79,(IF($A$8=Nutrients!$B$77,Nutrients!$DC$77,Nutrients!$DC$78)))))*Q$8))/2000/Q$236*100</f>
        <v>55.991916548987632</v>
      </c>
      <c r="R240" s="225">
        <f>(SUMPRODUCT(R$9:R$229,Nutrients!$DC$8:$DC$228)+(IF($A$7=Nutrients!$B$8,Nutrients!$DC$8,Nutrients!$DC$9)*R$7)+(((IF($A$8=Nutrients!$B$79,Nutrients!$DC$79,(IF($A$8=Nutrients!$B$77,Nutrients!$DC$77,Nutrients!$DC$78)))))*R$8))/2000/R$236*100</f>
        <v>56.002150748197963</v>
      </c>
      <c r="S240" s="225">
        <f>(SUMPRODUCT(S$9:S$229,Nutrients!$DC$8:$DC$228)+(IF($A$7=Nutrients!$B$8,Nutrients!$DC$8,Nutrients!$DC$9)*S$7)+(((IF($A$8=Nutrients!$B$79,Nutrients!$DC$79,(IF($A$8=Nutrients!$B$77,Nutrients!$DC$77,Nutrients!$DC$78)))))*S$8))/2000/S$236*100</f>
        <v>57.007610072729378</v>
      </c>
      <c r="T240" s="225">
        <f>(SUMPRODUCT(T$9:T$229,Nutrients!$DC$8:$DC$228)+(IF($A$7=Nutrients!$B$8,Nutrients!$DC$8,Nutrients!$DC$9)*T$7)+(((IF($A$8=Nutrients!$B$79,Nutrients!$DC$79,(IF($A$8=Nutrients!$B$77,Nutrients!$DC$77,Nutrients!$DC$78)))))*T$8))/2000/T$236*100</f>
        <v>57.391797987173121</v>
      </c>
      <c r="U240" s="225">
        <f>(SUMPRODUCT(U$9:U$229,Nutrients!$DC$8:$DC$228)+(IF($A$7=Nutrients!$B$8,Nutrients!$DC$8,Nutrients!$DC$9)*U$7)+(((IF($A$8=Nutrients!$B$79,Nutrients!$DC$79,(IF($A$8=Nutrients!$B$77,Nutrients!$DC$77,Nutrients!$DC$78)))))*U$8))/2000/U$236*100</f>
        <v>58.54716329024091</v>
      </c>
      <c r="V240" s="9"/>
      <c r="W240" s="225">
        <f>(SUMPRODUCT(W$9:W$229,Nutrients!$DC$8:$DC$228)+(IF($A$7=Nutrients!$B$8,Nutrients!$DC$8,Nutrients!$DC$9)*W$7)+(((IF($A$8=Nutrients!$B$79,Nutrients!$DC$79,(IF($A$8=Nutrients!$B$77,Nutrients!$DC$77,Nutrients!$DC$78)))))*W$8))/2000/W$236*100</f>
        <v>56.015376074005907</v>
      </c>
      <c r="X240" s="225">
        <f>(SUMPRODUCT(X$9:X$229,Nutrients!$DC$8:$DC$228)+(IF($A$7=Nutrients!$B$8,Nutrients!$DC$8,Nutrients!$DC$9)*X$7)+(((IF($A$8=Nutrients!$B$79,Nutrients!$DC$79,(IF($A$8=Nutrients!$B$77,Nutrients!$DC$77,Nutrients!$DC$78)))))*X$8))/2000/X$236*100</f>
        <v>55.999927536815584</v>
      </c>
      <c r="Y240" s="225">
        <f>(SUMPRODUCT(Y$9:Y$229,Nutrients!$DC$8:$DC$228)+(IF($A$7=Nutrients!$B$8,Nutrients!$DC$8,Nutrients!$DC$9)*Y$7)+(((IF($A$8=Nutrients!$B$79,Nutrients!$DC$79,(IF($A$8=Nutrients!$B$77,Nutrients!$DC$77,Nutrients!$DC$78)))))*Y$8))/2000/Y$236*100</f>
        <v>56.019681847974631</v>
      </c>
      <c r="Z240" s="225">
        <f>(SUMPRODUCT(Z$9:Z$229,Nutrients!$DC$8:$DC$228)+(IF($A$7=Nutrients!$B$8,Nutrients!$DC$8,Nutrients!$DC$9)*Z$7)+(((IF($A$8=Nutrients!$B$79,Nutrients!$DC$79,(IF($A$8=Nutrients!$B$77,Nutrients!$DC$77,Nutrients!$DC$78)))))*Z$8))/2000/Z$236*100</f>
        <v>57.001922946457483</v>
      </c>
      <c r="AA240" s="225">
        <f>(SUMPRODUCT(AA$9:AA$229,Nutrients!$DC$8:$DC$228)+(IF($A$7=Nutrients!$B$8,Nutrients!$DC$8,Nutrients!$DC$9)*AA$7)+(((IF($A$8=Nutrients!$B$79,Nutrients!$DC$79,(IF($A$8=Nutrients!$B$77,Nutrients!$DC$77,Nutrients!$DC$78)))))*AA$8))/2000/AA$236*100</f>
        <v>59.044355692864102</v>
      </c>
      <c r="AB240" s="225">
        <f>(SUMPRODUCT(AB$9:AB$229,Nutrients!$DC$8:$DC$228)+(IF($A$7=Nutrients!$B$8,Nutrients!$DC$8,Nutrients!$DC$9)*AB$7)+(((IF($A$8=Nutrients!$B$79,Nutrients!$DC$79,(IF($A$8=Nutrients!$B$77,Nutrients!$DC$77,Nutrients!$DC$78)))))*AB$8))/2000/AB$236*100</f>
        <v>60.288466491396683</v>
      </c>
      <c r="AC240" s="9"/>
      <c r="AD240" s="225">
        <f>(SUMPRODUCT(AD$9:AD$229,Nutrients!$DC$8:$DC$228)+(IF($A$7=Nutrients!$B$8,Nutrients!$DC$8,Nutrients!$DC$9)*AD$7)+(((IF($A$8=Nutrients!$B$79,Nutrients!$DC$79,(IF($A$8=Nutrients!$B$77,Nutrients!$DC$77,Nutrients!$DC$78)))))*AD$8))/2000/AD$236*100</f>
        <v>55.996758923331491</v>
      </c>
      <c r="AE240" s="225">
        <f>(SUMPRODUCT(AE$9:AE$229,Nutrients!$DC$8:$DC$228)+(IF($A$7=Nutrients!$B$8,Nutrients!$DC$8,Nutrients!$DC$9)*AE$7)+(((IF($A$8=Nutrients!$B$79,Nutrients!$DC$79,(IF($A$8=Nutrients!$B$77,Nutrients!$DC$77,Nutrients!$DC$78)))))*AE$8))/2000/AE$236*100</f>
        <v>56.033715640061885</v>
      </c>
      <c r="AF240" s="225">
        <f>(SUMPRODUCT(AF$9:AF$229,Nutrients!$DC$8:$DC$228)+(IF($A$7=Nutrients!$B$8,Nutrients!$DC$8,Nutrients!$DC$9)*AF$7)+(((IF($A$8=Nutrients!$B$79,Nutrients!$DC$79,(IF($A$8=Nutrients!$B$77,Nutrients!$DC$77,Nutrients!$DC$78)))))*AF$8))/2000/AF$236*100</f>
        <v>56.028907869483625</v>
      </c>
      <c r="AG240" s="225">
        <f>(SUMPRODUCT(AG$9:AG$229,Nutrients!$DC$8:$DC$228)+(IF($A$7=Nutrients!$B$8,Nutrients!$DC$8,Nutrients!$DC$9)*AG$7)+(((IF($A$8=Nutrients!$B$79,Nutrients!$DC$79,(IF($A$8=Nutrients!$B$77,Nutrients!$DC$77,Nutrients!$DC$78)))))*AG$8))/2000/AG$236*100</f>
        <v>58.586778715152676</v>
      </c>
      <c r="AH240" s="225">
        <f>(SUMPRODUCT(AH$9:AH$229,Nutrients!$DC$8:$DC$228)+(IF($A$7=Nutrients!$B$8,Nutrients!$DC$8,Nutrients!$DC$9)*AH$7)+(((IF($A$8=Nutrients!$B$79,Nutrients!$DC$79,(IF($A$8=Nutrients!$B$77,Nutrients!$DC$77,Nutrients!$DC$78)))))*AH$8))/2000/AH$236*100</f>
        <v>60.71791457514896</v>
      </c>
      <c r="AI240" s="225">
        <f>(SUMPRODUCT(AI$9:AI$229,Nutrients!$DC$8:$DC$228)+(IF($A$7=Nutrients!$B$8,Nutrients!$DC$8,Nutrients!$DC$9)*AI$7)+(((IF($A$8=Nutrients!$B$79,Nutrients!$DC$79,(IF($A$8=Nutrients!$B$77,Nutrients!$DC$77,Nutrients!$DC$78)))))*AI$8))/2000/AI$236*100</f>
        <v>62.04972783978252</v>
      </c>
      <c r="AJ240" s="9"/>
      <c r="AK240" s="225">
        <f>(SUMPRODUCT(AK$9:AK$229,Nutrients!$DC$8:$DC$228)+(IF($A$7=Nutrients!$B$8,Nutrients!$DC$8,Nutrients!$DC$9)*AK$7)+(((IF($A$8=Nutrients!$B$79,Nutrients!$DC$79,(IF($A$8=Nutrients!$B$77,Nutrients!$DC$77,Nutrients!$DC$78)))))*AK$8))/2000/AK$236*100</f>
        <v>56.057930306696576</v>
      </c>
      <c r="AL240" s="225">
        <f>(SUMPRODUCT(AL$9:AL$229,Nutrients!$DC$8:$DC$228)+(IF($A$7=Nutrients!$B$8,Nutrients!$DC$8,Nutrients!$DC$9)*AL$7)+(((IF($A$8=Nutrients!$B$79,Nutrients!$DC$79,(IF($A$8=Nutrients!$B$77,Nutrients!$DC$77,Nutrients!$DC$78)))))*AL$8))/2000/AL$236*100</f>
        <v>56.012130792296333</v>
      </c>
      <c r="AM240" s="225">
        <f>(SUMPRODUCT(AM$9:AM$229,Nutrients!$DC$8:$DC$228)+(IF($A$7=Nutrients!$B$8,Nutrients!$DC$8,Nutrients!$DC$9)*AM$7)+(((IF($A$8=Nutrients!$B$79,Nutrients!$DC$79,(IF($A$8=Nutrients!$B$77,Nutrients!$DC$77,Nutrients!$DC$78)))))*AM$8))/2000/AM$236*100</f>
        <v>56.683591210870446</v>
      </c>
      <c r="AN240" s="225">
        <f>(SUMPRODUCT(AN$9:AN$229,Nutrients!$DC$8:$DC$228)+(IF($A$7=Nutrients!$B$8,Nutrients!$DC$8,Nutrients!$DC$9)*AN$7)+(((IF($A$8=Nutrients!$B$79,Nutrients!$DC$79,(IF($A$8=Nutrients!$B$77,Nutrients!$DC$77,Nutrients!$DC$78)))))*AN$8))/2000/AN$236*100</f>
        <v>60.143430216001072</v>
      </c>
      <c r="AO240" s="225">
        <f>(SUMPRODUCT(AO$9:AO$229,Nutrients!$DC$8:$DC$228)+(IF($A$7=Nutrients!$B$8,Nutrients!$DC$8,Nutrients!$DC$9)*AO$7)+(((IF($A$8=Nutrients!$B$79,Nutrients!$DC$79,(IF($A$8=Nutrients!$B$77,Nutrients!$DC$77,Nutrients!$DC$78)))))*AO$8))/2000/AO$236*100</f>
        <v>62.418754426522405</v>
      </c>
      <c r="AP240" s="225">
        <f>(SUMPRODUCT(AP$9:AP$229,Nutrients!$DC$8:$DC$228)+(IF($A$7=Nutrients!$B$8,Nutrients!$DC$8,Nutrients!$DC$9)*AP$7)+(((IF($A$8=Nutrients!$B$79,Nutrients!$DC$79,(IF($A$8=Nutrients!$B$77,Nutrients!$DC$77,Nutrients!$DC$78)))))*AP$8))/2000/AP$236*100</f>
        <v>63.841958528002372</v>
      </c>
      <c r="AQ240" s="9"/>
      <c r="AR240" s="225">
        <f>(SUMPRODUCT(AR$9:AR$229,Nutrients!$DC$8:$DC$228)+(IF($A$7=Nutrients!$B$8,Nutrients!$DC$8,Nutrients!$DC$9)*AR$7)+(((IF($A$8=Nutrients!$B$79,Nutrients!$DC$79,(IF($A$8=Nutrients!$B$77,Nutrients!$DC$77,Nutrients!$DC$78)))))*AR$8))/2000/AR$236*100</f>
        <v>55.986859792365316</v>
      </c>
      <c r="AS240" s="225">
        <f>(SUMPRODUCT(AS$9:AS$229,Nutrients!$DC$8:$DC$228)+(IF($A$7=Nutrients!$B$8,Nutrients!$DC$8,Nutrients!$DC$9)*AS$7)+(((IF($A$8=Nutrients!$B$79,Nutrients!$DC$79,(IF($A$8=Nutrients!$B$77,Nutrients!$DC$77,Nutrients!$DC$78)))))*AS$8))/2000/AS$236*100</f>
        <v>55.988082062014676</v>
      </c>
      <c r="AT240" s="225">
        <f>(SUMPRODUCT(AT$9:AT$229,Nutrients!$DC$8:$DC$228)+(IF($A$7=Nutrients!$B$8,Nutrients!$DC$8,Nutrients!$DC$9)*AT$7)+(((IF($A$8=Nutrients!$B$79,Nutrients!$DC$79,(IF($A$8=Nutrients!$B$77,Nutrients!$DC$77,Nutrients!$DC$78)))))*AT$8))/2000/AT$236*100</f>
        <v>58.082200168367734</v>
      </c>
      <c r="AU240" s="225">
        <f>(SUMPRODUCT(AU$9:AU$229,Nutrients!$DC$8:$DC$228)+(IF($A$7=Nutrients!$B$8,Nutrients!$DC$8,Nutrients!$DC$9)*AU$7)+(((IF($A$8=Nutrients!$B$79,Nutrients!$DC$79,(IF($A$8=Nutrients!$B$77,Nutrients!$DC$77,Nutrients!$DC$78)))))*AU$8))/2000/AU$236*100</f>
        <v>61.721290586303077</v>
      </c>
      <c r="AV240" s="225">
        <f>(SUMPRODUCT(AV$9:AV$229,Nutrients!$DC$8:$DC$228)+(IF($A$7=Nutrients!$B$8,Nutrients!$DC$8,Nutrients!$DC$9)*AV$7)+(((IF($A$8=Nutrients!$B$79,Nutrients!$DC$79,(IF($A$8=Nutrients!$B$77,Nutrients!$DC$77,Nutrients!$DC$78)))))*AV$8))/2000/AV$236*100</f>
        <v>64.149178966816493</v>
      </c>
      <c r="AW240" s="225">
        <f>(SUMPRODUCT(AW$9:AW$229,Nutrients!$DC$8:$DC$228)+(IF($A$7=Nutrients!$B$8,Nutrients!$DC$8,Nutrients!$DC$9)*AW$7)+(((IF($A$8=Nutrients!$B$79,Nutrients!$DC$79,(IF($A$8=Nutrients!$B$77,Nutrients!$DC$77,Nutrients!$DC$78)))))*AW$8))/2000/AW$236*100</f>
        <v>65.665522531340372</v>
      </c>
      <c r="AX240" s="9"/>
      <c r="AZ240" s="117"/>
      <c r="BA240" s="117"/>
      <c r="BB240" s="117"/>
      <c r="BC240" s="117"/>
      <c r="BD240" s="117"/>
      <c r="BE240" s="117"/>
      <c r="BG240" s="447"/>
      <c r="BH240" s="447"/>
      <c r="BI240" s="447"/>
      <c r="BJ240" s="447"/>
      <c r="BK240" s="447"/>
      <c r="BL240" s="447"/>
    </row>
    <row r="241" spans="1:64" x14ac:dyDescent="0.25">
      <c r="A241" s="38" t="s">
        <v>386</v>
      </c>
      <c r="B241" s="192">
        <f>(SUMPRODUCT(B$9:B$229,Nutrients!$DF$8:$DF$228)+(IF($A$7=Nutrients!$B$8,Nutrients!$DF$8,Nutrients!$DF$9)*B$7)+(((IF($A$8=Nutrients!$B$79,Nutrients!$DF$79,(IF($A$8=Nutrients!$B$77,Nutrients!$DF$77,Nutrients!$DF$78)))))*B$8))/2000/B$236*100</f>
        <v>61.999883344833172</v>
      </c>
      <c r="C241" s="192">
        <f>(SUMPRODUCT(C$9:C$229,Nutrients!$DF$8:$DF$228)+(IF($A$7=Nutrients!$B$8,Nutrients!$DF$8,Nutrients!$DF$9)*C$7)+(((IF($A$8=Nutrients!$B$79,Nutrients!$DF$79,(IF($A$8=Nutrients!$B$77,Nutrients!$DF$77,Nutrients!$DF$78)))))*C$8))/2000/C$236*100</f>
        <v>61.999810412599423</v>
      </c>
      <c r="D241" s="192">
        <f>(SUMPRODUCT(D$9:D$229,Nutrients!$DF$8:$DF$228)+(IF($A$7=Nutrients!$B$8,Nutrients!$DF$8,Nutrients!$DF$9)*D$7)+(((IF($A$8=Nutrients!$B$79,Nutrients!$DF$79,(IF($A$8=Nutrients!$B$77,Nutrients!$DF$77,Nutrients!$DF$78)))))*D$8))/2000/D$236*100</f>
        <v>61.998899620636607</v>
      </c>
      <c r="E241" s="192">
        <f>(SUMPRODUCT(E$9:E$229,Nutrients!$DF$8:$DF$228)+(IF($A$7=Nutrients!$B$8,Nutrients!$DF$8,Nutrients!$DF$9)*E$7)+(((IF($A$8=Nutrients!$B$79,Nutrients!$DF$79,(IF($A$8=Nutrients!$B$77,Nutrients!$DF$77,Nutrients!$DF$78)))))*E$8))/2000/E$236*100</f>
        <v>63.099738392882202</v>
      </c>
      <c r="F241" s="192">
        <f>(SUMPRODUCT(F$9:F$229,Nutrients!$DF$8:$DF$228)+(IF($A$7=Nutrients!$B$8,Nutrients!$DF$8,Nutrients!$DF$9)*F$7)+(((IF($A$8=Nutrients!$B$79,Nutrients!$DF$79,(IF($A$8=Nutrients!$B$77,Nutrients!$DF$77,Nutrients!$DF$78)))))*F$8))/2000/F$236*100</f>
        <v>63.259126445235324</v>
      </c>
      <c r="G241" s="192">
        <f>(SUMPRODUCT(G$9:G$229,Nutrients!$DF$8:$DF$228)+(IF($A$7=Nutrients!$B$8,Nutrients!$DF$8,Nutrients!$DF$9)*G$7)+(((IF($A$8=Nutrients!$B$79,Nutrients!$DF$79,(IF($A$8=Nutrients!$B$77,Nutrients!$DF$77,Nutrients!$DF$78)))))*G$8))/2000/G$236*100</f>
        <v>63.997526400855939</v>
      </c>
      <c r="H241" s="224"/>
      <c r="I241" s="225">
        <f>(SUMPRODUCT(I$9:I$229,Nutrients!$DF$8:$DF$228)+(IF($A$7=Nutrients!$B$8,Nutrients!$DF$8,Nutrients!$DF$9)*I$7)+(((IF($A$8=Nutrients!$B$79,Nutrients!$DF$79,(IF($A$8=Nutrients!$B$77,Nutrients!$DF$77,Nutrients!$DF$78)))))*I$8))/2000/I$236*100</f>
        <v>62.000569991263156</v>
      </c>
      <c r="J241" s="225">
        <f>(SUMPRODUCT(J$9:J$229,Nutrients!$DF$8:$DF$228)+(IF($A$7=Nutrients!$B$8,Nutrients!$DF$8,Nutrients!$DF$9)*J$7)+(((IF($A$8=Nutrients!$B$79,Nutrients!$DF$79,(IF($A$8=Nutrients!$B$77,Nutrients!$DF$77,Nutrients!$DF$78)))))*J$8))/2000/J$236*100</f>
        <v>61.976182084011121</v>
      </c>
      <c r="K241" s="225">
        <f>(SUMPRODUCT(K$9:K$229,Nutrients!$DF$8:$DF$228)+(IF($A$7=Nutrients!$B$8,Nutrients!$DF$8,Nutrients!$DF$9)*K$7)+(((IF($A$8=Nutrients!$B$79,Nutrients!$DF$79,(IF($A$8=Nutrients!$B$77,Nutrients!$DF$77,Nutrients!$DF$78)))))*K$8))/2000/K$236*100</f>
        <v>62.004674175330955</v>
      </c>
      <c r="L241" s="225">
        <f>(SUMPRODUCT(L$9:L$229,Nutrients!$DF$8:$DF$228)+(IF($A$7=Nutrients!$B$8,Nutrients!$DF$8,Nutrients!$DF$9)*L$7)+(((IF($A$8=Nutrients!$B$79,Nutrients!$DF$79,(IF($A$8=Nutrients!$B$77,Nutrients!$DF$77,Nutrients!$DF$78)))))*L$8))/2000/L$236*100</f>
        <v>63.003004109558923</v>
      </c>
      <c r="M241" s="225">
        <f>(SUMPRODUCT(M$9:M$229,Nutrients!$DF$8:$DF$228)+(IF($A$7=Nutrients!$B$8,Nutrients!$DF$8,Nutrients!$DF$9)*M$7)+(((IF($A$8=Nutrients!$B$79,Nutrients!$DF$79,(IF($A$8=Nutrients!$B$77,Nutrients!$DF$77,Nutrients!$DF$78)))))*M$8))/2000/M$236*100</f>
        <v>63.000729339549096</v>
      </c>
      <c r="N241" s="225">
        <f>(SUMPRODUCT(N$9:N$229,Nutrients!$DF$8:$DF$228)+(IF($A$7=Nutrients!$B$8,Nutrients!$DF$8,Nutrients!$DF$9)*N$7)+(((IF($A$8=Nutrients!$B$79,Nutrients!$DF$79,(IF($A$8=Nutrients!$B$77,Nutrients!$DF$77,Nutrients!$DF$78)))))*N$8))/2000/N$236*100</f>
        <v>63.998357264029963</v>
      </c>
      <c r="O241" s="472"/>
      <c r="P241" s="225">
        <f>(SUMPRODUCT(P$9:P$229,Nutrients!$DF$8:$DF$228)+(IF($A$7=Nutrients!$B$8,Nutrients!$DF$8,Nutrients!$DF$9)*P$7)+(((IF($A$8=Nutrients!$B$79,Nutrients!$DF$79,(IF($A$8=Nutrients!$B$77,Nutrients!$DF$77,Nutrients!$DF$78)))))*P$8))/2000/P$236*100</f>
        <v>62.000866143523311</v>
      </c>
      <c r="Q241" s="225">
        <f>(SUMPRODUCT(Q$9:Q$229,Nutrients!$DF$8:$DF$228)+(IF($A$7=Nutrients!$B$8,Nutrients!$DF$8,Nutrients!$DF$9)*Q$7)+(((IF($A$8=Nutrients!$B$79,Nutrients!$DF$79,(IF($A$8=Nutrients!$B$77,Nutrients!$DF$77,Nutrients!$DF$78)))))*Q$8))/2000/Q$236*100</f>
        <v>62.001408639650002</v>
      </c>
      <c r="R241" s="225">
        <f>(SUMPRODUCT(R$9:R$229,Nutrients!$DF$8:$DF$228)+(IF($A$7=Nutrients!$B$8,Nutrients!$DF$8,Nutrients!$DF$9)*R$7)+(((IF($A$8=Nutrients!$B$79,Nutrients!$DF$79,(IF($A$8=Nutrients!$B$77,Nutrients!$DF$77,Nutrients!$DF$78)))))*R$8))/2000/R$236*100</f>
        <v>62.00346788903154</v>
      </c>
      <c r="S241" s="225">
        <f>(SUMPRODUCT(S$9:S$229,Nutrients!$DF$8:$DF$228)+(IF($A$7=Nutrients!$B$8,Nutrients!$DF$8,Nutrients!$DF$9)*S$7)+(((IF($A$8=Nutrients!$B$79,Nutrients!$DF$79,(IF($A$8=Nutrients!$B$77,Nutrients!$DF$77,Nutrients!$DF$78)))))*S$8))/2000/S$236*100</f>
        <v>63.001707070664516</v>
      </c>
      <c r="T241" s="225">
        <f>(SUMPRODUCT(T$9:T$229,Nutrients!$DF$8:$DF$228)+(IF($A$7=Nutrients!$B$8,Nutrients!$DF$8,Nutrients!$DF$9)*T$7)+(((IF($A$8=Nutrients!$B$79,Nutrients!$DF$79,(IF($A$8=Nutrients!$B$77,Nutrients!$DF$77,Nutrients!$DF$78)))))*T$8))/2000/T$236*100</f>
        <v>63.00057394345616</v>
      </c>
      <c r="U241" s="225">
        <f>(SUMPRODUCT(U$9:U$229,Nutrients!$DF$8:$DF$228)+(IF($A$7=Nutrients!$B$8,Nutrients!$DF$8,Nutrients!$DF$9)*U$7)+(((IF($A$8=Nutrients!$B$79,Nutrients!$DF$79,(IF($A$8=Nutrients!$B$77,Nutrients!$DF$77,Nutrients!$DF$78)))))*U$8))/2000/U$236*100</f>
        <v>63.99910081131376</v>
      </c>
      <c r="V241" s="9"/>
      <c r="W241" s="225">
        <f>(SUMPRODUCT(W$9:W$229,Nutrients!$DF$8:$DF$228)+(IF($A$7=Nutrients!$B$8,Nutrients!$DF$8,Nutrients!$DF$9)*W$7)+(((IF($A$8=Nutrients!$B$79,Nutrients!$DF$79,(IF($A$8=Nutrients!$B$77,Nutrients!$DF$77,Nutrients!$DF$78)))))*W$8))/2000/W$236*100</f>
        <v>62.019961395155306</v>
      </c>
      <c r="X241" s="225">
        <f>(SUMPRODUCT(X$9:X$229,Nutrients!$DF$8:$DF$228)+(IF($A$7=Nutrients!$B$8,Nutrients!$DF$8,Nutrients!$DF$9)*X$7)+(((IF($A$8=Nutrients!$B$79,Nutrients!$DF$79,(IF($A$8=Nutrients!$B$77,Nutrients!$DF$77,Nutrients!$DF$78)))))*X$8))/2000/X$236*100</f>
        <v>62.017334341729956</v>
      </c>
      <c r="Y241" s="225">
        <f>(SUMPRODUCT(Y$9:Y$229,Nutrients!$DF$8:$DF$228)+(IF($A$7=Nutrients!$B$8,Nutrients!$DF$8,Nutrients!$DF$9)*Y$7)+(((IF($A$8=Nutrients!$B$79,Nutrients!$DF$79,(IF($A$8=Nutrients!$B$77,Nutrients!$DF$77,Nutrients!$DF$78)))))*Y$8))/2000/Y$236*100</f>
        <v>62.02396547033662</v>
      </c>
      <c r="Z241" s="225">
        <f>(SUMPRODUCT(Z$9:Z$229,Nutrients!$DF$8:$DF$228)+(IF($A$7=Nutrients!$B$8,Nutrients!$DF$8,Nutrients!$DF$9)*Z$7)+(((IF($A$8=Nutrients!$B$79,Nutrients!$DF$79,(IF($A$8=Nutrients!$B$77,Nutrients!$DF$77,Nutrients!$DF$78)))))*Z$8))/2000/Z$236*100</f>
        <v>63.021776413838424</v>
      </c>
      <c r="AA241" s="225">
        <f>(SUMPRODUCT(AA$9:AA$229,Nutrients!$DF$8:$DF$228)+(IF($A$7=Nutrients!$B$8,Nutrients!$DF$8,Nutrients!$DF$9)*AA$7)+(((IF($A$8=Nutrients!$B$79,Nutrients!$DF$79,(IF($A$8=Nutrients!$B$77,Nutrients!$DF$77,Nutrients!$DF$78)))))*AA$8))/2000/AA$236*100</f>
        <v>63.015529108591942</v>
      </c>
      <c r="AB241" s="225">
        <f>(SUMPRODUCT(AB$9:AB$229,Nutrients!$DF$8:$DF$228)+(IF($A$7=Nutrients!$B$8,Nutrients!$DF$8,Nutrients!$DF$9)*AB$7)+(((IF($A$8=Nutrients!$B$79,Nutrients!$DF$79,(IF($A$8=Nutrients!$B$77,Nutrients!$DF$77,Nutrients!$DF$78)))))*AB$8))/2000/AB$236*100</f>
        <v>64.018806402207346</v>
      </c>
      <c r="AC241" s="9"/>
      <c r="AD241" s="225">
        <f>(SUMPRODUCT(AD$9:AD$229,Nutrients!$DF$8:$DF$228)+(IF($A$7=Nutrients!$B$8,Nutrients!$DF$8,Nutrients!$DF$9)*AD$7)+(((IF($A$8=Nutrients!$B$79,Nutrients!$DF$79,(IF($A$8=Nutrients!$B$77,Nutrients!$DF$77,Nutrients!$DF$78)))))*AD$8))/2000/AD$236*100</f>
        <v>62.039546294056755</v>
      </c>
      <c r="AE241" s="225">
        <f>(SUMPRODUCT(AE$9:AE$229,Nutrients!$DF$8:$DF$228)+(IF($A$7=Nutrients!$B$8,Nutrients!$DF$8,Nutrients!$DF$9)*AE$7)+(((IF($A$8=Nutrients!$B$79,Nutrients!$DF$79,(IF($A$8=Nutrients!$B$77,Nutrients!$DF$77,Nutrients!$DF$78)))))*AE$8))/2000/AE$236*100</f>
        <v>62.041405978794003</v>
      </c>
      <c r="AF241" s="225">
        <f>(SUMPRODUCT(AF$9:AF$229,Nutrients!$DF$8:$DF$228)+(IF($A$7=Nutrients!$B$8,Nutrients!$DF$8,Nutrients!$DF$9)*AF$7)+(((IF($A$8=Nutrients!$B$79,Nutrients!$DF$79,(IF($A$8=Nutrients!$B$77,Nutrients!$DF$77,Nutrients!$DF$78)))))*AF$8))/2000/AF$236*100</f>
        <v>62.041877025411537</v>
      </c>
      <c r="AG241" s="225">
        <f>(SUMPRODUCT(AG$9:AG$229,Nutrients!$DF$8:$DF$228)+(IF($A$7=Nutrients!$B$8,Nutrients!$DF$8,Nutrients!$DF$9)*AG$7)+(((IF($A$8=Nutrients!$B$79,Nutrients!$DF$79,(IF($A$8=Nutrients!$B$77,Nutrients!$DF$77,Nutrients!$DF$78)))))*AG$8))/2000/AG$236*100</f>
        <v>63.040288955718957</v>
      </c>
      <c r="AH241" s="225">
        <f>(SUMPRODUCT(AH$9:AH$229,Nutrients!$DF$8:$DF$228)+(IF($A$7=Nutrients!$B$8,Nutrients!$DF$8,Nutrients!$DF$9)*AH$7)+(((IF($A$8=Nutrients!$B$79,Nutrients!$DF$79,(IF($A$8=Nutrients!$B$77,Nutrients!$DF$77,Nutrients!$DF$78)))))*AH$8))/2000/AH$236*100</f>
        <v>63.025396847040184</v>
      </c>
      <c r="AI241" s="225">
        <f>(SUMPRODUCT(AI$9:AI$229,Nutrients!$DF$8:$DF$228)+(IF($A$7=Nutrients!$B$8,Nutrients!$DF$8,Nutrients!$DF$9)*AI$7)+(((IF($A$8=Nutrients!$B$79,Nutrients!$DF$79,(IF($A$8=Nutrients!$B$77,Nutrients!$DF$77,Nutrients!$DF$78)))))*AI$8))/2000/AI$236*100</f>
        <v>64.032437968451632</v>
      </c>
      <c r="AJ241" s="9"/>
      <c r="AK241" s="225">
        <f>(SUMPRODUCT(AK$9:AK$229,Nutrients!$DF$8:$DF$228)+(IF($A$7=Nutrients!$B$8,Nutrients!$DF$8,Nutrients!$DF$9)*AK$7)+(((IF($A$8=Nutrients!$B$79,Nutrients!$DF$79,(IF($A$8=Nutrients!$B$77,Nutrients!$DF$77,Nutrients!$DF$78)))))*AK$8))/2000/AK$236*100</f>
        <v>62.057341803845581</v>
      </c>
      <c r="AL241" s="225">
        <f>(SUMPRODUCT(AL$9:AL$229,Nutrients!$DF$8:$DF$228)+(IF($A$7=Nutrients!$B$8,Nutrients!$DF$8,Nutrients!$DF$9)*AL$7)+(((IF($A$8=Nutrients!$B$79,Nutrients!$DF$79,(IF($A$8=Nutrients!$B$77,Nutrients!$DF$77,Nutrients!$DF$78)))))*AL$8))/2000/AL$236*100</f>
        <v>62.063823469880653</v>
      </c>
      <c r="AM241" s="225">
        <f>(SUMPRODUCT(AM$9:AM$229,Nutrients!$DF$8:$DF$228)+(IF($A$7=Nutrients!$B$8,Nutrients!$DF$8,Nutrients!$DF$9)*AM$7)+(((IF($A$8=Nutrients!$B$79,Nutrients!$DF$79,(IF($A$8=Nutrients!$B$77,Nutrients!$DF$77,Nutrients!$DF$78)))))*AM$8))/2000/AM$236*100</f>
        <v>62.058294645741661</v>
      </c>
      <c r="AN241" s="225">
        <f>(SUMPRODUCT(AN$9:AN$229,Nutrients!$DF$8:$DF$228)+(IF($A$7=Nutrients!$B$8,Nutrients!$DF$8,Nutrients!$DF$9)*AN$7)+(((IF($A$8=Nutrients!$B$79,Nutrients!$DF$79,(IF($A$8=Nutrients!$B$77,Nutrients!$DF$77,Nutrients!$DF$78)))))*AN$8))/2000/AN$236*100</f>
        <v>63.05547000741398</v>
      </c>
      <c r="AO241" s="225">
        <f>(SUMPRODUCT(AO$9:AO$229,Nutrients!$DF$8:$DF$228)+(IF($A$7=Nutrients!$B$8,Nutrients!$DF$8,Nutrients!$DF$9)*AO$7)+(((IF($A$8=Nutrients!$B$79,Nutrients!$DF$79,(IF($A$8=Nutrients!$B$77,Nutrients!$DF$77,Nutrients!$DF$78)))))*AO$8))/2000/AO$236*100</f>
        <v>63.033632444729037</v>
      </c>
      <c r="AP241" s="225">
        <f>(SUMPRODUCT(AP$9:AP$229,Nutrients!$DF$8:$DF$228)+(IF($A$7=Nutrients!$B$8,Nutrients!$DF$8,Nutrients!$DF$9)*AP$7)+(((IF($A$8=Nutrients!$B$79,Nutrients!$DF$79,(IF($A$8=Nutrients!$B$77,Nutrients!$DF$77,Nutrients!$DF$78)))))*AP$8))/2000/AP$236*100</f>
        <v>64.046444024299916</v>
      </c>
      <c r="AQ241" s="9"/>
      <c r="AR241" s="225">
        <f>(SUMPRODUCT(AR$9:AR$229,Nutrients!$DF$8:$DF$228)+(IF($A$7=Nutrients!$B$8,Nutrients!$DF$8,Nutrients!$DF$9)*AR$7)+(((IF($A$8=Nutrients!$B$79,Nutrients!$DF$79,(IF($A$8=Nutrients!$B$77,Nutrients!$DF$77,Nutrients!$DF$78)))))*AR$8))/2000/AR$236*100</f>
        <v>62.060914703398041</v>
      </c>
      <c r="AS241" s="225">
        <f>(SUMPRODUCT(AS$9:AS$229,Nutrients!$DF$8:$DF$228)+(IF($A$7=Nutrients!$B$8,Nutrients!$DF$8,Nutrients!$DF$9)*AS$7)+(((IF($A$8=Nutrients!$B$79,Nutrients!$DF$79,(IF($A$8=Nutrients!$B$77,Nutrients!$DF$77,Nutrients!$DF$78)))))*AS$8))/2000/AS$236*100</f>
        <v>62.085606929240235</v>
      </c>
      <c r="AT241" s="225">
        <f>(SUMPRODUCT(AT$9:AT$229,Nutrients!$DF$8:$DF$228)+(IF($A$7=Nutrients!$B$8,Nutrients!$DF$8,Nutrients!$DF$9)*AT$7)+(((IF($A$8=Nutrients!$B$79,Nutrients!$DF$79,(IF($A$8=Nutrients!$B$77,Nutrients!$DF$77,Nutrients!$DF$78)))))*AT$8))/2000/AT$236*100</f>
        <v>62.072081271203729</v>
      </c>
      <c r="AU241" s="225">
        <f>(SUMPRODUCT(AU$9:AU$229,Nutrients!$DF$8:$DF$228)+(IF($A$7=Nutrients!$B$8,Nutrients!$DF$8,Nutrients!$DF$9)*AU$7)+(((IF($A$8=Nutrients!$B$79,Nutrients!$DF$79,(IF($A$8=Nutrients!$B$77,Nutrients!$DF$77,Nutrients!$DF$78)))))*AU$8))/2000/AU$236*100</f>
        <v>63.067364235897763</v>
      </c>
      <c r="AV241" s="225">
        <f>(SUMPRODUCT(AV$9:AV$229,Nutrients!$DF$8:$DF$228)+(IF($A$7=Nutrients!$B$8,Nutrients!$DF$8,Nutrients!$DF$9)*AV$7)+(((IF($A$8=Nutrients!$B$79,Nutrients!$DF$79,(IF($A$8=Nutrients!$B$77,Nutrients!$DF$77,Nutrients!$DF$78)))))*AV$8))/2000/AV$236*100</f>
        <v>63.041943485202964</v>
      </c>
      <c r="AW241" s="225">
        <f>(SUMPRODUCT(AW$9:AW$229,Nutrients!$DF$8:$DF$228)+(IF($A$7=Nutrients!$B$8,Nutrients!$DF$8,Nutrients!$DF$9)*AW$7)+(((IF($A$8=Nutrients!$B$79,Nutrients!$DF$79,(IF($A$8=Nutrients!$B$77,Nutrients!$DF$77,Nutrients!$DF$78)))))*AW$8))/2000/AW$236*100</f>
        <v>64.060663972726331</v>
      </c>
      <c r="AX241" s="9"/>
      <c r="AZ241" s="117"/>
      <c r="BA241" s="117"/>
      <c r="BB241" s="117"/>
      <c r="BC241" s="117"/>
      <c r="BD241" s="117"/>
      <c r="BE241" s="117"/>
      <c r="BG241" s="447"/>
      <c r="BH241" s="447"/>
      <c r="BI241" s="447"/>
      <c r="BJ241" s="447"/>
      <c r="BK241" s="447"/>
      <c r="BL241" s="447"/>
    </row>
    <row r="242" spans="1:64" x14ac:dyDescent="0.25">
      <c r="A242" s="38" t="s">
        <v>387</v>
      </c>
      <c r="B242" s="192">
        <f>(SUMPRODUCT(B$9:B$229,Nutrients!$DG$8:$DG$228)+(IF($A$7=Nutrients!$B$8,Nutrients!$DG$8,Nutrients!$DG$9)*B$7)+(((IF($A$8=Nutrients!$B$79,Nutrients!$DG$79,(IF($A$8=Nutrients!$B$77,Nutrients!$DG$77,Nutrients!$DG$78)))))*B$8))/2000/B$236*100</f>
        <v>19.000000000000007</v>
      </c>
      <c r="C242" s="192">
        <f>(SUMPRODUCT(C$9:C$229,Nutrients!$DG$8:$DG$228)+(IF($A$7=Nutrients!$B$8,Nutrients!$DG$8,Nutrients!$DG$9)*C$7)+(((IF($A$8=Nutrients!$B$79,Nutrients!$DG$79,(IF($A$8=Nutrients!$B$77,Nutrients!$DG$77,Nutrients!$DG$78)))))*C$8))/2000/C$236*100</f>
        <v>18.999991891262606</v>
      </c>
      <c r="D242" s="192">
        <f>(SUMPRODUCT(D$9:D$229,Nutrients!$DG$8:$DG$228)+(IF($A$7=Nutrients!$B$8,Nutrients!$DG$8,Nutrients!$DG$9)*D$7)+(((IF($A$8=Nutrients!$B$79,Nutrients!$DG$79,(IF($A$8=Nutrients!$B$77,Nutrients!$DG$77,Nutrients!$DG$78)))))*D$8))/2000/D$236*100</f>
        <v>18.999965465148328</v>
      </c>
      <c r="E242" s="192">
        <f>(SUMPRODUCT(E$9:E$229,Nutrients!$DG$8:$DG$228)+(IF($A$7=Nutrients!$B$8,Nutrients!$DG$8,Nutrients!$DG$9)*E$7)+(((IF($A$8=Nutrients!$B$79,Nutrients!$DG$79,(IF($A$8=Nutrients!$B$77,Nutrients!$DG$77,Nutrients!$DG$78)))))*E$8))/2000/E$236*100</f>
        <v>19.040987478551372</v>
      </c>
      <c r="F242" s="192">
        <f>(SUMPRODUCT(F$9:F$229,Nutrients!$DG$8:$DG$228)+(IF($A$7=Nutrients!$B$8,Nutrients!$DG$8,Nutrients!$DG$9)*F$7)+(((IF($A$8=Nutrients!$B$79,Nutrients!$DG$79,(IF($A$8=Nutrients!$B$77,Nutrients!$DG$77,Nutrients!$DG$78)))))*F$8))/2000/F$236*100</f>
        <v>19.105485625301228</v>
      </c>
      <c r="G242" s="192">
        <f>(SUMPRODUCT(G$9:G$229,Nutrients!$DG$8:$DG$228)+(IF($A$7=Nutrients!$B$8,Nutrients!$DG$8,Nutrients!$DG$9)*G$7)+(((IF($A$8=Nutrients!$B$79,Nutrients!$DG$79,(IF($A$8=Nutrients!$B$77,Nutrients!$DG$77,Nutrients!$DG$78)))))*G$8))/2000/G$236*100</f>
        <v>19.003555679157927</v>
      </c>
      <c r="H242" s="224"/>
      <c r="I242" s="225">
        <f>(SUMPRODUCT(I$9:I$229,Nutrients!$DG$8:$DG$228)+(IF($A$7=Nutrients!$B$8,Nutrients!$DG$8,Nutrients!$DG$9)*I$7)+(((IF($A$8=Nutrients!$B$79,Nutrients!$DG$79,(IF($A$8=Nutrients!$B$77,Nutrients!$DG$77,Nutrients!$DG$78)))))*I$8))/2000/I$236*100</f>
        <v>19.000021565173054</v>
      </c>
      <c r="J242" s="225">
        <f>(SUMPRODUCT(J$9:J$229,Nutrients!$DG$8:$DG$228)+(IF($A$7=Nutrients!$B$8,Nutrients!$DG$8,Nutrients!$DG$9)*J$7)+(((IF($A$8=Nutrients!$B$79,Nutrients!$DG$79,(IF($A$8=Nutrients!$B$77,Nutrients!$DG$77,Nutrients!$DG$78)))))*J$8))/2000/J$236*100</f>
        <v>19.000106319067076</v>
      </c>
      <c r="K242" s="225">
        <f>(SUMPRODUCT(K$9:K$229,Nutrients!$DG$8:$DG$228)+(IF($A$7=Nutrients!$B$8,Nutrients!$DG$8,Nutrients!$DG$9)*K$7)+(((IF($A$8=Nutrients!$B$79,Nutrients!$DG$79,(IF($A$8=Nutrients!$B$77,Nutrients!$DG$77,Nutrients!$DG$78)))))*K$8))/2000/K$236*100</f>
        <v>19.000216013324174</v>
      </c>
      <c r="L242" s="225">
        <f>(SUMPRODUCT(L$9:L$229,Nutrients!$DG$8:$DG$228)+(IF($A$7=Nutrients!$B$8,Nutrients!$DG$8,Nutrients!$DG$9)*L$7)+(((IF($A$8=Nutrients!$B$79,Nutrients!$DG$79,(IF($A$8=Nutrients!$B$77,Nutrients!$DG$77,Nutrients!$DG$78)))))*L$8))/2000/L$236*100</f>
        <v>19.000123495960423</v>
      </c>
      <c r="M242" s="225">
        <f>(SUMPRODUCT(M$9:M$229,Nutrients!$DG$8:$DG$228)+(IF($A$7=Nutrients!$B$8,Nutrients!$DG$8,Nutrients!$DG$9)*M$7)+(((IF($A$8=Nutrients!$B$79,Nutrients!$DG$79,(IF($A$8=Nutrients!$B$77,Nutrients!$DG$77,Nutrients!$DG$78)))))*M$8))/2000/M$236*100</f>
        <v>19.0000239538867</v>
      </c>
      <c r="N242" s="225">
        <f>(SUMPRODUCT(N$9:N$229,Nutrients!$DG$8:$DG$228)+(IF($A$7=Nutrients!$B$8,Nutrients!$DG$8,Nutrients!$DG$9)*N$7)+(((IF($A$8=Nutrients!$B$79,Nutrients!$DG$79,(IF($A$8=Nutrients!$B$77,Nutrients!$DG$77,Nutrients!$DG$78)))))*N$8))/2000/N$236*100</f>
        <v>18.999912965877677</v>
      </c>
      <c r="O242" s="472"/>
      <c r="P242" s="225">
        <f>(SUMPRODUCT(P$9:P$229,Nutrients!$DG$8:$DG$228)+(IF($A$7=Nutrients!$B$8,Nutrients!$DG$8,Nutrients!$DG$9)*P$7)+(((IF($A$8=Nutrients!$B$79,Nutrients!$DG$79,(IF($A$8=Nutrients!$B$77,Nutrients!$DG$77,Nutrients!$DG$78)))))*P$8))/2000/P$236*100</f>
        <v>19.000045132863594</v>
      </c>
      <c r="Q242" s="225">
        <f>(SUMPRODUCT(Q$9:Q$229,Nutrients!$DG$8:$DG$228)+(IF($A$7=Nutrients!$B$8,Nutrients!$DG$8,Nutrients!$DG$9)*Q$7)+(((IF($A$8=Nutrients!$B$79,Nutrients!$DG$79,(IF($A$8=Nutrients!$B$77,Nutrients!$DG$77,Nutrients!$DG$78)))))*Q$8))/2000/Q$236*100</f>
        <v>19.000062629007488</v>
      </c>
      <c r="R242" s="225">
        <f>(SUMPRODUCT(R$9:R$229,Nutrients!$DG$8:$DG$228)+(IF($A$7=Nutrients!$B$8,Nutrients!$DG$8,Nutrients!$DG$9)*R$7)+(((IF($A$8=Nutrients!$B$79,Nutrients!$DG$79,(IF($A$8=Nutrients!$B$77,Nutrients!$DG$77,Nutrients!$DG$78)))))*R$8))/2000/R$236*100</f>
        <v>18.980689159350675</v>
      </c>
      <c r="S242" s="225">
        <f>(SUMPRODUCT(S$9:S$229,Nutrients!$DG$8:$DG$228)+(IF($A$7=Nutrients!$B$8,Nutrients!$DG$8,Nutrients!$DG$9)*S$7)+(((IF($A$8=Nutrients!$B$79,Nutrients!$DG$79,(IF($A$8=Nutrients!$B$77,Nutrients!$DG$77,Nutrients!$DG$78)))))*S$8))/2000/S$236*100</f>
        <v>18.976243459195636</v>
      </c>
      <c r="T242" s="225">
        <f>(SUMPRODUCT(T$9:T$229,Nutrients!$DG$8:$DG$228)+(IF($A$7=Nutrients!$B$8,Nutrients!$DG$8,Nutrients!$DG$9)*T$7)+(((IF($A$8=Nutrients!$B$79,Nutrients!$DG$79,(IF($A$8=Nutrients!$B$77,Nutrients!$DG$77,Nutrients!$DG$78)))))*T$8))/2000/T$236*100</f>
        <v>18.977622840948218</v>
      </c>
      <c r="U242" s="225">
        <f>(SUMPRODUCT(U$9:U$229,Nutrients!$DG$8:$DG$228)+(IF($A$7=Nutrients!$B$8,Nutrients!$DG$8,Nutrients!$DG$9)*U$7)+(((IF($A$8=Nutrients!$B$79,Nutrients!$DG$79,(IF($A$8=Nutrients!$B$77,Nutrients!$DG$77,Nutrients!$DG$78)))))*U$8))/2000/U$236*100</f>
        <v>18.97789716344916</v>
      </c>
      <c r="V242" s="9"/>
      <c r="W242" s="225">
        <f>(SUMPRODUCT(W$9:W$229,Nutrients!$DG$8:$DG$228)+(IF($A$7=Nutrients!$B$8,Nutrients!$DG$8,Nutrients!$DG$9)*W$7)+(((IF($A$8=Nutrients!$B$79,Nutrients!$DG$79,(IF($A$8=Nutrients!$B$77,Nutrients!$DG$77,Nutrients!$DG$78)))))*W$8))/2000/W$236*100</f>
        <v>18.979086330404591</v>
      </c>
      <c r="X242" s="225">
        <f>(SUMPRODUCT(X$9:X$229,Nutrients!$DG$8:$DG$228)+(IF($A$7=Nutrients!$B$8,Nutrients!$DG$8,Nutrients!$DG$9)*X$7)+(((IF($A$8=Nutrients!$B$79,Nutrients!$DG$79,(IF($A$8=Nutrients!$B$77,Nutrients!$DG$77,Nutrients!$DG$78)))))*X$8))/2000/X$236*100</f>
        <v>18.979429276835386</v>
      </c>
      <c r="Y242" s="225">
        <f>(SUMPRODUCT(Y$9:Y$229,Nutrients!$DG$8:$DG$228)+(IF($A$7=Nutrients!$B$8,Nutrients!$DG$8,Nutrients!$DG$9)*Y$7)+(((IF($A$8=Nutrients!$B$79,Nutrients!$DG$79,(IF($A$8=Nutrients!$B$77,Nutrients!$DG$77,Nutrients!$DG$78)))))*Y$8))/2000/Y$236*100</f>
        <v>18.955467499026245</v>
      </c>
      <c r="Z242" s="225">
        <f>(SUMPRODUCT(Z$9:Z$229,Nutrients!$DG$8:$DG$228)+(IF($A$7=Nutrients!$B$8,Nutrients!$DG$8,Nutrients!$DG$9)*Z$7)+(((IF($A$8=Nutrients!$B$79,Nutrients!$DG$79,(IF($A$8=Nutrients!$B$77,Nutrients!$DG$77,Nutrients!$DG$78)))))*Z$8))/2000/Z$236*100</f>
        <v>18.953497006970814</v>
      </c>
      <c r="AA242" s="225">
        <f>(SUMPRODUCT(AA$9:AA$229,Nutrients!$DG$8:$DG$228)+(IF($A$7=Nutrients!$B$8,Nutrients!$DG$8,Nutrients!$DG$9)*AA$7)+(((IF($A$8=Nutrients!$B$79,Nutrients!$DG$79,(IF($A$8=Nutrients!$B$77,Nutrients!$DG$77,Nutrients!$DG$78)))))*AA$8))/2000/AA$236*100</f>
        <v>18.95518018703978</v>
      </c>
      <c r="AB242" s="225">
        <f>(SUMPRODUCT(AB$9:AB$229,Nutrients!$DG$8:$DG$228)+(IF($A$7=Nutrients!$B$8,Nutrients!$DG$8,Nutrients!$DG$9)*AB$7)+(((IF($A$8=Nutrients!$B$79,Nutrients!$DG$79,(IF($A$8=Nutrients!$B$77,Nutrients!$DG$77,Nutrients!$DG$78)))))*AB$8))/2000/AB$236*100</f>
        <v>18.954420110870437</v>
      </c>
      <c r="AC242" s="9"/>
      <c r="AD242" s="225">
        <f>(SUMPRODUCT(AD$9:AD$229,Nutrients!$DG$8:$DG$228)+(IF($A$7=Nutrients!$B$8,Nutrients!$DG$8,Nutrients!$DG$9)*AD$7)+(((IF($A$8=Nutrients!$B$79,Nutrients!$DG$79,(IF($A$8=Nutrients!$B$77,Nutrients!$DG$77,Nutrients!$DG$78)))))*AD$8))/2000/AD$236*100</f>
        <v>18.999998349334629</v>
      </c>
      <c r="AE242" s="225">
        <f>(SUMPRODUCT(AE$9:AE$229,Nutrients!$DG$8:$DG$228)+(IF($A$7=Nutrients!$B$8,Nutrients!$DG$8,Nutrients!$DG$9)*AE$7)+(((IF($A$8=Nutrients!$B$79,Nutrients!$DG$79,(IF($A$8=Nutrients!$B$77,Nutrients!$DG$77,Nutrients!$DG$78)))))*AE$8))/2000/AE$236*100</f>
        <v>19.001879916778723</v>
      </c>
      <c r="AF242" s="225">
        <f>(SUMPRODUCT(AF$9:AF$229,Nutrients!$DG$8:$DG$228)+(IF($A$7=Nutrients!$B$8,Nutrients!$DG$8,Nutrients!$DG$9)*AF$7)+(((IF($A$8=Nutrients!$B$79,Nutrients!$DG$79,(IF($A$8=Nutrients!$B$77,Nutrients!$DG$77,Nutrients!$DG$78)))))*AF$8))/2000/AF$236*100</f>
        <v>18.985584718187621</v>
      </c>
      <c r="AG242" s="225">
        <f>(SUMPRODUCT(AG$9:AG$229,Nutrients!$DG$8:$DG$228)+(IF($A$7=Nutrients!$B$8,Nutrients!$DG$8,Nutrients!$DG$9)*AG$7)+(((IF($A$8=Nutrients!$B$79,Nutrients!$DG$79,(IF($A$8=Nutrients!$B$77,Nutrients!$DG$77,Nutrients!$DG$78)))))*AG$8))/2000/AG$236*100</f>
        <v>18.991357324250398</v>
      </c>
      <c r="AH242" s="225">
        <f>(SUMPRODUCT(AH$9:AH$229,Nutrients!$DG$8:$DG$228)+(IF($A$7=Nutrients!$B$8,Nutrients!$DG$8,Nutrients!$DG$9)*AH$7)+(((IF($A$8=Nutrients!$B$79,Nutrients!$DG$79,(IF($A$8=Nutrients!$B$77,Nutrients!$DG$77,Nutrients!$DG$78)))))*AH$8))/2000/AH$236*100</f>
        <v>18.996101811466037</v>
      </c>
      <c r="AI242" s="225">
        <f>(SUMPRODUCT(AI$9:AI$229,Nutrients!$DG$8:$DG$228)+(IF($A$7=Nutrients!$B$8,Nutrients!$DG$8,Nutrients!$DG$9)*AI$7)+(((IF($A$8=Nutrients!$B$79,Nutrients!$DG$79,(IF($A$8=Nutrients!$B$77,Nutrients!$DG$77,Nutrients!$DG$78)))))*AI$8))/2000/AI$236*100</f>
        <v>18.998107062356279</v>
      </c>
      <c r="AJ242" s="9"/>
      <c r="AK242" s="225">
        <f>(SUMPRODUCT(AK$9:AK$229,Nutrients!$DG$8:$DG$228)+(IF($A$7=Nutrients!$B$8,Nutrients!$DG$8,Nutrients!$DG$9)*AK$7)+(((IF($A$8=Nutrients!$B$79,Nutrients!$DG$79,(IF($A$8=Nutrients!$B$77,Nutrients!$DG$77,Nutrients!$DG$78)))))*AK$8))/2000/AK$236*100</f>
        <v>18.979491605980865</v>
      </c>
      <c r="AL242" s="225">
        <f>(SUMPRODUCT(AL$9:AL$229,Nutrients!$DG$8:$DG$228)+(IF($A$7=Nutrients!$B$8,Nutrients!$DG$8,Nutrients!$DG$9)*AL$7)+(((IF($A$8=Nutrients!$B$79,Nutrients!$DG$79,(IF($A$8=Nutrients!$B$77,Nutrients!$DG$77,Nutrients!$DG$78)))))*AL$8))/2000/AL$236*100</f>
        <v>18.97756817774204</v>
      </c>
      <c r="AM242" s="225">
        <f>(SUMPRODUCT(AM$9:AM$229,Nutrients!$DG$8:$DG$228)+(IF($A$7=Nutrients!$B$8,Nutrients!$DG$8,Nutrients!$DG$9)*AM$7)+(((IF($A$8=Nutrients!$B$79,Nutrients!$DG$79,(IF($A$8=Nutrients!$B$77,Nutrients!$DG$77,Nutrients!$DG$78)))))*AM$8))/2000/AM$236*100</f>
        <v>18.96185059433688</v>
      </c>
      <c r="AN242" s="225">
        <f>(SUMPRODUCT(AN$9:AN$229,Nutrients!$DG$8:$DG$228)+(IF($A$7=Nutrients!$B$8,Nutrients!$DG$8,Nutrients!$DG$9)*AN$7)+(((IF($A$8=Nutrients!$B$79,Nutrients!$DG$79,(IF($A$8=Nutrients!$B$77,Nutrients!$DG$77,Nutrients!$DG$78)))))*AN$8))/2000/AN$236*100</f>
        <v>18.965916484851039</v>
      </c>
      <c r="AO242" s="225">
        <f>(SUMPRODUCT(AO$9:AO$229,Nutrients!$DG$8:$DG$228)+(IF($A$7=Nutrients!$B$8,Nutrients!$DG$8,Nutrients!$DG$9)*AO$7)+(((IF($A$8=Nutrients!$B$79,Nutrients!$DG$79,(IF($A$8=Nutrients!$B$77,Nutrients!$DG$77,Nutrients!$DG$78)))))*AO$8))/2000/AO$236*100</f>
        <v>18.969215337570489</v>
      </c>
      <c r="AP242" s="225">
        <f>(SUMPRODUCT(AP$9:AP$229,Nutrients!$DG$8:$DG$228)+(IF($A$7=Nutrients!$B$8,Nutrients!$DG$8,Nutrients!$DG$9)*AP$7)+(((IF($A$8=Nutrients!$B$79,Nutrients!$DG$79,(IF($A$8=Nutrients!$B$77,Nutrients!$DG$77,Nutrients!$DG$78)))))*AP$8))/2000/AP$236*100</f>
        <v>18.971467175774798</v>
      </c>
      <c r="AQ242" s="9"/>
      <c r="AR242" s="225">
        <f>(SUMPRODUCT(AR$9:AR$229,Nutrients!$DG$8:$DG$228)+(IF($A$7=Nutrients!$B$8,Nutrients!$DG$8,Nutrients!$DG$9)*AR$7)+(((IF($A$8=Nutrients!$B$79,Nutrients!$DG$79,(IF($A$8=Nutrients!$B$77,Nutrients!$DG$77,Nutrients!$DG$78)))))*AR$8))/2000/AR$236*100</f>
        <v>18.967024067409842</v>
      </c>
      <c r="AS242" s="225">
        <f>(SUMPRODUCT(AS$9:AS$229,Nutrients!$DG$8:$DG$228)+(IF($A$7=Nutrients!$B$8,Nutrients!$DG$8,Nutrients!$DG$9)*AS$7)+(((IF($A$8=Nutrients!$B$79,Nutrients!$DG$79,(IF($A$8=Nutrients!$B$77,Nutrients!$DG$77,Nutrients!$DG$78)))))*AS$8))/2000/AS$236*100</f>
        <v>18.952848679969303</v>
      </c>
      <c r="AT242" s="225">
        <f>(SUMPRODUCT(AT$9:AT$229,Nutrients!$DG$8:$DG$228)+(IF($A$7=Nutrients!$B$8,Nutrients!$DG$8,Nutrients!$DG$9)*AT$7)+(((IF($A$8=Nutrients!$B$79,Nutrients!$DG$79,(IF($A$8=Nutrients!$B$77,Nutrients!$DG$77,Nutrients!$DG$78)))))*AT$8))/2000/AT$236*100</f>
        <v>18.938753640222636</v>
      </c>
      <c r="AU242" s="225">
        <f>(SUMPRODUCT(AU$9:AU$229,Nutrients!$DG$8:$DG$228)+(IF($A$7=Nutrients!$B$8,Nutrients!$DG$8,Nutrients!$DG$9)*AU$7)+(((IF($A$8=Nutrients!$B$79,Nutrients!$DG$79,(IF($A$8=Nutrients!$B$77,Nutrients!$DG$77,Nutrients!$DG$78)))))*AU$8))/2000/AU$236*100</f>
        <v>18.938834070770465</v>
      </c>
      <c r="AV242" s="225">
        <f>(SUMPRODUCT(AV$9:AV$229,Nutrients!$DG$8:$DG$228)+(IF($A$7=Nutrients!$B$8,Nutrients!$DG$8,Nutrients!$DG$9)*AV$7)+(((IF($A$8=Nutrients!$B$79,Nutrients!$DG$79,(IF($A$8=Nutrients!$B$77,Nutrients!$DG$77,Nutrients!$DG$78)))))*AV$8))/2000/AV$236*100</f>
        <v>18.941890916379979</v>
      </c>
      <c r="AW242" s="225">
        <f>(SUMPRODUCT(AW$9:AW$229,Nutrients!$DG$8:$DG$228)+(IF($A$7=Nutrients!$B$8,Nutrients!$DG$8,Nutrients!$DG$9)*AW$7)+(((IF($A$8=Nutrients!$B$79,Nutrients!$DG$79,(IF($A$8=Nutrients!$B$77,Nutrients!$DG$77,Nutrients!$DG$78)))))*AW$8))/2000/AW$236*100</f>
        <v>18.944373466713511</v>
      </c>
      <c r="AX242" s="9"/>
      <c r="AZ242" s="117"/>
      <c r="BA242" s="117"/>
      <c r="BB242" s="117"/>
      <c r="BC242" s="117"/>
      <c r="BD242" s="117"/>
      <c r="BE242" s="117"/>
      <c r="BG242" s="447"/>
      <c r="BH242" s="447"/>
      <c r="BI242" s="447"/>
      <c r="BJ242" s="447"/>
      <c r="BK242" s="447"/>
      <c r="BL242" s="447"/>
    </row>
    <row r="243" spans="1:64" s="2" customFormat="1" x14ac:dyDescent="0.25">
      <c r="A243" s="38" t="s">
        <v>388</v>
      </c>
      <c r="B243" s="192">
        <f>(SUMPRODUCT(B$9:B$229,Nutrients!$DH$8:$DH$228)+(IF($A$7=Nutrients!$B$8,Nutrients!$DH$8,Nutrients!$DH$9)*B$7)+(((IF($A$8=Nutrients!$B$79,Nutrients!$DH$79,(IF($A$8=Nutrients!$B$77,Nutrients!$DH$77,Nutrients!$DH$78)))))*B$8))/2000/B$236*100</f>
        <v>67.999142547613729</v>
      </c>
      <c r="C243" s="192">
        <f>(SUMPRODUCT(C$9:C$229,Nutrients!$DH$8:$DH$228)+(IF($A$7=Nutrients!$B$8,Nutrients!$DH$8,Nutrients!$DH$9)*C$7)+(((IF($A$8=Nutrients!$B$79,Nutrients!$DH$79,(IF($A$8=Nutrients!$B$77,Nutrients!$DH$77,Nutrients!$DH$78)))))*C$8))/2000/C$236*100</f>
        <v>68.120000000000076</v>
      </c>
      <c r="D243" s="192">
        <f>(SUMPRODUCT(D$9:D$229,Nutrients!$DH$8:$DH$228)+(IF($A$7=Nutrients!$B$8,Nutrients!$DH$8,Nutrients!$DH$9)*D$7)+(((IF($A$8=Nutrients!$B$79,Nutrients!$DH$79,(IF($A$8=Nutrients!$B$77,Nutrients!$DH$77,Nutrients!$DH$78)))))*D$8))/2000/D$236*100</f>
        <v>68.530000000000015</v>
      </c>
      <c r="E243" s="192">
        <f>(SUMPRODUCT(E$9:E$229,Nutrients!$DH$8:$DH$228)+(IF($A$7=Nutrients!$B$8,Nutrients!$DH$8,Nutrients!$DH$9)*E$7)+(((IF($A$8=Nutrients!$B$79,Nutrients!$DH$79,(IF($A$8=Nutrients!$B$77,Nutrients!$DH$77,Nutrients!$DH$78)))))*E$8))/2000/E$236*100</f>
        <v>69.691537460576043</v>
      </c>
      <c r="F243" s="192">
        <f>(SUMPRODUCT(F$9:F$229,Nutrients!$DH$8:$DH$228)+(IF($A$7=Nutrients!$B$8,Nutrients!$DH$8,Nutrients!$DH$9)*F$7)+(((IF($A$8=Nutrients!$B$79,Nutrients!$DH$79,(IF($A$8=Nutrients!$B$77,Nutrients!$DH$77,Nutrients!$DH$78)))))*F$8))/2000/F$236*100</f>
        <v>70.432280668663623</v>
      </c>
      <c r="G243" s="192">
        <f>(SUMPRODUCT(G$9:G$229,Nutrients!$DH$8:$DH$228)+(IF($A$7=Nutrients!$B$8,Nutrients!$DH$8,Nutrients!$DH$9)*G$7)+(((IF($A$8=Nutrients!$B$79,Nutrients!$DH$79,(IF($A$8=Nutrients!$B$77,Nutrients!$DH$77,Nutrients!$DH$78)))))*G$8))/2000/G$236*100</f>
        <v>70.540000000000006</v>
      </c>
      <c r="H243" s="224"/>
      <c r="I243" s="225">
        <f>(SUMPRODUCT(I$9:I$229,Nutrients!$DH$8:$DH$228)+(IF($A$7=Nutrients!$B$8,Nutrients!$DH$8,Nutrients!$DH$9)*I$7)+(((IF($A$8=Nutrients!$B$79,Nutrients!$DH$79,(IF($A$8=Nutrients!$B$77,Nutrients!$DH$77,Nutrients!$DH$78)))))*I$8))/2000/I$236*100</f>
        <v>68.040000000000134</v>
      </c>
      <c r="J243" s="225">
        <f>(SUMPRODUCT(J$9:J$229,Nutrients!$DH$8:$DH$228)+(IF($A$7=Nutrients!$B$8,Nutrients!$DH$8,Nutrients!$DH$9)*J$7)+(((IF($A$8=Nutrients!$B$79,Nutrients!$DH$79,(IF($A$8=Nutrients!$B$77,Nutrients!$DH$77,Nutrients!$DH$78)))))*J$8))/2000/J$236*100</f>
        <v>68.36000000000007</v>
      </c>
      <c r="K243" s="225">
        <f>(SUMPRODUCT(K$9:K$229,Nutrients!$DH$8:$DH$228)+(IF($A$7=Nutrients!$B$8,Nutrients!$DH$8,Nutrients!$DH$9)*K$7)+(((IF($A$8=Nutrients!$B$79,Nutrients!$DH$79,(IF($A$8=Nutrients!$B$77,Nutrients!$DH$77,Nutrients!$DH$78)))))*K$8))/2000/K$236*100</f>
        <v>69.569999999999979</v>
      </c>
      <c r="L243" s="225">
        <f>(SUMPRODUCT(L$9:L$229,Nutrients!$DH$8:$DH$228)+(IF($A$7=Nutrients!$B$8,Nutrients!$DH$8,Nutrients!$DH$9)*L$7)+(((IF($A$8=Nutrients!$B$79,Nutrients!$DH$79,(IF($A$8=Nutrients!$B$77,Nutrients!$DH$77,Nutrients!$DH$78)))))*L$8))/2000/L$236*100</f>
        <v>70.679999999999993</v>
      </c>
      <c r="M243" s="225">
        <f>(SUMPRODUCT(M$9:M$229,Nutrients!$DH$8:$DH$228)+(IF($A$7=Nutrients!$B$8,Nutrients!$DH$8,Nutrients!$DH$9)*M$7)+(((IF($A$8=Nutrients!$B$79,Nutrients!$DH$79,(IF($A$8=Nutrients!$B$77,Nutrients!$DH$77,Nutrients!$DH$78)))))*M$8))/2000/M$236*100</f>
        <v>71.360000000000028</v>
      </c>
      <c r="N243" s="225">
        <f>(SUMPRODUCT(N$9:N$229,Nutrients!$DH$8:$DH$228)+(IF($A$7=Nutrients!$B$8,Nutrients!$DH$8,Nutrients!$DH$9)*N$7)+(((IF($A$8=Nutrients!$B$79,Nutrients!$DH$79,(IF($A$8=Nutrients!$B$77,Nutrients!$DH$77,Nutrients!$DH$78)))))*N$8))/2000/N$236*100</f>
        <v>71.88</v>
      </c>
      <c r="O243" s="472"/>
      <c r="P243" s="225">
        <f>(SUMPRODUCT(P$9:P$229,Nutrients!$DH$8:$DH$228)+(IF($A$7=Nutrients!$B$8,Nutrients!$DH$8,Nutrients!$DH$9)*P$7)+(((IF($A$8=Nutrients!$B$79,Nutrients!$DH$79,(IF($A$8=Nutrients!$B$77,Nutrients!$DH$77,Nutrients!$DH$78)))))*P$8))/2000/P$236*100</f>
        <v>68.280000000000072</v>
      </c>
      <c r="Q243" s="225">
        <f>(SUMPRODUCT(Q$9:Q$229,Nutrients!$DH$8:$DH$228)+(IF($A$7=Nutrients!$B$8,Nutrients!$DH$8,Nutrients!$DH$9)*Q$7)+(((IF($A$8=Nutrients!$B$79,Nutrients!$DH$79,(IF($A$8=Nutrients!$B$77,Nutrients!$DH$77,Nutrients!$DH$78)))))*Q$8))/2000/Q$236*100</f>
        <v>69.179999999999964</v>
      </c>
      <c r="R243" s="225">
        <f>(SUMPRODUCT(R$9:R$229,Nutrients!$DH$8:$DH$228)+(IF($A$7=Nutrients!$B$8,Nutrients!$DH$8,Nutrients!$DH$9)*R$7)+(((IF($A$8=Nutrients!$B$79,Nutrients!$DH$79,(IF($A$8=Nutrients!$B$77,Nutrients!$DH$77,Nutrients!$DH$78)))))*R$8))/2000/R$236*100</f>
        <v>70.539999999999935</v>
      </c>
      <c r="S243" s="225">
        <f>(SUMPRODUCT(S$9:S$229,Nutrients!$DH$8:$DH$228)+(IF($A$7=Nutrients!$B$8,Nutrients!$DH$8,Nutrients!$DH$9)*S$7)+(((IF($A$8=Nutrients!$B$79,Nutrients!$DH$79,(IF($A$8=Nutrients!$B$77,Nutrients!$DH$77,Nutrients!$DH$78)))))*S$8))/2000/S$236*100</f>
        <v>72.073330136842202</v>
      </c>
      <c r="T243" s="225">
        <f>(SUMPRODUCT(T$9:T$229,Nutrients!$DH$8:$DH$228)+(IF($A$7=Nutrients!$B$8,Nutrients!$DH$8,Nutrients!$DH$9)*T$7)+(((IF($A$8=Nutrients!$B$79,Nutrients!$DH$79,(IF($A$8=Nutrients!$B$77,Nutrients!$DH$77,Nutrients!$DH$78)))))*T$8))/2000/T$236*100</f>
        <v>72.630426490036513</v>
      </c>
      <c r="U243" s="225">
        <f>(SUMPRODUCT(U$9:U$229,Nutrients!$DH$8:$DH$228)+(IF($A$7=Nutrients!$B$8,Nutrients!$DH$8,Nutrients!$DH$9)*U$7)+(((IF($A$8=Nutrients!$B$79,Nutrients!$DH$79,(IF($A$8=Nutrients!$B$77,Nutrients!$DH$77,Nutrients!$DH$78)))))*U$8))/2000/U$236*100</f>
        <v>72.969050560368316</v>
      </c>
      <c r="V243" s="9"/>
      <c r="W243" s="225">
        <f>(SUMPRODUCT(W$9:W$229,Nutrients!$DH$8:$DH$228)+(IF($A$7=Nutrients!$B$8,Nutrients!$DH$8,Nutrients!$DH$9)*W$7)+(((IF($A$8=Nutrients!$B$79,Nutrients!$DH$79,(IF($A$8=Nutrients!$B$77,Nutrients!$DH$77,Nutrients!$DH$78)))))*W$8))/2000/W$236*100</f>
        <v>68.789999999999978</v>
      </c>
      <c r="X243" s="225">
        <f>(SUMPRODUCT(X$9:X$229,Nutrients!$DH$8:$DH$228)+(IF($A$7=Nutrients!$B$8,Nutrients!$DH$8,Nutrients!$DH$9)*X$7)+(((IF($A$8=Nutrients!$B$79,Nutrients!$DH$79,(IF($A$8=Nutrients!$B$77,Nutrients!$DH$77,Nutrients!$DH$78)))))*X$8))/2000/X$236*100</f>
        <v>69.935588506790552</v>
      </c>
      <c r="Y243" s="225">
        <f>(SUMPRODUCT(Y$9:Y$229,Nutrients!$DH$8:$DH$228)+(IF($A$7=Nutrients!$B$8,Nutrients!$DH$8,Nutrients!$DH$9)*Y$7)+(((IF($A$8=Nutrients!$B$79,Nutrients!$DH$79,(IF($A$8=Nutrients!$B$77,Nutrients!$DH$77,Nutrients!$DH$78)))))*Y$8))/2000/Y$236*100</f>
        <v>71.826002010320948</v>
      </c>
      <c r="Z243" s="225">
        <f>(SUMPRODUCT(Z$9:Z$229,Nutrients!$DH$8:$DH$228)+(IF($A$7=Nutrients!$B$8,Nutrients!$DH$8,Nutrients!$DH$9)*Z$7)+(((IF($A$8=Nutrients!$B$79,Nutrients!$DH$79,(IF($A$8=Nutrients!$B$77,Nutrients!$DH$77,Nutrients!$DH$78)))))*Z$8))/2000/Z$236*100</f>
        <v>74.094300716573443</v>
      </c>
      <c r="AA243" s="225">
        <f>(SUMPRODUCT(AA$9:AA$229,Nutrients!$DH$8:$DH$228)+(IF($A$7=Nutrients!$B$8,Nutrients!$DH$8,Nutrients!$DH$9)*AA$7)+(((IF($A$8=Nutrients!$B$79,Nutrients!$DH$79,(IF($A$8=Nutrients!$B$77,Nutrients!$DH$77,Nutrients!$DH$78)))))*AA$8))/2000/AA$236*100</f>
        <v>74.834806210118998</v>
      </c>
      <c r="AB243" s="225">
        <f>(SUMPRODUCT(AB$9:AB$229,Nutrients!$DH$8:$DH$228)+(IF($A$7=Nutrients!$B$8,Nutrients!$DH$8,Nutrients!$DH$9)*AB$7)+(((IF($A$8=Nutrients!$B$79,Nutrients!$DH$79,(IF($A$8=Nutrients!$B$77,Nutrients!$DH$77,Nutrients!$DH$78)))))*AB$8))/2000/AB$236*100</f>
        <v>75.288067824540704</v>
      </c>
      <c r="AC243" s="9"/>
      <c r="AD243" s="225">
        <f>(SUMPRODUCT(AD$9:AD$229,Nutrients!$DH$8:$DH$228)+(IF($A$7=Nutrients!$B$8,Nutrients!$DH$8,Nutrients!$DH$9)*AD$7)+(((IF($A$8=Nutrients!$B$79,Nutrients!$DH$79,(IF($A$8=Nutrients!$B$77,Nutrients!$DH$77,Nutrients!$DH$78)))))*AD$8))/2000/AD$236*100</f>
        <v>69.570000000000007</v>
      </c>
      <c r="AE243" s="225">
        <f>(SUMPRODUCT(AE$9:AE$229,Nutrients!$DH$8:$DH$228)+(IF($A$7=Nutrients!$B$8,Nutrients!$DH$8,Nutrients!$DH$9)*AE$7)+(((IF($A$8=Nutrients!$B$79,Nutrients!$DH$79,(IF($A$8=Nutrients!$B$77,Nutrients!$DH$77,Nutrients!$DH$78)))))*AE$8))/2000/AE$236*100</f>
        <v>70.959999999999994</v>
      </c>
      <c r="AF243" s="225">
        <f>(SUMPRODUCT(AF$9:AF$229,Nutrients!$DH$8:$DH$228)+(IF($A$7=Nutrients!$B$8,Nutrients!$DH$8,Nutrients!$DH$9)*AF$7)+(((IF($A$8=Nutrients!$B$79,Nutrients!$DH$79,(IF($A$8=Nutrients!$B$77,Nutrients!$DH$77,Nutrients!$DH$78)))))*AF$8))/2000/AF$236*100</f>
        <v>73.643761112610846</v>
      </c>
      <c r="AG243" s="225">
        <f>(SUMPRODUCT(AG$9:AG$229,Nutrients!$DH$8:$DH$228)+(IF($A$7=Nutrients!$B$8,Nutrients!$DH$8,Nutrients!$DH$9)*AG$7)+(((IF($A$8=Nutrients!$B$79,Nutrients!$DH$79,(IF($A$8=Nutrients!$B$77,Nutrients!$DH$77,Nutrients!$DH$78)))))*AG$8))/2000/AG$236*100</f>
        <v>76.14304879771521</v>
      </c>
      <c r="AH243" s="225">
        <f>(SUMPRODUCT(AH$9:AH$229,Nutrients!$DH$8:$DH$228)+(IF($A$7=Nutrients!$B$8,Nutrients!$DH$8,Nutrients!$DH$9)*AH$7)+(((IF($A$8=Nutrients!$B$79,Nutrients!$DH$79,(IF($A$8=Nutrients!$B$77,Nutrients!$DH$77,Nutrients!$DH$78)))))*AH$8))/2000/AH$236*100</f>
        <v>77.062926686196832</v>
      </c>
      <c r="AI243" s="225">
        <f>(SUMPRODUCT(AI$9:AI$229,Nutrients!$DH$8:$DH$228)+(IF($A$7=Nutrients!$B$8,Nutrients!$DH$8,Nutrients!$DH$9)*AI$7)+(((IF($A$8=Nutrients!$B$79,Nutrients!$DH$79,(IF($A$8=Nutrients!$B$77,Nutrients!$DH$77,Nutrients!$DH$78)))))*AI$8))/2000/AI$236*100</f>
        <v>77.631684363662828</v>
      </c>
      <c r="AJ243" s="9"/>
      <c r="AK243" s="225">
        <f>(SUMPRODUCT(AK$9:AK$229,Nutrients!$DH$8:$DH$228)+(IF($A$7=Nutrients!$B$8,Nutrients!$DH$8,Nutrients!$DH$9)*AK$7)+(((IF($A$8=Nutrients!$B$79,Nutrients!$DH$79,(IF($A$8=Nutrients!$B$77,Nutrients!$DH$77,Nutrients!$DH$78)))))*AK$8))/2000/AK$236*100</f>
        <v>70.41709314427959</v>
      </c>
      <c r="AL243" s="225">
        <f>(SUMPRODUCT(AL$9:AL$229,Nutrients!$DH$8:$DH$228)+(IF($A$7=Nutrients!$B$8,Nutrients!$DH$8,Nutrients!$DH$9)*AL$7)+(((IF($A$8=Nutrients!$B$79,Nutrients!$DH$79,(IF($A$8=Nutrients!$B$77,Nutrients!$DH$77,Nutrients!$DH$78)))))*AL$8))/2000/AL$236*100</f>
        <v>71.779933986649453</v>
      </c>
      <c r="AM243" s="225">
        <f>(SUMPRODUCT(AM$9:AM$229,Nutrients!$DH$8:$DH$228)+(IF($A$7=Nutrients!$B$8,Nutrients!$DH$8,Nutrients!$DH$9)*AM$7)+(((IF($A$8=Nutrients!$B$79,Nutrients!$DH$79,(IF($A$8=Nutrients!$B$77,Nutrients!$DH$77,Nutrients!$DH$78)))))*AM$8))/2000/AM$236*100</f>
        <v>75.48770187260034</v>
      </c>
      <c r="AN243" s="225">
        <f>(SUMPRODUCT(AN$9:AN$229,Nutrients!$DH$8:$DH$228)+(IF($A$7=Nutrients!$B$8,Nutrients!$DH$8,Nutrients!$DH$9)*AN$7)+(((IF($A$8=Nutrients!$B$79,Nutrients!$DH$79,(IF($A$8=Nutrients!$B$77,Nutrients!$DH$77,Nutrients!$DH$78)))))*AN$8))/2000/AN$236*100</f>
        <v>78.217226156358393</v>
      </c>
      <c r="AO243" s="225">
        <f>(SUMPRODUCT(AO$9:AO$229,Nutrients!$DH$8:$DH$228)+(IF($A$7=Nutrients!$B$8,Nutrients!$DH$8,Nutrients!$DH$9)*AO$7)+(((IF($A$8=Nutrients!$B$79,Nutrients!$DH$79,(IF($A$8=Nutrients!$B$77,Nutrients!$DH$77,Nutrients!$DH$78)))))*AO$8))/2000/AO$236*100</f>
        <v>79.325847817112248</v>
      </c>
      <c r="AP243" s="225">
        <f>(SUMPRODUCT(AP$9:AP$229,Nutrients!$DH$8:$DH$228)+(IF($A$7=Nutrients!$B$8,Nutrients!$DH$8,Nutrients!$DH$9)*AP$7)+(((IF($A$8=Nutrients!$B$79,Nutrients!$DH$79,(IF($A$8=Nutrients!$B$77,Nutrients!$DH$77,Nutrients!$DH$78)))))*AP$8))/2000/AP$236*100</f>
        <v>80.016259989185897</v>
      </c>
      <c r="AQ243" s="9"/>
      <c r="AR243" s="225">
        <f>(SUMPRODUCT(AR$9:AR$229,Nutrients!$DH$8:$DH$228)+(IF($A$7=Nutrients!$B$8,Nutrients!$DH$8,Nutrients!$DH$9)*AR$7)+(((IF($A$8=Nutrients!$B$79,Nutrients!$DH$79,(IF($A$8=Nutrients!$B$77,Nutrients!$DH$77,Nutrients!$DH$78)))))*AR$8))/2000/AR$236*100</f>
        <v>71.230000000000018</v>
      </c>
      <c r="AS243" s="225">
        <f>(SUMPRODUCT(AS$9:AS$229,Nutrients!$DH$8:$DH$228)+(IF($A$7=Nutrients!$B$8,Nutrients!$DH$8,Nutrients!$DH$9)*AS$7)+(((IF($A$8=Nutrients!$B$79,Nutrients!$DH$79,(IF($A$8=Nutrients!$B$77,Nutrients!$DH$77,Nutrients!$DH$78)))))*AS$8))/2000/AS$236*100</f>
        <v>73.415258740551764</v>
      </c>
      <c r="AT243" s="225">
        <f>(SUMPRODUCT(AT$9:AT$229,Nutrients!$DH$8:$DH$228)+(IF($A$7=Nutrients!$B$8,Nutrients!$DH$8,Nutrients!$DH$9)*AT$7)+(((IF($A$8=Nutrients!$B$79,Nutrients!$DH$79,(IF($A$8=Nutrients!$B$77,Nutrients!$DH$77,Nutrients!$DH$78)))))*AT$8))/2000/AT$236*100</f>
        <v>77.355601900908439</v>
      </c>
      <c r="AU243" s="225">
        <f>(SUMPRODUCT(AU$9:AU$229,Nutrients!$DH$8:$DH$228)+(IF($A$7=Nutrients!$B$8,Nutrients!$DH$8,Nutrients!$DH$9)*AU$7)+(((IF($A$8=Nutrients!$B$79,Nutrients!$DH$79,(IF($A$8=Nutrients!$B$77,Nutrients!$DH$77,Nutrients!$DH$78)))))*AU$8))/2000/AU$236*100</f>
        <v>80.320437176669842</v>
      </c>
      <c r="AV243" s="225">
        <f>(SUMPRODUCT(AV$9:AV$229,Nutrients!$DH$8:$DH$228)+(IF($A$7=Nutrients!$B$8,Nutrients!$DH$8,Nutrients!$DH$9)*AV$7)+(((IF($A$8=Nutrients!$B$79,Nutrients!$DH$79,(IF($A$8=Nutrients!$B$77,Nutrients!$DH$77,Nutrients!$DH$78)))))*AV$8))/2000/AV$236*100</f>
        <v>81.628341198539474</v>
      </c>
      <c r="AW243" s="225">
        <f>(SUMPRODUCT(AW$9:AW$229,Nutrients!$DH$8:$DH$228)+(IF($A$7=Nutrients!$B$8,Nutrients!$DH$8,Nutrients!$DH$9)*AW$7)+(((IF($A$8=Nutrients!$B$79,Nutrients!$DH$79,(IF($A$8=Nutrients!$B$77,Nutrients!$DH$77,Nutrients!$DH$78)))))*AW$8))/2000/AW$236*100</f>
        <v>82.442614234425236</v>
      </c>
      <c r="AX243" s="9"/>
      <c r="AZ243" s="117"/>
      <c r="BA243" s="117"/>
      <c r="BB243" s="117"/>
      <c r="BC243" s="117"/>
      <c r="BD243" s="117"/>
      <c r="BE243" s="117"/>
      <c r="BG243" s="447"/>
      <c r="BH243" s="447"/>
      <c r="BI243" s="447"/>
      <c r="BJ243" s="447"/>
      <c r="BK243" s="447"/>
      <c r="BL243" s="447"/>
    </row>
    <row r="244" spans="1:64" x14ac:dyDescent="0.25">
      <c r="A244" s="38" t="s">
        <v>394</v>
      </c>
      <c r="B244" s="20">
        <f>(SUMPRODUCT(B$9:B$229,Nutrients!$CX$8:$CX$228)+(IF($A$7=Nutrients!$B$8,Nutrients!$CX$8,Nutrients!$CX$9)*B$7)+(((IF($A$8=Nutrients!$B$79,Nutrients!$CX$79,(IF($A$8=Nutrients!$B$77,Nutrients!$CX$77,Nutrients!$CX$78)))))*B$8))/2000/B$236*100</f>
        <v>37.643570590355239</v>
      </c>
      <c r="C244" s="20">
        <f>(SUMPRODUCT(C$9:C$229,Nutrients!$CX$8:$CX$228)+(IF($A$7=Nutrients!$B$8,Nutrients!$CX$8,Nutrients!$CX$9)*C$7)+(((IF($A$8=Nutrients!$B$79,Nutrients!$CX$79,(IF($A$8=Nutrients!$B$77,Nutrients!$CX$77,Nutrients!$CX$78)))))*C$8))/2000/C$236*100</f>
        <v>38.987979019898518</v>
      </c>
      <c r="D244" s="20">
        <f>(SUMPRODUCT(D$9:D$229,Nutrients!$CX$8:$CX$228)+(IF($A$7=Nutrients!$B$8,Nutrients!$CX$8,Nutrients!$CX$9)*D$7)+(((IF($A$8=Nutrients!$B$79,Nutrients!$CX$79,(IF($A$8=Nutrients!$B$77,Nutrients!$CX$77,Nutrients!$CX$78)))))*D$8))/2000/D$236*100</f>
        <v>40.703752845303732</v>
      </c>
      <c r="E244" s="20">
        <f>(SUMPRODUCT(E$9:E$229,Nutrients!$CX$8:$CX$228)+(IF($A$7=Nutrients!$B$8,Nutrients!$CX$8,Nutrients!$CX$9)*E$7)+(((IF($A$8=Nutrients!$B$79,Nutrients!$CX$79,(IF($A$8=Nutrients!$B$77,Nutrients!$CX$77,Nutrients!$CX$78)))))*E$8))/2000/E$236*100</f>
        <v>41.851733002385814</v>
      </c>
      <c r="F244" s="20">
        <f>(SUMPRODUCT(F$9:F$229,Nutrients!$CX$8:$CX$228)+(IF($A$7=Nutrients!$B$8,Nutrients!$CX$8,Nutrients!$CX$9)*F$7)+(((IF($A$8=Nutrients!$B$79,Nutrients!$CX$79,(IF($A$8=Nutrients!$B$77,Nutrients!$CX$77,Nutrients!$CX$78)))))*F$8))/2000/F$236*100</f>
        <v>42.150034216074545</v>
      </c>
      <c r="G244" s="20">
        <f>(SUMPRODUCT(G$9:G$229,Nutrients!$CX$8:$CX$228)+(IF($A$7=Nutrients!$B$8,Nutrients!$CX$8,Nutrients!$CX$9)*G$7)+(((IF($A$8=Nutrients!$B$79,Nutrients!$CX$79,(IF($A$8=Nutrients!$B$77,Nutrients!$CX$77,Nutrients!$CX$78)))))*G$8))/2000/G$236*100</f>
        <v>42.332060863176054</v>
      </c>
      <c r="H244" s="224"/>
      <c r="I244" s="451">
        <f>(SUMPRODUCT(I$9:I$229,Nutrients!$CX$8:$CX$228)+(IF($A$7=Nutrients!$B$8,Nutrients!$CX$8,Nutrients!$CX$9)*I$7)+(((IF($A$8=Nutrients!$B$79,Nutrients!$CX$79,(IF($A$8=Nutrients!$B$77,Nutrients!$CX$77,Nutrients!$CX$78)))))*I$8))/2000/I$236*100</f>
        <v>38.168347730852638</v>
      </c>
      <c r="J244" s="451">
        <f>(SUMPRODUCT(J$9:J$229,Nutrients!$CX$8:$CX$228)+(IF($A$7=Nutrients!$B$8,Nutrients!$CX$8,Nutrients!$CX$9)*J$7)+(((IF($A$8=Nutrients!$B$79,Nutrients!$CX$79,(IF($A$8=Nutrients!$B$77,Nutrients!$CX$77,Nutrients!$CX$78)))))*J$8))/2000/J$236*100</f>
        <v>39.592830427274762</v>
      </c>
      <c r="K244" s="451">
        <f>(SUMPRODUCT(K$9:K$229,Nutrients!$CX$8:$CX$228)+(IF($A$7=Nutrients!$B$8,Nutrients!$CX$8,Nutrients!$CX$9)*K$7)+(((IF($A$8=Nutrients!$B$79,Nutrients!$CX$79,(IF($A$8=Nutrients!$B$77,Nutrients!$CX$77,Nutrients!$CX$78)))))*K$8))/2000/K$236*100</f>
        <v>41.401114647328392</v>
      </c>
      <c r="L244" s="451">
        <f>(SUMPRODUCT(L$9:L$229,Nutrients!$CX$8:$CX$228)+(IF($A$7=Nutrients!$B$8,Nutrients!$CX$8,Nutrients!$CX$9)*L$7)+(((IF($A$8=Nutrients!$B$79,Nutrients!$CX$79,(IF($A$8=Nutrients!$B$77,Nutrients!$CX$77,Nutrients!$CX$78)))))*L$8))/2000/L$236*100</f>
        <v>42.641110113492395</v>
      </c>
      <c r="M244" s="451">
        <f>(SUMPRODUCT(M$9:M$229,Nutrients!$CX$8:$CX$228)+(IF($A$7=Nutrients!$B$8,Nutrients!$CX$8,Nutrients!$CX$9)*M$7)+(((IF($A$8=Nutrients!$B$79,Nutrients!$CX$79,(IF($A$8=Nutrients!$B$77,Nutrients!$CX$77,Nutrients!$CX$78)))))*M$8))/2000/M$236*100</f>
        <v>43.015585237001289</v>
      </c>
      <c r="N244" s="451">
        <f>(SUMPRODUCT(N$9:N$229,Nutrients!$CX$8:$CX$228)+(IF($A$7=Nutrients!$B$8,Nutrients!$CX$8,Nutrients!$CX$9)*N$7)+(((IF($A$8=Nutrients!$B$79,Nutrients!$CX$79,(IF($A$8=Nutrients!$B$77,Nutrients!$CX$77,Nutrients!$CX$78)))))*N$8))/2000/N$236*100</f>
        <v>43.242409056538158</v>
      </c>
      <c r="O244" s="472"/>
      <c r="P244" s="451">
        <f>(SUMPRODUCT(P$9:P$229,Nutrients!$CX$8:$CX$228)+(IF($A$7=Nutrients!$B$8,Nutrients!$CX$8,Nutrients!$CX$9)*P$7)+(((IF($A$8=Nutrients!$B$79,Nutrients!$CX$79,(IF($A$8=Nutrients!$B$77,Nutrients!$CX$77,Nutrients!$CX$78)))))*P$8))/2000/P$236*100</f>
        <v>38.701731750206115</v>
      </c>
      <c r="Q244" s="451">
        <f>(SUMPRODUCT(Q$9:Q$229,Nutrients!$CX$8:$CX$228)+(IF($A$7=Nutrients!$B$8,Nutrients!$CX$8,Nutrients!$CX$9)*Q$7)+(((IF($A$8=Nutrients!$B$79,Nutrients!$CX$79,(IF($A$8=Nutrients!$B$77,Nutrients!$CX$77,Nutrients!$CX$78)))))*Q$8))/2000/Q$236*100</f>
        <v>40.205348879451769</v>
      </c>
      <c r="R244" s="451">
        <f>(SUMPRODUCT(R$9:R$229,Nutrients!$CX$8:$CX$228)+(IF($A$7=Nutrients!$B$8,Nutrients!$CX$8,Nutrients!$CX$9)*R$7)+(((IF($A$8=Nutrients!$B$79,Nutrients!$CX$79,(IF($A$8=Nutrients!$B$77,Nutrients!$CX$77,Nutrients!$CX$78)))))*R$8))/2000/R$236*100</f>
        <v>42.105208860921245</v>
      </c>
      <c r="S244" s="451">
        <f>(SUMPRODUCT(S$9:S$229,Nutrients!$CX$8:$CX$228)+(IF($A$7=Nutrients!$B$8,Nutrients!$CX$8,Nutrients!$CX$9)*S$7)+(((IF($A$8=Nutrients!$B$79,Nutrients!$CX$79,(IF($A$8=Nutrients!$B$77,Nutrients!$CX$77,Nutrients!$CX$78)))))*S$8))/2000/S$236*100</f>
        <v>43.443079537299568</v>
      </c>
      <c r="T244" s="451">
        <f>(SUMPRODUCT(T$9:T$229,Nutrients!$CX$8:$CX$228)+(IF($A$7=Nutrients!$B$8,Nutrients!$CX$8,Nutrients!$CX$9)*T$7)+(((IF($A$8=Nutrients!$B$79,Nutrients!$CX$79,(IF($A$8=Nutrients!$B$77,Nutrients!$CX$77,Nutrients!$CX$78)))))*T$8))/2000/T$236*100</f>
        <v>43.890254357587679</v>
      </c>
      <c r="U244" s="451">
        <f>(SUMPRODUCT(U$9:U$229,Nutrients!$CX$8:$CX$228)+(IF($A$7=Nutrients!$B$8,Nutrients!$CX$8,Nutrients!$CX$9)*U$7)+(((IF($A$8=Nutrients!$B$79,Nutrients!$CX$79,(IF($A$8=Nutrients!$B$77,Nutrients!$CX$77,Nutrients!$CX$78)))))*U$8))/2000/U$236*100</f>
        <v>44.163689839156156</v>
      </c>
      <c r="V244" s="9"/>
      <c r="W244" s="451">
        <f>(SUMPRODUCT(W$9:W$229,Nutrients!$CX$8:$CX$228)+(IF($A$7=Nutrients!$B$8,Nutrients!$CX$8,Nutrients!$CX$9)*W$7)+(((IF($A$8=Nutrients!$B$79,Nutrients!$CX$79,(IF($A$8=Nutrients!$B$77,Nutrients!$CX$77,Nutrients!$CX$78)))))*W$8))/2000/W$236*100</f>
        <v>39.242078840946334</v>
      </c>
      <c r="X244" s="451">
        <f>(SUMPRODUCT(X$9:X$229,Nutrients!$CX$8:$CX$228)+(IF($A$7=Nutrients!$B$8,Nutrients!$CX$8,Nutrients!$CX$9)*X$7)+(((IF($A$8=Nutrients!$B$79,Nutrients!$CX$79,(IF($A$8=Nutrients!$B$77,Nutrients!$CX$77,Nutrients!$CX$78)))))*X$8))/2000/X$236*100</f>
        <v>40.826434275453067</v>
      </c>
      <c r="Y244" s="451">
        <f>(SUMPRODUCT(Y$9:Y$229,Nutrients!$CX$8:$CX$228)+(IF($A$7=Nutrients!$B$8,Nutrients!$CX$8,Nutrients!$CX$9)*Y$7)+(((IF($A$8=Nutrients!$B$79,Nutrients!$CX$79,(IF($A$8=Nutrients!$B$77,Nutrients!$CX$77,Nutrients!$CX$78)))))*Y$8))/2000/Y$236*100</f>
        <v>42.824175240689563</v>
      </c>
      <c r="Z244" s="451">
        <f>(SUMPRODUCT(Z$9:Z$229,Nutrients!$CX$8:$CX$228)+(IF($A$7=Nutrients!$B$8,Nutrients!$CX$8,Nutrients!$CX$9)*Z$7)+(((IF($A$8=Nutrients!$B$79,Nutrients!$CX$79,(IF($A$8=Nutrients!$B$77,Nutrients!$CX$77,Nutrients!$CX$78)))))*Z$8))/2000/Z$236*100</f>
        <v>44.254795578456715</v>
      </c>
      <c r="AA244" s="451">
        <f>(SUMPRODUCT(AA$9:AA$229,Nutrients!$CX$8:$CX$228)+(IF($A$7=Nutrients!$B$8,Nutrients!$CX$8,Nutrients!$CX$9)*AA$7)+(((IF($A$8=Nutrients!$B$79,Nutrients!$CX$79,(IF($A$8=Nutrients!$B$77,Nutrients!$CX$77,Nutrients!$CX$78)))))*AA$8))/2000/AA$236*100</f>
        <v>44.774864630287148</v>
      </c>
      <c r="AB244" s="451">
        <f>(SUMPRODUCT(AB$9:AB$229,Nutrients!$CX$8:$CX$228)+(IF($A$7=Nutrients!$B$8,Nutrients!$CX$8,Nutrients!$CX$9)*AB$7)+(((IF($A$8=Nutrients!$B$79,Nutrients!$CX$79,(IF($A$8=Nutrients!$B$77,Nutrients!$CX$77,Nutrients!$CX$78)))))*AB$8))/2000/AB$236*100</f>
        <v>45.093655792390344</v>
      </c>
      <c r="AC244" s="9"/>
      <c r="AD244" s="451">
        <f>(SUMPRODUCT(AD$9:AD$229,Nutrients!$CX$8:$CX$228)+(IF($A$7=Nutrients!$B$8,Nutrients!$CX$8,Nutrients!$CX$9)*AD$7)+(((IF($A$8=Nutrients!$B$79,Nutrients!$CX$79,(IF($A$8=Nutrients!$B$77,Nutrients!$CX$77,Nutrients!$CX$78)))))*AD$8))/2000/AD$236*100</f>
        <v>39.789488884893757</v>
      </c>
      <c r="AE244" s="451">
        <f>(SUMPRODUCT(AE$9:AE$229,Nutrients!$CX$8:$CX$228)+(IF($A$7=Nutrients!$B$8,Nutrients!$CX$8,Nutrients!$CX$9)*AE$7)+(((IF($A$8=Nutrients!$B$79,Nutrients!$CX$79,(IF($A$8=Nutrients!$B$77,Nutrients!$CX$77,Nutrients!$CX$78)))))*AE$8))/2000/AE$236*100</f>
        <v>41.459001883004404</v>
      </c>
      <c r="AF244" s="451">
        <f>(SUMPRODUCT(AF$9:AF$229,Nutrients!$CX$8:$CX$228)+(IF($A$7=Nutrients!$B$8,Nutrients!$CX$8,Nutrients!$CX$9)*AF$7)+(((IF($A$8=Nutrients!$B$79,Nutrients!$CX$79,(IF($A$8=Nutrients!$B$77,Nutrients!$CX$77,Nutrients!$CX$78)))))*AF$8))/2000/AF$236*100</f>
        <v>43.55257741487646</v>
      </c>
      <c r="AG244" s="451">
        <f>(SUMPRODUCT(AG$9:AG$229,Nutrients!$CX$8:$CX$228)+(IF($A$7=Nutrients!$B$8,Nutrients!$CX$8,Nutrients!$CX$9)*AG$7)+(((IF($A$8=Nutrients!$B$79,Nutrients!$CX$79,(IF($A$8=Nutrients!$B$77,Nutrients!$CX$77,Nutrients!$CX$78)))))*AG$8))/2000/AG$236*100</f>
        <v>45.076785099177378</v>
      </c>
      <c r="AH244" s="451">
        <f>(SUMPRODUCT(AH$9:AH$229,Nutrients!$CX$8:$CX$228)+(IF($A$7=Nutrients!$B$8,Nutrients!$CX$8,Nutrients!$CX$9)*AH$7)+(((IF($A$8=Nutrients!$B$79,Nutrients!$CX$79,(IF($A$8=Nutrients!$B$77,Nutrients!$CX$77,Nutrients!$CX$78)))))*AH$8))/2000/AH$236*100</f>
        <v>45.665988796534293</v>
      </c>
      <c r="AI244" s="451">
        <f>(SUMPRODUCT(AI$9:AI$229,Nutrients!$CX$8:$CX$228)+(IF($A$7=Nutrients!$B$8,Nutrients!$CX$8,Nutrients!$CX$9)*AI$7)+(((IF($A$8=Nutrients!$B$79,Nutrients!$CX$79,(IF($A$8=Nutrients!$B$77,Nutrients!$CX$77,Nutrients!$CX$78)))))*AI$8))/2000/AI$236*100</f>
        <v>46.02984153132256</v>
      </c>
      <c r="AJ244" s="9"/>
      <c r="AK244" s="451">
        <f>(SUMPRODUCT(AK$9:AK$229,Nutrients!$CX$8:$CX$228)+(IF($A$7=Nutrients!$B$8,Nutrients!$CX$8,Nutrients!$CX$9)*AK$7)+(((IF($A$8=Nutrients!$B$79,Nutrients!$CX$79,(IF($A$8=Nutrients!$B$77,Nutrients!$CX$77,Nutrients!$CX$78)))))*AK$8))/2000/AK$236*100</f>
        <v>40.34395644724664</v>
      </c>
      <c r="AL244" s="451">
        <f>(SUMPRODUCT(AL$9:AL$229,Nutrients!$CX$8:$CX$228)+(IF($A$7=Nutrients!$B$8,Nutrients!$CX$8,Nutrients!$CX$9)*AL$7)+(((IF($A$8=Nutrients!$B$79,Nutrients!$CX$79,(IF($A$8=Nutrients!$B$77,Nutrients!$CX$77,Nutrients!$CX$78)))))*AL$8))/2000/AL$236*100</f>
        <v>42.101192964367613</v>
      </c>
      <c r="AM244" s="451">
        <f>(SUMPRODUCT(AM$9:AM$229,Nutrients!$CX$8:$CX$228)+(IF($A$7=Nutrients!$B$8,Nutrients!$CX$8,Nutrients!$CX$9)*AM$7)+(((IF($A$8=Nutrients!$B$79,Nutrients!$CX$79,(IF($A$8=Nutrients!$B$77,Nutrients!$CX$77,Nutrients!$CX$78)))))*AM$8))/2000/AM$236*100</f>
        <v>44.290848910713329</v>
      </c>
      <c r="AN244" s="451">
        <f>(SUMPRODUCT(AN$9:AN$229,Nutrients!$CX$8:$CX$228)+(IF($A$7=Nutrients!$B$8,Nutrients!$CX$8,Nutrients!$CX$9)*AN$7)+(((IF($A$8=Nutrients!$B$79,Nutrients!$CX$79,(IF($A$8=Nutrients!$B$77,Nutrients!$CX$77,Nutrients!$CX$78)))))*AN$8))/2000/AN$236*100</f>
        <v>45.906782860816314</v>
      </c>
      <c r="AO244" s="451">
        <f>(SUMPRODUCT(AO$9:AO$229,Nutrients!$CX$8:$CX$228)+(IF($A$7=Nutrients!$B$8,Nutrients!$CX$8,Nutrients!$CX$9)*AO$7)+(((IF($A$8=Nutrients!$B$79,Nutrients!$CX$79,(IF($A$8=Nutrients!$B$77,Nutrients!$CX$77,Nutrients!$CX$78)))))*AO$8))/2000/AO$236*100</f>
        <v>46.570001848257228</v>
      </c>
      <c r="AP244" s="451">
        <f>(SUMPRODUCT(AP$9:AP$229,Nutrients!$CX$8:$CX$228)+(IF($A$7=Nutrients!$B$8,Nutrients!$CX$8,Nutrients!$CX$9)*AP$7)+(((IF($A$8=Nutrients!$B$79,Nutrients!$CX$79,(IF($A$8=Nutrients!$B$77,Nutrients!$CX$77,Nutrients!$CX$78)))))*AP$8))/2000/AP$236*100</f>
        <v>46.982444479993269</v>
      </c>
      <c r="AQ244" s="9"/>
      <c r="AR244" s="451">
        <f>(SUMPRODUCT(AR$9:AR$229,Nutrients!$CX$8:$CX$228)+(IF($A$7=Nutrients!$B$8,Nutrients!$CX$8,Nutrients!$CX$9)*AR$7)+(((IF($A$8=Nutrients!$B$79,Nutrients!$CX$79,(IF($A$8=Nutrients!$B$77,Nutrients!$CX$77,Nutrients!$CX$78)))))*AR$8))/2000/AR$236*100</f>
        <v>40.901392315638475</v>
      </c>
      <c r="AS244" s="451">
        <f>(SUMPRODUCT(AS$9:AS$229,Nutrients!$CX$8:$CX$228)+(IF($A$7=Nutrients!$B$8,Nutrients!$CX$8,Nutrients!$CX$9)*AS$7)+(((IF($A$8=Nutrients!$B$79,Nutrients!$CX$79,(IF($A$8=Nutrients!$B$77,Nutrients!$CX$77,Nutrients!$CX$78)))))*AS$8))/2000/AS$236*100</f>
        <v>42.752468489760538</v>
      </c>
      <c r="AT244" s="451">
        <f>(SUMPRODUCT(AT$9:AT$229,Nutrients!$CX$8:$CX$228)+(IF($A$7=Nutrients!$B$8,Nutrients!$CX$8,Nutrients!$CX$9)*AT$7)+(((IF($A$8=Nutrients!$B$79,Nutrients!$CX$79,(IF($A$8=Nutrients!$B$77,Nutrients!$CX$77,Nutrients!$CX$78)))))*AT$8))/2000/AT$236*100</f>
        <v>45.03771568837989</v>
      </c>
      <c r="AU244" s="451">
        <f>(SUMPRODUCT(AU$9:AU$229,Nutrients!$CX$8:$CX$228)+(IF($A$7=Nutrients!$B$8,Nutrients!$CX$8,Nutrients!$CX$9)*AU$7)+(((IF($A$8=Nutrients!$B$79,Nutrients!$CX$79,(IF($A$8=Nutrients!$B$77,Nutrients!$CX$77,Nutrients!$CX$78)))))*AU$8))/2000/AU$236*100</f>
        <v>46.746501166351017</v>
      </c>
      <c r="AV244" s="451">
        <f>(SUMPRODUCT(AV$9:AV$229,Nutrients!$CX$8:$CX$228)+(IF($A$7=Nutrients!$B$8,Nutrients!$CX$8,Nutrients!$CX$9)*AV$7)+(((IF($A$8=Nutrients!$B$79,Nutrients!$CX$79,(IF($A$8=Nutrients!$B$77,Nutrients!$CX$77,Nutrients!$CX$78)))))*AV$8))/2000/AV$236*100</f>
        <v>47.489799465711627</v>
      </c>
      <c r="AW244" s="451">
        <f>(SUMPRODUCT(AW$9:AW$229,Nutrients!$CX$8:$CX$228)+(IF($A$7=Nutrients!$B$8,Nutrients!$CX$8,Nutrients!$CX$9)*AW$7)+(((IF($A$8=Nutrients!$B$79,Nutrients!$CX$79,(IF($A$8=Nutrients!$B$77,Nutrients!$CX$77,Nutrients!$CX$78)))))*AW$8))/2000/AW$236*100</f>
        <v>47.951727044132234</v>
      </c>
      <c r="AX244" s="9"/>
      <c r="AZ244" s="117"/>
      <c r="BA244" s="117"/>
      <c r="BB244" s="117"/>
      <c r="BC244" s="117"/>
      <c r="BD244" s="117"/>
      <c r="BE244" s="117"/>
      <c r="BG244" s="447"/>
      <c r="BH244" s="447"/>
      <c r="BI244" s="447"/>
      <c r="BJ244" s="447"/>
      <c r="BK244" s="447"/>
      <c r="BL244" s="447"/>
    </row>
    <row r="245" spans="1:64" x14ac:dyDescent="0.25">
      <c r="A245" s="5" t="s">
        <v>389</v>
      </c>
      <c r="B245" s="26">
        <f>(SUMPRODUCT(B$9:B$229,Nutrients!$AJ$8:$AJ$228)+(IF($A7=Nutrients!$B$8,Nutrients!$AJ$8,Nutrients!$AJ$9)*B$7)+(((IF($A8=Nutrients!$B$79,Nutrients!$AJ$79,(IF($A8=Nutrients!$B$77,Nutrients!$AJ$77,Nutrients!$AJ$78)))))*B$8))/2000</f>
        <v>1.3184028426828778</v>
      </c>
      <c r="C245" s="26">
        <f>(SUMPRODUCT(C$9:C$229,Nutrients!$AJ$8:$AJ$228)+(IF($A7=Nutrients!$B$8,Nutrients!$AJ$8,Nutrients!$AJ$9)*C$7)+(((IF($A8=Nutrients!$B$79,Nutrients!$AJ$79,(IF($A8=Nutrients!$B$77,Nutrients!$AJ$77,Nutrients!$AJ$78)))))*C$8))/2000</f>
        <v>1.1707660127345534</v>
      </c>
      <c r="D245" s="26">
        <f>(SUMPRODUCT(D$9:D$229,Nutrients!$AJ$8:$AJ$228)+(IF($A7=Nutrients!$B$8,Nutrients!$AJ$8,Nutrients!$AJ$9)*D$7)+(((IF($A8=Nutrients!$B$79,Nutrients!$AJ$79,(IF($A8=Nutrients!$B$77,Nutrients!$AJ$77,Nutrients!$AJ$78)))))*D$8))/2000</f>
        <v>1.0403693489168444</v>
      </c>
      <c r="E245" s="26">
        <f>(SUMPRODUCT(E$9:E$229,Nutrients!$AJ$8:$AJ$228)+(IF($A7=Nutrients!$B$8,Nutrients!$AJ$8,Nutrients!$AJ$9)*E$7)+(((IF($A8=Nutrients!$B$79,Nutrients!$AJ$79,(IF($A8=Nutrients!$B$77,Nutrients!$AJ$77,Nutrients!$AJ$78)))))*E$8))/2000</f>
        <v>0.93090396099650141</v>
      </c>
      <c r="F245" s="26">
        <f>(SUMPRODUCT(F$9:F$229,Nutrients!$AJ$8:$AJ$228)+(IF($A7=Nutrients!$B$8,Nutrients!$AJ$8,Nutrients!$AJ$9)*F$7)+(((IF($A8=Nutrients!$B$79,Nutrients!$AJ$79,(IF($A8=Nutrients!$B$77,Nutrients!$AJ$77,Nutrients!$AJ$78)))))*F$8))/2000</f>
        <v>0.85426384482722051</v>
      </c>
      <c r="G245" s="26">
        <f>(SUMPRODUCT(G$9:G$229,Nutrients!$AJ$8:$AJ$228)+(IF($A7=Nutrients!$B$8,Nutrients!$AJ$8,Nutrients!$AJ$9)*G$7)+(((IF($A8=Nutrients!$B$79,Nutrients!$AJ$79,(IF($A8=Nutrients!$B$77,Nutrients!$AJ$77,Nutrients!$AJ$78)))))*G$8))/2000</f>
        <v>0.81186991699752797</v>
      </c>
      <c r="H245" s="26"/>
      <c r="I245" s="26">
        <f>(SUMPRODUCT(I$9:I$229,Nutrients!$AJ$8:$AJ$228)+(IF($A7=Nutrients!$B$8,Nutrients!$AJ$8,Nutrients!$AJ$9)*I$7)+(((IF($A8=Nutrients!$B$79,Nutrients!$AJ$79,(IF($A8=Nutrients!$B$77,Nutrients!$AJ$77,Nutrients!$AJ$78)))))*I$8))/2000</f>
        <v>1.3165972753231034</v>
      </c>
      <c r="J245" s="26">
        <f>(SUMPRODUCT(J$9:J$229,Nutrients!$AJ$8:$AJ$228)+(IF($A7=Nutrients!$B$8,Nutrients!$AJ$8,Nutrients!$AJ$9)*J$7)+(((IF($A8=Nutrients!$B$79,Nutrients!$AJ$79,(IF($A8=Nutrients!$B$77,Nutrients!$AJ$77,Nutrients!$AJ$78)))))*J$8))/2000</f>
        <v>1.1705711272077199</v>
      </c>
      <c r="K245" s="26">
        <f>(SUMPRODUCT(K$9:K$229,Nutrients!$AJ$8:$AJ$228)+(IF($A7=Nutrients!$B$8,Nutrients!$AJ$8,Nutrients!$AJ$9)*K$7)+(((IF($A8=Nutrients!$B$79,Nutrients!$AJ$79,(IF($A8=Nutrients!$B$77,Nutrients!$AJ$77,Nutrients!$AJ$78)))))*K$8))/2000</f>
        <v>1.0415021589369753</v>
      </c>
      <c r="L245" s="26">
        <f>(SUMPRODUCT(L$9:L$229,Nutrients!$AJ$8:$AJ$228)+(IF($A7=Nutrients!$B$8,Nutrients!$AJ$8,Nutrients!$AJ$9)*L$7)+(((IF($A8=Nutrients!$B$79,Nutrients!$AJ$79,(IF($A8=Nutrients!$B$77,Nutrients!$AJ$77,Nutrients!$AJ$78)))))*L$8))/2000</f>
        <v>0.93291769458229434</v>
      </c>
      <c r="M245" s="26">
        <f>(SUMPRODUCT(M$9:M$229,Nutrients!$AJ$8:$AJ$228)+(IF($A7=Nutrients!$B$8,Nutrients!$AJ$8,Nutrients!$AJ$9)*M$7)+(((IF($A8=Nutrients!$B$79,Nutrients!$AJ$79,(IF($A8=Nutrients!$B$77,Nutrients!$AJ$77,Nutrients!$AJ$78)))))*M$8))/2000</f>
        <v>0.85621574303847592</v>
      </c>
      <c r="N245" s="26">
        <f>(SUMPRODUCT(N$9:N$229,Nutrients!$AJ$8:$AJ$228)+(IF($A7=Nutrients!$B$8,Nutrients!$AJ$8,Nutrients!$AJ$9)*N$7)+(((IF($A8=Nutrients!$B$79,Nutrients!$AJ$79,(IF($A8=Nutrients!$B$77,Nutrients!$AJ$77,Nutrients!$AJ$78)))))*N$8))/2000</f>
        <v>0.81426519087272076</v>
      </c>
      <c r="O245" s="197"/>
      <c r="P245" s="26">
        <f>(SUMPRODUCT(P$9:P$229,Nutrients!$AJ$8:$AJ$228)+(IF($A7=Nutrients!$B$8,Nutrients!$AJ$8,Nutrients!$AJ$9)*P$7)+(((IF($A8=Nutrients!$B$79,Nutrients!$AJ$79,(IF($A8=Nutrients!$B$77,Nutrients!$AJ$77,Nutrients!$AJ$78)))))*P$8))/2000</f>
        <v>1.3168679331202973</v>
      </c>
      <c r="Q245" s="26">
        <f>(SUMPRODUCT(Q$9:Q$229,Nutrients!$AJ$8:$AJ$228)+(IF($A7=Nutrients!$B$8,Nutrients!$AJ$8,Nutrients!$AJ$9)*Q$7)+(((IF($A8=Nutrients!$B$79,Nutrients!$AJ$79,(IF($A8=Nutrients!$B$77,Nutrients!$AJ$77,Nutrients!$AJ$78)))))*Q$8))/2000</f>
        <v>1.1718154601829185</v>
      </c>
      <c r="R245" s="26">
        <f>(SUMPRODUCT(R$9:R$229,Nutrients!$AJ$8:$AJ$228)+(IF($A7=Nutrients!$B$8,Nutrients!$AJ$8,Nutrients!$AJ$9)*R$7)+(((IF($A8=Nutrients!$B$79,Nutrients!$AJ$79,(IF($A8=Nutrients!$B$77,Nutrients!$AJ$77,Nutrients!$AJ$78)))))*R$8))/2000</f>
        <v>1.0437894391132152</v>
      </c>
      <c r="S245" s="26">
        <f>(SUMPRODUCT(S$9:S$229,Nutrients!$AJ$8:$AJ$228)+(IF($A7=Nutrients!$B$8,Nutrients!$AJ$8,Nutrients!$AJ$9)*S$7)+(((IF($A8=Nutrients!$B$79,Nutrients!$AJ$79,(IF($A8=Nutrients!$B$77,Nutrients!$AJ$77,Nutrients!$AJ$78)))))*S$8))/2000</f>
        <v>0.93471837776336242</v>
      </c>
      <c r="T245" s="26">
        <f>(SUMPRODUCT(T$9:T$229,Nutrients!$AJ$8:$AJ$228)+(IF($A7=Nutrients!$B$8,Nutrients!$AJ$8,Nutrients!$AJ$9)*T$7)+(((IF($A8=Nutrients!$B$79,Nutrients!$AJ$79,(IF($A8=Nutrients!$B$77,Nutrients!$AJ$77,Nutrients!$AJ$78)))))*T$8))/2000</f>
        <v>0.85886979209068937</v>
      </c>
      <c r="U245" s="26">
        <f>(SUMPRODUCT(U$9:U$229,Nutrients!$AJ$8:$AJ$228)+(IF($A7=Nutrients!$B$8,Nutrients!$AJ$8,Nutrients!$AJ$9)*U$7)+(((IF($A8=Nutrients!$B$79,Nutrients!$AJ$79,(IF($A8=Nutrients!$B$77,Nutrients!$AJ$77,Nutrients!$AJ$78)))))*U$8))/2000</f>
        <v>0.81726469675493518</v>
      </c>
      <c r="W245" s="26">
        <f>(SUMPRODUCT(W$9:W$229,Nutrients!$AJ$8:$AJ$228)+(IF($A7=Nutrients!$B$8,Nutrients!$AJ$8,Nutrients!$AJ$9)*W$7)+(((IF($A8=Nutrients!$B$79,Nutrients!$AJ$79,(IF($A8=Nutrients!$B$77,Nutrients!$AJ$77,Nutrients!$AJ$78)))))*W$8))/2000</f>
        <v>1.3171363831911274</v>
      </c>
      <c r="X245" s="26">
        <f>(SUMPRODUCT(X$9:X$229,Nutrients!$AJ$8:$AJ$228)+(IF($A7=Nutrients!$B$8,Nutrients!$AJ$8,Nutrients!$AJ$9)*X$7)+(((IF($A8=Nutrients!$B$79,Nutrients!$AJ$79,(IF($A8=Nutrients!$B$77,Nutrients!$AJ$77,Nutrients!$AJ$78)))))*X$8))/2000</f>
        <v>1.1730649254717505</v>
      </c>
      <c r="Y245" s="26">
        <f>(SUMPRODUCT(Y$9:Y$229,Nutrients!$AJ$8:$AJ$228)+(IF($A7=Nutrients!$B$8,Nutrients!$AJ$8,Nutrients!$AJ$9)*Y$7)+(((IF($A8=Nutrients!$B$79,Nutrients!$AJ$79,(IF($A8=Nutrients!$B$77,Nutrients!$AJ$77,Nutrients!$AJ$78)))))*Y$8))/2000</f>
        <v>1.0445670342924145</v>
      </c>
      <c r="Z245" s="26">
        <f>(SUMPRODUCT(Z$9:Z$229,Nutrients!$AJ$8:$AJ$228)+(IF($A7=Nutrients!$B$8,Nutrients!$AJ$8,Nutrients!$AJ$9)*Z$7)+(((IF($A8=Nutrients!$B$79,Nutrients!$AJ$79,(IF($A8=Nutrients!$B$77,Nutrients!$AJ$77,Nutrients!$AJ$78)))))*Z$8))/2000</f>
        <v>0.93690240670339475</v>
      </c>
      <c r="AA245" s="26">
        <f>(SUMPRODUCT(AA$9:AA$229,Nutrients!$AJ$8:$AJ$228)+(IF($A7=Nutrients!$B$8,Nutrients!$AJ$8,Nutrients!$AJ$9)*AA$7)+(((IF($A8=Nutrients!$B$79,Nutrients!$AJ$79,(IF($A8=Nutrients!$B$77,Nutrients!$AJ$77,Nutrients!$AJ$78)))))*AA$8))/2000</f>
        <v>0.861617428587236</v>
      </c>
      <c r="AB245" s="26">
        <f>(SUMPRODUCT(AB$9:AB$229,Nutrients!$AJ$8:$AJ$228)+(IF($A7=Nutrients!$B$8,Nutrients!$AJ$8,Nutrients!$AJ$9)*AB$7)+(((IF($A8=Nutrients!$B$79,Nutrients!$AJ$79,(IF($A8=Nutrients!$B$77,Nutrients!$AJ$77,Nutrients!$AJ$78)))))*AB$8))/2000</f>
        <v>0.82007814622679343</v>
      </c>
      <c r="AD245" s="26">
        <f>(SUMPRODUCT(AD$9:AD$229,Nutrients!$AJ$8:$AJ$228)+(IF($A7=Nutrients!$B$8,Nutrients!$AJ$8,Nutrients!$AJ$9)*AD$7)+(((IF($A8=Nutrients!$B$79,Nutrients!$AJ$79,(IF($A8=Nutrients!$B$77,Nutrients!$AJ$77,Nutrients!$AJ$78)))))*AD$8))/2000</f>
        <v>1.3172847721753069</v>
      </c>
      <c r="AE245" s="26">
        <f>(SUMPRODUCT(AE$9:AE$229,Nutrients!$AJ$8:$AJ$228)+(IF($A7=Nutrients!$B$8,Nutrients!$AJ$8,Nutrients!$AJ$9)*AE$7)+(((IF($A8=Nutrients!$B$79,Nutrients!$AJ$79,(IF($A8=Nutrients!$B$77,Nutrients!$AJ$77,Nutrients!$AJ$78)))))*AE$8))/2000</f>
        <v>1.1728302401977027</v>
      </c>
      <c r="AF245" s="26">
        <f>(SUMPRODUCT(AF$9:AF$229,Nutrients!$AJ$8:$AJ$228)+(IF($A7=Nutrients!$B$8,Nutrients!$AJ$8,Nutrients!$AJ$9)*AF$7)+(((IF($A8=Nutrients!$B$79,Nutrients!$AJ$79,(IF($A8=Nutrients!$B$77,Nutrients!$AJ$77,Nutrients!$AJ$78)))))*AF$8))/2000</f>
        <v>1.0456994980370526</v>
      </c>
      <c r="AG245" s="26">
        <f>(SUMPRODUCT(AG$9:AG$229,Nutrients!$AJ$8:$AJ$228)+(IF($A7=Nutrients!$B$8,Nutrients!$AJ$8,Nutrients!$AJ$9)*AG$7)+(((IF($A8=Nutrients!$B$79,Nutrients!$AJ$79,(IF($A8=Nutrients!$B$77,Nutrients!$AJ$77,Nutrients!$AJ$78)))))*AG$8))/2000</f>
        <v>0.93905437014704296</v>
      </c>
      <c r="AH245" s="26">
        <f>(SUMPRODUCT(AH$9:AH$229,Nutrients!$AJ$8:$AJ$228)+(IF($A7=Nutrients!$B$8,Nutrients!$AJ$8,Nutrients!$AJ$9)*AH$7)+(((IF($A8=Nutrients!$B$79,Nutrients!$AJ$79,(IF($A8=Nutrients!$B$77,Nutrients!$AJ$77,Nutrients!$AJ$78)))))*AH$8))/2000</f>
        <v>0.86376051668458242</v>
      </c>
      <c r="AI245" s="26">
        <f>(SUMPRODUCT(AI$9:AI$229,Nutrients!$AJ$8:$AJ$228)+(IF($A7=Nutrients!$B$8,Nutrients!$AJ$8,Nutrients!$AJ$9)*AI$7)+(((IF($A8=Nutrients!$B$79,Nutrients!$AJ$79,(IF($A8=Nutrients!$B$77,Nutrients!$AJ$77,Nutrients!$AJ$78)))))*AI$8))/2000</f>
        <v>0.8223778955208193</v>
      </c>
      <c r="AK245" s="26">
        <f>(SUMPRODUCT(AK$9:AK$229,Nutrients!$AJ$8:$AJ$228)+(IF($A7=Nutrients!$B$8,Nutrients!$AJ$8,Nutrients!$AJ$9)*AK$7)+(((IF($A8=Nutrients!$B$79,Nutrients!$AJ$79,(IF($A8=Nutrients!$B$77,Nutrients!$AJ$77,Nutrients!$AJ$78)))))*AK$8))/2000</f>
        <v>1.317823048658006</v>
      </c>
      <c r="AL245" s="26">
        <f>(SUMPRODUCT(AL$9:AL$229,Nutrients!$AJ$8:$AJ$228)+(IF($A7=Nutrients!$B$8,Nutrients!$AJ$8,Nutrients!$AJ$9)*AL$7)+(((IF($A8=Nutrients!$B$79,Nutrients!$AJ$79,(IF($A8=Nutrients!$B$77,Nutrients!$AJ$77,Nutrients!$AJ$78)))))*AL$8))/2000</f>
        <v>1.1730246906405077</v>
      </c>
      <c r="AM245" s="26">
        <f>(SUMPRODUCT(AM$9:AM$229,Nutrients!$AJ$8:$AJ$228)+(IF($A7=Nutrients!$B$8,Nutrients!$AJ$8,Nutrients!$AJ$9)*AM$7)+(((IF($A8=Nutrients!$B$79,Nutrients!$AJ$79,(IF($A8=Nutrients!$B$77,Nutrients!$AJ$77,Nutrients!$AJ$78)))))*AM$8))/2000</f>
        <v>1.0470019346152544</v>
      </c>
      <c r="AN245" s="26">
        <f>(SUMPRODUCT(AN$9:AN$229,Nutrients!$AJ$8:$AJ$228)+(IF($A7=Nutrients!$B$8,Nutrients!$AJ$8,Nutrients!$AJ$9)*AN$7)+(((IF($A8=Nutrients!$B$79,Nutrients!$AJ$79,(IF($A8=Nutrients!$B$77,Nutrients!$AJ$77,Nutrients!$AJ$78)))))*AN$8))/2000</f>
        <v>0.94073506676838925</v>
      </c>
      <c r="AO245" s="26">
        <f>(SUMPRODUCT(AO$9:AO$229,Nutrients!$AJ$8:$AJ$228)+(IF($A7=Nutrients!$B$8,Nutrients!$AJ$8,Nutrients!$AJ$9)*AO$7)+(((IF($A8=Nutrients!$B$79,Nutrients!$AJ$79,(IF($A8=Nutrients!$B$77,Nutrients!$AJ$77,Nutrients!$AJ$78)))))*AO$8))/2000</f>
        <v>0.86569673412516635</v>
      </c>
      <c r="AP245" s="26">
        <f>(SUMPRODUCT(AP$9:AP$229,Nutrients!$AJ$8:$AJ$228)+(IF($A7=Nutrients!$B$8,Nutrients!$AJ$8,Nutrients!$AJ$9)*AP$7)+(((IF($A8=Nutrients!$B$79,Nutrients!$AJ$79,(IF($A8=Nutrients!$B$77,Nutrients!$AJ$77,Nutrients!$AJ$78)))))*AP$8))/2000</f>
        <v>0.82467266078192591</v>
      </c>
      <c r="AR245" s="26">
        <f>(SUMPRODUCT(AR$9:AR$229,Nutrients!$AJ$8:$AJ$228)+(IF($A7=Nutrients!$B$8,Nutrients!$AJ$8,Nutrients!$AJ$9)*AR$7)+(((IF($A8=Nutrients!$B$79,Nutrients!$AJ$79,(IF($A8=Nutrients!$B$77,Nutrients!$AJ$77,Nutrients!$AJ$78)))))*AR$8))/2000</f>
        <v>1.321270683413682</v>
      </c>
      <c r="AS245" s="26">
        <f>(SUMPRODUCT(AS$9:AS$229,Nutrients!$AJ$8:$AJ$228)+(IF($A7=Nutrients!$B$8,Nutrients!$AJ$8,Nutrients!$AJ$9)*AS$7)+(((IF($A8=Nutrients!$B$79,Nutrients!$AJ$79,(IF($A8=Nutrients!$B$77,Nutrients!$AJ$77,Nutrients!$AJ$78)))))*AS$8))/2000</f>
        <v>1.1732244760087311</v>
      </c>
      <c r="AT245" s="26">
        <f>(SUMPRODUCT(AT$9:AT$229,Nutrients!$AJ$8:$AJ$228)+(IF($A7=Nutrients!$B$8,Nutrients!$AJ$8,Nutrients!$AJ$9)*AT$7)+(((IF($A8=Nutrients!$B$79,Nutrients!$AJ$79,(IF($A8=Nutrients!$B$77,Nutrients!$AJ$77,Nutrients!$AJ$78)))))*AT$8))/2000</f>
        <v>1.0485890334677697</v>
      </c>
      <c r="AU245" s="26">
        <f>(SUMPRODUCT(AU$9:AU$229,Nutrients!$AJ$8:$AJ$228)+(IF($A7=Nutrients!$B$8,Nutrients!$AJ$8,Nutrients!$AJ$9)*AU$7)+(((IF($A8=Nutrients!$B$79,Nutrients!$AJ$79,(IF($A8=Nutrients!$B$77,Nutrients!$AJ$77,Nutrients!$AJ$78)))))*AU$8))/2000</f>
        <v>0.94217791373071846</v>
      </c>
      <c r="AV245" s="26">
        <f>(SUMPRODUCT(AV$9:AV$229,Nutrients!$AJ$8:$AJ$228)+(IF($A7=Nutrients!$B$8,Nutrients!$AJ$8,Nutrients!$AJ$9)*AV$7)+(((IF($A8=Nutrients!$B$79,Nutrients!$AJ$79,(IF($A8=Nutrients!$B$77,Nutrients!$AJ$77,Nutrients!$AJ$78)))))*AV$8))/2000</f>
        <v>0.86764042764181337</v>
      </c>
      <c r="AW245" s="26">
        <f>(SUMPRODUCT(AW$9:AW$229,Nutrients!$AJ$8:$AJ$228)+(IF($A7=Nutrients!$B$8,Nutrients!$AJ$8,Nutrients!$AJ$9)*AW$7)+(((IF($A8=Nutrients!$B$79,Nutrients!$AJ$79,(IF($A8=Nutrients!$B$77,Nutrients!$AJ$77,Nutrients!$AJ$78)))))*AW$8))/2000</f>
        <v>0.82697027447753368</v>
      </c>
    </row>
    <row r="246" spans="1:64" x14ac:dyDescent="0.25">
      <c r="A246" s="3" t="s">
        <v>18</v>
      </c>
      <c r="B246" s="21">
        <f>(SUMPRODUCT(B$9:B$229,Nutrients!$E$8:$E$228)+(IF($A$7=Nutrients!$B$8,Nutrients!$E$8,Nutrients!$E$9)*B$7)+(((IF($A$8=Nutrients!$B$79,Nutrients!$E$79,(IF($A$8=Nutrients!$B$77,Nutrients!$E$77,Nutrients!$E$78)))))*B$8))/2000/2.2046</f>
        <v>1494.8752150724465</v>
      </c>
      <c r="C246" s="21">
        <f>(SUMPRODUCT(C$9:C$229,Nutrients!$E$8:$E$228)+(IF($A$7=Nutrients!$B$8,Nutrients!$E$8,Nutrients!$E$9)*C$7)+(((IF($A$8=Nutrients!$B$79,Nutrients!$E$79,(IF($A$8=Nutrients!$B$77,Nutrients!$E$77,Nutrients!$E$78)))))*C$8))/2000/2.2046</f>
        <v>1499.3360353372043</v>
      </c>
      <c r="D246" s="21">
        <f>(SUMPRODUCT(D$9:D$229,Nutrients!$E$8:$E$228)+(IF($A$7=Nutrients!$B$8,Nutrients!$E$8,Nutrients!$E$9)*D$7)+(((IF($A$8=Nutrients!$B$79,Nutrients!$E$79,(IF($A$8=Nutrients!$B$77,Nutrients!$E$77,Nutrients!$E$78)))))*D$8))/2000/2.2046</f>
        <v>1503.3094742023004</v>
      </c>
      <c r="E246" s="21">
        <f>(SUMPRODUCT(E$9:E$229,Nutrients!$E$8:$E$228)+(IF($A$7=Nutrients!$B$8,Nutrients!$E$8,Nutrients!$E$9)*E$7)+(((IF($A$8=Nutrients!$B$79,Nutrients!$E$79,(IF($A$8=Nutrients!$B$77,Nutrients!$E$77,Nutrients!$E$78)))))*E$8))/2000/2.2046</f>
        <v>1507.503198782209</v>
      </c>
      <c r="F246" s="21">
        <f>(SUMPRODUCT(F$9:F$229,Nutrients!$E$8:$E$228)+(IF($A$7=Nutrients!$B$8,Nutrients!$E$8,Nutrients!$E$9)*F$7)+(((IF($A$8=Nutrients!$B$79,Nutrients!$E$79,(IF($A$8=Nutrients!$B$77,Nutrients!$E$77,Nutrients!$E$78)))))*F$8))/2000/2.2046</f>
        <v>1511.0932854222328</v>
      </c>
      <c r="G246" s="21">
        <f>(SUMPRODUCT(G$9:G$229,Nutrients!$E$8:$E$228)+(IF($A$7=Nutrients!$B$8,Nutrients!$E$8,Nutrients!$E$9)*G$7)+(((IF($A$8=Nutrients!$B$79,Nutrients!$E$79,(IF($A$8=Nutrients!$B$77,Nutrients!$E$77,Nutrients!$E$78)))))*G$8))/2000/2.2046</f>
        <v>1512.5359640705287</v>
      </c>
      <c r="H246" s="226"/>
      <c r="I246" s="21">
        <f>(SUMPRODUCT(I$9:I$229,Nutrients!$E$8:$E$228)+(IF($A$7=Nutrients!$B$8,Nutrients!$E$8,Nutrients!$E$9)*I$7)+(((IF($A$8=Nutrients!$B$79,Nutrients!$E$79,(IF($A$8=Nutrients!$B$77,Nutrients!$E$77,Nutrients!$E$78)))))*I$8))/2000/2.2046</f>
        <v>1498.0868445992664</v>
      </c>
      <c r="J246" s="21">
        <f>(SUMPRODUCT(J$9:J$229,Nutrients!$E$8:$E$228)+(IF($A$7=Nutrients!$B$8,Nutrients!$E$8,Nutrients!$E$9)*J$7)+(((IF($A$8=Nutrients!$B$79,Nutrients!$E$79,(IF($A$8=Nutrients!$B$77,Nutrients!$E$77,Nutrients!$E$78)))))*J$8))/2000/2.2046</f>
        <v>1502.4481960379085</v>
      </c>
      <c r="K246" s="21">
        <f>(SUMPRODUCT(K$9:K$229,Nutrients!$E$8:$E$228)+(IF($A$7=Nutrients!$B$8,Nutrients!$E$8,Nutrients!$E$9)*K$7)+(((IF($A$8=Nutrients!$B$79,Nutrients!$E$79,(IF($A$8=Nutrients!$B$77,Nutrients!$E$77,Nutrients!$E$78)))))*K$8))/2000/2.2046</f>
        <v>1506.6130446272007</v>
      </c>
      <c r="L246" s="21">
        <f>(SUMPRODUCT(L$9:L$229,Nutrients!$E$8:$E$228)+(IF($A$7=Nutrients!$B$8,Nutrients!$E$8,Nutrients!$E$9)*L$7)+(((IF($A$8=Nutrients!$B$79,Nutrients!$E$79,(IF($A$8=Nutrients!$B$77,Nutrients!$E$77,Nutrients!$E$78)))))*L$8))/2000/2.2046</f>
        <v>1510.6967700756811</v>
      </c>
      <c r="M246" s="21">
        <f>(SUMPRODUCT(M$9:M$229,Nutrients!$E$8:$E$228)+(IF($A$7=Nutrients!$B$8,Nutrients!$E$8,Nutrients!$E$9)*M$7)+(((IF($A$8=Nutrients!$B$79,Nutrients!$E$79,(IF($A$8=Nutrients!$B$77,Nutrients!$E$77,Nutrients!$E$78)))))*M$8))/2000/2.2046</f>
        <v>1514.2432218950551</v>
      </c>
      <c r="N246" s="21">
        <f>(SUMPRODUCT(N$9:N$229,Nutrients!$E$8:$E$228)+(IF($A$7=Nutrients!$B$8,Nutrients!$E$8,Nutrients!$E$9)*N$7)+(((IF($A$8=Nutrients!$B$79,Nutrients!$E$79,(IF($A$8=Nutrients!$B$77,Nutrients!$E$77,Nutrients!$E$78)))))*N$8))/2000/2.2046</f>
        <v>1515.7492282889773</v>
      </c>
      <c r="O246" s="26"/>
      <c r="P246" s="21">
        <f>(SUMPRODUCT(P$9:P$229,Nutrients!$E$8:$E$228)+(IF($A$7=Nutrients!$B$8,Nutrients!$E$8,Nutrients!$E$9)*P$7)+(((IF($A$8=Nutrients!$B$79,Nutrients!$E$79,(IF($A$8=Nutrients!$B$77,Nutrients!$E$77,Nutrients!$E$78)))))*P$8))/2000/2.2046</f>
        <v>1501.2688212963453</v>
      </c>
      <c r="Q246" s="21">
        <f>(SUMPRODUCT(Q$9:Q$229,Nutrients!$E$8:$E$228)+(IF($A$7=Nutrients!$B$8,Nutrients!$E$8,Nutrients!$E$9)*Q$7)+(((IF($A$8=Nutrients!$B$79,Nutrients!$E$79,(IF($A$8=Nutrients!$B$77,Nutrients!$E$77,Nutrients!$E$78)))))*Q$8))/2000/2.2046</f>
        <v>1505.663411520967</v>
      </c>
      <c r="R246" s="21">
        <f>(SUMPRODUCT(R$9:R$229,Nutrients!$E$8:$E$228)+(IF($A$7=Nutrients!$B$8,Nutrients!$E$8,Nutrients!$E$9)*R$7)+(((IF($A$8=Nutrients!$B$79,Nutrients!$E$79,(IF($A$8=Nutrients!$B$77,Nutrients!$E$77,Nutrients!$E$78)))))*R$8))/2000/2.2046</f>
        <v>1509.8222902722835</v>
      </c>
      <c r="S246" s="21">
        <f>(SUMPRODUCT(S$9:S$229,Nutrients!$E$8:$E$228)+(IF($A$7=Nutrients!$B$8,Nutrients!$E$8,Nutrients!$E$9)*S$7)+(((IF($A$8=Nutrients!$B$79,Nutrients!$E$79,(IF($A$8=Nutrients!$B$77,Nutrients!$E$77,Nutrients!$E$78)))))*S$8))/2000/2.2046</f>
        <v>1513.9385003735563</v>
      </c>
      <c r="T246" s="21">
        <f>(SUMPRODUCT(T$9:T$229,Nutrients!$E$8:$E$228)+(IF($A$7=Nutrients!$B$8,Nutrients!$E$8,Nutrients!$E$9)*T$7)+(((IF($A$8=Nutrients!$B$79,Nutrients!$E$79,(IF($A$8=Nutrients!$B$77,Nutrients!$E$77,Nutrients!$E$78)))))*T$8))/2000/2.2046</f>
        <v>1517.4784392778117</v>
      </c>
      <c r="U246" s="21">
        <f>(SUMPRODUCT(U$9:U$229,Nutrients!$E$8:$E$228)+(IF($A$7=Nutrients!$B$8,Nutrients!$E$8,Nutrients!$E$9)*U$7)+(((IF($A$8=Nutrients!$B$79,Nutrients!$E$79,(IF($A$8=Nutrients!$B$77,Nutrients!$E$77,Nutrients!$E$78)))))*U$8))/2000/2.2046</f>
        <v>1518.9694424307534</v>
      </c>
      <c r="W246" s="21">
        <f>(SUMPRODUCT(W$9:W$229,Nutrients!$E$8:$E$228)+(IF($A$7=Nutrients!$B$8,Nutrients!$E$8,Nutrients!$E$9)*W$7)+(((IF($A$8=Nutrients!$B$79,Nutrients!$E$79,(IF($A$8=Nutrients!$B$77,Nutrients!$E$77,Nutrients!$E$78)))))*W$8))/2000/2.2046</f>
        <v>1504.4782543248048</v>
      </c>
      <c r="X246" s="21">
        <f>(SUMPRODUCT(X$9:X$229,Nutrients!$E$8:$E$228)+(IF($A$7=Nutrients!$B$8,Nutrients!$E$8,Nutrients!$E$9)*X$7)+(((IF($A$8=Nutrients!$B$79,Nutrients!$E$79,(IF($A$8=Nutrients!$B$77,Nutrients!$E$77,Nutrients!$E$78)))))*X$8))/2000/2.2046</f>
        <v>1508.8790301770694</v>
      </c>
      <c r="Y246" s="21">
        <f>(SUMPRODUCT(Y$9:Y$229,Nutrients!$E$8:$E$228)+(IF($A$7=Nutrients!$B$8,Nutrients!$E$8,Nutrients!$E$9)*Y$7)+(((IF($A$8=Nutrients!$B$79,Nutrients!$E$79,(IF($A$8=Nutrients!$B$77,Nutrients!$E$77,Nutrients!$E$78)))))*Y$8))/2000/2.2046</f>
        <v>1513.0847003822912</v>
      </c>
      <c r="Z246" s="21">
        <f>(SUMPRODUCT(Z$9:Z$229,Nutrients!$E$8:$E$228)+(IF($A$7=Nutrients!$B$8,Nutrients!$E$8,Nutrients!$E$9)*Z$7)+(((IF($A$8=Nutrients!$B$79,Nutrients!$E$79,(IF($A$8=Nutrients!$B$77,Nutrients!$E$77,Nutrients!$E$78)))))*Z$8))/2000/2.2046</f>
        <v>1517.2244099388729</v>
      </c>
      <c r="AA246" s="21">
        <f>(SUMPRODUCT(AA$9:AA$229,Nutrients!$E$8:$E$228)+(IF($A$7=Nutrients!$B$8,Nutrients!$E$8,Nutrients!$E$9)*AA$7)+(((IF($A$8=Nutrients!$B$79,Nutrients!$E$79,(IF($A$8=Nutrients!$B$77,Nutrients!$E$77,Nutrients!$E$78)))))*AA$8))/2000/2.2046</f>
        <v>1520.865367182975</v>
      </c>
      <c r="AB246" s="21">
        <f>(SUMPRODUCT(AB$9:AB$229,Nutrients!$E$8:$E$228)+(IF($A$7=Nutrients!$B$8,Nutrients!$E$8,Nutrients!$E$9)*AB$7)+(((IF($A$8=Nutrients!$B$79,Nutrients!$E$79,(IF($A$8=Nutrients!$B$77,Nutrients!$E$77,Nutrients!$E$78)))))*AB$8))/2000/2.2046</f>
        <v>1522.0414464818762</v>
      </c>
      <c r="AD246" s="21">
        <f>(SUMPRODUCT(AD$9:AD$229,Nutrients!$E$8:$E$228)+(IF($A$7=Nutrients!$B$8,Nutrients!$E$8,Nutrients!$E$9)*AD$7)+(((IF($A$8=Nutrients!$B$79,Nutrients!$E$79,(IF($A$8=Nutrients!$B$77,Nutrients!$E$77,Nutrients!$E$78)))))*AD$8))/2000/2.2046</f>
        <v>1507.7270252484961</v>
      </c>
      <c r="AE246" s="21">
        <f>(SUMPRODUCT(AE$9:AE$229,Nutrients!$E$8:$E$228)+(IF($A$7=Nutrients!$B$8,Nutrients!$E$8,Nutrients!$E$9)*AE$7)+(((IF($A$8=Nutrients!$B$79,Nutrients!$E$79,(IF($A$8=Nutrients!$B$77,Nutrients!$E$77,Nutrients!$E$78)))))*AE$8))/2000/2.2046</f>
        <v>1512.1523974571769</v>
      </c>
      <c r="AF246" s="21">
        <f>(SUMPRODUCT(AF$9:AF$229,Nutrients!$E$8:$E$228)+(IF($A$7=Nutrients!$B$8,Nutrients!$E$8,Nutrients!$E$9)*AF$7)+(((IF($A$8=Nutrients!$B$79,Nutrients!$E$79,(IF($A$8=Nutrients!$B$77,Nutrients!$E$77,Nutrients!$E$78)))))*AF$8))/2000/2.2046</f>
        <v>1516.3946504032288</v>
      </c>
      <c r="AG246" s="21">
        <f>(SUMPRODUCT(AG$9:AG$229,Nutrients!$E$8:$E$228)+(IF($A$7=Nutrients!$B$8,Nutrients!$E$8,Nutrients!$E$9)*AG$7)+(((IF($A$8=Nutrients!$B$79,Nutrients!$E$79,(IF($A$8=Nutrients!$B$77,Nutrients!$E$77,Nutrients!$E$78)))))*AG$8))/2000/2.2046</f>
        <v>1520.6101083953729</v>
      </c>
      <c r="AH246" s="21">
        <f>(SUMPRODUCT(AH$9:AH$229,Nutrients!$E$8:$E$228)+(IF($A$7=Nutrients!$B$8,Nutrients!$E$8,Nutrients!$E$9)*AH$7)+(((IF($A$8=Nutrients!$B$79,Nutrients!$E$79,(IF($A$8=Nutrients!$B$77,Nutrients!$E$77,Nutrients!$E$78)))))*AH$8))/2000/2.2046</f>
        <v>1523.2228470504961</v>
      </c>
      <c r="AI246" s="21">
        <f>(SUMPRODUCT(AI$9:AI$229,Nutrients!$E$8:$E$228)+(IF($A$7=Nutrients!$B$8,Nutrients!$E$8,Nutrients!$E$9)*AI$7)+(((IF($A$8=Nutrients!$B$79,Nutrients!$E$79,(IF($A$8=Nutrients!$B$77,Nutrients!$E$77,Nutrients!$E$78)))))*AI$8))/2000/2.2046</f>
        <v>1524.0307293140199</v>
      </c>
      <c r="AK246" s="21">
        <f>(SUMPRODUCT(AK$9:AK$229,Nutrients!$E$8:$E$228)+(IF($A$7=Nutrients!$B$8,Nutrients!$E$8,Nutrients!$E$9)*AK$7)+(((IF($A$8=Nutrients!$B$79,Nutrients!$E$79,(IF($A$8=Nutrients!$B$77,Nutrients!$E$77,Nutrients!$E$78)))))*AK$8))/2000/2.2046</f>
        <v>1510.978530508231</v>
      </c>
      <c r="AL246" s="21">
        <f>(SUMPRODUCT(AL$9:AL$229,Nutrients!$E$8:$E$228)+(IF($A$7=Nutrients!$B$8,Nutrients!$E$8,Nutrients!$E$9)*AL$7)+(((IF($A$8=Nutrients!$B$79,Nutrients!$E$79,(IF($A$8=Nutrients!$B$77,Nutrients!$E$77,Nutrients!$E$78)))))*AL$8))/2000/2.2046</f>
        <v>1515.38510923799</v>
      </c>
      <c r="AM246" s="21">
        <f>(SUMPRODUCT(AM$9:AM$229,Nutrients!$E$8:$E$228)+(IF($A$7=Nutrients!$B$8,Nutrients!$E$8,Nutrients!$E$9)*AM$7)+(((IF($A$8=Nutrients!$B$79,Nutrients!$E$79,(IF($A$8=Nutrients!$B$77,Nutrients!$E$77,Nutrients!$E$78)))))*AM$8))/2000/2.2046</f>
        <v>1519.7472957913126</v>
      </c>
      <c r="AN246" s="21">
        <f>(SUMPRODUCT(AN$9:AN$229,Nutrients!$E$8:$E$228)+(IF($A$7=Nutrients!$B$8,Nutrients!$E$8,Nutrients!$E$9)*AN$7)+(((IF($A$8=Nutrients!$B$79,Nutrients!$E$79,(IF($A$8=Nutrients!$B$77,Nutrients!$E$77,Nutrients!$E$78)))))*AN$8))/2000/2.2046</f>
        <v>1523.1789863005572</v>
      </c>
      <c r="AO246" s="21">
        <f>(SUMPRODUCT(AO$9:AO$229,Nutrients!$E$8:$E$228)+(IF($A$7=Nutrients!$B$8,Nutrients!$E$8,Nutrients!$E$9)*AO$7)+(((IF($A$8=Nutrients!$B$79,Nutrients!$E$79,(IF($A$8=Nutrients!$B$77,Nutrients!$E$77,Nutrients!$E$78)))))*AO$8))/2000/2.2046</f>
        <v>1525.2126986484188</v>
      </c>
      <c r="AP246" s="21">
        <f>(SUMPRODUCT(AP$9:AP$229,Nutrients!$E$8:$E$228)+(IF($A$7=Nutrients!$B$8,Nutrients!$E$8,Nutrients!$E$9)*AP$7)+(((IF($A$8=Nutrients!$B$79,Nutrients!$E$79,(IF($A$8=Nutrients!$B$77,Nutrients!$E$77,Nutrients!$E$78)))))*AP$8))/2000/2.2046</f>
        <v>1526.0137695560213</v>
      </c>
      <c r="AR246" s="21">
        <f>(SUMPRODUCT(AR$9:AR$229,Nutrients!$E$8:$E$228)+(IF($A$7=Nutrients!$B$8,Nutrients!$E$8,Nutrients!$E$9)*AR$7)+(((IF($A$8=Nutrients!$B$79,Nutrients!$E$79,(IF($A$8=Nutrients!$B$77,Nutrients!$E$77,Nutrients!$E$78)))))*AR$8))/2000/2.2046</f>
        <v>1514.1679587011597</v>
      </c>
      <c r="AS246" s="21">
        <f>(SUMPRODUCT(AS$9:AS$229,Nutrients!$E$8:$E$228)+(IF($A$7=Nutrients!$B$8,Nutrients!$E$8,Nutrients!$E$9)*AS$7)+(((IF($A$8=Nutrients!$B$79,Nutrients!$E$79,(IF($A$8=Nutrients!$B$77,Nutrients!$E$77,Nutrients!$E$78)))))*AS$8))/2000/2.2046</f>
        <v>1518.7001411383822</v>
      </c>
      <c r="AT246" s="21">
        <f>(SUMPRODUCT(AT$9:AT$229,Nutrients!$E$8:$E$228)+(IF($A$7=Nutrients!$B$8,Nutrients!$E$8,Nutrients!$E$9)*AT$7)+(((IF($A$8=Nutrients!$B$79,Nutrients!$E$79,(IF($A$8=Nutrients!$B$77,Nutrients!$E$77,Nutrients!$E$78)))))*AT$8))/2000/2.2046</f>
        <v>1523.1316751568793</v>
      </c>
      <c r="AU246" s="21">
        <f>(SUMPRODUCT(AU$9:AU$229,Nutrients!$E$8:$E$228)+(IF($A$7=Nutrients!$B$8,Nutrients!$E$8,Nutrients!$E$9)*AU$7)+(((IF($A$8=Nutrients!$B$79,Nutrients!$E$79,(IF($A$8=Nutrients!$B$77,Nutrients!$E$77,Nutrients!$E$78)))))*AU$8))/2000/2.2046</f>
        <v>1525.1684045232175</v>
      </c>
      <c r="AV246" s="21">
        <f>(SUMPRODUCT(AV$9:AV$229,Nutrients!$E$8:$E$228)+(IF($A$7=Nutrients!$B$8,Nutrients!$E$8,Nutrients!$E$9)*AV$7)+(((IF($A$8=Nutrients!$B$79,Nutrients!$E$79,(IF($A$8=Nutrients!$B$77,Nutrients!$E$77,Nutrients!$E$78)))))*AV$8))/2000/2.2046</f>
        <v>1527.2023630077874</v>
      </c>
      <c r="AW246" s="21">
        <f>(SUMPRODUCT(AW$9:AW$229,Nutrients!$E$8:$E$228)+(IF($A$7=Nutrients!$B$8,Nutrients!$E$8,Nutrients!$E$9)*AW$7)+(((IF($A$8=Nutrients!$B$79,Nutrients!$E$79,(IF($A$8=Nutrients!$B$77,Nutrients!$E$77,Nutrients!$E$78)))))*AW$8))/2000/2.2046</f>
        <v>1527.9967132289976</v>
      </c>
    </row>
    <row r="247" spans="1:64" x14ac:dyDescent="0.25">
      <c r="A247" s="5" t="s">
        <v>32</v>
      </c>
      <c r="B247" s="21">
        <f>(SUMPRODUCT(B$9:B$229,Nutrients!$DY$8:$DY$228)+(IF($A$7=Nutrients!$B$8,Nutrients!$DY$8,Nutrients!$DY$9)*B$7)+(((IF($A$8=Nutrients!$B$79,Nutrients!$DY$79,(IF($A$8=Nutrients!$B$77,Nutrients!$DY$77,Nutrients!$DY$78)))))*B$8))/2000/2.2046</f>
        <v>1097.7096913668909</v>
      </c>
      <c r="C247" s="21">
        <f>(SUMPRODUCT(C$9:C$229,Nutrients!$DY$8:$DY$228)+(IF($A$7=Nutrients!$B$8,Nutrients!$DY$8,Nutrients!$DY$9)*C$7)+(((IF($A$8=Nutrients!$B$79,Nutrients!$DY$79,(IF($A$8=Nutrients!$B$77,Nutrients!$DY$77,Nutrients!$DY$78)))))*C$8))/2000/2.2046</f>
        <v>1111.6567624325369</v>
      </c>
      <c r="D247" s="21">
        <f>(SUMPRODUCT(D$9:D$229,Nutrients!$DY$8:$DY$228)+(IF($A$7=Nutrients!$B$8,Nutrients!$DY$8,Nutrients!$DY$9)*D$7)+(((IF($A$8=Nutrients!$B$79,Nutrients!$DY$79,(IF($A$8=Nutrients!$B$77,Nutrients!$DY$77,Nutrients!$DY$78)))))*D$8))/2000/2.2046</f>
        <v>1123.5684729276254</v>
      </c>
      <c r="E247" s="21">
        <f>(SUMPRODUCT(E$9:E$229,Nutrients!$DY$8:$DY$228)+(IF($A$7=Nutrients!$B$8,Nutrients!$DY$8,Nutrients!$DY$9)*E$7)+(((IF($A$8=Nutrients!$B$79,Nutrients!$DY$79,(IF($A$8=Nutrients!$B$77,Nutrients!$DY$77,Nutrients!$DY$78)))))*E$8))/2000/2.2046</f>
        <v>1135.5706715184997</v>
      </c>
      <c r="F247" s="21">
        <f>(SUMPRODUCT(F$9:F$229,Nutrients!$DY$8:$DY$228)+(IF($A$7=Nutrients!$B$8,Nutrients!$DY$8,Nutrients!$DY$9)*F$7)+(((IF($A$8=Nutrients!$B$79,Nutrients!$DY$79,(IF($A$8=Nutrients!$B$77,Nutrients!$DY$77,Nutrients!$DY$78)))))*F$8))/2000/2.2046</f>
        <v>1145.7413873005344</v>
      </c>
      <c r="G247" s="21">
        <f>(SUMPRODUCT(G$9:G$229,Nutrients!$DY$8:$DY$228)+(IF($A$7=Nutrients!$B$8,Nutrients!$DY$8,Nutrients!$DY$9)*G$7)+(((IF($A$8=Nutrients!$B$79,Nutrients!$DY$79,(IF($A$8=Nutrients!$B$77,Nutrients!$DY$77,Nutrients!$DY$78)))))*G$8))/2000/2.2046</f>
        <v>1150.9323531256127</v>
      </c>
      <c r="H247" s="226"/>
      <c r="I247" s="21">
        <f>(SUMPRODUCT(I$9:I$229,Nutrients!$DY$8:$DY$228)+(IF($A$7=Nutrients!$B$8,Nutrients!$DY$8,Nutrients!$DY$9)*I$7)+(((IF($A$8=Nutrients!$B$79,Nutrients!$DY$79,(IF($A$8=Nutrients!$B$77,Nutrients!$DY$77,Nutrients!$DY$78)))))*I$8))/2000/2.2046</f>
        <v>1043.1006759003428</v>
      </c>
      <c r="J247" s="21">
        <f>(SUMPRODUCT(J$9:J$229,Nutrients!$DY$8:$DY$228)+(IF($A$7=Nutrients!$B$8,Nutrients!$DY$8,Nutrients!$DY$9)*J$7)+(((IF($A$8=Nutrients!$B$79,Nutrients!$DY$79,(IF($A$8=Nutrients!$B$77,Nutrients!$DY$77,Nutrients!$DY$78)))))*J$8))/2000/2.2046</f>
        <v>1056.8136957429654</v>
      </c>
      <c r="K247" s="21">
        <f>(SUMPRODUCT(K$9:K$229,Nutrients!$DY$8:$DY$228)+(IF($A$7=Nutrients!$B$8,Nutrients!$DY$8,Nutrients!$DY$9)*K$7)+(((IF($A$8=Nutrients!$B$79,Nutrients!$DY$79,(IF($A$8=Nutrients!$B$77,Nutrients!$DY$77,Nutrients!$DY$78)))))*K$8))/2000/2.2046</f>
        <v>1068.7459497397103</v>
      </c>
      <c r="L247" s="21">
        <f>(SUMPRODUCT(L$9:L$229,Nutrients!$DY$8:$DY$228)+(IF($A$7=Nutrients!$B$8,Nutrients!$DY$8,Nutrients!$DY$9)*L$7)+(((IF($A$8=Nutrients!$B$79,Nutrients!$DY$79,(IF($A$8=Nutrients!$B$77,Nutrients!$DY$77,Nutrients!$DY$78)))))*L$8))/2000/2.2046</f>
        <v>1080.5784931169928</v>
      </c>
      <c r="M247" s="21">
        <f>(SUMPRODUCT(M$9:M$229,Nutrients!$DY$8:$DY$228)+(IF($A$7=Nutrients!$B$8,Nutrients!$DY$8,Nutrients!$DY$9)*M$7)+(((IF($A$8=Nutrients!$B$79,Nutrients!$DY$79,(IF($A$8=Nutrients!$B$77,Nutrients!$DY$77,Nutrients!$DY$78)))))*M$8))/2000/2.2046</f>
        <v>1090.7223415571982</v>
      </c>
      <c r="N247" s="21">
        <f>(SUMPRODUCT(N$9:N$229,Nutrients!$DY$8:$DY$228)+(IF($A$7=Nutrients!$B$8,Nutrients!$DY$8,Nutrients!$DY$9)*N$7)+(((IF($A$8=Nutrients!$B$79,Nutrients!$DY$79,(IF($A$8=Nutrients!$B$77,Nutrients!$DY$77,Nutrients!$DY$78)))))*N$8))/2000/2.2046</f>
        <v>1095.9177392743759</v>
      </c>
      <c r="O247" s="234"/>
      <c r="P247" s="21">
        <f>(SUMPRODUCT(P$9:P$229,Nutrients!$DY$8:$DY$228)+(IF($A$7=Nutrients!$B$8,Nutrients!$DY$8,Nutrients!$DY$9)*P$7)+(((IF($A$8=Nutrients!$B$79,Nutrients!$DY$79,(IF($A$8=Nutrients!$B$77,Nutrients!$DY$77,Nutrients!$DY$78)))))*P$8))/2000/2.2046</f>
        <v>988.26820251019899</v>
      </c>
      <c r="Q247" s="21">
        <f>(SUMPRODUCT(Q$9:Q$229,Nutrients!$DY$8:$DY$228)+(IF($A$7=Nutrients!$B$8,Nutrients!$DY$8,Nutrients!$DY$9)*Q$7)+(((IF($A$8=Nutrients!$B$79,Nutrients!$DY$79,(IF($A$8=Nutrients!$B$77,Nutrients!$DY$77,Nutrients!$DY$78)))))*Q$8))/2000/2.2046</f>
        <v>1001.9108855105634</v>
      </c>
      <c r="R247" s="21">
        <f>(SUMPRODUCT(R$9:R$229,Nutrients!$DY$8:$DY$228)+(IF($A$7=Nutrients!$B$8,Nutrients!$DY$8,Nutrients!$DY$9)*R$7)+(((IF($A$8=Nutrients!$B$79,Nutrients!$DY$79,(IF($A$8=Nutrients!$B$77,Nutrients!$DY$77,Nutrients!$DY$78)))))*R$8))/2000/2.2046</f>
        <v>1013.7389374457214</v>
      </c>
      <c r="S247" s="21">
        <f>(SUMPRODUCT(S$9:S$229,Nutrients!$DY$8:$DY$228)+(IF($A$7=Nutrients!$B$8,Nutrients!$DY$8,Nutrients!$DY$9)*S$7)+(((IF($A$8=Nutrients!$B$79,Nutrients!$DY$79,(IF($A$8=Nutrients!$B$77,Nutrients!$DY$77,Nutrients!$DY$78)))))*S$8))/2000/2.2046</f>
        <v>1025.6421325291283</v>
      </c>
      <c r="T247" s="21">
        <f>(SUMPRODUCT(T$9:T$229,Nutrients!$DY$8:$DY$228)+(IF($A$7=Nutrients!$B$8,Nutrients!$DY$8,Nutrients!$DY$9)*T$7)+(((IF($A$8=Nutrients!$B$79,Nutrients!$DY$79,(IF($A$8=Nutrients!$B$77,Nutrients!$DY$77,Nutrients!$DY$78)))))*T$8))/2000/2.2046</f>
        <v>1035.6988684197988</v>
      </c>
      <c r="U247" s="21">
        <f>(SUMPRODUCT(U$9:U$229,Nutrients!$DY$8:$DY$228)+(IF($A$7=Nutrients!$B$8,Nutrients!$DY$8,Nutrients!$DY$9)*U$7)+(((IF($A$8=Nutrients!$B$79,Nutrients!$DY$79,(IF($A$8=Nutrients!$B$77,Nutrients!$DY$77,Nutrients!$DY$78)))))*U$8))/2000/2.2046</f>
        <v>1040.8499971370738</v>
      </c>
      <c r="W247" s="21">
        <f>(SUMPRODUCT(W$9:W$229,Nutrients!$DY$8:$DY$228)+(IF($A$7=Nutrients!$B$8,Nutrients!$DY$8,Nutrients!$DY$9)*W$7)+(((IF($A$8=Nutrients!$B$79,Nutrients!$DY$79,(IF($A$8=Nutrients!$B$77,Nutrients!$DY$77,Nutrients!$DY$78)))))*W$8))/2000/2.2046</f>
        <v>933.45605645903834</v>
      </c>
      <c r="X247" s="21">
        <f>(SUMPRODUCT(X$9:X$229,Nutrients!$DY$8:$DY$228)+(IF($A$7=Nutrients!$B$8,Nutrients!$DY$8,Nutrients!$DY$9)*X$7)+(((IF($A$8=Nutrients!$B$79,Nutrients!$DY$79,(IF($A$8=Nutrients!$B$77,Nutrients!$DY$77,Nutrients!$DY$78)))))*X$8))/2000/2.2046</f>
        <v>947.00860975295654</v>
      </c>
      <c r="Y247" s="21">
        <f>(SUMPRODUCT(Y$9:Y$229,Nutrients!$DY$8:$DY$228)+(IF($A$7=Nutrients!$B$8,Nutrients!$DY$8,Nutrients!$DY$9)*Y$7)+(((IF($A$8=Nutrients!$B$79,Nutrients!$DY$79,(IF($A$8=Nutrients!$B$77,Nutrients!$DY$77,Nutrients!$DY$78)))))*Y$8))/2000/2.2046</f>
        <v>958.91630516030352</v>
      </c>
      <c r="Z247" s="21">
        <f>(SUMPRODUCT(Z$9:Z$229,Nutrients!$DY$8:$DY$228)+(IF($A$7=Nutrients!$B$8,Nutrients!$DY$8,Nutrients!$DY$9)*Z$7)+(((IF($A$8=Nutrients!$B$79,Nutrients!$DY$79,(IF($A$8=Nutrients!$B$77,Nutrients!$DY$77,Nutrients!$DY$78)))))*Z$8))/2000/2.2046</f>
        <v>970.70096158413992</v>
      </c>
      <c r="AA247" s="21">
        <f>(SUMPRODUCT(AA$9:AA$229,Nutrients!$DY$8:$DY$228)+(IF($A$7=Nutrients!$B$8,Nutrients!$DY$8,Nutrients!$DY$9)*AA$7)+(((IF($A$8=Nutrients!$B$79,Nutrients!$DY$79,(IF($A$8=Nutrients!$B$77,Nutrients!$DY$77,Nutrients!$DY$78)))))*AA$8))/2000/2.2046</f>
        <v>980.77689460276588</v>
      </c>
      <c r="AB247" s="21">
        <f>(SUMPRODUCT(AB$9:AB$229,Nutrients!$DY$8:$DY$228)+(IF($A$7=Nutrients!$B$8,Nutrients!$DY$8,Nutrients!$DY$9)*AB$7)+(((IF($A$8=Nutrients!$B$79,Nutrients!$DY$79,(IF($A$8=Nutrients!$B$77,Nutrients!$DY$77,Nutrients!$DY$78)))))*AB$8))/2000/2.2046</f>
        <v>985.67105768034855</v>
      </c>
      <c r="AD247" s="21">
        <f>(SUMPRODUCT(AD$9:AD$229,Nutrients!$DY$8:$DY$228)+(IF($A$7=Nutrients!$B$8,Nutrients!$DY$8,Nutrients!$DY$9)*AD$7)+(((IF($A$8=Nutrients!$B$79,Nutrients!$DY$79,(IF($A$8=Nutrients!$B$77,Nutrients!$DY$77,Nutrients!$DY$78)))))*AD$8))/2000/2.2046</f>
        <v>878.68428443859273</v>
      </c>
      <c r="AE247" s="21">
        <f>(SUMPRODUCT(AE$9:AE$229,Nutrients!$DY$8:$DY$228)+(IF($A$7=Nutrients!$B$8,Nutrients!$DY$8,Nutrients!$DY$9)*AE$7)+(((IF($A$8=Nutrients!$B$79,Nutrients!$DY$79,(IF($A$8=Nutrients!$B$77,Nutrients!$DY$77,Nutrients!$DY$78)))))*AE$8))/2000/2.2046</f>
        <v>892.29172521026396</v>
      </c>
      <c r="AF247" s="21">
        <f>(SUMPRODUCT(AF$9:AF$229,Nutrients!$DY$8:$DY$228)+(IF($A$7=Nutrients!$B$8,Nutrients!$DY$8,Nutrients!$DY$9)*AF$7)+(((IF($A$8=Nutrients!$B$79,Nutrients!$DY$79,(IF($A$8=Nutrients!$B$77,Nutrients!$DY$77,Nutrients!$DY$78)))))*AF$8))/2000/2.2046</f>
        <v>904.09421278685716</v>
      </c>
      <c r="AG247" s="21">
        <f>(SUMPRODUCT(AG$9:AG$229,Nutrients!$DY$8:$DY$228)+(IF($A$7=Nutrients!$B$8,Nutrients!$DY$8,Nutrients!$DY$9)*AG$7)+(((IF($A$8=Nutrients!$B$79,Nutrients!$DY$79,(IF($A$8=Nutrients!$B$77,Nutrients!$DY$77,Nutrients!$DY$78)))))*AG$8))/2000/2.2046</f>
        <v>915.83424701967965</v>
      </c>
      <c r="AH247" s="21">
        <f>(SUMPRODUCT(AH$9:AH$229,Nutrients!$DY$8:$DY$228)+(IF($A$7=Nutrients!$B$8,Nutrients!$DY$8,Nutrients!$DY$9)*AH$7)+(((IF($A$8=Nutrients!$B$79,Nutrients!$DY$79,(IF($A$8=Nutrients!$B$77,Nutrients!$DY$77,Nutrients!$DY$78)))))*AH$8))/2000/2.2046</f>
        <v>925.09276519038235</v>
      </c>
      <c r="AI247" s="21">
        <f>(SUMPRODUCT(AI$9:AI$229,Nutrients!$DY$8:$DY$228)+(IF($A$7=Nutrients!$B$8,Nutrients!$DY$8,Nutrients!$DY$9)*AI$7)+(((IF($A$8=Nutrients!$B$79,Nutrients!$DY$79,(IF($A$8=Nutrients!$B$77,Nutrients!$DY$77,Nutrients!$DY$78)))))*AI$8))/2000/2.2046</f>
        <v>929.67889380824806</v>
      </c>
      <c r="AK247" s="21">
        <f>(SUMPRODUCT(AK$9:AK$229,Nutrients!$DY$8:$DY$228)+(IF($A$7=Nutrients!$B$8,Nutrients!$DY$8,Nutrients!$DY$9)*AK$7)+(((IF($A$8=Nutrients!$B$79,Nutrients!$DY$79,(IF($A$8=Nutrients!$B$77,Nutrients!$DY$77,Nutrients!$DY$78)))))*AK$8))/2000/2.2046</f>
        <v>823.87678223231501</v>
      </c>
      <c r="AL247" s="21">
        <f>(SUMPRODUCT(AL$9:AL$229,Nutrients!$DY$8:$DY$228)+(IF($A$7=Nutrients!$B$8,Nutrients!$DY$8,Nutrients!$DY$9)*AL$7)+(((IF($A$8=Nutrients!$B$79,Nutrients!$DY$79,(IF($A$8=Nutrients!$B$77,Nutrients!$DY$77,Nutrients!$DY$78)))))*AL$8))/2000/2.2046</f>
        <v>837.50369400307216</v>
      </c>
      <c r="AM247" s="21">
        <f>(SUMPRODUCT(AM$9:AM$229,Nutrients!$DY$8:$DY$228)+(IF($A$7=Nutrients!$B$8,Nutrients!$DY$8,Nutrients!$DY$9)*AM$7)+(((IF($A$8=Nutrients!$B$79,Nutrients!$DY$79,(IF($A$8=Nutrients!$B$77,Nutrients!$DY$77,Nutrients!$DY$78)))))*AM$8))/2000/2.2046</f>
        <v>849.28670750129254</v>
      </c>
      <c r="AN247" s="21">
        <f>(SUMPRODUCT(AN$9:AN$229,Nutrients!$DY$8:$DY$228)+(IF($A$7=Nutrients!$B$8,Nutrients!$DY$8,Nutrients!$DY$9)*AN$7)+(((IF($A$8=Nutrients!$B$79,Nutrients!$DY$79,(IF($A$8=Nutrients!$B$77,Nutrients!$DY$77,Nutrients!$DY$78)))))*AN$8))/2000/2.2046</f>
        <v>860.36279610015413</v>
      </c>
      <c r="AO247" s="21">
        <f>(SUMPRODUCT(AO$9:AO$229,Nutrients!$DY$8:$DY$228)+(IF($A$7=Nutrients!$B$8,Nutrients!$DY$8,Nutrients!$DY$9)*AO$7)+(((IF($A$8=Nutrients!$B$79,Nutrients!$DY$79,(IF($A$8=Nutrients!$B$77,Nutrients!$DY$77,Nutrients!$DY$78)))))*AO$8))/2000/2.2046</f>
        <v>869.1360266888895</v>
      </c>
      <c r="AP247" s="21">
        <f>(SUMPRODUCT(AP$9:AP$229,Nutrients!$DY$8:$DY$228)+(IF($A$7=Nutrients!$B$8,Nutrients!$DY$8,Nutrients!$DY$9)*AP$7)+(((IF($A$8=Nutrients!$B$79,Nutrients!$DY$79,(IF($A$8=Nutrients!$B$77,Nutrients!$DY$77,Nutrients!$DY$78)))))*AP$8))/2000/2.2046</f>
        <v>873.68254958569321</v>
      </c>
      <c r="AR247" s="21">
        <f>(SUMPRODUCT(AR$9:AR$229,Nutrients!$DY$8:$DY$228)+(IF($A$7=Nutrients!$B$8,Nutrients!$DY$8,Nutrients!$DY$9)*AR$7)+(((IF($A$8=Nutrients!$B$79,Nutrients!$DY$79,(IF($A$8=Nutrients!$B$77,Nutrients!$DY$77,Nutrients!$DY$78)))))*AR$8))/2000/2.2046</f>
        <v>768.74335786890504</v>
      </c>
      <c r="AS247" s="21">
        <f>(SUMPRODUCT(AS$9:AS$229,Nutrients!$DY$8:$DY$228)+(IF($A$7=Nutrients!$B$8,Nutrients!$DY$8,Nutrients!$DY$9)*AS$7)+(((IF($A$8=Nutrients!$B$79,Nutrients!$DY$79,(IF($A$8=Nutrients!$B$77,Nutrients!$DY$77,Nutrients!$DY$78)))))*AS$8))/2000/2.2046</f>
        <v>782.77518086242571</v>
      </c>
      <c r="AT247" s="21">
        <f>(SUMPRODUCT(AT$9:AT$229,Nutrients!$DY$8:$DY$228)+(IF($A$7=Nutrients!$B$8,Nutrients!$DY$8,Nutrients!$DY$9)*AT$7)+(((IF($A$8=Nutrients!$B$79,Nutrients!$DY$79,(IF($A$8=Nutrients!$B$77,Nutrients!$DY$77,Nutrients!$DY$78)))))*AT$8))/2000/2.2046</f>
        <v>794.47334957347994</v>
      </c>
      <c r="AU247" s="21">
        <f>(SUMPRODUCT(AU$9:AU$229,Nutrients!$DY$8:$DY$228)+(IF($A$7=Nutrients!$B$8,Nutrients!$DY$8,Nutrients!$DY$9)*AU$7)+(((IF($A$8=Nutrients!$B$79,Nutrients!$DY$79,(IF($A$8=Nutrients!$B$77,Nutrients!$DY$77,Nutrients!$DY$78)))))*AU$8))/2000/2.2046</f>
        <v>804.45275011616241</v>
      </c>
      <c r="AV247" s="21">
        <f>(SUMPRODUCT(AV$9:AV$229,Nutrients!$DY$8:$DY$228)+(IF($A$7=Nutrients!$B$8,Nutrients!$DY$8,Nutrients!$DY$9)*AV$7)+(((IF($A$8=Nutrients!$B$79,Nutrients!$DY$79,(IF($A$8=Nutrients!$B$77,Nutrients!$DY$77,Nutrients!$DY$78)))))*AV$8))/2000/2.2046</f>
        <v>813.17842637614274</v>
      </c>
      <c r="AW247" s="21">
        <f>(SUMPRODUCT(AW$9:AW$229,Nutrients!$DY$8:$DY$228)+(IF($A$7=Nutrients!$B$8,Nutrients!$DY$8,Nutrients!$DY$9)*AW$7)+(((IF($A$8=Nutrients!$B$79,Nutrients!$DY$79,(IF($A$8=Nutrients!$B$77,Nutrients!$DY$77,Nutrients!$DY$78)))))*AW$8))/2000/2.2046</f>
        <v>817.68585692340707</v>
      </c>
    </row>
    <row r="248" spans="1:64" x14ac:dyDescent="0.25">
      <c r="A248" s="5" t="s">
        <v>31</v>
      </c>
      <c r="B248" s="21">
        <f>(SUMPRODUCT(B$9:B$229,Nutrients!$DZ$8:$DZ$228)+(IF($A$7=Nutrients!$B$8,Nutrients!$DZ$8,Nutrients!$DZ$9)*B$7)+(((IF($A$8=Nutrients!$B$79,Nutrients!$DZ$79,(IF($A$8=Nutrients!$B$77,Nutrients!$DZ$77,Nutrients!$DZ$78)))))*B$8))/2000/2.2046</f>
        <v>1137.6355538359269</v>
      </c>
      <c r="C248" s="21">
        <f>(SUMPRODUCT(C$9:C$229,Nutrients!$DZ$8:$DZ$228)+(IF($A$7=Nutrients!$B$8,Nutrients!$DZ$8,Nutrients!$DZ$9)*C$7)+(((IF($A$8=Nutrients!$B$79,Nutrients!$DZ$79,(IF($A$8=Nutrients!$B$77,Nutrients!$DZ$77,Nutrients!$DZ$78)))))*C$8))/2000/2.2046</f>
        <v>1150.9934545095848</v>
      </c>
      <c r="D248" s="21">
        <f>(SUMPRODUCT(D$9:D$229,Nutrients!$DZ$8:$DZ$228)+(IF($A$7=Nutrients!$B$8,Nutrients!$DZ$8,Nutrients!$DZ$9)*D$7)+(((IF($A$8=Nutrients!$B$79,Nutrients!$DZ$79,(IF($A$8=Nutrients!$B$77,Nutrients!$DZ$77,Nutrients!$DZ$78)))))*D$8))/2000/2.2046</f>
        <v>1162.42368942858</v>
      </c>
      <c r="E248" s="21">
        <f>(SUMPRODUCT(E$9:E$229,Nutrients!$DZ$8:$DZ$228)+(IF($A$7=Nutrients!$B$8,Nutrients!$DZ$8,Nutrients!$DZ$9)*E$7)+(((IF($A$8=Nutrients!$B$79,Nutrients!$DZ$79,(IF($A$8=Nutrients!$B$77,Nutrients!$DZ$77,Nutrients!$DZ$78)))))*E$8))/2000/2.2046</f>
        <v>1173.9065707641619</v>
      </c>
      <c r="F248" s="21">
        <f>(SUMPRODUCT(F$9:F$229,Nutrients!$DZ$8:$DZ$228)+(IF($A$7=Nutrients!$B$8,Nutrients!$DZ$8,Nutrients!$DZ$9)*F$7)+(((IF($A$8=Nutrients!$B$79,Nutrients!$DZ$79,(IF($A$8=Nutrients!$B$77,Nutrients!$DZ$77,Nutrients!$DZ$78)))))*F$8))/2000/2.2046</f>
        <v>1183.6213518369293</v>
      </c>
      <c r="G248" s="21">
        <f>(SUMPRODUCT(G$9:G$229,Nutrients!$DZ$8:$DZ$228)+(IF($A$7=Nutrients!$B$8,Nutrients!$DZ$8,Nutrients!$DZ$9)*G$7)+(((IF($A$8=Nutrients!$B$79,Nutrients!$DZ$79,(IF($A$8=Nutrients!$B$77,Nutrients!$DZ$77,Nutrients!$DZ$78)))))*G$8))/2000/2.2046</f>
        <v>1188.5451985530322</v>
      </c>
      <c r="H248" s="226"/>
      <c r="I248" s="21">
        <f>(SUMPRODUCT(I$9:I$229,Nutrients!$DZ$8:$DZ$228)+(IF($A$7=Nutrients!$B$8,Nutrients!$DZ$8,Nutrients!$DZ$9)*I$7)+(((IF($A$8=Nutrients!$B$79,Nutrients!$DZ$79,(IF($A$8=Nutrients!$B$77,Nutrients!$DZ$77,Nutrients!$DZ$78)))))*I$8))/2000/2.2046</f>
        <v>1080.9078874947747</v>
      </c>
      <c r="J248" s="21">
        <f>(SUMPRODUCT(J$9:J$229,Nutrients!$DZ$8:$DZ$228)+(IF($A$7=Nutrients!$B$8,Nutrients!$DZ$8,Nutrients!$DZ$9)*J$7)+(((IF($A$8=Nutrients!$B$79,Nutrients!$DZ$79,(IF($A$8=Nutrients!$B$77,Nutrients!$DZ$77,Nutrients!$DZ$78)))))*J$8))/2000/2.2046</f>
        <v>1094.0397923300377</v>
      </c>
      <c r="K248" s="21">
        <f>(SUMPRODUCT(K$9:K$229,Nutrients!$DZ$8:$DZ$228)+(IF($A$7=Nutrients!$B$8,Nutrients!$DZ$8,Nutrients!$DZ$9)*K$7)+(((IF($A$8=Nutrients!$B$79,Nutrients!$DZ$79,(IF($A$8=Nutrients!$B$77,Nutrients!$DZ$77,Nutrients!$DZ$78)))))*K$8))/2000/2.2046</f>
        <v>1105.4996934873909</v>
      </c>
      <c r="L248" s="21">
        <f>(SUMPRODUCT(L$9:L$229,Nutrients!$DZ$8:$DZ$228)+(IF($A$7=Nutrients!$B$8,Nutrients!$DZ$8,Nutrients!$DZ$9)*L$7)+(((IF($A$8=Nutrients!$B$79,Nutrients!$DZ$79,(IF($A$8=Nutrients!$B$77,Nutrients!$DZ$77,Nutrients!$DZ$78)))))*L$8))/2000/2.2046</f>
        <v>1116.8184418535177</v>
      </c>
      <c r="M248" s="21">
        <f>(SUMPRODUCT(M$9:M$229,Nutrients!$DZ$8:$DZ$228)+(IF($A$7=Nutrients!$B$8,Nutrients!$DZ$8,Nutrients!$DZ$9)*M$7)+(((IF($A$8=Nutrients!$B$79,Nutrients!$DZ$79,(IF($A$8=Nutrients!$B$77,Nutrients!$DZ$77,Nutrients!$DZ$78)))))*M$8))/2000/2.2046</f>
        <v>1126.5068042588891</v>
      </c>
      <c r="N248" s="21">
        <f>(SUMPRODUCT(N$9:N$229,Nutrients!$DZ$8:$DZ$228)+(IF($A$7=Nutrients!$B$8,Nutrients!$DZ$8,Nutrients!$DZ$9)*N$7)+(((IF($A$8=Nutrients!$B$79,Nutrients!$DZ$79,(IF($A$8=Nutrients!$B$77,Nutrients!$DZ$77,Nutrients!$DZ$78)))))*N$8))/2000/2.2046</f>
        <v>1131.4361695857599</v>
      </c>
      <c r="O248" s="234"/>
      <c r="P248" s="21">
        <f>(SUMPRODUCT(P$9:P$229,Nutrients!$DZ$8:$DZ$228)+(IF($A$7=Nutrients!$B$8,Nutrients!$DZ$8,Nutrients!$DZ$9)*P$7)+(((IF($A$8=Nutrients!$B$79,Nutrients!$DZ$79,(IF($A$8=Nutrients!$B$77,Nutrients!$DZ$77,Nutrients!$DZ$78)))))*P$8))/2000/2.2046</f>
        <v>1023.9691244918459</v>
      </c>
      <c r="Q248" s="21">
        <f>(SUMPRODUCT(Q$9:Q$229,Nutrients!$DZ$8:$DZ$228)+(IF($A$7=Nutrients!$B$8,Nutrients!$DZ$8,Nutrients!$DZ$9)*Q$7)+(((IF($A$8=Nutrients!$B$79,Nutrients!$DZ$79,(IF($A$8=Nutrients!$B$77,Nutrients!$DZ$77,Nutrients!$DZ$78)))))*Q$8))/2000/2.2046</f>
        <v>1037.0348844797206</v>
      </c>
      <c r="R248" s="21">
        <f>(SUMPRODUCT(R$9:R$229,Nutrients!$DZ$8:$DZ$228)+(IF($A$7=Nutrients!$B$8,Nutrients!$DZ$8,Nutrients!$DZ$9)*R$7)+(((IF($A$8=Nutrients!$B$79,Nutrients!$DZ$79,(IF($A$8=Nutrients!$B$77,Nutrients!$DZ$77,Nutrients!$DZ$78)))))*R$8))/2000/2.2046</f>
        <v>1048.397851649979</v>
      </c>
      <c r="S248" s="21">
        <f>(SUMPRODUCT(S$9:S$229,Nutrients!$DZ$8:$DZ$228)+(IF($A$7=Nutrients!$B$8,Nutrients!$DZ$8,Nutrients!$DZ$9)*S$7)+(((IF($A$8=Nutrients!$B$79,Nutrients!$DZ$79,(IF($A$8=Nutrients!$B$77,Nutrients!$DZ$77,Nutrients!$DZ$78)))))*S$8))/2000/2.2046</f>
        <v>1059.7831689887507</v>
      </c>
      <c r="T248" s="21">
        <f>(SUMPRODUCT(T$9:T$229,Nutrients!$DZ$8:$DZ$228)+(IF($A$7=Nutrients!$B$8,Nutrients!$DZ$8,Nutrients!$DZ$9)*T$7)+(((IF($A$8=Nutrients!$B$79,Nutrients!$DZ$79,(IF($A$8=Nutrients!$B$77,Nutrients!$DZ$77,Nutrients!$DZ$78)))))*T$8))/2000/2.2046</f>
        <v>1069.3897255301006</v>
      </c>
      <c r="U248" s="21">
        <f>(SUMPRODUCT(U$9:U$229,Nutrients!$DZ$8:$DZ$228)+(IF($A$7=Nutrients!$B$8,Nutrients!$DZ$8,Nutrients!$DZ$9)*U$7)+(((IF($A$8=Nutrients!$B$79,Nutrients!$DZ$79,(IF($A$8=Nutrients!$B$77,Nutrients!$DZ$77,Nutrients!$DZ$78)))))*U$8))/2000/2.2046</f>
        <v>1074.2774269365636</v>
      </c>
      <c r="W248" s="21">
        <f>(SUMPRODUCT(W$9:W$229,Nutrients!$DZ$8:$DZ$228)+(IF($A$7=Nutrients!$B$8,Nutrients!$DZ$8,Nutrients!$DZ$9)*W$7)+(((IF($A$8=Nutrients!$B$79,Nutrients!$DZ$79,(IF($A$8=Nutrients!$B$77,Nutrients!$DZ$77,Nutrients!$DZ$78)))))*W$8))/2000/2.2046</f>
        <v>967.04980749966523</v>
      </c>
      <c r="X248" s="21">
        <f>(SUMPRODUCT(X$9:X$229,Nutrients!$DZ$8:$DZ$228)+(IF($A$7=Nutrients!$B$8,Nutrients!$DZ$8,Nutrients!$DZ$9)*X$7)+(((IF($A$8=Nutrients!$B$79,Nutrients!$DZ$79,(IF($A$8=Nutrients!$B$77,Nutrients!$DZ$77,Nutrients!$DZ$78)))))*X$8))/2000/2.2046</f>
        <v>980.03118922193448</v>
      </c>
      <c r="Y248" s="21">
        <f>(SUMPRODUCT(Y$9:Y$229,Nutrients!$DZ$8:$DZ$228)+(IF($A$7=Nutrients!$B$8,Nutrients!$DZ$8,Nutrients!$DZ$9)*Y$7)+(((IF($A$8=Nutrients!$B$79,Nutrients!$DZ$79,(IF($A$8=Nutrients!$B$77,Nutrients!$DZ$77,Nutrients!$DZ$78)))))*Y$8))/2000/2.2046</f>
        <v>991.46927924287922</v>
      </c>
      <c r="Z248" s="21">
        <f>(SUMPRODUCT(Z$9:Z$229,Nutrients!$DZ$8:$DZ$228)+(IF($A$7=Nutrients!$B$8,Nutrients!$DZ$8,Nutrients!$DZ$9)*Z$7)+(((IF($A$8=Nutrients!$B$79,Nutrients!$DZ$79,(IF($A$8=Nutrients!$B$77,Nutrients!$DZ$77,Nutrients!$DZ$78)))))*Z$8))/2000/2.2046</f>
        <v>1002.743816073625</v>
      </c>
      <c r="AA248" s="21">
        <f>(SUMPRODUCT(AA$9:AA$229,Nutrients!$DZ$8:$DZ$228)+(IF($A$7=Nutrients!$B$8,Nutrients!$DZ$8,Nutrients!$DZ$9)*AA$7)+(((IF($A$8=Nutrients!$B$79,Nutrients!$DZ$79,(IF($A$8=Nutrients!$B$77,Nutrients!$DZ$77,Nutrients!$DZ$78)))))*AA$8))/2000/2.2046</f>
        <v>1012.3690164386284</v>
      </c>
      <c r="AB248" s="21">
        <f>(SUMPRODUCT(AB$9:AB$229,Nutrients!$DZ$8:$DZ$228)+(IF($A$7=Nutrients!$B$8,Nutrients!$DZ$8,Nutrients!$DZ$9)*AB$7)+(((IF($A$8=Nutrients!$B$79,Nutrients!$DZ$79,(IF($A$8=Nutrients!$B$77,Nutrients!$DZ$77,Nutrients!$DZ$78)))))*AB$8))/2000/2.2046</f>
        <v>1016.993158552313</v>
      </c>
      <c r="AD248" s="21">
        <f>(SUMPRODUCT(AD$9:AD$229,Nutrients!$DZ$8:$DZ$228)+(IF($A$7=Nutrients!$B$8,Nutrients!$DZ$8,Nutrients!$DZ$9)*AD$7)+(((IF($A$8=Nutrients!$B$79,Nutrients!$DZ$79,(IF($A$8=Nutrients!$B$77,Nutrients!$DZ$77,Nutrients!$DZ$78)))))*AD$8))/2000/2.2046</f>
        <v>910.16879877486713</v>
      </c>
      <c r="AE248" s="21">
        <f>(SUMPRODUCT(AE$9:AE$229,Nutrients!$DZ$8:$DZ$228)+(IF($A$7=Nutrients!$B$8,Nutrients!$DZ$8,Nutrients!$DZ$9)*AE$7)+(((IF($A$8=Nutrients!$B$79,Nutrients!$DZ$79,(IF($A$8=Nutrients!$B$77,Nutrients!$DZ$77,Nutrients!$DZ$78)))))*AE$8))/2000/2.2046</f>
        <v>923.2018496993087</v>
      </c>
      <c r="AF248" s="21">
        <f>(SUMPRODUCT(AF$9:AF$229,Nutrients!$DZ$8:$DZ$228)+(IF($A$7=Nutrients!$B$8,Nutrients!$DZ$8,Nutrients!$DZ$9)*AF$7)+(((IF($A$8=Nutrients!$B$79,Nutrients!$DZ$79,(IF($A$8=Nutrients!$B$77,Nutrients!$DZ$77,Nutrients!$DZ$78)))))*AF$8))/2000/2.2046</f>
        <v>934.54179143321926</v>
      </c>
      <c r="AG248" s="21">
        <f>(SUMPRODUCT(AG$9:AG$229,Nutrients!$DZ$8:$DZ$228)+(IF($A$7=Nutrients!$B$8,Nutrients!$DZ$8,Nutrients!$DZ$9)*AG$7)+(((IF($A$8=Nutrients!$B$79,Nutrients!$DZ$79,(IF($A$8=Nutrients!$B$77,Nutrients!$DZ$77,Nutrients!$DZ$78)))))*AG$8))/2000/2.2046</f>
        <v>945.77359385990167</v>
      </c>
      <c r="AH248" s="21">
        <f>(SUMPRODUCT(AH$9:AH$229,Nutrients!$DZ$8:$DZ$228)+(IF($A$7=Nutrients!$B$8,Nutrients!$DZ$8,Nutrients!$DZ$9)*AH$7)+(((IF($A$8=Nutrients!$B$79,Nutrients!$DZ$79,(IF($A$8=Nutrients!$B$77,Nutrients!$DZ$77,Nutrients!$DZ$78)))))*AH$8))/2000/2.2046</f>
        <v>954.55848590575727</v>
      </c>
      <c r="AI248" s="21">
        <f>(SUMPRODUCT(AI$9:AI$229,Nutrients!$DZ$8:$DZ$228)+(IF($A$7=Nutrients!$B$8,Nutrients!$DZ$8,Nutrients!$DZ$9)*AI$7)+(((IF($A$8=Nutrients!$B$79,Nutrients!$DZ$79,(IF($A$8=Nutrients!$B$77,Nutrients!$DZ$77,Nutrients!$DZ$78)))))*AI$8))/2000/2.2046</f>
        <v>958.86744842356609</v>
      </c>
      <c r="AK248" s="21">
        <f>(SUMPRODUCT(AK$9:AK$229,Nutrients!$DZ$8:$DZ$228)+(IF($A$7=Nutrients!$B$8,Nutrients!$DZ$8,Nutrients!$DZ$9)*AK$7)+(((IF($A$8=Nutrients!$B$79,Nutrients!$DZ$79,(IF($A$8=Nutrients!$B$77,Nutrients!$DZ$77,Nutrients!$DZ$78)))))*AK$8))/2000/2.2046</f>
        <v>853.25426057025481</v>
      </c>
      <c r="AL248" s="21">
        <f>(SUMPRODUCT(AL$9:AL$229,Nutrients!$DZ$8:$DZ$228)+(IF($A$7=Nutrients!$B$8,Nutrients!$DZ$8,Nutrients!$DZ$9)*AL$7)+(((IF($A$8=Nutrients!$B$79,Nutrients!$DZ$79,(IF($A$8=Nutrients!$B$77,Nutrients!$DZ$77,Nutrients!$DZ$78)))))*AL$8))/2000/2.2046</f>
        <v>866.30537950917301</v>
      </c>
      <c r="AM248" s="21">
        <f>(SUMPRODUCT(AM$9:AM$229,Nutrients!$DZ$8:$DZ$228)+(IF($A$7=Nutrients!$B$8,Nutrients!$DZ$8,Nutrients!$DZ$9)*AM$7)+(((IF($A$8=Nutrients!$B$79,Nutrients!$DZ$79,(IF($A$8=Nutrients!$B$77,Nutrients!$DZ$77,Nutrients!$DZ$78)))))*AM$8))/2000/2.2046</f>
        <v>877.62817307817272</v>
      </c>
      <c r="AN248" s="21">
        <f>(SUMPRODUCT(AN$9:AN$229,Nutrients!$DZ$8:$DZ$228)+(IF($A$7=Nutrients!$B$8,Nutrients!$DZ$8,Nutrients!$DZ$9)*AN$7)+(((IF($A$8=Nutrients!$B$79,Nutrients!$DZ$79,(IF($A$8=Nutrients!$B$77,Nutrients!$DZ$77,Nutrients!$DZ$78)))))*AN$8))/2000/2.2046</f>
        <v>888.17752290780686</v>
      </c>
      <c r="AO248" s="21">
        <f>(SUMPRODUCT(AO$9:AO$229,Nutrients!$DZ$8:$DZ$228)+(IF($A$7=Nutrients!$B$8,Nutrients!$DZ$8,Nutrients!$DZ$9)*AO$7)+(((IF($A$8=Nutrients!$B$79,Nutrients!$DZ$79,(IF($A$8=Nutrients!$B$77,Nutrients!$DZ$77,Nutrients!$DZ$78)))))*AO$8))/2000/2.2046</f>
        <v>896.46595570481168</v>
      </c>
      <c r="AP248" s="21">
        <f>(SUMPRODUCT(AP$9:AP$229,Nutrients!$DZ$8:$DZ$228)+(IF($A$7=Nutrients!$B$8,Nutrients!$DZ$8,Nutrients!$DZ$9)*AP$7)+(((IF($A$8=Nutrients!$B$79,Nutrients!$DZ$79,(IF($A$8=Nutrients!$B$77,Nutrients!$DZ$77,Nutrients!$DZ$78)))))*AP$8))/2000/2.2046</f>
        <v>900.73769622437351</v>
      </c>
      <c r="AR248" s="21">
        <f>(SUMPRODUCT(AR$9:AR$229,Nutrients!$DZ$8:$DZ$228)+(IF($A$7=Nutrients!$B$8,Nutrients!$DZ$8,Nutrients!$DZ$9)*AR$7)+(((IF($A$8=Nutrients!$B$79,Nutrients!$DZ$79,(IF($A$8=Nutrients!$B$77,Nutrients!$DZ$77,Nutrients!$DZ$78)))))*AR$8))/2000/2.2046</f>
        <v>796.03376700940237</v>
      </c>
      <c r="AS248" s="21">
        <f>(SUMPRODUCT(AS$9:AS$229,Nutrients!$DZ$8:$DZ$228)+(IF($A$7=Nutrients!$B$8,Nutrients!$DZ$8,Nutrients!$DZ$9)*AS$7)+(((IF($A$8=Nutrients!$B$79,Nutrients!$DZ$79,(IF($A$8=Nutrients!$B$77,Nutrients!$DZ$77,Nutrients!$DZ$78)))))*AS$8))/2000/2.2046</f>
        <v>809.46557264197918</v>
      </c>
      <c r="AT248" s="21">
        <f>(SUMPRODUCT(AT$9:AT$229,Nutrients!$DZ$8:$DZ$228)+(IF($A$7=Nutrients!$B$8,Nutrients!$DZ$8,Nutrients!$DZ$9)*AT$7)+(((IF($A$8=Nutrients!$B$79,Nutrients!$DZ$79,(IF($A$8=Nutrients!$B$77,Nutrients!$DZ$77,Nutrients!$DZ$78)))))*AT$8))/2000/2.2046</f>
        <v>820.70781298746886</v>
      </c>
      <c r="AU248" s="21">
        <f>(SUMPRODUCT(AU$9:AU$229,Nutrients!$DZ$8:$DZ$228)+(IF($A$7=Nutrients!$B$8,Nutrients!$DZ$8,Nutrients!$DZ$9)*AU$7)+(((IF($A$8=Nutrients!$B$79,Nutrients!$DZ$79,(IF($A$8=Nutrients!$B$77,Nutrients!$DZ$77,Nutrients!$DZ$78)))))*AU$8))/2000/2.2046</f>
        <v>830.12818535704764</v>
      </c>
      <c r="AV248" s="21">
        <f>(SUMPRODUCT(AV$9:AV$229,Nutrients!$DZ$8:$DZ$228)+(IF($A$7=Nutrients!$B$8,Nutrients!$DZ$8,Nutrients!$DZ$9)*AV$7)+(((IF($A$8=Nutrients!$B$79,Nutrients!$DZ$79,(IF($A$8=Nutrients!$B$77,Nutrients!$DZ$77,Nutrients!$DZ$78)))))*AV$8))/2000/2.2046</f>
        <v>838.37261238206145</v>
      </c>
      <c r="AW248" s="21">
        <f>(SUMPRODUCT(AW$9:AW$229,Nutrients!$DZ$8:$DZ$228)+(IF($A$7=Nutrients!$B$8,Nutrients!$DZ$8,Nutrients!$DZ$9)*AW$7)+(((IF($A$8=Nutrients!$B$79,Nutrients!$DZ$79,(IF($A$8=Nutrients!$B$77,Nutrients!$DZ$77,Nutrients!$DZ$78)))))*AW$8))/2000/2.2046</f>
        <v>842.60761357090826</v>
      </c>
    </row>
    <row r="249" spans="1:64" x14ac:dyDescent="0.25">
      <c r="A249" s="5" t="s">
        <v>61</v>
      </c>
      <c r="B249" s="21">
        <f>(SUMPRODUCT(B$9:B$229,Nutrients!$D$8:$D$228)+(IF($A$7=Nutrients!$B$8,Nutrients!$D$8,Nutrients!$D$9)*B$7)+(((IF($A$8=Nutrients!$B$79,Nutrients!$D$79,(IF($A$8=Nutrients!$B$77,Nutrients!$D$77,Nutrients!$D$78)))))*B$8))/2000/2.2046</f>
        <v>1553.447657374518</v>
      </c>
      <c r="C249" s="21">
        <f>(SUMPRODUCT(C$9:C$229,Nutrients!$D$8:$D$228)+(IF($A$7=Nutrients!$B$8,Nutrients!$D$8,Nutrients!$D$9)*C$7)+(((IF($A$8=Nutrients!$B$79,Nutrients!$D$79,(IF($A$8=Nutrients!$B$77,Nutrients!$D$77,Nutrients!$D$78)))))*C$8))/2000/2.2046</f>
        <v>1552.8317239882158</v>
      </c>
      <c r="D249" s="21">
        <f>(SUMPRODUCT(D$9:D$229,Nutrients!$D$8:$D$228)+(IF($A$7=Nutrients!$B$8,Nutrients!$D$8,Nutrients!$D$9)*D$7)+(((IF($A$8=Nutrients!$B$79,Nutrients!$D$79,(IF($A$8=Nutrients!$B$77,Nutrients!$D$77,Nutrients!$D$78)))))*D$8))/2000/2.2046</f>
        <v>1552.5109280788211</v>
      </c>
      <c r="E249" s="21">
        <f>(SUMPRODUCT(E$9:E$229,Nutrients!$D$8:$D$228)+(IF($A$7=Nutrients!$B$8,Nutrients!$D$8,Nutrients!$D$9)*E$7)+(((IF($A$8=Nutrients!$B$79,Nutrients!$D$79,(IF($A$8=Nutrients!$B$77,Nutrients!$D$77,Nutrients!$D$78)))))*E$8))/2000/2.2046</f>
        <v>1552.5671760275247</v>
      </c>
      <c r="F249" s="21">
        <f>(SUMPRODUCT(F$9:F$229,Nutrients!$D$8:$D$228)+(IF($A$7=Nutrients!$B$8,Nutrients!$D$8,Nutrients!$D$9)*F$7)+(((IF($A$8=Nutrients!$B$79,Nutrients!$D$79,(IF($A$8=Nutrients!$B$77,Nutrients!$D$77,Nutrients!$D$78)))))*F$8))/2000/2.2046</f>
        <v>1552.7159321016593</v>
      </c>
      <c r="G249" s="21">
        <f>(SUMPRODUCT(G$9:G$229,Nutrients!$D$8:$D$228)+(IF($A$7=Nutrients!$B$8,Nutrients!$D$8,Nutrients!$D$9)*G$7)+(((IF($A$8=Nutrients!$B$79,Nutrients!$D$79,(IF($A$8=Nutrients!$B$77,Nutrients!$D$77,Nutrients!$D$78)))))*G$8))/2000/2.2046</f>
        <v>1552.2569188768136</v>
      </c>
      <c r="H249" s="226"/>
      <c r="I249" s="21">
        <f>(SUMPRODUCT(I$9:I$229,Nutrients!$D$8:$D$228)+(IF($A$7=Nutrients!$B$8,Nutrients!$D$8,Nutrients!$D$9)*I$7)+(((IF($A$8=Nutrients!$B$79,Nutrients!$D$79,(IF($A$8=Nutrients!$B$77,Nutrients!$D$77,Nutrients!$D$78)))))*I$8))/2000/2.2046</f>
        <v>1559.4683924343319</v>
      </c>
      <c r="J249" s="21">
        <f>(SUMPRODUCT(J$9:J$229,Nutrients!$D$8:$D$228)+(IF($A$7=Nutrients!$B$8,Nutrients!$D$8,Nutrients!$D$9)*J$7)+(((IF($A$8=Nutrients!$B$79,Nutrients!$D$79,(IF($A$8=Nutrients!$B$77,Nutrients!$D$77,Nutrients!$D$78)))))*J$8))/2000/2.2046</f>
        <v>1558.8277430020455</v>
      </c>
      <c r="K249" s="21">
        <f>(SUMPRODUCT(K$9:K$229,Nutrients!$D$8:$D$228)+(IF($A$7=Nutrients!$B$8,Nutrients!$D$8,Nutrients!$D$9)*K$7)+(((IF($A$8=Nutrients!$B$79,Nutrients!$D$79,(IF($A$8=Nutrients!$B$77,Nutrients!$D$77,Nutrients!$D$78)))))*K$8))/2000/2.2046</f>
        <v>1558.7721313404782</v>
      </c>
      <c r="L249" s="21">
        <f>(SUMPRODUCT(L$9:L$229,Nutrients!$D$8:$D$228)+(IF($A$7=Nutrients!$B$8,Nutrients!$D$8,Nutrients!$D$9)*L$7)+(((IF($A$8=Nutrients!$B$79,Nutrients!$D$79,(IF($A$8=Nutrients!$B$77,Nutrients!$D$77,Nutrients!$D$78)))))*L$8))/2000/2.2046</f>
        <v>1558.7524377520301</v>
      </c>
      <c r="M249" s="21">
        <f>(SUMPRODUCT(M$9:M$229,Nutrients!$D$8:$D$228)+(IF($A$7=Nutrients!$B$8,Nutrients!$D$8,Nutrients!$D$9)*M$7)+(((IF($A$8=Nutrients!$B$79,Nutrients!$D$79,(IF($A$8=Nutrients!$B$77,Nutrients!$D$77,Nutrients!$D$78)))))*M$8))/2000/2.2046</f>
        <v>1558.8493309025705</v>
      </c>
      <c r="N249" s="21">
        <f>(SUMPRODUCT(N$9:N$229,Nutrients!$D$8:$D$228)+(IF($A$7=Nutrients!$B$8,Nutrients!$D$8,Nutrients!$D$9)*N$7)+(((IF($A$8=Nutrients!$B$79,Nutrients!$D$79,(IF($A$8=Nutrients!$B$77,Nutrients!$D$77,Nutrients!$D$78)))))*N$8))/2000/2.2046</f>
        <v>1558.483605296321</v>
      </c>
      <c r="O249" s="234"/>
      <c r="P249" s="21">
        <f>(SUMPRODUCT(P$9:P$229,Nutrients!$D$8:$D$228)+(IF($A$7=Nutrients!$B$8,Nutrients!$D$8,Nutrients!$D$9)*P$7)+(((IF($A$8=Nutrients!$B$79,Nutrients!$D$79,(IF($A$8=Nutrients!$B$77,Nutrients!$D$77,Nutrients!$D$78)))))*P$8))/2000/2.2046</f>
        <v>1565.5572781040751</v>
      </c>
      <c r="Q249" s="21">
        <f>(SUMPRODUCT(Q$9:Q$229,Nutrients!$D$8:$D$228)+(IF($A$7=Nutrients!$B$8,Nutrients!$D$8,Nutrients!$D$9)*Q$7)+(((IF($A$8=Nutrients!$B$79,Nutrients!$D$79,(IF($A$8=Nutrients!$B$77,Nutrients!$D$77,Nutrients!$D$78)))))*Q$8))/2000/2.2046</f>
        <v>1565.0034058544047</v>
      </c>
      <c r="R249" s="21">
        <f>(SUMPRODUCT(R$9:R$229,Nutrients!$D$8:$D$228)+(IF($A$7=Nutrients!$B$8,Nutrients!$D$8,Nutrients!$D$9)*R$7)+(((IF($A$8=Nutrients!$B$79,Nutrients!$D$79,(IF($A$8=Nutrients!$B$77,Nutrients!$D$77,Nutrients!$D$78)))))*R$8))/2000/2.2046</f>
        <v>1564.9887677765321</v>
      </c>
      <c r="S249" s="21">
        <f>(SUMPRODUCT(S$9:S$229,Nutrients!$D$8:$D$228)+(IF($A$7=Nutrients!$B$8,Nutrients!$D$8,Nutrients!$D$9)*S$7)+(((IF($A$8=Nutrients!$B$79,Nutrients!$D$79,(IF($A$8=Nutrients!$B$77,Nutrients!$D$77,Nutrients!$D$78)))))*S$8))/2000/2.2046</f>
        <v>1564.983472966574</v>
      </c>
      <c r="T249" s="21">
        <f>(SUMPRODUCT(T$9:T$229,Nutrients!$D$8:$D$228)+(IF($A$7=Nutrients!$B$8,Nutrients!$D$8,Nutrients!$D$9)*T$7)+(((IF($A$8=Nutrients!$B$79,Nutrients!$D$79,(IF($A$8=Nutrients!$B$77,Nutrients!$D$77,Nutrients!$D$78)))))*T$8))/2000/2.2046</f>
        <v>1565.1128075535237</v>
      </c>
      <c r="U249" s="21">
        <f>(SUMPRODUCT(U$9:U$229,Nutrients!$D$8:$D$228)+(IF($A$7=Nutrients!$B$8,Nutrients!$D$8,Nutrients!$D$9)*U$7)+(((IF($A$8=Nutrients!$B$79,Nutrients!$D$79,(IF($A$8=Nutrients!$B$77,Nutrients!$D$77,Nutrients!$D$78)))))*U$8))/2000/2.2046</f>
        <v>1564.7458468801933</v>
      </c>
      <c r="W249" s="21">
        <f>(SUMPRODUCT(W$9:W$229,Nutrients!$D$8:$D$228)+(IF($A$7=Nutrients!$B$8,Nutrients!$D$8,Nutrients!$D$9)*W$7)+(((IF($A$8=Nutrients!$B$79,Nutrients!$D$79,(IF($A$8=Nutrients!$B$77,Nutrients!$D$77,Nutrients!$D$78)))))*W$8))/2000/2.2046</f>
        <v>1571.6779789133373</v>
      </c>
      <c r="X249" s="21">
        <f>(SUMPRODUCT(X$9:X$229,Nutrients!$D$8:$D$228)+(IF($A$7=Nutrients!$B$8,Nutrients!$D$8,Nutrients!$D$9)*X$7)+(((IF($A$8=Nutrients!$B$79,Nutrients!$D$79,(IF($A$8=Nutrients!$B$77,Nutrients!$D$77,Nutrients!$D$78)))))*X$8))/2000/2.2046</f>
        <v>1571.1780095863651</v>
      </c>
      <c r="Y249" s="21">
        <f>(SUMPRODUCT(Y$9:Y$229,Nutrients!$D$8:$D$228)+(IF($A$7=Nutrients!$B$8,Nutrients!$D$8,Nutrients!$D$9)*Y$7)+(((IF($A$8=Nutrients!$B$79,Nutrients!$D$79,(IF($A$8=Nutrients!$B$77,Nutrients!$D$77,Nutrients!$D$78)))))*Y$8))/2000/2.2046</f>
        <v>1571.1951934545968</v>
      </c>
      <c r="Z249" s="21">
        <f>(SUMPRODUCT(Z$9:Z$229,Nutrients!$D$8:$D$228)+(IF($A$7=Nutrients!$B$8,Nutrients!$D$8,Nutrients!$D$9)*Z$7)+(((IF($A$8=Nutrients!$B$79,Nutrients!$D$79,(IF($A$8=Nutrients!$B$77,Nutrients!$D$77,Nutrients!$D$78)))))*Z$8))/2000/2.2046</f>
        <v>1571.2843673330203</v>
      </c>
      <c r="AA249" s="21">
        <f>(SUMPRODUCT(AA$9:AA$229,Nutrients!$D$8:$D$228)+(IF($A$7=Nutrients!$B$8,Nutrients!$D$8,Nutrients!$D$9)*AA$7)+(((IF($A$8=Nutrients!$B$79,Nutrients!$D$79,(IF($A$8=Nutrients!$B$77,Nutrients!$D$77,Nutrients!$D$78)))))*AA$8))/2000/2.2046</f>
        <v>1571.5546013023575</v>
      </c>
      <c r="AB249" s="21">
        <f>(SUMPRODUCT(AB$9:AB$229,Nutrients!$D$8:$D$228)+(IF($A$7=Nutrients!$B$8,Nutrients!$D$8,Nutrients!$D$9)*AB$7)+(((IF($A$8=Nutrients!$B$79,Nutrients!$D$79,(IF($A$8=Nutrients!$B$77,Nutrients!$D$77,Nutrients!$D$78)))))*AB$8))/2000/2.2046</f>
        <v>1570.8728054013063</v>
      </c>
      <c r="AD249" s="21">
        <f>(SUMPRODUCT(AD$9:AD$229,Nutrients!$D$8:$D$228)+(IF($A$7=Nutrients!$B$8,Nutrients!$D$8,Nutrients!$D$9)*AD$7)+(((IF($A$8=Nutrients!$B$79,Nutrients!$D$79,(IF($A$8=Nutrients!$B$77,Nutrients!$D$77,Nutrients!$D$78)))))*AD$8))/2000/2.2046</f>
        <v>1577.8384842666369</v>
      </c>
      <c r="AE249" s="21">
        <f>(SUMPRODUCT(AE$9:AE$229,Nutrients!$D$8:$D$228)+(IF($A$7=Nutrients!$B$8,Nutrients!$D$8,Nutrients!$D$9)*AE$7)+(((IF($A$8=Nutrients!$B$79,Nutrients!$D$79,(IF($A$8=Nutrients!$B$77,Nutrients!$D$77,Nutrients!$D$78)))))*AE$8))/2000/2.2046</f>
        <v>1577.3486586846627</v>
      </c>
      <c r="AF249" s="21">
        <f>(SUMPRODUCT(AF$9:AF$229,Nutrients!$D$8:$D$228)+(IF($A$7=Nutrients!$B$8,Nutrients!$D$8,Nutrients!$D$9)*AF$7)+(((IF($A$8=Nutrients!$B$79,Nutrients!$D$79,(IF($A$8=Nutrients!$B$77,Nutrients!$D$77,Nutrients!$D$78)))))*AF$8))/2000/2.2046</f>
        <v>1577.4736339560745</v>
      </c>
      <c r="AG249" s="21">
        <f>(SUMPRODUCT(AG$9:AG$229,Nutrients!$D$8:$D$228)+(IF($A$7=Nutrients!$B$8,Nutrients!$D$8,Nutrients!$D$9)*AG$7)+(((IF($A$8=Nutrients!$B$79,Nutrients!$D$79,(IF($A$8=Nutrients!$B$77,Nutrients!$D$77,Nutrients!$D$78)))))*AG$8))/2000/2.2046</f>
        <v>1577.6992341867285</v>
      </c>
      <c r="AH249" s="21">
        <f>(SUMPRODUCT(AH$9:AH$229,Nutrients!$D$8:$D$228)+(IF($A$7=Nutrients!$B$8,Nutrients!$D$8,Nutrients!$D$9)*AH$7)+(((IF($A$8=Nutrients!$B$79,Nutrients!$D$79,(IF($A$8=Nutrients!$B$77,Nutrients!$D$77,Nutrients!$D$78)))))*AH$8))/2000/2.2046</f>
        <v>1576.9309985729824</v>
      </c>
      <c r="AI249" s="21">
        <f>(SUMPRODUCT(AI$9:AI$229,Nutrients!$D$8:$D$228)+(IF($A$7=Nutrients!$B$8,Nutrients!$D$8,Nutrients!$D$9)*AI$7)+(((IF($A$8=Nutrients!$B$79,Nutrients!$D$79,(IF($A$8=Nutrients!$B$77,Nutrients!$D$77,Nutrients!$D$78)))))*AI$8))/2000/2.2046</f>
        <v>1575.8847107702024</v>
      </c>
      <c r="AK249" s="21">
        <f>(SUMPRODUCT(AK$9:AK$229,Nutrients!$D$8:$D$228)+(IF($A$7=Nutrients!$B$8,Nutrients!$D$8,Nutrients!$D$9)*AK$7)+(((IF($A$8=Nutrients!$B$79,Nutrients!$D$79,(IF($A$8=Nutrients!$B$77,Nutrients!$D$77,Nutrients!$D$78)))))*AK$8))/2000/2.2046</f>
        <v>1584.0206773761545</v>
      </c>
      <c r="AL249" s="21">
        <f>(SUMPRODUCT(AL$9:AL$229,Nutrients!$D$8:$D$228)+(IF($A$7=Nutrients!$B$8,Nutrients!$D$8,Nutrients!$D$9)*AL$7)+(((IF($A$8=Nutrients!$B$79,Nutrients!$D$79,(IF($A$8=Nutrients!$B$77,Nutrients!$D$77,Nutrients!$D$78)))))*AL$8))/2000/2.2046</f>
        <v>1583.4928683843225</v>
      </c>
      <c r="AM249" s="21">
        <f>(SUMPRODUCT(AM$9:AM$229,Nutrients!$D$8:$D$228)+(IF($A$7=Nutrients!$B$8,Nutrients!$D$8,Nutrients!$D$9)*AM$7)+(((IF($A$8=Nutrients!$B$79,Nutrients!$D$79,(IF($A$8=Nutrients!$B$77,Nutrients!$D$77,Nutrients!$D$78)))))*AM$8))/2000/2.2046</f>
        <v>1583.8083713461531</v>
      </c>
      <c r="AN249" s="21">
        <f>(SUMPRODUCT(AN$9:AN$229,Nutrients!$D$8:$D$228)+(IF($A$7=Nutrients!$B$8,Nutrients!$D$8,Nutrients!$D$9)*AN$7)+(((IF($A$8=Nutrients!$B$79,Nutrients!$D$79,(IF($A$8=Nutrients!$B$77,Nutrients!$D$77,Nutrients!$D$78)))))*AN$8))/2000/2.2046</f>
        <v>1583.2672802362613</v>
      </c>
      <c r="AO249" s="21">
        <f>(SUMPRODUCT(AO$9:AO$229,Nutrients!$D$8:$D$228)+(IF($A$7=Nutrients!$B$8,Nutrients!$D$8,Nutrients!$D$9)*AO$7)+(((IF($A$8=Nutrients!$B$79,Nutrients!$D$79,(IF($A$8=Nutrients!$B$77,Nutrients!$D$77,Nutrients!$D$78)))))*AO$8))/2000/2.2046</f>
        <v>1581.9262586517586</v>
      </c>
      <c r="AP249" s="21">
        <f>(SUMPRODUCT(AP$9:AP$229,Nutrients!$D$8:$D$228)+(IF($A$7=Nutrients!$B$8,Nutrients!$D$8,Nutrients!$D$9)*AP$7)+(((IF($A$8=Nutrients!$B$79,Nutrients!$D$79,(IF($A$8=Nutrients!$B$77,Nutrients!$D$77,Nutrients!$D$78)))))*AP$8))/2000/2.2046</f>
        <v>1580.8892962185089</v>
      </c>
      <c r="AR249" s="21">
        <f>(SUMPRODUCT(AR$9:AR$229,Nutrients!$D$8:$D$228)+(IF($A$7=Nutrients!$B$8,Nutrients!$D$8,Nutrients!$D$9)*AR$7)+(((IF($A$8=Nutrients!$B$79,Nutrients!$D$79,(IF($A$8=Nutrients!$B$77,Nutrients!$D$77,Nutrients!$D$78)))))*AR$8))/2000/2.2046</f>
        <v>1590.2699718658946</v>
      </c>
      <c r="AS249" s="21">
        <f>(SUMPRODUCT(AS$9:AS$229,Nutrients!$D$8:$D$228)+(IF($A$7=Nutrients!$B$8,Nutrients!$D$8,Nutrients!$D$9)*AS$7)+(((IF($A$8=Nutrients!$B$79,Nutrients!$D$79,(IF($A$8=Nutrients!$B$77,Nutrients!$D$77,Nutrients!$D$78)))))*AS$8))/2000/2.2046</f>
        <v>1589.732964443428</v>
      </c>
      <c r="AT249" s="21">
        <f>(SUMPRODUCT(AT$9:AT$229,Nutrients!$D$8:$D$228)+(IF($A$7=Nutrients!$B$8,Nutrients!$D$8,Nutrients!$D$9)*AT$7)+(((IF($A$8=Nutrients!$B$79,Nutrients!$D$79,(IF($A$8=Nutrients!$B$77,Nutrients!$D$77,Nutrients!$D$78)))))*AT$8))/2000/2.2046</f>
        <v>1590.1951603495881</v>
      </c>
      <c r="AU249" s="21">
        <f>(SUMPRODUCT(AU$9:AU$229,Nutrients!$D$8:$D$228)+(IF($A$7=Nutrients!$B$8,Nutrients!$D$8,Nutrients!$D$9)*AU$7)+(((IF($A$8=Nutrients!$B$79,Nutrients!$D$79,(IF($A$8=Nutrients!$B$77,Nutrients!$D$77,Nutrients!$D$78)))))*AU$8))/2000/2.2046</f>
        <v>1588.2398125896307</v>
      </c>
      <c r="AV249" s="21">
        <f>(SUMPRODUCT(AV$9:AV$229,Nutrients!$D$8:$D$228)+(IF($A$7=Nutrients!$B$8,Nutrients!$D$8,Nutrients!$D$9)*AV$7)+(((IF($A$8=Nutrients!$B$79,Nutrients!$D$79,(IF($A$8=Nutrients!$B$77,Nutrients!$D$77,Nutrients!$D$78)))))*AV$8))/2000/2.2046</f>
        <v>1586.9216675444563</v>
      </c>
      <c r="AW249" s="21">
        <f>(SUMPRODUCT(AW$9:AW$229,Nutrients!$D$8:$D$228)+(IF($A$7=Nutrients!$B$8,Nutrients!$D$8,Nutrients!$D$9)*AW$7)+(((IF($A$8=Nutrients!$B$79,Nutrients!$D$79,(IF($A$8=Nutrients!$B$77,Nutrients!$D$77,Nutrients!$D$78)))))*AW$8))/2000/2.2046</f>
        <v>1585.8939129048965</v>
      </c>
    </row>
    <row r="250" spans="1:64" x14ac:dyDescent="0.25">
      <c r="A250" s="5" t="s">
        <v>30</v>
      </c>
      <c r="B250" s="21">
        <f>(SUMPRODUCT(B$9:B$229,Nutrients!$F$8:$F$228)+(IF($A$7=Nutrients!$B$8,Nutrients!$F$8,Nutrients!$F$9)*B$7)+(((IF($A$8=Nutrients!$B$79,Nutrients!$F$79,(IF($A$8=Nutrients!$B$77,Nutrients!$F$77,Nutrients!$F$78)))))*B$8))/2000/2.2046</f>
        <v>1153.6247232105659</v>
      </c>
      <c r="C250" s="21">
        <f>(SUMPRODUCT(C$9:C$229,Nutrients!$F$8:$F$228)+(IF($A$7=Nutrients!$B$8,Nutrients!$F$8,Nutrients!$F$9)*C$7)+(((IF($A$8=Nutrients!$B$79,Nutrients!$F$79,(IF($A$8=Nutrients!$B$77,Nutrients!$F$77,Nutrients!$F$78)))))*C$8))/2000/2.2046</f>
        <v>1160.6089760708783</v>
      </c>
      <c r="D250" s="21">
        <f>(SUMPRODUCT(D$9:D$229,Nutrients!$F$8:$F$228)+(IF($A$7=Nutrients!$B$8,Nutrients!$F$8,Nutrients!$F$9)*D$7)+(((IF($A$8=Nutrients!$B$79,Nutrients!$F$79,(IF($A$8=Nutrients!$B$77,Nutrients!$F$77,Nutrients!$F$78)))))*D$8))/2000/2.2046</f>
        <v>1166.664301360594</v>
      </c>
      <c r="E250" s="21">
        <f>(SUMPRODUCT(E$9:E$229,Nutrients!$F$8:$F$228)+(IF($A$7=Nutrients!$B$8,Nutrients!$F$8,Nutrients!$F$9)*E$7)+(((IF($A$8=Nutrients!$B$79,Nutrients!$F$79,(IF($A$8=Nutrients!$B$77,Nutrients!$F$77,Nutrients!$F$78)))))*E$8))/2000/2.2046</f>
        <v>1172.8465047486318</v>
      </c>
      <c r="F250" s="21">
        <f>(SUMPRODUCT(F$9:F$229,Nutrients!$F$8:$F$228)+(IF($A$7=Nutrients!$B$8,Nutrients!$F$8,Nutrients!$F$9)*F$7)+(((IF($A$8=Nutrients!$B$79,Nutrients!$F$79,(IF($A$8=Nutrients!$B$77,Nutrients!$F$77,Nutrients!$F$78)))))*F$8))/2000/2.2046</f>
        <v>1178.0967521230723</v>
      </c>
      <c r="G250" s="21">
        <f>(SUMPRODUCT(G$9:G$229,Nutrients!$F$8:$F$228)+(IF($A$7=Nutrients!$B$8,Nutrients!$F$8,Nutrients!$F$9)*G$7)+(((IF($A$8=Nutrients!$B$79,Nutrients!$F$79,(IF($A$8=Nutrients!$B$77,Nutrients!$F$77,Nutrients!$F$78)))))*G$8))/2000/2.2046</f>
        <v>1180.5684789085878</v>
      </c>
      <c r="H250" s="226"/>
      <c r="I250" s="21">
        <f>(SUMPRODUCT(I$9:I$229,Nutrients!$F$8:$F$228)+(IF($A$7=Nutrients!$B$8,Nutrients!$F$8,Nutrients!$F$9)*I$7)+(((IF($A$8=Nutrients!$B$79,Nutrients!$F$79,(IF($A$8=Nutrients!$B$77,Nutrients!$F$77,Nutrients!$F$78)))))*I$8))/2000/2.2046</f>
        <v>1143.9316017733656</v>
      </c>
      <c r="J250" s="21">
        <f>(SUMPRODUCT(J$9:J$229,Nutrients!$F$8:$F$228)+(IF($A$7=Nutrients!$B$8,Nutrients!$F$8,Nutrients!$F$9)*J$7)+(((IF($A$8=Nutrients!$B$79,Nutrients!$F$79,(IF($A$8=Nutrients!$B$77,Nutrients!$F$77,Nutrients!$F$78)))))*J$8))/2000/2.2046</f>
        <v>1150.7857530722176</v>
      </c>
      <c r="K250" s="21">
        <f>(SUMPRODUCT(K$9:K$229,Nutrients!$F$8:$F$228)+(IF($A$7=Nutrients!$B$8,Nutrients!$F$8,Nutrients!$F$9)*K$7)+(((IF($A$8=Nutrients!$B$79,Nutrients!$F$79,(IF($A$8=Nutrients!$B$77,Nutrients!$F$77,Nutrients!$F$78)))))*K$8))/2000/2.2046</f>
        <v>1156.9476529495107</v>
      </c>
      <c r="L250" s="21">
        <f>(SUMPRODUCT(L$9:L$229,Nutrients!$F$8:$F$228)+(IF($A$7=Nutrients!$B$8,Nutrients!$F$8,Nutrients!$F$9)*L$7)+(((IF($A$8=Nutrients!$B$79,Nutrients!$F$79,(IF($A$8=Nutrients!$B$77,Nutrients!$F$77,Nutrients!$F$78)))))*L$8))/2000/2.2046</f>
        <v>1163.0164310425773</v>
      </c>
      <c r="M250" s="21">
        <f>(SUMPRODUCT(M$9:M$229,Nutrients!$F$8:$F$228)+(IF($A$7=Nutrients!$B$8,Nutrients!$F$8,Nutrients!$F$9)*M$7)+(((IF($A$8=Nutrients!$B$79,Nutrients!$F$79,(IF($A$8=Nutrients!$B$77,Nutrients!$F$77,Nutrients!$F$78)))))*M$8))/2000/2.2046</f>
        <v>1168.2354413559842</v>
      </c>
      <c r="N250" s="21">
        <f>(SUMPRODUCT(N$9:N$229,Nutrients!$F$8:$F$228)+(IF($A$7=Nutrients!$B$8,Nutrients!$F$8,Nutrients!$F$9)*N$7)+(((IF($A$8=Nutrients!$B$79,Nutrients!$F$79,(IF($A$8=Nutrients!$B$77,Nutrients!$F$77,Nutrients!$F$78)))))*N$8))/2000/2.2046</f>
        <v>1170.7408499730313</v>
      </c>
      <c r="O250" s="234"/>
      <c r="P250" s="21">
        <f>(SUMPRODUCT(P$9:P$229,Nutrients!$F$8:$F$228)+(IF($A$7=Nutrients!$B$8,Nutrients!$F$8,Nutrients!$F$9)*P$7)+(((IF($A$8=Nutrients!$B$79,Nutrients!$F$79,(IF($A$8=Nutrients!$B$77,Nutrients!$F$77,Nutrients!$F$78)))))*P$8))/2000/2.2046</f>
        <v>1134.1486597361163</v>
      </c>
      <c r="Q250" s="21">
        <f>(SUMPRODUCT(Q$9:Q$229,Nutrients!$F$8:$F$228)+(IF($A$7=Nutrients!$B$8,Nutrients!$F$8,Nutrients!$F$9)*Q$7)+(((IF($A$8=Nutrients!$B$79,Nutrients!$F$79,(IF($A$8=Nutrients!$B$77,Nutrients!$F$77,Nutrients!$F$78)))))*Q$8))/2000/2.2046</f>
        <v>1140.9960635775719</v>
      </c>
      <c r="R250" s="21">
        <f>(SUMPRODUCT(R$9:R$229,Nutrients!$F$8:$F$228)+(IF($A$7=Nutrients!$B$8,Nutrients!$F$8,Nutrients!$F$9)*R$7)+(((IF($A$8=Nutrients!$B$79,Nutrients!$F$79,(IF($A$8=Nutrients!$B$77,Nutrients!$F$77,Nutrients!$F$78)))))*R$8))/2000/2.2046</f>
        <v>1147.1205622318855</v>
      </c>
      <c r="S250" s="21">
        <f>(SUMPRODUCT(S$9:S$229,Nutrients!$F$8:$F$228)+(IF($A$7=Nutrients!$B$8,Nutrients!$F$8,Nutrients!$F$9)*S$7)+(((IF($A$8=Nutrients!$B$79,Nutrients!$F$79,(IF($A$8=Nutrients!$B$77,Nutrients!$F$77,Nutrients!$F$78)))))*S$8))/2000/2.2046</f>
        <v>1153.2292841427254</v>
      </c>
      <c r="T250" s="21">
        <f>(SUMPRODUCT(T$9:T$229,Nutrients!$F$8:$F$228)+(IF($A$7=Nutrients!$B$8,Nutrients!$F$8,Nutrients!$F$9)*T$7)+(((IF($A$8=Nutrients!$B$79,Nutrients!$F$79,(IF($A$8=Nutrients!$B$77,Nutrients!$F$77,Nutrients!$F$78)))))*T$8))/2000/2.2046</f>
        <v>1158.4157433692949</v>
      </c>
      <c r="U250" s="21">
        <f>(SUMPRODUCT(U$9:U$229,Nutrients!$F$8:$F$228)+(IF($A$7=Nutrients!$B$8,Nutrients!$F$8,Nutrients!$F$9)*U$7)+(((IF($A$8=Nutrients!$B$79,Nutrients!$F$79,(IF($A$8=Nutrients!$B$77,Nutrients!$F$77,Nutrients!$F$78)))))*U$8))/2000/2.2046</f>
        <v>1160.8987430502868</v>
      </c>
      <c r="W250" s="21">
        <f>(SUMPRODUCT(W$9:W$229,Nutrients!$F$8:$F$228)+(IF($A$7=Nutrients!$B$8,Nutrients!$F$8,Nutrients!$F$9)*W$7)+(((IF($A$8=Nutrients!$B$79,Nutrients!$F$79,(IF($A$8=Nutrients!$B$77,Nutrients!$F$77,Nutrients!$F$78)))))*W$8))/2000/2.2046</f>
        <v>1124.3864708164497</v>
      </c>
      <c r="X250" s="21">
        <f>(SUMPRODUCT(X$9:X$229,Nutrients!$F$8:$F$228)+(IF($A$7=Nutrients!$B$8,Nutrients!$F$8,Nutrients!$F$9)*X$7)+(((IF($A$8=Nutrients!$B$79,Nutrients!$F$79,(IF($A$8=Nutrients!$B$77,Nutrients!$F$77,Nutrients!$F$78)))))*X$8))/2000/2.2046</f>
        <v>1131.2070029683641</v>
      </c>
      <c r="Y250" s="21">
        <f>(SUMPRODUCT(Y$9:Y$229,Nutrients!$F$8:$F$228)+(IF($A$7=Nutrients!$B$8,Nutrients!$F$8,Nutrients!$F$9)*Y$7)+(((IF($A$8=Nutrients!$B$79,Nutrients!$F$79,(IF($A$8=Nutrients!$B$77,Nutrients!$F$77,Nutrients!$F$78)))))*Y$8))/2000/2.2046</f>
        <v>1137.3816731312543</v>
      </c>
      <c r="Z250" s="21">
        <f>(SUMPRODUCT(Z$9:Z$229,Nutrients!$F$8:$F$228)+(IF($A$7=Nutrients!$B$8,Nutrients!$F$8,Nutrients!$F$9)*Z$7)+(((IF($A$8=Nutrients!$B$79,Nutrients!$F$79,(IF($A$8=Nutrients!$B$77,Nutrients!$F$77,Nutrients!$F$78)))))*Z$8))/2000/2.2046</f>
        <v>1143.4628984803453</v>
      </c>
      <c r="AA250" s="21">
        <f>(SUMPRODUCT(AA$9:AA$229,Nutrients!$F$8:$F$228)+(IF($A$7=Nutrients!$B$8,Nutrients!$F$8,Nutrients!$F$9)*AA$7)+(((IF($A$8=Nutrients!$B$79,Nutrients!$F$79,(IF($A$8=Nutrients!$B$77,Nutrients!$F$77,Nutrients!$F$78)))))*AA$8))/2000/2.2046</f>
        <v>1148.7057050542594</v>
      </c>
      <c r="AB250" s="21">
        <f>(SUMPRODUCT(AB$9:AB$229,Nutrients!$F$8:$F$228)+(IF($A$7=Nutrients!$B$8,Nutrients!$F$8,Nutrients!$F$9)*AB$7)+(((IF($A$8=Nutrients!$B$79,Nutrients!$F$79,(IF($A$8=Nutrients!$B$77,Nutrients!$F$77,Nutrients!$F$78)))))*AB$8))/2000/2.2046</f>
        <v>1150.9371831663452</v>
      </c>
      <c r="AD250" s="21">
        <f>(SUMPRODUCT(AD$9:AD$229,Nutrients!$F$8:$F$228)+(IF($A$7=Nutrients!$B$8,Nutrients!$F$8,Nutrients!$F$9)*AD$7)+(((IF($A$8=Nutrients!$B$79,Nutrients!$F$79,(IF($A$8=Nutrients!$B$77,Nutrients!$F$77,Nutrients!$F$78)))))*AD$8))/2000/2.2046</f>
        <v>1114.6576256481987</v>
      </c>
      <c r="AE250" s="21">
        <f>(SUMPRODUCT(AE$9:AE$229,Nutrients!$F$8:$F$228)+(IF($A$7=Nutrients!$B$8,Nutrients!$F$8,Nutrients!$F$9)*AE$7)+(((IF($A$8=Nutrients!$B$79,Nutrients!$F$79,(IF($A$8=Nutrients!$B$77,Nutrients!$F$77,Nutrients!$F$78)))))*AE$8))/2000/2.2046</f>
        <v>1121.5088111553043</v>
      </c>
      <c r="AF250" s="21">
        <f>(SUMPRODUCT(AF$9:AF$229,Nutrients!$F$8:$F$228)+(IF($A$7=Nutrients!$B$8,Nutrients!$F$8,Nutrients!$F$9)*AF$7)+(((IF($A$8=Nutrients!$B$79,Nutrients!$F$79,(IF($A$8=Nutrients!$B$77,Nutrients!$F$77,Nutrients!$F$78)))))*AF$8))/2000/2.2046</f>
        <v>1127.6670423236528</v>
      </c>
      <c r="AG250" s="21">
        <f>(SUMPRODUCT(AG$9:AG$229,Nutrients!$F$8:$F$228)+(IF($A$7=Nutrients!$B$8,Nutrients!$F$8,Nutrients!$F$9)*AG$7)+(((IF($A$8=Nutrients!$B$79,Nutrients!$F$79,(IF($A$8=Nutrients!$B$77,Nutrients!$F$77,Nutrients!$F$78)))))*AG$8))/2000/2.2046</f>
        <v>1133.7701216213393</v>
      </c>
      <c r="AH250" s="21">
        <f>(SUMPRODUCT(AH$9:AH$229,Nutrients!$F$8:$F$228)+(IF($A$7=Nutrients!$B$8,Nutrients!$F$8,Nutrients!$F$9)*AH$7)+(((IF($A$8=Nutrients!$B$79,Nutrients!$F$79,(IF($A$8=Nutrients!$B$77,Nutrients!$F$77,Nutrients!$F$78)))))*AH$8))/2000/2.2046</f>
        <v>1138.198919431765</v>
      </c>
      <c r="AI250" s="21">
        <f>(SUMPRODUCT(AI$9:AI$229,Nutrients!$F$8:$F$228)+(IF($A$7=Nutrients!$B$8,Nutrients!$F$8,Nutrients!$F$9)*AI$7)+(((IF($A$8=Nutrients!$B$79,Nutrients!$F$79,(IF($A$8=Nutrients!$B$77,Nutrients!$F$77,Nutrients!$F$78)))))*AI$8))/2000/2.2046</f>
        <v>1140.1338303784414</v>
      </c>
      <c r="AK250" s="21">
        <f>(SUMPRODUCT(AK$9:AK$229,Nutrients!$F$8:$F$228)+(IF($A$7=Nutrients!$B$8,Nutrients!$F$8,Nutrients!$F$9)*AK$7)+(((IF($A$8=Nutrients!$B$79,Nutrients!$F$79,(IF($A$8=Nutrients!$B$77,Nutrients!$F$77,Nutrients!$F$78)))))*AK$8))/2000/2.2046</f>
        <v>1104.9181940477295</v>
      </c>
      <c r="AL250" s="21">
        <f>(SUMPRODUCT(AL$9:AL$229,Nutrients!$F$8:$F$228)+(IF($A$7=Nutrients!$B$8,Nutrients!$F$8,Nutrients!$F$9)*AL$7)+(((IF($A$8=Nutrients!$B$79,Nutrients!$F$79,(IF($A$8=Nutrients!$B$77,Nutrients!$F$77,Nutrients!$F$78)))))*AL$8))/2000/2.2046</f>
        <v>1111.766428181455</v>
      </c>
      <c r="AM250" s="21">
        <f>(SUMPRODUCT(AM$9:AM$229,Nutrients!$F$8:$F$228)+(IF($A$7=Nutrients!$B$8,Nutrients!$F$8,Nutrients!$F$9)*AM$7)+(((IF($A$8=Nutrients!$B$79,Nutrients!$F$79,(IF($A$8=Nutrients!$B$77,Nutrients!$F$77,Nutrients!$F$78)))))*AM$8))/2000/2.2046</f>
        <v>1117.9783232104851</v>
      </c>
      <c r="AN250" s="21">
        <f>(SUMPRODUCT(AN$9:AN$229,Nutrients!$F$8:$F$228)+(IF($A$7=Nutrients!$B$8,Nutrients!$F$8,Nutrients!$F$9)*AN$7)+(((IF($A$8=Nutrients!$B$79,Nutrients!$F$79,(IF($A$8=Nutrients!$B$77,Nutrients!$F$77,Nutrients!$F$78)))))*AN$8))/2000/2.2046</f>
        <v>1123.4455142959187</v>
      </c>
      <c r="AO250" s="21">
        <f>(SUMPRODUCT(AO$9:AO$229,Nutrients!$F$8:$F$228)+(IF($A$7=Nutrients!$B$8,Nutrients!$F$8,Nutrients!$F$9)*AO$7)+(((IF($A$8=Nutrients!$B$79,Nutrients!$F$79,(IF($A$8=Nutrients!$B$77,Nutrients!$F$77,Nutrients!$F$78)))))*AO$8))/2000/2.2046</f>
        <v>1127.4076439970456</v>
      </c>
      <c r="AP250" s="21">
        <f>(SUMPRODUCT(AP$9:AP$229,Nutrients!$F$8:$F$228)+(IF($A$7=Nutrients!$B$8,Nutrients!$F$8,Nutrients!$F$9)*AP$7)+(((IF($A$8=Nutrients!$B$79,Nutrients!$F$79,(IF($A$8=Nutrients!$B$77,Nutrients!$F$77,Nutrients!$F$78)))))*AP$8))/2000/2.2046</f>
        <v>1129.32592527267</v>
      </c>
      <c r="AR250" s="21">
        <f>(SUMPRODUCT(AR$9:AR$229,Nutrients!$F$8:$F$228)+(IF($A$7=Nutrients!$B$8,Nutrients!$F$8,Nutrients!$F$9)*AR$7)+(((IF($A$8=Nutrients!$B$79,Nutrients!$F$79,(IF($A$8=Nutrients!$B$77,Nutrients!$F$77,Nutrients!$F$78)))))*AR$8))/2000/2.2046</f>
        <v>1095.0390880700795</v>
      </c>
      <c r="AS250" s="21">
        <f>(SUMPRODUCT(AS$9:AS$229,Nutrients!$F$8:$F$228)+(IF($A$7=Nutrients!$B$8,Nutrients!$F$8,Nutrients!$F$9)*AS$7)+(((IF($A$8=Nutrients!$B$79,Nutrients!$F$79,(IF($A$8=Nutrients!$B$77,Nutrients!$F$77,Nutrients!$F$78)))))*AS$8))/2000/2.2046</f>
        <v>1102.0855230009099</v>
      </c>
      <c r="AT250" s="21">
        <f>(SUMPRODUCT(AT$9:AT$229,Nutrients!$F$8:$F$228)+(IF($A$7=Nutrients!$B$8,Nutrients!$F$8,Nutrients!$F$9)*AT$7)+(((IF($A$8=Nutrients!$B$79,Nutrients!$F$79,(IF($A$8=Nutrients!$B$77,Nutrients!$F$77,Nutrients!$F$78)))))*AT$8))/2000/2.2046</f>
        <v>1108.3026287308896</v>
      </c>
      <c r="AU250" s="21">
        <f>(SUMPRODUCT(AU$9:AU$229,Nutrients!$F$8:$F$228)+(IF($A$7=Nutrients!$B$8,Nutrients!$F$8,Nutrients!$F$9)*AU$7)+(((IF($A$8=Nutrients!$B$79,Nutrients!$F$79,(IF($A$8=Nutrients!$B$77,Nutrients!$F$77,Nutrients!$F$78)))))*AU$8))/2000/2.2046</f>
        <v>1112.6693541271541</v>
      </c>
      <c r="AV250" s="21">
        <f>(SUMPRODUCT(AV$9:AV$229,Nutrients!$F$8:$F$228)+(IF($A$7=Nutrients!$B$8,Nutrients!$F$8,Nutrients!$F$9)*AV$7)+(((IF($A$8=Nutrients!$B$79,Nutrients!$F$79,(IF($A$8=Nutrients!$B$77,Nutrients!$F$77,Nutrients!$F$78)))))*AV$8))/2000/2.2046</f>
        <v>1116.6159860012272</v>
      </c>
      <c r="AW250" s="21">
        <f>(SUMPRODUCT(AW$9:AW$229,Nutrients!$F$8:$F$228)+(IF($A$7=Nutrients!$B$8,Nutrients!$F$8,Nutrients!$F$9)*AW$7)+(((IF($A$8=Nutrients!$B$79,Nutrients!$F$79,(IF($A$8=Nutrients!$B$77,Nutrients!$F$77,Nutrients!$F$78)))))*AW$8))/2000/2.2046</f>
        <v>1118.5178544233213</v>
      </c>
      <c r="AY250" s="21"/>
      <c r="AZ250" s="21"/>
      <c r="BA250" s="21"/>
      <c r="BB250" s="21"/>
      <c r="BC250" s="21"/>
      <c r="BD250" s="21"/>
    </row>
    <row r="251" spans="1:64" x14ac:dyDescent="0.25">
      <c r="A251" s="38" t="s">
        <v>29</v>
      </c>
      <c r="B251" s="21">
        <f t="shared" ref="B251:G251" si="37">B250*2.20462</f>
        <v>2543.3041372844777</v>
      </c>
      <c r="C251" s="21">
        <f t="shared" si="37"/>
        <v>2558.7017608253796</v>
      </c>
      <c r="D251" s="21">
        <f t="shared" si="37"/>
        <v>2572.0514520655925</v>
      </c>
      <c r="E251" s="21">
        <f t="shared" si="37"/>
        <v>2585.6808612989284</v>
      </c>
      <c r="F251" s="21">
        <f t="shared" si="37"/>
        <v>2597.2556616655675</v>
      </c>
      <c r="G251" s="21">
        <f t="shared" si="37"/>
        <v>2602.7048799714507</v>
      </c>
      <c r="H251" s="226"/>
      <c r="I251" s="21">
        <f t="shared" ref="I251:N251" si="38">I250*2.20462</f>
        <v>2521.9344879015971</v>
      </c>
      <c r="J251" s="21">
        <f t="shared" si="38"/>
        <v>2537.0452869380724</v>
      </c>
      <c r="K251" s="21">
        <f t="shared" si="38"/>
        <v>2550.6299346455503</v>
      </c>
      <c r="L251" s="21">
        <f t="shared" si="38"/>
        <v>2564.0092842050867</v>
      </c>
      <c r="M251" s="21">
        <f t="shared" si="38"/>
        <v>2575.5152187222297</v>
      </c>
      <c r="N251" s="21">
        <f t="shared" si="38"/>
        <v>2581.0386926675442</v>
      </c>
      <c r="O251" s="234"/>
      <c r="P251" s="21">
        <f t="shared" ref="P251:U251" si="39">P250*2.20462</f>
        <v>2500.3668182274364</v>
      </c>
      <c r="Q251" s="21">
        <f t="shared" si="39"/>
        <v>2515.4627416843864</v>
      </c>
      <c r="R251" s="21">
        <f t="shared" si="39"/>
        <v>2528.9649339076591</v>
      </c>
      <c r="S251" s="21">
        <f t="shared" si="39"/>
        <v>2542.432344406735</v>
      </c>
      <c r="T251" s="21">
        <f t="shared" si="39"/>
        <v>2553.8665161468148</v>
      </c>
      <c r="U251" s="21">
        <f t="shared" si="39"/>
        <v>2559.3405869035232</v>
      </c>
      <c r="W251" s="21">
        <f t="shared" ref="W251:AB251" si="40">W250*2.20462</f>
        <v>2478.8449012913611</v>
      </c>
      <c r="X251" s="21">
        <f t="shared" si="40"/>
        <v>2493.8815828841148</v>
      </c>
      <c r="Y251" s="21">
        <f t="shared" si="40"/>
        <v>2507.4943842186258</v>
      </c>
      <c r="Z251" s="21">
        <f t="shared" si="40"/>
        <v>2520.9011752477386</v>
      </c>
      <c r="AA251" s="21">
        <f t="shared" si="40"/>
        <v>2532.4595714767211</v>
      </c>
      <c r="AB251" s="21">
        <f t="shared" si="40"/>
        <v>2537.3791327521876</v>
      </c>
      <c r="AD251" s="21">
        <f t="shared" ref="AD251:AI251" si="41">AD250*2.20462</f>
        <v>2457.3964946565316</v>
      </c>
      <c r="AE251" s="21">
        <f t="shared" si="41"/>
        <v>2472.500755249207</v>
      </c>
      <c r="AF251" s="21">
        <f t="shared" si="41"/>
        <v>2486.0773148475714</v>
      </c>
      <c r="AG251" s="21">
        <f t="shared" si="41"/>
        <v>2499.5322855288368</v>
      </c>
      <c r="AH251" s="21">
        <f t="shared" si="41"/>
        <v>2509.2961017576577</v>
      </c>
      <c r="AI251" s="21">
        <f t="shared" si="41"/>
        <v>2513.5618451289192</v>
      </c>
      <c r="AK251" s="21">
        <f t="shared" ref="AK251:AP251" si="42">AK250*2.20462</f>
        <v>2435.924748961505</v>
      </c>
      <c r="AL251" s="21">
        <f t="shared" si="42"/>
        <v>2451.0225028973991</v>
      </c>
      <c r="AM251" s="21">
        <f t="shared" si="42"/>
        <v>2464.7173709162994</v>
      </c>
      <c r="AN251" s="21">
        <f t="shared" si="42"/>
        <v>2476.7704497270679</v>
      </c>
      <c r="AO251" s="21">
        <f t="shared" si="42"/>
        <v>2485.5054401087664</v>
      </c>
      <c r="AP251" s="21">
        <f t="shared" si="42"/>
        <v>2489.7345213746335</v>
      </c>
      <c r="AR251" s="21">
        <f t="shared" ref="AR251:AW251" si="43">AR250*2.20462</f>
        <v>2414.1450743410583</v>
      </c>
      <c r="AS251" s="21">
        <f t="shared" si="43"/>
        <v>2429.679785718266</v>
      </c>
      <c r="AT251" s="21">
        <f t="shared" si="43"/>
        <v>2443.3861413526938</v>
      </c>
      <c r="AU251" s="21">
        <f t="shared" si="43"/>
        <v>2453.0131114958062</v>
      </c>
      <c r="AV251" s="21">
        <f t="shared" si="43"/>
        <v>2461.7139350580251</v>
      </c>
      <c r="AW251" s="21">
        <f t="shared" si="43"/>
        <v>2465.9068322187422</v>
      </c>
      <c r="AZ251" s="8"/>
      <c r="BA251" s="8"/>
      <c r="BB251" s="8"/>
      <c r="BC251" s="8"/>
      <c r="BD251" s="8"/>
      <c r="BE251" s="8"/>
    </row>
    <row r="252" spans="1:64" x14ac:dyDescent="0.25">
      <c r="A252" s="38" t="s">
        <v>390</v>
      </c>
      <c r="B252" s="23">
        <f t="shared" ref="B252:G252" si="44">IF(B$5="","",B236/(B250*2.2046)*10000)</f>
        <v>4.6637077167474628</v>
      </c>
      <c r="C252" s="23">
        <f t="shared" si="44"/>
        <v>4.098690324665454</v>
      </c>
      <c r="D252" s="23">
        <f t="shared" si="44"/>
        <v>3.6038708201123204</v>
      </c>
      <c r="E252" s="23">
        <f t="shared" si="44"/>
        <v>3.1948100235360672</v>
      </c>
      <c r="F252" s="23">
        <f t="shared" si="44"/>
        <v>2.913603801156885</v>
      </c>
      <c r="G252" s="23">
        <f t="shared" si="44"/>
        <v>2.7602055376881007</v>
      </c>
      <c r="H252" s="227"/>
      <c r="I252" s="23">
        <f t="shared" ref="I252:N252" si="45">IF(I$5="","",I236/(I250*2.2046)*10000)</f>
        <v>4.6645554876240558</v>
      </c>
      <c r="J252" s="23">
        <f t="shared" si="45"/>
        <v>4.1009881829047439</v>
      </c>
      <c r="K252" s="23">
        <f t="shared" si="45"/>
        <v>3.6063268912696329</v>
      </c>
      <c r="L252" s="23">
        <f t="shared" si="45"/>
        <v>3.1972543810267244</v>
      </c>
      <c r="M252" s="23">
        <f t="shared" si="45"/>
        <v>2.9135279779004173</v>
      </c>
      <c r="N252" s="23">
        <f t="shared" si="45"/>
        <v>2.76031964247235</v>
      </c>
      <c r="O252" s="234"/>
      <c r="P252" s="23">
        <f t="shared" ref="P252:U252" si="46">IF(P$5="","",P236/(P250*2.2046)*10000)</f>
        <v>4.6732997672504224</v>
      </c>
      <c r="Q252" s="23">
        <f t="shared" si="46"/>
        <v>4.1083817074063509</v>
      </c>
      <c r="R252" s="23">
        <f t="shared" si="46"/>
        <v>3.6133031465778971</v>
      </c>
      <c r="S252" s="23">
        <f t="shared" si="46"/>
        <v>3.1988710494398598</v>
      </c>
      <c r="T252" s="23">
        <f t="shared" si="46"/>
        <v>2.9158442032362433</v>
      </c>
      <c r="U252" s="23">
        <f t="shared" si="46"/>
        <v>2.7626069022680046</v>
      </c>
      <c r="W252" s="23">
        <f t="shared" ref="W252:AB252" si="47">IF(W$5="","",W236/(W250*2.2046)*10000)</f>
        <v>4.682105878422183</v>
      </c>
      <c r="X252" s="23">
        <f t="shared" si="47"/>
        <v>4.115916460050042</v>
      </c>
      <c r="Y252" s="23">
        <f t="shared" si="47"/>
        <v>3.6146821641416653</v>
      </c>
      <c r="Z252" s="23">
        <f t="shared" si="47"/>
        <v>3.2018403535003106</v>
      </c>
      <c r="AA252" s="23">
        <f t="shared" si="47"/>
        <v>2.9182823653990333</v>
      </c>
      <c r="AB252" s="23">
        <f t="shared" si="47"/>
        <v>2.7646184987998423</v>
      </c>
      <c r="AD252" s="23">
        <f t="shared" ref="AD252:AP252" si="48">IF(AD$5="","",AD236/(AD250*2.2046)*10000)</f>
        <v>4.6904903987620354</v>
      </c>
      <c r="AE252" s="23">
        <f t="shared" si="48"/>
        <v>4.1178284567195229</v>
      </c>
      <c r="AF252" s="23">
        <f t="shared" si="48"/>
        <v>3.6173060997587987</v>
      </c>
      <c r="AG252" s="23">
        <f t="shared" si="48"/>
        <v>3.2045609901552576</v>
      </c>
      <c r="AH252" s="23">
        <f t="shared" si="48"/>
        <v>2.9207404546797751</v>
      </c>
      <c r="AI252" s="23">
        <f t="shared" si="48"/>
        <v>2.7669773747277442</v>
      </c>
      <c r="AK252" s="23">
        <f t="shared" si="48"/>
        <v>4.7005162530575086</v>
      </c>
      <c r="AL252" s="23">
        <f t="shared" si="48"/>
        <v>4.1215145399692075</v>
      </c>
      <c r="AM252" s="23">
        <f t="shared" si="48"/>
        <v>3.6205239592674339</v>
      </c>
      <c r="AN252" s="23">
        <f t="shared" si="48"/>
        <v>3.2074983653474169</v>
      </c>
      <c r="AO252" s="23">
        <f t="shared" si="48"/>
        <v>2.9232678347265448</v>
      </c>
      <c r="AP252" s="23">
        <f t="shared" si="48"/>
        <v>2.7693736354952811</v>
      </c>
      <c r="AR252" s="23">
        <f t="shared" ref="AR252:AW252" si="49">IF(AR$5="","",AR236/(AR250*2.2046)*10000)</f>
        <v>4.7222114119356409</v>
      </c>
      <c r="AS252" s="23">
        <f t="shared" si="49"/>
        <v>4.1250695996573103</v>
      </c>
      <c r="AT252" s="23">
        <f t="shared" si="49"/>
        <v>3.6248220388660553</v>
      </c>
      <c r="AU252" s="23">
        <f t="shared" si="49"/>
        <v>3.2109798433715677</v>
      </c>
      <c r="AV252" s="23">
        <f t="shared" si="49"/>
        <v>2.92587252353339</v>
      </c>
      <c r="AW252" s="23">
        <f t="shared" si="49"/>
        <v>2.7718270614681253</v>
      </c>
    </row>
    <row r="253" spans="1:64" x14ac:dyDescent="0.25">
      <c r="A253" s="51" t="s">
        <v>155</v>
      </c>
      <c r="B253" s="22">
        <f>(SUMPRODUCT(B$9:B$229,Nutrients!$I$8:$I$228)+(IF($A$7=Nutrients!$B$8,Nutrients!$I$8,Nutrients!$I$9)*B$7)+(((IF($A$8=Nutrients!$B$79,Nutrients!$I$79,(IF($A$8=Nutrients!$B$77,Nutrients!$I$77,Nutrients!$I$78)))))*B$8))/2000</f>
        <v>19.197144454100709</v>
      </c>
      <c r="C253" s="22">
        <f>(SUMPRODUCT(C$9:C$229,Nutrients!$I$8:$I$228)+(IF($A$7=Nutrients!$B$8,Nutrients!$I$8,Nutrients!$I$9)*C$7)+(((IF($A$8=Nutrients!$B$79,Nutrients!$I$79,(IF($A$8=Nutrients!$B$77,Nutrients!$I$77,Nutrients!$I$78)))))*C$8))/2000</f>
        <v>17.518322949293985</v>
      </c>
      <c r="D253" s="22">
        <f>(SUMPRODUCT(D$9:D$229,Nutrients!$I$8:$I$228)+(IF($A$7=Nutrients!$B$8,Nutrients!$I$8,Nutrients!$I$9)*D$7)+(((IF($A$8=Nutrients!$B$79,Nutrients!$I$79,(IF($A$8=Nutrients!$B$77,Nutrients!$I$77,Nutrients!$I$78)))))*D$8))/2000</f>
        <v>16.093820180294312</v>
      </c>
      <c r="E253" s="22">
        <f>(SUMPRODUCT(E$9:E$229,Nutrients!$I$8:$I$228)+(IF($A$7=Nutrients!$B$8,Nutrients!$I$8,Nutrients!$I$9)*E$7)+(((IF($A$8=Nutrients!$B$79,Nutrients!$I$79,(IF($A$8=Nutrients!$B$77,Nutrients!$I$77,Nutrients!$I$78)))))*E$8))/2000</f>
        <v>14.741302120356609</v>
      </c>
      <c r="F253" s="22">
        <f>(SUMPRODUCT(F$9:F$229,Nutrients!$I$8:$I$228)+(IF($A$7=Nutrients!$B$8,Nutrients!$I$8,Nutrients!$I$9)*F$7)+(((IF($A$8=Nutrients!$B$79,Nutrients!$I$79,(IF($A$8=Nutrients!$B$77,Nutrients!$I$77,Nutrients!$I$78)))))*F$8))/2000</f>
        <v>13.625458454243304</v>
      </c>
      <c r="G253" s="22">
        <f>(SUMPRODUCT(G$9:G$229,Nutrients!$I$8:$I$228)+(IF($A$7=Nutrients!$B$8,Nutrients!$I$8,Nutrients!$I$9)*G$7)+(((IF($A$8=Nutrients!$B$79,Nutrients!$I$79,(IF($A$8=Nutrients!$B$77,Nutrients!$I$77,Nutrients!$I$78)))))*G$8))/2000</f>
        <v>13.010227616088669</v>
      </c>
      <c r="H253" s="228"/>
      <c r="I253" s="22">
        <f>(SUMPRODUCT(I$9:I$229,Nutrients!$I$8:$I$228)+(IF($A$7=Nutrients!$B$8,Nutrients!$I$8,Nutrients!$I$9)*I$7)+(((IF($A$8=Nutrients!$B$79,Nutrients!$I$79,(IF($A$8=Nutrients!$B$77,Nutrients!$I$77,Nutrients!$I$78)))))*I$8))/2000</f>
        <v>19.46358051277635</v>
      </c>
      <c r="J253" s="22">
        <f>(SUMPRODUCT(J$9:J$229,Nutrients!$I$8:$I$228)+(IF($A$7=Nutrients!$B$8,Nutrients!$I$8,Nutrients!$I$9)*J$7)+(((IF($A$8=Nutrients!$B$79,Nutrients!$I$79,(IF($A$8=Nutrients!$B$77,Nutrients!$I$77,Nutrients!$I$78)))))*J$8))/2000</f>
        <v>17.809235165295341</v>
      </c>
      <c r="K253" s="22">
        <f>(SUMPRODUCT(K$9:K$229,Nutrients!$I$8:$I$228)+(IF($A$7=Nutrients!$B$8,Nutrients!$I$8,Nutrients!$I$9)*K$7)+(((IF($A$8=Nutrients!$B$79,Nutrients!$I$79,(IF($A$8=Nutrients!$B$77,Nutrients!$I$77,Nutrients!$I$78)))))*K$8))/2000</f>
        <v>16.409940466971797</v>
      </c>
      <c r="L253" s="22">
        <f>(SUMPRODUCT(L$9:L$229,Nutrients!$I$8:$I$228)+(IF($A$7=Nutrients!$B$8,Nutrients!$I$8,Nutrients!$I$9)*L$7)+(((IF($A$8=Nutrients!$B$79,Nutrients!$I$79,(IF($A$8=Nutrients!$B$77,Nutrients!$I$77,Nutrients!$I$78)))))*L$8))/2000</f>
        <v>15.067793956098017</v>
      </c>
      <c r="M253" s="22">
        <f>(SUMPRODUCT(M$9:M$229,Nutrients!$I$8:$I$228)+(IF($A$7=Nutrients!$B$8,Nutrients!$I$8,Nutrients!$I$9)*M$7)+(((IF($A$8=Nutrients!$B$79,Nutrients!$I$79,(IF($A$8=Nutrients!$B$77,Nutrients!$I$77,Nutrients!$I$78)))))*M$8))/2000</f>
        <v>13.948554447253111</v>
      </c>
      <c r="N253" s="22">
        <f>(SUMPRODUCT(N$9:N$229,Nutrients!$I$8:$I$228)+(IF($A$7=Nutrients!$B$8,Nutrients!$I$8,Nutrients!$I$9)*N$7)+(((IF($A$8=Nutrients!$B$79,Nutrients!$I$79,(IF($A$8=Nutrients!$B$77,Nutrients!$I$77,Nutrients!$I$78)))))*N$8))/2000</f>
        <v>13.344341918497925</v>
      </c>
      <c r="O253" s="198"/>
      <c r="P253" s="22">
        <f>(SUMPRODUCT(P$9:P$229,Nutrients!$I$8:$I$228)+(IF($A$7=Nutrients!$B$8,Nutrients!$I$8,Nutrients!$I$9)*P$7)+(((IF($A$8=Nutrients!$B$79,Nutrients!$I$79,(IF($A$8=Nutrients!$B$77,Nutrients!$I$77,Nutrients!$I$78)))))*P$8))/2000</f>
        <v>19.762151189286683</v>
      </c>
      <c r="Q253" s="22">
        <f>(SUMPRODUCT(Q$9:Q$229,Nutrients!$I$8:$I$228)+(IF($A$7=Nutrients!$B$8,Nutrients!$I$8,Nutrients!$I$9)*Q$7)+(((IF($A$8=Nutrients!$B$79,Nutrients!$I$79,(IF($A$8=Nutrients!$B$77,Nutrients!$I$77,Nutrients!$I$78)))))*Q$8))/2000</f>
        <v>18.126136688094224</v>
      </c>
      <c r="R253" s="22">
        <f>(SUMPRODUCT(R$9:R$229,Nutrients!$I$8:$I$228)+(IF($A$7=Nutrients!$B$8,Nutrients!$I$8,Nutrients!$I$9)*R$7)+(((IF($A$8=Nutrients!$B$79,Nutrients!$I$79,(IF($A$8=Nutrients!$B$77,Nutrients!$I$77,Nutrients!$I$78)))))*R$8))/2000</f>
        <v>16.741979978014847</v>
      </c>
      <c r="S253" s="22">
        <f>(SUMPRODUCT(S$9:S$229,Nutrients!$I$8:$I$228)+(IF($A$7=Nutrients!$B$8,Nutrients!$I$8,Nutrients!$I$9)*S$7)+(((IF($A$8=Nutrients!$B$79,Nutrients!$I$79,(IF($A$8=Nutrients!$B$77,Nutrients!$I$77,Nutrients!$I$78)))))*S$8))/2000</f>
        <v>15.394350201912184</v>
      </c>
      <c r="T253" s="22">
        <f>(SUMPRODUCT(T$9:T$229,Nutrients!$I$8:$I$228)+(IF($A$7=Nutrients!$B$8,Nutrients!$I$8,Nutrients!$I$9)*T$7)+(((IF($A$8=Nutrients!$B$79,Nutrients!$I$79,(IF($A$8=Nutrients!$B$77,Nutrients!$I$77,Nutrients!$I$78)))))*T$8))/2000</f>
        <v>14.287930934934302</v>
      </c>
      <c r="U253" s="22">
        <f>(SUMPRODUCT(U$9:U$229,Nutrients!$I$8:$I$228)+(IF($A$7=Nutrients!$B$8,Nutrients!$I$8,Nutrients!$I$9)*U$7)+(((IF($A$8=Nutrients!$B$79,Nutrients!$I$79,(IF($A$8=Nutrients!$B$77,Nutrients!$I$77,Nutrients!$I$78)))))*U$8))/2000</f>
        <v>13.688045245143577</v>
      </c>
      <c r="W253" s="22">
        <f>(SUMPRODUCT(W$9:W$229,Nutrients!$I$8:$I$228)+(IF($A$7=Nutrients!$B$8,Nutrients!$I$8,Nutrients!$I$9)*W$7)+(((IF($A$8=Nutrients!$B$79,Nutrients!$I$79,(IF($A$8=Nutrients!$B$77,Nutrients!$I$77,Nutrients!$I$78)))))*W$8))/2000</f>
        <v>20.062549651751358</v>
      </c>
      <c r="X253" s="22">
        <f>(SUMPRODUCT(X$9:X$229,Nutrients!$I$8:$I$228)+(IF($A$7=Nutrients!$B$8,Nutrients!$I$8,Nutrients!$I$9)*X$7)+(((IF($A$8=Nutrients!$B$79,Nutrients!$I$79,(IF($A$8=Nutrients!$B$77,Nutrients!$I$77,Nutrients!$I$78)))))*X$8))/2000</f>
        <v>18.442355939877849</v>
      </c>
      <c r="Y253" s="22">
        <f>(SUMPRODUCT(Y$9:Y$229,Nutrients!$I$8:$I$228)+(IF($A$7=Nutrients!$B$8,Nutrients!$I$8,Nutrients!$I$9)*Y$7)+(((IF($A$8=Nutrients!$B$79,Nutrients!$I$79,(IF($A$8=Nutrients!$B$77,Nutrients!$I$77,Nutrients!$I$78)))))*Y$8))/2000</f>
        <v>17.053978068683794</v>
      </c>
      <c r="Z253" s="22">
        <f>(SUMPRODUCT(Z$9:Z$229,Nutrients!$I$8:$I$228)+(IF($A$7=Nutrients!$B$8,Nutrients!$I$8,Nutrients!$I$9)*Z$7)+(((IF($A$8=Nutrients!$B$79,Nutrients!$I$79,(IF($A$8=Nutrients!$B$77,Nutrients!$I$77,Nutrients!$I$78)))))*Z$8))/2000</f>
        <v>15.73007644318225</v>
      </c>
      <c r="AA253" s="22">
        <f>(SUMPRODUCT(AA$9:AA$229,Nutrients!$I$8:$I$228)+(IF($A$7=Nutrients!$B$8,Nutrients!$I$8,Nutrients!$I$9)*AA$7)+(((IF($A$8=Nutrients!$B$79,Nutrients!$I$79,(IF($A$8=Nutrients!$B$77,Nutrients!$I$77,Nutrients!$I$78)))))*AA$8))/2000</f>
        <v>14.638631664177339</v>
      </c>
      <c r="AB253" s="22">
        <f>(SUMPRODUCT(AB$9:AB$229,Nutrients!$I$8:$I$228)+(IF($A$7=Nutrients!$B$8,Nutrients!$I$8,Nutrients!$I$9)*AB$7)+(((IF($A$8=Nutrients!$B$79,Nutrients!$I$79,(IF($A$8=Nutrients!$B$77,Nutrients!$I$77,Nutrients!$I$78)))))*AB$8))/2000</f>
        <v>14.038770789575663</v>
      </c>
      <c r="AD253" s="22">
        <f>(SUMPRODUCT(AD$9:AD$229,Nutrients!$I$8:$I$228)+(IF($A$7=Nutrients!$B$8,Nutrients!$I$8,Nutrients!$I$9)*AD$7)+(((IF($A$8=Nutrients!$B$79,Nutrients!$I$79,(IF($A$8=Nutrients!$B$77,Nutrients!$I$77,Nutrients!$I$78)))))*AD$8))/2000</f>
        <v>20.363727822522169</v>
      </c>
      <c r="AE253" s="22">
        <f>(SUMPRODUCT(AE$9:AE$229,Nutrients!$I$8:$I$228)+(IF($A$7=Nutrients!$B$8,Nutrients!$I$8,Nutrients!$I$9)*AE$7)+(((IF($A$8=Nutrients!$B$79,Nutrients!$I$79,(IF($A$8=Nutrients!$B$77,Nutrients!$I$77,Nutrients!$I$78)))))*AE$8))/2000</f>
        <v>18.739159416331763</v>
      </c>
      <c r="AF253" s="22">
        <f>(SUMPRODUCT(AF$9:AF$229,Nutrients!$I$8:$I$228)+(IF($A$7=Nutrients!$B$8,Nutrients!$I$8,Nutrients!$I$9)*AF$7)+(((IF($A$8=Nutrients!$B$79,Nutrients!$I$79,(IF($A$8=Nutrients!$B$77,Nutrients!$I$77,Nutrients!$I$78)))))*AF$8))/2000</f>
        <v>17.374786713434997</v>
      </c>
      <c r="AG253" s="22">
        <f>(SUMPRODUCT(AG$9:AG$229,Nutrients!$I$8:$I$228)+(IF($A$7=Nutrients!$B$8,Nutrients!$I$8,Nutrients!$I$9)*AG$7)+(((IF($A$8=Nutrients!$B$79,Nutrients!$I$79,(IF($A$8=Nutrients!$B$77,Nutrients!$I$77,Nutrients!$I$78)))))*AG$8))/2000</f>
        <v>16.072656130737411</v>
      </c>
      <c r="AH253" s="22">
        <f>(SUMPRODUCT(AH$9:AH$229,Nutrients!$I$8:$I$228)+(IF($A$7=Nutrients!$B$8,Nutrients!$I$8,Nutrients!$I$9)*AH$7)+(((IF($A$8=Nutrients!$B$79,Nutrients!$I$79,(IF($A$8=Nutrients!$B$77,Nutrients!$I$77,Nutrients!$I$78)))))*AH$8))/2000</f>
        <v>14.977814992867081</v>
      </c>
      <c r="AI253" s="22">
        <f>(SUMPRODUCT(AI$9:AI$229,Nutrients!$I$8:$I$228)+(IF($A$7=Nutrients!$B$8,Nutrients!$I$8,Nutrients!$I$9)*AI$7)+(((IF($A$8=Nutrients!$B$79,Nutrients!$I$79,(IF($A$8=Nutrients!$B$77,Nutrients!$I$77,Nutrients!$I$78)))))*AI$8))/2000</f>
        <v>14.37914874881988</v>
      </c>
      <c r="AK253" s="22">
        <f>(SUMPRODUCT(AK$9:AK$229,Nutrients!$I$8:$I$228)+(IF($A$7=Nutrients!$B$8,Nutrients!$I$8,Nutrients!$I$9)*AK$7)+(((IF($A$8=Nutrients!$B$79,Nutrients!$I$79,(IF($A$8=Nutrients!$B$77,Nutrients!$I$77,Nutrients!$I$78)))))*AK$8))/2000</f>
        <v>20.671183957565269</v>
      </c>
      <c r="AL253" s="22">
        <f>(SUMPRODUCT(AL$9:AL$229,Nutrients!$I$8:$I$228)+(IF($A$7=Nutrients!$B$8,Nutrients!$I$8,Nutrients!$I$9)*AL$7)+(((IF($A$8=Nutrients!$B$79,Nutrients!$I$79,(IF($A$8=Nutrients!$B$77,Nutrients!$I$77,Nutrients!$I$78)))))*AL$8))/2000</f>
        <v>19.039986262842863</v>
      </c>
      <c r="AM253" s="22">
        <f>(SUMPRODUCT(AM$9:AM$229,Nutrients!$I$8:$I$228)+(IF($A$7=Nutrients!$B$8,Nutrients!$I$8,Nutrients!$I$9)*AM$7)+(((IF($A$8=Nutrients!$B$79,Nutrients!$I$79,(IF($A$8=Nutrients!$B$77,Nutrients!$I$77,Nutrients!$I$78)))))*AM$8))/2000</f>
        <v>17.700836778311817</v>
      </c>
      <c r="AN253" s="22">
        <f>(SUMPRODUCT(AN$9:AN$229,Nutrients!$I$8:$I$228)+(IF($A$7=Nutrients!$B$8,Nutrients!$I$8,Nutrients!$I$9)*AN$7)+(((IF($A$8=Nutrients!$B$79,Nutrients!$I$79,(IF($A$8=Nutrients!$B$77,Nutrients!$I$77,Nutrients!$I$78)))))*AN$8))/2000</f>
        <v>16.40532044879139</v>
      </c>
      <c r="AO253" s="22">
        <f>(SUMPRODUCT(AO$9:AO$229,Nutrients!$I$8:$I$228)+(IF($A$7=Nutrients!$B$8,Nutrients!$I$8,Nutrients!$I$9)*AO$7)+(((IF($A$8=Nutrients!$B$79,Nutrients!$I$79,(IF($A$8=Nutrients!$B$77,Nutrients!$I$77,Nutrients!$I$78)))))*AO$8))/2000</f>
        <v>15.312491861130265</v>
      </c>
      <c r="AP253" s="22">
        <f>(SUMPRODUCT(AP$9:AP$229,Nutrients!$I$8:$I$228)+(IF($A$7=Nutrients!$B$8,Nutrients!$I$8,Nutrients!$I$9)*AP$7)+(((IF($A$8=Nutrients!$B$79,Nutrients!$I$79,(IF($A$8=Nutrients!$B$77,Nutrients!$I$77,Nutrients!$I$78)))))*AP$8))/2000</f>
        <v>14.719048127297725</v>
      </c>
      <c r="AR253" s="22">
        <f>(SUMPRODUCT(AR$9:AR$229,Nutrients!$I$8:$I$228)+(IF($A$7=Nutrients!$B$8,Nutrients!$I$8,Nutrients!$I$9)*AR$7)+(((IF($A$8=Nutrients!$B$79,Nutrients!$I$79,(IF($A$8=Nutrients!$B$77,Nutrients!$I$77,Nutrients!$I$78)))))*AR$8))/2000</f>
        <v>21.020217191615608</v>
      </c>
      <c r="AS253" s="22">
        <f>(SUMPRODUCT(AS$9:AS$229,Nutrients!$I$8:$I$228)+(IF($A$7=Nutrients!$B$8,Nutrients!$I$8,Nutrients!$I$9)*AS$7)+(((IF($A$8=Nutrients!$B$79,Nutrients!$I$79,(IF($A$8=Nutrients!$B$77,Nutrients!$I$77,Nutrients!$I$78)))))*AS$8))/2000</f>
        <v>19.346527729703066</v>
      </c>
      <c r="AT253" s="22">
        <f>(SUMPRODUCT(AT$9:AT$229,Nutrients!$I$8:$I$228)+(IF($A$7=Nutrients!$B$8,Nutrients!$I$8,Nutrients!$I$9)*AT$7)+(((IF($A$8=Nutrients!$B$79,Nutrients!$I$79,(IF($A$8=Nutrients!$B$77,Nutrients!$I$77,Nutrients!$I$78)))))*AT$8))/2000</f>
        <v>18.034560211539901</v>
      </c>
      <c r="AU253" s="22">
        <f>(SUMPRODUCT(AU$9:AU$229,Nutrients!$I$8:$I$228)+(IF($A$7=Nutrients!$B$8,Nutrients!$I$8,Nutrients!$I$9)*AU$7)+(((IF($A$8=Nutrients!$B$79,Nutrients!$I$79,(IF($A$8=Nutrients!$B$77,Nutrients!$I$77,Nutrients!$I$78)))))*AU$8))/2000</f>
        <v>16.732781824485457</v>
      </c>
      <c r="AV253" s="22">
        <f>(SUMPRODUCT(AV$9:AV$229,Nutrients!$I$8:$I$228)+(IF($A$7=Nutrients!$B$8,Nutrients!$I$8,Nutrients!$I$9)*AV$7)+(((IF($A$8=Nutrients!$B$79,Nutrients!$I$79,(IF($A$8=Nutrients!$B$77,Nutrients!$I$77,Nutrients!$I$78)))))*AV$8))/2000</f>
        <v>15.647277489283631</v>
      </c>
      <c r="AW253" s="22">
        <f>(SUMPRODUCT(AW$9:AW$229,Nutrients!$I$8:$I$228)+(IF($A$7=Nutrients!$B$8,Nutrients!$I$8,Nutrients!$I$9)*AW$7)+(((IF($A$8=Nutrients!$B$79,Nutrients!$I$79,(IF($A$8=Nutrients!$B$77,Nutrients!$I$77,Nutrients!$I$78)))))*AW$8))/2000</f>
        <v>15.058988868905352</v>
      </c>
    </row>
    <row r="254" spans="1:64" x14ac:dyDescent="0.25">
      <c r="A254" s="41" t="s">
        <v>144</v>
      </c>
      <c r="B254" s="23">
        <f>(SUMPRODUCT(B$9:B$229,Nutrients!$BS$8:$BS$228)+(IF($A$7=Nutrients!$B$8,Nutrients!$BS$8,Nutrients!$BS$9)*B$7)+(((IF($A$8=Nutrients!$B$79,Nutrients!$BS$79,(IF($A$8=Nutrients!$B$77,Nutrients!$BS$77,Nutrients!$BS$78)))))*B$8))/2000</f>
        <v>0.69579038170108098</v>
      </c>
      <c r="C254" s="23">
        <f>(SUMPRODUCT(C$9:C$229,Nutrients!$BS$8:$BS$228)+(IF($A$7=Nutrients!$B$8,Nutrients!$BS$8,Nutrients!$BS$9)*C$7)+(((IF($A$8=Nutrients!$B$79,Nutrients!$BS$79,(IF($A$8=Nutrients!$B$77,Nutrients!$BS$77,Nutrients!$BS$78)))))*C$8))/2000</f>
        <v>0.62597225623792574</v>
      </c>
      <c r="D254" s="23">
        <f>(SUMPRODUCT(D$9:D$229,Nutrients!$BS$8:$BS$228)+(IF($A$7=Nutrients!$B$8,Nutrients!$BS$8,Nutrients!$BS$9)*D$7)+(((IF($A$8=Nutrients!$B$79,Nutrients!$BS$79,(IF($A$8=Nutrients!$B$77,Nutrients!$BS$77,Nutrients!$BS$78)))))*D$8))/2000</f>
        <v>0.57389505815699282</v>
      </c>
      <c r="E254" s="23">
        <f>(SUMPRODUCT(E$9:E$229,Nutrients!$BS$8:$BS$228)+(IF($A$7=Nutrients!$B$8,Nutrients!$BS$8,Nutrients!$BS$9)*E$7)+(((IF($A$8=Nutrients!$B$79,Nutrients!$BS$79,(IF($A$8=Nutrients!$B$77,Nutrients!$BS$77,Nutrients!$BS$78)))))*E$8))/2000</f>
        <v>0.52055031100225413</v>
      </c>
      <c r="F254" s="23">
        <f>(SUMPRODUCT(F$9:F$229,Nutrients!$BS$8:$BS$228)+(IF($A$7=Nutrients!$B$8,Nutrients!$BS$8,Nutrients!$BS$9)*F$7)+(((IF($A$8=Nutrients!$B$79,Nutrients!$BS$79,(IF($A$8=Nutrients!$B$77,Nutrients!$BS$77,Nutrients!$BS$78)))))*F$8))/2000</f>
        <v>0.47698896958793735</v>
      </c>
      <c r="G254" s="23">
        <f>(SUMPRODUCT(G$9:G$229,Nutrients!$BS$8:$BS$228)+(IF($A$7=Nutrients!$B$8,Nutrients!$BS$8,Nutrients!$BS$9)*G$7)+(((IF($A$8=Nutrients!$B$79,Nutrients!$BS$79,(IF($A$8=Nutrients!$B$77,Nutrients!$BS$77,Nutrients!$BS$78)))))*G$8))/2000</f>
        <v>0.4600223649748173</v>
      </c>
      <c r="H254" s="227"/>
      <c r="I254" s="23">
        <f>(SUMPRODUCT(I$9:I$229,Nutrients!$BS$8:$BS$228)+(IF($A$7=Nutrients!$B$8,Nutrients!$BS$8,Nutrients!$BS$9)*I$7)+(((IF($A$8=Nutrients!$B$79,Nutrients!$BS$79,(IF($A$8=Nutrients!$B$77,Nutrients!$BS$77,Nutrients!$BS$78)))))*I$8))/2000</f>
        <v>0.69509786713140509</v>
      </c>
      <c r="J254" s="23">
        <f>(SUMPRODUCT(J$9:J$229,Nutrients!$BS$8:$BS$228)+(IF($A$7=Nutrients!$B$8,Nutrients!$BS$8,Nutrients!$BS$9)*J$7)+(((IF($A$8=Nutrients!$B$79,Nutrients!$BS$79,(IF($A$8=Nutrients!$B$77,Nutrients!$BS$77,Nutrients!$BS$78)))))*J$8))/2000</f>
        <v>0.62685751929538103</v>
      </c>
      <c r="K254" s="23">
        <f>(SUMPRODUCT(K$9:K$229,Nutrients!$BS$8:$BS$228)+(IF($A$7=Nutrients!$B$8,Nutrients!$BS$8,Nutrients!$BS$9)*K$7)+(((IF($A$8=Nutrients!$B$79,Nutrients!$BS$79,(IF($A$8=Nutrients!$B$77,Nutrients!$BS$77,Nutrients!$BS$78)))))*K$8))/2000</f>
        <v>0.5728019313815349</v>
      </c>
      <c r="L254" s="23">
        <f>(SUMPRODUCT(L$9:L$229,Nutrients!$BS$8:$BS$228)+(IF($A$7=Nutrients!$B$8,Nutrients!$BS$8,Nutrients!$BS$9)*L$7)+(((IF($A$8=Nutrients!$B$79,Nutrients!$BS$79,(IF($A$8=Nutrients!$B$77,Nutrients!$BS$77,Nutrients!$BS$78)))))*L$8))/2000</f>
        <v>0.52063920797813668</v>
      </c>
      <c r="M254" s="23">
        <f>(SUMPRODUCT(M$9:M$229,Nutrients!$BS$8:$BS$228)+(IF($A$7=Nutrients!$B$8,Nutrients!$BS$8,Nutrients!$BS$9)*M$7)+(((IF($A$8=Nutrients!$B$79,Nutrients!$BS$79,(IF($A$8=Nutrients!$B$77,Nutrients!$BS$77,Nutrients!$BS$78)))))*M$8))/2000</f>
        <v>0.47751601032645441</v>
      </c>
      <c r="N254" s="23">
        <f>(SUMPRODUCT(N$9:N$229,Nutrients!$BS$8:$BS$228)+(IF($A$7=Nutrients!$B$8,Nutrients!$BS$8,Nutrients!$BS$9)*N$7)+(((IF($A$8=Nutrients!$B$79,Nutrients!$BS$79,(IF($A$8=Nutrients!$B$77,Nutrients!$BS$77,Nutrients!$BS$78)))))*N$8))/2000</f>
        <v>0.46010585759104172</v>
      </c>
      <c r="O254" s="235"/>
      <c r="P254" s="23">
        <f>(SUMPRODUCT(P$9:P$229,Nutrients!$BS$8:$BS$228)+(IF($A$7=Nutrients!$B$8,Nutrients!$BS$8,Nutrients!$BS$9)*P$7)+(((IF($A$8=Nutrients!$B$79,Nutrients!$BS$79,(IF($A$8=Nutrients!$B$77,Nutrients!$BS$77,Nutrients!$BS$78)))))*P$8))/2000</f>
        <v>0.69494644331109834</v>
      </c>
      <c r="Q254" s="23">
        <f>(SUMPRODUCT(Q$9:Q$229,Nutrients!$BS$8:$BS$228)+(IF($A$7=Nutrients!$B$8,Nutrients!$BS$8,Nutrients!$BS$9)*Q$7)+(((IF($A$8=Nutrients!$B$79,Nutrients!$BS$79,(IF($A$8=Nutrients!$B$77,Nutrients!$BS$77,Nutrients!$BS$78)))))*Q$8))/2000</f>
        <v>0.62702925728822478</v>
      </c>
      <c r="R254" s="23">
        <f>(SUMPRODUCT(R$9:R$229,Nutrients!$BS$8:$BS$228)+(IF($A$7=Nutrients!$B$8,Nutrients!$BS$8,Nutrients!$BS$9)*R$7)+(((IF($A$8=Nutrients!$B$79,Nutrients!$BS$79,(IF($A$8=Nutrients!$B$77,Nutrients!$BS$77,Nutrients!$BS$78)))))*R$8))/2000</f>
        <v>0.57281027862745393</v>
      </c>
      <c r="S254" s="23">
        <f>(SUMPRODUCT(S$9:S$229,Nutrients!$BS$8:$BS$228)+(IF($A$7=Nutrients!$B$8,Nutrients!$BS$8,Nutrients!$BS$9)*S$7)+(((IF($A$8=Nutrients!$B$79,Nutrients!$BS$79,(IF($A$8=Nutrients!$B$77,Nutrients!$BS$77,Nutrients!$BS$78)))))*S$8))/2000</f>
        <v>0.5205920977318963</v>
      </c>
      <c r="T254" s="23">
        <f>(SUMPRODUCT(T$9:T$229,Nutrients!$BS$8:$BS$228)+(IF($A$7=Nutrients!$B$8,Nutrients!$BS$8,Nutrients!$BS$9)*T$7)+(((IF($A$8=Nutrients!$B$79,Nutrients!$BS$79,(IF($A$8=Nutrients!$B$77,Nutrients!$BS$77,Nutrients!$BS$78)))))*T$8))/2000</f>
        <v>0.4775666186074749</v>
      </c>
      <c r="U254" s="23">
        <f>(SUMPRODUCT(U$9:U$229,Nutrients!$BS$8:$BS$228)+(IF($A$7=Nutrients!$B$8,Nutrients!$BS$8,Nutrients!$BS$9)*U$7)+(((IF($A$8=Nutrients!$B$79,Nutrients!$BS$79,(IF($A$8=Nutrients!$B$77,Nutrients!$BS$77,Nutrients!$BS$78)))))*U$8))/2000</f>
        <v>0.46019591049649489</v>
      </c>
      <c r="W254" s="23">
        <f>(SUMPRODUCT(W$9:W$229,Nutrients!$BS$8:$BS$228)+(IF($A$7=Nutrients!$B$8,Nutrients!$BS$8,Nutrients!$BS$9)*W$7)+(((IF($A$8=Nutrients!$B$79,Nutrients!$BS$79,(IF($A$8=Nutrients!$B$77,Nutrients!$BS$77,Nutrients!$BS$78)))))*W$8))/2000</f>
        <v>0.69472356241515099</v>
      </c>
      <c r="X254" s="23">
        <f>(SUMPRODUCT(X$9:X$229,Nutrients!$BS$8:$BS$228)+(IF($A$7=Nutrients!$B$8,Nutrients!$BS$8,Nutrients!$BS$9)*X$7)+(((IF($A$8=Nutrients!$B$79,Nutrients!$BS$79,(IF($A$8=Nutrients!$B$77,Nutrients!$BS$77,Nutrients!$BS$78)))))*X$8))/2000</f>
        <v>0.62691879868403333</v>
      </c>
      <c r="Y254" s="23">
        <f>(SUMPRODUCT(Y$9:Y$229,Nutrients!$BS$8:$BS$228)+(IF($A$7=Nutrients!$B$8,Nutrients!$BS$8,Nutrients!$BS$9)*Y$7)+(((IF($A$8=Nutrients!$B$79,Nutrients!$BS$79,(IF($A$8=Nutrients!$B$77,Nutrients!$BS$77,Nutrients!$BS$78)))))*Y$8))/2000</f>
        <v>0.57264618041469006</v>
      </c>
      <c r="Z254" s="23">
        <f>(SUMPRODUCT(Z$9:Z$229,Nutrients!$BS$8:$BS$228)+(IF($A$7=Nutrients!$B$8,Nutrients!$BS$8,Nutrients!$BS$9)*Z$7)+(((IF($A$8=Nutrients!$B$79,Nutrients!$BS$79,(IF($A$8=Nutrients!$B$77,Nutrients!$BS$77,Nutrients!$BS$78)))))*Z$8))/2000</f>
        <v>0.52058929495381878</v>
      </c>
      <c r="AA254" s="23">
        <f>(SUMPRODUCT(AA$9:AA$229,Nutrients!$BS$8:$BS$228)+(IF($A$7=Nutrients!$B$8,Nutrients!$BS$8,Nutrients!$BS$9)*AA$7)+(((IF($A$8=Nutrients!$B$79,Nutrients!$BS$79,(IF($A$8=Nutrients!$B$77,Nutrients!$BS$77,Nutrients!$BS$78)))))*AA$8))/2000</f>
        <v>0.47762936226575142</v>
      </c>
      <c r="AB254" s="23">
        <f>(SUMPRODUCT(AB$9:AB$229,Nutrients!$BS$8:$BS$228)+(IF($A$7=Nutrients!$B$8,Nutrients!$BS$8,Nutrients!$BS$9)*AB$7)+(((IF($A$8=Nutrients!$B$79,Nutrients!$BS$79,(IF($A$8=Nutrients!$B$77,Nutrients!$BS$77,Nutrients!$BS$78)))))*AB$8))/2000</f>
        <v>0.46526022961211361</v>
      </c>
      <c r="AD254" s="23">
        <f>(SUMPRODUCT(AD$9:AD$229,Nutrients!$BS$8:$BS$228)+(IF($A$7=Nutrients!$B$8,Nutrients!$BS$8,Nutrients!$BS$9)*AD$7)+(((IF($A$8=Nutrients!$B$79,Nutrients!$BS$79,(IF($A$8=Nutrients!$B$77,Nutrients!$BS$77,Nutrients!$BS$78)))))*AD$8))/2000</f>
        <v>0.69448726104704361</v>
      </c>
      <c r="AE254" s="23">
        <f>(SUMPRODUCT(AE$9:AE$229,Nutrients!$BS$8:$BS$228)+(IF($A$7=Nutrients!$B$8,Nutrients!$BS$8,Nutrients!$BS$9)*AE$7)+(((IF($A$8=Nutrients!$B$79,Nutrients!$BS$79,(IF($A$8=Nutrients!$B$77,Nutrients!$BS$77,Nutrients!$BS$78)))))*AE$8))/2000</f>
        <v>0.62663883934466658</v>
      </c>
      <c r="AF254" s="23">
        <f>(SUMPRODUCT(AF$9:AF$229,Nutrients!$BS$8:$BS$228)+(IF($A$7=Nutrients!$B$8,Nutrients!$BS$8,Nutrients!$BS$9)*AF$7)+(((IF($A$8=Nutrients!$B$79,Nutrients!$BS$79,(IF($A$8=Nutrients!$B$77,Nutrients!$BS$77,Nutrients!$BS$78)))))*AF$8))/2000</f>
        <v>0.572523130879944</v>
      </c>
      <c r="AG254" s="23">
        <f>(SUMPRODUCT(AG$9:AG$229,Nutrients!$BS$8:$BS$228)+(IF($A$7=Nutrients!$B$8,Nutrients!$BS$8,Nutrients!$BS$9)*AG$7)+(((IF($A$8=Nutrients!$B$79,Nutrients!$BS$79,(IF($A$8=Nutrients!$B$77,Nutrients!$BS$77,Nutrients!$BS$78)))))*AG$8))/2000</f>
        <v>0.52111006939173765</v>
      </c>
      <c r="AH254" s="23">
        <f>(SUMPRODUCT(AH$9:AH$229,Nutrients!$BS$8:$BS$228)+(IF($A$7=Nutrients!$B$8,Nutrients!$BS$8,Nutrients!$BS$9)*AH$7)+(((IF($A$8=Nutrients!$B$79,Nutrients!$BS$79,(IF($A$8=Nutrients!$B$77,Nutrients!$BS$77,Nutrients!$BS$78)))))*AH$8))/2000</f>
        <v>0.49396778209023379</v>
      </c>
      <c r="AI254" s="23">
        <f>(SUMPRODUCT(AI$9:AI$229,Nutrients!$BS$8:$BS$228)+(IF($A$7=Nutrients!$B$8,Nutrients!$BS$8,Nutrients!$BS$9)*AI$7)+(((IF($A$8=Nutrients!$B$79,Nutrients!$BS$79,(IF($A$8=Nutrients!$B$77,Nutrients!$BS$77,Nutrients!$BS$78)))))*AI$8))/2000</f>
        <v>0.4871459384430385</v>
      </c>
      <c r="AK254" s="23">
        <f>(SUMPRODUCT(AK$9:AK$229,Nutrients!$BS$8:$BS$228)+(IF($A$7=Nutrients!$B$8,Nutrients!$BS$8,Nutrients!$BS$9)*AK$7)+(((IF($A$8=Nutrients!$B$79,Nutrients!$BS$79,(IF($A$8=Nutrients!$B$77,Nutrients!$BS$77,Nutrients!$BS$78)))))*AK$8))/2000</f>
        <v>0.69429566110979846</v>
      </c>
      <c r="AL254" s="23">
        <f>(SUMPRODUCT(AL$9:AL$229,Nutrients!$BS$8:$BS$228)+(IF($A$7=Nutrients!$B$8,Nutrients!$BS$8,Nutrients!$BS$9)*AL$7)+(((IF($A$8=Nutrients!$B$79,Nutrients!$BS$79,(IF($A$8=Nutrients!$B$77,Nutrients!$BS$77,Nutrients!$BS$78)))))*AL$8))/2000</f>
        <v>0.62640768545386993</v>
      </c>
      <c r="AM254" s="23">
        <f>(SUMPRODUCT(AM$9:AM$229,Nutrients!$BS$8:$BS$228)+(IF($A$7=Nutrients!$B$8,Nutrients!$BS$8,Nutrients!$BS$9)*AM$7)+(((IF($A$8=Nutrients!$B$79,Nutrients!$BS$79,(IF($A$8=Nutrients!$B$77,Nutrients!$BS$77,Nutrients!$BS$78)))))*AM$8))/2000</f>
        <v>0.57241998565275465</v>
      </c>
      <c r="AN254" s="23">
        <f>(SUMPRODUCT(AN$9:AN$229,Nutrients!$BS$8:$BS$228)+(IF($A$7=Nutrients!$B$8,Nutrients!$BS$8,Nutrients!$BS$9)*AN$7)+(((IF($A$8=Nutrients!$B$79,Nutrients!$BS$79,(IF($A$8=Nutrients!$B$77,Nutrients!$BS$77,Nutrients!$BS$78)))))*AN$8))/2000</f>
        <v>0.53407219225656921</v>
      </c>
      <c r="AO254" s="23">
        <f>(SUMPRODUCT(AO$9:AO$229,Nutrients!$BS$8:$BS$228)+(IF($A$7=Nutrients!$B$8,Nutrients!$BS$8,Nutrients!$BS$9)*AO$7)+(((IF($A$8=Nutrients!$B$79,Nutrients!$BS$79,(IF($A$8=Nutrients!$B$77,Nutrients!$BS$77,Nutrients!$BS$78)))))*AO$8))/2000</f>
        <v>0.5157947404804325</v>
      </c>
      <c r="AP254" s="23">
        <f>(SUMPRODUCT(AP$9:AP$229,Nutrients!$BS$8:$BS$228)+(IF($A$7=Nutrients!$B$8,Nutrients!$BS$8,Nutrients!$BS$9)*AP$7)+(((IF($A$8=Nutrients!$B$79,Nutrients!$BS$79,(IF($A$8=Nutrients!$B$77,Nutrients!$BS$77,Nutrients!$BS$78)))))*AP$8))/2000</f>
        <v>0.50903261499591457</v>
      </c>
      <c r="AR254" s="23">
        <f>(SUMPRODUCT(AR$9:AR$229,Nutrients!$BS$8:$BS$228)+(IF($A$7=Nutrients!$B$8,Nutrients!$BS$8,Nutrients!$BS$9)*AR$7)+(((IF($A$8=Nutrients!$B$79,Nutrients!$BS$79,(IF($A$8=Nutrients!$B$77,Nutrients!$BS$77,Nutrients!$BS$78)))))*AR$8))/2000</f>
        <v>0.69443674473297878</v>
      </c>
      <c r="AS254" s="23">
        <f>(SUMPRODUCT(AS$9:AS$229,Nutrients!$BS$8:$BS$228)+(IF($A$7=Nutrients!$B$8,Nutrients!$BS$8,Nutrients!$BS$9)*AS$7)+(((IF($A$8=Nutrients!$B$79,Nutrients!$BS$79,(IF($A$8=Nutrients!$B$77,Nutrients!$BS$77,Nutrients!$BS$78)))))*AS$8))/2000</f>
        <v>0.62617785979488438</v>
      </c>
      <c r="AT254" s="23">
        <f>(SUMPRODUCT(AT$9:AT$229,Nutrients!$BS$8:$BS$228)+(IF($A$7=Nutrients!$B$8,Nutrients!$BS$8,Nutrients!$BS$9)*AT$7)+(((IF($A$8=Nutrients!$B$79,Nutrients!$BS$79,(IF($A$8=Nutrients!$B$77,Nutrients!$BS$77,Nutrients!$BS$78)))))*AT$8))/2000</f>
        <v>0.57290278813502837</v>
      </c>
      <c r="AU254" s="23">
        <f>(SUMPRODUCT(AU$9:AU$229,Nutrients!$BS$8:$BS$228)+(IF($A$7=Nutrients!$B$8,Nutrients!$BS$8,Nutrients!$BS$9)*AU$7)+(((IF($A$8=Nutrients!$B$79,Nutrients!$BS$79,(IF($A$8=Nutrients!$B$77,Nutrients!$BS$77,Nutrients!$BS$78)))))*AU$8))/2000</f>
        <v>0.556061515849402</v>
      </c>
      <c r="AV254" s="23">
        <f>(SUMPRODUCT(AV$9:AV$229,Nutrients!$BS$8:$BS$228)+(IF($A$7=Nutrients!$B$8,Nutrients!$BS$8,Nutrients!$BS$9)*AV$7)+(((IF($A$8=Nutrients!$B$79,Nutrients!$BS$79,(IF($A$8=Nutrients!$B$77,Nutrients!$BS$77,Nutrients!$BS$78)))))*AV$8))/2000</f>
        <v>0.53762407161563042</v>
      </c>
      <c r="AW254" s="23">
        <f>(SUMPRODUCT(AW$9:AW$229,Nutrients!$BS$8:$BS$228)+(IF($A$7=Nutrients!$B$8,Nutrients!$BS$8,Nutrients!$BS$9)*AW$7)+(((IF($A$8=Nutrients!$B$79,Nutrients!$BS$79,(IF($A$8=Nutrients!$B$77,Nutrients!$BS$77,Nutrients!$BS$78)))))*AW$8))/2000</f>
        <v>0.53092082475748947</v>
      </c>
    </row>
    <row r="255" spans="1:64" x14ac:dyDescent="0.25">
      <c r="A255" s="41" t="s">
        <v>145</v>
      </c>
      <c r="B255" s="23">
        <f>(SUMPRODUCT(B$9:B$229,Nutrients!$BX$8:$BX$228)+(IF($A$7=Nutrients!$B$8,Nutrients!$BX$8,Nutrients!$BX$9)*B$7)+(((IF($A$8=Nutrients!$B$79,Nutrients!$BX$79,(IF($A$8=Nutrients!$B$77,Nutrients!$BX$77,Nutrients!$BX$78)))))*B$8))/2000</f>
        <v>0.52698829927184954</v>
      </c>
      <c r="C255" s="23">
        <f>(SUMPRODUCT(C$9:C$229,Nutrients!$BX$8:$BX$228)+(IF($A$7=Nutrients!$B$8,Nutrients!$BX$8,Nutrients!$BX$9)*C$7)+(((IF($A$8=Nutrients!$B$79,Nutrients!$BX$79,(IF($A$8=Nutrients!$B$77,Nutrients!$BX$77,Nutrients!$BX$78)))))*C$8))/2000</f>
        <v>0.47554766489495992</v>
      </c>
      <c r="D255" s="23">
        <f>(SUMPRODUCT(D$9:D$229,Nutrients!$BX$8:$BX$228)+(IF($A$7=Nutrients!$B$8,Nutrients!$BX$8,Nutrients!$BX$9)*D$7)+(((IF($A$8=Nutrients!$B$79,Nutrients!$BX$79,(IF($A$8=Nutrients!$B$77,Nutrients!$BX$77,Nutrients!$BX$78)))))*D$8))/2000</f>
        <v>0.42608857846774251</v>
      </c>
      <c r="E255" s="23">
        <f>(SUMPRODUCT(E$9:E$229,Nutrients!$BX$8:$BX$228)+(IF($A$7=Nutrients!$B$8,Nutrients!$BX$8,Nutrients!$BX$9)*E$7)+(((IF($A$8=Nutrients!$B$79,Nutrients!$BX$79,(IF($A$8=Nutrients!$B$77,Nutrients!$BX$77,Nutrients!$BX$78)))))*E$8))/2000</f>
        <v>0.38726313311804977</v>
      </c>
      <c r="F255" s="23">
        <f>(SUMPRODUCT(F$9:F$229,Nutrients!$BX$8:$BX$228)+(IF($A$7=Nutrients!$B$8,Nutrients!$BX$8,Nutrients!$BX$9)*F$7)+(((IF($A$8=Nutrients!$B$79,Nutrients!$BX$79,(IF($A$8=Nutrients!$B$77,Nutrients!$BX$77,Nutrients!$BX$78)))))*F$8))/2000</f>
        <v>0.35891430613336472</v>
      </c>
      <c r="G255" s="23">
        <f>(SUMPRODUCT(G$9:G$229,Nutrients!$BX$8:$BX$228)+(IF($A$7=Nutrients!$B$8,Nutrients!$BX$8,Nutrients!$BX$9)*G$7)+(((IF($A$8=Nutrients!$B$79,Nutrients!$BX$79,(IF($A$8=Nutrients!$B$77,Nutrients!$BX$77,Nutrients!$BX$78)))))*G$8))/2000</f>
        <v>0.34524547811925704</v>
      </c>
      <c r="H255" s="227"/>
      <c r="I255" s="23">
        <f>(SUMPRODUCT(I$9:I$229,Nutrients!$BX$8:$BX$228)+(IF($A$7=Nutrients!$B$8,Nutrients!$BX$8,Nutrients!$BX$9)*I$7)+(((IF($A$8=Nutrients!$B$79,Nutrients!$BX$79,(IF($A$8=Nutrients!$B$77,Nutrients!$BX$77,Nutrients!$BX$78)))))*I$8))/2000</f>
        <v>0.52592001619434159</v>
      </c>
      <c r="J255" s="23">
        <f>(SUMPRODUCT(J$9:J$229,Nutrients!$BX$8:$BX$228)+(IF($A$7=Nutrients!$B$8,Nutrients!$BX$8,Nutrients!$BX$9)*J$7)+(((IF($A$8=Nutrients!$B$79,Nutrients!$BX$79,(IF($A$8=Nutrients!$B$77,Nutrients!$BX$77,Nutrients!$BX$78)))))*J$8))/2000</f>
        <v>0.47568073071712891</v>
      </c>
      <c r="K255" s="23">
        <f>(SUMPRODUCT(K$9:K$229,Nutrients!$BX$8:$BX$228)+(IF($A$7=Nutrients!$B$8,Nutrients!$BX$8,Nutrients!$BX$9)*K$7)+(((IF($A$8=Nutrients!$B$79,Nutrients!$BX$79,(IF($A$8=Nutrients!$B$77,Nutrients!$BX$77,Nutrients!$BX$78)))))*K$8))/2000</f>
        <v>0.42509929052569745</v>
      </c>
      <c r="L255" s="23">
        <f>(SUMPRODUCT(L$9:L$229,Nutrients!$BX$8:$BX$228)+(IF($A$7=Nutrients!$B$8,Nutrients!$BX$8,Nutrients!$BX$9)*L$7)+(((IF($A$8=Nutrients!$B$79,Nutrients!$BX$79,(IF($A$8=Nutrients!$B$77,Nutrients!$BX$77,Nutrients!$BX$78)))))*L$8))/2000</f>
        <v>0.38707961080132319</v>
      </c>
      <c r="M255" s="23">
        <f>(SUMPRODUCT(M$9:M$229,Nutrients!$BX$8:$BX$228)+(IF($A$7=Nutrients!$B$8,Nutrients!$BX$8,Nutrients!$BX$9)*M$7)+(((IF($A$8=Nutrients!$B$79,Nutrients!$BX$79,(IF($A$8=Nutrients!$B$77,Nutrients!$BX$77,Nutrients!$BX$78)))))*M$8))/2000</f>
        <v>0.35872619262130212</v>
      </c>
      <c r="N255" s="23">
        <f>(SUMPRODUCT(N$9:N$229,Nutrients!$BX$8:$BX$228)+(IF($A$7=Nutrients!$B$8,Nutrients!$BX$8,Nutrients!$BX$9)*N$7)+(((IF($A$8=Nutrients!$B$79,Nutrients!$BX$79,(IF($A$8=Nutrients!$B$77,Nutrients!$BX$77,Nutrients!$BX$78)))))*N$8))/2000</f>
        <v>0.34511885304906226</v>
      </c>
      <c r="O255" s="198"/>
      <c r="P255" s="23">
        <f>(SUMPRODUCT(P$9:P$229,Nutrients!$BX$8:$BX$228)+(IF($A$7=Nutrients!$B$8,Nutrients!$BX$8,Nutrients!$BX$9)*P$7)+(((IF($A$8=Nutrients!$B$79,Nutrients!$BX$79,(IF($A$8=Nutrients!$B$77,Nutrients!$BX$77,Nutrients!$BX$78)))))*P$8))/2000</f>
        <v>0.52545543398911643</v>
      </c>
      <c r="Q255" s="23">
        <f>(SUMPRODUCT(Q$9:Q$229,Nutrients!$BX$8:$BX$228)+(IF($A$7=Nutrients!$B$8,Nutrients!$BX$8,Nutrients!$BX$9)*Q$7)+(((IF($A$8=Nutrients!$B$79,Nutrients!$BX$79,(IF($A$8=Nutrients!$B$77,Nutrients!$BX$77,Nutrients!$BX$78)))))*Q$8))/2000</f>
        <v>0.4753632508708438</v>
      </c>
      <c r="R255" s="23">
        <f>(SUMPRODUCT(R$9:R$229,Nutrients!$BX$8:$BX$228)+(IF($A$7=Nutrients!$B$8,Nutrients!$BX$8,Nutrients!$BX$9)*R$7)+(((IF($A$8=Nutrients!$B$79,Nutrients!$BX$79,(IF($A$8=Nutrients!$B$77,Nutrients!$BX$77,Nutrients!$BX$78)))))*R$8))/2000</f>
        <v>0.42495664830724666</v>
      </c>
      <c r="S255" s="23">
        <f>(SUMPRODUCT(S$9:S$229,Nutrients!$BX$8:$BX$228)+(IF($A$7=Nutrients!$B$8,Nutrients!$BX$8,Nutrients!$BX$9)*S$7)+(((IF($A$8=Nutrients!$B$79,Nutrients!$BX$79,(IF($A$8=Nutrients!$B$77,Nutrients!$BX$77,Nutrients!$BX$78)))))*S$8))/2000</f>
        <v>0.38685096155511967</v>
      </c>
      <c r="T255" s="23">
        <f>(SUMPRODUCT(T$9:T$229,Nutrients!$BX$8:$BX$228)+(IF($A$7=Nutrients!$B$8,Nutrients!$BX$8,Nutrients!$BX$9)*T$7)+(((IF($A$8=Nutrients!$B$79,Nutrients!$BX$79,(IF($A$8=Nutrients!$B$77,Nutrients!$BX$77,Nutrients!$BX$78)))))*T$8))/2000</f>
        <v>0.35863667884217348</v>
      </c>
      <c r="U255" s="23">
        <f>(SUMPRODUCT(U$9:U$229,Nutrients!$BX$8:$BX$228)+(IF($A$7=Nutrients!$B$8,Nutrients!$BX$8,Nutrients!$BX$9)*U$7)+(((IF($A$8=Nutrients!$B$79,Nutrients!$BX$79,(IF($A$8=Nutrients!$B$77,Nutrients!$BX$77,Nutrients!$BX$78)))))*U$8))/2000</f>
        <v>0.34508854729145549</v>
      </c>
      <c r="W255" s="23">
        <f>(SUMPRODUCT(W$9:W$229,Nutrients!$BX$8:$BX$228)+(IF($A$7=Nutrients!$B$8,Nutrients!$BX$8,Nutrients!$BX$9)*W$7)+(((IF($A$8=Nutrients!$B$79,Nutrients!$BX$79,(IF($A$8=Nutrients!$B$77,Nutrients!$BX$77,Nutrients!$BX$78)))))*W$8))/2000</f>
        <v>0.52498497834799607</v>
      </c>
      <c r="X255" s="23">
        <f>(SUMPRODUCT(X$9:X$229,Nutrients!$BX$8:$BX$228)+(IF($A$7=Nutrients!$B$8,Nutrients!$BX$8,Nutrients!$BX$9)*X$7)+(((IF($A$8=Nutrients!$B$79,Nutrients!$BX$79,(IF($A$8=Nutrients!$B$77,Nutrients!$BX$77,Nutrients!$BX$78)))))*X$8))/2000</f>
        <v>0.47505053989325485</v>
      </c>
      <c r="Y255" s="23">
        <f>(SUMPRODUCT(Y$9:Y$229,Nutrients!$BX$8:$BX$228)+(IF($A$7=Nutrients!$B$8,Nutrients!$BX$8,Nutrients!$BX$9)*Y$7)+(((IF($A$8=Nutrients!$B$79,Nutrients!$BX$79,(IF($A$8=Nutrients!$B$77,Nutrients!$BX$77,Nutrients!$BX$78)))))*Y$8))/2000</f>
        <v>0.42455698936338937</v>
      </c>
      <c r="Z255" s="23">
        <f>(SUMPRODUCT(Z$9:Z$229,Nutrients!$BX$8:$BX$228)+(IF($A$7=Nutrients!$B$8,Nutrients!$BX$8,Nutrients!$BX$9)*Z$7)+(((IF($A$8=Nutrients!$B$79,Nutrients!$BX$79,(IF($A$8=Nutrients!$B$77,Nutrients!$BX$77,Nutrients!$BX$78)))))*Z$8))/2000</f>
        <v>0.38667437687726525</v>
      </c>
      <c r="AA255" s="23">
        <f>(SUMPRODUCT(AA$9:AA$229,Nutrients!$BX$8:$BX$228)+(IF($A$7=Nutrients!$B$8,Nutrients!$BX$8,Nutrients!$BX$9)*AA$7)+(((IF($A$8=Nutrients!$B$79,Nutrients!$BX$79,(IF($A$8=Nutrients!$B$77,Nutrients!$BX$77,Nutrients!$BX$78)))))*AA$8))/2000</f>
        <v>0.35852637124934916</v>
      </c>
      <c r="AB255" s="23">
        <f>(SUMPRODUCT(AB$9:AB$229,Nutrients!$BX$8:$BX$228)+(IF($A$7=Nutrients!$B$8,Nutrients!$BX$8,Nutrients!$BX$9)*AB$7)+(((IF($A$8=Nutrients!$B$79,Nutrients!$BX$79,(IF($A$8=Nutrients!$B$77,Nutrients!$BX$77,Nutrients!$BX$78)))))*AB$8))/2000</f>
        <v>0.34791590415295748</v>
      </c>
      <c r="AD255" s="23">
        <f>(SUMPRODUCT(AD$9:AD$229,Nutrients!$BX$8:$BX$228)+(IF($A$7=Nutrients!$B$8,Nutrients!$BX$8,Nutrients!$BX$9)*AD$7)+(((IF($A$8=Nutrients!$B$79,Nutrients!$BX$79,(IF($A$8=Nutrients!$B$77,Nutrients!$BX$77,Nutrients!$BX$78)))))*AD$8))/2000</f>
        <v>0.52448662089407505</v>
      </c>
      <c r="AE255" s="23">
        <f>(SUMPRODUCT(AE$9:AE$229,Nutrients!$BX$8:$BX$228)+(IF($A$7=Nutrients!$B$8,Nutrients!$BX$8,Nutrients!$BX$9)*AE$7)+(((IF($A$8=Nutrients!$B$79,Nutrients!$BX$79,(IF($A$8=Nutrients!$B$77,Nutrients!$BX$77,Nutrients!$BX$78)))))*AE$8))/2000</f>
        <v>0.4744844471557928</v>
      </c>
      <c r="AF255" s="23">
        <f>(SUMPRODUCT(AF$9:AF$229,Nutrients!$BX$8:$BX$228)+(IF($A$7=Nutrients!$B$8,Nutrients!$BX$8,Nutrients!$BX$9)*AF$7)+(((IF($A$8=Nutrients!$B$79,Nutrients!$BX$79,(IF($A$8=Nutrients!$B$77,Nutrients!$BX$77,Nutrients!$BX$78)))))*AF$8))/2000</f>
        <v>0.42420469810327399</v>
      </c>
      <c r="AG255" s="23">
        <f>(SUMPRODUCT(AG$9:AG$229,Nutrients!$BX$8:$BX$228)+(IF($A$7=Nutrients!$B$8,Nutrients!$BX$8,Nutrients!$BX$9)*AG$7)+(((IF($A$8=Nutrients!$B$79,Nutrients!$BX$79,(IF($A$8=Nutrients!$B$77,Nutrients!$BX$77,Nutrients!$BX$78)))))*AG$8))/2000</f>
        <v>0.38646047975564268</v>
      </c>
      <c r="AH255" s="23">
        <f>(SUMPRODUCT(AH$9:AH$229,Nutrients!$BX$8:$BX$228)+(IF($A$7=Nutrients!$B$8,Nutrients!$BX$8,Nutrients!$BX$9)*AH$7)+(((IF($A$8=Nutrients!$B$79,Nutrients!$BX$79,(IF($A$8=Nutrients!$B$77,Nutrients!$BX$77,Nutrients!$BX$78)))))*AH$8))/2000</f>
        <v>0.36838408966702907</v>
      </c>
      <c r="AI255" s="23">
        <f>(SUMPRODUCT(AI$9:AI$229,Nutrients!$BX$8:$BX$228)+(IF($A$7=Nutrients!$B$8,Nutrients!$BX$8,Nutrients!$BX$9)*AI$7)+(((IF($A$8=Nutrients!$B$79,Nutrients!$BX$79,(IF($A$8=Nutrients!$B$77,Nutrients!$BX$77,Nutrients!$BX$78)))))*AI$8))/2000</f>
        <v>0.36151070267001523</v>
      </c>
      <c r="AK255" s="23">
        <f>(SUMPRODUCT(AK$9:AK$229,Nutrients!$BX$8:$BX$228)+(IF($A$7=Nutrients!$B$8,Nutrients!$BX$8,Nutrients!$BX$9)*AK$7)+(((IF($A$8=Nutrients!$B$79,Nutrients!$BX$79,(IF($A$8=Nutrients!$B$77,Nutrients!$BX$77,Nutrients!$BX$78)))))*AK$8))/2000</f>
        <v>0.52405041913459449</v>
      </c>
      <c r="AL255" s="23">
        <f>(SUMPRODUCT(AL$9:AL$229,Nutrients!$BX$8:$BX$228)+(IF($A$7=Nutrients!$B$8,Nutrients!$BX$8,Nutrients!$BX$9)*AL$7)+(((IF($A$8=Nutrients!$B$79,Nutrients!$BX$79,(IF($A$8=Nutrients!$B$77,Nutrients!$BX$77,Nutrients!$BX$78)))))*AL$8))/2000</f>
        <v>0.47399682700324586</v>
      </c>
      <c r="AM255" s="23">
        <f>(SUMPRODUCT(AM$9:AM$229,Nutrients!$BX$8:$BX$228)+(IF($A$7=Nutrients!$B$8,Nutrients!$BX$8,Nutrients!$BX$9)*AM$7)+(((IF($A$8=Nutrients!$B$79,Nutrients!$BX$79,(IF($A$8=Nutrients!$B$77,Nutrients!$BX$77,Nutrients!$BX$78)))))*AM$8))/2000</f>
        <v>0.42386891818988232</v>
      </c>
      <c r="AN255" s="23">
        <f>(SUMPRODUCT(AN$9:AN$229,Nutrients!$BX$8:$BX$228)+(IF($A$7=Nutrients!$B$8,Nutrients!$BX$8,Nutrients!$BX$9)*AN$7)+(((IF($A$8=Nutrients!$B$79,Nutrients!$BX$79,(IF($A$8=Nutrients!$B$77,Nutrients!$BX$77,Nutrients!$BX$78)))))*AN$8))/2000</f>
        <v>0.39426849496236854</v>
      </c>
      <c r="AO255" s="23">
        <f>(SUMPRODUCT(AO$9:AO$229,Nutrients!$BX$8:$BX$228)+(IF($A$7=Nutrients!$B$8,Nutrients!$BX$8,Nutrients!$BX$9)*AO$7)+(((IF($A$8=Nutrients!$B$79,Nutrients!$BX$79,(IF($A$8=Nutrients!$B$77,Nutrients!$BX$77,Nutrients!$BX$78)))))*AO$8))/2000</f>
        <v>0.38191970380774087</v>
      </c>
      <c r="AP255" s="23">
        <f>(SUMPRODUCT(AP$9:AP$229,Nutrients!$BX$8:$BX$228)+(IF($A$7=Nutrients!$B$8,Nutrients!$BX$8,Nutrients!$BX$9)*AP$7)+(((IF($A$8=Nutrients!$B$79,Nutrients!$BX$79,(IF($A$8=Nutrients!$B$77,Nutrients!$BX$77,Nutrients!$BX$78)))))*AP$8))/2000</f>
        <v>0.37510575786733985</v>
      </c>
      <c r="AR255" s="23">
        <f>(SUMPRODUCT(AR$9:AR$229,Nutrients!$BX$8:$BX$228)+(IF($A$7=Nutrients!$B$8,Nutrients!$BX$8,Nutrients!$BX$9)*AR$7)+(((IF($A$8=Nutrients!$B$79,Nutrients!$BX$79,(IF($A$8=Nutrients!$B$77,Nutrients!$BX$77,Nutrients!$BX$78)))))*AR$8))/2000</f>
        <v>0.52410040262048674</v>
      </c>
      <c r="AS255" s="23">
        <f>(SUMPRODUCT(AS$9:AS$229,Nutrients!$BX$8:$BX$228)+(IF($A$7=Nutrients!$B$8,Nutrients!$BX$8,Nutrients!$BX$9)*AS$7)+(((IF($A$8=Nutrients!$B$79,Nutrients!$BX$79,(IF($A$8=Nutrients!$B$77,Nutrients!$BX$77,Nutrients!$BX$78)))))*AS$8))/2000</f>
        <v>0.47349184782084758</v>
      </c>
      <c r="AT255" s="23">
        <f>(SUMPRODUCT(AT$9:AT$229,Nutrients!$BX$8:$BX$228)+(IF($A$7=Nutrients!$B$8,Nutrients!$BX$8,Nutrients!$BX$9)*AT$7)+(((IF($A$8=Nutrients!$B$79,Nutrients!$BX$79,(IF($A$8=Nutrients!$B$77,Nutrients!$BX$77,Nutrients!$BX$78)))))*AT$8))/2000</f>
        <v>0.42356305199284355</v>
      </c>
      <c r="AU255" s="23">
        <f>(SUMPRODUCT(AU$9:AU$229,Nutrients!$BX$8:$BX$228)+(IF($A$7=Nutrients!$B$8,Nutrients!$BX$8,Nutrients!$BX$9)*AU$7)+(((IF($A$8=Nutrients!$B$79,Nutrients!$BX$79,(IF($A$8=Nutrients!$B$77,Nutrients!$BX$77,Nutrients!$BX$78)))))*AU$8))/2000</f>
        <v>0.40772105633001354</v>
      </c>
      <c r="AV255" s="23">
        <f>(SUMPRODUCT(AV$9:AV$229,Nutrients!$BX$8:$BX$228)+(IF($A$7=Nutrients!$B$8,Nutrients!$BX$8,Nutrients!$BX$9)*AV$7)+(((IF($A$8=Nutrients!$B$79,Nutrients!$BX$79,(IF($A$8=Nutrients!$B$77,Nutrients!$BX$77,Nutrients!$BX$78)))))*AV$8))/2000</f>
        <v>0.39545655154131149</v>
      </c>
      <c r="AW255" s="23">
        <f>(SUMPRODUCT(AW$9:AW$229,Nutrients!$BX$8:$BX$228)+(IF($A$7=Nutrients!$B$8,Nutrients!$BX$8,Nutrients!$BX$9)*AW$7)+(((IF($A$8=Nutrients!$B$79,Nutrients!$BX$79,(IF($A$8=Nutrients!$B$77,Nutrients!$BX$77,Nutrients!$BX$78)))))*AW$8))/2000</f>
        <v>0.38870127982871089</v>
      </c>
    </row>
    <row r="256" spans="1:64" x14ac:dyDescent="0.25">
      <c r="A256" s="48" t="s">
        <v>156</v>
      </c>
      <c r="B256" s="23">
        <f>(SUMPRODUCT(B$9:B$229,Nutrients!$EB$8:$EB$228)+(IF($A$7=Nutrients!$B$8,Nutrients!$EB$8,Nutrients!$EB$9)*B$7)+(((IF($A$8=Nutrients!$B$79,Nutrients!$EB$79,(IF($A$8=Nutrients!$B$77,Nutrients!$EB$77,Nutrients!$EB$78)))))*B$8))/2000</f>
        <v>0.22446494345276957</v>
      </c>
      <c r="C256" s="23">
        <f>(SUMPRODUCT(C$9:C$229,Nutrients!$EB$8:$EB$228)+(IF($A$7=Nutrients!$B$8,Nutrients!$EB$8,Nutrients!$EB$9)*C$7)+(((IF($A$8=Nutrients!$B$79,Nutrients!$EB$79,(IF($A$8=Nutrients!$B$77,Nutrients!$EB$77,Nutrients!$EB$78)))))*C$8))/2000</f>
        <v>0.18518517069501755</v>
      </c>
      <c r="D256" s="23">
        <f>(SUMPRODUCT(D$9:D$229,Nutrients!$EB$8:$EB$228)+(IF($A$7=Nutrients!$B$8,Nutrients!$EB$8,Nutrients!$EB$9)*D$7)+(((IF($A$8=Nutrients!$B$79,Nutrients!$EB$79,(IF($A$8=Nutrients!$B$77,Nutrients!$EB$77,Nutrients!$EB$78)))))*D$8))/2000</f>
        <v>0.14586079396089491</v>
      </c>
      <c r="E256" s="23">
        <f>(SUMPRODUCT(E$9:E$229,Nutrients!$EB$8:$EB$228)+(IF($A$7=Nutrients!$B$8,Nutrients!$EB$8,Nutrients!$EB$9)*E$7)+(((IF($A$8=Nutrients!$B$79,Nutrients!$EB$79,(IF($A$8=Nutrients!$B$77,Nutrients!$EB$77,Nutrients!$EB$78)))))*E$8))/2000</f>
        <v>0.11735401640373964</v>
      </c>
      <c r="F256" s="23">
        <f>(SUMPRODUCT(F$9:F$229,Nutrients!$EB$8:$EB$228)+(IF($A$7=Nutrients!$B$8,Nutrients!$EB$8,Nutrients!$EB$9)*F$7)+(((IF($A$8=Nutrients!$B$79,Nutrients!$EB$79,(IF($A$8=Nutrients!$B$77,Nutrients!$EB$77,Nutrients!$EB$78)))))*F$8))/2000</f>
        <v>9.7828165821017068E-2</v>
      </c>
      <c r="G256" s="23">
        <f>(SUMPRODUCT(G$9:G$229,Nutrients!$EB$8:$EB$228)+(IF($A$7=Nutrients!$B$8,Nutrients!$EB$8,Nutrients!$EB$9)*G$7)+(((IF($A$8=Nutrients!$B$79,Nutrients!$EB$79,(IF($A$8=Nutrients!$B$77,Nutrients!$EB$77,Nutrients!$EB$78)))))*G$8))/2000</f>
        <v>8.9123540247531982E-2</v>
      </c>
      <c r="H256" s="227"/>
      <c r="I256" s="23">
        <f>(SUMPRODUCT(I$9:I$229,Nutrients!$EB$8:$EB$228)+(IF($A$7=Nutrients!$B$8,Nutrients!$EB$8,Nutrients!$EB$9)*I$7)+(((IF($A$8=Nutrients!$B$79,Nutrients!$EB$79,(IF($A$8=Nutrients!$B$77,Nutrients!$EB$77,Nutrients!$EB$78)))))*I$8))/2000</f>
        <v>0.20617646914007706</v>
      </c>
      <c r="J256" s="23">
        <f>(SUMPRODUCT(J$9:J$229,Nutrients!$EB$8:$EB$228)+(IF($A$7=Nutrients!$B$8,Nutrients!$EB$8,Nutrients!$EB$9)*J$7)+(((IF($A$8=Nutrients!$B$79,Nutrients!$EB$79,(IF($A$8=Nutrients!$B$77,Nutrients!$EB$77,Nutrients!$EB$78)))))*J$8))/2000</f>
        <v>0.16792097700514308</v>
      </c>
      <c r="K256" s="23">
        <f>(SUMPRODUCT(K$9:K$229,Nutrients!$EB$8:$EB$228)+(IF($A$7=Nutrients!$B$8,Nutrients!$EB$8,Nutrients!$EB$9)*K$7)+(((IF($A$8=Nutrients!$B$79,Nutrients!$EB$79,(IF($A$8=Nutrients!$B$77,Nutrients!$EB$77,Nutrients!$EB$78)))))*K$8))/2000</f>
        <v>0.12731516617806651</v>
      </c>
      <c r="L256" s="23">
        <f>(SUMPRODUCT(L$9:L$229,Nutrients!$EB$8:$EB$228)+(IF($A$7=Nutrients!$B$8,Nutrients!$EB$8,Nutrients!$EB$9)*L$7)+(((IF($A$8=Nutrients!$B$79,Nutrients!$EB$79,(IF($A$8=Nutrients!$B$77,Nutrients!$EB$77,Nutrients!$EB$78)))))*L$8))/2000</f>
        <v>9.9510955463701603E-2</v>
      </c>
      <c r="M256" s="23">
        <f>(SUMPRODUCT(M$9:M$229,Nutrients!$EB$8:$EB$228)+(IF($A$7=Nutrients!$B$8,Nutrients!$EB$8,Nutrients!$EB$9)*M$7)+(((IF($A$8=Nutrients!$B$79,Nutrients!$EB$79,(IF($A$8=Nutrients!$B$77,Nutrients!$EB$77,Nutrients!$EB$78)))))*M$8))/2000</f>
        <v>7.9982824766641522E-2</v>
      </c>
      <c r="N256" s="23">
        <f>(SUMPRODUCT(N$9:N$229,Nutrients!$EB$8:$EB$228)+(IF($A$7=Nutrients!$B$8,Nutrients!$EB$8,Nutrients!$EB$9)*N$7)+(((IF($A$8=Nutrients!$B$79,Nutrients!$EB$79,(IF($A$8=Nutrients!$B$77,Nutrients!$EB$77,Nutrients!$EB$78)))))*N$8))/2000</f>
        <v>7.1297618525718975E-2</v>
      </c>
      <c r="O256" s="198"/>
      <c r="P256" s="23">
        <f>(SUMPRODUCT(P$9:P$229,Nutrients!$EB$8:$EB$228)+(IF($A$7=Nutrients!$B$8,Nutrients!$EB$8,Nutrients!$EB$9)*P$7)+(((IF($A$8=Nutrients!$B$79,Nutrients!$EB$79,(IF($A$8=Nutrients!$B$77,Nutrients!$EB$77,Nutrients!$EB$78)))))*P$8))/2000</f>
        <v>0.18825273551548186</v>
      </c>
      <c r="Q256" s="23">
        <f>(SUMPRODUCT(Q$9:Q$229,Nutrients!$EB$8:$EB$228)+(IF($A$7=Nutrients!$B$8,Nutrients!$EB$8,Nutrients!$EB$9)*Q$7)+(((IF($A$8=Nutrients!$B$79,Nutrients!$EB$79,(IF($A$8=Nutrients!$B$77,Nutrients!$EB$77,Nutrients!$EB$78)))))*Q$8))/2000</f>
        <v>0.15004117724316487</v>
      </c>
      <c r="R256" s="23">
        <f>(SUMPRODUCT(R$9:R$229,Nutrients!$EB$8:$EB$228)+(IF($A$7=Nutrients!$B$8,Nutrients!$EB$8,Nutrients!$EB$9)*R$7)+(((IF($A$8=Nutrients!$B$79,Nutrients!$EB$79,(IF($A$8=Nutrients!$B$77,Nutrients!$EB$77,Nutrients!$EB$78)))))*R$8))/2000</f>
        <v>0.10948440764037279</v>
      </c>
      <c r="S256" s="23">
        <f>(SUMPRODUCT(S$9:S$229,Nutrients!$EB$8:$EB$228)+(IF($A$7=Nutrients!$B$8,Nutrients!$EB$8,Nutrients!$EB$9)*S$7)+(((IF($A$8=Nutrients!$B$79,Nutrients!$EB$79,(IF($A$8=Nutrients!$B$77,Nutrients!$EB$77,Nutrients!$EB$78)))))*S$8))/2000</f>
        <v>8.1656822788585201E-2</v>
      </c>
      <c r="T256" s="23">
        <f>(SUMPRODUCT(T$9:T$229,Nutrients!$EB$8:$EB$228)+(IF($A$7=Nutrients!$B$8,Nutrients!$EB$8,Nutrients!$EB$9)*T$7)+(((IF($A$8=Nutrients!$B$79,Nutrients!$EB$79,(IF($A$8=Nutrients!$B$77,Nutrients!$EB$77,Nutrients!$EB$78)))))*T$8))/2000</f>
        <v>6.2168362125141735E-2</v>
      </c>
      <c r="U256" s="23">
        <f>(SUMPRODUCT(U$9:U$229,Nutrients!$EB$8:$EB$228)+(IF($A$7=Nutrients!$B$8,Nutrients!$EB$8,Nutrients!$EB$9)*U$7)+(((IF($A$8=Nutrients!$B$79,Nutrients!$EB$79,(IF($A$8=Nutrients!$B$77,Nutrients!$EB$77,Nutrients!$EB$78)))))*U$8))/2000</f>
        <v>5.3499540889059324E-2</v>
      </c>
      <c r="W256" s="23">
        <f>(SUMPRODUCT(W$9:W$229,Nutrients!$EB$8:$EB$228)+(IF($A$7=Nutrients!$B$8,Nutrients!$EB$8,Nutrients!$EB$9)*W$7)+(((IF($A$8=Nutrients!$B$79,Nutrients!$EB$79,(IF($A$8=Nutrients!$B$77,Nutrients!$EB$77,Nutrients!$EB$78)))))*W$8))/2000</f>
        <v>0.17032828032215069</v>
      </c>
      <c r="X256" s="23">
        <f>(SUMPRODUCT(X$9:X$229,Nutrients!$EB$8:$EB$228)+(IF($A$7=Nutrients!$B$8,Nutrients!$EB$8,Nutrients!$EB$9)*X$7)+(((IF($A$8=Nutrients!$B$79,Nutrients!$EB$79,(IF($A$8=Nutrients!$B$77,Nutrients!$EB$77,Nutrients!$EB$78)))))*X$8))/2000</f>
        <v>0.13216207706076222</v>
      </c>
      <c r="Y256" s="23">
        <f>(SUMPRODUCT(Y$9:Y$229,Nutrients!$EB$8:$EB$228)+(IF($A$7=Nutrients!$B$8,Nutrients!$EB$8,Nutrients!$EB$9)*Y$7)+(((IF($A$8=Nutrients!$B$79,Nutrients!$EB$79,(IF($A$8=Nutrients!$B$77,Nutrients!$EB$77,Nutrients!$EB$78)))))*Y$8))/2000</f>
        <v>9.1582240204201942E-2</v>
      </c>
      <c r="Z256" s="23">
        <f>(SUMPRODUCT(Z$9:Z$229,Nutrients!$EB$8:$EB$228)+(IF($A$7=Nutrients!$B$8,Nutrients!$EB$8,Nutrients!$EB$9)*Z$7)+(((IF($A$8=Nutrients!$B$79,Nutrients!$EB$79,(IF($A$8=Nutrients!$B$77,Nutrients!$EB$77,Nutrients!$EB$78)))))*Z$8))/2000</f>
        <v>6.3819330909430247E-2</v>
      </c>
      <c r="AA256" s="23">
        <f>(SUMPRODUCT(AA$9:AA$229,Nutrients!$EB$8:$EB$228)+(IF($A$7=Nutrients!$B$8,Nutrients!$EB$8,Nutrients!$EB$9)*AA$7)+(((IF($A$8=Nutrients!$B$79,Nutrients!$EB$79,(IF($A$8=Nutrients!$B$77,Nutrients!$EB$77,Nutrients!$EB$78)))))*AA$8))/2000</f>
        <v>4.4354175383965265E-2</v>
      </c>
      <c r="AB256" s="23">
        <f>(SUMPRODUCT(AB$9:AB$229,Nutrients!$EB$8:$EB$228)+(IF($A$7=Nutrients!$B$8,Nutrients!$EB$8,Nutrients!$EB$9)*AB$7)+(((IF($A$8=Nutrients!$B$79,Nutrients!$EB$79,(IF($A$8=Nutrients!$B$77,Nutrients!$EB$77,Nutrients!$EB$78)))))*AB$8))/2000</f>
        <v>3.8653253193569381E-2</v>
      </c>
      <c r="AD256" s="23">
        <f>(SUMPRODUCT(AD$9:AD$229,Nutrients!$EB$8:$EB$228)+(IF($A$7=Nutrients!$B$8,Nutrients!$EB$8,Nutrients!$EB$9)*AD$7)+(((IF($A$8=Nutrients!$B$79,Nutrients!$EB$79,(IF($A$8=Nutrients!$B$77,Nutrients!$EB$77,Nutrients!$EB$78)))))*AD$8))/2000</f>
        <v>0.15239730282464051</v>
      </c>
      <c r="AE256" s="23">
        <f>(SUMPRODUCT(AE$9:AE$229,Nutrients!$EB$8:$EB$228)+(IF($A$7=Nutrients!$B$8,Nutrients!$EB$8,Nutrients!$EB$9)*AE$7)+(((IF($A$8=Nutrients!$B$79,Nutrients!$EB$79,(IF($A$8=Nutrients!$B$77,Nutrients!$EB$77,Nutrients!$EB$78)))))*AE$8))/2000</f>
        <v>0.11421269528497896</v>
      </c>
      <c r="AF256" s="23">
        <f>(SUMPRODUCT(AF$9:AF$229,Nutrients!$EB$8:$EB$228)+(IF($A$7=Nutrients!$B$8,Nutrients!$EB$8,Nutrients!$EB$9)*AF$7)+(((IF($A$8=Nutrients!$B$79,Nutrients!$EB$79,(IF($A$8=Nutrients!$B$77,Nutrients!$EB$77,Nutrients!$EB$78)))))*AF$8))/2000</f>
        <v>7.3695383668849382E-2</v>
      </c>
      <c r="AG256" s="23">
        <f>(SUMPRODUCT(AG$9:AG$229,Nutrients!$EB$8:$EB$228)+(IF($A$7=Nutrients!$B$8,Nutrients!$EB$8,Nutrients!$EB$9)*AG$7)+(((IF($A$8=Nutrients!$B$79,Nutrients!$EB$79,(IF($A$8=Nutrients!$B$77,Nutrients!$EB$77,Nutrients!$EB$78)))))*AG$8))/2000</f>
        <v>4.5976691365799315E-2</v>
      </c>
      <c r="AH256" s="23">
        <f>(SUMPRODUCT(AH$9:AH$229,Nutrients!$EB$8:$EB$228)+(IF($A$7=Nutrients!$B$8,Nutrients!$EB$8,Nutrients!$EB$9)*AH$7)+(((IF($A$8=Nutrients!$B$79,Nutrients!$EB$79,(IF($A$8=Nutrients!$B$77,Nutrients!$EB$77,Nutrients!$EB$78)))))*AH$8))/2000</f>
        <v>3.6708278283929884E-2</v>
      </c>
      <c r="AI256" s="23">
        <f>(SUMPRODUCT(AI$9:AI$229,Nutrients!$EB$8:$EB$228)+(IF($A$7=Nutrients!$B$8,Nutrients!$EB$8,Nutrients!$EB$9)*AI$7)+(((IF($A$8=Nutrients!$B$79,Nutrients!$EB$79,(IF($A$8=Nutrients!$B$77,Nutrients!$EB$77,Nutrients!$EB$78)))))*AI$8))/2000</f>
        <v>3.4770398762124309E-2</v>
      </c>
      <c r="AK256" s="23">
        <f>(SUMPRODUCT(AK$9:AK$229,Nutrients!$EB$8:$EB$228)+(IF($A$7=Nutrients!$B$8,Nutrients!$EB$8,Nutrients!$EB$9)*AK$7)+(((IF($A$8=Nutrients!$B$79,Nutrients!$EB$79,(IF($A$8=Nutrients!$B$77,Nutrients!$EB$77,Nutrients!$EB$78)))))*AK$8))/2000</f>
        <v>0.13448429017735269</v>
      </c>
      <c r="AL256" s="23">
        <f>(SUMPRODUCT(AL$9:AL$229,Nutrients!$EB$8:$EB$228)+(IF($A$7=Nutrients!$B$8,Nutrients!$EB$8,Nutrients!$EB$9)*AL$7)+(((IF($A$8=Nutrients!$B$79,Nutrients!$EB$79,(IF($A$8=Nutrients!$B$77,Nutrients!$EB$77,Nutrients!$EB$78)))))*AL$8))/2000</f>
        <v>9.628422377386342E-2</v>
      </c>
      <c r="AM256" s="23">
        <f>(SUMPRODUCT(AM$9:AM$229,Nutrients!$EB$8:$EB$228)+(IF($A$7=Nutrients!$B$8,Nutrients!$EB$8,Nutrients!$EB$9)*AM$7)+(((IF($A$8=Nutrients!$B$79,Nutrients!$EB$79,(IF($A$8=Nutrients!$B$77,Nutrients!$EB$77,Nutrients!$EB$78)))))*AM$8))/2000</f>
        <v>5.5815162586069417E-2</v>
      </c>
      <c r="AN256" s="23">
        <f>(SUMPRODUCT(AN$9:AN$229,Nutrients!$EB$8:$EB$228)+(IF($A$7=Nutrients!$B$8,Nutrients!$EB$8,Nutrients!$EB$9)*AN$7)+(((IF($A$8=Nutrients!$B$79,Nutrients!$EB$79,(IF($A$8=Nutrients!$B$77,Nutrients!$EB$77,Nutrients!$EB$78)))))*AN$8))/2000</f>
        <v>3.6309770254349713E-2</v>
      </c>
      <c r="AO256" s="23">
        <f>(SUMPRODUCT(AO$9:AO$229,Nutrients!$EB$8:$EB$228)+(IF($A$7=Nutrients!$B$8,Nutrients!$EB$8,Nutrients!$EB$9)*AO$7)+(((IF($A$8=Nutrients!$B$79,Nutrients!$EB$79,(IF($A$8=Nutrients!$B$77,Nutrients!$EB$77,Nutrients!$EB$78)))))*AO$8))/2000</f>
        <v>3.2808535349882574E-2</v>
      </c>
      <c r="AP256" s="23">
        <f>(SUMPRODUCT(AP$9:AP$229,Nutrients!$EB$8:$EB$228)+(IF($A$7=Nutrients!$B$8,Nutrients!$EB$8,Nutrients!$EB$9)*AP$7)+(((IF($A$8=Nutrients!$B$79,Nutrients!$EB$79,(IF($A$8=Nutrients!$B$77,Nutrients!$EB$77,Nutrients!$EB$78)))))*AP$8))/2000</f>
        <v>3.0887433398608978E-2</v>
      </c>
      <c r="AR256" s="23">
        <f>(SUMPRODUCT(AR$9:AR$229,Nutrients!$EB$8:$EB$228)+(IF($A$7=Nutrients!$B$8,Nutrients!$EB$8,Nutrients!$EB$9)*AR$7)+(((IF($A$8=Nutrients!$B$79,Nutrients!$EB$79,(IF($A$8=Nutrients!$B$77,Nutrients!$EB$77,Nutrients!$EB$78)))))*AR$8))/2000</f>
        <v>0.11670786106119536</v>
      </c>
      <c r="AS256" s="23">
        <f>(SUMPRODUCT(AS$9:AS$229,Nutrients!$EB$8:$EB$228)+(IF($A$7=Nutrients!$B$8,Nutrients!$EB$8,Nutrients!$EB$9)*AS$7)+(((IF($A$8=Nutrients!$B$79,Nutrients!$EB$79,(IF($A$8=Nutrients!$B$77,Nutrients!$EB$77,Nutrients!$EB$78)))))*AS$8))/2000</f>
        <v>7.8353940044427098E-2</v>
      </c>
      <c r="AT256" s="23">
        <f>(SUMPRODUCT(AT$9:AT$229,Nutrients!$EB$8:$EB$228)+(IF($A$7=Nutrients!$B$8,Nutrients!$EB$8,Nutrients!$EB$9)*AT$7)+(((IF($A$8=Nutrients!$B$79,Nutrients!$EB$79,(IF($A$8=Nutrients!$B$77,Nutrients!$EB$77,Nutrients!$EB$78)))))*AT$8))/2000</f>
        <v>3.7946277361693828E-2</v>
      </c>
      <c r="AU256" s="23">
        <f>(SUMPRODUCT(AU$9:AU$229,Nutrients!$EB$8:$EB$228)+(IF($A$7=Nutrients!$B$8,Nutrients!$EB$8,Nutrients!$EB$9)*AU$7)+(((IF($A$8=Nutrients!$B$79,Nutrients!$EB$79,(IF($A$8=Nutrients!$B$77,Nutrients!$EB$77,Nutrients!$EB$78)))))*AU$8))/2000</f>
        <v>3.2386784168466048E-2</v>
      </c>
      <c r="AV256" s="23">
        <f>(SUMPRODUCT(AV$9:AV$229,Nutrients!$EB$8:$EB$228)+(IF($A$7=Nutrients!$B$8,Nutrients!$EB$8,Nutrients!$EB$9)*AV$7)+(((IF($A$8=Nutrients!$B$79,Nutrients!$EB$79,(IF($A$8=Nutrients!$B$77,Nutrients!$EB$77,Nutrients!$EB$78)))))*AV$8))/2000</f>
        <v>2.8909141521704727E-2</v>
      </c>
      <c r="AW256" s="23">
        <f>(SUMPRODUCT(AW$9:AW$229,Nutrients!$EB$8:$EB$228)+(IF($A$7=Nutrients!$B$8,Nutrients!$EB$8,Nutrients!$EB$9)*AW$7)+(((IF($A$8=Nutrients!$B$79,Nutrients!$EB$79,(IF($A$8=Nutrients!$B$77,Nutrients!$EB$77,Nutrients!$EB$78)))))*AW$8))/2000</f>
        <v>2.7004600643287101E-2</v>
      </c>
    </row>
    <row r="257" spans="1:59" x14ac:dyDescent="0.25">
      <c r="A257" s="48" t="s">
        <v>146</v>
      </c>
      <c r="B257" s="23">
        <f>IF((SUMPRODUCT(B$9:B$229,Nutrients!$EE$8:$EE$228))=0,B256,IF((SUMPRODUCT(B$9:B$229,Nutrients!$EE$8:$EE$228))&gt;(1500*907),B256+0.14,B256+0.00000000006666*((SUMPRODUCT(B$9:B$229,Nutrients!$EE$8:$EE$228)/907))^3-0.00000023623322*((SUMPRODUCT(B$9:B$229,Nutrients!$EE$8:$EE$228)/907))^2+0.00029262722672*((SUMPRODUCT(B$9:B$229,Nutrients!$EE$8:$EE$228)/907))+0.007028328))</f>
        <v>0.33707938392360226</v>
      </c>
      <c r="C257" s="23">
        <f>IF((SUMPRODUCT(C$9:C$229,Nutrients!$EE$8:$EE$228))=0,C256,IF((SUMPRODUCT(C$9:C$229,Nutrients!$EE$8:$EE$228))&gt;(1500*907),C256+0.14,C256+0.00000000006666*((SUMPRODUCT(C$9:C$229,Nutrients!$EE$8:$EE$228)/907))^3-0.00000023623322*((SUMPRODUCT(C$9:C$229,Nutrients!$EE$8:$EE$228)/907))^2+0.00029262722672*((SUMPRODUCT(C$9:C$229,Nutrients!$EE$8:$EE$228)/907))+0.007028328))</f>
        <v>0.29779961116585019</v>
      </c>
      <c r="D257" s="23">
        <f>IF((SUMPRODUCT(D$9:D$229,Nutrients!$EE$8:$EE$228))=0,D256,IF((SUMPRODUCT(D$9:D$229,Nutrients!$EE$8:$EE$228))&gt;(1500*907),D256+0.14,D256+0.00000000006666*((SUMPRODUCT(D$9:D$229,Nutrients!$EE$8:$EE$228)/907))^3-0.00000023623322*((SUMPRODUCT(D$9:D$229,Nutrients!$EE$8:$EE$228)/907))^2+0.00029262722672*((SUMPRODUCT(D$9:D$229,Nutrients!$EE$8:$EE$228)/907))+0.007028328))</f>
        <v>0.2584752344317276</v>
      </c>
      <c r="E257" s="23">
        <f>IF((SUMPRODUCT(E$9:E$229,Nutrients!$EE$8:$EE$228))=0,E256,IF((SUMPRODUCT(E$9:E$229,Nutrients!$EE$8:$EE$228))&gt;(1500*907),E256+0.14,E256+0.00000000006666*((SUMPRODUCT(E$9:E$229,Nutrients!$EE$8:$EE$228)/907))^3-0.00000023623322*((SUMPRODUCT(E$9:E$229,Nutrients!$EE$8:$EE$228)/907))^2+0.00029262722672*((SUMPRODUCT(E$9:E$229,Nutrients!$EE$8:$EE$228)/907))+0.007028328))</f>
        <v>0.22996845687457232</v>
      </c>
      <c r="F257" s="23">
        <f>IF((SUMPRODUCT(F$9:F$229,Nutrients!$EE$8:$EE$228))=0,F256,IF((SUMPRODUCT(F$9:F$229,Nutrients!$EE$8:$EE$228))&gt;(1500*907),F256+0.14,F256+0.00000000006666*((SUMPRODUCT(F$9:F$229,Nutrients!$EE$8:$EE$228)/907))^3-0.00000023623322*((SUMPRODUCT(F$9:F$229,Nutrients!$EE$8:$EE$228)/907))^2+0.00029262722672*((SUMPRODUCT(F$9:F$229,Nutrients!$EE$8:$EE$228)/907))+0.007028328))</f>
        <v>0.21044260629184977</v>
      </c>
      <c r="G257" s="23">
        <f>IF((SUMPRODUCT(G$9:G$229,Nutrients!$EE$8:$EE$228))=0,G256,IF((SUMPRODUCT(G$9:G$229,Nutrients!$EE$8:$EE$228))&gt;(1500*907),G256+0.14,G256+0.00000000006666*((SUMPRODUCT(G$9:G$229,Nutrients!$EE$8:$EE$228)/907))^3-0.00000023623322*((SUMPRODUCT(G$9:G$229,Nutrients!$EE$8:$EE$228)/907))^2+0.00029262722672*((SUMPRODUCT(G$9:G$229,Nutrients!$EE$8:$EE$228)/907))+0.007028328))</f>
        <v>0.20173798071836466</v>
      </c>
      <c r="H257" s="227"/>
      <c r="I257" s="23">
        <f>IF((SUMPRODUCT(I$9:I$229,Nutrients!$EE$8:$EE$228))=0,I256,IF((SUMPRODUCT(I$9:I$229,Nutrients!$EE$8:$EE$228))&gt;(1500*907),I256+0.14,I256+0.00000000006666*((SUMPRODUCT(I$9:I$229,Nutrients!$EE$8:$EE$228)/907))^3-0.00000023623322*((SUMPRODUCT(I$9:I$229,Nutrients!$EE$8:$EE$228)/907))^2+0.00029262722672*((SUMPRODUCT(I$9:I$229,Nutrients!$EE$8:$EE$228)/907))+0.007028328))</f>
        <v>0.31879090961090972</v>
      </c>
      <c r="J257" s="23">
        <f>IF((SUMPRODUCT(J$9:J$229,Nutrients!$EE$8:$EE$228))=0,J256,IF((SUMPRODUCT(J$9:J$229,Nutrients!$EE$8:$EE$228))&gt;(1500*907),J256+0.14,J256+0.00000000006666*((SUMPRODUCT(J$9:J$229,Nutrients!$EE$8:$EE$228)/907))^3-0.00000023623322*((SUMPRODUCT(J$9:J$229,Nutrients!$EE$8:$EE$228)/907))^2+0.00029262722672*((SUMPRODUCT(J$9:J$229,Nutrients!$EE$8:$EE$228)/907))+0.007028328))</f>
        <v>0.28053541747597577</v>
      </c>
      <c r="K257" s="23">
        <f>IF((SUMPRODUCT(K$9:K$229,Nutrients!$EE$8:$EE$228))=0,K256,IF((SUMPRODUCT(K$9:K$229,Nutrients!$EE$8:$EE$228))&gt;(1500*907),K256+0.14,K256+0.00000000006666*((SUMPRODUCT(K$9:K$229,Nutrients!$EE$8:$EE$228)/907))^3-0.00000023623322*((SUMPRODUCT(K$9:K$229,Nutrients!$EE$8:$EE$228)/907))^2+0.00029262722672*((SUMPRODUCT(K$9:K$229,Nutrients!$EE$8:$EE$228)/907))+0.007028328))</f>
        <v>0.2399296066488992</v>
      </c>
      <c r="L257" s="23">
        <f>IF((SUMPRODUCT(L$9:L$229,Nutrients!$EE$8:$EE$228))=0,L256,IF((SUMPRODUCT(L$9:L$229,Nutrients!$EE$8:$EE$228))&gt;(1500*907),L256+0.14,L256+0.00000000006666*((SUMPRODUCT(L$9:L$229,Nutrients!$EE$8:$EE$228)/907))^3-0.00000023623322*((SUMPRODUCT(L$9:L$229,Nutrients!$EE$8:$EE$228)/907))^2+0.00029262722672*((SUMPRODUCT(L$9:L$229,Nutrients!$EE$8:$EE$228)/907))+0.007028328))</f>
        <v>0.21212539593453431</v>
      </c>
      <c r="M257" s="23">
        <f>IF((SUMPRODUCT(M$9:M$229,Nutrients!$EE$8:$EE$228))=0,M256,IF((SUMPRODUCT(M$9:M$229,Nutrients!$EE$8:$EE$228))&gt;(1500*907),M256+0.14,M256+0.00000000006666*((SUMPRODUCT(M$9:M$229,Nutrients!$EE$8:$EE$228)/907))^3-0.00000023623322*((SUMPRODUCT(M$9:M$229,Nutrients!$EE$8:$EE$228)/907))^2+0.00029262722672*((SUMPRODUCT(M$9:M$229,Nutrients!$EE$8:$EE$228)/907))+0.007028328))</f>
        <v>0.1925972652374742</v>
      </c>
      <c r="N257" s="23">
        <f>IF((SUMPRODUCT(N$9:N$229,Nutrients!$EE$8:$EE$228))=0,N256,IF((SUMPRODUCT(N$9:N$229,Nutrients!$EE$8:$EE$228))&gt;(1500*907),N256+0.14,N256+0.00000000006666*((SUMPRODUCT(N$9:N$229,Nutrients!$EE$8:$EE$228)/907))^3-0.00000023623322*((SUMPRODUCT(N$9:N$229,Nutrients!$EE$8:$EE$228)/907))^2+0.00029262722672*((SUMPRODUCT(N$9:N$229,Nutrients!$EE$8:$EE$228)/907))+0.007028328))</f>
        <v>0.18391205899655166</v>
      </c>
      <c r="O257" s="198"/>
      <c r="P257" s="23">
        <f>IF((SUMPRODUCT(P$9:P$229,Nutrients!$EE$8:$EE$228))=0,P256,IF((SUMPRODUCT(P$9:P$229,Nutrients!$EE$8:$EE$228))&gt;(1500*907),P256+0.14,P256+0.00000000006666*((SUMPRODUCT(P$9:P$229,Nutrients!$EE$8:$EE$228)/907))^3-0.00000023623322*((SUMPRODUCT(P$9:P$229,Nutrients!$EE$8:$EE$228)/907))^2+0.00029262722672*((SUMPRODUCT(P$9:P$229,Nutrients!$EE$8:$EE$228)/907))+0.007028328))</f>
        <v>0.30086717598631452</v>
      </c>
      <c r="Q257" s="23">
        <f>IF((SUMPRODUCT(Q$9:Q$229,Nutrients!$EE$8:$EE$228))=0,Q256,IF((SUMPRODUCT(Q$9:Q$229,Nutrients!$EE$8:$EE$228))&gt;(1500*907),Q256+0.14,Q256+0.00000000006666*((SUMPRODUCT(Q$9:Q$229,Nutrients!$EE$8:$EE$228)/907))^3-0.00000023623322*((SUMPRODUCT(Q$9:Q$229,Nutrients!$EE$8:$EE$228)/907))^2+0.00029262722672*((SUMPRODUCT(Q$9:Q$229,Nutrients!$EE$8:$EE$228)/907))+0.007028328))</f>
        <v>0.26265561771399759</v>
      </c>
      <c r="R257" s="23">
        <f>IF((SUMPRODUCT(R$9:R$229,Nutrients!$EE$8:$EE$228))=0,R256,IF((SUMPRODUCT(R$9:R$229,Nutrients!$EE$8:$EE$228))&gt;(1500*907),R256+0.14,R256+0.00000000006666*((SUMPRODUCT(R$9:R$229,Nutrients!$EE$8:$EE$228)/907))^3-0.00000023623322*((SUMPRODUCT(R$9:R$229,Nutrients!$EE$8:$EE$228)/907))^2+0.00029262722672*((SUMPRODUCT(R$9:R$229,Nutrients!$EE$8:$EE$228)/907))+0.007028328))</f>
        <v>0.22209884811120548</v>
      </c>
      <c r="S257" s="23">
        <f>IF((SUMPRODUCT(S$9:S$229,Nutrients!$EE$8:$EE$228))=0,S256,IF((SUMPRODUCT(S$9:S$229,Nutrients!$EE$8:$EE$228))&gt;(1500*907),S256+0.14,S256+0.00000000006666*((SUMPRODUCT(S$9:S$229,Nutrients!$EE$8:$EE$228)/907))^3-0.00000023623322*((SUMPRODUCT(S$9:S$229,Nutrients!$EE$8:$EE$228)/907))^2+0.00029262722672*((SUMPRODUCT(S$9:S$229,Nutrients!$EE$8:$EE$228)/907))+0.007028328))</f>
        <v>0.19427126325941788</v>
      </c>
      <c r="T257" s="23">
        <f>IF((SUMPRODUCT(T$9:T$229,Nutrients!$EE$8:$EE$228))=0,T256,IF((SUMPRODUCT(T$9:T$229,Nutrients!$EE$8:$EE$228))&gt;(1500*907),T256+0.14,T256+0.00000000006666*((SUMPRODUCT(T$9:T$229,Nutrients!$EE$8:$EE$228)/907))^3-0.00000023623322*((SUMPRODUCT(T$9:T$229,Nutrients!$EE$8:$EE$228)/907))^2+0.00029262722672*((SUMPRODUCT(T$9:T$229,Nutrients!$EE$8:$EE$228)/907))+0.007028328))</f>
        <v>0.17478280259597442</v>
      </c>
      <c r="U257" s="23">
        <f>IF((SUMPRODUCT(U$9:U$229,Nutrients!$EE$8:$EE$228))=0,U256,IF((SUMPRODUCT(U$9:U$229,Nutrients!$EE$8:$EE$228))&gt;(1500*907),U256+0.14,U256+0.00000000006666*((SUMPRODUCT(U$9:U$229,Nutrients!$EE$8:$EE$228)/907))^3-0.00000023623322*((SUMPRODUCT(U$9:U$229,Nutrients!$EE$8:$EE$228)/907))^2+0.00029262722672*((SUMPRODUCT(U$9:U$229,Nutrients!$EE$8:$EE$228)/907))+0.007028328))</f>
        <v>0.166113981359892</v>
      </c>
      <c r="W257" s="23">
        <f>IF((SUMPRODUCT(W$9:W$229,Nutrients!$EE$8:$EE$228))=0,W256,IF((SUMPRODUCT(W$9:W$229,Nutrients!$EE$8:$EE$228))&gt;(1500*907),W256+0.14,W256+0.00000000006666*((SUMPRODUCT(W$9:W$229,Nutrients!$EE$8:$EE$228)/907))^3-0.00000023623322*((SUMPRODUCT(W$9:W$229,Nutrients!$EE$8:$EE$228)/907))^2+0.00029262722672*((SUMPRODUCT(W$9:W$229,Nutrients!$EE$8:$EE$228)/907))+0.007028328))</f>
        <v>0.28294272079298333</v>
      </c>
      <c r="X257" s="23">
        <f>IF((SUMPRODUCT(X$9:X$229,Nutrients!$EE$8:$EE$228))=0,X256,IF((SUMPRODUCT(X$9:X$229,Nutrients!$EE$8:$EE$228))&gt;(1500*907),X256+0.14,X256+0.00000000006666*((SUMPRODUCT(X$9:X$229,Nutrients!$EE$8:$EE$228)/907))^3-0.00000023623322*((SUMPRODUCT(X$9:X$229,Nutrients!$EE$8:$EE$228)/907))^2+0.00029262722672*((SUMPRODUCT(X$9:X$229,Nutrients!$EE$8:$EE$228)/907))+0.007028328))</f>
        <v>0.24477651753159488</v>
      </c>
      <c r="Y257" s="23">
        <f>IF((SUMPRODUCT(Y$9:Y$229,Nutrients!$EE$8:$EE$228))=0,Y256,IF((SUMPRODUCT(Y$9:Y$229,Nutrients!$EE$8:$EE$228))&gt;(1500*907),Y256+0.14,Y256+0.00000000006666*((SUMPRODUCT(Y$9:Y$229,Nutrients!$EE$8:$EE$228)/907))^3-0.00000023623322*((SUMPRODUCT(Y$9:Y$229,Nutrients!$EE$8:$EE$228)/907))^2+0.00029262722672*((SUMPRODUCT(Y$9:Y$229,Nutrients!$EE$8:$EE$228)/907))+0.007028328))</f>
        <v>0.20419668067503463</v>
      </c>
      <c r="Z257" s="23">
        <f>IF((SUMPRODUCT(Z$9:Z$229,Nutrients!$EE$8:$EE$228))=0,Z256,IF((SUMPRODUCT(Z$9:Z$229,Nutrients!$EE$8:$EE$228))&gt;(1500*907),Z256+0.14,Z256+0.00000000006666*((SUMPRODUCT(Z$9:Z$229,Nutrients!$EE$8:$EE$228)/907))^3-0.00000023623322*((SUMPRODUCT(Z$9:Z$229,Nutrients!$EE$8:$EE$228)/907))^2+0.00029262722672*((SUMPRODUCT(Z$9:Z$229,Nutrients!$EE$8:$EE$228)/907))+0.007028328))</f>
        <v>0.17643377138026292</v>
      </c>
      <c r="AA257" s="23">
        <f>IF((SUMPRODUCT(AA$9:AA$229,Nutrients!$EE$8:$EE$228))=0,AA256,IF((SUMPRODUCT(AA$9:AA$229,Nutrients!$EE$8:$EE$228))&gt;(1500*907),AA256+0.14,AA256+0.00000000006666*((SUMPRODUCT(AA$9:AA$229,Nutrients!$EE$8:$EE$228)/907))^3-0.00000023623322*((SUMPRODUCT(AA$9:AA$229,Nutrients!$EE$8:$EE$228)/907))^2+0.00029262722672*((SUMPRODUCT(AA$9:AA$229,Nutrients!$EE$8:$EE$228)/907))+0.007028328))</f>
        <v>0.15696861585479796</v>
      </c>
      <c r="AB257" s="23">
        <f>IF((SUMPRODUCT(AB$9:AB$229,Nutrients!$EE$8:$EE$228))=0,AB256,IF((SUMPRODUCT(AB$9:AB$229,Nutrients!$EE$8:$EE$228))&gt;(1500*907),AB256+0.14,AB256+0.00000000006666*((SUMPRODUCT(AB$9:AB$229,Nutrients!$EE$8:$EE$228)/907))^3-0.00000023623322*((SUMPRODUCT(AB$9:AB$229,Nutrients!$EE$8:$EE$228)/907))^2+0.00029262722672*((SUMPRODUCT(AB$9:AB$229,Nutrients!$EE$8:$EE$228)/907))+0.007028328))</f>
        <v>0.15126769366440207</v>
      </c>
      <c r="AD257" s="23">
        <f>IF((SUMPRODUCT(AD$9:AD$229,Nutrients!$EE$8:$EE$228))=0,AD256,IF((SUMPRODUCT(AD$9:AD$229,Nutrients!$EE$8:$EE$228))&gt;(1500*907),AD256+0.14,AD256+0.00000000006666*((SUMPRODUCT(AD$9:AD$229,Nutrients!$EE$8:$EE$228)/907))^3-0.00000023623322*((SUMPRODUCT(AD$9:AD$229,Nutrients!$EE$8:$EE$228)/907))^2+0.00029262722672*((SUMPRODUCT(AD$9:AD$229,Nutrients!$EE$8:$EE$228)/907))+0.007028328))</f>
        <v>0.26501174329547317</v>
      </c>
      <c r="AE257" s="23">
        <f>IF((SUMPRODUCT(AE$9:AE$229,Nutrients!$EE$8:$EE$228))=0,AE256,IF((SUMPRODUCT(AE$9:AE$229,Nutrients!$EE$8:$EE$228))&gt;(1500*907),AE256+0.14,AE256+0.00000000006666*((SUMPRODUCT(AE$9:AE$229,Nutrients!$EE$8:$EE$228)/907))^3-0.00000023623322*((SUMPRODUCT(AE$9:AE$229,Nutrients!$EE$8:$EE$228)/907))^2+0.00029262722672*((SUMPRODUCT(AE$9:AE$229,Nutrients!$EE$8:$EE$228)/907))+0.007028328))</f>
        <v>0.22682713575581162</v>
      </c>
      <c r="AF257" s="23">
        <f>IF((SUMPRODUCT(AF$9:AF$229,Nutrients!$EE$8:$EE$228))=0,AF256,IF((SUMPRODUCT(AF$9:AF$229,Nutrients!$EE$8:$EE$228))&gt;(1500*907),AF256+0.14,AF256+0.00000000006666*((SUMPRODUCT(AF$9:AF$229,Nutrients!$EE$8:$EE$228)/907))^3-0.00000023623322*((SUMPRODUCT(AF$9:AF$229,Nutrients!$EE$8:$EE$228)/907))^2+0.00029262722672*((SUMPRODUCT(AF$9:AF$229,Nutrients!$EE$8:$EE$228)/907))+0.007028328))</f>
        <v>0.18630982413968208</v>
      </c>
      <c r="AG257" s="23">
        <f>IF((SUMPRODUCT(AG$9:AG$229,Nutrients!$EE$8:$EE$228))=0,AG256,IF((SUMPRODUCT(AG$9:AG$229,Nutrients!$EE$8:$EE$228))&gt;(1500*907),AG256+0.14,AG256+0.00000000006666*((SUMPRODUCT(AG$9:AG$229,Nutrients!$EE$8:$EE$228)/907))^3-0.00000023623322*((SUMPRODUCT(AG$9:AG$229,Nutrients!$EE$8:$EE$228)/907))^2+0.00029262722672*((SUMPRODUCT(AG$9:AG$229,Nutrients!$EE$8:$EE$228)/907))+0.007028328))</f>
        <v>0.15859113183663201</v>
      </c>
      <c r="AH257" s="23">
        <f>IF((SUMPRODUCT(AH$9:AH$229,Nutrients!$EE$8:$EE$228))=0,AH256,IF((SUMPRODUCT(AH$9:AH$229,Nutrients!$EE$8:$EE$228))&gt;(1500*907),AH256+0.14,AH256+0.00000000006666*((SUMPRODUCT(AH$9:AH$229,Nutrients!$EE$8:$EE$228)/907))^3-0.00000023623322*((SUMPRODUCT(AH$9:AH$229,Nutrients!$EE$8:$EE$228)/907))^2+0.00029262722672*((SUMPRODUCT(AH$9:AH$229,Nutrients!$EE$8:$EE$228)/907))+0.007028328))</f>
        <v>0.14932271875476258</v>
      </c>
      <c r="AI257" s="23">
        <f>IF((SUMPRODUCT(AI$9:AI$229,Nutrients!$EE$8:$EE$228))=0,AI256,IF((SUMPRODUCT(AI$9:AI$229,Nutrients!$EE$8:$EE$228))&gt;(1500*907),AI256+0.14,AI256+0.00000000006666*((SUMPRODUCT(AI$9:AI$229,Nutrients!$EE$8:$EE$228)/907))^3-0.00000023623322*((SUMPRODUCT(AI$9:AI$229,Nutrients!$EE$8:$EE$228)/907))^2+0.00029262722672*((SUMPRODUCT(AI$9:AI$229,Nutrients!$EE$8:$EE$228)/907))+0.007028328))</f>
        <v>0.147384839232957</v>
      </c>
      <c r="AK257" s="23">
        <f>IF((SUMPRODUCT(AK$9:AK$229,Nutrients!$EE$8:$EE$228))=0,AK256,IF((SUMPRODUCT(AK$9:AK$229,Nutrients!$EE$8:$EE$228))&gt;(1500*907),AK256+0.14,AK256+0.00000000006666*((SUMPRODUCT(AK$9:AK$229,Nutrients!$EE$8:$EE$228)/907))^3-0.00000023623322*((SUMPRODUCT(AK$9:AK$229,Nutrients!$EE$8:$EE$228)/907))^2+0.00029262722672*((SUMPRODUCT(AK$9:AK$229,Nutrients!$EE$8:$EE$228)/907))+0.007028328))</f>
        <v>0.24709873064818536</v>
      </c>
      <c r="AL257" s="23">
        <f>IF((SUMPRODUCT(AL$9:AL$229,Nutrients!$EE$8:$EE$228))=0,AL256,IF((SUMPRODUCT(AL$9:AL$229,Nutrients!$EE$8:$EE$228))&gt;(1500*907),AL256+0.14,AL256+0.00000000006666*((SUMPRODUCT(AL$9:AL$229,Nutrients!$EE$8:$EE$228)/907))^3-0.00000023623322*((SUMPRODUCT(AL$9:AL$229,Nutrients!$EE$8:$EE$228)/907))^2+0.00029262722672*((SUMPRODUCT(AL$9:AL$229,Nutrients!$EE$8:$EE$228)/907))+0.007028328))</f>
        <v>0.20889866424469611</v>
      </c>
      <c r="AM257" s="23">
        <f>IF((SUMPRODUCT(AM$9:AM$229,Nutrients!$EE$8:$EE$228))=0,AM256,IF((SUMPRODUCT(AM$9:AM$229,Nutrients!$EE$8:$EE$228))&gt;(1500*907),AM256+0.14,AM256+0.00000000006666*((SUMPRODUCT(AM$9:AM$229,Nutrients!$EE$8:$EE$228)/907))^3-0.00000023623322*((SUMPRODUCT(AM$9:AM$229,Nutrients!$EE$8:$EE$228)/907))^2+0.00029262722672*((SUMPRODUCT(AM$9:AM$229,Nutrients!$EE$8:$EE$228)/907))+0.007028328))</f>
        <v>0.16842960305690211</v>
      </c>
      <c r="AN257" s="23">
        <f>IF((SUMPRODUCT(AN$9:AN$229,Nutrients!$EE$8:$EE$228))=0,AN256,IF((SUMPRODUCT(AN$9:AN$229,Nutrients!$EE$8:$EE$228))&gt;(1500*907),AN256+0.14,AN256+0.00000000006666*((SUMPRODUCT(AN$9:AN$229,Nutrients!$EE$8:$EE$228)/907))^3-0.00000023623322*((SUMPRODUCT(AN$9:AN$229,Nutrients!$EE$8:$EE$228)/907))^2+0.00029262722672*((SUMPRODUCT(AN$9:AN$229,Nutrients!$EE$8:$EE$228)/907))+0.007028328))</f>
        <v>0.14892421072518239</v>
      </c>
      <c r="AO257" s="23">
        <f>IF((SUMPRODUCT(AO$9:AO$229,Nutrients!$EE$8:$EE$228))=0,AO256,IF((SUMPRODUCT(AO$9:AO$229,Nutrients!$EE$8:$EE$228))&gt;(1500*907),AO256+0.14,AO256+0.00000000006666*((SUMPRODUCT(AO$9:AO$229,Nutrients!$EE$8:$EE$228)/907))^3-0.00000023623322*((SUMPRODUCT(AO$9:AO$229,Nutrients!$EE$8:$EE$228)/907))^2+0.00029262722672*((SUMPRODUCT(AO$9:AO$229,Nutrients!$EE$8:$EE$228)/907))+0.007028328))</f>
        <v>0.14542297582071526</v>
      </c>
      <c r="AP257" s="23">
        <f>IF((SUMPRODUCT(AP$9:AP$229,Nutrients!$EE$8:$EE$228))=0,AP256,IF((SUMPRODUCT(AP$9:AP$229,Nutrients!$EE$8:$EE$228))&gt;(1500*907),AP256+0.14,AP256+0.00000000006666*((SUMPRODUCT(AP$9:AP$229,Nutrients!$EE$8:$EE$228)/907))^3-0.00000023623322*((SUMPRODUCT(AP$9:AP$229,Nutrients!$EE$8:$EE$228)/907))^2+0.00029262722672*((SUMPRODUCT(AP$9:AP$229,Nutrients!$EE$8:$EE$228)/907))+0.007028328))</f>
        <v>0.14350187386944166</v>
      </c>
      <c r="AR257" s="23">
        <f>IF((SUMPRODUCT(AR$9:AR$229,Nutrients!$EE$8:$EE$228))=0,AR256,IF((SUMPRODUCT(AR$9:AR$229,Nutrients!$EE$8:$EE$228))&gt;(1500*907),AR256+0.14,AR256+0.00000000006666*((SUMPRODUCT(AR$9:AR$229,Nutrients!$EE$8:$EE$228)/907))^3-0.00000023623322*((SUMPRODUCT(AR$9:AR$229,Nutrients!$EE$8:$EE$228)/907))^2+0.00029262722672*((SUMPRODUCT(AR$9:AR$229,Nutrients!$EE$8:$EE$228)/907))+0.007028328))</f>
        <v>0.22932230153202807</v>
      </c>
      <c r="AS257" s="23">
        <f>IF((SUMPRODUCT(AS$9:AS$229,Nutrients!$EE$8:$EE$228))=0,AS256,IF((SUMPRODUCT(AS$9:AS$229,Nutrients!$EE$8:$EE$228))&gt;(1500*907),AS256+0.14,AS256+0.00000000006666*((SUMPRODUCT(AS$9:AS$229,Nutrients!$EE$8:$EE$228)/907))^3-0.00000023623322*((SUMPRODUCT(AS$9:AS$229,Nutrients!$EE$8:$EE$228)/907))^2+0.00029262722672*((SUMPRODUCT(AS$9:AS$229,Nutrients!$EE$8:$EE$228)/907))+0.007028328))</f>
        <v>0.1909683805152598</v>
      </c>
      <c r="AT257" s="23">
        <f>IF((SUMPRODUCT(AT$9:AT$229,Nutrients!$EE$8:$EE$228))=0,AT256,IF((SUMPRODUCT(AT$9:AT$229,Nutrients!$EE$8:$EE$228))&gt;(1500*907),AT256+0.14,AT256+0.00000000006666*((SUMPRODUCT(AT$9:AT$229,Nutrients!$EE$8:$EE$228)/907))^3-0.00000023623322*((SUMPRODUCT(AT$9:AT$229,Nutrients!$EE$8:$EE$228)/907))^2+0.00029262722672*((SUMPRODUCT(AT$9:AT$229,Nutrients!$EE$8:$EE$228)/907))+0.007028328))</f>
        <v>0.15056071783252653</v>
      </c>
      <c r="AU257" s="23">
        <f>IF((SUMPRODUCT(AU$9:AU$229,Nutrients!$EE$8:$EE$228))=0,AU256,IF((SUMPRODUCT(AU$9:AU$229,Nutrients!$EE$8:$EE$228))&gt;(1500*907),AU256+0.14,AU256+0.00000000006666*((SUMPRODUCT(AU$9:AU$229,Nutrients!$EE$8:$EE$228)/907))^3-0.00000023623322*((SUMPRODUCT(AU$9:AU$229,Nutrients!$EE$8:$EE$228)/907))^2+0.00029262722672*((SUMPRODUCT(AU$9:AU$229,Nutrients!$EE$8:$EE$228)/907))+0.007028328))</f>
        <v>0.14500122463929874</v>
      </c>
      <c r="AV257" s="23">
        <f>IF((SUMPRODUCT(AV$9:AV$229,Nutrients!$EE$8:$EE$228))=0,AV256,IF((SUMPRODUCT(AV$9:AV$229,Nutrients!$EE$8:$EE$228))&gt;(1500*907),AV256+0.14,AV256+0.00000000006666*((SUMPRODUCT(AV$9:AV$229,Nutrients!$EE$8:$EE$228)/907))^3-0.00000023623322*((SUMPRODUCT(AV$9:AV$229,Nutrients!$EE$8:$EE$228)/907))^2+0.00029262722672*((SUMPRODUCT(AV$9:AV$229,Nutrients!$EE$8:$EE$228)/907))+0.007028328))</f>
        <v>0.14152358199253742</v>
      </c>
      <c r="AW257" s="23">
        <f>IF((SUMPRODUCT(AW$9:AW$229,Nutrients!$EE$8:$EE$228))=0,AW256,IF((SUMPRODUCT(AW$9:AW$229,Nutrients!$EE$8:$EE$228))&gt;(1500*907),AW256+0.14,AW256+0.00000000006666*((SUMPRODUCT(AW$9:AW$229,Nutrients!$EE$8:$EE$228)/907))^3-0.00000023623322*((SUMPRODUCT(AW$9:AW$229,Nutrients!$EE$8:$EE$228)/907))^2+0.00029262722672*((SUMPRODUCT(AW$9:AW$229,Nutrients!$EE$8:$EE$228)/907))+0.007028328))</f>
        <v>0.1396190411141198</v>
      </c>
      <c r="AZ257" s="333"/>
      <c r="BA257" s="333"/>
      <c r="BB257" s="333"/>
      <c r="BC257" s="333"/>
      <c r="BD257" s="333"/>
      <c r="BE257" s="333"/>
    </row>
    <row r="258" spans="1:59" x14ac:dyDescent="0.25">
      <c r="A258" t="s">
        <v>28</v>
      </c>
      <c r="B258" s="23">
        <f t="shared" ref="B258:G258" si="50">IF(B$5="","",(B257)/(B246*2.2046)*10000)</f>
        <v>1.0228158443854305</v>
      </c>
      <c r="C258" s="23">
        <f t="shared" si="50"/>
        <v>0.90093891102253687</v>
      </c>
      <c r="D258" s="23">
        <f t="shared" si="50"/>
        <v>0.7799032683037318</v>
      </c>
      <c r="E258" s="23">
        <f t="shared" si="50"/>
        <v>0.69195878210567852</v>
      </c>
      <c r="F258" s="23">
        <f t="shared" si="50"/>
        <v>0.63170249608403195</v>
      </c>
      <c r="G258" s="23">
        <f t="shared" si="50"/>
        <v>0.60499551704383758</v>
      </c>
      <c r="H258" s="227"/>
      <c r="I258" s="23">
        <f t="shared" ref="I258:N258" si="51">IF(I$5="","",(I257)/(I246*2.2046)*10000)</f>
        <v>0.96524850029692955</v>
      </c>
      <c r="J258" s="23">
        <f t="shared" si="51"/>
        <v>0.84695120232745225</v>
      </c>
      <c r="K258" s="23">
        <f t="shared" si="51"/>
        <v>0.72235771507724533</v>
      </c>
      <c r="L258" s="23">
        <f t="shared" si="51"/>
        <v>0.63692099104377498</v>
      </c>
      <c r="M258" s="23">
        <f t="shared" si="51"/>
        <v>0.57693206188264778</v>
      </c>
      <c r="N258" s="23">
        <f t="shared" si="51"/>
        <v>0.55036783892629537</v>
      </c>
      <c r="O258" s="198"/>
      <c r="P258" s="23">
        <f t="shared" ref="P258:U258" si="52">IF(P$5="","",(P257)/(P246*2.2046)*10000)</f>
        <v>0.90904742596491472</v>
      </c>
      <c r="Q258" s="23">
        <f t="shared" si="52"/>
        <v>0.79127782296035887</v>
      </c>
      <c r="R258" s="23">
        <f t="shared" si="52"/>
        <v>0.66725320771707464</v>
      </c>
      <c r="S258" s="23">
        <f t="shared" si="52"/>
        <v>0.58206371606139518</v>
      </c>
      <c r="T258" s="23">
        <f t="shared" si="52"/>
        <v>0.52245196453778064</v>
      </c>
      <c r="U258" s="23">
        <f t="shared" si="52"/>
        <v>0.49605216241934885</v>
      </c>
      <c r="W258" s="23">
        <f t="shared" ref="W258:AB258" si="53">IF(W$5="","",(W257)/(W246*2.2046)*10000)</f>
        <v>0.85306634282947358</v>
      </c>
      <c r="X258" s="23">
        <f t="shared" si="53"/>
        <v>0.73584361486658023</v>
      </c>
      <c r="Y258" s="23">
        <f t="shared" si="53"/>
        <v>0.61214687270229895</v>
      </c>
      <c r="Z258" s="23">
        <f t="shared" si="53"/>
        <v>0.52747525796531625</v>
      </c>
      <c r="AA258" s="23">
        <f t="shared" si="53"/>
        <v>0.46815779103680133</v>
      </c>
      <c r="AB258" s="23">
        <f t="shared" si="53"/>
        <v>0.45080622405621851</v>
      </c>
      <c r="AD258" s="23">
        <f t="shared" ref="AD258:AI258" si="54">IF(AD$5="","",(AD257)/(AD246*2.2046)*10000)</f>
        <v>0.79728316981652503</v>
      </c>
      <c r="AE258" s="23">
        <f t="shared" si="54"/>
        <v>0.68040836363996915</v>
      </c>
      <c r="AF258" s="23">
        <f t="shared" si="54"/>
        <v>0.55730598775477536</v>
      </c>
      <c r="AG258" s="23">
        <f t="shared" si="54"/>
        <v>0.47307633364211765</v>
      </c>
      <c r="AH258" s="23">
        <f t="shared" si="54"/>
        <v>0.44466468602514725</v>
      </c>
      <c r="AI258" s="23">
        <f t="shared" si="54"/>
        <v>0.43866126340084854</v>
      </c>
      <c r="AK258" s="23">
        <f t="shared" ref="AK258:AP258" si="55">IF(AK$5="","",(AK257)/(AK246*2.2046)*10000)</f>
        <v>0.74179246556338252</v>
      </c>
      <c r="AL258" s="23">
        <f t="shared" si="55"/>
        <v>0.62529195994879472</v>
      </c>
      <c r="AM258" s="23">
        <f t="shared" si="55"/>
        <v>0.50270967403364741</v>
      </c>
      <c r="AN258" s="23">
        <f t="shared" si="55"/>
        <v>0.44349074832401914</v>
      </c>
      <c r="AO258" s="23">
        <f t="shared" si="55"/>
        <v>0.43248675526131902</v>
      </c>
      <c r="AP258" s="23">
        <f t="shared" si="55"/>
        <v>0.42654938167724304</v>
      </c>
      <c r="AR258" s="23">
        <f t="shared" ref="AR258:AW258" si="56">IF(AR$5="","",(AR257)/(AR246*2.2046)*10000)</f>
        <v>0.68697737926988012</v>
      </c>
      <c r="AS258" s="23">
        <f t="shared" si="56"/>
        <v>0.57037387967812159</v>
      </c>
      <c r="AT258" s="23">
        <f t="shared" si="56"/>
        <v>0.44837813246748925</v>
      </c>
      <c r="AU258" s="23">
        <f t="shared" si="56"/>
        <v>0.43124499456054011</v>
      </c>
      <c r="AV258" s="23">
        <f t="shared" si="56"/>
        <v>0.42034164711684124</v>
      </c>
      <c r="AW258" s="23">
        <f t="shared" si="56"/>
        <v>0.41446935750015712</v>
      </c>
    </row>
    <row r="259" spans="1:59" x14ac:dyDescent="0.25">
      <c r="A259" s="34" t="s">
        <v>346</v>
      </c>
      <c r="B259" s="23">
        <f>((SUMPRODUCT(B$9:B$229,Nutrients!$DR$8:$DR$228)+(IF($A$7=Nutrients!$B$8,Nutrients!$DR$8,Nutrients!$DR$9)*B$7)+(((IF($A$8=Nutrients!$B$79,Nutrients!$DR$79,(IF($A$8=Nutrients!$B$77,Nutrients!$DR$77,Nutrients!$DR$78)))))*B$8))/2000)</f>
        <v>0.29000063647666452</v>
      </c>
      <c r="C259" s="23">
        <f>((SUMPRODUCT(C$9:C$229,Nutrients!$DR$8:$DR$228)+(IF($A$7=Nutrients!$B$8,Nutrients!$DR$8,Nutrients!$DR$9)*C$7)+(((IF($A$8=Nutrients!$B$79,Nutrients!$DR$79,(IF($A$8=Nutrients!$B$77,Nutrients!$DR$77,Nutrients!$DR$78)))))*C$8))/2000)</f>
        <v>0.24988069387487893</v>
      </c>
      <c r="D259" s="23">
        <f>((SUMPRODUCT(D$9:D$229,Nutrients!$DR$8:$DR$228)+(IF($A$7=Nutrients!$B$8,Nutrients!$DR$8,Nutrients!$DR$9)*D$7)+(((IF($A$8=Nutrients!$B$79,Nutrients!$DR$79,(IF($A$8=Nutrients!$B$77,Nutrients!$DR$77,Nutrients!$DR$78)))))*D$8))/2000)</f>
        <v>0.21060453785177027</v>
      </c>
      <c r="E259" s="23">
        <f>((SUMPRODUCT(E$9:E$229,Nutrients!$DR$8:$DR$228)+(IF($A$7=Nutrients!$B$8,Nutrients!$DR$8,Nutrients!$DR$9)*E$7)+(((IF($A$8=Nutrients!$B$79,Nutrients!$DR$79,(IF($A$8=Nutrients!$B$77,Nutrients!$DR$77,Nutrients!$DR$78)))))*E$8))/2000)</f>
        <v>0.18085065848336068</v>
      </c>
      <c r="F259" s="23">
        <f>((SUMPRODUCT(F$9:F$229,Nutrients!$DR$8:$DR$228)+(IF($A$7=Nutrients!$B$8,Nutrients!$DR$8,Nutrients!$DR$9)*F$7)+(((IF($A$8=Nutrients!$B$79,Nutrients!$DR$79,(IF($A$8=Nutrients!$B$77,Nutrients!$DR$77,Nutrients!$DR$78)))))*F$8))/2000)</f>
        <v>0.15971179439767599</v>
      </c>
      <c r="G259" s="23">
        <f>((SUMPRODUCT(G$9:G$229,Nutrients!$DR$8:$DR$228)+(IF($A$7=Nutrients!$B$8,Nutrients!$DR$8,Nutrients!$DR$9)*G$7)+(((IF($A$8=Nutrients!$B$79,Nutrients!$DR$79,(IF($A$8=Nutrients!$B$77,Nutrients!$DR$77,Nutrients!$DR$78)))))*G$8))/2000)</f>
        <v>0.14985099986346795</v>
      </c>
      <c r="H259" s="227"/>
      <c r="I259" s="23">
        <f>((SUMPRODUCT(I$9:I$229,Nutrients!$DR$8:$DR$228)+(IF($A$7=Nutrients!$B$8,Nutrients!$DR$8,Nutrients!$DR$9)*I$7)+(((IF($A$8=Nutrients!$B$79,Nutrients!$DR$79,(IF($A$8=Nutrients!$B$77,Nutrients!$DR$77,Nutrients!$DR$78)))))*I$8))/2000)</f>
        <v>0.28948527871733398</v>
      </c>
      <c r="J259" s="23">
        <f>((SUMPRODUCT(J$9:J$229,Nutrients!$DR$8:$DR$228)+(IF($A$7=Nutrients!$B$8,Nutrients!$DR$8,Nutrients!$DR$9)*J$7)+(((IF($A$8=Nutrients!$B$79,Nutrients!$DR$79,(IF($A$8=Nutrients!$B$77,Nutrients!$DR$77,Nutrients!$DR$78)))))*J$8))/2000)</f>
        <v>0.25034977701360678</v>
      </c>
      <c r="K259" s="23">
        <f>((SUMPRODUCT(K$9:K$229,Nutrients!$DR$8:$DR$228)+(IF($A$7=Nutrients!$B$8,Nutrients!$DR$8,Nutrients!$DR$9)*K$7)+(((IF($A$8=Nutrients!$B$79,Nutrients!$DR$79,(IF($A$8=Nutrients!$B$77,Nutrients!$DR$77,Nutrients!$DR$78)))))*K$8))/2000)</f>
        <v>0.21001116657797872</v>
      </c>
      <c r="L259" s="23">
        <f>((SUMPRODUCT(L$9:L$229,Nutrients!$DR$8:$DR$228)+(IF($A$7=Nutrients!$B$8,Nutrients!$DR$8,Nutrients!$DR$9)*L$7)+(((IF($A$8=Nutrients!$B$79,Nutrients!$DR$79,(IF($A$8=Nutrients!$B$77,Nutrients!$DR$77,Nutrients!$DR$78)))))*L$8))/2000)</f>
        <v>0.1809228055145897</v>
      </c>
      <c r="M259" s="23">
        <f>((SUMPRODUCT(M$9:M$229,Nutrients!$DR$8:$DR$228)+(IF($A$7=Nutrients!$B$8,Nutrients!$DR$8,Nutrients!$DR$9)*M$7)+(((IF($A$8=Nutrients!$B$79,Nutrients!$DR$79,(IF($A$8=Nutrients!$B$77,Nutrients!$DR$77,Nutrients!$DR$78)))))*M$8))/2000)</f>
        <v>0.15977980515692081</v>
      </c>
      <c r="N259" s="23">
        <f>((SUMPRODUCT(N$9:N$229,Nutrients!$DR$8:$DR$228)+(IF($A$7=Nutrients!$B$8,Nutrients!$DR$8,Nutrients!$DR$9)*N$7)+(((IF($A$8=Nutrients!$B$79,Nutrients!$DR$79,(IF($A$8=Nutrients!$B$77,Nutrients!$DR$77,Nutrients!$DR$78)))))*N$8))/2000)</f>
        <v>0.14995676513904033</v>
      </c>
      <c r="O259" s="198"/>
      <c r="P259" s="23">
        <f>((SUMPRODUCT(P$9:P$229,Nutrients!$DR$8:$DR$228)+(IF($A$7=Nutrients!$B$8,Nutrients!$DR$8,Nutrients!$DR$9)*P$7)+(((IF($A$8=Nutrients!$B$79,Nutrients!$DR$79,(IF($A$8=Nutrients!$B$77,Nutrients!$DR$77,Nutrients!$DR$78)))))*P$8))/2000)</f>
        <v>0.28939758571940299</v>
      </c>
      <c r="Q259" s="23">
        <f>((SUMPRODUCT(Q$9:Q$229,Nutrients!$DR$8:$DR$228)+(IF($A$7=Nutrients!$B$8,Nutrients!$DR$8,Nutrients!$DR$9)*Q$7)+(((IF($A$8=Nutrients!$B$79,Nutrients!$DR$79,(IF($A$8=Nutrients!$B$77,Nutrients!$DR$77,Nutrients!$DR$78)))))*Q$8))/2000)</f>
        <v>0.25034839134717191</v>
      </c>
      <c r="R259" s="23">
        <f>((SUMPRODUCT(R$9:R$229,Nutrients!$DR$8:$DR$228)+(IF($A$7=Nutrients!$B$8,Nutrients!$DR$8,Nutrients!$DR$9)*R$7)+(((IF($A$8=Nutrients!$B$79,Nutrients!$DR$79,(IF($A$8=Nutrients!$B$77,Nutrients!$DR$77,Nutrients!$DR$78)))))*R$8))/2000)</f>
        <v>0.21010745424820004</v>
      </c>
      <c r="S259" s="23">
        <f>((SUMPRODUCT(S$9:S$229,Nutrients!$DR$8:$DR$228)+(IF($A$7=Nutrients!$B$8,Nutrients!$DR$8,Nutrients!$DR$9)*S$7)+(((IF($A$8=Nutrients!$B$79,Nutrients!$DR$79,(IF($A$8=Nutrients!$B$77,Nutrients!$DR$77,Nutrients!$DR$78)))))*S$8))/2000)</f>
        <v>0.18097222144542821</v>
      </c>
      <c r="T259" s="23">
        <f>((SUMPRODUCT(T$9:T$229,Nutrients!$DR$8:$DR$228)+(IF($A$7=Nutrients!$B$8,Nutrients!$DR$8,Nutrients!$DR$9)*T$7)+(((IF($A$8=Nutrients!$B$79,Nutrients!$DR$79,(IF($A$8=Nutrients!$B$77,Nutrients!$DR$77,Nutrients!$DR$78)))))*T$8))/2000)</f>
        <v>0.15990793547491652</v>
      </c>
      <c r="U259" s="23">
        <f>((SUMPRODUCT(U$9:U$229,Nutrients!$DR$8:$DR$228)+(IF($A$7=Nutrients!$B$8,Nutrients!$DR$8,Nutrients!$DR$9)*U$7)+(((IF($A$8=Nutrients!$B$79,Nutrients!$DR$79,(IF($A$8=Nutrients!$B$77,Nutrients!$DR$77,Nutrients!$DR$78)))))*U$8))/2000)</f>
        <v>0.1501176197783067</v>
      </c>
      <c r="W259" s="23">
        <f>((SUMPRODUCT(W$9:W$229,Nutrients!$DR$8:$DR$228)+(IF($A$7=Nutrients!$B$8,Nutrients!$DR$8,Nutrients!$DR$9)*W$7)+(((IF($A$8=Nutrients!$B$79,Nutrients!$DR$79,(IF($A$8=Nutrients!$B$77,Nutrients!$DR$77,Nutrients!$DR$78)))))*W$8))/2000)</f>
        <v>0.28930805695141754</v>
      </c>
      <c r="X259" s="23">
        <f>((SUMPRODUCT(X$9:X$229,Nutrients!$DR$8:$DR$228)+(IF($A$7=Nutrients!$B$8,Nutrients!$DR$8,Nutrients!$DR$9)*X$7)+(((IF($A$8=Nutrients!$B$79,Nutrients!$DR$79,(IF($A$8=Nutrients!$B$77,Nutrients!$DR$77,Nutrients!$DR$78)))))*X$8))/2000)</f>
        <v>0.2503486947217291</v>
      </c>
      <c r="Y259" s="23">
        <f>((SUMPRODUCT(Y$9:Y$229,Nutrients!$DR$8:$DR$228)+(IF($A$7=Nutrients!$B$8,Nutrients!$DR$8,Nutrients!$DR$9)*Y$7)+(((IF($A$8=Nutrients!$B$79,Nutrients!$DR$79,(IF($A$8=Nutrients!$B$77,Nutrients!$DR$77,Nutrients!$DR$78)))))*Y$8))/2000)</f>
        <v>0.21006124825435171</v>
      </c>
      <c r="Z259" s="23">
        <f>((SUMPRODUCT(Z$9:Z$229,Nutrients!$DR$8:$DR$228)+(IF($A$7=Nutrients!$B$8,Nutrients!$DR$8,Nutrients!$DR$9)*Z$7)+(((IF($A$8=Nutrients!$B$79,Nutrients!$DR$79,(IF($A$8=Nutrients!$B$77,Nutrients!$DR$77,Nutrients!$DR$78)))))*Z$8))/2000)</f>
        <v>0.18105388650611606</v>
      </c>
      <c r="AA259" s="23">
        <f>((SUMPRODUCT(AA$9:AA$229,Nutrients!$DR$8:$DR$228)+(IF($A$7=Nutrients!$B$8,Nutrients!$DR$8,Nutrients!$DR$9)*AA$7)+(((IF($A$8=Nutrients!$B$79,Nutrients!$DR$79,(IF($A$8=Nutrients!$B$77,Nutrients!$DR$77,Nutrients!$DR$78)))))*AA$8))/2000)</f>
        <v>0.16003395350507457</v>
      </c>
      <c r="AB259" s="23">
        <f>((SUMPRODUCT(AB$9:AB$229,Nutrients!$DR$8:$DR$228)+(IF($A$7=Nutrients!$B$8,Nutrients!$DR$8,Nutrients!$DR$9)*AB$7)+(((IF($A$8=Nutrients!$B$79,Nutrients!$DR$79,(IF($A$8=Nutrients!$B$77,Nutrients!$DR$77,Nutrients!$DR$78)))))*AB$8))/2000)</f>
        <v>0.15285889920496507</v>
      </c>
      <c r="AD259" s="23">
        <f>((SUMPRODUCT(AD$9:AD$229,Nutrients!$DR$8:$DR$228)+(IF($A$7=Nutrients!$B$8,Nutrients!$DR$8,Nutrients!$DR$9)*AD$7)+(((IF($A$8=Nutrients!$B$79,Nutrients!$DR$79,(IF($A$8=Nutrients!$B$77,Nutrients!$DR$77,Nutrients!$DR$78)))))*AD$8))/2000)</f>
        <v>0.28920497215536695</v>
      </c>
      <c r="AE259" s="23">
        <f>((SUMPRODUCT(AE$9:AE$229,Nutrients!$DR$8:$DR$228)+(IF($A$7=Nutrients!$B$8,Nutrients!$DR$8,Nutrients!$DR$9)*AE$7)+(((IF($A$8=Nutrients!$B$79,Nutrients!$DR$79,(IF($A$8=Nutrients!$B$77,Nutrients!$DR$77,Nutrients!$DR$78)))))*AE$8))/2000)</f>
        <v>0.25020870229148762</v>
      </c>
      <c r="AF259" s="23">
        <f>((SUMPRODUCT(AF$9:AF$229,Nutrients!$DR$8:$DR$228)+(IF($A$7=Nutrients!$B$8,Nutrients!$DR$8,Nutrients!$DR$9)*AF$7)+(((IF($A$8=Nutrients!$B$79,Nutrients!$DR$79,(IF($A$8=Nutrients!$B$77,Nutrients!$DR$77,Nutrients!$DR$78)))))*AF$8))/2000)</f>
        <v>0.2100446486009003</v>
      </c>
      <c r="AG259" s="23">
        <f>((SUMPRODUCT(AG$9:AG$229,Nutrients!$DR$8:$DR$228)+(IF($A$7=Nutrients!$B$8,Nutrients!$DR$8,Nutrients!$DR$9)*AG$7)+(((IF($A$8=Nutrients!$B$79,Nutrients!$DR$79,(IF($A$8=Nutrients!$B$77,Nutrients!$DR$77,Nutrients!$DR$78)))))*AG$8))/2000)</f>
        <v>0.18112295028365366</v>
      </c>
      <c r="AH259" s="23">
        <f>((SUMPRODUCT(AH$9:AH$229,Nutrients!$DR$8:$DR$228)+(IF($A$7=Nutrients!$B$8,Nutrients!$DR$8,Nutrients!$DR$9)*AH$7)+(((IF($A$8=Nutrients!$B$79,Nutrients!$DR$79,(IF($A$8=Nutrients!$B$77,Nutrients!$DR$77,Nutrients!$DR$78)))))*AH$8))/2000)</f>
        <v>0.1690777095203283</v>
      </c>
      <c r="AI259" s="23">
        <f>((SUMPRODUCT(AI$9:AI$229,Nutrients!$DR$8:$DR$228)+(IF($A$7=Nutrients!$B$8,Nutrients!$DR$8,Nutrients!$DR$9)*AI$7)+(((IF($A$8=Nutrients!$B$79,Nutrients!$DR$79,(IF($A$8=Nutrients!$B$77,Nutrients!$DR$77,Nutrients!$DR$78)))))*AI$8))/2000)</f>
        <v>0.16522328220669896</v>
      </c>
      <c r="AK259" s="23">
        <f>((SUMPRODUCT(AK$9:AK$229,Nutrients!$DR$8:$DR$228)+(IF($A$7=Nutrients!$B$8,Nutrients!$DR$8,Nutrients!$DR$9)*AK$7)+(((IF($A$8=Nutrients!$B$79,Nutrients!$DR$79,(IF($A$8=Nutrients!$B$77,Nutrients!$DR$77,Nutrients!$DR$78)))))*AK$8))/2000)</f>
        <v>0.28913742948898269</v>
      </c>
      <c r="AL259" s="23">
        <f>((SUMPRODUCT(AL$9:AL$229,Nutrients!$DR$8:$DR$228)+(IF($A$7=Nutrients!$B$8,Nutrients!$DR$8,Nutrients!$DR$9)*AL$7)+(((IF($A$8=Nutrients!$B$79,Nutrients!$DR$79,(IF($A$8=Nutrients!$B$77,Nutrients!$DR$77,Nutrients!$DR$78)))))*AL$8))/2000)</f>
        <v>0.25011082803332996</v>
      </c>
      <c r="AM259" s="23">
        <f>((SUMPRODUCT(AM$9:AM$229,Nutrients!$DR$8:$DR$228)+(IF($A$7=Nutrients!$B$8,Nutrients!$DR$8,Nutrients!$DR$9)*AM$7)+(((IF($A$8=Nutrients!$B$79,Nutrients!$DR$79,(IF($A$8=Nutrients!$B$77,Nutrients!$DR$77,Nutrients!$DR$78)))))*AM$8))/2000)</f>
        <v>0.21004038881605028</v>
      </c>
      <c r="AN259" s="23">
        <f>((SUMPRODUCT(AN$9:AN$229,Nutrients!$DR$8:$DR$228)+(IF($A$7=Nutrients!$B$8,Nutrients!$DR$8,Nutrients!$DR$9)*AN$7)+(((IF($A$8=Nutrients!$B$79,Nutrients!$DR$79,(IF($A$8=Nutrients!$B$77,Nutrients!$DR$77,Nutrients!$DR$78)))))*AN$8))/2000)</f>
        <v>0.18836429776982375</v>
      </c>
      <c r="AO259" s="23">
        <f>((SUMPRODUCT(AO$9:AO$229,Nutrients!$DR$8:$DR$228)+(IF($A$7=Nutrients!$B$8,Nutrients!$DR$8,Nutrients!$DR$9)*AO$7)+(((IF($A$8=Nutrients!$B$79,Nutrients!$DR$79,(IF($A$8=Nutrients!$B$77,Nutrients!$DR$77,Nutrients!$DR$78)))))*AO$8))/2000)</f>
        <v>0.18140858895892459</v>
      </c>
      <c r="AP259" s="23">
        <f>((SUMPRODUCT(AP$9:AP$229,Nutrients!$DR$8:$DR$228)+(IF($A$7=Nutrients!$B$8,Nutrients!$DR$8,Nutrients!$DR$9)*AP$7)+(((IF($A$8=Nutrients!$B$79,Nutrients!$DR$79,(IF($A$8=Nutrients!$B$77,Nutrients!$DR$77,Nutrients!$DR$78)))))*AP$8))/2000)</f>
        <v>0.17758752391911883</v>
      </c>
      <c r="AR259" s="23">
        <f>((SUMPRODUCT(AR$9:AR$229,Nutrients!$DR$8:$DR$228)+(IF($A$7=Nutrients!$B$8,Nutrients!$DR$8,Nutrients!$DR$9)*AR$7)+(((IF($A$8=Nutrients!$B$79,Nutrients!$DR$79,(IF($A$8=Nutrients!$B$77,Nutrients!$DR$77,Nutrients!$DR$78)))))*AR$8))/2000)</f>
        <v>0.28934177273434697</v>
      </c>
      <c r="AS259" s="23">
        <f>((SUMPRODUCT(AS$9:AS$229,Nutrients!$DR$8:$DR$228)+(IF($A$7=Nutrients!$B$8,Nutrients!$DR$8,Nutrients!$DR$9)*AS$7)+(((IF($A$8=Nutrients!$B$79,Nutrients!$DR$79,(IF($A$8=Nutrients!$B$77,Nutrients!$DR$77,Nutrients!$DR$78)))))*AS$8))/2000)</f>
        <v>0.2500080131096914</v>
      </c>
      <c r="AT259" s="23">
        <f>((SUMPRODUCT(AT$9:AT$229,Nutrients!$DR$8:$DR$228)+(IF($A$7=Nutrients!$B$8,Nutrients!$DR$8,Nutrients!$DR$9)*AT$7)+(((IF($A$8=Nutrients!$B$79,Nutrients!$DR$79,(IF($A$8=Nutrients!$B$77,Nutrients!$DR$77,Nutrients!$DR$78)))))*AT$8))/2000)</f>
        <v>0.21005738361813739</v>
      </c>
      <c r="AU259" s="23">
        <f>((SUMPRODUCT(AU$9:AU$229,Nutrients!$DR$8:$DR$228)+(IF($A$7=Nutrients!$B$8,Nutrients!$DR$8,Nutrients!$DR$9)*AU$7)+(((IF($A$8=Nutrients!$B$79,Nutrients!$DR$79,(IF($A$8=Nutrients!$B$77,Nutrients!$DR$77,Nutrients!$DR$78)))))*AU$8))/2000)</f>
        <v>0.20064885641085126</v>
      </c>
      <c r="AV259" s="23">
        <f>((SUMPRODUCT(AV$9:AV$229,Nutrients!$DR$8:$DR$228)+(IF($A$7=Nutrients!$B$8,Nutrients!$DR$8,Nutrients!$DR$9)*AV$7)+(((IF($A$8=Nutrients!$B$79,Nutrients!$DR$79,(IF($A$8=Nutrients!$B$77,Nutrients!$DR$77,Nutrients!$DR$78)))))*AV$8))/2000)</f>
        <v>0.19374016212722536</v>
      </c>
      <c r="AW259" s="23">
        <f>((SUMPRODUCT(AW$9:AW$229,Nutrients!$DR$8:$DR$228)+(IF($A$7=Nutrients!$B$8,Nutrients!$DR$8,Nutrients!$DR$9)*AW$7)+(((IF($A$8=Nutrients!$B$79,Nutrients!$DR$79,(IF($A$8=Nutrients!$B$77,Nutrients!$DR$77,Nutrients!$DR$78)))))*AW$8))/2000)</f>
        <v>0.18995202888324833</v>
      </c>
    </row>
    <row r="260" spans="1:59" x14ac:dyDescent="0.25">
      <c r="A260" s="15" t="s">
        <v>347</v>
      </c>
      <c r="B260" s="227">
        <f t="shared" ref="B260:G260" si="57">B259+0.11</f>
        <v>0.40000063647666451</v>
      </c>
      <c r="C260" s="227">
        <f t="shared" si="57"/>
        <v>0.35988069387487892</v>
      </c>
      <c r="D260" s="227">
        <f t="shared" si="57"/>
        <v>0.32060453785177029</v>
      </c>
      <c r="E260" s="227">
        <f t="shared" si="57"/>
        <v>0.29085065848336067</v>
      </c>
      <c r="F260" s="227">
        <f t="shared" si="57"/>
        <v>0.26971179439767601</v>
      </c>
      <c r="G260" s="227">
        <f t="shared" si="57"/>
        <v>0.25985099986346794</v>
      </c>
      <c r="H260" s="227"/>
      <c r="I260" s="232">
        <f t="shared" ref="I260:N260" si="58">I259+0.11</f>
        <v>0.39948527871733397</v>
      </c>
      <c r="J260" s="232">
        <f t="shared" si="58"/>
        <v>0.36034977701360676</v>
      </c>
      <c r="K260" s="232">
        <f t="shared" si="58"/>
        <v>0.32001116657797873</v>
      </c>
      <c r="L260" s="232">
        <f t="shared" si="58"/>
        <v>0.29092280551458971</v>
      </c>
      <c r="M260" s="232">
        <f t="shared" si="58"/>
        <v>0.26977980515692079</v>
      </c>
      <c r="N260" s="232">
        <f t="shared" si="58"/>
        <v>0.25995676513904031</v>
      </c>
      <c r="O260" s="238"/>
      <c r="P260" s="232">
        <f t="shared" ref="P260:U260" si="59">P259+0.11</f>
        <v>0.39939758571940298</v>
      </c>
      <c r="Q260" s="232">
        <f t="shared" si="59"/>
        <v>0.36034839134717189</v>
      </c>
      <c r="R260" s="232">
        <f t="shared" si="59"/>
        <v>0.32010745424820003</v>
      </c>
      <c r="S260" s="232">
        <f t="shared" si="59"/>
        <v>0.29097222144542823</v>
      </c>
      <c r="T260" s="232">
        <f t="shared" si="59"/>
        <v>0.26990793547491654</v>
      </c>
      <c r="U260" s="232">
        <f t="shared" si="59"/>
        <v>0.26011761977830672</v>
      </c>
      <c r="V260" s="382"/>
      <c r="W260" s="232">
        <f t="shared" ref="W260:AB260" si="60">W259+0.11</f>
        <v>0.39930805695141752</v>
      </c>
      <c r="X260" s="232">
        <f t="shared" si="60"/>
        <v>0.36034869472172909</v>
      </c>
      <c r="Y260" s="232">
        <f t="shared" si="60"/>
        <v>0.32006124825435173</v>
      </c>
      <c r="Z260" s="232">
        <f t="shared" si="60"/>
        <v>0.29105388650611608</v>
      </c>
      <c r="AA260" s="232">
        <f t="shared" si="60"/>
        <v>0.27003395350507459</v>
      </c>
      <c r="AB260" s="232">
        <f t="shared" si="60"/>
        <v>0.26285889920496508</v>
      </c>
      <c r="AC260" s="382"/>
      <c r="AD260" s="232">
        <f t="shared" ref="AD260:AI260" si="61">AD259+0.11</f>
        <v>0.39920497215536693</v>
      </c>
      <c r="AE260" s="232">
        <f t="shared" si="61"/>
        <v>0.3602087022914876</v>
      </c>
      <c r="AF260" s="232">
        <f t="shared" si="61"/>
        <v>0.32004464860090032</v>
      </c>
      <c r="AG260" s="232">
        <f t="shared" si="61"/>
        <v>0.29112295028365365</v>
      </c>
      <c r="AH260" s="232">
        <f t="shared" si="61"/>
        <v>0.27907770952032829</v>
      </c>
      <c r="AI260" s="232">
        <f t="shared" si="61"/>
        <v>0.27522328220669895</v>
      </c>
      <c r="AJ260" s="382"/>
      <c r="AK260" s="232">
        <f t="shared" ref="AK260:AP260" si="62">AK259+0.11</f>
        <v>0.39913742948898268</v>
      </c>
      <c r="AL260" s="232">
        <f t="shared" si="62"/>
        <v>0.36011082803332994</v>
      </c>
      <c r="AM260" s="232">
        <f t="shared" si="62"/>
        <v>0.32004038881605029</v>
      </c>
      <c r="AN260" s="232">
        <f t="shared" si="62"/>
        <v>0.29836429776982376</v>
      </c>
      <c r="AO260" s="232">
        <f t="shared" si="62"/>
        <v>0.29140858895892457</v>
      </c>
      <c r="AP260" s="232">
        <f t="shared" si="62"/>
        <v>0.28758752391911885</v>
      </c>
      <c r="AQ260" s="382"/>
      <c r="AR260" s="232">
        <f t="shared" ref="AR260:AW260" si="63">AR259+0.11</f>
        <v>0.39934177273434696</v>
      </c>
      <c r="AS260" s="232">
        <f t="shared" si="63"/>
        <v>0.36000801310969138</v>
      </c>
      <c r="AT260" s="232">
        <f t="shared" si="63"/>
        <v>0.3200573836181374</v>
      </c>
      <c r="AU260" s="232">
        <f t="shared" si="63"/>
        <v>0.31064885641085127</v>
      </c>
      <c r="AV260" s="232">
        <f t="shared" si="63"/>
        <v>0.30374016212722538</v>
      </c>
      <c r="AW260" s="232">
        <f t="shared" si="63"/>
        <v>0.29995202888324835</v>
      </c>
      <c r="AX260" s="382"/>
      <c r="BA260" s="7"/>
      <c r="BB260" s="7"/>
      <c r="BC260" s="7"/>
      <c r="BD260" s="7"/>
      <c r="BE260" s="7"/>
      <c r="BF260" s="7"/>
    </row>
    <row r="261" spans="1:59" x14ac:dyDescent="0.25">
      <c r="A261" s="34" t="s">
        <v>142</v>
      </c>
      <c r="B261" s="227">
        <f t="shared" ref="B261:G261" si="64">B254/B255</f>
        <v>1.3203146685846132</v>
      </c>
      <c r="C261" s="227">
        <f t="shared" si="64"/>
        <v>1.3163186415313215</v>
      </c>
      <c r="D261" s="227">
        <f t="shared" si="64"/>
        <v>1.3468914379746515</v>
      </c>
      <c r="E261" s="227">
        <f t="shared" si="64"/>
        <v>1.3441772957085856</v>
      </c>
      <c r="F261" s="227">
        <f t="shared" si="64"/>
        <v>1.3289773113995034</v>
      </c>
      <c r="G261" s="227">
        <f t="shared" si="64"/>
        <v>1.3324500801018839</v>
      </c>
      <c r="H261" s="227"/>
      <c r="I261" s="232">
        <f t="shared" ref="I261:N261" si="65">I254/I255</f>
        <v>1.3216798100997695</v>
      </c>
      <c r="J261" s="232">
        <f t="shared" si="65"/>
        <v>1.3178114622182411</v>
      </c>
      <c r="K261" s="232">
        <f t="shared" si="65"/>
        <v>1.3474544515780809</v>
      </c>
      <c r="L261" s="232">
        <f t="shared" si="65"/>
        <v>1.3450442582091098</v>
      </c>
      <c r="M261" s="232">
        <f t="shared" si="65"/>
        <v>1.3311434184304338</v>
      </c>
      <c r="N261" s="232">
        <f t="shared" si="65"/>
        <v>1.3331808839942825</v>
      </c>
      <c r="O261" s="382"/>
      <c r="P261" s="232">
        <f t="shared" ref="P261:U261" si="66">P254/P255</f>
        <v>1.3225601989406632</v>
      </c>
      <c r="Q261" s="232">
        <f t="shared" si="66"/>
        <v>1.3190528635512648</v>
      </c>
      <c r="R261" s="232">
        <f t="shared" si="66"/>
        <v>1.3479263847480933</v>
      </c>
      <c r="S261" s="232">
        <f t="shared" si="66"/>
        <v>1.3457174712430455</v>
      </c>
      <c r="T261" s="232">
        <f t="shared" si="66"/>
        <v>1.3316167775958001</v>
      </c>
      <c r="U261" s="232">
        <f t="shared" si="66"/>
        <v>1.3335589201916394</v>
      </c>
      <c r="V261" s="382"/>
      <c r="W261" s="232">
        <f t="shared" ref="W261:AB261" si="67">W254/W255</f>
        <v>1.3233208397719916</v>
      </c>
      <c r="X261" s="232">
        <f t="shared" si="67"/>
        <v>1.3196886352868975</v>
      </c>
      <c r="Y261" s="232">
        <f t="shared" si="67"/>
        <v>1.3488087459668396</v>
      </c>
      <c r="Z261" s="232">
        <f t="shared" si="67"/>
        <v>1.3463247788954467</v>
      </c>
      <c r="AA261" s="232">
        <f t="shared" si="67"/>
        <v>1.3322014796327719</v>
      </c>
      <c r="AB261" s="232">
        <f t="shared" si="67"/>
        <v>1.3372778423132015</v>
      </c>
      <c r="AC261" s="382"/>
      <c r="AD261" s="232">
        <f t="shared" ref="AD261:AI261" si="68">AD254/AD255</f>
        <v>1.3241276962664446</v>
      </c>
      <c r="AE261" s="232">
        <f t="shared" si="68"/>
        <v>1.3206730865488521</v>
      </c>
      <c r="AF261" s="232">
        <f t="shared" si="68"/>
        <v>1.349638826349258</v>
      </c>
      <c r="AG261" s="232">
        <f t="shared" si="68"/>
        <v>1.3484174881768851</v>
      </c>
      <c r="AH261" s="232">
        <f t="shared" si="68"/>
        <v>1.3409042245464942</v>
      </c>
      <c r="AI261" s="232">
        <f t="shared" si="68"/>
        <v>1.3475283991459095</v>
      </c>
      <c r="AJ261" s="382"/>
      <c r="AK261" s="232">
        <f t="shared" ref="AK261:AP261" si="69">AK254/AK255</f>
        <v>1.324864241605499</v>
      </c>
      <c r="AL261" s="232">
        <f t="shared" si="69"/>
        <v>1.3215440479089544</v>
      </c>
      <c r="AM261" s="232">
        <f t="shared" si="69"/>
        <v>1.3504646391560262</v>
      </c>
      <c r="AN261" s="232">
        <f t="shared" si="69"/>
        <v>1.3545900803145441</v>
      </c>
      <c r="AO261" s="232">
        <f t="shared" si="69"/>
        <v>1.350531892798295</v>
      </c>
      <c r="AP261" s="232">
        <f t="shared" si="69"/>
        <v>1.3570375935843122</v>
      </c>
      <c r="AQ261" s="382"/>
      <c r="AR261" s="232">
        <f t="shared" ref="AR261:AW261" si="70">AR254/AR255</f>
        <v>1.3250070812020278</v>
      </c>
      <c r="AS261" s="232">
        <f t="shared" si="70"/>
        <v>1.3224680903731372</v>
      </c>
      <c r="AT261" s="232">
        <f t="shared" si="70"/>
        <v>1.3525797055232949</v>
      </c>
      <c r="AU261" s="232">
        <f t="shared" si="70"/>
        <v>1.3638283017674715</v>
      </c>
      <c r="AV261" s="232">
        <f t="shared" si="70"/>
        <v>1.3595022500454574</v>
      </c>
      <c r="AW261" s="232">
        <f t="shared" si="70"/>
        <v>1.3658839121688782</v>
      </c>
      <c r="AX261" s="382"/>
      <c r="BA261" s="7"/>
      <c r="BB261" s="7"/>
      <c r="BC261" s="7"/>
      <c r="BD261" s="7"/>
      <c r="BE261" s="7"/>
      <c r="BF261" s="7"/>
    </row>
    <row r="262" spans="1:59" x14ac:dyDescent="0.25">
      <c r="A262" s="34" t="s">
        <v>477</v>
      </c>
      <c r="B262" s="227">
        <f t="shared" ref="B262:G262" si="71">B254/B260</f>
        <v>1.7394731864174733</v>
      </c>
      <c r="C262" s="227">
        <f t="shared" si="71"/>
        <v>1.7393882664224269</v>
      </c>
      <c r="D262" s="227">
        <f t="shared" si="71"/>
        <v>1.790040346909656</v>
      </c>
      <c r="E262" s="227">
        <f t="shared" si="71"/>
        <v>1.7897511861126985</v>
      </c>
      <c r="F262" s="227">
        <f t="shared" si="71"/>
        <v>1.7685135744736544</v>
      </c>
      <c r="G262" s="227">
        <f t="shared" si="71"/>
        <v>1.770331325323067</v>
      </c>
      <c r="H262" s="227"/>
      <c r="I262" s="232">
        <f t="shared" ref="I262:N262" si="72">I254/I260</f>
        <v>1.7399836844131604</v>
      </c>
      <c r="J262" s="232">
        <f t="shared" si="72"/>
        <v>1.7395807054203087</v>
      </c>
      <c r="K262" s="232">
        <f t="shared" si="72"/>
        <v>1.7899435744907275</v>
      </c>
      <c r="L262" s="232">
        <f t="shared" si="72"/>
        <v>1.7896129079919338</v>
      </c>
      <c r="M262" s="232">
        <f t="shared" si="72"/>
        <v>1.770021332948555</v>
      </c>
      <c r="N262" s="232">
        <f t="shared" si="72"/>
        <v>1.7699322321731068</v>
      </c>
      <c r="O262" s="238"/>
      <c r="P262" s="232">
        <f t="shared" ref="P262:U262" si="73">P254/P260</f>
        <v>1.7399865902027094</v>
      </c>
      <c r="Q262" s="232">
        <f t="shared" si="73"/>
        <v>1.7400639834801523</v>
      </c>
      <c r="R262" s="232">
        <f t="shared" si="73"/>
        <v>1.7894312394965881</v>
      </c>
      <c r="S262" s="232">
        <f t="shared" si="73"/>
        <v>1.7891470709671617</v>
      </c>
      <c r="T262" s="232">
        <f t="shared" si="73"/>
        <v>1.7693685729068043</v>
      </c>
      <c r="U262" s="232">
        <f t="shared" si="73"/>
        <v>1.7691839210612148</v>
      </c>
      <c r="V262" s="382"/>
      <c r="W262" s="232">
        <f t="shared" ref="W262:AB262" si="74">W254/W260</f>
        <v>1.7398185444068706</v>
      </c>
      <c r="X262" s="232">
        <f t="shared" si="74"/>
        <v>1.739755985985066</v>
      </c>
      <c r="Y262" s="232">
        <f t="shared" si="74"/>
        <v>1.789176863922026</v>
      </c>
      <c r="Z262" s="232">
        <f t="shared" si="74"/>
        <v>1.7886354351872891</v>
      </c>
      <c r="AA262" s="232">
        <f t="shared" si="74"/>
        <v>1.7687752079546382</v>
      </c>
      <c r="AB262" s="232">
        <f t="shared" si="74"/>
        <v>1.7699999163784272</v>
      </c>
      <c r="AC262" s="382"/>
      <c r="AD262" s="232">
        <f t="shared" ref="AD262:AI262" si="75">AD254/AD260</f>
        <v>1.7396758795297658</v>
      </c>
      <c r="AE262" s="232">
        <f t="shared" si="75"/>
        <v>1.7396549149375595</v>
      </c>
      <c r="AF262" s="232">
        <f t="shared" si="75"/>
        <v>1.7888851864349948</v>
      </c>
      <c r="AG262" s="232">
        <f t="shared" si="75"/>
        <v>1.7899999600993244</v>
      </c>
      <c r="AH262" s="232">
        <f t="shared" si="75"/>
        <v>1.7700008464998982</v>
      </c>
      <c r="AI262" s="232">
        <f t="shared" si="75"/>
        <v>1.7700026485302243</v>
      </c>
      <c r="AJ262" s="382"/>
      <c r="AK262" s="232">
        <f t="shared" ref="AK262:AP262" si="76">AK254/AK260</f>
        <v>1.7394902352272703</v>
      </c>
      <c r="AL262" s="232">
        <f t="shared" si="76"/>
        <v>1.7394858379429039</v>
      </c>
      <c r="AM262" s="232">
        <f t="shared" si="76"/>
        <v>1.7885867086037215</v>
      </c>
      <c r="AN262" s="232">
        <f t="shared" si="76"/>
        <v>1.7900003326422946</v>
      </c>
      <c r="AO262" s="232">
        <f t="shared" si="76"/>
        <v>1.7700052778922595</v>
      </c>
      <c r="AP262" s="232">
        <f t="shared" si="76"/>
        <v>1.770009380306341</v>
      </c>
      <c r="AQ262" s="382"/>
      <c r="AR262" s="232">
        <f t="shared" ref="AR262:AW262" si="77">AR254/AR260</f>
        <v>1.7389534282328563</v>
      </c>
      <c r="AS262" s="232">
        <f t="shared" si="77"/>
        <v>1.7393442284410856</v>
      </c>
      <c r="AT262" s="232">
        <f t="shared" si="77"/>
        <v>1.7900002232679704</v>
      </c>
      <c r="AU262" s="232">
        <f t="shared" si="77"/>
        <v>1.7900002023956532</v>
      </c>
      <c r="AV262" s="232">
        <f t="shared" si="77"/>
        <v>1.7700131186156405</v>
      </c>
      <c r="AW262" s="232">
        <f t="shared" si="77"/>
        <v>1.7700191151703866</v>
      </c>
      <c r="AX262" s="382"/>
      <c r="BA262" s="7"/>
      <c r="BB262" s="7"/>
      <c r="BC262" s="7"/>
      <c r="BD262" s="7"/>
      <c r="BE262" s="7"/>
      <c r="BF262" s="7"/>
    </row>
    <row r="263" spans="1:59" x14ac:dyDescent="0.25">
      <c r="A263" t="s">
        <v>20</v>
      </c>
      <c r="B263" s="24">
        <f>(SUMPRODUCT(B$9:B$229,Nutrients!$DX$8:$DX$228)+(IF($A$7=Nutrients!$B$8,Nutrients!$DX$8,Nutrients!$DX$9)*B$7)+(((IF($A$8=Nutrients!$B$79,Nutrients!$DX$79,(IF($A$8=Nutrients!$B$77,Nutrients!$DX$77,Nutrients!$DX$78)))))*B$8))</f>
        <v>221.26773173804173</v>
      </c>
      <c r="C263" s="24">
        <f>(SUMPRODUCT(C$9:C$229,Nutrients!$DX$8:$DX$228)+(IF($A$7=Nutrients!$B$8,Nutrients!$DX$8,Nutrients!$DX$9)*C$7)+(((IF($A$8=Nutrients!$B$79,Nutrients!$DX$79,(IF($A$8=Nutrients!$B$77,Nutrients!$DX$77,Nutrients!$DX$78)))))*C$8))</f>
        <v>211.54330280629557</v>
      </c>
      <c r="D263" s="24">
        <f>(SUMPRODUCT(D$9:D$229,Nutrients!$DX$8:$DX$228)+(IF($A$7=Nutrients!$B$8,Nutrients!$DX$8,Nutrients!$DX$9)*D$7)+(((IF($A$8=Nutrients!$B$79,Nutrients!$DX$79,(IF($A$8=Nutrients!$B$77,Nutrients!$DX$77,Nutrients!$DX$78)))))*D$8))</f>
        <v>202.16843206547495</v>
      </c>
      <c r="E263" s="24">
        <f>(SUMPRODUCT(E$9:E$229,Nutrients!$DX$8:$DX$228)+(IF($A$7=Nutrients!$B$8,Nutrients!$DX$8,Nutrients!$DX$9)*E$7)+(((IF($A$8=Nutrients!$B$79,Nutrients!$DX$79,(IF($A$8=Nutrients!$B$77,Nutrients!$DX$77,Nutrients!$DX$78)))))*E$8))</f>
        <v>195.22426532952818</v>
      </c>
      <c r="F263" s="24">
        <f>(SUMPRODUCT(F$9:F$229,Nutrients!$DX$8:$DX$228)+(IF($A$7=Nutrients!$B$8,Nutrients!$DX$8,Nutrients!$DX$9)*F$7)+(((IF($A$8=Nutrients!$B$79,Nutrients!$DX$79,(IF($A$8=Nutrients!$B$77,Nutrients!$DX$77,Nutrients!$DX$78)))))*F$8))</f>
        <v>190.24981497998971</v>
      </c>
      <c r="G263" s="24">
        <f>(SUMPRODUCT(G$9:G$229,Nutrients!$DX$8:$DX$228)+(IF($A$7=Nutrients!$B$8,Nutrients!$DX$8,Nutrients!$DX$9)*G$7)+(((IF($A$8=Nutrients!$B$79,Nutrients!$DX$79,(IF($A$8=Nutrients!$B$77,Nutrients!$DX$77,Nutrients!$DX$78)))))*G$8))</f>
        <v>187.92809138061614</v>
      </c>
      <c r="H263" s="229"/>
      <c r="I263" s="24">
        <f>(SUMPRODUCT(I$9:I$229,Nutrients!$DX$8:$DX$228)+(IF($A$7=Nutrients!$B$8,Nutrients!$DX$8,Nutrients!$DX$9)*I$7)+(((IF($A$8=Nutrients!$B$79,Nutrients!$DX$79,(IF($A$8=Nutrients!$B$77,Nutrients!$DX$77,Nutrients!$DX$78)))))*I$8))</f>
        <v>219.16586470791503</v>
      </c>
      <c r="J263" s="24">
        <f>(SUMPRODUCT(J$9:J$229,Nutrients!$DX$8:$DX$228)+(IF($A$7=Nutrients!$B$8,Nutrients!$DX$8,Nutrients!$DX$9)*J$7)+(((IF($A$8=Nutrients!$B$79,Nutrients!$DX$79,(IF($A$8=Nutrients!$B$77,Nutrients!$DX$77,Nutrients!$DX$78)))))*J$8))</f>
        <v>209.5993238555823</v>
      </c>
      <c r="K263" s="24">
        <f>(SUMPRODUCT(K$9:K$229,Nutrients!$DX$8:$DX$228)+(IF($A$7=Nutrients!$B$8,Nutrients!$DX$8,Nutrients!$DX$9)*K$7)+(((IF($A$8=Nutrients!$B$79,Nutrients!$DX$79,(IF($A$8=Nutrients!$B$77,Nutrients!$DX$77,Nutrients!$DX$78)))))*K$8))</f>
        <v>200.48706519759159</v>
      </c>
      <c r="L263" s="24">
        <f>(SUMPRODUCT(L$9:L$229,Nutrients!$DX$8:$DX$228)+(IF($A$7=Nutrients!$B$8,Nutrients!$DX$8,Nutrients!$DX$9)*L$7)+(((IF($A$8=Nutrients!$B$79,Nutrients!$DX$79,(IF($A$8=Nutrients!$B$77,Nutrients!$DX$77,Nutrients!$DX$78)))))*L$8))</f>
        <v>193.50429475572273</v>
      </c>
      <c r="M263" s="24">
        <f>(SUMPRODUCT(M$9:M$229,Nutrients!$DX$8:$DX$228)+(IF($A$7=Nutrients!$B$8,Nutrients!$DX$8,Nutrients!$DX$9)*M$7)+(((IF($A$8=Nutrients!$B$79,Nutrients!$DX$79,(IF($A$8=Nutrients!$B$77,Nutrients!$DX$77,Nutrients!$DX$78)))))*M$8))</f>
        <v>188.42069387728165</v>
      </c>
      <c r="N263" s="24">
        <f>(SUMPRODUCT(N$9:N$229,Nutrients!$DX$8:$DX$228)+(IF($A$7=Nutrients!$B$8,Nutrients!$DX$8,Nutrients!$DX$9)*N$7)+(((IF($A$8=Nutrients!$B$79,Nutrients!$DX$79,(IF($A$8=Nutrients!$B$77,Nutrients!$DX$77,Nutrients!$DX$78)))))*N$8))</f>
        <v>186.31587500647987</v>
      </c>
      <c r="P263" s="24">
        <f>(SUMPRODUCT(P$9:P$229,Nutrients!$DX$8:$DX$228)+(IF($A$7=Nutrients!$B$8,Nutrients!$DX$8,Nutrients!$DX$9)*P$7)+(((IF($A$8=Nutrients!$B$79,Nutrients!$DX$79,(IF($A$8=Nutrients!$B$77,Nutrients!$DX$77,Nutrients!$DX$78)))))*P$8))</f>
        <v>217.25484171837127</v>
      </c>
      <c r="Q263" s="24">
        <f>(SUMPRODUCT(Q$9:Q$229,Nutrients!$DX$8:$DX$228)+(IF($A$7=Nutrients!$B$8,Nutrients!$DX$8,Nutrients!$DX$9)*Q$7)+(((IF($A$8=Nutrients!$B$79,Nutrients!$DX$79,(IF($A$8=Nutrients!$B$77,Nutrients!$DX$77,Nutrients!$DX$78)))))*Q$8))</f>
        <v>207.90803566415372</v>
      </c>
      <c r="R263" s="24">
        <f>(SUMPRODUCT(R$9:R$229,Nutrients!$DX$8:$DX$228)+(IF($A$7=Nutrients!$B$8,Nutrients!$DX$8,Nutrients!$DX$9)*R$7)+(((IF($A$8=Nutrients!$B$79,Nutrients!$DX$79,(IF($A$8=Nutrients!$B$77,Nutrients!$DX$77,Nutrients!$DX$78)))))*R$8))</f>
        <v>198.84038391053457</v>
      </c>
      <c r="S263" s="24">
        <f>(SUMPRODUCT(S$9:S$229,Nutrients!$DX$8:$DX$228)+(IF($A$7=Nutrients!$B$8,Nutrients!$DX$8,Nutrients!$DX$9)*S$7)+(((IF($A$8=Nutrients!$B$79,Nutrients!$DX$79,(IF($A$8=Nutrients!$B$77,Nutrients!$DX$77,Nutrients!$DX$78)))))*S$8))</f>
        <v>191.90183959063353</v>
      </c>
      <c r="T263" s="24">
        <f>(SUMPRODUCT(T$9:T$229,Nutrients!$DX$8:$DX$228)+(IF($A$7=Nutrients!$B$8,Nutrients!$DX$8,Nutrients!$DX$9)*T$7)+(((IF($A$8=Nutrients!$B$79,Nutrients!$DX$79,(IF($A$8=Nutrients!$B$77,Nutrients!$DX$77,Nutrients!$DX$78)))))*T$8))</f>
        <v>186.87940879485626</v>
      </c>
      <c r="U263" s="24">
        <f>(SUMPRODUCT(U$9:U$229,Nutrients!$DX$8:$DX$228)+(IF($A$7=Nutrients!$B$8,Nutrients!$DX$8,Nutrients!$DX$9)*U$7)+(((IF($A$8=Nutrients!$B$79,Nutrients!$DX$79,(IF($A$8=Nutrients!$B$77,Nutrients!$DX$77,Nutrients!$DX$78)))))*U$8))</f>
        <v>184.76352974030911</v>
      </c>
      <c r="W263" s="24">
        <f>(SUMPRODUCT(W$9:W$229,Nutrients!$DX$8:$DX$228)+(IF($A$7=Nutrients!$B$8,Nutrients!$DX$8,Nutrients!$DX$9)*W$7)+(((IF($A$8=Nutrients!$B$79,Nutrients!$DX$79,(IF($A$8=Nutrients!$B$77,Nutrients!$DX$77,Nutrients!$DX$78)))))*W$8))</f>
        <v>215.40844963058765</v>
      </c>
      <c r="X263" s="24">
        <f>(SUMPRODUCT(X$9:X$229,Nutrients!$DX$8:$DX$228)+(IF($A$7=Nutrients!$B$8,Nutrients!$DX$8,Nutrients!$DX$9)*X$7)+(((IF($A$8=Nutrients!$B$79,Nutrients!$DX$79,(IF($A$8=Nutrients!$B$77,Nutrients!$DX$77,Nutrients!$DX$78)))))*X$8))</f>
        <v>206.17685226298042</v>
      </c>
      <c r="Y263" s="24">
        <f>(SUMPRODUCT(Y$9:Y$229,Nutrients!$DX$8:$DX$228)+(IF($A$7=Nutrients!$B$8,Nutrients!$DX$8,Nutrients!$DX$9)*Y$7)+(((IF($A$8=Nutrients!$B$79,Nutrients!$DX$79,(IF($A$8=Nutrients!$B$77,Nutrients!$DX$77,Nutrients!$DX$78)))))*Y$8))</f>
        <v>197.19712300052555</v>
      </c>
      <c r="Z263" s="24">
        <f>(SUMPRODUCT(Z$9:Z$229,Nutrients!$DX$8:$DX$228)+(IF($A$7=Nutrients!$B$8,Nutrients!$DX$8,Nutrients!$DX$9)*Z$7)+(((IF($A$8=Nutrients!$B$79,Nutrients!$DX$79,(IF($A$8=Nutrients!$B$77,Nutrients!$DX$77,Nutrients!$DX$78)))))*Z$8))</f>
        <v>190.46749361891673</v>
      </c>
      <c r="AA263" s="24">
        <f>(SUMPRODUCT(AA$9:AA$229,Nutrients!$DX$8:$DX$228)+(IF($A$7=Nutrients!$B$8,Nutrients!$DX$8,Nutrients!$DX$9)*AA$7)+(((IF($A$8=Nutrients!$B$79,Nutrients!$DX$79,(IF($A$8=Nutrients!$B$77,Nutrients!$DX$77,Nutrients!$DX$78)))))*AA$8))</f>
        <v>185.76804739707728</v>
      </c>
      <c r="AB263" s="24">
        <f>(SUMPRODUCT(AB$9:AB$229,Nutrients!$DX$8:$DX$228)+(IF($A$7=Nutrients!$B$8,Nutrients!$DX$8,Nutrients!$DX$9)*AB$7)+(((IF($A$8=Nutrients!$B$79,Nutrients!$DX$79,(IF($A$8=Nutrients!$B$77,Nutrients!$DX$77,Nutrients!$DX$78)))))*AB$8))</f>
        <v>183.71956881057733</v>
      </c>
      <c r="AD263" s="24">
        <f>(SUMPRODUCT(AD$9:AD$229,Nutrients!$DX$8:$DX$228)+(IF($A$7=Nutrients!$B$8,Nutrients!$DX$8,Nutrients!$DX$9)*AD$7)+(((IF($A$8=Nutrients!$B$79,Nutrients!$DX$79,(IF($A$8=Nutrients!$B$77,Nutrients!$DX$77,Nutrients!$DX$78)))))*AD$8))</f>
        <v>213.68286818105867</v>
      </c>
      <c r="AE263" s="24">
        <f>(SUMPRODUCT(AE$9:AE$229,Nutrients!$DX$8:$DX$228)+(IF($A$7=Nutrients!$B$8,Nutrients!$DX$8,Nutrients!$DX$9)*AE$7)+(((IF($A$8=Nutrients!$B$79,Nutrients!$DX$79,(IF($A$8=Nutrients!$B$77,Nutrients!$DX$77,Nutrients!$DX$78)))))*AE$8))</f>
        <v>204.4829319818146</v>
      </c>
      <c r="AF263" s="24">
        <f>(SUMPRODUCT(AF$9:AF$229,Nutrients!$DX$8:$DX$228)+(IF($A$7=Nutrients!$B$8,Nutrients!$DX$8,Nutrients!$DX$9)*AF$7)+(((IF($A$8=Nutrients!$B$79,Nutrients!$DX$79,(IF($A$8=Nutrients!$B$77,Nutrients!$DX$77,Nutrients!$DX$78)))))*AF$8))</f>
        <v>195.74599046763265</v>
      </c>
      <c r="AG263" s="24">
        <f>(SUMPRODUCT(AG$9:AG$229,Nutrients!$DX$8:$DX$228)+(IF($A$7=Nutrients!$B$8,Nutrients!$DX$8,Nutrients!$DX$9)*AG$7)+(((IF($A$8=Nutrients!$B$79,Nutrients!$DX$79,(IF($A$8=Nutrients!$B$77,Nutrients!$DX$77,Nutrients!$DX$78)))))*AG$8))</f>
        <v>189.37134308718575</v>
      </c>
      <c r="AH263" s="24">
        <f>(SUMPRODUCT(AH$9:AH$229,Nutrients!$DX$8:$DX$228)+(IF($A$7=Nutrients!$B$8,Nutrients!$DX$8,Nutrients!$DX$9)*AH$7)+(((IF($A$8=Nutrients!$B$79,Nutrients!$DX$79,(IF($A$8=Nutrients!$B$77,Nutrients!$DX$77,Nutrients!$DX$78)))))*AH$8))</f>
        <v>184.88434812784908</v>
      </c>
      <c r="AI263" s="24">
        <f>(SUMPRODUCT(AI$9:AI$229,Nutrients!$DX$8:$DX$228)+(IF($A$7=Nutrients!$B$8,Nutrients!$DX$8,Nutrients!$DX$9)*AI$7)+(((IF($A$8=Nutrients!$B$79,Nutrients!$DX$79,(IF($A$8=Nutrients!$B$77,Nutrients!$DX$77,Nutrients!$DX$78)))))*AI$8))</f>
        <v>182.92626376662579</v>
      </c>
      <c r="AK263" s="24">
        <f>(SUMPRODUCT(AK$9:AK$229,Nutrients!$DX$8:$DX$228)+(IF($A$7=Nutrients!$B$8,Nutrients!$DX$8,Nutrients!$DX$9)*AK$7)+(((IF($A$8=Nutrients!$B$79,Nutrients!$DX$79,(IF($A$8=Nutrients!$B$77,Nutrients!$DX$77,Nutrients!$DX$78)))))*AK$8))</f>
        <v>211.98308047970517</v>
      </c>
      <c r="AL263" s="24">
        <f>(SUMPRODUCT(AL$9:AL$229,Nutrients!$DX$8:$DX$228)+(IF($A$7=Nutrients!$B$8,Nutrients!$DX$8,Nutrients!$DX$9)*AL$7)+(((IF($A$8=Nutrients!$B$79,Nutrients!$DX$79,(IF($A$8=Nutrients!$B$77,Nutrients!$DX$77,Nutrients!$DX$78)))))*AL$8))</f>
        <v>202.69639773944195</v>
      </c>
      <c r="AM263" s="24">
        <f>(SUMPRODUCT(AM$9:AM$229,Nutrients!$DX$8:$DX$228)+(IF($A$7=Nutrients!$B$8,Nutrients!$DX$8,Nutrients!$DX$9)*AM$7)+(((IF($A$8=Nutrients!$B$79,Nutrients!$DX$79,(IF($A$8=Nutrients!$B$77,Nutrients!$DX$77,Nutrients!$DX$78)))))*AM$8))</f>
        <v>194.40419016380727</v>
      </c>
      <c r="AN263" s="24">
        <f>(SUMPRODUCT(AN$9:AN$229,Nutrients!$DX$8:$DX$228)+(IF($A$7=Nutrients!$B$8,Nutrients!$DX$8,Nutrients!$DX$9)*AN$7)+(((IF($A$8=Nutrients!$B$79,Nutrients!$DX$79,(IF($A$8=Nutrients!$B$77,Nutrients!$DX$77,Nutrients!$DX$78)))))*AN$8))</f>
        <v>188.38337359082476</v>
      </c>
      <c r="AO263" s="24">
        <f>(SUMPRODUCT(AO$9:AO$229,Nutrients!$DX$8:$DX$228)+(IF($A$7=Nutrients!$B$8,Nutrients!$DX$8,Nutrients!$DX$9)*AO$7)+(((IF($A$8=Nutrients!$B$79,Nutrients!$DX$79,(IF($A$8=Nutrients!$B$77,Nutrients!$DX$77,Nutrients!$DX$78)))))*AO$8))</f>
        <v>184.0351250466604</v>
      </c>
      <c r="AP263" s="24">
        <f>(SUMPRODUCT(AP$9:AP$229,Nutrients!$DX$8:$DX$228)+(IF($A$7=Nutrients!$B$8,Nutrients!$DX$8,Nutrients!$DX$9)*AP$7)+(((IF($A$8=Nutrients!$B$79,Nutrients!$DX$79,(IF($A$8=Nutrients!$B$77,Nutrients!$DX$77,Nutrients!$DX$78)))))*AP$8))</f>
        <v>182.09543938526255</v>
      </c>
      <c r="AR263" s="24">
        <f>(SUMPRODUCT(AR$9:AR$229,Nutrients!$DX$8:$DX$228)+(IF($A$7=Nutrients!$B$8,Nutrients!$DX$8,Nutrients!$DX$9)*AR$7)+(((IF($A$8=Nutrients!$B$79,Nutrients!$DX$79,(IF($A$8=Nutrients!$B$77,Nutrients!$DX$77,Nutrients!$DX$78)))))*AR$8))</f>
        <v>210.39759928430823</v>
      </c>
      <c r="AS263" s="24">
        <f>(SUMPRODUCT(AS$9:AS$229,Nutrients!$DX$8:$DX$228)+(IF($A$7=Nutrients!$B$8,Nutrients!$DX$8,Nutrients!$DX$9)*AS$7)+(((IF($A$8=Nutrients!$B$79,Nutrients!$DX$79,(IF($A$8=Nutrients!$B$77,Nutrients!$DX$77,Nutrients!$DX$78)))))*AS$8))</f>
        <v>201.14830704012817</v>
      </c>
      <c r="AT263" s="24">
        <f>(SUMPRODUCT(AT$9:AT$229,Nutrients!$DX$8:$DX$228)+(IF($A$7=Nutrients!$B$8,Nutrients!$DX$8,Nutrients!$DX$9)*AT$7)+(((IF($A$8=Nutrients!$B$79,Nutrients!$DX$79,(IF($A$8=Nutrients!$B$77,Nutrients!$DX$77,Nutrients!$DX$78)))))*AT$8))</f>
        <v>193.23230692506709</v>
      </c>
      <c r="AU263" s="24">
        <f>(SUMPRODUCT(AU$9:AU$229,Nutrients!$DX$8:$DX$228)+(IF($A$7=Nutrients!$B$8,Nutrients!$DX$8,Nutrients!$DX$9)*AU$7)+(((IF($A$8=Nutrients!$B$79,Nutrients!$DX$79,(IF($A$8=Nutrients!$B$77,Nutrients!$DX$77,Nutrients!$DX$78)))))*AU$8))</f>
        <v>187.50844694573112</v>
      </c>
      <c r="AV263" s="24">
        <f>(SUMPRODUCT(AV$9:AV$229,Nutrients!$DX$8:$DX$228)+(IF($A$7=Nutrients!$B$8,Nutrients!$DX$8,Nutrients!$DX$9)*AV$7)+(((IF($A$8=Nutrients!$B$79,Nutrients!$DX$79,(IF($A$8=Nutrients!$B$77,Nutrients!$DX$77,Nutrients!$DX$78)))))*AV$8))</f>
        <v>183.18628381435167</v>
      </c>
      <c r="AW263" s="24">
        <f>(SUMPRODUCT(AW$9:AW$229,Nutrients!$DX$8:$DX$228)+(IF($A$7=Nutrients!$B$8,Nutrients!$DX$8,Nutrients!$DX$9)*AW$7)+(((IF($A$8=Nutrients!$B$79,Nutrients!$DX$79,(IF($A$8=Nutrients!$B$77,Nutrients!$DX$77,Nutrients!$DX$78)))))*AW$8))</f>
        <v>181.2647594964013</v>
      </c>
    </row>
    <row r="264" spans="1:59" x14ac:dyDescent="0.25">
      <c r="A264" t="s">
        <v>21</v>
      </c>
      <c r="B264" s="25">
        <f>IF(B$5="","",B263+Nutrients!$DV$5)</f>
        <v>233.26773173804173</v>
      </c>
      <c r="C264" s="25">
        <f>IF(C$5="","",C263+Nutrients!$DV$5)</f>
        <v>223.54330280629557</v>
      </c>
      <c r="D264" s="25">
        <f>IF(D$5="","",D263+Nutrients!$DV$5)</f>
        <v>214.16843206547495</v>
      </c>
      <c r="E264" s="25">
        <f>IF(E$5="","",E263+Nutrients!$DV$5)</f>
        <v>207.22426532952818</v>
      </c>
      <c r="F264" s="25">
        <f>IF(F$5="","",F263+Nutrients!$DV$5)</f>
        <v>202.24981497998971</v>
      </c>
      <c r="G264" s="25">
        <f>IF(G$5="","",G263+Nutrients!$DV$5)</f>
        <v>199.92809138061614</v>
      </c>
      <c r="H264" s="230"/>
      <c r="I264" s="25">
        <f>IF(I$5="","",I263+Nutrients!$DV$5)</f>
        <v>231.16586470791503</v>
      </c>
      <c r="J264" s="25">
        <f>IF(J$5="","",J263+Nutrients!$DV$5)</f>
        <v>221.5993238555823</v>
      </c>
      <c r="K264" s="25">
        <f>IF(K$5="","",K263+Nutrients!$DV$5)</f>
        <v>212.48706519759159</v>
      </c>
      <c r="L264" s="25">
        <f>IF(L$5="","",L263+Nutrients!$DV$5)</f>
        <v>205.50429475572273</v>
      </c>
      <c r="M264" s="25">
        <f>IF(M$5="","",M263+Nutrients!$DV$5)</f>
        <v>200.42069387728165</v>
      </c>
      <c r="N264" s="25">
        <f>IF(N$5="","",N263+Nutrients!$DV$5)</f>
        <v>198.31587500647987</v>
      </c>
      <c r="O264" s="236"/>
      <c r="P264" s="25">
        <f>IF(P$5="","",P263+Nutrients!$DV$5)</f>
        <v>229.25484171837127</v>
      </c>
      <c r="Q264" s="25">
        <f>IF(Q$5="","",Q263+Nutrients!$DV$5)</f>
        <v>219.90803566415372</v>
      </c>
      <c r="R264" s="25">
        <f>IF(R$5="","",R263+Nutrients!$DV$5)</f>
        <v>210.84038391053457</v>
      </c>
      <c r="S264" s="25">
        <f>IF(S$5="","",S263+Nutrients!$DV$5)</f>
        <v>203.90183959063353</v>
      </c>
      <c r="T264" s="25">
        <f>IF(T$5="","",T263+Nutrients!$DV$5)</f>
        <v>198.87940879485626</v>
      </c>
      <c r="U264" s="25">
        <f>IF(U$5="","",U263+Nutrients!$DV$5)</f>
        <v>196.76352974030911</v>
      </c>
      <c r="W264" s="25">
        <f>IF(W$5="","",W263+Nutrients!$DV$5)</f>
        <v>227.40844963058765</v>
      </c>
      <c r="X264" s="25">
        <f>IF(X$5="","",X263+Nutrients!$DV$5)</f>
        <v>218.17685226298042</v>
      </c>
      <c r="Y264" s="25">
        <f>IF(Y$5="","",Y263+Nutrients!$DV$5)</f>
        <v>209.19712300052555</v>
      </c>
      <c r="Z264" s="25">
        <f>IF(Z$5="","",Z263+Nutrients!$DV$5)</f>
        <v>202.46749361891673</v>
      </c>
      <c r="AA264" s="25">
        <f>IF(AA$5="","",AA263+Nutrients!$DV$5)</f>
        <v>197.76804739707728</v>
      </c>
      <c r="AB264" s="25">
        <f>IF(AB$5="","",AB263+Nutrients!$DV$5)</f>
        <v>195.71956881057733</v>
      </c>
      <c r="AD264" s="25">
        <f>IF(AD$5="","",AD263+Nutrients!$DV$5)</f>
        <v>225.68286818105867</v>
      </c>
      <c r="AE264" s="25">
        <f>IF(AE$5="","",AE263+Nutrients!$DV$5)</f>
        <v>216.4829319818146</v>
      </c>
      <c r="AF264" s="25">
        <f>IF(AF$5="","",AF263+Nutrients!$DV$5)</f>
        <v>207.74599046763265</v>
      </c>
      <c r="AG264" s="25">
        <f>IF(AG$5="","",AG263+Nutrients!$DV$5)</f>
        <v>201.37134308718575</v>
      </c>
      <c r="AH264" s="25">
        <f>IF(AH$5="","",AH263+Nutrients!$DV$5)</f>
        <v>196.88434812784908</v>
      </c>
      <c r="AI264" s="25">
        <f>IF(AI$5="","",AI263+Nutrients!$DV$5)</f>
        <v>194.92626376662579</v>
      </c>
      <c r="AK264" s="25">
        <f>IF(AK$5="","",AK263+Nutrients!$DV$5)</f>
        <v>223.98308047970517</v>
      </c>
      <c r="AL264" s="25">
        <f>IF(AL$5="","",AL263+Nutrients!$DV$5)</f>
        <v>214.69639773944195</v>
      </c>
      <c r="AM264" s="25">
        <f>IF(AM$5="","",AM263+Nutrients!$DV$5)</f>
        <v>206.40419016380727</v>
      </c>
      <c r="AN264" s="25">
        <f>IF(AN$5="","",AN263+Nutrients!$DV$5)</f>
        <v>200.38337359082476</v>
      </c>
      <c r="AO264" s="25">
        <f>IF(AO$5="","",AO263+Nutrients!$DV$5)</f>
        <v>196.0351250466604</v>
      </c>
      <c r="AP264" s="25">
        <f>IF(AP$5="","",AP263+Nutrients!$DV$5)</f>
        <v>194.09543938526255</v>
      </c>
      <c r="AR264" s="25">
        <f>IF(AR$5="","",AR263+Nutrients!$DV$5)</f>
        <v>222.39759928430823</v>
      </c>
      <c r="AS264" s="25">
        <f>IF(AS$5="","",AS263+Nutrients!$DV$5)</f>
        <v>213.14830704012817</v>
      </c>
      <c r="AT264" s="25">
        <f>IF(AT$5="","",AT263+Nutrients!$DV$5)</f>
        <v>205.23230692506709</v>
      </c>
      <c r="AU264" s="25">
        <f>IF(AU$5="","",AU263+Nutrients!$DV$5)</f>
        <v>199.50844694573112</v>
      </c>
      <c r="AV264" s="25">
        <f>IF(AV$5="","",AV263+Nutrients!$DV$5)</f>
        <v>195.18628381435167</v>
      </c>
      <c r="AW264" s="25">
        <f>IF(AW$5="","",AW263+Nutrients!$DV$5)</f>
        <v>193.2647594964013</v>
      </c>
    </row>
    <row r="265" spans="1:59" x14ac:dyDescent="0.25">
      <c r="A265" s="34" t="s">
        <v>541</v>
      </c>
      <c r="B265" s="371">
        <v>64.670241098095005</v>
      </c>
      <c r="C265" s="371">
        <v>73.763156713761802</v>
      </c>
      <c r="D265" s="371">
        <v>95.43493291654417</v>
      </c>
      <c r="E265" s="371">
        <v>107.31139412884363</v>
      </c>
      <c r="F265" s="371">
        <v>119.18785534114284</v>
      </c>
      <c r="G265" s="371">
        <v>148.28241980161249</v>
      </c>
      <c r="H265" s="91">
        <f>SUM(B265:G265)</f>
        <v>608.65</v>
      </c>
      <c r="I265" s="371">
        <f>($B$265*$B$250/I250)-($B$265*$B$250/I250)/(I6-I5)*I268</f>
        <v>64.747437580907231</v>
      </c>
      <c r="J265" s="371">
        <f>($C$265*$C$250/J250)-($C$265*$C$250/J250)/(J6-J5)*J268</f>
        <v>73.921130002190367</v>
      </c>
      <c r="K265" s="371">
        <f>($D$265*$D$250/K250)-($D$265*$D$250/K250)/(K6-K5)*K268</f>
        <v>95.596567443474342</v>
      </c>
      <c r="L265" s="371">
        <f>($E$265*$E$250/L250)-($E$265*$E$250/L250)/(L6-L5)*L268</f>
        <v>107.30285759887951</v>
      </c>
      <c r="M265" s="371">
        <f>($F$265*$F$250/M250)-($F$265*$F$250/M250)/(M6-M5)*M268</f>
        <v>118.76552119687163</v>
      </c>
      <c r="N265" s="371">
        <f>($G$265*$G$250/N250)-($G$265*$G$250/N250)/(N6-N5)*N268</f>
        <v>146.91815251886126</v>
      </c>
      <c r="O265" s="91">
        <f>SUM(I265:N265)</f>
        <v>607.25166634118432</v>
      </c>
      <c r="P265" s="371">
        <f>($B$265*$B$250/P250)-($B$265*$B$250/P250)/(P6-P5)*P268</f>
        <v>64.939905694473097</v>
      </c>
      <c r="Q265" s="371">
        <f>($C$265*$C$250/Q250)-($C$265*$C$250/Q250)/(Q6-Q5)*Q268</f>
        <v>74.178310748408308</v>
      </c>
      <c r="R265" s="371">
        <f>($D$265*$D$250/R250)-($D$265*$D$250/R250)/(R6-R5)*R268</f>
        <v>95.865865448278157</v>
      </c>
      <c r="S265" s="371">
        <f>($E$265*$E$250/S250)-($E$265*$E$250/S250)/(S6-S5)*S268</f>
        <v>107.33979946917425</v>
      </c>
      <c r="T265" s="371">
        <f>($F$265*$F$250/T250)-($F$265*$F$250/T250)/(T6-T5)*T268</f>
        <v>118.4116407499326</v>
      </c>
      <c r="U265" s="371">
        <f>($G$265*$G$250/U250)-($G$265*$G$250/U250)/(U6-U5)*U268</f>
        <v>145.62598330741554</v>
      </c>
      <c r="V265" s="91">
        <f>SUM(P265:U265)</f>
        <v>606.36150541768188</v>
      </c>
      <c r="W265" s="371">
        <f>($B$265*$B$250/W250)-($B$265*$B$250/W250)/(W6-W5)*W268</f>
        <v>65.203752307387106</v>
      </c>
      <c r="X265" s="371">
        <f>($C$265*$C$250/X250)-($C$265*$C$250/X250)/(X6-X5)*X268</f>
        <v>74.495038080297178</v>
      </c>
      <c r="Y265" s="371">
        <f>($D$265*$D$250/Y250)-($D$265*$D$250/Y250)/(Y6-Y5)*Y268</f>
        <v>96.148147548251586</v>
      </c>
      <c r="Z265" s="371">
        <f>($E$265*$E$250/Z250)-($E$265*$E$250/Z250)/(Z6-Z5)*Z268</f>
        <v>107.44665924111253</v>
      </c>
      <c r="AA265" s="371">
        <f>($F$265*$F$250/AA250)-($F$265*$F$250/AA250)/(AA6-AA5)*AA268</f>
        <v>118.0883719295216</v>
      </c>
      <c r="AB265" s="371">
        <f>($G$265*$G$250/AB250)-($G$265*$G$250/AB250)/(AB6-AB5)*AB268</f>
        <v>144.33802639626936</v>
      </c>
      <c r="AC265" s="91">
        <f>SUM(W265:AB265)</f>
        <v>605.71999550283931</v>
      </c>
      <c r="AD265" s="371">
        <f>($B$265*$B$250/AD250)-($B$265*$B$250/AD250)/(AD6-AD5)*AD268</f>
        <v>65.54053689313838</v>
      </c>
      <c r="AE265" s="371">
        <f>($C$265*$C$250/AE250)-($C$265*$C$250/AE250)/(AE6-AE5)*AE268</f>
        <v>74.846789124193165</v>
      </c>
      <c r="AF265" s="371">
        <f>($D$265*$D$250/AF250)-($D$265*$D$250/AF250)/(AF6-AF5)*AF268</f>
        <v>96.509960473562387</v>
      </c>
      <c r="AG265" s="371">
        <f>($E$265*$E$250/AG250)-($E$265*$E$250/AG250)/(AG6-AG5)*AG268</f>
        <v>107.60459991070412</v>
      </c>
      <c r="AH265" s="371">
        <f>($F$265*$F$250/AH250)-($F$265*$F$250/AH250)/(AH6-AH5)*AH268</f>
        <v>117.8573706667184</v>
      </c>
      <c r="AI265" s="371">
        <f>($G$265*$G$250/AI250)-($G$265*$G$250/AI250)/(AI6-AI5)*AI268</f>
        <v>143.14046213068491</v>
      </c>
      <c r="AJ265" s="91">
        <f>SUM(AD265:AI265)</f>
        <v>605.49971919900133</v>
      </c>
      <c r="AK265" s="371">
        <f>($B$265*$B$250/AK250)-($B$265*$B$250/AK250)/(AK6-AK5)*AK268</f>
        <v>65.955811176786028</v>
      </c>
      <c r="AL265" s="371">
        <f>($C$265*$C$250/AL250)-($C$265*$C$250/AL250)/(AL6-AL5)*AL268</f>
        <v>75.276510448246839</v>
      </c>
      <c r="AM265" s="371">
        <f>($D$265*$D$250/AM250)-($D$265*$D$250/AM250)/(AM6-AM5)*AM268</f>
        <v>96.945703260221052</v>
      </c>
      <c r="AN265" s="371">
        <f>($E$265*$E$250/AN250)-($E$265*$E$250/AN250)/(AN6-AN5)*AN268</f>
        <v>107.86348337217572</v>
      </c>
      <c r="AO265" s="371">
        <f>($F$265*$F$250/AO250)-($F$265*$F$250/AO250)/(AO6-AO5)*AO268</f>
        <v>117.70326602306585</v>
      </c>
      <c r="AP265" s="371">
        <f>($G$265*$G$250/AP250)-($G$265*$G$250/AP250)/(AP6-AP5)*AP268</f>
        <v>142.00324114952605</v>
      </c>
      <c r="AQ265" s="91">
        <f>SUM(AK265:AP265)</f>
        <v>605.7480154300215</v>
      </c>
      <c r="AR265" s="371">
        <f>($B$265*$B$250/AR250)-($B$265*$B$250/AR250)/(AR6-AR5)*AR268</f>
        <v>66.456208463197754</v>
      </c>
      <c r="AS265" s="371">
        <f>($C$265*$C$250/AS250)-($C$265*$C$250/AS250)/(AS6-AS5)*AS268</f>
        <v>75.77972939142488</v>
      </c>
      <c r="AT265" s="371">
        <f>($D$265*$D$250/AT250)-($D$265*$D$250/AT250)/(AT6-AT5)*AT268</f>
        <v>97.459494277371164</v>
      </c>
      <c r="AU265" s="371">
        <f>($E$265*$E$250/AU250)-($E$265*$E$250/AU250)/(AU6-AU5)*AU268</f>
        <v>108.22352211185532</v>
      </c>
      <c r="AV265" s="371">
        <f>($F$265*$F$250/AV250)-($F$265*$F$250/AV250)/(AV6-AV5)*AV268</f>
        <v>117.61381298773611</v>
      </c>
      <c r="AW265" s="371">
        <f>($G$265*$G$250/AW250)-($G$265*$G$250/AW250)/(AW6-AW5)*AW268</f>
        <v>140.92628146251289</v>
      </c>
      <c r="AX265" s="91">
        <f>SUM(AR265:AW265)</f>
        <v>606.4590486940981</v>
      </c>
      <c r="AY265" s="91"/>
      <c r="AZ265" s="117"/>
      <c r="BA265" s="117"/>
      <c r="BB265" s="117"/>
      <c r="BC265" s="117"/>
      <c r="BD265" s="117"/>
      <c r="BE265" s="117"/>
    </row>
    <row r="266" spans="1:59" x14ac:dyDescent="0.25">
      <c r="A266" s="34" t="s">
        <v>111</v>
      </c>
      <c r="B266" s="25">
        <f t="shared" ref="B266:G266" si="78">IF(B$265="","",B265*B264/2000)</f>
        <v>7.5427402259524534</v>
      </c>
      <c r="C266" s="25">
        <f t="shared" si="78"/>
        <v>8.244629838606345</v>
      </c>
      <c r="D266" s="25">
        <f t="shared" si="78"/>
        <v>10.219574973505026</v>
      </c>
      <c r="E266" s="25">
        <f t="shared" si="78"/>
        <v>11.118762404918533</v>
      </c>
      <c r="F266" s="25">
        <f t="shared" si="78"/>
        <v>12.052860845303957</v>
      </c>
      <c r="G266" s="25">
        <f t="shared" si="78"/>
        <v>14.822910588117834</v>
      </c>
      <c r="H266" s="91">
        <f>SUM(B266:G266)</f>
        <v>64.00147887640415</v>
      </c>
      <c r="I266" s="25">
        <f t="shared" ref="I266:N266" si="79">IF(I$265="","",I265*I264/2000)</f>
        <v>7.4836986980060871</v>
      </c>
      <c r="J266" s="25">
        <f t="shared" si="79"/>
        <v>8.1904362135629913</v>
      </c>
      <c r="K266" s="25">
        <f t="shared" si="79"/>
        <v>10.156517029513747</v>
      </c>
      <c r="L266" s="25">
        <f t="shared" si="79"/>
        <v>11.025599038065739</v>
      </c>
      <c r="M266" s="25">
        <f t="shared" si="79"/>
        <v>11.901534083487007</v>
      </c>
      <c r="N266" s="25">
        <f t="shared" si="79"/>
        <v>14.568100985556717</v>
      </c>
      <c r="O266" s="91">
        <f>SUM(I266:N266)</f>
        <v>63.325886048192295</v>
      </c>
      <c r="P266" s="25">
        <f t="shared" ref="P266:U266" si="80">IF(P$265="","",P265*P264/2000)</f>
        <v>7.4438939005961942</v>
      </c>
      <c r="Q266" s="25">
        <f t="shared" si="80"/>
        <v>8.1562033027838243</v>
      </c>
      <c r="R266" s="25">
        <f t="shared" si="80"/>
        <v>10.10619793751531</v>
      </c>
      <c r="S266" s="25">
        <f t="shared" si="80"/>
        <v>10.943391286527168</v>
      </c>
      <c r="T266" s="25">
        <f t="shared" si="80"/>
        <v>11.774818553387753</v>
      </c>
      <c r="U266" s="25">
        <f t="shared" si="80"/>
        <v>14.326941248735208</v>
      </c>
      <c r="V266" s="91">
        <f>SUM(P266:U266)</f>
        <v>62.751446229545458</v>
      </c>
      <c r="W266" s="25">
        <f t="shared" ref="W266:AB266" si="81">IF(W$265="","",W265*W264/2000)</f>
        <v>7.4139421111598764</v>
      </c>
      <c r="X266" s="25">
        <f t="shared" si="81"/>
        <v>8.1265464587850484</v>
      </c>
      <c r="Y266" s="25">
        <f t="shared" si="81"/>
        <v>10.056957924462132</v>
      </c>
      <c r="Z266" s="25">
        <f t="shared" si="81"/>
        <v>10.877227897136937</v>
      </c>
      <c r="AA266" s="25">
        <f t="shared" si="81"/>
        <v>11.677053368400658</v>
      </c>
      <c r="AB266" s="25">
        <f t="shared" si="81"/>
        <v>14.124888144623784</v>
      </c>
      <c r="AC266" s="91">
        <f>SUM(W266:AB266)</f>
        <v>62.276615904568438</v>
      </c>
      <c r="AD266" s="25">
        <f t="shared" ref="AD266:AI266" si="82">IF(AD$265="","",AD265*AD264/2000)</f>
        <v>7.39568817408498</v>
      </c>
      <c r="AE266" s="25">
        <f t="shared" si="82"/>
        <v>8.1015261795149645</v>
      </c>
      <c r="AF266" s="25">
        <f t="shared" si="82"/>
        <v>10.024778664286149</v>
      </c>
      <c r="AG266" s="25">
        <f t="shared" si="82"/>
        <v>10.834241403188878</v>
      </c>
      <c r="AH266" s="25">
        <f t="shared" si="82"/>
        <v>11.602135797889567</v>
      </c>
      <c r="AI266" s="25">
        <f t="shared" si="82"/>
        <v>13.9509177384813</v>
      </c>
      <c r="AJ266" s="91">
        <f>SUM(AD266:AI266)</f>
        <v>61.909287957445841</v>
      </c>
      <c r="AK266" s="25">
        <f t="shared" ref="AK266:AP266" si="83">IF(AK$265="","",AK265*AK264/2000)</f>
        <v>7.3864928814571513</v>
      </c>
      <c r="AL266" s="25">
        <f t="shared" si="83"/>
        <v>8.0807978138170302</v>
      </c>
      <c r="AM266" s="25">
        <f t="shared" si="83"/>
        <v>10.004999685643348</v>
      </c>
      <c r="AN266" s="25">
        <f t="shared" si="83"/>
        <v>10.8070243426872</v>
      </c>
      <c r="AO266" s="25">
        <f t="shared" si="83"/>
        <v>11.536987236616023</v>
      </c>
      <c r="AP266" s="25">
        <f t="shared" si="83"/>
        <v>13.781090742524327</v>
      </c>
      <c r="AQ266" s="91">
        <f>SUM(AK266:AP266)</f>
        <v>61.597392702745076</v>
      </c>
      <c r="AR266" s="25">
        <f t="shared" ref="AR266:AW266" si="84">IF(AR$265="","",AR265*AR264/2000)</f>
        <v>7.3898506098763539</v>
      </c>
      <c r="AS266" s="25">
        <f t="shared" si="84"/>
        <v>8.0761605138706276</v>
      </c>
      <c r="AT266" s="25">
        <f t="shared" si="84"/>
        <v>10.000918421147629</v>
      </c>
      <c r="AU266" s="25">
        <f t="shared" si="84"/>
        <v>10.795753409766624</v>
      </c>
      <c r="AV266" s="25">
        <f t="shared" si="84"/>
        <v>11.478301541156171</v>
      </c>
      <c r="AW266" s="25">
        <f t="shared" si="84"/>
        <v>13.618041946787354</v>
      </c>
      <c r="AX266" s="91">
        <f>SUM(AR266:AW266)</f>
        <v>61.359026442604758</v>
      </c>
      <c r="AY266" s="91"/>
      <c r="AZ266" s="13"/>
      <c r="BA266" s="13"/>
    </row>
    <row r="267" spans="1:59" x14ac:dyDescent="0.25">
      <c r="A267" s="34" t="s">
        <v>517</v>
      </c>
      <c r="B267" s="370">
        <f t="shared" ref="B267:G267" si="85">B342*0.00220462</f>
        <v>1.6321378734194845</v>
      </c>
      <c r="C267" s="370">
        <f t="shared" si="85"/>
        <v>1.9015014314603687</v>
      </c>
      <c r="D267" s="370">
        <f t="shared" si="85"/>
        <v>2.0832697080984475</v>
      </c>
      <c r="E267" s="370">
        <f t="shared" si="85"/>
        <v>2.1697909739378729</v>
      </c>
      <c r="F267" s="370">
        <f t="shared" si="85"/>
        <v>2.165030725567227</v>
      </c>
      <c r="G267" s="370">
        <f t="shared" si="85"/>
        <v>2.0548911695876653</v>
      </c>
      <c r="H267" s="448"/>
      <c r="I267" s="378">
        <f t="shared" ref="I267:N267" si="86">I342*0.00220462</f>
        <v>1.6203560357453834</v>
      </c>
      <c r="J267" s="378">
        <f t="shared" si="86"/>
        <v>1.8894452465992644</v>
      </c>
      <c r="K267" s="378">
        <f t="shared" si="86"/>
        <v>2.0694180136965357</v>
      </c>
      <c r="L267" s="378">
        <f t="shared" si="86"/>
        <v>2.151433970194125</v>
      </c>
      <c r="M267" s="378">
        <f t="shared" si="86"/>
        <v>2.1393008156269522</v>
      </c>
      <c r="N267" s="378">
        <f t="shared" si="86"/>
        <v>2.0190366784792531</v>
      </c>
      <c r="O267" s="91"/>
      <c r="P267" s="378">
        <f t="shared" ref="P267:U267" si="87">P342*0.00220462</f>
        <v>1.6112741707755625</v>
      </c>
      <c r="Q267" s="378">
        <f t="shared" si="87"/>
        <v>1.8798895016486989</v>
      </c>
      <c r="R267" s="378">
        <f t="shared" si="87"/>
        <v>2.0576205051596923</v>
      </c>
      <c r="S267" s="378">
        <f t="shared" si="87"/>
        <v>2.1340634360538431</v>
      </c>
      <c r="T267" s="378">
        <f t="shared" si="87"/>
        <v>2.1149979476689058</v>
      </c>
      <c r="U267" s="378">
        <f t="shared" si="87"/>
        <v>1.9844547006782236</v>
      </c>
      <c r="V267" s="2"/>
      <c r="W267" s="378">
        <f t="shared" ref="W267:AB267" si="88">W342*0.00220462</f>
        <v>1.6038952753081919</v>
      </c>
      <c r="X267" s="378">
        <f t="shared" si="88"/>
        <v>1.8717190864343911</v>
      </c>
      <c r="Y267" s="378">
        <f t="shared" si="88"/>
        <v>2.0461589361478998</v>
      </c>
      <c r="Z267" s="378">
        <f t="shared" si="88"/>
        <v>2.1180971601365686</v>
      </c>
      <c r="AA267" s="378">
        <f t="shared" si="88"/>
        <v>2.0915440386856172</v>
      </c>
      <c r="AB267" s="378">
        <f t="shared" si="88"/>
        <v>1.9500258185974315</v>
      </c>
      <c r="AC267" s="2"/>
      <c r="AD267" s="378">
        <f t="shared" ref="AD267:AI267" si="89">AD342*0.00220462</f>
        <v>1.598230057086039</v>
      </c>
      <c r="AE267" s="378">
        <f t="shared" si="89"/>
        <v>1.8644343752145927</v>
      </c>
      <c r="AF267" s="378">
        <f t="shared" si="89"/>
        <v>2.0363163242013318</v>
      </c>
      <c r="AG267" s="378">
        <f t="shared" si="89"/>
        <v>2.1032298079835123</v>
      </c>
      <c r="AH267" s="378">
        <f t="shared" si="89"/>
        <v>2.0683594611675247</v>
      </c>
      <c r="AI267" s="378">
        <f t="shared" si="89"/>
        <v>1.9156943802841191</v>
      </c>
      <c r="AJ267" s="2"/>
      <c r="AK267" s="378">
        <f t="shared" ref="AK267:AP267" si="90">AK342*0.00220462</f>
        <v>1.5943034969604615</v>
      </c>
      <c r="AL267" s="378">
        <f t="shared" si="90"/>
        <v>1.8588496824230634</v>
      </c>
      <c r="AM267" s="378">
        <f t="shared" si="90"/>
        <v>2.0279356303026748</v>
      </c>
      <c r="AN267" s="378">
        <f t="shared" si="90"/>
        <v>2.089090909318001</v>
      </c>
      <c r="AO267" s="378">
        <f t="shared" si="90"/>
        <v>2.0460704779280126</v>
      </c>
      <c r="AP267" s="378">
        <f t="shared" si="90"/>
        <v>1.8824590301614519</v>
      </c>
      <c r="AQ267" s="2"/>
      <c r="AR267" s="378">
        <f t="shared" ref="AR267:AW267" si="91">AR342*0.00220462</f>
        <v>1.5920363862934326</v>
      </c>
      <c r="AS267" s="378">
        <f t="shared" si="91"/>
        <v>1.8549815101464444</v>
      </c>
      <c r="AT267" s="378">
        <f t="shared" si="91"/>
        <v>2.0210391858127648</v>
      </c>
      <c r="AU267" s="378">
        <f t="shared" si="91"/>
        <v>2.0759585304399599</v>
      </c>
      <c r="AV267" s="378">
        <f t="shared" si="91"/>
        <v>2.0249451840920929</v>
      </c>
      <c r="AW267" s="378">
        <f t="shared" si="91"/>
        <v>1.8503031637565608</v>
      </c>
      <c r="AX267" s="2"/>
      <c r="AZ267" s="375"/>
      <c r="BA267" s="378"/>
    </row>
    <row r="268" spans="1:59" x14ac:dyDescent="0.25">
      <c r="A268" s="302" t="s">
        <v>545</v>
      </c>
      <c r="B268" s="303"/>
      <c r="C268" s="303"/>
      <c r="D268" s="303"/>
      <c r="E268" s="303"/>
      <c r="F268" s="303"/>
      <c r="G268" s="303"/>
      <c r="H268" s="303"/>
      <c r="I268" s="304">
        <f>($B$6-$B$5)-(($B$6-$B$5)/$B$267)*I267</f>
        <v>0.25265287039114526</v>
      </c>
      <c r="J268" s="304">
        <f>($C$6-$C$5)-(($C$6-$C$5)/$C$267)*J267</f>
        <v>0.22191225478835719</v>
      </c>
      <c r="K268" s="304">
        <f>($D$6-$D$5)-(($D$6-$D$5)/$D$267)*K267</f>
        <v>0.26596065498509347</v>
      </c>
      <c r="L268" s="304">
        <f>($E$6-$E$5)-(($E$6-$E$5)/$E$267)*L267</f>
        <v>0.33841054671607651</v>
      </c>
      <c r="M268" s="304">
        <f>($F$6-$F$5)-(($F$6-$F$5)/$F$267)*M267</f>
        <v>0.47537265197072287</v>
      </c>
      <c r="N268" s="304">
        <f>($G$6-$G$5)-(($G$6-$G$5)/$G$267)*N267</f>
        <v>0.78517642382117003</v>
      </c>
      <c r="O268" s="305"/>
      <c r="P268" s="304">
        <f>($B$6-$B$5)-(($B$6-$B$5)/$B$267)*P267</f>
        <v>0.44740680577883296</v>
      </c>
      <c r="Q268" s="304">
        <f>($C$6-$C$5)-(($C$6-$C$5)/$C$267)*Q267</f>
        <v>0.3978001440827228</v>
      </c>
      <c r="R268" s="304">
        <f>($D$6-$D$5)-(($D$6-$D$5)/$D$267)*R267</f>
        <v>0.49247973681078605</v>
      </c>
      <c r="S268" s="304">
        <f>($E$6-$E$5)-(($E$6-$E$5)/$E$267)*S267</f>
        <v>0.65863557021236119</v>
      </c>
      <c r="T268" s="304">
        <f>($F$6-$F$5)-(($F$6-$F$5)/$F$267)*T267</f>
        <v>0.92438000638929196</v>
      </c>
      <c r="U268" s="304">
        <f>($G$6-$G$5)-(($G$6-$G$5)/$G$267)*U267</f>
        <v>1.5424861169464705</v>
      </c>
      <c r="V268" s="305"/>
      <c r="W268" s="304">
        <f>($B$6-$B$5)-(($B$6-$B$5)/$B$267)*W267</f>
        <v>0.6056418088162232</v>
      </c>
      <c r="X268" s="304">
        <f>($C$6-$C$5)-(($C$6-$C$5)/$C$267)*X267</f>
        <v>0.54818895145856317</v>
      </c>
      <c r="Y268" s="304">
        <f>($D$6-$D$5)-(($D$6-$D$5)/$D$267)*Y267</f>
        <v>0.71254858276456901</v>
      </c>
      <c r="Z268" s="304">
        <f>($E$6-$E$5)-(($E$6-$E$5)/$E$267)*Z267</f>
        <v>0.95297315588859988</v>
      </c>
      <c r="AA268" s="304">
        <f>($F$6-$F$5)-(($F$6-$F$5)/$F$267)*AA267</f>
        <v>1.3577024291395503</v>
      </c>
      <c r="AB268" s="304">
        <f>($G$6-$G$5)-(($G$6-$G$5)/$G$267)*AB267</f>
        <v>2.2964431714928324</v>
      </c>
      <c r="AC268" s="305"/>
      <c r="AD268" s="304">
        <f>($B$6-$B$5)-(($B$6-$B$5)/$B$267)*AD267</f>
        <v>0.72712825981066231</v>
      </c>
      <c r="AE268" s="304">
        <f>($C$6-$C$5)-(($C$6-$C$5)/$C$267)*AE267</f>
        <v>0.68227504178410925</v>
      </c>
      <c r="AF268" s="304">
        <f>($D$6-$D$5)-(($D$6-$D$5)/$D$267)*AF267</f>
        <v>0.90153250372893012</v>
      </c>
      <c r="AG268" s="304">
        <f>($E$6-$E$5)-(($E$6-$E$5)/$E$267)*AG267</f>
        <v>1.2270521308983291</v>
      </c>
      <c r="AH268" s="304">
        <f>($F$6-$F$5)-(($F$6-$F$5)/$F$267)*AH267</f>
        <v>1.7860488215357719</v>
      </c>
      <c r="AI268" s="304">
        <f>($G$6-$G$5)-(($G$6-$G$5)/$G$267)*AI267</f>
        <v>3.0482663079020753</v>
      </c>
      <c r="AJ268" s="305"/>
      <c r="AK268" s="304">
        <f>($B$6-$B$5)-(($B$6-$B$5)/$B$267)*AK267</f>
        <v>0.81133046272093878</v>
      </c>
      <c r="AL268" s="304">
        <f>($C$6-$C$5)-(($C$6-$C$5)/$C$267)*AL267</f>
        <v>0.78506973048092732</v>
      </c>
      <c r="AM268" s="304">
        <f>($D$6-$D$5)-(($D$6-$D$5)/$D$267)*AM267</f>
        <v>1.0624467409220912</v>
      </c>
      <c r="AN268" s="304">
        <f>($E$6-$E$5)-(($E$6-$E$5)/$E$267)*AN267</f>
        <v>1.4877020982977456</v>
      </c>
      <c r="AO268" s="304">
        <f>($F$6-$F$5)-(($F$6-$F$5)/$F$267)*AO267</f>
        <v>2.197848672250089</v>
      </c>
      <c r="AP268" s="304">
        <f>($G$6-$G$5)-(($G$6-$G$5)/$G$267)*AP267</f>
        <v>3.7760862419476027</v>
      </c>
      <c r="AQ268" s="305"/>
      <c r="AR268" s="304">
        <f>($B$6-$B$5)-(($B$6-$B$5)/$B$267)*AR267</f>
        <v>0.8599469887131761</v>
      </c>
      <c r="AS268" s="304">
        <f>($C$6-$C$5)-(($C$6-$C$5)/$C$267)*AS267</f>
        <v>0.85626927177061418</v>
      </c>
      <c r="AT268" s="304">
        <f>($D$6-$D$5)-(($D$6-$D$5)/$D$267)*AT267</f>
        <v>1.194862519121159</v>
      </c>
      <c r="AU268" s="304">
        <f>($E$6-$E$5)-(($E$6-$E$5)/$E$267)*AU267</f>
        <v>1.7297969182279402</v>
      </c>
      <c r="AV268" s="304">
        <f>($F$6-$F$5)-(($F$6-$F$5)/$F$267)*AV267</f>
        <v>2.5881487929171456</v>
      </c>
      <c r="AW268" s="304">
        <f>($G$6-$G$5)-(($G$6-$G$5)/$G$267)*AW267</f>
        <v>4.4802665944820177</v>
      </c>
      <c r="AX268" s="305"/>
    </row>
    <row r="269" spans="1:59" x14ac:dyDescent="0.25">
      <c r="A269" s="34" t="s">
        <v>543</v>
      </c>
      <c r="B269" s="371">
        <v>64.670241098095005</v>
      </c>
      <c r="C269" s="371">
        <v>73.763156713761802</v>
      </c>
      <c r="D269" s="371">
        <v>95.43493291654417</v>
      </c>
      <c r="E269" s="371">
        <v>107.31139412884363</v>
      </c>
      <c r="F269" s="371">
        <v>119.18785534114284</v>
      </c>
      <c r="G269" s="371">
        <v>148.28241980161249</v>
      </c>
      <c r="H269" s="91">
        <f>SUM(B269:G269)</f>
        <v>608.65</v>
      </c>
      <c r="I269" s="371">
        <f>($B$269*$B$250/I250)</f>
        <v>65.21822534764722</v>
      </c>
      <c r="J269" s="371">
        <f>($C$269*$C$250/J250)</f>
        <v>74.392806442697022</v>
      </c>
      <c r="K269" s="371">
        <f>($D$269*$D$250/K250)</f>
        <v>96.236445143066518</v>
      </c>
      <c r="L269" s="371">
        <f>($E$269*$E$250/L250)</f>
        <v>108.21841391431678</v>
      </c>
      <c r="M269" s="371">
        <f>($F$269*$F$250/M250)</f>
        <v>120.19394404516085</v>
      </c>
      <c r="N269" s="371">
        <f>($G$269*$G$250/N250)</f>
        <v>149.52715692640848</v>
      </c>
      <c r="O269" s="91">
        <f>SUM(I269:N269)</f>
        <v>613.78699181929687</v>
      </c>
      <c r="P269" s="371">
        <f>($B$269*$B$250/P250)</f>
        <v>65.780784861226991</v>
      </c>
      <c r="Q269" s="371">
        <f>($C$269*$C$250/Q250)</f>
        <v>75.031093023130751</v>
      </c>
      <c r="R269" s="371">
        <f>($D$269*$D$250/R250)</f>
        <v>97.060878343812774</v>
      </c>
      <c r="S269" s="371">
        <f>($E$269*$E$250/S250)</f>
        <v>109.13683449972166</v>
      </c>
      <c r="T269" s="371">
        <f>($F$269*$F$250/T250)</f>
        <v>121.21280815945514</v>
      </c>
      <c r="U269" s="371">
        <f>($G$269*$G$250/U250)</f>
        <v>150.79484911328854</v>
      </c>
      <c r="V269" s="91">
        <f>SUM(P269:U269)</f>
        <v>619.01724800063585</v>
      </c>
      <c r="W269" s="371">
        <f>($B$269*$B$250/W250)</f>
        <v>66.351909172810849</v>
      </c>
      <c r="X269" s="371">
        <f>($C$269*$C$250/X250)</f>
        <v>75.680385252803305</v>
      </c>
      <c r="Y269" s="371">
        <f>($D$269*$D$250/Y250)</f>
        <v>97.891967108939355</v>
      </c>
      <c r="Z269" s="371">
        <f>($E$269*$E$250/Z250)</f>
        <v>110.06897879326382</v>
      </c>
      <c r="AA269" s="371">
        <f>($F$269*$F$250/AA250)</f>
        <v>122.23742308590904</v>
      </c>
      <c r="AB269" s="371">
        <f>($G$269*$G$250/AB250)</f>
        <v>152.10000454800948</v>
      </c>
      <c r="AC269" s="91">
        <f>SUM(W269:AB269)</f>
        <v>624.33066796173591</v>
      </c>
      <c r="AD269" s="371">
        <f>($B$269*$B$250/AD250)</f>
        <v>66.931035387090986</v>
      </c>
      <c r="AE269" s="371">
        <f>($C$269*$C$250/AE250)</f>
        <v>76.334827630221511</v>
      </c>
      <c r="AF269" s="371">
        <f>($D$269*$D$250/AF250)</f>
        <v>98.735287241390537</v>
      </c>
      <c r="AG269" s="371">
        <f>($E$269*$E$250/AG250)</f>
        <v>111.00997558811328</v>
      </c>
      <c r="AH269" s="371">
        <f>($F$269*$F$250/AH250)</f>
        <v>123.365804406154</v>
      </c>
      <c r="AI269" s="371">
        <f>($G$269*$G$250/AI250)</f>
        <v>153.54123009924891</v>
      </c>
      <c r="AJ269" s="91">
        <f>SUM(AD269:AI269)</f>
        <v>629.91816035221916</v>
      </c>
      <c r="AK269" s="371">
        <f>($B$269*$B$250/AK250)</f>
        <v>67.521006884178135</v>
      </c>
      <c r="AL269" s="371">
        <f>($C$269*$C$250/AL250)</f>
        <v>77.003747923338167</v>
      </c>
      <c r="AM269" s="371">
        <f>($D$269*$D$250/AM250)</f>
        <v>99.590955410244334</v>
      </c>
      <c r="AN269" s="371">
        <f>($E$269*$E$250/AN250)</f>
        <v>112.03017139873975</v>
      </c>
      <c r="AO269" s="371">
        <f>($F$269*$F$250/AO250)</f>
        <v>124.54663228297476</v>
      </c>
      <c r="AP269" s="371">
        <f>($G$269*$G$250/AP250)</f>
        <v>155.01065447674688</v>
      </c>
      <c r="AQ269" s="91">
        <f>SUM(AK269:AP269)</f>
        <v>635.70316837622204</v>
      </c>
      <c r="AR269" s="371">
        <f>($B$269*$B$250/AR250)</f>
        <v>68.130160648636021</v>
      </c>
      <c r="AS269" s="371">
        <f>($C$269*$C$250/AS250)</f>
        <v>77.680161837353282</v>
      </c>
      <c r="AT269" s="371">
        <f>($D$269*$D$250/AT250)</f>
        <v>100.46040354877665</v>
      </c>
      <c r="AU269" s="371">
        <f>($E$269*$E$250/AU250)</f>
        <v>113.11517932697016</v>
      </c>
      <c r="AV269" s="371">
        <f>($F$269*$F$250/AV250)</f>
        <v>125.75032690760764</v>
      </c>
      <c r="AW269" s="371">
        <f>($G$269*$G$250/AW250)</f>
        <v>156.50849926247216</v>
      </c>
      <c r="AX269" s="91">
        <f>SUM(AR269:AW269)</f>
        <v>641.64473153181598</v>
      </c>
      <c r="AY269" s="91"/>
      <c r="AZ269" s="117"/>
      <c r="BA269" s="117"/>
      <c r="BB269" s="117"/>
      <c r="BC269" s="117"/>
      <c r="BD269" s="117"/>
      <c r="BE269" s="117"/>
    </row>
    <row r="270" spans="1:59" x14ac:dyDescent="0.25">
      <c r="A270" s="34" t="s">
        <v>544</v>
      </c>
      <c r="B270" s="25">
        <f t="shared" ref="B270:G270" si="92">B269*B264/2000</f>
        <v>7.5427402259524534</v>
      </c>
      <c r="C270" s="25">
        <f t="shared" si="92"/>
        <v>8.244629838606345</v>
      </c>
      <c r="D270" s="25">
        <f t="shared" si="92"/>
        <v>10.219574973505026</v>
      </c>
      <c r="E270" s="25">
        <f t="shared" si="92"/>
        <v>11.118762404918533</v>
      </c>
      <c r="F270" s="25">
        <f t="shared" si="92"/>
        <v>12.052860845303957</v>
      </c>
      <c r="G270" s="25">
        <f t="shared" si="92"/>
        <v>14.822910588117834</v>
      </c>
      <c r="H270" s="230"/>
      <c r="I270" s="25">
        <f t="shared" ref="I270:N270" si="93">I269*I264/2000</f>
        <v>7.5381137286022657</v>
      </c>
      <c r="J270" s="25">
        <f t="shared" si="93"/>
        <v>8.242697803710433</v>
      </c>
      <c r="K270" s="25">
        <f t="shared" si="93"/>
        <v>10.224499896749609</v>
      </c>
      <c r="L270" s="25">
        <f t="shared" si="93"/>
        <v>11.119674415522281</v>
      </c>
      <c r="M270" s="25">
        <f t="shared" si="93"/>
        <v>12.04467683268915</v>
      </c>
      <c r="N270" s="25">
        <f t="shared" si="93"/>
        <v>14.826804481545963</v>
      </c>
      <c r="O270" s="199"/>
      <c r="P270" s="25">
        <f t="shared" ref="P270:U270" si="94">P269*P264/2000</f>
        <v>7.540281710735413</v>
      </c>
      <c r="Q270" s="25">
        <f t="shared" si="94"/>
        <v>8.2499701402255354</v>
      </c>
      <c r="R270" s="25">
        <f t="shared" si="94"/>
        <v>10.23217642635159</v>
      </c>
      <c r="S270" s="25">
        <f t="shared" si="94"/>
        <v>11.126600660795882</v>
      </c>
      <c r="T270" s="25">
        <f t="shared" si="94"/>
        <v>12.053365812558383</v>
      </c>
      <c r="U270" s="25">
        <f t="shared" si="94"/>
        <v>14.835463389093988</v>
      </c>
      <c r="W270" s="25">
        <f t="shared" ref="W270:AB270" si="95">W269*W264/2000</f>
        <v>7.5444923975092415</v>
      </c>
      <c r="X270" s="25">
        <f t="shared" si="95"/>
        <v>8.255854116253154</v>
      </c>
      <c r="Y270" s="25">
        <f t="shared" si="95"/>
        <v>10.239358942026094</v>
      </c>
      <c r="Z270" s="25">
        <f t="shared" si="95"/>
        <v>11.142695130732912</v>
      </c>
      <c r="AA270" s="25">
        <f t="shared" si="95"/>
        <v>12.087328241275324</v>
      </c>
      <c r="AB270" s="25">
        <f t="shared" si="95"/>
        <v>14.884473653111632</v>
      </c>
      <c r="AD270" s="25">
        <f t="shared" ref="AD270:AI270" si="96">AD269*AD264/2000</f>
        <v>7.5525940182433144</v>
      </c>
      <c r="AE270" s="25">
        <f t="shared" si="96"/>
        <v>8.2625936488583918</v>
      </c>
      <c r="AF270" s="25">
        <f t="shared" si="96"/>
        <v>10.255930021034445</v>
      </c>
      <c r="AG270" s="25">
        <f t="shared" si="96"/>
        <v>11.177113940127038</v>
      </c>
      <c r="AH270" s="25">
        <f t="shared" si="96"/>
        <v>12.144397990886681</v>
      </c>
      <c r="AI270" s="25">
        <f t="shared" si="96"/>
        <v>14.964609158689187</v>
      </c>
      <c r="AK270" s="25">
        <f t="shared" ref="AK270:AP270" si="97">AK269*AK264/2000</f>
        <v>7.5617815595047988</v>
      </c>
      <c r="AL270" s="25">
        <f t="shared" si="97"/>
        <v>8.266213645788369</v>
      </c>
      <c r="AM270" s="25">
        <f t="shared" si="97"/>
        <v>10.277995249545661</v>
      </c>
      <c r="AN270" s="25">
        <f t="shared" si="97"/>
        <v>11.2244918444189</v>
      </c>
      <c r="AO270" s="25">
        <f t="shared" si="97"/>
        <v>12.207757316866694</v>
      </c>
      <c r="AP270" s="25">
        <f t="shared" si="97"/>
        <v>15.043430545030651</v>
      </c>
      <c r="AR270" s="25">
        <f t="shared" ref="AR270:AW270" si="98">AR269*AR264/2000</f>
        <v>7.5759920835554491</v>
      </c>
      <c r="AS270" s="25">
        <f t="shared" si="98"/>
        <v>8.2786974931175124</v>
      </c>
      <c r="AT270" s="25">
        <f t="shared" si="98"/>
        <v>10.308860187469314</v>
      </c>
      <c r="AU270" s="25">
        <f t="shared" si="98"/>
        <v>11.283716876755845</v>
      </c>
      <c r="AV270" s="25">
        <f t="shared" si="98"/>
        <v>12.272369498767905</v>
      </c>
      <c r="AW270" s="25">
        <f t="shared" si="98"/>
        <v>15.123788734552191</v>
      </c>
      <c r="AZ270" s="369"/>
    </row>
    <row r="271" spans="1:59" x14ac:dyDescent="0.25">
      <c r="B271" s="366"/>
      <c r="C271" s="366"/>
      <c r="D271" s="366"/>
      <c r="E271" s="366"/>
      <c r="F271" s="366"/>
      <c r="G271" s="366"/>
      <c r="H271" s="379"/>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K271" s="366"/>
      <c r="AL271" s="366"/>
      <c r="AM271" s="366"/>
      <c r="AN271" s="366"/>
      <c r="AO271" s="366"/>
      <c r="AP271" s="366"/>
      <c r="AR271" s="366"/>
      <c r="AS271" s="366"/>
      <c r="AT271" s="366"/>
      <c r="AU271" s="366"/>
      <c r="AV271" s="366"/>
      <c r="AW271" s="366"/>
      <c r="AY271" s="2"/>
      <c r="AZ271" s="13"/>
      <c r="BB271" s="379"/>
      <c r="BC271" s="379"/>
      <c r="BD271" s="379"/>
      <c r="BE271" s="379"/>
      <c r="BF271" s="379"/>
      <c r="BG271" s="379"/>
    </row>
    <row r="272" spans="1:59" x14ac:dyDescent="0.25">
      <c r="A272" s="17" t="s">
        <v>49</v>
      </c>
      <c r="B272" s="293"/>
      <c r="C272" s="293"/>
      <c r="D272" s="293"/>
      <c r="E272" s="293"/>
      <c r="F272" s="293"/>
      <c r="G272" s="293"/>
      <c r="H272" s="293"/>
      <c r="I272" s="374"/>
      <c r="J272" s="374"/>
      <c r="K272" s="374"/>
      <c r="L272" s="374"/>
      <c r="M272" s="374"/>
      <c r="N272" s="374"/>
      <c r="O272" s="2"/>
      <c r="P272" s="435"/>
      <c r="Q272" s="435"/>
      <c r="R272" s="435"/>
      <c r="S272" s="435"/>
      <c r="T272" s="435"/>
      <c r="U272" s="435"/>
      <c r="W272" s="293"/>
      <c r="X272" s="293"/>
      <c r="Y272" s="293"/>
      <c r="Z272" s="374"/>
      <c r="AA272" s="293"/>
      <c r="AB272" s="293"/>
      <c r="AD272" s="293"/>
      <c r="AE272" s="293"/>
      <c r="AF272" s="293"/>
      <c r="AG272" s="374"/>
      <c r="AH272" s="293"/>
      <c r="AI272" s="293"/>
      <c r="AK272" s="293"/>
      <c r="AL272" s="293"/>
      <c r="AM272" s="293"/>
      <c r="AN272" s="293"/>
      <c r="AO272" s="293"/>
      <c r="AP272" s="293"/>
      <c r="AR272" s="293"/>
      <c r="AS272" s="293"/>
      <c r="AT272" s="293"/>
      <c r="AU272" s="293"/>
      <c r="AV272" s="293"/>
      <c r="AW272" s="293"/>
      <c r="AZ272" s="13"/>
      <c r="BA272" s="13"/>
    </row>
    <row r="273" spans="1:53" x14ac:dyDescent="0.25">
      <c r="A273" s="42" t="s">
        <v>402</v>
      </c>
      <c r="B273" s="14">
        <v>0.56000000000000005</v>
      </c>
      <c r="C273" s="14">
        <v>0.56000000000000005</v>
      </c>
      <c r="D273" s="14">
        <v>0.56000000000000005</v>
      </c>
      <c r="E273" s="14">
        <v>0.56000000000000005</v>
      </c>
      <c r="F273" s="14">
        <v>0.56000000000000005</v>
      </c>
      <c r="G273" s="14">
        <v>0.56000000000000005</v>
      </c>
      <c r="H273" s="403"/>
      <c r="I273" s="14">
        <v>0.56000000000000005</v>
      </c>
      <c r="J273" s="14">
        <v>0.56000000000000005</v>
      </c>
      <c r="K273" s="14">
        <v>0.56000000000000005</v>
      </c>
      <c r="L273" s="14">
        <v>0.56000000000000005</v>
      </c>
      <c r="M273" s="14">
        <v>0.56000000000000005</v>
      </c>
      <c r="N273" s="14">
        <v>0.56000000000000005</v>
      </c>
      <c r="P273" s="14">
        <v>0.56000000000000005</v>
      </c>
      <c r="Q273" s="14">
        <v>0.56000000000000005</v>
      </c>
      <c r="R273" s="14">
        <v>0.56000000000000005</v>
      </c>
      <c r="S273" s="14">
        <v>0.56000000000000005</v>
      </c>
      <c r="T273" s="14">
        <v>0.56000000000000005</v>
      </c>
      <c r="U273" s="14">
        <v>0.56000000000000005</v>
      </c>
      <c r="W273" s="14">
        <v>0.56000000000000005</v>
      </c>
      <c r="X273" s="14">
        <v>0.56000000000000005</v>
      </c>
      <c r="Y273" s="14">
        <v>0.56000000000000005</v>
      </c>
      <c r="Z273" s="14">
        <v>0.56000000000000005</v>
      </c>
      <c r="AA273" s="14">
        <v>0.56000000000000005</v>
      </c>
      <c r="AB273" s="14">
        <v>0.56000000000000005</v>
      </c>
      <c r="AD273" s="14">
        <v>0.56000000000000005</v>
      </c>
      <c r="AE273" s="14">
        <v>0.56000000000000005</v>
      </c>
      <c r="AF273" s="14">
        <v>0.56000000000000005</v>
      </c>
      <c r="AG273" s="14">
        <v>0.56000000000000005</v>
      </c>
      <c r="AH273" s="14">
        <v>0.56000000000000005</v>
      </c>
      <c r="AI273" s="14">
        <v>0.56000000000000005</v>
      </c>
      <c r="AK273" s="14">
        <v>0.56000000000000005</v>
      </c>
      <c r="AL273" s="14">
        <v>0.56000000000000005</v>
      </c>
      <c r="AM273" s="14">
        <v>0.56000000000000005</v>
      </c>
      <c r="AN273" s="14">
        <v>0.56000000000000005</v>
      </c>
      <c r="AO273" s="14">
        <v>0.56000000000000005</v>
      </c>
      <c r="AP273" s="14">
        <v>0.56000000000000005</v>
      </c>
      <c r="AR273" s="14">
        <v>0.56000000000000005</v>
      </c>
      <c r="AS273" s="14">
        <v>0.56000000000000005</v>
      </c>
      <c r="AT273" s="14">
        <v>0.56000000000000005</v>
      </c>
      <c r="AU273" s="14">
        <v>0.56000000000000005</v>
      </c>
      <c r="AV273" s="14">
        <v>0.56000000000000005</v>
      </c>
      <c r="AW273" s="14">
        <v>0.56000000000000005</v>
      </c>
      <c r="BA273" s="2"/>
    </row>
    <row r="274" spans="1:53" x14ac:dyDescent="0.25">
      <c r="A274" s="42" t="s">
        <v>401</v>
      </c>
      <c r="B274" s="14"/>
      <c r="C274" s="14"/>
      <c r="D274" s="14"/>
      <c r="E274" s="14"/>
      <c r="F274" s="14"/>
      <c r="G274" s="14"/>
      <c r="H274" s="231"/>
      <c r="I274" s="14"/>
      <c r="J274" s="14"/>
      <c r="K274" s="14"/>
      <c r="L274" s="14"/>
      <c r="M274" s="14"/>
      <c r="N274" s="14"/>
      <c r="O274" s="200"/>
      <c r="P274" s="14"/>
      <c r="Q274" s="14"/>
      <c r="R274" s="14"/>
      <c r="S274" s="14"/>
      <c r="T274" s="14"/>
      <c r="U274" s="14"/>
      <c r="W274" s="14"/>
      <c r="X274" s="14"/>
      <c r="Y274" s="14"/>
      <c r="Z274" s="14"/>
      <c r="AA274" s="14"/>
      <c r="AB274" s="14"/>
      <c r="AD274" s="14"/>
      <c r="AE274" s="14"/>
      <c r="AF274" s="14"/>
      <c r="AG274" s="14"/>
      <c r="AH274" s="14"/>
      <c r="AI274" s="14"/>
      <c r="AK274" s="14"/>
      <c r="AL274" s="14"/>
      <c r="AM274" s="14"/>
      <c r="AN274" s="14"/>
      <c r="AO274" s="14"/>
      <c r="AP274" s="14"/>
      <c r="AR274" s="14"/>
      <c r="AS274" s="14"/>
      <c r="AT274" s="14"/>
      <c r="AU274" s="14"/>
      <c r="AV274" s="14"/>
      <c r="AW274" s="14"/>
    </row>
    <row r="275" spans="1:53" x14ac:dyDescent="0.25">
      <c r="A275" s="43" t="s">
        <v>400</v>
      </c>
      <c r="B275" s="14">
        <f t="shared" ref="B275:G275" si="99" xml:space="preserve"> 0.000000416*((B5+B6)/2)^2 - 0.000036654*((B5+B6)/2) + 0.280606061</f>
        <v>0.28002731600000003</v>
      </c>
      <c r="C275" s="14">
        <f t="shared" si="99"/>
        <v>0.281219626</v>
      </c>
      <c r="D275" s="14">
        <f t="shared" si="99"/>
        <v>0.28362810100000002</v>
      </c>
      <c r="E275" s="14">
        <f t="shared" si="99"/>
        <v>0.28748674100000005</v>
      </c>
      <c r="F275" s="14">
        <f t="shared" si="99"/>
        <v>0.29267658100000005</v>
      </c>
      <c r="G275" s="14">
        <f t="shared" si="99"/>
        <v>0.29964938600000002</v>
      </c>
      <c r="H275" s="231"/>
      <c r="I275" s="14">
        <f t="shared" ref="I275:N275" si="100" xml:space="preserve"> 0.000000416*((I5+I6)/2)^2 - 0.000036654*((I5+I6)/2) + 0.280606061</f>
        <v>0.28002731600000003</v>
      </c>
      <c r="J275" s="14">
        <f t="shared" si="100"/>
        <v>0.281219626</v>
      </c>
      <c r="K275" s="14">
        <f t="shared" si="100"/>
        <v>0.28362810100000002</v>
      </c>
      <c r="L275" s="14">
        <f t="shared" si="100"/>
        <v>0.28748674100000005</v>
      </c>
      <c r="M275" s="14">
        <f t="shared" si="100"/>
        <v>0.29267658100000005</v>
      </c>
      <c r="N275" s="14">
        <f t="shared" si="100"/>
        <v>0.29964938600000002</v>
      </c>
      <c r="O275" s="200"/>
      <c r="P275" s="14">
        <f t="shared" ref="P275:U275" si="101" xml:space="preserve"> 0.000000416*((P5+P6)/2)^2 - 0.000036654*((P5+P6)/2) + 0.280606061</f>
        <v>0.28002731600000003</v>
      </c>
      <c r="Q275" s="14">
        <f t="shared" si="101"/>
        <v>0.281219626</v>
      </c>
      <c r="R275" s="14">
        <f t="shared" si="101"/>
        <v>0.28362810100000002</v>
      </c>
      <c r="S275" s="14">
        <f t="shared" si="101"/>
        <v>0.28748674100000005</v>
      </c>
      <c r="T275" s="14">
        <f t="shared" si="101"/>
        <v>0.29267658100000005</v>
      </c>
      <c r="U275" s="14">
        <f t="shared" si="101"/>
        <v>0.29964938600000002</v>
      </c>
      <c r="W275" s="14">
        <f t="shared" ref="W275:AB275" si="102" xml:space="preserve"> 0.000000416*((W5+W6)/2)^2 - 0.000036654*((W5+W6)/2) + 0.280606061</f>
        <v>0.28002731600000003</v>
      </c>
      <c r="X275" s="14">
        <f t="shared" si="102"/>
        <v>0.281219626</v>
      </c>
      <c r="Y275" s="14">
        <f t="shared" si="102"/>
        <v>0.28362810100000002</v>
      </c>
      <c r="Z275" s="14">
        <f t="shared" si="102"/>
        <v>0.28748674100000005</v>
      </c>
      <c r="AA275" s="14">
        <f t="shared" si="102"/>
        <v>0.29267658100000005</v>
      </c>
      <c r="AB275" s="14">
        <f t="shared" si="102"/>
        <v>0.29964938600000002</v>
      </c>
      <c r="AD275" s="14">
        <f t="shared" ref="AD275:AI275" si="103" xml:space="preserve"> 0.000000416*((AD5+AD6)/2)^2 - 0.000036654*((AD5+AD6)/2) + 0.280606061</f>
        <v>0.28002731600000003</v>
      </c>
      <c r="AE275" s="14">
        <f t="shared" si="103"/>
        <v>0.281219626</v>
      </c>
      <c r="AF275" s="14">
        <f t="shared" si="103"/>
        <v>0.28362810100000002</v>
      </c>
      <c r="AG275" s="14">
        <f t="shared" si="103"/>
        <v>0.28748674100000005</v>
      </c>
      <c r="AH275" s="14">
        <f t="shared" si="103"/>
        <v>0.29267658100000005</v>
      </c>
      <c r="AI275" s="14">
        <f t="shared" si="103"/>
        <v>0.29964938600000002</v>
      </c>
      <c r="AK275" s="14">
        <f t="shared" ref="AK275:AP275" si="104" xml:space="preserve"> 0.000000416*((AK5+AK6)/2)^2 - 0.000036654*((AK5+AK6)/2) + 0.280606061</f>
        <v>0.28002731600000003</v>
      </c>
      <c r="AL275" s="14">
        <f t="shared" si="104"/>
        <v>0.281219626</v>
      </c>
      <c r="AM275" s="14">
        <f t="shared" si="104"/>
        <v>0.28362810100000002</v>
      </c>
      <c r="AN275" s="14">
        <f t="shared" si="104"/>
        <v>0.28748674100000005</v>
      </c>
      <c r="AO275" s="14">
        <f t="shared" si="104"/>
        <v>0.29267658100000005</v>
      </c>
      <c r="AP275" s="14">
        <f t="shared" si="104"/>
        <v>0.29964938600000002</v>
      </c>
      <c r="AR275" s="14">
        <f t="shared" ref="AR275:AW275" si="105" xml:space="preserve"> 0.000000416*((AR5+AR6)/2)^2 - 0.000036654*((AR5+AR6)/2) + 0.280606061</f>
        <v>0.28002731600000003</v>
      </c>
      <c r="AS275" s="14">
        <f t="shared" si="105"/>
        <v>0.281219626</v>
      </c>
      <c r="AT275" s="14">
        <f t="shared" si="105"/>
        <v>0.28362810100000002</v>
      </c>
      <c r="AU275" s="14">
        <f t="shared" si="105"/>
        <v>0.28748674100000005</v>
      </c>
      <c r="AV275" s="14">
        <f t="shared" si="105"/>
        <v>0.29267658100000005</v>
      </c>
      <c r="AW275" s="14">
        <f t="shared" si="105"/>
        <v>0.29964938600000002</v>
      </c>
    </row>
    <row r="276" spans="1:53" x14ac:dyDescent="0.25">
      <c r="A276" s="43" t="s">
        <v>399</v>
      </c>
      <c r="B276" s="14">
        <v>0.55900000000000005</v>
      </c>
      <c r="C276" s="14">
        <v>0.55900000000000005</v>
      </c>
      <c r="D276" s="14">
        <v>0.55900000000000005</v>
      </c>
      <c r="E276" s="14">
        <v>0.56899999999999995</v>
      </c>
      <c r="F276" s="14">
        <v>0.56899999999999995</v>
      </c>
      <c r="G276" s="14">
        <v>0.57899999999999996</v>
      </c>
      <c r="H276" s="231"/>
      <c r="I276" s="14">
        <v>0.55900000000000005</v>
      </c>
      <c r="J276" s="14">
        <v>0.55900000000000005</v>
      </c>
      <c r="K276" s="14">
        <v>0.55900000000000005</v>
      </c>
      <c r="L276" s="14">
        <v>0.56899999999999995</v>
      </c>
      <c r="M276" s="14">
        <v>0.56899999999999995</v>
      </c>
      <c r="N276" s="14">
        <v>0.57899999999999996</v>
      </c>
      <c r="O276" s="200"/>
      <c r="P276" s="14">
        <v>0.55900000000000005</v>
      </c>
      <c r="Q276" s="14">
        <v>0.55900000000000005</v>
      </c>
      <c r="R276" s="14">
        <v>0.55900000000000005</v>
      </c>
      <c r="S276" s="14">
        <v>0.56899999999999995</v>
      </c>
      <c r="T276" s="14">
        <v>0.56899999999999995</v>
      </c>
      <c r="U276" s="14">
        <v>0.57899999999999996</v>
      </c>
      <c r="W276" s="14">
        <v>0.55900000000000005</v>
      </c>
      <c r="X276" s="14">
        <v>0.55900000000000005</v>
      </c>
      <c r="Y276" s="14">
        <v>0.55900000000000005</v>
      </c>
      <c r="Z276" s="14">
        <v>0.56899999999999995</v>
      </c>
      <c r="AA276" s="14">
        <v>0.56899999999999995</v>
      </c>
      <c r="AB276" s="14">
        <v>0.57899999999999996</v>
      </c>
      <c r="AD276" s="14">
        <v>0.55900000000000005</v>
      </c>
      <c r="AE276" s="14">
        <v>0.55900000000000005</v>
      </c>
      <c r="AF276" s="14">
        <v>0.55900000000000005</v>
      </c>
      <c r="AG276" s="14">
        <v>0.56899999999999995</v>
      </c>
      <c r="AH276" s="14">
        <v>0.56899999999999995</v>
      </c>
      <c r="AI276" s="14">
        <v>0.57899999999999996</v>
      </c>
      <c r="AK276" s="14">
        <v>0.55900000000000005</v>
      </c>
      <c r="AL276" s="14">
        <v>0.55900000000000005</v>
      </c>
      <c r="AM276" s="14">
        <v>0.55900000000000005</v>
      </c>
      <c r="AN276" s="14">
        <v>0.56899999999999995</v>
      </c>
      <c r="AO276" s="14">
        <v>0.56899999999999995</v>
      </c>
      <c r="AP276" s="14">
        <v>0.57899999999999996</v>
      </c>
      <c r="AR276" s="14">
        <v>0.55900000000000005</v>
      </c>
      <c r="AS276" s="14">
        <v>0.55900000000000005</v>
      </c>
      <c r="AT276" s="14">
        <v>0.55900000000000005</v>
      </c>
      <c r="AU276" s="14">
        <v>0.56899999999999995</v>
      </c>
      <c r="AV276" s="14">
        <v>0.56899999999999995</v>
      </c>
      <c r="AW276" s="14">
        <v>0.57899999999999996</v>
      </c>
    </row>
    <row r="277" spans="1:53" x14ac:dyDescent="0.25">
      <c r="A277" s="43" t="s">
        <v>398</v>
      </c>
      <c r="B277" s="14">
        <v>0.61899999999999999</v>
      </c>
      <c r="C277" s="14">
        <v>0.61899999999999999</v>
      </c>
      <c r="D277" s="14">
        <v>0.61899999999999999</v>
      </c>
      <c r="E277" s="14">
        <v>0.629</v>
      </c>
      <c r="F277" s="14">
        <v>0.629</v>
      </c>
      <c r="G277" s="14">
        <v>0.63900000000000001</v>
      </c>
      <c r="H277" s="231"/>
      <c r="I277" s="14">
        <v>0.61899999999999999</v>
      </c>
      <c r="J277" s="14">
        <v>0.61899999999999999</v>
      </c>
      <c r="K277" s="14">
        <v>0.61899999999999999</v>
      </c>
      <c r="L277" s="14">
        <v>0.629</v>
      </c>
      <c r="M277" s="14">
        <v>0.629</v>
      </c>
      <c r="N277" s="14">
        <v>0.63900000000000001</v>
      </c>
      <c r="O277" s="200"/>
      <c r="P277" s="14">
        <v>0.61899999999999999</v>
      </c>
      <c r="Q277" s="14">
        <v>0.61899999999999999</v>
      </c>
      <c r="R277" s="14">
        <v>0.61899999999999999</v>
      </c>
      <c r="S277" s="14">
        <v>0.629</v>
      </c>
      <c r="T277" s="14">
        <v>0.629</v>
      </c>
      <c r="U277" s="14">
        <v>0.63900000000000001</v>
      </c>
      <c r="W277" s="14">
        <v>0.61899999999999999</v>
      </c>
      <c r="X277" s="14">
        <v>0.61899999999999999</v>
      </c>
      <c r="Y277" s="14">
        <v>0.61899999999999999</v>
      </c>
      <c r="Z277" s="14">
        <v>0.629</v>
      </c>
      <c r="AA277" s="14">
        <v>0.629</v>
      </c>
      <c r="AB277" s="14">
        <v>0.63900000000000001</v>
      </c>
      <c r="AD277" s="14">
        <v>0.61899999999999999</v>
      </c>
      <c r="AE277" s="14">
        <v>0.61899999999999999</v>
      </c>
      <c r="AF277" s="14">
        <v>0.61899999999999999</v>
      </c>
      <c r="AG277" s="14">
        <v>0.629</v>
      </c>
      <c r="AH277" s="14">
        <v>0.629</v>
      </c>
      <c r="AI277" s="14">
        <v>0.63900000000000001</v>
      </c>
      <c r="AK277" s="14">
        <v>0.61899999999999999</v>
      </c>
      <c r="AL277" s="14">
        <v>0.61899999999999999</v>
      </c>
      <c r="AM277" s="14">
        <v>0.61899999999999999</v>
      </c>
      <c r="AN277" s="14">
        <v>0.629</v>
      </c>
      <c r="AO277" s="14">
        <v>0.629</v>
      </c>
      <c r="AP277" s="14">
        <v>0.63900000000000001</v>
      </c>
      <c r="AR277" s="14">
        <v>0.61899999999999999</v>
      </c>
      <c r="AS277" s="14">
        <v>0.61899999999999999</v>
      </c>
      <c r="AT277" s="14">
        <v>0.61899999999999999</v>
      </c>
      <c r="AU277" s="14">
        <v>0.629</v>
      </c>
      <c r="AV277" s="14">
        <v>0.629</v>
      </c>
      <c r="AW277" s="14">
        <v>0.63900000000000001</v>
      </c>
    </row>
    <row r="278" spans="1:53" x14ac:dyDescent="0.25">
      <c r="A278" s="43" t="s">
        <v>397</v>
      </c>
      <c r="B278" s="14">
        <v>0.189</v>
      </c>
      <c r="C278" s="14">
        <v>0.189</v>
      </c>
      <c r="D278" s="14">
        <v>0.189</v>
      </c>
      <c r="E278" s="14">
        <v>0.189</v>
      </c>
      <c r="F278" s="14">
        <v>0.189</v>
      </c>
      <c r="G278" s="14">
        <v>0.189</v>
      </c>
      <c r="H278" s="231"/>
      <c r="I278" s="14">
        <v>0.189</v>
      </c>
      <c r="J278" s="14">
        <v>0.189</v>
      </c>
      <c r="K278" s="14">
        <v>0.189</v>
      </c>
      <c r="L278" s="14">
        <v>0.189</v>
      </c>
      <c r="M278" s="14">
        <v>0.189</v>
      </c>
      <c r="N278" s="14">
        <v>0.189</v>
      </c>
      <c r="O278" s="200"/>
      <c r="P278" s="14">
        <v>0.189</v>
      </c>
      <c r="Q278" s="14">
        <v>0.189</v>
      </c>
      <c r="R278" s="14">
        <v>0.189</v>
      </c>
      <c r="S278" s="14">
        <v>0.189</v>
      </c>
      <c r="T278" s="14">
        <v>0.189</v>
      </c>
      <c r="U278" s="14">
        <v>0.189</v>
      </c>
      <c r="W278" s="14">
        <v>0.189</v>
      </c>
      <c r="X278" s="14">
        <v>0.189</v>
      </c>
      <c r="Y278" s="14">
        <v>0.189</v>
      </c>
      <c r="Z278" s="14">
        <v>0.189</v>
      </c>
      <c r="AA278" s="14">
        <v>0.189</v>
      </c>
      <c r="AB278" s="14">
        <v>0.189</v>
      </c>
      <c r="AD278" s="14">
        <v>0.189</v>
      </c>
      <c r="AE278" s="14">
        <v>0.189</v>
      </c>
      <c r="AF278" s="14">
        <v>0.189</v>
      </c>
      <c r="AG278" s="14">
        <v>0.189</v>
      </c>
      <c r="AH278" s="14">
        <v>0.189</v>
      </c>
      <c r="AI278" s="14">
        <v>0.189</v>
      </c>
      <c r="AK278" s="14">
        <v>0.189</v>
      </c>
      <c r="AL278" s="14">
        <v>0.189</v>
      </c>
      <c r="AM278" s="14">
        <v>0.189</v>
      </c>
      <c r="AN278" s="14">
        <v>0.189</v>
      </c>
      <c r="AO278" s="14">
        <v>0.189</v>
      </c>
      <c r="AP278" s="14">
        <v>0.189</v>
      </c>
      <c r="AR278" s="14">
        <v>0.189</v>
      </c>
      <c r="AS278" s="14">
        <v>0.189</v>
      </c>
      <c r="AT278" s="14">
        <v>0.189</v>
      </c>
      <c r="AU278" s="14">
        <v>0.189</v>
      </c>
      <c r="AV278" s="14">
        <v>0.189</v>
      </c>
      <c r="AW278" s="14">
        <v>0.189</v>
      </c>
    </row>
    <row r="279" spans="1:53" x14ac:dyDescent="0.25">
      <c r="A279" s="43" t="s">
        <v>396</v>
      </c>
      <c r="B279" s="14">
        <v>0.67900000000000005</v>
      </c>
      <c r="C279" s="14">
        <v>0.67900000000000005</v>
      </c>
      <c r="D279" s="14">
        <v>0.67900000000000005</v>
      </c>
      <c r="E279" s="14">
        <v>0.67900000000000005</v>
      </c>
      <c r="F279" s="14">
        <v>0.67900000000000005</v>
      </c>
      <c r="G279" s="14">
        <v>0.67900000000000005</v>
      </c>
      <c r="H279" s="231"/>
      <c r="I279" s="14">
        <v>0.67900000000000005</v>
      </c>
      <c r="J279" s="14">
        <v>0.67900000000000005</v>
      </c>
      <c r="K279" s="14">
        <v>0.67900000000000005</v>
      </c>
      <c r="L279" s="14">
        <v>0.67900000000000005</v>
      </c>
      <c r="M279" s="14">
        <v>0.67900000000000005</v>
      </c>
      <c r="N279" s="14">
        <v>0.67900000000000005</v>
      </c>
      <c r="O279" s="200"/>
      <c r="P279" s="14">
        <v>0.67900000000000005</v>
      </c>
      <c r="Q279" s="14">
        <v>0.67900000000000005</v>
      </c>
      <c r="R279" s="14">
        <v>0.67900000000000005</v>
      </c>
      <c r="S279" s="14">
        <v>0.67900000000000005</v>
      </c>
      <c r="T279" s="14">
        <v>0.67900000000000005</v>
      </c>
      <c r="U279" s="14">
        <v>0.67900000000000005</v>
      </c>
      <c r="W279" s="14">
        <v>0.67900000000000005</v>
      </c>
      <c r="X279" s="14">
        <v>0.67900000000000005</v>
      </c>
      <c r="Y279" s="14">
        <v>0.67900000000000005</v>
      </c>
      <c r="Z279" s="14">
        <v>0.67900000000000005</v>
      </c>
      <c r="AA279" s="14">
        <v>0.67900000000000005</v>
      </c>
      <c r="AB279" s="14">
        <v>0.67900000000000005</v>
      </c>
      <c r="AD279" s="14">
        <v>0.67900000000000005</v>
      </c>
      <c r="AE279" s="14">
        <v>0.67900000000000005</v>
      </c>
      <c r="AF279" s="14">
        <v>0.67900000000000005</v>
      </c>
      <c r="AG279" s="14">
        <v>0.67900000000000005</v>
      </c>
      <c r="AH279" s="14">
        <v>0.67900000000000005</v>
      </c>
      <c r="AI279" s="14">
        <v>0.67900000000000005</v>
      </c>
      <c r="AK279" s="14">
        <v>0.67900000000000005</v>
      </c>
      <c r="AL279" s="14">
        <v>0.67900000000000005</v>
      </c>
      <c r="AM279" s="14">
        <v>0.67900000000000005</v>
      </c>
      <c r="AN279" s="14">
        <v>0.67900000000000005</v>
      </c>
      <c r="AO279" s="14">
        <v>0.67900000000000005</v>
      </c>
      <c r="AP279" s="14">
        <v>0.67900000000000005</v>
      </c>
      <c r="AR279" s="14">
        <v>0.67900000000000005</v>
      </c>
      <c r="AS279" s="14">
        <v>0.67900000000000005</v>
      </c>
      <c r="AT279" s="14">
        <v>0.67900000000000005</v>
      </c>
      <c r="AU279" s="14">
        <v>0.67900000000000005</v>
      </c>
      <c r="AV279" s="14">
        <v>0.67900000000000005</v>
      </c>
      <c r="AW279" s="14">
        <v>0.67900000000000005</v>
      </c>
    </row>
    <row r="280" spans="1:53" x14ac:dyDescent="0.25">
      <c r="A280" s="43" t="s">
        <v>395</v>
      </c>
      <c r="B280" s="14">
        <v>0.31</v>
      </c>
      <c r="C280" s="14">
        <v>0.31</v>
      </c>
      <c r="D280" s="14">
        <v>0.31</v>
      </c>
      <c r="E280" s="14">
        <v>0.31</v>
      </c>
      <c r="F280" s="14">
        <v>0.31</v>
      </c>
      <c r="G280" s="14">
        <v>0.31</v>
      </c>
      <c r="H280" s="231"/>
      <c r="I280" s="14">
        <v>0.31</v>
      </c>
      <c r="J280" s="14">
        <v>0.31</v>
      </c>
      <c r="K280" s="14">
        <v>0.31</v>
      </c>
      <c r="L280" s="14">
        <v>0.31</v>
      </c>
      <c r="M280" s="14">
        <v>0.31</v>
      </c>
      <c r="N280" s="14">
        <v>0.31</v>
      </c>
      <c r="O280" s="200"/>
      <c r="P280" s="14">
        <v>0.31</v>
      </c>
      <c r="Q280" s="14">
        <v>0.31</v>
      </c>
      <c r="R280" s="14">
        <v>0.31</v>
      </c>
      <c r="S280" s="14">
        <v>0.31</v>
      </c>
      <c r="T280" s="14">
        <v>0.31</v>
      </c>
      <c r="U280" s="14">
        <v>0.31</v>
      </c>
      <c r="W280" s="14">
        <v>0.31</v>
      </c>
      <c r="X280" s="14">
        <v>0.31</v>
      </c>
      <c r="Y280" s="14">
        <v>0.31</v>
      </c>
      <c r="Z280" s="14">
        <v>0.31</v>
      </c>
      <c r="AA280" s="14">
        <v>0.31</v>
      </c>
      <c r="AB280" s="14">
        <v>0.31</v>
      </c>
      <c r="AD280" s="14">
        <v>0.31</v>
      </c>
      <c r="AE280" s="14">
        <v>0.31</v>
      </c>
      <c r="AF280" s="14">
        <v>0.31</v>
      </c>
      <c r="AG280" s="14">
        <v>0.31</v>
      </c>
      <c r="AH280" s="14">
        <v>0.31</v>
      </c>
      <c r="AI280" s="14">
        <v>0.31</v>
      </c>
      <c r="AK280" s="14">
        <v>0.31</v>
      </c>
      <c r="AL280" s="14">
        <v>0.31</v>
      </c>
      <c r="AM280" s="14">
        <v>0.31</v>
      </c>
      <c r="AN280" s="14">
        <v>0.31</v>
      </c>
      <c r="AO280" s="14">
        <v>0.31</v>
      </c>
      <c r="AP280" s="14">
        <v>0.31</v>
      </c>
      <c r="AR280" s="14">
        <v>0.31</v>
      </c>
      <c r="AS280" s="14">
        <v>0.31</v>
      </c>
      <c r="AT280" s="14">
        <v>0.31</v>
      </c>
      <c r="AU280" s="14">
        <v>0.31</v>
      </c>
      <c r="AV280" s="14">
        <v>0.31</v>
      </c>
      <c r="AW280" s="14">
        <v>0.31</v>
      </c>
    </row>
    <row r="281" spans="1:53" x14ac:dyDescent="0.25">
      <c r="A281" s="50" t="s">
        <v>149</v>
      </c>
      <c r="B281" s="28">
        <f t="shared" ref="B281:G281" si="106">IF(AVERAGE(B5:B6)&lt;51,0.000025*((B6+B5)/2)^2 - 0.01005*((B6+B5)/2) + 1.5955,(0.00000649518*((B5+B6)/2)^2 - 0.00338103746*((B5+B6)/2) + 1.049852))</f>
        <v>0.85122563532500006</v>
      </c>
      <c r="C281" s="28">
        <f t="shared" si="106"/>
        <v>0.77153564522499996</v>
      </c>
      <c r="D281" s="28">
        <f t="shared" si="106"/>
        <v>0.70381228360000003</v>
      </c>
      <c r="E281" s="28">
        <f t="shared" si="106"/>
        <v>0.65170908920000004</v>
      </c>
      <c r="F281" s="28">
        <f t="shared" si="106"/>
        <v>0.62039047080000009</v>
      </c>
      <c r="G281" s="28">
        <f t="shared" si="106"/>
        <v>0.60988816362500009</v>
      </c>
      <c r="H281" s="28"/>
      <c r="I281" s="28">
        <f t="shared" ref="I281:N281" si="107">IF(AVERAGE(I5:I6)&lt;51,0.000025*((I6+I5)/2)^2 - 0.01005*((I6+I5)/2) + 1.5955,(0.00000649518*((I5+I6)/2)^2 - 0.00338103746*((I5+I6)/2) + 1.049852))</f>
        <v>0.85122563532500006</v>
      </c>
      <c r="J281" s="28">
        <f t="shared" si="107"/>
        <v>0.77153564522499996</v>
      </c>
      <c r="K281" s="28">
        <f t="shared" si="107"/>
        <v>0.70381228360000003</v>
      </c>
      <c r="L281" s="28">
        <f t="shared" si="107"/>
        <v>0.65170908920000004</v>
      </c>
      <c r="M281" s="28">
        <f t="shared" si="107"/>
        <v>0.62039047080000009</v>
      </c>
      <c r="N281" s="28">
        <f t="shared" si="107"/>
        <v>0.60988816362500009</v>
      </c>
      <c r="O281" s="200"/>
      <c r="P281" s="28">
        <f t="shared" ref="P281:U281" si="108">IF(AVERAGE(P5:P6)&lt;51,0.000025*((P6+P5)/2)^2 - 0.01005*((P6+P5)/2) + 1.5955,(0.00000649518*((P5+P6)/2)^2 - 0.00338103746*((P5+P6)/2) + 1.049852))</f>
        <v>0.85122563532500006</v>
      </c>
      <c r="Q281" s="28">
        <f t="shared" si="108"/>
        <v>0.77153564522499996</v>
      </c>
      <c r="R281" s="28">
        <f t="shared" si="108"/>
        <v>0.70381228360000003</v>
      </c>
      <c r="S281" s="28">
        <f t="shared" si="108"/>
        <v>0.65170908920000004</v>
      </c>
      <c r="T281" s="28">
        <f t="shared" si="108"/>
        <v>0.62039047080000009</v>
      </c>
      <c r="U281" s="28">
        <f t="shared" si="108"/>
        <v>0.60988816362500009</v>
      </c>
      <c r="W281" s="28">
        <f t="shared" ref="W281:AB281" si="109">IF(AVERAGE(W5:W6)&lt;51,0.000025*((W6+W5)/2)^2 - 0.01005*((W6+W5)/2) + 1.5955,(0.00000649518*((W5+W6)/2)^2 - 0.00338103746*((W5+W6)/2) + 1.049852))</f>
        <v>0.85122563532500006</v>
      </c>
      <c r="X281" s="28">
        <f t="shared" si="109"/>
        <v>0.77153564522499996</v>
      </c>
      <c r="Y281" s="28">
        <f t="shared" si="109"/>
        <v>0.70381228360000003</v>
      </c>
      <c r="Z281" s="28">
        <f t="shared" si="109"/>
        <v>0.65170908920000004</v>
      </c>
      <c r="AA281" s="28">
        <f t="shared" si="109"/>
        <v>0.62039047080000009</v>
      </c>
      <c r="AB281" s="28">
        <f t="shared" si="109"/>
        <v>0.60988816362500009</v>
      </c>
      <c r="AD281" s="28">
        <f t="shared" ref="AD281:AI281" si="110">IF(AVERAGE(AD5:AD6)&lt;51,0.000025*((AD6+AD5)/2)^2 - 0.01005*((AD6+AD5)/2) + 1.5955,(0.00000649518*((AD5+AD6)/2)^2 - 0.00338103746*((AD5+AD6)/2) + 1.049852))</f>
        <v>0.85122563532500006</v>
      </c>
      <c r="AE281" s="28">
        <f t="shared" si="110"/>
        <v>0.77153564522499996</v>
      </c>
      <c r="AF281" s="28">
        <f t="shared" si="110"/>
        <v>0.70381228360000003</v>
      </c>
      <c r="AG281" s="28">
        <f t="shared" si="110"/>
        <v>0.65170908920000004</v>
      </c>
      <c r="AH281" s="28">
        <f t="shared" si="110"/>
        <v>0.62039047080000009</v>
      </c>
      <c r="AI281" s="28">
        <f t="shared" si="110"/>
        <v>0.60988816362500009</v>
      </c>
      <c r="AK281" s="28">
        <f t="shared" ref="AK281:AP281" si="111">IF(AVERAGE(AK5:AK6)&lt;51,0.000025*((AK6+AK5)/2)^2 - 0.01005*((AK6+AK5)/2) + 1.5955,(0.00000649518*((AK5+AK6)/2)^2 - 0.00338103746*((AK5+AK6)/2) + 1.049852))</f>
        <v>0.85122563532500006</v>
      </c>
      <c r="AL281" s="28">
        <f t="shared" si="111"/>
        <v>0.77153564522499996</v>
      </c>
      <c r="AM281" s="28">
        <f t="shared" si="111"/>
        <v>0.70381228360000003</v>
      </c>
      <c r="AN281" s="28">
        <f t="shared" si="111"/>
        <v>0.65170908920000004</v>
      </c>
      <c r="AO281" s="28">
        <f t="shared" si="111"/>
        <v>0.62039047080000009</v>
      </c>
      <c r="AP281" s="28">
        <f t="shared" si="111"/>
        <v>0.60988816362500009</v>
      </c>
      <c r="AR281" s="28">
        <f t="shared" ref="AR281:AW281" si="112">IF(AVERAGE(AR5:AR6)&lt;51,0.000025*((AR6+AR5)/2)^2 - 0.01005*((AR6+AR5)/2) + 1.5955,(0.00000649518*((AR5+AR6)/2)^2 - 0.00338103746*((AR5+AR6)/2) + 1.049852))</f>
        <v>0.85122563532500006</v>
      </c>
      <c r="AS281" s="28">
        <f t="shared" si="112"/>
        <v>0.77153564522499996</v>
      </c>
      <c r="AT281" s="28">
        <f t="shared" si="112"/>
        <v>0.70381228360000003</v>
      </c>
      <c r="AU281" s="28">
        <f t="shared" si="112"/>
        <v>0.65170908920000004</v>
      </c>
      <c r="AV281" s="28">
        <f t="shared" si="112"/>
        <v>0.62039047080000009</v>
      </c>
      <c r="AW281" s="28">
        <f t="shared" si="112"/>
        <v>0.60988816362500009</v>
      </c>
    </row>
    <row r="282" spans="1:53" x14ac:dyDescent="0.25">
      <c r="A282" s="50" t="s">
        <v>150</v>
      </c>
      <c r="B282" s="28">
        <f t="shared" ref="B282:G282" si="113">IF(AVERAGE(B5:B6)&lt;51,0.000025*((B6+B5)/2)^2 - 0.01005*((B6+B5)/2) + 1.5955,0.00000649518*((B6+B5)/2)^2 - 0.00338103746*((B6+B5)/2) + 1.3529)</f>
        <v>1.154273635325</v>
      </c>
      <c r="C282" s="28">
        <f t="shared" si="113"/>
        <v>1.0745836452249999</v>
      </c>
      <c r="D282" s="28">
        <f t="shared" si="113"/>
        <v>1.0068602836</v>
      </c>
      <c r="E282" s="28">
        <f t="shared" si="113"/>
        <v>0.95475708920000002</v>
      </c>
      <c r="F282" s="28">
        <f t="shared" si="113"/>
        <v>0.92343847080000008</v>
      </c>
      <c r="G282" s="28">
        <f t="shared" si="113"/>
        <v>0.91293616362500007</v>
      </c>
      <c r="H282" s="28"/>
      <c r="I282" s="28">
        <f t="shared" ref="I282:N282" si="114">IF(AVERAGE(I5:I6)&lt;51,0.000025*((I6+I5)/2)^2 - 0.01005*((I6+I5)/2) + 1.5955,0.00000649518*((I6+I5)/2)^2 - 0.00338103746*((I6+I5)/2) + 1.3529)</f>
        <v>1.154273635325</v>
      </c>
      <c r="J282" s="28">
        <f t="shared" si="114"/>
        <v>1.0745836452249999</v>
      </c>
      <c r="K282" s="28">
        <f t="shared" si="114"/>
        <v>1.0068602836</v>
      </c>
      <c r="L282" s="28">
        <f t="shared" si="114"/>
        <v>0.95475708920000002</v>
      </c>
      <c r="M282" s="28">
        <f t="shared" si="114"/>
        <v>0.92343847080000008</v>
      </c>
      <c r="N282" s="28">
        <f t="shared" si="114"/>
        <v>0.91293616362500007</v>
      </c>
      <c r="O282" s="28"/>
      <c r="P282" s="28">
        <f t="shared" ref="P282:U282" si="115">IF(AVERAGE(P5:P6)&lt;51,0.000025*((P6+P5)/2)^2 - 0.01005*((P6+P5)/2) + 1.5955,0.00000649518*((P6+P5)/2)^2 - 0.00338103746*((P6+P5)/2) + 1.3529)</f>
        <v>1.154273635325</v>
      </c>
      <c r="Q282" s="28">
        <f t="shared" si="115"/>
        <v>1.0745836452249999</v>
      </c>
      <c r="R282" s="28">
        <f t="shared" si="115"/>
        <v>1.0068602836</v>
      </c>
      <c r="S282" s="28">
        <f t="shared" si="115"/>
        <v>0.95475708920000002</v>
      </c>
      <c r="T282" s="28">
        <f t="shared" si="115"/>
        <v>0.92343847080000008</v>
      </c>
      <c r="U282" s="28">
        <f t="shared" si="115"/>
        <v>0.91293616362500007</v>
      </c>
      <c r="W282" s="28">
        <f t="shared" ref="W282:AB282" si="116">IF(AVERAGE(W5:W6)&lt;51,0.000025*((W6+W5)/2)^2 - 0.01005*((W6+W5)/2) + 1.5955,0.00000649518*((W6+W5)/2)^2 - 0.00338103746*((W6+W5)/2) + 1.3529)</f>
        <v>1.154273635325</v>
      </c>
      <c r="X282" s="28">
        <f t="shared" si="116"/>
        <v>1.0745836452249999</v>
      </c>
      <c r="Y282" s="28">
        <f t="shared" si="116"/>
        <v>1.0068602836</v>
      </c>
      <c r="Z282" s="28">
        <f t="shared" si="116"/>
        <v>0.95475708920000002</v>
      </c>
      <c r="AA282" s="28">
        <f t="shared" si="116"/>
        <v>0.92343847080000008</v>
      </c>
      <c r="AB282" s="28">
        <f t="shared" si="116"/>
        <v>0.91293616362500007</v>
      </c>
      <c r="AD282" s="28">
        <f t="shared" ref="AD282:AI282" si="117">IF(AVERAGE(AD5:AD6)&lt;51,0.000025*((AD6+AD5)/2)^2 - 0.01005*((AD6+AD5)/2) + 1.5955,0.00000649518*((AD6+AD5)/2)^2 - 0.00338103746*((AD6+AD5)/2) + 1.3529)</f>
        <v>1.154273635325</v>
      </c>
      <c r="AE282" s="28">
        <f t="shared" si="117"/>
        <v>1.0745836452249999</v>
      </c>
      <c r="AF282" s="28">
        <f t="shared" si="117"/>
        <v>1.0068602836</v>
      </c>
      <c r="AG282" s="28">
        <f t="shared" si="117"/>
        <v>0.95475708920000002</v>
      </c>
      <c r="AH282" s="28">
        <f t="shared" si="117"/>
        <v>0.92343847080000008</v>
      </c>
      <c r="AI282" s="28">
        <f t="shared" si="117"/>
        <v>0.91293616362500007</v>
      </c>
      <c r="AK282" s="28">
        <f t="shared" ref="AK282:AP282" si="118">IF(AVERAGE(AK5:AK6)&lt;51,0.000025*((AK6+AK5)/2)^2 - 0.01005*((AK6+AK5)/2) + 1.5955,0.00000649518*((AK6+AK5)/2)^2 - 0.00338103746*((AK6+AK5)/2) + 1.3529)</f>
        <v>1.154273635325</v>
      </c>
      <c r="AL282" s="28">
        <f t="shared" si="118"/>
        <v>1.0745836452249999</v>
      </c>
      <c r="AM282" s="28">
        <f t="shared" si="118"/>
        <v>1.0068602836</v>
      </c>
      <c r="AN282" s="28">
        <f t="shared" si="118"/>
        <v>0.95475708920000002</v>
      </c>
      <c r="AO282" s="28">
        <f t="shared" si="118"/>
        <v>0.92343847080000008</v>
      </c>
      <c r="AP282" s="28">
        <f t="shared" si="118"/>
        <v>0.91293616362500007</v>
      </c>
      <c r="AR282" s="28">
        <f t="shared" ref="AR282:AW282" si="119">IF(AVERAGE(AR5:AR6)&lt;51,0.000025*((AR6+AR5)/2)^2 - 0.01005*((AR6+AR5)/2) + 1.5955,0.00000649518*((AR6+AR5)/2)^2 - 0.00338103746*((AR6+AR5)/2) + 1.3529)</f>
        <v>1.154273635325</v>
      </c>
      <c r="AS282" s="28">
        <f t="shared" si="119"/>
        <v>1.0745836452249999</v>
      </c>
      <c r="AT282" s="28">
        <f t="shared" si="119"/>
        <v>1.0068602836</v>
      </c>
      <c r="AU282" s="28">
        <f t="shared" si="119"/>
        <v>0.95475708920000002</v>
      </c>
      <c r="AV282" s="28">
        <f t="shared" si="119"/>
        <v>0.92343847080000008</v>
      </c>
      <c r="AW282" s="28">
        <f t="shared" si="119"/>
        <v>0.91293616362500007</v>
      </c>
    </row>
    <row r="283" spans="1:53" x14ac:dyDescent="0.25">
      <c r="A283" s="15" t="s">
        <v>51</v>
      </c>
      <c r="B283" s="28">
        <f t="shared" ref="B283:G283" si="120">B281*(B246*2.2046)/10000</f>
        <v>0.28053008203811425</v>
      </c>
      <c r="C283" s="28">
        <f t="shared" si="120"/>
        <v>0.2550261869451555</v>
      </c>
      <c r="D283" s="28">
        <f t="shared" si="120"/>
        <v>0.23325719020912211</v>
      </c>
      <c r="E283" s="28">
        <f t="shared" si="120"/>
        <v>0.21659170668863326</v>
      </c>
      <c r="F283" s="28">
        <f t="shared" si="120"/>
        <v>0.20667416767087224</v>
      </c>
      <c r="G283" s="28">
        <f t="shared" si="120"/>
        <v>0.20336945171913379</v>
      </c>
      <c r="H283" s="28"/>
      <c r="I283" s="28">
        <f t="shared" ref="I283:N283" si="121">I281*(I246*2.2046)/10000</f>
        <v>0.28113278030051814</v>
      </c>
      <c r="J283" s="28">
        <f t="shared" si="121"/>
        <v>0.25555554291203364</v>
      </c>
      <c r="K283" s="28">
        <f t="shared" si="121"/>
        <v>0.23376978030995887</v>
      </c>
      <c r="L283" s="28">
        <f t="shared" si="121"/>
        <v>0.21705054555374728</v>
      </c>
      <c r="M283" s="28">
        <f t="shared" si="121"/>
        <v>0.2071049885242352</v>
      </c>
      <c r="N283" s="28">
        <f t="shared" si="121"/>
        <v>0.20380149419472288</v>
      </c>
      <c r="O283" s="28"/>
      <c r="P283" s="28">
        <f t="shared" ref="P283:U283" si="122">P281*(P246*2.2046)/10000</f>
        <v>0.28172991387720375</v>
      </c>
      <c r="Q283" s="28">
        <f t="shared" si="122"/>
        <v>0.25610242775007264</v>
      </c>
      <c r="R283" s="28">
        <f t="shared" si="122"/>
        <v>0.23426773474629345</v>
      </c>
      <c r="S283" s="28">
        <f t="shared" si="122"/>
        <v>0.21751630370166244</v>
      </c>
      <c r="T283" s="28">
        <f t="shared" si="122"/>
        <v>0.20754747335708176</v>
      </c>
      <c r="U283" s="28">
        <f t="shared" si="122"/>
        <v>0.2042344711288176</v>
      </c>
      <c r="W283" s="28">
        <f t="shared" ref="W283:AB283" si="123">W281*(W246*2.2046)/10000</f>
        <v>0.2823321999420817</v>
      </c>
      <c r="X283" s="28">
        <f t="shared" si="123"/>
        <v>0.25664938116492275</v>
      </c>
      <c r="Y283" s="28">
        <f t="shared" si="123"/>
        <v>0.23477393831158003</v>
      </c>
      <c r="Z283" s="28">
        <f t="shared" si="123"/>
        <v>0.21798840934054362</v>
      </c>
      <c r="AA283" s="28">
        <f t="shared" si="123"/>
        <v>0.20801070783275163</v>
      </c>
      <c r="AB283" s="28">
        <f t="shared" si="123"/>
        <v>0.20464752033518124</v>
      </c>
      <c r="AD283" s="28">
        <f t="shared" ref="AD283:AI283" si="124">AD281*(AD246*2.2046)/10000</f>
        <v>0.28294186820372458</v>
      </c>
      <c r="AE283" s="28">
        <f t="shared" si="124"/>
        <v>0.25720615720194312</v>
      </c>
      <c r="AF283" s="28">
        <f t="shared" si="124"/>
        <v>0.23528751828620642</v>
      </c>
      <c r="AG283" s="28">
        <f t="shared" si="124"/>
        <v>0.21847485222678009</v>
      </c>
      <c r="AH283" s="28">
        <f t="shared" si="124"/>
        <v>0.20833314337933312</v>
      </c>
      <c r="AI283" s="28">
        <f t="shared" si="124"/>
        <v>0.20491499123735971</v>
      </c>
      <c r="AK283" s="28">
        <f t="shared" ref="AK283:AP283" si="125">AK281*(AK246*2.2046)/10000</f>
        <v>0.2835520495941603</v>
      </c>
      <c r="AL283" s="28">
        <f t="shared" si="125"/>
        <v>0.25775601803335307</v>
      </c>
      <c r="AM283" s="28">
        <f t="shared" si="125"/>
        <v>0.23580772297886091</v>
      </c>
      <c r="AN283" s="28">
        <f t="shared" si="125"/>
        <v>0.21884393777844466</v>
      </c>
      <c r="AO283" s="28">
        <f t="shared" si="125"/>
        <v>0.20860529793574384</v>
      </c>
      <c r="AP283" s="28">
        <f t="shared" si="125"/>
        <v>0.20518162278618415</v>
      </c>
      <c r="AR283" s="28">
        <f t="shared" ref="AR283:AW283" si="126">AR281*(AR246*2.2046)/10000</f>
        <v>0.28415058152752543</v>
      </c>
      <c r="AS283" s="28">
        <f t="shared" si="126"/>
        <v>0.25831988092014646</v>
      </c>
      <c r="AT283" s="28">
        <f t="shared" si="126"/>
        <v>0.23633285159340167</v>
      </c>
      <c r="AU283" s="28">
        <f t="shared" si="126"/>
        <v>0.21912976900488021</v>
      </c>
      <c r="AV283" s="28">
        <f t="shared" si="126"/>
        <v>0.20887742688329716</v>
      </c>
      <c r="AW283" s="28">
        <f t="shared" si="126"/>
        <v>0.20544824135072914</v>
      </c>
    </row>
    <row r="284" spans="1:53" x14ac:dyDescent="0.25">
      <c r="A284" s="15" t="s">
        <v>375</v>
      </c>
      <c r="B284" s="28">
        <f t="shared" ref="B284:G284" si="127" xml:space="preserve"> -0.096629122*LN(AVERAGE(B5:B6)/2.2046) + 0.7201091526</f>
        <v>0.38948473530861316</v>
      </c>
      <c r="C284" s="28">
        <f t="shared" si="127"/>
        <v>0.34911934963648045</v>
      </c>
      <c r="D284" s="28">
        <f t="shared" si="127"/>
        <v>0.31899235830889017</v>
      </c>
      <c r="E284" s="28">
        <f t="shared" si="127"/>
        <v>0.29470806575817415</v>
      </c>
      <c r="F284" s="28">
        <f t="shared" si="127"/>
        <v>0.27531743264453717</v>
      </c>
      <c r="G284" s="28">
        <f t="shared" si="127"/>
        <v>0.25825045546730907</v>
      </c>
      <c r="H284" s="28"/>
      <c r="I284" s="28">
        <f t="shared" ref="I284:N284" si="128" xml:space="preserve"> -0.096629122*LN(AVERAGE(I5:I6)/2.2046) + 0.7201091526</f>
        <v>0.38948473530861316</v>
      </c>
      <c r="J284" s="28">
        <f t="shared" si="128"/>
        <v>0.34911934963648045</v>
      </c>
      <c r="K284" s="28">
        <f t="shared" si="128"/>
        <v>0.31899235830889017</v>
      </c>
      <c r="L284" s="28">
        <f t="shared" si="128"/>
        <v>0.29470806575817415</v>
      </c>
      <c r="M284" s="28">
        <f t="shared" si="128"/>
        <v>0.27531743264453717</v>
      </c>
      <c r="N284" s="28">
        <f t="shared" si="128"/>
        <v>0.25825045546730907</v>
      </c>
      <c r="O284" s="28"/>
      <c r="P284" s="28">
        <f t="shared" ref="P284:U284" si="129" xml:space="preserve"> -0.096629122*LN(AVERAGE(P5:P6)/2.2046) + 0.7201091526</f>
        <v>0.38948473530861316</v>
      </c>
      <c r="Q284" s="28">
        <f t="shared" si="129"/>
        <v>0.34911934963648045</v>
      </c>
      <c r="R284" s="28">
        <f t="shared" si="129"/>
        <v>0.31899235830889017</v>
      </c>
      <c r="S284" s="28">
        <f t="shared" si="129"/>
        <v>0.29470806575817415</v>
      </c>
      <c r="T284" s="28">
        <f t="shared" si="129"/>
        <v>0.27531743264453717</v>
      </c>
      <c r="U284" s="28">
        <f t="shared" si="129"/>
        <v>0.25825045546730907</v>
      </c>
      <c r="W284" s="28">
        <f t="shared" ref="W284:AB284" si="130" xml:space="preserve"> -0.096629122*LN(AVERAGE(W5:W6)/2.2046) + 0.7201091526</f>
        <v>0.38948473530861316</v>
      </c>
      <c r="X284" s="28">
        <f t="shared" si="130"/>
        <v>0.34911934963648045</v>
      </c>
      <c r="Y284" s="28">
        <f t="shared" si="130"/>
        <v>0.31899235830889017</v>
      </c>
      <c r="Z284" s="28">
        <f t="shared" si="130"/>
        <v>0.29470806575817415</v>
      </c>
      <c r="AA284" s="28">
        <f t="shared" si="130"/>
        <v>0.27531743264453717</v>
      </c>
      <c r="AB284" s="28">
        <f t="shared" si="130"/>
        <v>0.25825045546730907</v>
      </c>
      <c r="AD284" s="28">
        <f t="shared" ref="AD284:AI284" si="131" xml:space="preserve"> -0.096629122*LN(AVERAGE(AD5:AD6)/2.2046) + 0.7201091526</f>
        <v>0.38948473530861316</v>
      </c>
      <c r="AE284" s="28">
        <f t="shared" si="131"/>
        <v>0.34911934963648045</v>
      </c>
      <c r="AF284" s="28">
        <f t="shared" si="131"/>
        <v>0.31899235830889017</v>
      </c>
      <c r="AG284" s="28">
        <f t="shared" si="131"/>
        <v>0.29470806575817415</v>
      </c>
      <c r="AH284" s="28">
        <f t="shared" si="131"/>
        <v>0.27531743264453717</v>
      </c>
      <c r="AI284" s="28">
        <f t="shared" si="131"/>
        <v>0.25825045546730907</v>
      </c>
      <c r="AK284" s="28">
        <f t="shared" ref="AK284:AP284" si="132" xml:space="preserve"> -0.096629122*LN(AVERAGE(AK5:AK6)/2.2046) + 0.7201091526</f>
        <v>0.38948473530861316</v>
      </c>
      <c r="AL284" s="28">
        <f t="shared" si="132"/>
        <v>0.34911934963648045</v>
      </c>
      <c r="AM284" s="28">
        <f t="shared" si="132"/>
        <v>0.31899235830889017</v>
      </c>
      <c r="AN284" s="28">
        <f t="shared" si="132"/>
        <v>0.29470806575817415</v>
      </c>
      <c r="AO284" s="28">
        <f t="shared" si="132"/>
        <v>0.27531743264453717</v>
      </c>
      <c r="AP284" s="28">
        <f t="shared" si="132"/>
        <v>0.25825045546730907</v>
      </c>
      <c r="AR284" s="28">
        <f t="shared" ref="AR284:AW284" si="133" xml:space="preserve"> -0.096629122*LN(AVERAGE(AR5:AR6)/2.2046) + 0.7201091526</f>
        <v>0.38948473530861316</v>
      </c>
      <c r="AS284" s="28">
        <f t="shared" si="133"/>
        <v>0.34911934963648045</v>
      </c>
      <c r="AT284" s="28">
        <f t="shared" si="133"/>
        <v>0.31899235830889017</v>
      </c>
      <c r="AU284" s="28">
        <f t="shared" si="133"/>
        <v>0.29470806575817415</v>
      </c>
      <c r="AV284" s="28">
        <f t="shared" si="133"/>
        <v>0.27531743264453717</v>
      </c>
      <c r="AW284" s="28">
        <f t="shared" si="133"/>
        <v>0.25825045546730907</v>
      </c>
    </row>
    <row r="285" spans="1:53" x14ac:dyDescent="0.25">
      <c r="A285" s="50" t="s">
        <v>154</v>
      </c>
      <c r="B285" s="26">
        <v>1</v>
      </c>
      <c r="C285" s="26">
        <v>1</v>
      </c>
      <c r="D285" s="26">
        <v>1</v>
      </c>
      <c r="E285" s="26">
        <v>1</v>
      </c>
      <c r="F285" s="26">
        <v>1</v>
      </c>
      <c r="G285" s="26">
        <v>1</v>
      </c>
      <c r="H285" s="26"/>
      <c r="I285" s="26">
        <v>1</v>
      </c>
      <c r="J285" s="26">
        <v>1</v>
      </c>
      <c r="K285" s="26">
        <v>1</v>
      </c>
      <c r="L285" s="26">
        <v>1</v>
      </c>
      <c r="M285" s="26">
        <v>1</v>
      </c>
      <c r="N285" s="26">
        <v>1</v>
      </c>
      <c r="O285" s="28"/>
      <c r="P285" s="26">
        <v>1</v>
      </c>
      <c r="Q285" s="26">
        <v>1</v>
      </c>
      <c r="R285" s="26">
        <v>1</v>
      </c>
      <c r="S285" s="26">
        <v>1</v>
      </c>
      <c r="T285" s="26">
        <v>1</v>
      </c>
      <c r="U285" s="26">
        <v>1</v>
      </c>
      <c r="W285" s="26">
        <v>1</v>
      </c>
      <c r="X285" s="26">
        <v>1</v>
      </c>
      <c r="Y285" s="26">
        <v>1</v>
      </c>
      <c r="Z285" s="26">
        <v>1</v>
      </c>
      <c r="AA285" s="26">
        <v>1</v>
      </c>
      <c r="AB285" s="26">
        <v>1</v>
      </c>
      <c r="AD285" s="26">
        <v>1</v>
      </c>
      <c r="AE285" s="26">
        <v>1</v>
      </c>
      <c r="AF285" s="26">
        <v>1</v>
      </c>
      <c r="AG285" s="26">
        <v>1</v>
      </c>
      <c r="AH285" s="26">
        <v>1</v>
      </c>
      <c r="AI285" s="26">
        <v>1</v>
      </c>
      <c r="AK285" s="26">
        <v>1</v>
      </c>
      <c r="AL285" s="26">
        <v>1</v>
      </c>
      <c r="AM285" s="26">
        <v>1</v>
      </c>
      <c r="AN285" s="26">
        <v>1</v>
      </c>
      <c r="AO285" s="26">
        <v>1</v>
      </c>
      <c r="AP285" s="26">
        <v>1</v>
      </c>
      <c r="AR285" s="26">
        <v>1</v>
      </c>
      <c r="AS285" s="26">
        <v>1</v>
      </c>
      <c r="AT285" s="26">
        <v>1</v>
      </c>
      <c r="AU285" s="26">
        <v>1</v>
      </c>
      <c r="AV285" s="26">
        <v>1</v>
      </c>
      <c r="AW285" s="26">
        <v>1</v>
      </c>
    </row>
    <row r="286" spans="1:53" x14ac:dyDescent="0.25">
      <c r="A286" s="50" t="s">
        <v>153</v>
      </c>
      <c r="B286" s="26">
        <v>1.5</v>
      </c>
      <c r="C286" s="26">
        <v>1.5</v>
      </c>
      <c r="D286" s="26">
        <v>1.5</v>
      </c>
      <c r="E286" s="26">
        <v>1.5</v>
      </c>
      <c r="F286" s="26">
        <v>1.5</v>
      </c>
      <c r="G286" s="26">
        <v>1.5</v>
      </c>
      <c r="H286" s="26"/>
      <c r="I286" s="26">
        <v>1.5</v>
      </c>
      <c r="J286" s="26">
        <v>1.5</v>
      </c>
      <c r="K286" s="26">
        <v>1.5</v>
      </c>
      <c r="L286" s="26">
        <v>1.5</v>
      </c>
      <c r="M286" s="26">
        <v>1.5</v>
      </c>
      <c r="N286" s="26">
        <v>1.5</v>
      </c>
      <c r="O286" s="26"/>
      <c r="P286" s="26">
        <v>1.5</v>
      </c>
      <c r="Q286" s="26">
        <v>1.5</v>
      </c>
      <c r="R286" s="26">
        <v>1.5</v>
      </c>
      <c r="S286" s="26">
        <v>1.5</v>
      </c>
      <c r="T286" s="26">
        <v>1.5</v>
      </c>
      <c r="U286" s="26">
        <v>1.5</v>
      </c>
      <c r="W286" s="26">
        <v>1.5</v>
      </c>
      <c r="X286" s="26">
        <v>1.5</v>
      </c>
      <c r="Y286" s="26">
        <v>1.5</v>
      </c>
      <c r="Z286" s="26">
        <v>1.5</v>
      </c>
      <c r="AA286" s="26">
        <v>1.5</v>
      </c>
      <c r="AB286" s="26">
        <v>1.5</v>
      </c>
      <c r="AD286" s="26">
        <v>1.5</v>
      </c>
      <c r="AE286" s="26">
        <v>1.5</v>
      </c>
      <c r="AF286" s="26">
        <v>1.5</v>
      </c>
      <c r="AG286" s="26">
        <v>1.5</v>
      </c>
      <c r="AH286" s="26">
        <v>1.5</v>
      </c>
      <c r="AI286" s="26">
        <v>1.5</v>
      </c>
      <c r="AK286" s="26">
        <v>1.5</v>
      </c>
      <c r="AL286" s="26">
        <v>1.5</v>
      </c>
      <c r="AM286" s="26">
        <v>1.5</v>
      </c>
      <c r="AN286" s="26">
        <v>1.5</v>
      </c>
      <c r="AO286" s="26">
        <v>1.5</v>
      </c>
      <c r="AP286" s="26">
        <v>1.5</v>
      </c>
      <c r="AR286" s="26">
        <v>1.5</v>
      </c>
      <c r="AS286" s="26">
        <v>1.5</v>
      </c>
      <c r="AT286" s="26">
        <v>1.5</v>
      </c>
      <c r="AU286" s="26">
        <v>1.5</v>
      </c>
      <c r="AV286" s="26">
        <v>1.5</v>
      </c>
      <c r="AW286" s="26">
        <v>1.5</v>
      </c>
    </row>
    <row r="287" spans="1:53" x14ac:dyDescent="0.25">
      <c r="A287" s="50" t="s">
        <v>368</v>
      </c>
      <c r="B287" s="33">
        <f t="shared" ref="B287:G287" si="134">-0.12264*LN(AVERAGE(B5:B6)/2.2046) + 1.07262</f>
        <v>0.65299724345031629</v>
      </c>
      <c r="C287" s="33">
        <f t="shared" si="134"/>
        <v>0.60176619843647083</v>
      </c>
      <c r="D287" s="33">
        <f t="shared" si="134"/>
        <v>0.56352954534532851</v>
      </c>
      <c r="E287" s="33">
        <f t="shared" si="134"/>
        <v>0.53270834386095811</v>
      </c>
      <c r="F287" s="33">
        <f t="shared" si="134"/>
        <v>0.50809808976948001</v>
      </c>
      <c r="G287" s="33">
        <f t="shared" si="134"/>
        <v>0.48643697935376851</v>
      </c>
      <c r="H287" s="33"/>
      <c r="I287" s="33">
        <f t="shared" ref="I287:N287" si="135">-0.12264*LN(AVERAGE(I5:I6)/2.2046) + 1.07262</f>
        <v>0.65299724345031629</v>
      </c>
      <c r="J287" s="33">
        <f t="shared" si="135"/>
        <v>0.60176619843647083</v>
      </c>
      <c r="K287" s="33">
        <f t="shared" si="135"/>
        <v>0.56352954534532851</v>
      </c>
      <c r="L287" s="33">
        <f t="shared" si="135"/>
        <v>0.53270834386095811</v>
      </c>
      <c r="M287" s="33">
        <f t="shared" si="135"/>
        <v>0.50809808976948001</v>
      </c>
      <c r="N287" s="33">
        <f t="shared" si="135"/>
        <v>0.48643697935376851</v>
      </c>
      <c r="O287" s="26"/>
      <c r="P287" s="33">
        <f t="shared" ref="P287:U287" si="136">-0.12264*LN(AVERAGE(P5:P6)/2.2046) + 1.07262</f>
        <v>0.65299724345031629</v>
      </c>
      <c r="Q287" s="33">
        <f t="shared" si="136"/>
        <v>0.60176619843647083</v>
      </c>
      <c r="R287" s="33">
        <f t="shared" si="136"/>
        <v>0.56352954534532851</v>
      </c>
      <c r="S287" s="33">
        <f t="shared" si="136"/>
        <v>0.53270834386095811</v>
      </c>
      <c r="T287" s="33">
        <f t="shared" si="136"/>
        <v>0.50809808976948001</v>
      </c>
      <c r="U287" s="33">
        <f t="shared" si="136"/>
        <v>0.48643697935376851</v>
      </c>
      <c r="W287" s="33">
        <f t="shared" ref="W287:AB287" si="137">-0.12264*LN(AVERAGE(W5:W6)/2.2046) + 1.07262</f>
        <v>0.65299724345031629</v>
      </c>
      <c r="X287" s="33">
        <f t="shared" si="137"/>
        <v>0.60176619843647083</v>
      </c>
      <c r="Y287" s="33">
        <f t="shared" si="137"/>
        <v>0.56352954534532851</v>
      </c>
      <c r="Z287" s="33">
        <f t="shared" si="137"/>
        <v>0.53270834386095811</v>
      </c>
      <c r="AA287" s="33">
        <f t="shared" si="137"/>
        <v>0.50809808976948001</v>
      </c>
      <c r="AB287" s="33">
        <f t="shared" si="137"/>
        <v>0.48643697935376851</v>
      </c>
      <c r="AD287" s="33">
        <f t="shared" ref="AD287:AI287" si="138">-0.12264*LN(AVERAGE(AD5:AD6)/2.2046) + 1.07262</f>
        <v>0.65299724345031629</v>
      </c>
      <c r="AE287" s="33">
        <f t="shared" si="138"/>
        <v>0.60176619843647083</v>
      </c>
      <c r="AF287" s="33">
        <f t="shared" si="138"/>
        <v>0.56352954534532851</v>
      </c>
      <c r="AG287" s="33">
        <f t="shared" si="138"/>
        <v>0.53270834386095811</v>
      </c>
      <c r="AH287" s="33">
        <f t="shared" si="138"/>
        <v>0.50809808976948001</v>
      </c>
      <c r="AI287" s="33">
        <f t="shared" si="138"/>
        <v>0.48643697935376851</v>
      </c>
      <c r="AK287" s="33">
        <f t="shared" ref="AK287:AP287" si="139">-0.12264*LN(AVERAGE(AK5:AK6)/2.2046) + 1.07262</f>
        <v>0.65299724345031629</v>
      </c>
      <c r="AL287" s="33">
        <f t="shared" si="139"/>
        <v>0.60176619843647083</v>
      </c>
      <c r="AM287" s="33">
        <f t="shared" si="139"/>
        <v>0.56352954534532851</v>
      </c>
      <c r="AN287" s="33">
        <f t="shared" si="139"/>
        <v>0.53270834386095811</v>
      </c>
      <c r="AO287" s="33">
        <f t="shared" si="139"/>
        <v>0.50809808976948001</v>
      </c>
      <c r="AP287" s="33">
        <f t="shared" si="139"/>
        <v>0.48643697935376851</v>
      </c>
      <c r="AR287" s="33">
        <f t="shared" ref="AR287:AW287" si="140">-0.12264*LN(AVERAGE(AR5:AR6)/2.2046) + 1.07262</f>
        <v>0.65299724345031629</v>
      </c>
      <c r="AS287" s="33">
        <f t="shared" si="140"/>
        <v>0.60176619843647083</v>
      </c>
      <c r="AT287" s="33">
        <f t="shared" si="140"/>
        <v>0.56352954534532851</v>
      </c>
      <c r="AU287" s="33">
        <f t="shared" si="140"/>
        <v>0.53270834386095811</v>
      </c>
      <c r="AV287" s="33">
        <f t="shared" si="140"/>
        <v>0.50809808976948001</v>
      </c>
      <c r="AW287" s="33">
        <f t="shared" si="140"/>
        <v>0.48643697935376851</v>
      </c>
    </row>
    <row r="288" spans="1:53" x14ac:dyDescent="0.25">
      <c r="A288" s="50" t="s">
        <v>370</v>
      </c>
      <c r="B288" s="33">
        <v>0.4</v>
      </c>
      <c r="C288" s="33">
        <v>0.36</v>
      </c>
      <c r="D288" s="33">
        <v>0.32</v>
      </c>
      <c r="E288" s="33">
        <v>0.28999999999999998</v>
      </c>
      <c r="F288" s="33">
        <v>0.27</v>
      </c>
      <c r="G288" s="33">
        <v>0.26</v>
      </c>
      <c r="H288" s="33"/>
      <c r="I288" s="33">
        <v>0.4</v>
      </c>
      <c r="J288" s="33">
        <v>0.36</v>
      </c>
      <c r="K288" s="33">
        <v>0.32</v>
      </c>
      <c r="L288" s="33">
        <v>0.28999999999999998</v>
      </c>
      <c r="M288" s="33">
        <v>0.27</v>
      </c>
      <c r="N288" s="33">
        <v>0.26</v>
      </c>
      <c r="O288" s="33"/>
      <c r="P288" s="33">
        <v>0.4</v>
      </c>
      <c r="Q288" s="33">
        <v>0.36</v>
      </c>
      <c r="R288" s="33">
        <v>0.32</v>
      </c>
      <c r="S288" s="33">
        <v>0.28999999999999998</v>
      </c>
      <c r="T288" s="33">
        <v>0.27</v>
      </c>
      <c r="U288" s="33">
        <v>0.26</v>
      </c>
      <c r="W288" s="33">
        <v>0.4</v>
      </c>
      <c r="X288" s="33">
        <v>0.36</v>
      </c>
      <c r="Y288" s="33">
        <v>0.32</v>
      </c>
      <c r="Z288" s="33">
        <v>0.28999999999999998</v>
      </c>
      <c r="AA288" s="33">
        <v>0.27</v>
      </c>
      <c r="AB288" s="33">
        <v>0.26</v>
      </c>
      <c r="AD288" s="33">
        <v>0.4</v>
      </c>
      <c r="AE288" s="33">
        <v>0.36</v>
      </c>
      <c r="AF288" s="33">
        <v>0.32</v>
      </c>
      <c r="AG288" s="33">
        <v>0.28999999999999998</v>
      </c>
      <c r="AH288" s="33">
        <v>0.27</v>
      </c>
      <c r="AI288" s="33">
        <v>0.26</v>
      </c>
      <c r="AK288" s="33">
        <v>0.4</v>
      </c>
      <c r="AL288" s="33">
        <v>0.36</v>
      </c>
      <c r="AM288" s="33">
        <v>0.32</v>
      </c>
      <c r="AN288" s="33">
        <v>0.28999999999999998</v>
      </c>
      <c r="AO288" s="33">
        <v>0.27</v>
      </c>
      <c r="AP288" s="33">
        <v>0.26</v>
      </c>
      <c r="AR288" s="33">
        <v>0.4</v>
      </c>
      <c r="AS288" s="33">
        <v>0.36</v>
      </c>
      <c r="AT288" s="33">
        <v>0.32</v>
      </c>
      <c r="AU288" s="33">
        <v>0.28999999999999998</v>
      </c>
      <c r="AV288" s="33">
        <v>0.27</v>
      </c>
      <c r="AW288" s="33">
        <v>0.26</v>
      </c>
    </row>
    <row r="289" spans="1:49" x14ac:dyDescent="0.25">
      <c r="A289" s="50" t="s">
        <v>369</v>
      </c>
      <c r="B289" s="33">
        <v>1.74</v>
      </c>
      <c r="C289" s="33">
        <v>1.74</v>
      </c>
      <c r="D289" s="33">
        <v>1.79</v>
      </c>
      <c r="E289" s="33">
        <v>1.79</v>
      </c>
      <c r="F289" s="33">
        <v>1.77</v>
      </c>
      <c r="G289" s="33">
        <v>1.77</v>
      </c>
      <c r="H289" s="33"/>
      <c r="I289" s="33">
        <v>1.74</v>
      </c>
      <c r="J289" s="33">
        <v>1.74</v>
      </c>
      <c r="K289" s="33">
        <v>1.79</v>
      </c>
      <c r="L289" s="33">
        <v>1.79</v>
      </c>
      <c r="M289" s="33">
        <v>1.77</v>
      </c>
      <c r="N289" s="33">
        <v>1.77</v>
      </c>
      <c r="O289" s="33"/>
      <c r="P289" s="33">
        <v>1.74</v>
      </c>
      <c r="Q289" s="33">
        <v>1.74</v>
      </c>
      <c r="R289" s="33">
        <v>1.79</v>
      </c>
      <c r="S289" s="33">
        <v>1.79</v>
      </c>
      <c r="T289" s="33">
        <v>1.77</v>
      </c>
      <c r="U289" s="33">
        <v>1.77</v>
      </c>
      <c r="W289" s="33">
        <v>1.74</v>
      </c>
      <c r="X289" s="33">
        <v>1.74</v>
      </c>
      <c r="Y289" s="33">
        <v>1.79</v>
      </c>
      <c r="Z289" s="33">
        <v>1.79</v>
      </c>
      <c r="AA289" s="33">
        <v>1.77</v>
      </c>
      <c r="AB289" s="33">
        <v>1.77</v>
      </c>
      <c r="AD289" s="33">
        <v>1.74</v>
      </c>
      <c r="AE289" s="33">
        <v>1.74</v>
      </c>
      <c r="AF289" s="33">
        <v>1.79</v>
      </c>
      <c r="AG289" s="33">
        <v>1.79</v>
      </c>
      <c r="AH289" s="33">
        <v>1.77</v>
      </c>
      <c r="AI289" s="33">
        <v>1.77</v>
      </c>
      <c r="AK289" s="33">
        <v>1.74</v>
      </c>
      <c r="AL289" s="33">
        <v>1.74</v>
      </c>
      <c r="AM289" s="33">
        <v>1.79</v>
      </c>
      <c r="AN289" s="33">
        <v>1.79</v>
      </c>
      <c r="AO289" s="33">
        <v>1.77</v>
      </c>
      <c r="AP289" s="33">
        <v>1.77</v>
      </c>
      <c r="AR289" s="33">
        <v>1.74</v>
      </c>
      <c r="AS289" s="33">
        <v>1.74</v>
      </c>
      <c r="AT289" s="33">
        <v>1.79</v>
      </c>
      <c r="AU289" s="33">
        <v>1.79</v>
      </c>
      <c r="AV289" s="33">
        <v>1.77</v>
      </c>
      <c r="AW289" s="33">
        <v>1.77</v>
      </c>
    </row>
    <row r="290" spans="1:49" x14ac:dyDescent="0.25">
      <c r="A290" s="50" t="s">
        <v>152</v>
      </c>
      <c r="B290" s="26">
        <v>7.3</v>
      </c>
      <c r="C290" s="26">
        <v>8.3000000000000007</v>
      </c>
      <c r="D290" s="26">
        <v>9.3000000000000007</v>
      </c>
      <c r="E290" s="26">
        <v>10.3</v>
      </c>
      <c r="F290" s="26">
        <v>11.3</v>
      </c>
      <c r="G290" s="26">
        <v>11.3</v>
      </c>
      <c r="H290" s="26"/>
      <c r="I290" s="26">
        <v>7.3</v>
      </c>
      <c r="J290" s="26">
        <v>8.3000000000000007</v>
      </c>
      <c r="K290" s="26">
        <v>9.3000000000000007</v>
      </c>
      <c r="L290" s="26">
        <v>10.3</v>
      </c>
      <c r="M290" s="26">
        <v>11.3</v>
      </c>
      <c r="N290" s="26">
        <v>11.3</v>
      </c>
      <c r="O290" s="33"/>
      <c r="P290" s="26">
        <v>7.3</v>
      </c>
      <c r="Q290" s="26">
        <v>8.3000000000000007</v>
      </c>
      <c r="R290" s="26">
        <v>9.3000000000000007</v>
      </c>
      <c r="S290" s="26">
        <v>10.3</v>
      </c>
      <c r="T290" s="26">
        <v>11.3</v>
      </c>
      <c r="U290" s="26">
        <v>11.3</v>
      </c>
      <c r="W290" s="26">
        <v>7.3</v>
      </c>
      <c r="X290" s="26">
        <v>8.3000000000000007</v>
      </c>
      <c r="Y290" s="26">
        <v>9.3000000000000007</v>
      </c>
      <c r="Z290" s="26">
        <v>10.3</v>
      </c>
      <c r="AA290" s="26">
        <v>11.3</v>
      </c>
      <c r="AB290" s="26">
        <v>11.3</v>
      </c>
      <c r="AD290" s="26">
        <v>7.3</v>
      </c>
      <c r="AE290" s="26">
        <v>8.3000000000000007</v>
      </c>
      <c r="AF290" s="26">
        <v>9.3000000000000007</v>
      </c>
      <c r="AG290" s="26">
        <v>10.3</v>
      </c>
      <c r="AH290" s="26">
        <v>11.3</v>
      </c>
      <c r="AI290" s="26">
        <v>11.3</v>
      </c>
      <c r="AK290" s="26">
        <v>7.3</v>
      </c>
      <c r="AL290" s="26">
        <v>8.3000000000000007</v>
      </c>
      <c r="AM290" s="26">
        <v>9.3000000000000007</v>
      </c>
      <c r="AN290" s="26">
        <v>10.3</v>
      </c>
      <c r="AO290" s="26">
        <v>11.3</v>
      </c>
      <c r="AP290" s="26">
        <v>11.3</v>
      </c>
      <c r="AR290" s="26">
        <v>7.3</v>
      </c>
      <c r="AS290" s="26">
        <v>8.3000000000000007</v>
      </c>
      <c r="AT290" s="26">
        <v>9.3000000000000007</v>
      </c>
      <c r="AU290" s="26">
        <v>10.3</v>
      </c>
      <c r="AV290" s="26">
        <v>11.3</v>
      </c>
      <c r="AW290" s="26">
        <v>11.3</v>
      </c>
    </row>
    <row r="291" spans="1:49" x14ac:dyDescent="0.25">
      <c r="A291" s="15"/>
      <c r="B291" s="26"/>
      <c r="C291" s="26"/>
      <c r="D291" s="26"/>
      <c r="E291" s="26"/>
      <c r="F291" s="26"/>
      <c r="G291" s="26"/>
      <c r="H291" s="26"/>
      <c r="I291" s="26"/>
      <c r="J291" s="26"/>
      <c r="K291" s="26"/>
      <c r="L291" s="26"/>
      <c r="M291" s="26"/>
      <c r="N291" s="26"/>
      <c r="O291" s="26"/>
      <c r="P291" s="26"/>
      <c r="Q291" s="26"/>
      <c r="R291" s="26"/>
      <c r="S291" s="26"/>
      <c r="T291" s="26"/>
      <c r="U291" s="26"/>
      <c r="W291" s="26"/>
      <c r="X291" s="26"/>
      <c r="Y291" s="26"/>
      <c r="Z291" s="26"/>
      <c r="AA291" s="26"/>
      <c r="AB291" s="26"/>
      <c r="AD291" s="26"/>
      <c r="AE291" s="26"/>
      <c r="AF291" s="26"/>
      <c r="AG291" s="26"/>
      <c r="AH291" s="26"/>
      <c r="AI291" s="26"/>
      <c r="AK291" s="26"/>
      <c r="AL291" s="26"/>
      <c r="AM291" s="26"/>
      <c r="AN291" s="26"/>
      <c r="AO291" s="26"/>
      <c r="AP291" s="26"/>
      <c r="AR291" s="26"/>
      <c r="AS291" s="26"/>
      <c r="AT291" s="26"/>
      <c r="AU291" s="26"/>
      <c r="AV291" s="26"/>
      <c r="AW291" s="26"/>
    </row>
    <row r="292" spans="1:49" x14ac:dyDescent="0.25">
      <c r="A292" s="41" t="s">
        <v>349</v>
      </c>
      <c r="B292" s="33">
        <f t="shared" ref="B292:G292" si="141">IF(AVERAGE(B5:B6)&lt;15,-0.0525*((B5+B6)/2) + 5.0586,IF(AVERAGE(B5:B6)&lt;50,(-0.007855*((B5+B6)/2) + 4.1),(0.000025*((B5+B6)/2)^2 - 0.016*((B5+B6)/2)+ 4.53)*0.87))</f>
        <v>3.1005984375</v>
      </c>
      <c r="C292" s="33">
        <f t="shared" si="141"/>
        <v>2.7428109375000003</v>
      </c>
      <c r="D292" s="33">
        <f t="shared" si="141"/>
        <v>2.4186000000000001</v>
      </c>
      <c r="E292" s="33">
        <f t="shared" si="141"/>
        <v>2.1402000000000005</v>
      </c>
      <c r="F292" s="33">
        <f t="shared" si="141"/>
        <v>1.9314000000000002</v>
      </c>
      <c r="G292" s="33">
        <f t="shared" si="141"/>
        <v>1.7858109375</v>
      </c>
      <c r="H292" s="33"/>
      <c r="I292" s="33">
        <f t="shared" ref="I292:N292" si="142">IF(AVERAGE(I5:I6)&lt;15,-0.0525*((I5+I6)/2) + 5.0586,IF(AVERAGE(I5:I6)&lt;50,(-0.007855*((I5+I6)/2) + 4.1),(0.000025*((I5+I6)/2)^2 - 0.016*((I5+I6)/2)+ 4.53)*0.87))</f>
        <v>3.1005984375</v>
      </c>
      <c r="J292" s="33">
        <f t="shared" si="142"/>
        <v>2.7428109375000003</v>
      </c>
      <c r="K292" s="33">
        <f t="shared" si="142"/>
        <v>2.4186000000000001</v>
      </c>
      <c r="L292" s="33">
        <f t="shared" si="142"/>
        <v>2.1402000000000005</v>
      </c>
      <c r="M292" s="33">
        <f t="shared" si="142"/>
        <v>1.9314000000000002</v>
      </c>
      <c r="N292" s="33">
        <f t="shared" si="142"/>
        <v>1.7858109375</v>
      </c>
      <c r="O292" s="26"/>
      <c r="P292" s="33">
        <f t="shared" ref="P292:U292" si="143">IF(AVERAGE(P5:P6)&lt;15,-0.0525*((P5+P6)/2) + 5.0586,IF(AVERAGE(P5:P6)&lt;50,(-0.007855*((P5+P6)/2) + 4.1),(0.000025*((P5+P6)/2)^2 - 0.016*((P5+P6)/2)+ 4.53)*0.87))</f>
        <v>3.1005984375</v>
      </c>
      <c r="Q292" s="33">
        <f t="shared" si="143"/>
        <v>2.7428109375000003</v>
      </c>
      <c r="R292" s="33">
        <f t="shared" si="143"/>
        <v>2.4186000000000001</v>
      </c>
      <c r="S292" s="33">
        <f t="shared" si="143"/>
        <v>2.1402000000000005</v>
      </c>
      <c r="T292" s="33">
        <f t="shared" si="143"/>
        <v>1.9314000000000002</v>
      </c>
      <c r="U292" s="33">
        <f t="shared" si="143"/>
        <v>1.7858109375</v>
      </c>
      <c r="W292" s="33">
        <f t="shared" ref="W292:AB292" si="144">IF(AVERAGE(W5:W6)&lt;15,-0.0525*((W5+W6)/2) + 5.0586,IF(AVERAGE(W5:W6)&lt;50,(-0.007855*((W5+W6)/2) + 4.1),(0.000025*((W5+W6)/2)^2 - 0.016*((W5+W6)/2)+ 4.53)*0.87))</f>
        <v>3.1005984375</v>
      </c>
      <c r="X292" s="33">
        <f t="shared" si="144"/>
        <v>2.7428109375000003</v>
      </c>
      <c r="Y292" s="33">
        <f t="shared" si="144"/>
        <v>2.4186000000000001</v>
      </c>
      <c r="Z292" s="33">
        <f t="shared" si="144"/>
        <v>2.1402000000000005</v>
      </c>
      <c r="AA292" s="33">
        <f t="shared" si="144"/>
        <v>1.9314000000000002</v>
      </c>
      <c r="AB292" s="33">
        <f t="shared" si="144"/>
        <v>1.7858109375</v>
      </c>
      <c r="AD292" s="33">
        <f t="shared" ref="AD292:AI292" si="145">IF(AVERAGE(AD5:AD6)&lt;15,-0.0525*((AD5+AD6)/2) + 5.0586,IF(AVERAGE(AD5:AD6)&lt;50,(-0.007855*((AD5+AD6)/2) + 4.1),(0.000025*((AD5+AD6)/2)^2 - 0.016*((AD5+AD6)/2)+ 4.53)*0.87))</f>
        <v>3.1005984375</v>
      </c>
      <c r="AE292" s="33">
        <f t="shared" si="145"/>
        <v>2.7428109375000003</v>
      </c>
      <c r="AF292" s="33">
        <f t="shared" si="145"/>
        <v>2.4186000000000001</v>
      </c>
      <c r="AG292" s="33">
        <f t="shared" si="145"/>
        <v>2.1402000000000005</v>
      </c>
      <c r="AH292" s="33">
        <f t="shared" si="145"/>
        <v>1.9314000000000002</v>
      </c>
      <c r="AI292" s="33">
        <f t="shared" si="145"/>
        <v>1.7858109375</v>
      </c>
      <c r="AK292" s="33">
        <f t="shared" ref="AK292:AP292" si="146">IF(AVERAGE(AK5:AK6)&lt;15,-0.0525*((AK5+AK6)/2) + 5.0586,IF(AVERAGE(AK5:AK6)&lt;50,(-0.007855*((AK5+AK6)/2) + 4.1),(0.000025*((AK5+AK6)/2)^2 - 0.016*((AK5+AK6)/2)+ 4.53)*0.87))</f>
        <v>3.1005984375</v>
      </c>
      <c r="AL292" s="33">
        <f t="shared" si="146"/>
        <v>2.7428109375000003</v>
      </c>
      <c r="AM292" s="33">
        <f t="shared" si="146"/>
        <v>2.4186000000000001</v>
      </c>
      <c r="AN292" s="33">
        <f t="shared" si="146"/>
        <v>2.1402000000000005</v>
      </c>
      <c r="AO292" s="33">
        <f t="shared" si="146"/>
        <v>1.9314000000000002</v>
      </c>
      <c r="AP292" s="33">
        <f t="shared" si="146"/>
        <v>1.7858109375</v>
      </c>
      <c r="AR292" s="33">
        <f t="shared" ref="AR292:AW292" si="147">IF(AVERAGE(AR5:AR6)&lt;15,-0.0525*((AR5+AR6)/2) + 5.0586,IF(AVERAGE(AR5:AR6)&lt;50,(-0.007855*((AR5+AR6)/2) + 4.1),(0.000025*((AR5+AR6)/2)^2 - 0.016*((AR5+AR6)/2)+ 4.53)*0.87))</f>
        <v>3.1005984375</v>
      </c>
      <c r="AS292" s="33">
        <f t="shared" si="147"/>
        <v>2.7428109375000003</v>
      </c>
      <c r="AT292" s="33">
        <f t="shared" si="147"/>
        <v>2.4186000000000001</v>
      </c>
      <c r="AU292" s="33">
        <f t="shared" si="147"/>
        <v>2.1402000000000005</v>
      </c>
      <c r="AV292" s="33">
        <f t="shared" si="147"/>
        <v>1.9314000000000002</v>
      </c>
      <c r="AW292" s="33">
        <f t="shared" si="147"/>
        <v>1.7858109375</v>
      </c>
    </row>
    <row r="293" spans="1:49" x14ac:dyDescent="0.25">
      <c r="A293" s="40" t="s">
        <v>108</v>
      </c>
      <c r="B293" s="26">
        <f t="shared" ref="B293:G293" si="148">IF(B292="","",B246*2.2046*B292/10000)</f>
        <v>1.0218338099122541</v>
      </c>
      <c r="C293" s="26">
        <f t="shared" si="148"/>
        <v>0.90661866270365665</v>
      </c>
      <c r="D293" s="26">
        <f t="shared" si="148"/>
        <v>0.80157146072263108</v>
      </c>
      <c r="E293" s="26">
        <f t="shared" si="148"/>
        <v>0.71128296096658616</v>
      </c>
      <c r="F293" s="26">
        <f t="shared" si="148"/>
        <v>0.64341814748506398</v>
      </c>
      <c r="G293" s="26">
        <f t="shared" si="148"/>
        <v>0.5954852264631163</v>
      </c>
      <c r="H293" s="26"/>
      <c r="I293" s="26">
        <f t="shared" ref="I293:N293" si="149">IF(I292="","",I246*2.2046*I292/10000)</f>
        <v>1.0240291447484517</v>
      </c>
      <c r="J293" s="26">
        <f t="shared" si="149"/>
        <v>0.90850052434513762</v>
      </c>
      <c r="K293" s="26">
        <f t="shared" si="149"/>
        <v>0.80333293952425489</v>
      </c>
      <c r="L293" s="26">
        <f t="shared" si="149"/>
        <v>0.71278977889407957</v>
      </c>
      <c r="M293" s="26">
        <f t="shared" si="149"/>
        <v>0.64475937923401738</v>
      </c>
      <c r="N293" s="26">
        <f t="shared" si="149"/>
        <v>0.59675028819801823</v>
      </c>
      <c r="O293" s="33"/>
      <c r="P293" s="26">
        <f t="shared" ref="P293:U293" si="150">IF(P292="","",P246*2.2046*P292/10000)</f>
        <v>1.0262042101576878</v>
      </c>
      <c r="Q293" s="26">
        <f t="shared" si="150"/>
        <v>0.91044470116264398</v>
      </c>
      <c r="R293" s="26">
        <f t="shared" si="150"/>
        <v>0.80504412392353608</v>
      </c>
      <c r="S293" s="26">
        <f t="shared" si="150"/>
        <v>0.71431931961199679</v>
      </c>
      <c r="T293" s="26">
        <f t="shared" si="150"/>
        <v>0.64613692329116235</v>
      </c>
      <c r="U293" s="26">
        <f t="shared" si="150"/>
        <v>0.59801808611689522</v>
      </c>
      <c r="W293" s="26">
        <f t="shared" ref="W293:AB293" si="151">IF(W292="","",W246*2.2046*W292/10000)</f>
        <v>1.0283980435600095</v>
      </c>
      <c r="X293" s="26">
        <f t="shared" si="151"/>
        <v>0.91238912177086662</v>
      </c>
      <c r="Y293" s="26">
        <f t="shared" si="151"/>
        <v>0.80678365585773271</v>
      </c>
      <c r="Z293" s="26">
        <f t="shared" si="151"/>
        <v>0.71586970536704853</v>
      </c>
      <c r="AA293" s="26">
        <f t="shared" si="151"/>
        <v>0.64757906514926511</v>
      </c>
      <c r="AB293" s="26">
        <f t="shared" si="151"/>
        <v>0.59922753374097382</v>
      </c>
      <c r="AD293" s="26">
        <f t="shared" ref="AD293:AI293" si="152">IF(AD292="","",AD246*2.2046*AD292/10000)</f>
        <v>1.030618766692627</v>
      </c>
      <c r="AE293" s="26">
        <f t="shared" si="152"/>
        <v>0.91436846182278608</v>
      </c>
      <c r="AF293" s="26">
        <f t="shared" si="152"/>
        <v>0.8085485362890289</v>
      </c>
      <c r="AG293" s="26">
        <f t="shared" si="152"/>
        <v>0.71746717436414553</v>
      </c>
      <c r="AH293" s="26">
        <f t="shared" si="152"/>
        <v>0.64858287169365725</v>
      </c>
      <c r="AI293" s="26">
        <f t="shared" si="152"/>
        <v>0.60001071415184504</v>
      </c>
      <c r="AK293" s="26">
        <f t="shared" ref="AK293:AP293" si="153">IF(AK292="","",AK246*2.2046*AK292/10000)</f>
        <v>1.0328413589023342</v>
      </c>
      <c r="AL293" s="26">
        <f t="shared" si="153"/>
        <v>0.91632321830335584</v>
      </c>
      <c r="AM293" s="26">
        <f t="shared" si="153"/>
        <v>0.81033618208460745</v>
      </c>
      <c r="AN293" s="26">
        <f t="shared" si="153"/>
        <v>0.71867924415228079</v>
      </c>
      <c r="AO293" s="26">
        <f t="shared" si="153"/>
        <v>0.64943014342814054</v>
      </c>
      <c r="AP293" s="26">
        <f t="shared" si="153"/>
        <v>0.60079143685573078</v>
      </c>
      <c r="AR293" s="26">
        <f t="shared" ref="AR293:AW293" si="154">IF(AR292="","",AR246*2.2046*AR292/10000)</f>
        <v>1.0350215178406599</v>
      </c>
      <c r="AS293" s="26">
        <f t="shared" si="154"/>
        <v>0.91832775212200546</v>
      </c>
      <c r="AT293" s="26">
        <f t="shared" si="154"/>
        <v>0.81214074858156005</v>
      </c>
      <c r="AU293" s="26">
        <f t="shared" si="154"/>
        <v>0.71961790835223594</v>
      </c>
      <c r="AV293" s="26">
        <f t="shared" si="154"/>
        <v>0.65027733543711308</v>
      </c>
      <c r="AW293" s="26">
        <f t="shared" si="154"/>
        <v>0.60157212154040307</v>
      </c>
    </row>
    <row r="294" spans="1:49" x14ac:dyDescent="0.25">
      <c r="A294" s="15"/>
      <c r="B294" s="26"/>
      <c r="C294" s="26"/>
      <c r="D294" s="26"/>
      <c r="E294" s="26"/>
      <c r="F294" s="26"/>
      <c r="G294" s="26"/>
      <c r="H294" s="26"/>
      <c r="I294" s="26"/>
      <c r="J294" s="26"/>
      <c r="K294" s="26"/>
      <c r="L294" s="26"/>
      <c r="M294" s="26"/>
      <c r="N294" s="26"/>
      <c r="O294" s="26"/>
      <c r="P294" s="26"/>
      <c r="Q294" s="26"/>
      <c r="R294" s="26"/>
      <c r="S294" s="26"/>
      <c r="T294" s="26"/>
      <c r="U294" s="26"/>
      <c r="W294" s="26"/>
      <c r="X294" s="26"/>
      <c r="Y294" s="26"/>
      <c r="Z294" s="26"/>
      <c r="AA294" s="26"/>
      <c r="AB294" s="26"/>
      <c r="AD294" s="26"/>
      <c r="AE294" s="26"/>
      <c r="AF294" s="26"/>
      <c r="AG294" s="26"/>
      <c r="AH294" s="26"/>
      <c r="AI294" s="26"/>
      <c r="AK294" s="26"/>
      <c r="AL294" s="26"/>
      <c r="AM294" s="26"/>
      <c r="AN294" s="26"/>
      <c r="AO294" s="26"/>
      <c r="AP294" s="26"/>
      <c r="AR294" s="26"/>
      <c r="AS294" s="26"/>
      <c r="AT294" s="26"/>
      <c r="AU294" s="26"/>
      <c r="AV294" s="26"/>
      <c r="AW294" s="26"/>
    </row>
    <row r="295" spans="1:49" x14ac:dyDescent="0.25">
      <c r="B295" s="26"/>
      <c r="C295" s="26"/>
      <c r="D295" s="26"/>
      <c r="E295" s="26"/>
      <c r="F295" s="26"/>
      <c r="G295" s="26"/>
      <c r="H295" s="26"/>
      <c r="I295" s="26"/>
      <c r="J295" s="26"/>
      <c r="K295" s="26"/>
      <c r="L295" s="26"/>
      <c r="M295" s="26"/>
      <c r="N295" s="26"/>
      <c r="O295" s="26"/>
      <c r="P295" s="26"/>
      <c r="Q295" s="26"/>
      <c r="R295" s="26"/>
      <c r="S295" s="26"/>
      <c r="T295" s="26"/>
      <c r="U295" s="26"/>
      <c r="W295" s="26"/>
      <c r="X295" s="26"/>
      <c r="Y295" s="26"/>
      <c r="Z295" s="26"/>
      <c r="AA295" s="26"/>
      <c r="AB295" s="26"/>
      <c r="AD295" s="26"/>
      <c r="AE295" s="26"/>
      <c r="AF295" s="26"/>
      <c r="AG295" s="26"/>
      <c r="AH295" s="26"/>
      <c r="AI295" s="26"/>
      <c r="AK295" s="26"/>
      <c r="AL295" s="26"/>
      <c r="AM295" s="26"/>
      <c r="AN295" s="26"/>
      <c r="AO295" s="26"/>
      <c r="AP295" s="26"/>
      <c r="AR295" s="26"/>
      <c r="AS295" s="26"/>
      <c r="AT295" s="26"/>
      <c r="AU295" s="26"/>
      <c r="AV295" s="26"/>
      <c r="AW295" s="26"/>
    </row>
    <row r="296" spans="1:49" x14ac:dyDescent="0.25">
      <c r="A296" s="17" t="s">
        <v>50</v>
      </c>
      <c r="B296" s="294"/>
      <c r="C296" s="294"/>
      <c r="D296" s="294"/>
      <c r="E296" s="294"/>
      <c r="F296" s="294"/>
      <c r="G296" s="294"/>
      <c r="H296" s="295"/>
      <c r="I296" s="294"/>
      <c r="J296" s="294"/>
      <c r="K296" s="294"/>
      <c r="L296" s="294"/>
      <c r="M296" s="294"/>
      <c r="N296" s="294"/>
      <c r="O296" s="26"/>
      <c r="P296" s="294"/>
      <c r="Q296" s="294"/>
      <c r="R296" s="294"/>
      <c r="S296" s="294"/>
      <c r="T296" s="294"/>
      <c r="U296" s="294"/>
      <c r="W296" s="294"/>
      <c r="X296" s="294"/>
      <c r="Y296" s="294"/>
      <c r="Z296" s="294"/>
      <c r="AA296" s="294"/>
      <c r="AB296" s="294"/>
      <c r="AD296" s="294"/>
      <c r="AE296" s="294"/>
      <c r="AF296" s="294"/>
      <c r="AG296" s="294"/>
      <c r="AH296" s="294"/>
      <c r="AI296" s="294"/>
      <c r="AK296" s="294"/>
      <c r="AL296" s="294"/>
      <c r="AM296" s="294"/>
      <c r="AN296" s="294"/>
      <c r="AO296" s="294"/>
      <c r="AP296" s="294"/>
      <c r="AR296" s="294"/>
      <c r="AS296" s="294"/>
      <c r="AT296" s="294"/>
      <c r="AU296" s="294"/>
      <c r="AV296" s="294"/>
      <c r="AW296" s="294"/>
    </row>
    <row r="297" spans="1:49" x14ac:dyDescent="0.25">
      <c r="A297" s="3" t="s">
        <v>48</v>
      </c>
      <c r="B297" s="20">
        <f>SUMPRODUCT(B$9:B$229,Nutrients!$DA$8:$DA$228)/2000</f>
        <v>0.35459999999999997</v>
      </c>
      <c r="C297" s="20">
        <f>SUMPRODUCT(C$9:C$229,Nutrients!$DA$8:$DA$228)/2000</f>
        <v>0.31519999999999998</v>
      </c>
      <c r="D297" s="20">
        <f>SUMPRODUCT(D$9:D$229,Nutrients!$DA$8:$DA$228)/2000</f>
        <v>0.27579999999999999</v>
      </c>
      <c r="E297" s="20">
        <f>SUMPRODUCT(E$9:E$229,Nutrients!$DA$8:$DA$228)/2000</f>
        <v>0.25692384707729665</v>
      </c>
      <c r="F297" s="20">
        <f>SUMPRODUCT(F$9:F$229,Nutrients!$DA$8:$DA$228)/2000</f>
        <v>0.25692384707729665</v>
      </c>
      <c r="G297" s="20">
        <f>SUMPRODUCT(G$9:G$229,Nutrients!$DA$8:$DA$228)/2000</f>
        <v>0.25692384707729665</v>
      </c>
      <c r="H297" s="192"/>
      <c r="I297" s="20">
        <f>SUMPRODUCT(I$9:I$229,Nutrients!$DA$8:$DA$228)/2000</f>
        <v>0.39727200000000001</v>
      </c>
      <c r="J297" s="20">
        <f>SUMPRODUCT(J$9:J$229,Nutrients!$DA$8:$DA$228)/2000</f>
        <v>0.35787200000000002</v>
      </c>
      <c r="K297" s="20">
        <f>SUMPRODUCT(K$9:K$229,Nutrients!$DA$8:$DA$228)/2000</f>
        <v>0.31847199999999998</v>
      </c>
      <c r="L297" s="20">
        <f>SUMPRODUCT(L$9:L$229,Nutrients!$DA$8:$DA$228)/2000</f>
        <v>0.2995958470772967</v>
      </c>
      <c r="M297" s="20">
        <f>SUMPRODUCT(M$9:M$229,Nutrients!$DA$8:$DA$228)/2000</f>
        <v>0.2995958470772967</v>
      </c>
      <c r="N297" s="20">
        <f>SUMPRODUCT(N$9:N$229,Nutrients!$DA$8:$DA$228)/2000</f>
        <v>0.2995958470772967</v>
      </c>
      <c r="O297" s="201"/>
      <c r="P297" s="20">
        <f>SUMPRODUCT(P$9:P$229,Nutrients!$DA$8:$DA$228)/2000</f>
        <v>0.43994399999999995</v>
      </c>
      <c r="Q297" s="20">
        <f>SUMPRODUCT(Q$9:Q$229,Nutrients!$DA$8:$DA$228)/2000</f>
        <v>0.40054399999999996</v>
      </c>
      <c r="R297" s="20">
        <f>SUMPRODUCT(R$9:R$229,Nutrients!$DA$8:$DA$228)/2000</f>
        <v>0.36114400000000002</v>
      </c>
      <c r="S297" s="20">
        <f>SUMPRODUCT(S$9:S$229,Nutrients!$DA$8:$DA$228)/2000</f>
        <v>0.34226784707729668</v>
      </c>
      <c r="T297" s="20">
        <f>SUMPRODUCT(T$9:T$229,Nutrients!$DA$8:$DA$228)/2000</f>
        <v>0.34226784707729668</v>
      </c>
      <c r="U297" s="20">
        <f>SUMPRODUCT(U$9:U$229,Nutrients!$DA$8:$DA$228)/2000</f>
        <v>0.34226784707729668</v>
      </c>
      <c r="W297" s="20">
        <f>SUMPRODUCT(W$9:W$229,Nutrients!$DA$8:$DA$228)/2000</f>
        <v>0.48261599999999993</v>
      </c>
      <c r="X297" s="20">
        <f>SUMPRODUCT(X$9:X$229,Nutrients!$DA$8:$DA$228)/2000</f>
        <v>0.44321599999999994</v>
      </c>
      <c r="Y297" s="20">
        <f>SUMPRODUCT(Y$9:Y$229,Nutrients!$DA$8:$DA$228)/2000</f>
        <v>0.40381599999999995</v>
      </c>
      <c r="Z297" s="20">
        <f>SUMPRODUCT(Z$9:Z$229,Nutrients!$DA$8:$DA$228)/2000</f>
        <v>0.38493984707729662</v>
      </c>
      <c r="AA297" s="20">
        <f>SUMPRODUCT(AA$9:AA$229,Nutrients!$DA$8:$DA$228)/2000</f>
        <v>0.38493984707729662</v>
      </c>
      <c r="AB297" s="20">
        <f>SUMPRODUCT(AB$9:AB$229,Nutrients!$DA$8:$DA$228)/2000</f>
        <v>0.38493984707729662</v>
      </c>
      <c r="AD297" s="20">
        <f>SUMPRODUCT(AD$9:AD$229,Nutrients!$DA$8:$DA$228)/2000</f>
        <v>0.52528799999999998</v>
      </c>
      <c r="AE297" s="20">
        <f>SUMPRODUCT(AE$9:AE$229,Nutrients!$DA$8:$DA$228)/2000</f>
        <v>0.48588799999999999</v>
      </c>
      <c r="AF297" s="20">
        <f>SUMPRODUCT(AF$9:AF$229,Nutrients!$DA$8:$DA$228)/2000</f>
        <v>0.44648799999999994</v>
      </c>
      <c r="AG297" s="20">
        <f>SUMPRODUCT(AG$9:AG$229,Nutrients!$DA$8:$DA$228)/2000</f>
        <v>0.42761184707729666</v>
      </c>
      <c r="AH297" s="20">
        <f>SUMPRODUCT(AH$9:AH$229,Nutrients!$DA$8:$DA$228)/2000</f>
        <v>0.42761184707729666</v>
      </c>
      <c r="AI297" s="20">
        <f>SUMPRODUCT(AI$9:AI$229,Nutrients!$DA$8:$DA$228)/2000</f>
        <v>0.42761184707729666</v>
      </c>
      <c r="AK297" s="20">
        <f>SUMPRODUCT(AK$9:AK$229,Nutrients!$DA$8:$DA$228)/2000</f>
        <v>0.56795999999999991</v>
      </c>
      <c r="AL297" s="20">
        <f>SUMPRODUCT(AL$9:AL$229,Nutrients!$DA$8:$DA$228)/2000</f>
        <v>0.52855999999999992</v>
      </c>
      <c r="AM297" s="20">
        <f>SUMPRODUCT(AM$9:AM$229,Nutrients!$DA$8:$DA$228)/2000</f>
        <v>0.48915999999999998</v>
      </c>
      <c r="AN297" s="20">
        <f>SUMPRODUCT(AN$9:AN$229,Nutrients!$DA$8:$DA$228)/2000</f>
        <v>0.47028384707729665</v>
      </c>
      <c r="AO297" s="20">
        <f>SUMPRODUCT(AO$9:AO$229,Nutrients!$DA$8:$DA$228)/2000</f>
        <v>0.47028384707729665</v>
      </c>
      <c r="AP297" s="20">
        <f>SUMPRODUCT(AP$9:AP$229,Nutrients!$DA$8:$DA$228)/2000</f>
        <v>0.47028384707729665</v>
      </c>
      <c r="AR297" s="20">
        <f>SUMPRODUCT(AR$9:AR$229,Nutrients!$DA$8:$DA$228)/2000</f>
        <v>0.61063199999999995</v>
      </c>
      <c r="AS297" s="20">
        <f>SUMPRODUCT(AS$9:AS$229,Nutrients!$DA$8:$DA$228)/2000</f>
        <v>0.57123199999999996</v>
      </c>
      <c r="AT297" s="20">
        <f>SUMPRODUCT(AT$9:AT$229,Nutrients!$DA$8:$DA$228)/2000</f>
        <v>0.53183199999999997</v>
      </c>
      <c r="AU297" s="20">
        <f>SUMPRODUCT(AU$9:AU$229,Nutrients!$DA$8:$DA$228)/2000</f>
        <v>0.51295584707729669</v>
      </c>
      <c r="AV297" s="20">
        <f>SUMPRODUCT(AV$9:AV$229,Nutrients!$DA$8:$DA$228)/2000</f>
        <v>0.51295584707729669</v>
      </c>
      <c r="AW297" s="20">
        <f>SUMPRODUCT(AW$9:AW$229,Nutrients!$DA$8:$DA$228)/2000</f>
        <v>0.51295584707729669</v>
      </c>
    </row>
    <row r="298" spans="1:49" x14ac:dyDescent="0.25">
      <c r="A298" s="34" t="s">
        <v>391</v>
      </c>
      <c r="B298" s="23">
        <f t="shared" ref="B298:G298" si="155">IF(B$5="","",B245/(B246*2.2046)*10000)</f>
        <v>4.0004918161487684</v>
      </c>
      <c r="C298" s="23">
        <f t="shared" si="155"/>
        <v>3.5419410134415341</v>
      </c>
      <c r="D298" s="23">
        <f t="shared" si="155"/>
        <v>3.1391303590347972</v>
      </c>
      <c r="E298" s="23">
        <f t="shared" si="155"/>
        <v>2.8010240180887811</v>
      </c>
      <c r="F298" s="23">
        <f t="shared" si="155"/>
        <v>2.5643124869082041</v>
      </c>
      <c r="G298" s="23">
        <f t="shared" si="155"/>
        <v>2.4347307257524458</v>
      </c>
      <c r="H298" s="227"/>
      <c r="I298" s="23">
        <f t="shared" ref="I298:N298" si="156">IF(I$5="","",I245/(I246*2.2046)*10000)</f>
        <v>3.9864485064889008</v>
      </c>
      <c r="J298" s="23">
        <f t="shared" si="156"/>
        <v>3.5340158918910172</v>
      </c>
      <c r="K298" s="23">
        <f t="shared" si="156"/>
        <v>3.1356577051312526</v>
      </c>
      <c r="L298" s="23">
        <f t="shared" si="156"/>
        <v>2.8011491032361246</v>
      </c>
      <c r="M298" s="23">
        <f t="shared" si="156"/>
        <v>2.5648251725614659</v>
      </c>
      <c r="N298" s="23">
        <f t="shared" si="156"/>
        <v>2.4367372963940848</v>
      </c>
      <c r="O298" s="237"/>
      <c r="P298" s="23">
        <f t="shared" ref="P298:U298" si="157">IF(P$5="","",P245/(P246*2.2046)*10000)</f>
        <v>3.9788169015592301</v>
      </c>
      <c r="Q298" s="23">
        <f t="shared" si="157"/>
        <v>3.5302179877777511</v>
      </c>
      <c r="R298" s="23">
        <f t="shared" si="157"/>
        <v>3.1358643115554283</v>
      </c>
      <c r="S298" s="23">
        <f t="shared" si="157"/>
        <v>2.8005462223474087</v>
      </c>
      <c r="T298" s="23">
        <f t="shared" si="157"/>
        <v>2.5672903941080913</v>
      </c>
      <c r="U298" s="23">
        <f t="shared" si="157"/>
        <v>2.4405285863081705</v>
      </c>
      <c r="W298" s="23">
        <f t="shared" ref="W298:AB298" si="158">IF(W$5="","",W245/(W246*2.2046)*10000)</f>
        <v>3.9711384490381958</v>
      </c>
      <c r="X298" s="23">
        <f t="shared" si="158"/>
        <v>3.5264507557221485</v>
      </c>
      <c r="Y298" s="23">
        <f t="shared" si="158"/>
        <v>3.1314340725627372</v>
      </c>
      <c r="Z298" s="23">
        <f t="shared" si="158"/>
        <v>2.8010104573408361</v>
      </c>
      <c r="AA298" s="23">
        <f t="shared" si="158"/>
        <v>2.5697679111813336</v>
      </c>
      <c r="AB298" s="23">
        <f t="shared" si="158"/>
        <v>2.4439873681932456</v>
      </c>
      <c r="AD298" s="23">
        <f t="shared" ref="AD298:AI298" si="159">IF(AD$5="","",AD245/(AD246*2.2046)*10000)</f>
        <v>3.9630280743446122</v>
      </c>
      <c r="AE298" s="23">
        <f t="shared" si="159"/>
        <v>3.5181130419046216</v>
      </c>
      <c r="AF298" s="23">
        <f t="shared" si="159"/>
        <v>3.1279863761305937</v>
      </c>
      <c r="AG298" s="23">
        <f t="shared" si="159"/>
        <v>2.8011931901551494</v>
      </c>
      <c r="AH298" s="23">
        <f t="shared" si="159"/>
        <v>2.5721725545545535</v>
      </c>
      <c r="AI298" s="23">
        <f t="shared" si="159"/>
        <v>2.4476420269516206</v>
      </c>
      <c r="AK298" s="23">
        <f t="shared" ref="AK298:AP298" si="160">IF(AK$5="","",AK245/(AK246*2.2046)*10000)</f>
        <v>3.9561158646018915</v>
      </c>
      <c r="AL298" s="23">
        <f t="shared" si="160"/>
        <v>3.5111900333635315</v>
      </c>
      <c r="AM298" s="23">
        <f t="shared" si="160"/>
        <v>3.1249732333882854</v>
      </c>
      <c r="AN298" s="23">
        <f t="shared" si="160"/>
        <v>2.8014739625221403</v>
      </c>
      <c r="AO298" s="23">
        <f t="shared" si="160"/>
        <v>2.5745750935787202</v>
      </c>
      <c r="AP298" s="23">
        <f t="shared" si="160"/>
        <v>2.4512823704496887</v>
      </c>
      <c r="AR298" s="23">
        <f t="shared" ref="AR298:AW298" si="161">IF(AR$5="","",AR245/(AR246*2.2046)*10000)</f>
        <v>3.9581107695750393</v>
      </c>
      <c r="AS298" s="23">
        <f t="shared" si="161"/>
        <v>3.504122485140722</v>
      </c>
      <c r="AT298" s="23">
        <f t="shared" si="161"/>
        <v>3.1227560503208212</v>
      </c>
      <c r="AU298" s="23">
        <f t="shared" si="161"/>
        <v>2.8021108807362807</v>
      </c>
      <c r="AV298" s="23">
        <f t="shared" si="161"/>
        <v>2.5769938926457594</v>
      </c>
      <c r="AW298" s="23">
        <f t="shared" si="161"/>
        <v>2.4549218759802023</v>
      </c>
    </row>
    <row r="299" spans="1:49" x14ac:dyDescent="0.25">
      <c r="A299" s="34" t="s">
        <v>392</v>
      </c>
      <c r="B299" s="23">
        <f t="shared" ref="B299:G299" si="162">IF(B$5="","",B236/(B246*2.2046)*10000)</f>
        <v>3.5990753406176657</v>
      </c>
      <c r="C299" s="23">
        <f t="shared" si="162"/>
        <v>3.1727222375948116</v>
      </c>
      <c r="D299" s="23">
        <f t="shared" si="162"/>
        <v>2.7968342544845632</v>
      </c>
      <c r="E299" s="23">
        <f t="shared" si="162"/>
        <v>2.4855813058752307</v>
      </c>
      <c r="F299" s="23">
        <f t="shared" si="162"/>
        <v>2.2715388971881016</v>
      </c>
      <c r="G299" s="23">
        <f t="shared" si="162"/>
        <v>2.1544027583542169</v>
      </c>
      <c r="H299" s="227"/>
      <c r="I299" s="23">
        <f t="shared" ref="I299:N299" si="163">IF(I$5="","",I236/(I246*2.2046)*10000)</f>
        <v>3.5618311780488763</v>
      </c>
      <c r="J299" s="23">
        <f t="shared" si="163"/>
        <v>3.1411124768558918</v>
      </c>
      <c r="K299" s="23">
        <f t="shared" si="163"/>
        <v>2.7693450866513083</v>
      </c>
      <c r="L299" s="23">
        <f t="shared" si="163"/>
        <v>2.4614200897316159</v>
      </c>
      <c r="M299" s="23">
        <f t="shared" si="163"/>
        <v>2.2477806695451705</v>
      </c>
      <c r="N299" s="23">
        <f t="shared" si="163"/>
        <v>2.1320274515813415</v>
      </c>
      <c r="O299" s="198"/>
      <c r="P299" s="23">
        <f t="shared" ref="P299:U299" si="164">IF(P$5="","",P236/(P246*2.2046)*10000)</f>
        <v>3.5304914032620984</v>
      </c>
      <c r="Q299" s="23">
        <f t="shared" si="164"/>
        <v>3.1133434736847709</v>
      </c>
      <c r="R299" s="23">
        <f t="shared" si="164"/>
        <v>2.7452862258836985</v>
      </c>
      <c r="S299" s="23">
        <f t="shared" si="164"/>
        <v>2.4367117749500187</v>
      </c>
      <c r="T299" s="23">
        <f t="shared" si="164"/>
        <v>2.2259030130592716</v>
      </c>
      <c r="U299" s="23">
        <f t="shared" si="164"/>
        <v>2.1113702427434964</v>
      </c>
      <c r="W299" s="23">
        <f t="shared" ref="W299:AB299" si="165">IF(W$5="","",W236/(W246*2.2046)*10000)</f>
        <v>3.499217412744013</v>
      </c>
      <c r="X299" s="23">
        <f t="shared" si="165"/>
        <v>3.0857036449734365</v>
      </c>
      <c r="Y299" s="23">
        <f t="shared" si="165"/>
        <v>2.7171467973011745</v>
      </c>
      <c r="Z299" s="23">
        <f t="shared" si="165"/>
        <v>2.4130811678888708</v>
      </c>
      <c r="AA299" s="23">
        <f t="shared" si="165"/>
        <v>2.2041711741403605</v>
      </c>
      <c r="AB299" s="23">
        <f t="shared" si="165"/>
        <v>2.0905490023895674</v>
      </c>
      <c r="AD299" s="23">
        <f t="shared" ref="AD299:AI299" si="166">IF(AD$5="","",AD236/(AD246*2.2046)*10000)</f>
        <v>3.4676641085929081</v>
      </c>
      <c r="AE299" s="23">
        <f t="shared" si="166"/>
        <v>3.0540446219593269</v>
      </c>
      <c r="AF299" s="23">
        <f t="shared" si="166"/>
        <v>2.6900100640750897</v>
      </c>
      <c r="AG299" s="23">
        <f t="shared" si="166"/>
        <v>2.3893274702647513</v>
      </c>
      <c r="AH299" s="23">
        <f t="shared" si="166"/>
        <v>2.1824670210891051</v>
      </c>
      <c r="AI299" s="23">
        <f t="shared" si="166"/>
        <v>2.0699874695038449</v>
      </c>
      <c r="AK299" s="23">
        <f t="shared" ref="AK299:AP299" si="167">IF(AK$5="","",AK236/(AK246*2.2046)*10000)</f>
        <v>3.4372996204475261</v>
      </c>
      <c r="AL299" s="23">
        <f t="shared" si="167"/>
        <v>3.0237604097242543</v>
      </c>
      <c r="AM299" s="23">
        <f t="shared" si="167"/>
        <v>2.6633818111303991</v>
      </c>
      <c r="AN299" s="23">
        <f t="shared" si="167"/>
        <v>2.3657427545090925</v>
      </c>
      <c r="AO299" s="23">
        <f t="shared" si="167"/>
        <v>2.1608228840750709</v>
      </c>
      <c r="AP299" s="23">
        <f t="shared" si="167"/>
        <v>2.04947393380426</v>
      </c>
      <c r="AR299" s="23">
        <f t="shared" ref="AR299:AW299" si="168">IF(AR$5="","",AR236/(AR246*2.2046)*10000)</f>
        <v>3.4150809020128592</v>
      </c>
      <c r="AS299" s="23">
        <f t="shared" si="168"/>
        <v>2.9934674818333606</v>
      </c>
      <c r="AT299" s="23">
        <f t="shared" si="168"/>
        <v>2.637591916630011</v>
      </c>
      <c r="AU299" s="23">
        <f t="shared" si="168"/>
        <v>2.3425340164691066</v>
      </c>
      <c r="AV299" s="23">
        <f t="shared" si="168"/>
        <v>2.1392554856611854</v>
      </c>
      <c r="AW299" s="23">
        <f t="shared" si="168"/>
        <v>2.029021417902217</v>
      </c>
    </row>
    <row r="300" spans="1:49" x14ac:dyDescent="0.25">
      <c r="A300" s="34" t="s">
        <v>151</v>
      </c>
      <c r="B300" s="23">
        <f t="shared" ref="B300:G300" si="169">B245/B253*100</f>
        <v>6.8677028806815752</v>
      </c>
      <c r="C300" s="23">
        <f t="shared" si="169"/>
        <v>6.6830941302046103</v>
      </c>
      <c r="D300" s="23">
        <f t="shared" si="169"/>
        <v>6.4644027164582063</v>
      </c>
      <c r="E300" s="23">
        <f t="shared" si="169"/>
        <v>6.3149371296786221</v>
      </c>
      <c r="F300" s="23">
        <f t="shared" si="169"/>
        <v>6.2696154239212527</v>
      </c>
      <c r="G300" s="23">
        <f t="shared" si="169"/>
        <v>6.2402437601749243</v>
      </c>
      <c r="H300" s="227"/>
      <c r="I300" s="23">
        <f t="shared" ref="I300:N300" si="170">I245/I253*100</f>
        <v>6.7644145662657404</v>
      </c>
      <c r="J300" s="23">
        <f t="shared" si="170"/>
        <v>6.5728321084152954</v>
      </c>
      <c r="K300" s="23">
        <f t="shared" si="170"/>
        <v>6.3467759741919929</v>
      </c>
      <c r="L300" s="23">
        <f t="shared" si="170"/>
        <v>6.1914683549594036</v>
      </c>
      <c r="M300" s="23">
        <f t="shared" si="170"/>
        <v>6.1383833448568614</v>
      </c>
      <c r="N300" s="23">
        <f t="shared" si="170"/>
        <v>6.1019508930896507</v>
      </c>
      <c r="O300" s="198"/>
      <c r="P300" s="23">
        <f t="shared" ref="P300:U300" si="171">P245/P253*100</f>
        <v>6.6635859654498963</v>
      </c>
      <c r="Q300" s="23">
        <f t="shared" si="171"/>
        <v>6.4647833145415987</v>
      </c>
      <c r="R300" s="23">
        <f t="shared" si="171"/>
        <v>6.2345638955720508</v>
      </c>
      <c r="S300" s="23">
        <f t="shared" si="171"/>
        <v>6.0718274269690049</v>
      </c>
      <c r="T300" s="23">
        <f t="shared" si="171"/>
        <v>6.0111558209644897</v>
      </c>
      <c r="U300" s="23">
        <f t="shared" si="171"/>
        <v>5.9706457870227672</v>
      </c>
      <c r="W300" s="23">
        <f t="shared" ref="W300:AB300" si="172">W245/W253*100</f>
        <v>6.5651495251310106</v>
      </c>
      <c r="X300" s="23">
        <f t="shared" si="172"/>
        <v>6.3607107969065702</v>
      </c>
      <c r="Y300" s="23">
        <f t="shared" si="172"/>
        <v>6.1250637832738395</v>
      </c>
      <c r="Z300" s="23">
        <f t="shared" si="172"/>
        <v>5.9561211294015557</v>
      </c>
      <c r="AA300" s="23">
        <f t="shared" si="172"/>
        <v>5.8859150797251587</v>
      </c>
      <c r="AB300" s="23">
        <f t="shared" si="172"/>
        <v>5.8415238664323343</v>
      </c>
      <c r="AD300" s="23">
        <f t="shared" ref="AD300:AI300" si="173">AD245/AD253*100</f>
        <v>6.4687800959429316</v>
      </c>
      <c r="AE300" s="23">
        <f t="shared" si="173"/>
        <v>6.2587131799281481</v>
      </c>
      <c r="AF300" s="23">
        <f t="shared" si="173"/>
        <v>6.0184882570585394</v>
      </c>
      <c r="AG300" s="23">
        <f t="shared" si="173"/>
        <v>5.8425587065923201</v>
      </c>
      <c r="AH300" s="23">
        <f t="shared" si="173"/>
        <v>5.7669327408299074</v>
      </c>
      <c r="AI300" s="23">
        <f t="shared" si="173"/>
        <v>5.7192390863076179</v>
      </c>
      <c r="AK300" s="23">
        <f t="shared" ref="AK300:AP300" si="174">AK245/AK253*100</f>
        <v>6.3751696630599017</v>
      </c>
      <c r="AL300" s="23">
        <f t="shared" si="174"/>
        <v>6.1608484084345303</v>
      </c>
      <c r="AM300" s="23">
        <f t="shared" si="174"/>
        <v>5.9149855327636667</v>
      </c>
      <c r="AN300" s="23">
        <f t="shared" si="174"/>
        <v>5.7343291141728043</v>
      </c>
      <c r="AO300" s="23">
        <f t="shared" si="174"/>
        <v>5.6535326972005091</v>
      </c>
      <c r="AP300" s="23">
        <f t="shared" si="174"/>
        <v>5.6027580971931226</v>
      </c>
      <c r="AR300" s="23">
        <f t="shared" ref="AR300:AW300" si="175">AR245/AR253*100</f>
        <v>6.2857137553302769</v>
      </c>
      <c r="AS300" s="23">
        <f t="shared" si="175"/>
        <v>6.0642637914164768</v>
      </c>
      <c r="AT300" s="23">
        <f t="shared" si="175"/>
        <v>5.8143310464360622</v>
      </c>
      <c r="AU300" s="23">
        <f t="shared" si="175"/>
        <v>5.6307308827275113</v>
      </c>
      <c r="AV300" s="23">
        <f t="shared" si="175"/>
        <v>5.5449929116169594</v>
      </c>
      <c r="AW300" s="23">
        <f t="shared" si="175"/>
        <v>5.4915391841819368</v>
      </c>
    </row>
    <row r="301" spans="1:49" x14ac:dyDescent="0.25">
      <c r="A301" t="s">
        <v>56</v>
      </c>
      <c r="B301" s="22">
        <f>(SUMPRODUCT(B$9:B$229,Nutrients!$K$8:$K$228)+(IF($A$7=Nutrients!$B$8,Nutrients!$K$8,Nutrients!$K$9)*B$7)+(((IF($A$8=Nutrients!$B$79,Nutrients!$K$79,(IF($A$8=Nutrients!$B$77,Nutrients!$K$77,Nutrients!$K$78)))))*B$8))/2000</f>
        <v>2.8430787934788264</v>
      </c>
      <c r="C301" s="22">
        <f>(SUMPRODUCT(C$9:C$229,Nutrients!$K$8:$K$228)+(IF($A$7=Nutrients!$B$8,Nutrients!$K$8,Nutrients!$K$9)*C$7)+(((IF($A$8=Nutrients!$B$79,Nutrients!$K$79,(IF($A$8=Nutrients!$B$77,Nutrients!$K$77,Nutrients!$K$78)))))*C$8))/2000</f>
        <v>2.9356906063346426</v>
      </c>
      <c r="D301" s="22">
        <f>(SUMPRODUCT(D$9:D$229,Nutrients!$K$8:$K$228)+(IF($A$7=Nutrients!$B$8,Nutrients!$K$8,Nutrients!$K$9)*D$7)+(((IF($A$8=Nutrients!$B$79,Nutrients!$K$79,(IF($A$8=Nutrients!$B$77,Nutrients!$K$77,Nutrients!$K$78)))))*D$8))/2000</f>
        <v>3.0150158948020342</v>
      </c>
      <c r="E301" s="22">
        <f>(SUMPRODUCT(E$9:E$229,Nutrients!$K$8:$K$228)+(IF($A$7=Nutrients!$B$8,Nutrients!$K$8,Nutrients!$K$9)*E$7)+(((IF($A$8=Nutrients!$B$79,Nutrients!$K$79,(IF($A$8=Nutrients!$B$77,Nutrients!$K$77,Nutrients!$K$78)))))*E$8))/2000</f>
        <v>3.0897558386383324</v>
      </c>
      <c r="F301" s="22">
        <f>(SUMPRODUCT(F$9:F$229,Nutrients!$K$8:$K$228)+(IF($A$7=Nutrients!$B$8,Nutrients!$K$8,Nutrients!$K$9)*F$7)+(((IF($A$8=Nutrients!$B$79,Nutrients!$K$79,(IF($A$8=Nutrients!$B$77,Nutrients!$K$77,Nutrients!$K$78)))))*F$8))/2000</f>
        <v>3.1512333335874807</v>
      </c>
      <c r="G301" s="22">
        <f>(SUMPRODUCT(G$9:G$229,Nutrients!$K$8:$K$228)+(IF($A$7=Nutrients!$B$8,Nutrients!$K$8,Nutrients!$K$9)*G$7)+(((IF($A$8=Nutrients!$B$79,Nutrients!$K$79,(IF($A$8=Nutrients!$B$77,Nutrients!$K$77,Nutrients!$K$78)))))*G$8))/2000</f>
        <v>3.1836624192329586</v>
      </c>
      <c r="H301" s="228"/>
      <c r="I301" s="22">
        <f>(SUMPRODUCT(I$9:I$229,Nutrients!$K$8:$K$228)+(IF($A$7=Nutrients!$B$8,Nutrients!$K$8,Nutrients!$K$9)*I$7)+(((IF($A$8=Nutrients!$B$79,Nutrients!$K$79,(IF($A$8=Nutrients!$B$77,Nutrients!$K$77,Nutrients!$K$78)))))*I$8))/2000</f>
        <v>3.3052423735187202</v>
      </c>
      <c r="J301" s="22">
        <f>(SUMPRODUCT(J$9:J$229,Nutrients!$K$8:$K$228)+(IF($A$7=Nutrients!$B$8,Nutrients!$K$8,Nutrients!$K$9)*J$7)+(((IF($A$8=Nutrients!$B$79,Nutrients!$K$79,(IF($A$8=Nutrients!$B$77,Nutrients!$K$77,Nutrients!$K$78)))))*J$8))/2000</f>
        <v>3.3964007080477434</v>
      </c>
      <c r="K301" s="22">
        <f>(SUMPRODUCT(K$9:K$229,Nutrients!$K$8:$K$228)+(IF($A$7=Nutrients!$B$8,Nutrients!$K$8,Nutrients!$K$9)*K$7)+(((IF($A$8=Nutrients!$B$79,Nutrients!$K$79,(IF($A$8=Nutrients!$B$77,Nutrients!$K$77,Nutrients!$K$78)))))*K$8))/2000</f>
        <v>3.4747904505875198</v>
      </c>
      <c r="L301" s="22">
        <f>(SUMPRODUCT(L$9:L$229,Nutrients!$K$8:$K$228)+(IF($A$7=Nutrients!$B$8,Nutrients!$K$8,Nutrients!$K$9)*L$7)+(((IF($A$8=Nutrients!$B$79,Nutrients!$K$79,(IF($A$8=Nutrients!$B$77,Nutrients!$K$77,Nutrients!$K$78)))))*L$8))/2000</f>
        <v>3.5488535366439304</v>
      </c>
      <c r="M301" s="22">
        <f>(SUMPRODUCT(M$9:M$229,Nutrients!$K$8:$K$228)+(IF($A$7=Nutrients!$B$8,Nutrients!$K$8,Nutrients!$K$9)*M$7)+(((IF($A$8=Nutrients!$B$79,Nutrients!$K$79,(IF($A$8=Nutrients!$B$77,Nutrients!$K$77,Nutrients!$K$78)))))*M$8))/2000</f>
        <v>3.6104669910076255</v>
      </c>
      <c r="N301" s="22">
        <f>(SUMPRODUCT(N$9:N$229,Nutrients!$K$8:$K$228)+(IF($A$7=Nutrients!$B$8,Nutrients!$K$8,Nutrients!$K$9)*N$7)+(((IF($A$8=Nutrients!$B$79,Nutrients!$K$79,(IF($A$8=Nutrients!$B$77,Nutrients!$K$77,Nutrients!$K$78)))))*N$8))/2000</f>
        <v>3.642376390277271</v>
      </c>
      <c r="O301" s="198"/>
      <c r="P301" s="22">
        <f>(SUMPRODUCT(P$9:P$229,Nutrients!$K$8:$K$228)+(IF($A$7=Nutrients!$B$8,Nutrients!$K$8,Nutrients!$K$9)*P$7)+(((IF($A$8=Nutrients!$B$79,Nutrients!$K$79,(IF($A$8=Nutrients!$B$77,Nutrients!$K$77,Nutrients!$K$78)))))*P$8))/2000</f>
        <v>3.7657415212659768</v>
      </c>
      <c r="Q301" s="22">
        <f>(SUMPRODUCT(Q$9:Q$229,Nutrients!$K$8:$K$228)+(IF($A$7=Nutrients!$B$8,Nutrients!$K$8,Nutrients!$K$9)*Q$7)+(((IF($A$8=Nutrients!$B$79,Nutrients!$K$79,(IF($A$8=Nutrients!$B$77,Nutrients!$K$77,Nutrients!$K$78)))))*Q$8))/2000</f>
        <v>3.8559495507940609</v>
      </c>
      <c r="R301" s="22">
        <f>(SUMPRODUCT(R$9:R$229,Nutrients!$K$8:$K$228)+(IF($A$7=Nutrients!$B$8,Nutrients!$K$8,Nutrients!$K$9)*R$7)+(((IF($A$8=Nutrients!$B$79,Nutrients!$K$79,(IF($A$8=Nutrients!$B$77,Nutrients!$K$77,Nutrients!$K$78)))))*R$8))/2000</f>
        <v>3.9336151664554309</v>
      </c>
      <c r="S301" s="22">
        <f>(SUMPRODUCT(S$9:S$229,Nutrients!$K$8:$K$228)+(IF($A$7=Nutrients!$B$8,Nutrients!$K$8,Nutrients!$K$9)*S$7)+(((IF($A$8=Nutrients!$B$79,Nutrients!$K$79,(IF($A$8=Nutrients!$B$77,Nutrients!$K$77,Nutrients!$K$78)))))*S$8))/2000</f>
        <v>4.0079429412506506</v>
      </c>
      <c r="T301" s="22">
        <f>(SUMPRODUCT(T$9:T$229,Nutrients!$K$8:$K$228)+(IF($A$7=Nutrients!$B$8,Nutrients!$K$8,Nutrients!$K$9)*T$7)+(((IF($A$8=Nutrients!$B$79,Nutrients!$K$79,(IF($A$8=Nutrients!$B$77,Nutrients!$K$77,Nutrients!$K$78)))))*T$8))/2000</f>
        <v>4.0688961843993612</v>
      </c>
      <c r="U301" s="22">
        <f>(SUMPRODUCT(U$9:U$229,Nutrients!$K$8:$K$228)+(IF($A$7=Nutrients!$B$8,Nutrients!$K$8,Nutrients!$K$9)*U$7)+(((IF($A$8=Nutrients!$B$79,Nutrients!$K$79,(IF($A$8=Nutrients!$B$77,Nutrients!$K$77,Nutrients!$K$78)))))*U$8))/2000</f>
        <v>4.1005866354230402</v>
      </c>
      <c r="W301" s="22">
        <f>(SUMPRODUCT(W$9:W$229,Nutrients!$K$8:$K$228)+(IF($A$7=Nutrients!$B$8,Nutrients!$K$8,Nutrients!$K$9)*W$7)+(((IF($A$8=Nutrients!$B$79,Nutrients!$K$79,(IF($A$8=Nutrients!$B$77,Nutrients!$K$77,Nutrients!$K$78)))))*W$8))/2000</f>
        <v>4.2261506187639624</v>
      </c>
      <c r="X301" s="22">
        <f>(SUMPRODUCT(X$9:X$229,Nutrients!$K$8:$K$228)+(IF($A$7=Nutrients!$B$8,Nutrients!$K$8,Nutrients!$K$9)*X$7)+(((IF($A$8=Nutrients!$B$79,Nutrients!$K$79,(IF($A$8=Nutrients!$B$77,Nutrients!$K$77,Nutrients!$K$78)))))*X$8))/2000</f>
        <v>4.3155627659604798</v>
      </c>
      <c r="Y301" s="22">
        <f>(SUMPRODUCT(Y$9:Y$229,Nutrients!$K$8:$K$228)+(IF($A$7=Nutrients!$B$8,Nutrients!$K$8,Nutrients!$K$9)*Y$7)+(((IF($A$8=Nutrients!$B$79,Nutrients!$K$79,(IF($A$8=Nutrients!$B$77,Nutrients!$K$77,Nutrients!$K$78)))))*Y$8))/2000</f>
        <v>4.3934256797400701</v>
      </c>
      <c r="Z301" s="22">
        <f>(SUMPRODUCT(Z$9:Z$229,Nutrients!$K$8:$K$228)+(IF($A$7=Nutrients!$B$8,Nutrients!$K$8,Nutrients!$K$9)*Z$7)+(((IF($A$8=Nutrients!$B$79,Nutrients!$K$79,(IF($A$8=Nutrients!$B$77,Nutrients!$K$77,Nutrients!$K$78)))))*Z$8))/2000</f>
        <v>4.4665608878475265</v>
      </c>
      <c r="AA301" s="22">
        <f>(SUMPRODUCT(AA$9:AA$229,Nutrients!$K$8:$K$228)+(IF($A$7=Nutrients!$B$8,Nutrients!$K$8,Nutrients!$K$9)*AA$7)+(((IF($A$8=Nutrients!$B$79,Nutrients!$K$79,(IF($A$8=Nutrients!$B$77,Nutrients!$K$77,Nutrients!$K$78)))))*AA$8))/2000</f>
        <v>4.5266489019147738</v>
      </c>
      <c r="AB301" s="22">
        <f>(SUMPRODUCT(AB$9:AB$229,Nutrients!$K$8:$K$228)+(IF($A$7=Nutrients!$B$8,Nutrients!$K$8,Nutrients!$K$9)*AB$7)+(((IF($A$8=Nutrients!$B$79,Nutrients!$K$79,(IF($A$8=Nutrients!$B$77,Nutrients!$K$77,Nutrients!$K$78)))))*AB$8))/2000</f>
        <v>4.5575478005384698</v>
      </c>
      <c r="AD301" s="22">
        <f>(SUMPRODUCT(AD$9:AD$229,Nutrients!$K$8:$K$228)+(IF($A$7=Nutrients!$B$8,Nutrients!$K$8,Nutrients!$K$9)*AD$7)+(((IF($A$8=Nutrients!$B$79,Nutrients!$K$79,(IF($A$8=Nutrients!$B$77,Nutrients!$K$77,Nutrients!$K$78)))))*AD$8))/2000</f>
        <v>4.6865130864477624</v>
      </c>
      <c r="AE301" s="22">
        <f>(SUMPRODUCT(AE$9:AE$229,Nutrients!$K$8:$K$228)+(IF($A$7=Nutrients!$B$8,Nutrients!$K$8,Nutrients!$K$9)*AE$7)+(((IF($A$8=Nutrients!$B$79,Nutrients!$K$79,(IF($A$8=Nutrients!$B$77,Nutrients!$K$77,Nutrients!$K$78)))))*AE$8))/2000</f>
        <v>4.7761331727245384</v>
      </c>
      <c r="AF301" s="22">
        <f>(SUMPRODUCT(AF$9:AF$229,Nutrients!$K$8:$K$228)+(IF($A$7=Nutrients!$B$8,Nutrients!$K$8,Nutrients!$K$9)*AF$7)+(((IF($A$8=Nutrients!$B$79,Nutrients!$K$79,(IF($A$8=Nutrients!$B$77,Nutrients!$K$77,Nutrients!$K$78)))))*AF$8))/2000</f>
        <v>4.8527858638952406</v>
      </c>
      <c r="AG301" s="22">
        <f>(SUMPRODUCT(AG$9:AG$229,Nutrients!$K$8:$K$228)+(IF($A$7=Nutrients!$B$8,Nutrients!$K$8,Nutrients!$K$9)*AG$7)+(((IF($A$8=Nutrients!$B$79,Nutrients!$K$79,(IF($A$8=Nutrients!$B$77,Nutrients!$K$77,Nutrients!$K$78)))))*AG$8))/2000</f>
        <v>4.9246614812118352</v>
      </c>
      <c r="AH301" s="22">
        <f>(SUMPRODUCT(AH$9:AH$229,Nutrients!$K$8:$K$228)+(IF($A$7=Nutrients!$B$8,Nutrients!$K$8,Nutrients!$K$9)*AH$7)+(((IF($A$8=Nutrients!$B$79,Nutrients!$K$79,(IF($A$8=Nutrients!$B$77,Nutrients!$K$77,Nutrients!$K$78)))))*AH$8))/2000</f>
        <v>4.9823409601478907</v>
      </c>
      <c r="AI301" s="22">
        <f>(SUMPRODUCT(AI$9:AI$229,Nutrients!$K$8:$K$228)+(IF($A$7=Nutrients!$B$8,Nutrients!$K$8,Nutrients!$K$9)*AI$7)+(((IF($A$8=Nutrients!$B$79,Nutrients!$K$79,(IF($A$8=Nutrients!$B$77,Nutrients!$K$77,Nutrients!$K$78)))))*AI$8))/2000</f>
        <v>5.0122599467100111</v>
      </c>
      <c r="AK301" s="22">
        <f>(SUMPRODUCT(AK$9:AK$229,Nutrients!$K$8:$K$228)+(IF($A$7=Nutrients!$B$8,Nutrients!$K$8,Nutrients!$K$9)*AK$7)+(((IF($A$8=Nutrients!$B$79,Nutrients!$K$79,(IF($A$8=Nutrients!$B$77,Nutrients!$K$77,Nutrients!$K$78)))))*AK$8))/2000</f>
        <v>5.1465502437472983</v>
      </c>
      <c r="AL301" s="22">
        <f>(SUMPRODUCT(AL$9:AL$229,Nutrients!$K$8:$K$228)+(IF($A$7=Nutrients!$B$8,Nutrients!$K$8,Nutrients!$K$9)*AL$7)+(((IF($A$8=Nutrients!$B$79,Nutrients!$K$79,(IF($A$8=Nutrients!$B$77,Nutrients!$K$77,Nutrients!$K$78)))))*AL$8))/2000</f>
        <v>5.2365140789422817</v>
      </c>
      <c r="AM301" s="22">
        <f>(SUMPRODUCT(AM$9:AM$229,Nutrients!$K$8:$K$228)+(IF($A$7=Nutrients!$B$8,Nutrients!$K$8,Nutrients!$K$9)*AM$7)+(((IF($A$8=Nutrients!$B$79,Nutrients!$K$79,(IF($A$8=Nutrients!$B$77,Nutrients!$K$77,Nutrients!$K$78)))))*AM$8))/2000</f>
        <v>5.3118268623642635</v>
      </c>
      <c r="AN301" s="22">
        <f>(SUMPRODUCT(AN$9:AN$229,Nutrients!$K$8:$K$228)+(IF($A$7=Nutrients!$B$8,Nutrients!$K$8,Nutrients!$K$9)*AN$7)+(((IF($A$8=Nutrients!$B$79,Nutrients!$K$79,(IF($A$8=Nutrients!$B$77,Nutrients!$K$77,Nutrients!$K$78)))))*AN$8))/2000</f>
        <v>5.3812037461929858</v>
      </c>
      <c r="AO301" s="22">
        <f>(SUMPRODUCT(AO$9:AO$229,Nutrients!$K$8:$K$228)+(IF($A$7=Nutrients!$B$8,Nutrients!$K$8,Nutrients!$K$9)*AO$7)+(((IF($A$8=Nutrients!$B$79,Nutrients!$K$79,(IF($A$8=Nutrients!$B$77,Nutrients!$K$77,Nutrients!$K$78)))))*AO$8))/2000</f>
        <v>5.4373359615443739</v>
      </c>
      <c r="AP301" s="22">
        <f>(SUMPRODUCT(AP$9:AP$229,Nutrients!$K$8:$K$228)+(IF($A$7=Nutrients!$B$8,Nutrients!$K$8,Nutrients!$K$9)*AP$7)+(((IF($A$8=Nutrients!$B$79,Nutrients!$K$79,(IF($A$8=Nutrients!$B$77,Nutrients!$K$77,Nutrients!$K$78)))))*AP$8))/2000</f>
        <v>5.4669938513463761</v>
      </c>
      <c r="AR301" s="22">
        <f>(SUMPRODUCT(AR$9:AR$229,Nutrients!$K$8:$K$228)+(IF($A$7=Nutrients!$B$8,Nutrients!$K$8,Nutrients!$K$9)*AR$7)+(((IF($A$8=Nutrients!$B$79,Nutrients!$K$79,(IF($A$8=Nutrients!$B$77,Nutrients!$K$77,Nutrients!$K$78)))))*AR$8))/2000</f>
        <v>5.6045348466656559</v>
      </c>
      <c r="AS301" s="22">
        <f>(SUMPRODUCT(AS$9:AS$229,Nutrients!$K$8:$K$228)+(IF($A$7=Nutrients!$B$8,Nutrients!$K$8,Nutrients!$K$9)*AS$7)+(((IF($A$8=Nutrients!$B$79,Nutrients!$K$79,(IF($A$8=Nutrients!$B$77,Nutrients!$K$77,Nutrients!$K$78)))))*AS$8))/2000</f>
        <v>5.6965854282700619</v>
      </c>
      <c r="AT301" s="22">
        <f>(SUMPRODUCT(AT$9:AT$229,Nutrients!$K$8:$K$228)+(IF($A$7=Nutrients!$B$8,Nutrients!$K$8,Nutrients!$K$9)*AT$7)+(((IF($A$8=Nutrients!$B$79,Nutrients!$K$79,(IF($A$8=Nutrients!$B$77,Nutrients!$K$77,Nutrients!$K$78)))))*AT$8))/2000</f>
        <v>5.7703663823664106</v>
      </c>
      <c r="AU301" s="22">
        <f>(SUMPRODUCT(AU$9:AU$229,Nutrients!$K$8:$K$228)+(IF($A$7=Nutrients!$B$8,Nutrients!$K$8,Nutrients!$K$9)*AU$7)+(((IF($A$8=Nutrients!$B$79,Nutrients!$K$79,(IF($A$8=Nutrients!$B$77,Nutrients!$K$77,Nutrients!$K$78)))))*AU$8))/2000</f>
        <v>5.8365347760164585</v>
      </c>
      <c r="AV301" s="22">
        <f>(SUMPRODUCT(AV$9:AV$229,Nutrients!$K$8:$K$228)+(IF($A$7=Nutrients!$B$8,Nutrients!$K$8,Nutrients!$K$9)*AV$7)+(((IF($A$8=Nutrients!$B$79,Nutrients!$K$79,(IF($A$8=Nutrients!$B$77,Nutrients!$K$77,Nutrients!$K$78)))))*AV$8))/2000</f>
        <v>5.8923254116241415</v>
      </c>
      <c r="AW301" s="22">
        <f>(SUMPRODUCT(AW$9:AW$229,Nutrients!$K$8:$K$228)+(IF($A$7=Nutrients!$B$8,Nutrients!$K$8,Nutrients!$K$9)*AW$7)+(((IF($A$8=Nutrients!$B$79,Nutrients!$K$79,(IF($A$8=Nutrients!$B$77,Nutrients!$K$77,Nutrients!$K$78)))))*AW$8))/2000</f>
        <v>5.9217255810817058</v>
      </c>
    </row>
    <row r="302" spans="1:49" x14ac:dyDescent="0.25">
      <c r="A302" t="s">
        <v>53</v>
      </c>
      <c r="B302" s="22">
        <f>(SUMPRODUCT(B$9:B$229,Nutrients!$J$8:$J$228)+(IF($A$7=Nutrients!$B$8,Nutrients!$J$8,Nutrients!$J$9)*B$7)+(((IF($A$8=Nutrients!$B$79,Nutrients!$J$79,(IF($A$8=Nutrients!$B$77,Nutrients!$J$77,Nutrients!$J$78)))))*B$8))/2000</f>
        <v>2.4236304403667859</v>
      </c>
      <c r="C302" s="22">
        <f>(SUMPRODUCT(C$9:C$229,Nutrients!$J$8:$J$228)+(IF($A$7=Nutrients!$B$8,Nutrients!$J$8,Nutrients!$J$9)*C$7)+(((IF($A$8=Nutrients!$B$79,Nutrients!$J$79,(IF($A$8=Nutrients!$B$77,Nutrients!$J$77,Nutrients!$J$78)))))*C$8))/2000</f>
        <v>2.3544062118589144</v>
      </c>
      <c r="D302" s="22">
        <f>(SUMPRODUCT(D$9:D$229,Nutrients!$J$8:$J$228)+(IF($A$7=Nutrients!$B$8,Nutrients!$J$8,Nutrients!$J$9)*D$7)+(((IF($A$8=Nutrients!$B$79,Nutrients!$J$79,(IF($A$8=Nutrients!$B$77,Nutrients!$J$77,Nutrients!$J$78)))))*D$8))/2000</f>
        <v>2.2969299326886694</v>
      </c>
      <c r="E302" s="22">
        <f>(SUMPRODUCT(E$9:E$229,Nutrients!$J$8:$J$228)+(IF($A$7=Nutrients!$B$8,Nutrients!$J$8,Nutrients!$J$9)*E$7)+(((IF($A$8=Nutrients!$B$79,Nutrients!$J$79,(IF($A$8=Nutrients!$B$77,Nutrients!$J$77,Nutrients!$J$78)))))*E$8))/2000</f>
        <v>2.237626654434278</v>
      </c>
      <c r="F302" s="22">
        <f>(SUMPRODUCT(F$9:F$229,Nutrients!$J$8:$J$228)+(IF($A$7=Nutrients!$B$8,Nutrients!$J$8,Nutrients!$J$9)*F$7)+(((IF($A$8=Nutrients!$B$79,Nutrients!$J$79,(IF($A$8=Nutrients!$B$77,Nutrients!$J$77,Nutrients!$J$78)))))*F$8))/2000</f>
        <v>2.1865908459890111</v>
      </c>
      <c r="G302" s="22">
        <f>(SUMPRODUCT(G$9:G$229,Nutrients!$J$8:$J$228)+(IF($A$7=Nutrients!$B$8,Nutrients!$J$8,Nutrients!$J$9)*G$7)+(((IF($A$8=Nutrients!$B$79,Nutrients!$J$79,(IF($A$8=Nutrients!$B$77,Nutrients!$J$77,Nutrients!$J$78)))))*G$8))/2000</f>
        <v>2.1575827805851042</v>
      </c>
      <c r="H302" s="228"/>
      <c r="I302" s="22">
        <f>(SUMPRODUCT(I$9:I$229,Nutrients!$J$8:$J$228)+(IF($A$7=Nutrients!$B$8,Nutrients!$J$8,Nutrients!$J$9)*I$7)+(((IF($A$8=Nutrients!$B$79,Nutrients!$J$79,(IF($A$8=Nutrients!$B$77,Nutrients!$J$77,Nutrients!$J$78)))))*I$8))/2000</f>
        <v>2.6732813897027521</v>
      </c>
      <c r="J302" s="22">
        <f>(SUMPRODUCT(J$9:J$229,Nutrients!$J$8:$J$228)+(IF($A$7=Nutrients!$B$8,Nutrients!$J$8,Nutrients!$J$9)*J$7)+(((IF($A$8=Nutrients!$B$79,Nutrients!$J$79,(IF($A$8=Nutrients!$B$77,Nutrients!$J$77,Nutrients!$J$78)))))*J$8))/2000</f>
        <v>2.6050501835277173</v>
      </c>
      <c r="K302" s="22">
        <f>(SUMPRODUCT(K$9:K$229,Nutrients!$J$8:$J$228)+(IF($A$7=Nutrients!$B$8,Nutrients!$J$8,Nutrients!$J$9)*K$7)+(((IF($A$8=Nutrients!$B$79,Nutrients!$J$79,(IF($A$8=Nutrients!$B$77,Nutrients!$J$77,Nutrients!$J$78)))))*K$8))/2000</f>
        <v>2.5485218338069386</v>
      </c>
      <c r="L302" s="22">
        <f>(SUMPRODUCT(L$9:L$229,Nutrients!$J$8:$J$228)+(IF($A$7=Nutrients!$B$8,Nutrients!$J$8,Nutrients!$J$9)*L$7)+(((IF($A$8=Nutrients!$B$79,Nutrients!$J$79,(IF($A$8=Nutrients!$B$77,Nutrients!$J$77,Nutrients!$J$78)))))*L$8))/2000</f>
        <v>2.4898198505130775</v>
      </c>
      <c r="M302" s="22">
        <f>(SUMPRODUCT(M$9:M$229,Nutrients!$J$8:$J$228)+(IF($A$7=Nutrients!$B$8,Nutrients!$J$8,Nutrients!$J$9)*M$7)+(((IF($A$8=Nutrients!$B$79,Nutrients!$J$79,(IF($A$8=Nutrients!$B$77,Nutrients!$J$77,Nutrients!$J$78)))))*M$8))/2000</f>
        <v>2.4387854161825144</v>
      </c>
      <c r="N302" s="22">
        <f>(SUMPRODUCT(N$9:N$229,Nutrients!$J$8:$J$228)+(IF($A$7=Nutrients!$B$8,Nutrients!$J$8,Nutrients!$J$9)*N$7)+(((IF($A$8=Nutrients!$B$79,Nutrients!$J$79,(IF($A$8=Nutrients!$B$77,Nutrients!$J$77,Nutrients!$J$78)))))*N$8))/2000</f>
        <v>2.4099917789223739</v>
      </c>
      <c r="O302" s="235"/>
      <c r="P302" s="22">
        <f>(SUMPRODUCT(P$9:P$229,Nutrients!$J$8:$J$228)+(IF($A$7=Nutrients!$B$8,Nutrients!$J$8,Nutrients!$J$9)*P$7)+(((IF($A$8=Nutrients!$B$79,Nutrients!$J$79,(IF($A$8=Nutrients!$B$77,Nutrients!$J$77,Nutrients!$J$78)))))*P$8))/2000</f>
        <v>2.924315435521502</v>
      </c>
      <c r="Q302" s="22">
        <f>(SUMPRODUCT(Q$9:Q$229,Nutrients!$J$8:$J$228)+(IF($A$7=Nutrients!$B$8,Nutrients!$J$8,Nutrients!$J$9)*Q$7)+(((IF($A$8=Nutrients!$B$79,Nutrients!$J$79,(IF($A$8=Nutrients!$B$77,Nutrients!$J$77,Nutrients!$J$78)))))*Q$8))/2000</f>
        <v>2.8566492127014254</v>
      </c>
      <c r="R302" s="22">
        <f>(SUMPRODUCT(R$9:R$229,Nutrients!$J$8:$J$228)+(IF($A$7=Nutrients!$B$8,Nutrients!$J$8,Nutrients!$J$9)*R$7)+(((IF($A$8=Nutrients!$B$79,Nutrients!$J$79,(IF($A$8=Nutrients!$B$77,Nutrients!$J$77,Nutrients!$J$78)))))*R$8))/2000</f>
        <v>2.8008708006403085</v>
      </c>
      <c r="S302" s="22">
        <f>(SUMPRODUCT(S$9:S$229,Nutrients!$J$8:$J$228)+(IF($A$7=Nutrients!$B$8,Nutrients!$J$8,Nutrients!$J$9)*S$7)+(((IF($A$8=Nutrients!$B$79,Nutrients!$J$79,(IF($A$8=Nutrients!$B$77,Nutrients!$J$77,Nutrients!$J$78)))))*S$8))/2000</f>
        <v>2.7417828786555702</v>
      </c>
      <c r="T302" s="22">
        <f>(SUMPRODUCT(T$9:T$229,Nutrients!$J$8:$J$228)+(IF($A$7=Nutrients!$B$8,Nutrients!$J$8,Nutrients!$J$9)*T$7)+(((IF($A$8=Nutrients!$B$79,Nutrients!$J$79,(IF($A$8=Nutrients!$B$77,Nutrients!$J$77,Nutrients!$J$78)))))*T$8))/2000</f>
        <v>2.6913286983431166</v>
      </c>
      <c r="U302" s="22">
        <f>(SUMPRODUCT(U$9:U$229,Nutrients!$J$8:$J$228)+(IF($A$7=Nutrients!$B$8,Nutrients!$J$8,Nutrients!$J$9)*U$7)+(((IF($A$8=Nutrients!$B$79,Nutrients!$J$79,(IF($A$8=Nutrients!$B$77,Nutrients!$J$77,Nutrients!$J$78)))))*U$8))/2000</f>
        <v>2.6627937646767155</v>
      </c>
      <c r="W302" s="22">
        <f>(SUMPRODUCT(W$9:W$229,Nutrients!$J$8:$J$228)+(IF($A$7=Nutrients!$B$8,Nutrients!$J$8,Nutrients!$J$9)*W$7)+(((IF($A$8=Nutrients!$B$79,Nutrients!$J$79,(IF($A$8=Nutrients!$B$77,Nutrients!$J$77,Nutrients!$J$78)))))*W$8))/2000</f>
        <v>3.1753027679004502</v>
      </c>
      <c r="X302" s="22">
        <f>(SUMPRODUCT(X$9:X$229,Nutrients!$J$8:$J$228)+(IF($A$7=Nutrients!$B$8,Nutrients!$J$8,Nutrients!$J$9)*X$7)+(((IF($A$8=Nutrients!$B$79,Nutrients!$J$79,(IF($A$8=Nutrients!$B$77,Nutrients!$J$77,Nutrients!$J$78)))))*X$8))/2000</f>
        <v>3.10828540648345</v>
      </c>
      <c r="Y302" s="22">
        <f>(SUMPRODUCT(Y$9:Y$229,Nutrients!$J$8:$J$228)+(IF($A$7=Nutrients!$B$8,Nutrients!$J$8,Nutrients!$J$9)*Y$7)+(((IF($A$8=Nutrients!$B$79,Nutrients!$J$79,(IF($A$8=Nutrients!$B$77,Nutrients!$J$77,Nutrients!$J$78)))))*Y$8))/2000</f>
        <v>3.0521034778334619</v>
      </c>
      <c r="Z302" s="22">
        <f>(SUMPRODUCT(Z$9:Z$229,Nutrients!$J$8:$J$228)+(IF($A$7=Nutrients!$B$8,Nutrients!$J$8,Nutrients!$J$9)*Z$7)+(((IF($A$8=Nutrients!$B$79,Nutrients!$J$79,(IF($A$8=Nutrients!$B$77,Nutrients!$J$77,Nutrients!$J$78)))))*Z$8))/2000</f>
        <v>2.9939203970228991</v>
      </c>
      <c r="AA302" s="22">
        <f>(SUMPRODUCT(AA$9:AA$229,Nutrients!$J$8:$J$228)+(IF($A$7=Nutrients!$B$8,Nutrients!$J$8,Nutrients!$J$9)*AA$7)+(((IF($A$8=Nutrients!$B$79,Nutrients!$J$79,(IF($A$8=Nutrients!$B$77,Nutrients!$J$77,Nutrients!$J$78)))))*AA$8))/2000</f>
        <v>2.94363797056024</v>
      </c>
      <c r="AB302" s="22">
        <f>(SUMPRODUCT(AB$9:AB$229,Nutrients!$J$8:$J$228)+(IF($A$7=Nutrients!$B$8,Nutrients!$J$8,Nutrients!$J$9)*AB$7)+(((IF($A$8=Nutrients!$B$79,Nutrients!$J$79,(IF($A$8=Nutrients!$B$77,Nutrients!$J$77,Nutrients!$J$78)))))*AB$8))/2000</f>
        <v>2.9147828517355903</v>
      </c>
      <c r="AD302" s="22">
        <f>(SUMPRODUCT(AD$9:AD$229,Nutrients!$J$8:$J$228)+(IF($A$7=Nutrients!$B$8,Nutrients!$J$8,Nutrients!$J$9)*AD$7)+(((IF($A$8=Nutrients!$B$79,Nutrients!$J$79,(IF($A$8=Nutrients!$B$77,Nutrients!$J$77,Nutrients!$J$78)))))*AD$8))/2000</f>
        <v>3.4261397197035883</v>
      </c>
      <c r="AE302" s="22">
        <f>(SUMPRODUCT(AE$9:AE$229,Nutrients!$J$8:$J$228)+(IF($A$7=Nutrients!$B$8,Nutrients!$J$8,Nutrients!$J$9)*AE$7)+(((IF($A$8=Nutrients!$B$79,Nutrients!$J$79,(IF($A$8=Nutrients!$B$77,Nutrients!$J$77,Nutrients!$J$78)))))*AE$8))/2000</f>
        <v>3.358818311843268</v>
      </c>
      <c r="AF302" s="22">
        <f>(SUMPRODUCT(AF$9:AF$229,Nutrients!$J$8:$J$228)+(IF($A$7=Nutrients!$B$8,Nutrients!$J$8,Nutrients!$J$9)*AF$7)+(((IF($A$8=Nutrients!$B$79,Nutrients!$J$79,(IF($A$8=Nutrients!$B$77,Nutrients!$J$77,Nutrients!$J$78)))))*AF$8))/2000</f>
        <v>3.3034908371516392</v>
      </c>
      <c r="AG302" s="22">
        <f>(SUMPRODUCT(AG$9:AG$229,Nutrients!$J$8:$J$228)+(IF($A$7=Nutrients!$B$8,Nutrients!$J$8,Nutrients!$J$9)*AG$7)+(((IF($A$8=Nutrients!$B$79,Nutrients!$J$79,(IF($A$8=Nutrients!$B$77,Nutrients!$J$77,Nutrients!$J$78)))))*AG$8))/2000</f>
        <v>3.2457689719051768</v>
      </c>
      <c r="AH302" s="22">
        <f>(SUMPRODUCT(AH$9:AH$229,Nutrients!$J$8:$J$228)+(IF($A$7=Nutrients!$B$8,Nutrients!$J$8,Nutrients!$J$9)*AH$7)+(((IF($A$8=Nutrients!$B$79,Nutrients!$J$79,(IF($A$8=Nutrients!$B$77,Nutrients!$J$77,Nutrients!$J$78)))))*AH$8))/2000</f>
        <v>3.1942903638465241</v>
      </c>
      <c r="AI302" s="22">
        <f>(SUMPRODUCT(AI$9:AI$229,Nutrients!$J$8:$J$228)+(IF($A$7=Nutrients!$B$8,Nutrients!$J$8,Nutrients!$J$9)*AI$7)+(((IF($A$8=Nutrients!$B$79,Nutrients!$J$79,(IF($A$8=Nutrients!$B$77,Nutrients!$J$77,Nutrients!$J$78)))))*AI$8))/2000</f>
        <v>3.1651186538481353</v>
      </c>
      <c r="AK302" s="22">
        <f>(SUMPRODUCT(AK$9:AK$229,Nutrients!$J$8:$J$228)+(IF($A$7=Nutrients!$B$8,Nutrients!$J$8,Nutrients!$J$9)*AK$7)+(((IF($A$8=Nutrients!$B$79,Nutrients!$J$79,(IF($A$8=Nutrients!$B$77,Nutrients!$J$77,Nutrients!$J$78)))))*AK$8))/2000</f>
        <v>3.6772301152691256</v>
      </c>
      <c r="AL302" s="22">
        <f>(SUMPRODUCT(AL$9:AL$229,Nutrients!$J$8:$J$228)+(IF($A$7=Nutrients!$B$8,Nutrients!$J$8,Nutrients!$J$9)*AL$7)+(((IF($A$8=Nutrients!$B$79,Nutrients!$J$79,(IF($A$8=Nutrients!$B$77,Nutrients!$J$77,Nutrients!$J$78)))))*AL$8))/2000</f>
        <v>3.609713227691373</v>
      </c>
      <c r="AM302" s="22">
        <f>(SUMPRODUCT(AM$9:AM$229,Nutrients!$J$8:$J$228)+(IF($A$7=Nutrients!$B$8,Nutrients!$J$8,Nutrients!$J$9)*AM$7)+(((IF($A$8=Nutrients!$B$79,Nutrients!$J$79,(IF($A$8=Nutrients!$B$77,Nutrients!$J$77,Nutrients!$J$78)))))*AM$8))/2000</f>
        <v>3.5549012924512922</v>
      </c>
      <c r="AN302" s="22">
        <f>(SUMPRODUCT(AN$9:AN$229,Nutrients!$J$8:$J$228)+(IF($A$7=Nutrients!$B$8,Nutrients!$J$8,Nutrients!$J$9)*AN$7)+(((IF($A$8=Nutrients!$B$79,Nutrients!$J$79,(IF($A$8=Nutrients!$B$77,Nutrients!$J$77,Nutrients!$J$78)))))*AN$8))/2000</f>
        <v>3.4963496162542462</v>
      </c>
      <c r="AO302" s="22">
        <f>(SUMPRODUCT(AO$9:AO$229,Nutrients!$J$8:$J$228)+(IF($A$7=Nutrients!$B$8,Nutrients!$J$8,Nutrients!$J$9)*AO$7)+(((IF($A$8=Nutrients!$B$79,Nutrients!$J$79,(IF($A$8=Nutrients!$B$77,Nutrients!$J$77,Nutrients!$J$78)))))*AO$8))/2000</f>
        <v>3.4443797708352668</v>
      </c>
      <c r="AP302" s="22">
        <f>(SUMPRODUCT(AP$9:AP$229,Nutrients!$J$8:$J$228)+(IF($A$7=Nutrients!$B$8,Nutrients!$J$8,Nutrients!$J$9)*AP$7)+(((IF($A$8=Nutrients!$B$79,Nutrients!$J$79,(IF($A$8=Nutrients!$B$77,Nutrients!$J$77,Nutrients!$J$78)))))*AP$8))/2000</f>
        <v>3.415459888183749</v>
      </c>
      <c r="AR302" s="22">
        <f>(SUMPRODUCT(AR$9:AR$229,Nutrients!$J$8:$J$228)+(IF($A$7=Nutrients!$B$8,Nutrients!$J$8,Nutrients!$J$9)*AR$7)+(((IF($A$8=Nutrients!$B$79,Nutrients!$J$79,(IF($A$8=Nutrients!$B$77,Nutrients!$J$77,Nutrients!$J$78)))))*AR$8))/2000</f>
        <v>3.9303964581950654</v>
      </c>
      <c r="AS302" s="22">
        <f>(SUMPRODUCT(AS$9:AS$229,Nutrients!$J$8:$J$228)+(IF($A$7=Nutrients!$B$8,Nutrients!$J$8,Nutrients!$J$9)*AS$7)+(((IF($A$8=Nutrients!$B$79,Nutrients!$J$79,(IF($A$8=Nutrients!$B$77,Nutrients!$J$77,Nutrients!$J$78)))))*AS$8))/2000</f>
        <v>3.8604612760505268</v>
      </c>
      <c r="AT302" s="22">
        <f>(SUMPRODUCT(AT$9:AT$229,Nutrients!$J$8:$J$228)+(IF($A$7=Nutrients!$B$8,Nutrients!$J$8,Nutrients!$J$9)*AT$7)+(((IF($A$8=Nutrients!$B$79,Nutrients!$J$79,(IF($A$8=Nutrients!$B$77,Nutrients!$J$77,Nutrients!$J$78)))))*AT$8))/2000</f>
        <v>3.8063667265197383</v>
      </c>
      <c r="AU302" s="22">
        <f>(SUMPRODUCT(AU$9:AU$229,Nutrients!$J$8:$J$228)+(IF($A$7=Nutrients!$B$8,Nutrients!$J$8,Nutrients!$J$9)*AU$7)+(((IF($A$8=Nutrients!$B$79,Nutrients!$J$79,(IF($A$8=Nutrients!$B$77,Nutrients!$J$77,Nutrients!$J$78)))))*AU$8))/2000</f>
        <v>3.7460810481515416</v>
      </c>
      <c r="AV302" s="22">
        <f>(SUMPRODUCT(AV$9:AV$229,Nutrients!$J$8:$J$228)+(IF($A$7=Nutrients!$B$8,Nutrients!$J$8,Nutrients!$J$9)*AV$7)+(((IF($A$8=Nutrients!$B$79,Nutrients!$J$79,(IF($A$8=Nutrients!$B$77,Nutrients!$J$77,Nutrients!$J$78)))))*AV$8))/2000</f>
        <v>3.6944743758561103</v>
      </c>
      <c r="AW302" s="22">
        <f>(SUMPRODUCT(AW$9:AW$229,Nutrients!$J$8:$J$228)+(IF($A$7=Nutrients!$B$8,Nutrients!$J$8,Nutrients!$J$9)*AW$7)+(((IF($A$8=Nutrients!$B$79,Nutrients!$J$79,(IF($A$8=Nutrients!$B$77,Nutrients!$J$77,Nutrients!$J$78)))))*AW$8))/2000</f>
        <v>3.6658030735324205</v>
      </c>
    </row>
    <row r="303" spans="1:49" x14ac:dyDescent="0.25">
      <c r="A303" t="s">
        <v>54</v>
      </c>
      <c r="B303" s="22">
        <f>(SUMPRODUCT(B$9:B$229,Nutrients!$ED$8:$ED$228)+(IF($A$7=Nutrients!$B$8,Nutrients!$ED$8,Nutrients!$ED$9)*B$7)+(((IF($A$8=Nutrients!$B$79,Nutrients!$ED$79,(IF($A$8=Nutrients!$B$77,Nutrients!$ED$77,Nutrients!$ED$78)))))*B$8))/2000</f>
        <v>0</v>
      </c>
      <c r="C303" s="22">
        <f>(SUMPRODUCT(C$9:C$229,Nutrients!$ED$8:$ED$228)+(IF($A$7=Nutrients!$B$8,Nutrients!$ED$8,Nutrients!$ED$9)*C$7)+(((IF($A$8=Nutrients!$B$79,Nutrients!$ED$79,(IF($A$8=Nutrients!$B$77,Nutrients!$ED$77,Nutrients!$ED$78)))))*C$8))/2000</f>
        <v>0</v>
      </c>
      <c r="D303" s="22">
        <f>(SUMPRODUCT(D$9:D$229,Nutrients!$ED$8:$ED$228)+(IF($A$7=Nutrients!$B$8,Nutrients!$ED$8,Nutrients!$ED$9)*D$7)+(((IF($A$8=Nutrients!$B$79,Nutrients!$ED$79,(IF($A$8=Nutrients!$B$77,Nutrients!$ED$77,Nutrients!$ED$78)))))*D$8))/2000</f>
        <v>0</v>
      </c>
      <c r="E303" s="22">
        <f>(SUMPRODUCT(E$9:E$229,Nutrients!$ED$8:$ED$228)+(IF($A$7=Nutrients!$B$8,Nutrients!$ED$8,Nutrients!$ED$9)*E$7)+(((IF($A$8=Nutrients!$B$79,Nutrients!$ED$79,(IF($A$8=Nutrients!$B$77,Nutrients!$ED$77,Nutrients!$ED$78)))))*E$8))/2000</f>
        <v>0</v>
      </c>
      <c r="F303" s="22">
        <f>(SUMPRODUCT(F$9:F$229,Nutrients!$ED$8:$ED$228)+(IF($A$7=Nutrients!$B$8,Nutrients!$ED$8,Nutrients!$ED$9)*F$7)+(((IF($A$8=Nutrients!$B$79,Nutrients!$ED$79,(IF($A$8=Nutrients!$B$77,Nutrients!$ED$77,Nutrients!$ED$78)))))*F$8))/2000</f>
        <v>0</v>
      </c>
      <c r="G303" s="22">
        <f>(SUMPRODUCT(G$9:G$229,Nutrients!$ED$8:$ED$228)+(IF($A$7=Nutrients!$B$8,Nutrients!$ED$8,Nutrients!$ED$9)*G$7)+(((IF($A$8=Nutrients!$B$79,Nutrients!$ED$79,(IF($A$8=Nutrients!$B$77,Nutrients!$ED$77,Nutrients!$ED$78)))))*G$8))/2000</f>
        <v>0</v>
      </c>
      <c r="H303" s="228"/>
      <c r="I303" s="22">
        <f>(SUMPRODUCT(I$9:I$229,Nutrients!$ED$8:$ED$228)+(IF($A$7=Nutrients!$B$8,Nutrients!$ED$8,Nutrients!$ED$9)*I$7)+(((IF($A$8=Nutrients!$B$79,Nutrients!$ED$79,(IF($A$8=Nutrients!$B$77,Nutrients!$ED$77,Nutrients!$ED$78)))))*I$8))/2000</f>
        <v>0</v>
      </c>
      <c r="J303" s="22">
        <f>(SUMPRODUCT(J$9:J$229,Nutrients!$ED$8:$ED$228)+(IF($A$7=Nutrients!$B$8,Nutrients!$ED$8,Nutrients!$ED$9)*J$7)+(((IF($A$8=Nutrients!$B$79,Nutrients!$ED$79,(IF($A$8=Nutrients!$B$77,Nutrients!$ED$77,Nutrients!$ED$78)))))*J$8))/2000</f>
        <v>0</v>
      </c>
      <c r="K303" s="22">
        <f>(SUMPRODUCT(K$9:K$229,Nutrients!$ED$8:$ED$228)+(IF($A$7=Nutrients!$B$8,Nutrients!$ED$8,Nutrients!$ED$9)*K$7)+(((IF($A$8=Nutrients!$B$79,Nutrients!$ED$79,(IF($A$8=Nutrients!$B$77,Nutrients!$ED$77,Nutrients!$ED$78)))))*K$8))/2000</f>
        <v>0</v>
      </c>
      <c r="L303" s="22">
        <f>(SUMPRODUCT(L$9:L$229,Nutrients!$ED$8:$ED$228)+(IF($A$7=Nutrients!$B$8,Nutrients!$ED$8,Nutrients!$ED$9)*L$7)+(((IF($A$8=Nutrients!$B$79,Nutrients!$ED$79,(IF($A$8=Nutrients!$B$77,Nutrients!$ED$77,Nutrients!$ED$78)))))*L$8))/2000</f>
        <v>0</v>
      </c>
      <c r="M303" s="22">
        <f>(SUMPRODUCT(M$9:M$229,Nutrients!$ED$8:$ED$228)+(IF($A$7=Nutrients!$B$8,Nutrients!$ED$8,Nutrients!$ED$9)*M$7)+(((IF($A$8=Nutrients!$B$79,Nutrients!$ED$79,(IF($A$8=Nutrients!$B$77,Nutrients!$ED$77,Nutrients!$ED$78)))))*M$8))/2000</f>
        <v>0</v>
      </c>
      <c r="N303" s="22">
        <f>(SUMPRODUCT(N$9:N$229,Nutrients!$ED$8:$ED$228)+(IF($A$7=Nutrients!$B$8,Nutrients!$ED$8,Nutrients!$ED$9)*N$7)+(((IF($A$8=Nutrients!$B$79,Nutrients!$ED$79,(IF($A$8=Nutrients!$B$77,Nutrients!$ED$77,Nutrients!$ED$78)))))*N$8))/2000</f>
        <v>0</v>
      </c>
      <c r="O303" s="235"/>
      <c r="P303" s="22">
        <f>(SUMPRODUCT(P$9:P$229,Nutrients!$ED$8:$ED$228)+(IF($A$7=Nutrients!$B$8,Nutrients!$ED$8,Nutrients!$ED$9)*P$7)+(((IF($A$8=Nutrients!$B$79,Nutrients!$ED$79,(IF($A$8=Nutrients!$B$77,Nutrients!$ED$77,Nutrients!$ED$78)))))*P$8))/2000</f>
        <v>0</v>
      </c>
      <c r="Q303" s="22">
        <f>(SUMPRODUCT(Q$9:Q$229,Nutrients!$ED$8:$ED$228)+(IF($A$7=Nutrients!$B$8,Nutrients!$ED$8,Nutrients!$ED$9)*Q$7)+(((IF($A$8=Nutrients!$B$79,Nutrients!$ED$79,(IF($A$8=Nutrients!$B$77,Nutrients!$ED$77,Nutrients!$ED$78)))))*Q$8))/2000</f>
        <v>0</v>
      </c>
      <c r="R303" s="22">
        <f>(SUMPRODUCT(R$9:R$229,Nutrients!$ED$8:$ED$228)+(IF($A$7=Nutrients!$B$8,Nutrients!$ED$8,Nutrients!$ED$9)*R$7)+(((IF($A$8=Nutrients!$B$79,Nutrients!$ED$79,(IF($A$8=Nutrients!$B$77,Nutrients!$ED$77,Nutrients!$ED$78)))))*R$8))/2000</f>
        <v>0</v>
      </c>
      <c r="S303" s="22">
        <f>(SUMPRODUCT(S$9:S$229,Nutrients!$ED$8:$ED$228)+(IF($A$7=Nutrients!$B$8,Nutrients!$ED$8,Nutrients!$ED$9)*S$7)+(((IF($A$8=Nutrients!$B$79,Nutrients!$ED$79,(IF($A$8=Nutrients!$B$77,Nutrients!$ED$77,Nutrients!$ED$78)))))*S$8))/2000</f>
        <v>0</v>
      </c>
      <c r="T303" s="22">
        <f>(SUMPRODUCT(T$9:T$229,Nutrients!$ED$8:$ED$228)+(IF($A$7=Nutrients!$B$8,Nutrients!$ED$8,Nutrients!$ED$9)*T$7)+(((IF($A$8=Nutrients!$B$79,Nutrients!$ED$79,(IF($A$8=Nutrients!$B$77,Nutrients!$ED$77,Nutrients!$ED$78)))))*T$8))/2000</f>
        <v>0</v>
      </c>
      <c r="U303" s="22">
        <f>(SUMPRODUCT(U$9:U$229,Nutrients!$ED$8:$ED$228)+(IF($A$7=Nutrients!$B$8,Nutrients!$ED$8,Nutrients!$ED$9)*U$7)+(((IF($A$8=Nutrients!$B$79,Nutrients!$ED$79,(IF($A$8=Nutrients!$B$77,Nutrients!$ED$77,Nutrients!$ED$78)))))*U$8))/2000</f>
        <v>0</v>
      </c>
      <c r="W303" s="22">
        <f>(SUMPRODUCT(W$9:W$229,Nutrients!$ED$8:$ED$228)+(IF($A$7=Nutrients!$B$8,Nutrients!$ED$8,Nutrients!$ED$9)*W$7)+(((IF($A$8=Nutrients!$B$79,Nutrients!$ED$79,(IF($A$8=Nutrients!$B$77,Nutrients!$ED$77,Nutrients!$ED$78)))))*W$8))/2000</f>
        <v>0</v>
      </c>
      <c r="X303" s="22">
        <f>(SUMPRODUCT(X$9:X$229,Nutrients!$ED$8:$ED$228)+(IF($A$7=Nutrients!$B$8,Nutrients!$ED$8,Nutrients!$ED$9)*X$7)+(((IF($A$8=Nutrients!$B$79,Nutrients!$ED$79,(IF($A$8=Nutrients!$B$77,Nutrients!$ED$77,Nutrients!$ED$78)))))*X$8))/2000</f>
        <v>0</v>
      </c>
      <c r="Y303" s="22">
        <f>(SUMPRODUCT(Y$9:Y$229,Nutrients!$ED$8:$ED$228)+(IF($A$7=Nutrients!$B$8,Nutrients!$ED$8,Nutrients!$ED$9)*Y$7)+(((IF($A$8=Nutrients!$B$79,Nutrients!$ED$79,(IF($A$8=Nutrients!$B$77,Nutrients!$ED$77,Nutrients!$ED$78)))))*Y$8))/2000</f>
        <v>0</v>
      </c>
      <c r="Z303" s="22">
        <f>(SUMPRODUCT(Z$9:Z$229,Nutrients!$ED$8:$ED$228)+(IF($A$7=Nutrients!$B$8,Nutrients!$ED$8,Nutrients!$ED$9)*Z$7)+(((IF($A$8=Nutrients!$B$79,Nutrients!$ED$79,(IF($A$8=Nutrients!$B$77,Nutrients!$ED$77,Nutrients!$ED$78)))))*Z$8))/2000</f>
        <v>0</v>
      </c>
      <c r="AA303" s="22">
        <f>(SUMPRODUCT(AA$9:AA$229,Nutrients!$ED$8:$ED$228)+(IF($A$7=Nutrients!$B$8,Nutrients!$ED$8,Nutrients!$ED$9)*AA$7)+(((IF($A$8=Nutrients!$B$79,Nutrients!$ED$79,(IF($A$8=Nutrients!$B$77,Nutrients!$ED$77,Nutrients!$ED$78)))))*AA$8))/2000</f>
        <v>0</v>
      </c>
      <c r="AB303" s="22">
        <f>(SUMPRODUCT(AB$9:AB$229,Nutrients!$ED$8:$ED$228)+(IF($A$7=Nutrients!$B$8,Nutrients!$ED$8,Nutrients!$ED$9)*AB$7)+(((IF($A$8=Nutrients!$B$79,Nutrients!$ED$79,(IF($A$8=Nutrients!$B$77,Nutrients!$ED$77,Nutrients!$ED$78)))))*AB$8))/2000</f>
        <v>0</v>
      </c>
      <c r="AD303" s="22">
        <f>(SUMPRODUCT(AD$9:AD$229,Nutrients!$ED$8:$ED$228)+(IF($A$7=Nutrients!$B$8,Nutrients!$ED$8,Nutrients!$ED$9)*AD$7)+(((IF($A$8=Nutrients!$B$79,Nutrients!$ED$79,(IF($A$8=Nutrients!$B$77,Nutrients!$ED$77,Nutrients!$ED$78)))))*AD$8))/2000</f>
        <v>0</v>
      </c>
      <c r="AE303" s="22">
        <f>(SUMPRODUCT(AE$9:AE$229,Nutrients!$ED$8:$ED$228)+(IF($A$7=Nutrients!$B$8,Nutrients!$ED$8,Nutrients!$ED$9)*AE$7)+(((IF($A$8=Nutrients!$B$79,Nutrients!$ED$79,(IF($A$8=Nutrients!$B$77,Nutrients!$ED$77,Nutrients!$ED$78)))))*AE$8))/2000</f>
        <v>0</v>
      </c>
      <c r="AF303" s="22">
        <f>(SUMPRODUCT(AF$9:AF$229,Nutrients!$ED$8:$ED$228)+(IF($A$7=Nutrients!$B$8,Nutrients!$ED$8,Nutrients!$ED$9)*AF$7)+(((IF($A$8=Nutrients!$B$79,Nutrients!$ED$79,(IF($A$8=Nutrients!$B$77,Nutrients!$ED$77,Nutrients!$ED$78)))))*AF$8))/2000</f>
        <v>0</v>
      </c>
      <c r="AG303" s="22">
        <f>(SUMPRODUCT(AG$9:AG$229,Nutrients!$ED$8:$ED$228)+(IF($A$7=Nutrients!$B$8,Nutrients!$ED$8,Nutrients!$ED$9)*AG$7)+(((IF($A$8=Nutrients!$B$79,Nutrients!$ED$79,(IF($A$8=Nutrients!$B$77,Nutrients!$ED$77,Nutrients!$ED$78)))))*AG$8))/2000</f>
        <v>0</v>
      </c>
      <c r="AH303" s="22">
        <f>(SUMPRODUCT(AH$9:AH$229,Nutrients!$ED$8:$ED$228)+(IF($A$7=Nutrients!$B$8,Nutrients!$ED$8,Nutrients!$ED$9)*AH$7)+(((IF($A$8=Nutrients!$B$79,Nutrients!$ED$79,(IF($A$8=Nutrients!$B$77,Nutrients!$ED$77,Nutrients!$ED$78)))))*AH$8))/2000</f>
        <v>0</v>
      </c>
      <c r="AI303" s="22">
        <f>(SUMPRODUCT(AI$9:AI$229,Nutrients!$ED$8:$ED$228)+(IF($A$7=Nutrients!$B$8,Nutrients!$ED$8,Nutrients!$ED$9)*AI$7)+(((IF($A$8=Nutrients!$B$79,Nutrients!$ED$79,(IF($A$8=Nutrients!$B$77,Nutrients!$ED$77,Nutrients!$ED$78)))))*AI$8))/2000</f>
        <v>0</v>
      </c>
      <c r="AK303" s="22">
        <f>(SUMPRODUCT(AK$9:AK$229,Nutrients!$ED$8:$ED$228)+(IF($A$7=Nutrients!$B$8,Nutrients!$ED$8,Nutrients!$ED$9)*AK$7)+(((IF($A$8=Nutrients!$B$79,Nutrients!$ED$79,(IF($A$8=Nutrients!$B$77,Nutrients!$ED$77,Nutrients!$ED$78)))))*AK$8))/2000</f>
        <v>0</v>
      </c>
      <c r="AL303" s="22">
        <f>(SUMPRODUCT(AL$9:AL$229,Nutrients!$ED$8:$ED$228)+(IF($A$7=Nutrients!$B$8,Nutrients!$ED$8,Nutrients!$ED$9)*AL$7)+(((IF($A$8=Nutrients!$B$79,Nutrients!$ED$79,(IF($A$8=Nutrients!$B$77,Nutrients!$ED$77,Nutrients!$ED$78)))))*AL$8))/2000</f>
        <v>0</v>
      </c>
      <c r="AM303" s="22">
        <f>(SUMPRODUCT(AM$9:AM$229,Nutrients!$ED$8:$ED$228)+(IF($A$7=Nutrients!$B$8,Nutrients!$ED$8,Nutrients!$ED$9)*AM$7)+(((IF($A$8=Nutrients!$B$79,Nutrients!$ED$79,(IF($A$8=Nutrients!$B$77,Nutrients!$ED$77,Nutrients!$ED$78)))))*AM$8))/2000</f>
        <v>0</v>
      </c>
      <c r="AN303" s="22">
        <f>(SUMPRODUCT(AN$9:AN$229,Nutrients!$ED$8:$ED$228)+(IF($A$7=Nutrients!$B$8,Nutrients!$ED$8,Nutrients!$ED$9)*AN$7)+(((IF($A$8=Nutrients!$B$79,Nutrients!$ED$79,(IF($A$8=Nutrients!$B$77,Nutrients!$ED$77,Nutrients!$ED$78)))))*AN$8))/2000</f>
        <v>0</v>
      </c>
      <c r="AO303" s="22">
        <f>(SUMPRODUCT(AO$9:AO$229,Nutrients!$ED$8:$ED$228)+(IF($A$7=Nutrients!$B$8,Nutrients!$ED$8,Nutrients!$ED$9)*AO$7)+(((IF($A$8=Nutrients!$B$79,Nutrients!$ED$79,(IF($A$8=Nutrients!$B$77,Nutrients!$ED$77,Nutrients!$ED$78)))))*AO$8))/2000</f>
        <v>0</v>
      </c>
      <c r="AP303" s="22">
        <f>(SUMPRODUCT(AP$9:AP$229,Nutrients!$ED$8:$ED$228)+(IF($A$7=Nutrients!$B$8,Nutrients!$ED$8,Nutrients!$ED$9)*AP$7)+(((IF($A$8=Nutrients!$B$79,Nutrients!$ED$79,(IF($A$8=Nutrients!$B$77,Nutrients!$ED$77,Nutrients!$ED$78)))))*AP$8))/2000</f>
        <v>0</v>
      </c>
      <c r="AR303" s="22">
        <f>(SUMPRODUCT(AR$9:AR$229,Nutrients!$ED$8:$ED$228)+(IF($A$7=Nutrients!$B$8,Nutrients!$ED$8,Nutrients!$ED$9)*AR$7)+(((IF($A$8=Nutrients!$B$79,Nutrients!$ED$79,(IF($A$8=Nutrients!$B$77,Nutrients!$ED$77,Nutrients!$ED$78)))))*AR$8))/2000</f>
        <v>0</v>
      </c>
      <c r="AS303" s="22">
        <f>(SUMPRODUCT(AS$9:AS$229,Nutrients!$ED$8:$ED$228)+(IF($A$7=Nutrients!$B$8,Nutrients!$ED$8,Nutrients!$ED$9)*AS$7)+(((IF($A$8=Nutrients!$B$79,Nutrients!$ED$79,(IF($A$8=Nutrients!$B$77,Nutrients!$ED$77,Nutrients!$ED$78)))))*AS$8))/2000</f>
        <v>0</v>
      </c>
      <c r="AT303" s="22">
        <f>(SUMPRODUCT(AT$9:AT$229,Nutrients!$ED$8:$ED$228)+(IF($A$7=Nutrients!$B$8,Nutrients!$ED$8,Nutrients!$ED$9)*AT$7)+(((IF($A$8=Nutrients!$B$79,Nutrients!$ED$79,(IF($A$8=Nutrients!$B$77,Nutrients!$ED$77,Nutrients!$ED$78)))))*AT$8))/2000</f>
        <v>0</v>
      </c>
      <c r="AU303" s="22">
        <f>(SUMPRODUCT(AU$9:AU$229,Nutrients!$ED$8:$ED$228)+(IF($A$7=Nutrients!$B$8,Nutrients!$ED$8,Nutrients!$ED$9)*AU$7)+(((IF($A$8=Nutrients!$B$79,Nutrients!$ED$79,(IF($A$8=Nutrients!$B$77,Nutrients!$ED$77,Nutrients!$ED$78)))))*AU$8))/2000</f>
        <v>0</v>
      </c>
      <c r="AV303" s="22">
        <f>(SUMPRODUCT(AV$9:AV$229,Nutrients!$ED$8:$ED$228)+(IF($A$7=Nutrients!$B$8,Nutrients!$ED$8,Nutrients!$ED$9)*AV$7)+(((IF($A$8=Nutrients!$B$79,Nutrients!$ED$79,(IF($A$8=Nutrients!$B$77,Nutrients!$ED$77,Nutrients!$ED$78)))))*AV$8))/2000</f>
        <v>0</v>
      </c>
      <c r="AW303" s="22">
        <f>(SUMPRODUCT(AW$9:AW$229,Nutrients!$ED$8:$ED$228)+(IF($A$7=Nutrients!$B$8,Nutrients!$ED$8,Nutrients!$ED$9)*AW$7)+(((IF($A$8=Nutrients!$B$79,Nutrients!$ED$79,(IF($A$8=Nutrients!$B$77,Nutrients!$ED$77,Nutrients!$ED$78)))))*AW$8))/2000</f>
        <v>0</v>
      </c>
    </row>
    <row r="304" spans="1:49" x14ac:dyDescent="0.25">
      <c r="A304" t="s">
        <v>57</v>
      </c>
      <c r="B304" s="22">
        <f>(SUMPRODUCT(B$9:B$229,Nutrients!$EH$8:$EH$228)+(IF($A$7=Nutrients!$B$8,Nutrients!$EH$8,Nutrients!$EH$9)*B$7)+(((IF($A$8=Nutrients!$B$79,Nutrients!$EH$79,(IF($A$8=Nutrients!$B$77,Nutrients!$EH$77,Nutrients!$EH$78)))))*B$8))/2000</f>
        <v>35.538484918485338</v>
      </c>
      <c r="C304" s="22">
        <f>(SUMPRODUCT(C$9:C$229,Nutrients!$EH$8:$EH$228)+(IF($A$7=Nutrients!$B$8,Nutrients!$EH$8,Nutrients!$EH$9)*C$7)+(((IF($A$8=Nutrients!$B$79,Nutrients!$EH$79,(IF($A$8=Nutrients!$B$77,Nutrients!$EH$77,Nutrients!$EH$78)))))*C$8))/2000</f>
        <v>36.696132579183029</v>
      </c>
      <c r="D304" s="22">
        <f>(SUMPRODUCT(D$9:D$229,Nutrients!$EH$8:$EH$228)+(IF($A$7=Nutrients!$B$8,Nutrients!$EH$8,Nutrients!$EH$9)*D$7)+(((IF($A$8=Nutrients!$B$79,Nutrients!$EH$79,(IF($A$8=Nutrients!$B$77,Nutrients!$EH$77,Nutrients!$EH$78)))))*D$8))/2000</f>
        <v>37.687698685025424</v>
      </c>
      <c r="E304" s="22">
        <f>(SUMPRODUCT(E$9:E$229,Nutrients!$EH$8:$EH$228)+(IF($A$7=Nutrients!$B$8,Nutrients!$EH$8,Nutrients!$EH$9)*E$7)+(((IF($A$8=Nutrients!$B$79,Nutrients!$EH$79,(IF($A$8=Nutrients!$B$77,Nutrients!$EH$77,Nutrients!$EH$78)))))*E$8))/2000</f>
        <v>38.621947982979158</v>
      </c>
      <c r="F304" s="22">
        <f>(SUMPRODUCT(F$9:F$229,Nutrients!$EH$8:$EH$228)+(IF($A$7=Nutrients!$B$8,Nutrients!$EH$8,Nutrients!$EH$9)*F$7)+(((IF($A$8=Nutrients!$B$79,Nutrients!$EH$79,(IF($A$8=Nutrients!$B$77,Nutrients!$EH$77,Nutrients!$EH$78)))))*F$8))/2000</f>
        <v>39.390416669843518</v>
      </c>
      <c r="G304" s="22">
        <f>(SUMPRODUCT(G$9:G$229,Nutrients!$EH$8:$EH$228)+(IF($A$7=Nutrients!$B$8,Nutrients!$EH$8,Nutrients!$EH$9)*G$7)+(((IF($A$8=Nutrients!$B$79,Nutrients!$EH$79,(IF($A$8=Nutrients!$B$77,Nutrients!$EH$77,Nutrients!$EH$78)))))*G$8))/2000</f>
        <v>39.795780240411979</v>
      </c>
      <c r="H304" s="228"/>
      <c r="I304" s="22">
        <f>(SUMPRODUCT(I$9:I$229,Nutrients!$EH$8:$EH$228)+(IF($A$7=Nutrients!$B$8,Nutrients!$EH$8,Nutrients!$EH$9)*I$7)+(((IF($A$8=Nutrients!$B$79,Nutrients!$EH$79,(IF($A$8=Nutrients!$B$77,Nutrients!$EH$77,Nutrients!$EH$78)))))*I$8))/2000</f>
        <v>34.553029668984003</v>
      </c>
      <c r="J304" s="22">
        <f>(SUMPRODUCT(J$9:J$229,Nutrients!$EH$8:$EH$228)+(IF($A$7=Nutrients!$B$8,Nutrients!$EH$8,Nutrients!$EH$9)*J$7)+(((IF($A$8=Nutrients!$B$79,Nutrients!$EH$79,(IF($A$8=Nutrients!$B$77,Nutrients!$EH$77,Nutrients!$EH$78)))))*J$8))/2000</f>
        <v>35.692508850596795</v>
      </c>
      <c r="K304" s="22">
        <f>(SUMPRODUCT(K$9:K$229,Nutrients!$EH$8:$EH$228)+(IF($A$7=Nutrients!$B$8,Nutrients!$EH$8,Nutrients!$EH$9)*K$7)+(((IF($A$8=Nutrients!$B$79,Nutrients!$EH$79,(IF($A$8=Nutrients!$B$77,Nutrients!$EH$77,Nutrients!$EH$78)))))*K$8))/2000</f>
        <v>36.672380632344002</v>
      </c>
      <c r="L304" s="22">
        <f>(SUMPRODUCT(L$9:L$229,Nutrients!$EH$8:$EH$228)+(IF($A$7=Nutrients!$B$8,Nutrients!$EH$8,Nutrients!$EH$9)*L$7)+(((IF($A$8=Nutrients!$B$79,Nutrients!$EH$79,(IF($A$8=Nutrients!$B$77,Nutrients!$EH$77,Nutrients!$EH$78)))))*L$8))/2000</f>
        <v>37.598169208049136</v>
      </c>
      <c r="M304" s="22">
        <f>(SUMPRODUCT(M$9:M$229,Nutrients!$EH$8:$EH$228)+(IF($A$7=Nutrients!$B$8,Nutrients!$EH$8,Nutrients!$EH$9)*M$7)+(((IF($A$8=Nutrients!$B$79,Nutrients!$EH$79,(IF($A$8=Nutrients!$B$77,Nutrients!$EH$77,Nutrients!$EH$78)))))*M$8))/2000</f>
        <v>38.368337387595318</v>
      </c>
      <c r="N304" s="22">
        <f>(SUMPRODUCT(N$9:N$229,Nutrients!$EH$8:$EH$228)+(IF($A$7=Nutrients!$B$8,Nutrients!$EH$8,Nutrients!$EH$9)*N$7)+(((IF($A$8=Nutrients!$B$79,Nutrients!$EH$79,(IF($A$8=Nutrients!$B$77,Nutrients!$EH$77,Nutrients!$EH$78)))))*N$8))/2000</f>
        <v>38.767204878465883</v>
      </c>
      <c r="O304" s="235"/>
      <c r="P304" s="22">
        <f>(SUMPRODUCT(P$9:P$229,Nutrients!$EH$8:$EH$228)+(IF($A$7=Nutrients!$B$8,Nutrients!$EH$8,Nutrients!$EH$9)*P$7)+(((IF($A$8=Nutrients!$B$79,Nutrients!$EH$79,(IF($A$8=Nutrients!$B$77,Nutrients!$EH$77,Nutrients!$EH$78)))))*P$8))/2000</f>
        <v>33.546769015824715</v>
      </c>
      <c r="Q304" s="22">
        <f>(SUMPRODUCT(Q$9:Q$229,Nutrients!$EH$8:$EH$228)+(IF($A$7=Nutrients!$B$8,Nutrients!$EH$8,Nutrients!$EH$9)*Q$7)+(((IF($A$8=Nutrients!$B$79,Nutrients!$EH$79,(IF($A$8=Nutrients!$B$77,Nutrients!$EH$77,Nutrients!$EH$78)))))*Q$8))/2000</f>
        <v>34.674369384925761</v>
      </c>
      <c r="R304" s="22">
        <f>(SUMPRODUCT(R$9:R$229,Nutrients!$EH$8:$EH$228)+(IF($A$7=Nutrients!$B$8,Nutrients!$EH$8,Nutrients!$EH$9)*R$7)+(((IF($A$8=Nutrients!$B$79,Nutrients!$EH$79,(IF($A$8=Nutrients!$B$77,Nutrients!$EH$77,Nutrients!$EH$78)))))*R$8))/2000</f>
        <v>35.645189580692879</v>
      </c>
      <c r="S304" s="22">
        <f>(SUMPRODUCT(S$9:S$229,Nutrients!$EH$8:$EH$228)+(IF($A$7=Nutrients!$B$8,Nutrients!$EH$8,Nutrients!$EH$9)*S$7)+(((IF($A$8=Nutrients!$B$79,Nutrients!$EH$79,(IF($A$8=Nutrients!$B$77,Nutrients!$EH$77,Nutrients!$EH$78)))))*S$8))/2000</f>
        <v>36.57428676563314</v>
      </c>
      <c r="T304" s="22">
        <f>(SUMPRODUCT(T$9:T$229,Nutrients!$EH$8:$EH$228)+(IF($A$7=Nutrients!$B$8,Nutrients!$EH$8,Nutrients!$EH$9)*T$7)+(((IF($A$8=Nutrients!$B$79,Nutrients!$EH$79,(IF($A$8=Nutrients!$B$77,Nutrients!$EH$77,Nutrients!$EH$78)))))*T$8))/2000</f>
        <v>37.336202304992007</v>
      </c>
      <c r="U304" s="22">
        <f>(SUMPRODUCT(U$9:U$229,Nutrients!$EH$8:$EH$228)+(IF($A$7=Nutrients!$B$8,Nutrients!$EH$8,Nutrients!$EH$9)*U$7)+(((IF($A$8=Nutrients!$B$79,Nutrients!$EH$79,(IF($A$8=Nutrients!$B$77,Nutrients!$EH$77,Nutrients!$EH$78)))))*U$8))/2000</f>
        <v>37.732332942787998</v>
      </c>
      <c r="W304" s="22">
        <f>(SUMPRODUCT(W$9:W$229,Nutrients!$EH$8:$EH$228)+(IF($A$7=Nutrients!$B$8,Nutrients!$EH$8,Nutrients!$EH$9)*W$7)+(((IF($A$8=Nutrients!$B$79,Nutrients!$EH$79,(IF($A$8=Nutrients!$B$77,Nutrients!$EH$77,Nutrients!$EH$78)))))*W$8))/2000</f>
        <v>32.539382734549534</v>
      </c>
      <c r="X304" s="22">
        <f>(SUMPRODUCT(X$9:X$229,Nutrients!$EH$8:$EH$228)+(IF($A$7=Nutrients!$B$8,Nutrients!$EH$8,Nutrients!$EH$9)*X$7)+(((IF($A$8=Nutrients!$B$79,Nutrients!$EH$79,(IF($A$8=Nutrients!$B$77,Nutrients!$EH$77,Nutrients!$EH$78)))))*X$8))/2000</f>
        <v>33.657034574506</v>
      </c>
      <c r="Y304" s="22">
        <f>(SUMPRODUCT(Y$9:Y$229,Nutrients!$EH$8:$EH$228)+(IF($A$7=Nutrients!$B$8,Nutrients!$EH$8,Nutrients!$EH$9)*Y$7)+(((IF($A$8=Nutrients!$B$79,Nutrients!$EH$79,(IF($A$8=Nutrients!$B$77,Nutrients!$EH$77,Nutrients!$EH$78)))))*Y$8))/2000</f>
        <v>34.630320996750889</v>
      </c>
      <c r="Z304" s="22">
        <f>(SUMPRODUCT(Z$9:Z$229,Nutrients!$EH$8:$EH$228)+(IF($A$7=Nutrients!$B$8,Nutrients!$EH$8,Nutrients!$EH$9)*Z$7)+(((IF($A$8=Nutrients!$B$79,Nutrients!$EH$79,(IF($A$8=Nutrients!$B$77,Nutrients!$EH$77,Nutrients!$EH$78)))))*Z$8))/2000</f>
        <v>35.544511098094091</v>
      </c>
      <c r="AA304" s="22">
        <f>(SUMPRODUCT(AA$9:AA$229,Nutrients!$EH$8:$EH$228)+(IF($A$7=Nutrients!$B$8,Nutrients!$EH$8,Nutrients!$EH$9)*AA$7)+(((IF($A$8=Nutrients!$B$79,Nutrients!$EH$79,(IF($A$8=Nutrients!$B$77,Nutrients!$EH$77,Nutrients!$EH$78)))))*AA$8))/2000</f>
        <v>36.295611273934675</v>
      </c>
      <c r="AB304" s="22">
        <f>(SUMPRODUCT(AB$9:AB$229,Nutrients!$EH$8:$EH$228)+(IF($A$7=Nutrients!$B$8,Nutrients!$EH$8,Nutrients!$EH$9)*AB$7)+(((IF($A$8=Nutrients!$B$79,Nutrients!$EH$79,(IF($A$8=Nutrients!$B$77,Nutrients!$EH$77,Nutrients!$EH$78)))))*AB$8))/2000</f>
        <v>36.681847506730868</v>
      </c>
      <c r="AD304" s="22">
        <f>(SUMPRODUCT(AD$9:AD$229,Nutrients!$EH$8:$EH$228)+(IF($A$7=Nutrients!$B$8,Nutrients!$EH$8,Nutrients!$EH$9)*AD$7)+(((IF($A$8=Nutrients!$B$79,Nutrients!$EH$79,(IF($A$8=Nutrients!$B$77,Nutrients!$EH$77,Nutrients!$EH$78)))))*AD$8))/2000</f>
        <v>31.531413580597036</v>
      </c>
      <c r="AE304" s="22">
        <f>(SUMPRODUCT(AE$9:AE$229,Nutrients!$EH$8:$EH$228)+(IF($A$7=Nutrients!$B$8,Nutrients!$EH$8,Nutrients!$EH$9)*AE$7)+(((IF($A$8=Nutrients!$B$79,Nutrients!$EH$79,(IF($A$8=Nutrients!$B$77,Nutrients!$EH$77,Nutrients!$EH$78)))))*AE$8))/2000</f>
        <v>32.651664659056728</v>
      </c>
      <c r="AF304" s="22">
        <f>(SUMPRODUCT(AF$9:AF$229,Nutrients!$EH$8:$EH$228)+(IF($A$7=Nutrients!$B$8,Nutrients!$EH$8,Nutrients!$EH$9)*AF$7)+(((IF($A$8=Nutrients!$B$79,Nutrients!$EH$79,(IF($A$8=Nutrients!$B$77,Nutrients!$EH$77,Nutrients!$EH$78)))))*AF$8))/2000</f>
        <v>33.6098232986905</v>
      </c>
      <c r="AG304" s="22">
        <f>(SUMPRODUCT(AG$9:AG$229,Nutrients!$EH$8:$EH$228)+(IF($A$7=Nutrients!$B$8,Nutrients!$EH$8,Nutrients!$EH$9)*AG$7)+(((IF($A$8=Nutrients!$B$79,Nutrients!$EH$79,(IF($A$8=Nutrients!$B$77,Nutrients!$EH$77,Nutrients!$EH$78)))))*AG$8))/2000</f>
        <v>34.508268515147947</v>
      </c>
      <c r="AH304" s="22">
        <f>(SUMPRODUCT(AH$9:AH$229,Nutrients!$EH$8:$EH$228)+(IF($A$7=Nutrients!$B$8,Nutrients!$EH$8,Nutrients!$EH$9)*AH$7)+(((IF($A$8=Nutrients!$B$79,Nutrients!$EH$79,(IF($A$8=Nutrients!$B$77,Nutrients!$EH$77,Nutrients!$EH$78)))))*AH$8))/2000</f>
        <v>35.229262001848639</v>
      </c>
      <c r="AI304" s="22">
        <f>(SUMPRODUCT(AI$9:AI$229,Nutrients!$EH$8:$EH$228)+(IF($A$7=Nutrients!$B$8,Nutrients!$EH$8,Nutrients!$EH$9)*AI$7)+(((IF($A$8=Nutrients!$B$79,Nutrients!$EH$79,(IF($A$8=Nutrients!$B$77,Nutrients!$EH$77,Nutrients!$EH$78)))))*AI$8))/2000</f>
        <v>35.603249333875148</v>
      </c>
      <c r="AK304" s="22">
        <f>(SUMPRODUCT(AK$9:AK$229,Nutrients!$EH$8:$EH$228)+(IF($A$7=Nutrients!$B$8,Nutrients!$EH$8,Nutrients!$EH$9)*AK$7)+(((IF($A$8=Nutrients!$B$79,Nutrients!$EH$79,(IF($A$8=Nutrients!$B$77,Nutrients!$EH$77,Nutrients!$EH$78)))))*AK$8))/2000</f>
        <v>30.519378046841233</v>
      </c>
      <c r="AL304" s="22">
        <f>(SUMPRODUCT(AL$9:AL$229,Nutrients!$EH$8:$EH$228)+(IF($A$7=Nutrients!$B$8,Nutrients!$EH$8,Nutrients!$EH$9)*AL$7)+(((IF($A$8=Nutrients!$B$79,Nutrients!$EH$79,(IF($A$8=Nutrients!$B$77,Nutrients!$EH$77,Nutrients!$EH$78)))))*AL$8))/2000</f>
        <v>31.643925986778537</v>
      </c>
      <c r="AM304" s="22">
        <f>(SUMPRODUCT(AM$9:AM$229,Nutrients!$EH$8:$EH$228)+(IF($A$7=Nutrients!$B$8,Nutrients!$EH$8,Nutrients!$EH$9)*AM$7)+(((IF($A$8=Nutrients!$B$79,Nutrients!$EH$79,(IF($A$8=Nutrients!$B$77,Nutrients!$EH$77,Nutrients!$EH$78)))))*AM$8))/2000</f>
        <v>32.58533577955329</v>
      </c>
      <c r="AN304" s="22">
        <f>(SUMPRODUCT(AN$9:AN$229,Nutrients!$EH$8:$EH$228)+(IF($A$7=Nutrients!$B$8,Nutrients!$EH$8,Nutrients!$EH$9)*AN$7)+(((IF($A$8=Nutrients!$B$79,Nutrients!$EH$79,(IF($A$8=Nutrients!$B$77,Nutrients!$EH$77,Nutrients!$EH$78)))))*AN$8))/2000</f>
        <v>33.452546827412327</v>
      </c>
      <c r="AO304" s="22">
        <f>(SUMPRODUCT(AO$9:AO$229,Nutrients!$EH$8:$EH$228)+(IF($A$7=Nutrients!$B$8,Nutrients!$EH$8,Nutrients!$EH$9)*AO$7)+(((IF($A$8=Nutrients!$B$79,Nutrients!$EH$79,(IF($A$8=Nutrients!$B$77,Nutrients!$EH$77,Nutrients!$EH$78)))))*AO$8))/2000</f>
        <v>34.154199519304676</v>
      </c>
      <c r="AP304" s="22">
        <f>(SUMPRODUCT(AP$9:AP$229,Nutrients!$EH$8:$EH$228)+(IF($A$7=Nutrients!$B$8,Nutrients!$EH$8,Nutrients!$EH$9)*AP$7)+(((IF($A$8=Nutrients!$B$79,Nutrients!$EH$79,(IF($A$8=Nutrients!$B$77,Nutrients!$EH$77,Nutrients!$EH$78)))))*AP$8))/2000</f>
        <v>34.524923141829689</v>
      </c>
      <c r="AR304" s="22">
        <f>(SUMPRODUCT(AR$9:AR$229,Nutrients!$EH$8:$EH$228)+(IF($A$7=Nutrients!$B$8,Nutrients!$EH$8,Nutrients!$EH$9)*AR$7)+(((IF($A$8=Nutrients!$B$79,Nutrients!$EH$79,(IF($A$8=Nutrients!$B$77,Nutrients!$EH$77,Nutrients!$EH$78)))))*AR$8))/2000</f>
        <v>29.48168558332069</v>
      </c>
      <c r="AS304" s="22">
        <f>(SUMPRODUCT(AS$9:AS$229,Nutrients!$EH$8:$EH$228)+(IF($A$7=Nutrients!$B$8,Nutrients!$EH$8,Nutrients!$EH$9)*AS$7)+(((IF($A$8=Nutrients!$B$79,Nutrients!$EH$79,(IF($A$8=Nutrients!$B$77,Nutrients!$EH$77,Nutrients!$EH$78)))))*AS$8))/2000</f>
        <v>30.632317853375774</v>
      </c>
      <c r="AT304" s="22">
        <f>(SUMPRODUCT(AT$9:AT$229,Nutrients!$EH$8:$EH$228)+(IF($A$7=Nutrients!$B$8,Nutrients!$EH$8,Nutrients!$EH$9)*AT$7)+(((IF($A$8=Nutrients!$B$79,Nutrients!$EH$79,(IF($A$8=Nutrients!$B$77,Nutrients!$EH$77,Nutrients!$EH$78)))))*AT$8))/2000</f>
        <v>31.554579779580138</v>
      </c>
      <c r="AU304" s="22">
        <f>(SUMPRODUCT(AU$9:AU$229,Nutrients!$EH$8:$EH$228)+(IF($A$7=Nutrients!$B$8,Nutrients!$EH$8,Nutrients!$EH$9)*AU$7)+(((IF($A$8=Nutrients!$B$79,Nutrients!$EH$79,(IF($A$8=Nutrients!$B$77,Nutrients!$EH$77,Nutrients!$EH$78)))))*AU$8))/2000</f>
        <v>32.381684700205724</v>
      </c>
      <c r="AV304" s="22">
        <f>(SUMPRODUCT(AV$9:AV$229,Nutrients!$EH$8:$EH$228)+(IF($A$7=Nutrients!$B$8,Nutrients!$EH$8,Nutrients!$EH$9)*AV$7)+(((IF($A$8=Nutrients!$B$79,Nutrients!$EH$79,(IF($A$8=Nutrients!$B$77,Nutrients!$EH$77,Nutrients!$EH$78)))))*AV$8))/2000</f>
        <v>33.079067645301762</v>
      </c>
      <c r="AW304" s="22">
        <f>(SUMPRODUCT(AW$9:AW$229,Nutrients!$EH$8:$EH$228)+(IF($A$7=Nutrients!$B$8,Nutrients!$EH$8,Nutrients!$EH$9)*AW$7)+(((IF($A$8=Nutrients!$B$79,Nutrients!$EH$79,(IF($A$8=Nutrients!$B$77,Nutrients!$EH$77,Nutrients!$EH$78)))))*AW$8))/2000</f>
        <v>33.446569763521325</v>
      </c>
    </row>
    <row r="305" spans="1:49" x14ac:dyDescent="0.25">
      <c r="A305" t="s">
        <v>58</v>
      </c>
      <c r="B305" s="23">
        <f t="shared" ref="B305:G305" si="176">(0.4472*B304)+51.796</f>
        <v>67.688810455546644</v>
      </c>
      <c r="C305" s="23">
        <f t="shared" si="176"/>
        <v>68.206510489410647</v>
      </c>
      <c r="D305" s="23">
        <f t="shared" si="176"/>
        <v>68.649938851943375</v>
      </c>
      <c r="E305" s="23">
        <f t="shared" si="176"/>
        <v>69.067735137988279</v>
      </c>
      <c r="F305" s="23">
        <f t="shared" si="176"/>
        <v>69.411394334754021</v>
      </c>
      <c r="G305" s="23">
        <f t="shared" si="176"/>
        <v>69.592672923512239</v>
      </c>
      <c r="H305" s="227"/>
      <c r="I305" s="23">
        <f t="shared" ref="I305:N305" si="177">(0.4472*I304)+51.796</f>
        <v>67.248114867969647</v>
      </c>
      <c r="J305" s="23">
        <f t="shared" si="177"/>
        <v>67.757689957986884</v>
      </c>
      <c r="K305" s="23">
        <f t="shared" si="177"/>
        <v>68.195888618784238</v>
      </c>
      <c r="L305" s="23">
        <f t="shared" si="177"/>
        <v>68.609901269839568</v>
      </c>
      <c r="M305" s="23">
        <f t="shared" si="177"/>
        <v>68.95432047973263</v>
      </c>
      <c r="N305" s="23">
        <f t="shared" si="177"/>
        <v>69.132694021649939</v>
      </c>
      <c r="O305" s="235"/>
      <c r="P305" s="23">
        <f t="shared" ref="P305:U305" si="178">(0.4472*P304)+51.796</f>
        <v>66.79811510387681</v>
      </c>
      <c r="Q305" s="23">
        <f t="shared" si="178"/>
        <v>67.302377988938801</v>
      </c>
      <c r="R305" s="23">
        <f t="shared" si="178"/>
        <v>67.736528780485855</v>
      </c>
      <c r="S305" s="23">
        <f t="shared" si="178"/>
        <v>68.152021041591141</v>
      </c>
      <c r="T305" s="23">
        <f t="shared" si="178"/>
        <v>68.492749670792421</v>
      </c>
      <c r="U305" s="23">
        <f t="shared" si="178"/>
        <v>68.66989929201479</v>
      </c>
      <c r="W305" s="23">
        <f t="shared" ref="W305:AB305" si="179">(0.4472*W304)+51.796</f>
        <v>66.347611958890553</v>
      </c>
      <c r="X305" s="23">
        <f t="shared" si="179"/>
        <v>66.847425861719074</v>
      </c>
      <c r="Y305" s="23">
        <f t="shared" si="179"/>
        <v>67.282679549747002</v>
      </c>
      <c r="Z305" s="23">
        <f t="shared" si="179"/>
        <v>67.691505363067677</v>
      </c>
      <c r="AA305" s="23">
        <f t="shared" si="179"/>
        <v>68.027397361703578</v>
      </c>
      <c r="AB305" s="23">
        <f t="shared" si="179"/>
        <v>68.200122205010047</v>
      </c>
      <c r="AD305" s="23">
        <f t="shared" ref="AD305:AI305" si="180">(0.4472*AD304)+51.796</f>
        <v>65.896848153242999</v>
      </c>
      <c r="AE305" s="23">
        <f t="shared" si="180"/>
        <v>66.397824435530168</v>
      </c>
      <c r="AF305" s="23">
        <f t="shared" si="180"/>
        <v>66.826312979174389</v>
      </c>
      <c r="AG305" s="23">
        <f t="shared" si="180"/>
        <v>67.228097679974155</v>
      </c>
      <c r="AH305" s="23">
        <f t="shared" si="180"/>
        <v>67.550525967226704</v>
      </c>
      <c r="AI305" s="23">
        <f t="shared" si="180"/>
        <v>67.717773102108964</v>
      </c>
      <c r="AK305" s="23">
        <f t="shared" ref="AK305:AP305" si="181">(0.4472*AK304)+51.796</f>
        <v>65.444265862547397</v>
      </c>
      <c r="AL305" s="23">
        <f t="shared" si="181"/>
        <v>65.947163701287366</v>
      </c>
      <c r="AM305" s="23">
        <f t="shared" si="181"/>
        <v>66.368162160616237</v>
      </c>
      <c r="AN305" s="23">
        <f t="shared" si="181"/>
        <v>66.755978941218785</v>
      </c>
      <c r="AO305" s="23">
        <f t="shared" si="181"/>
        <v>67.069758025033053</v>
      </c>
      <c r="AP305" s="23">
        <f t="shared" si="181"/>
        <v>67.235545629026234</v>
      </c>
      <c r="AR305" s="23">
        <f t="shared" ref="AR305:AW305" si="182">(0.4472*AR304)+51.796</f>
        <v>64.980209792861018</v>
      </c>
      <c r="AS305" s="23">
        <f t="shared" si="182"/>
        <v>65.494772544029644</v>
      </c>
      <c r="AT305" s="23">
        <f t="shared" si="182"/>
        <v>65.907208077428237</v>
      </c>
      <c r="AU305" s="23">
        <f t="shared" si="182"/>
        <v>66.277089397932002</v>
      </c>
      <c r="AV305" s="23">
        <f t="shared" si="182"/>
        <v>66.588959050978943</v>
      </c>
      <c r="AW305" s="23">
        <f t="shared" si="182"/>
        <v>66.753305998246731</v>
      </c>
    </row>
    <row r="306" spans="1:49" x14ac:dyDescent="0.25">
      <c r="A306" t="s">
        <v>65</v>
      </c>
      <c r="B306" s="23">
        <f>(SUMPRODUCT(B$9:B$229,Nutrients!$BW$8:$BW$228)+(IF($A$7=Nutrients!$B$8,Nutrients!$BW$8,Nutrients!$BW$9)*B$7)+(((IF($A$8=Nutrients!$B$79,Nutrients!$BW$79,(IF($A$8=Nutrients!$B$77,Nutrients!$BW$77,Nutrients!$BW$78)))))*B$8))/2000</f>
        <v>0.17585444277585438</v>
      </c>
      <c r="C306" s="23">
        <f>(SUMPRODUCT(C$9:C$229,Nutrients!$BW$8:$BW$228)+(IF($A$7=Nutrients!$B$8,Nutrients!$BW$8,Nutrients!$BW$9)*C$7)+(((IF($A$8=Nutrients!$B$79,Nutrients!$BW$79,(IF($A$8=Nutrients!$B$77,Nutrients!$BW$77,Nutrients!$BW$78)))))*C$8))/2000</f>
        <v>0.17313593688104692</v>
      </c>
      <c r="D306" s="23">
        <f>(SUMPRODUCT(D$9:D$229,Nutrients!$BW$8:$BW$228)+(IF($A$7=Nutrients!$B$8,Nutrients!$BW$8,Nutrients!$BW$9)*D$7)+(((IF($A$8=Nutrients!$B$79,Nutrients!$BW$79,(IF($A$8=Nutrients!$B$77,Nutrients!$BW$77,Nutrients!$BW$78)))))*D$8))/2000</f>
        <v>0.17084392516917876</v>
      </c>
      <c r="E306" s="23">
        <f>(SUMPRODUCT(E$9:E$229,Nutrients!$BW$8:$BW$228)+(IF($A$7=Nutrients!$B$8,Nutrients!$BW$8,Nutrients!$BW$9)*E$7)+(((IF($A$8=Nutrients!$B$79,Nutrients!$BW$79,(IF($A$8=Nutrients!$B$77,Nutrients!$BW$77,Nutrients!$BW$78)))))*E$8))/2000</f>
        <v>0.16862311318463774</v>
      </c>
      <c r="F306" s="23">
        <f>(SUMPRODUCT(F$9:F$229,Nutrients!$BW$8:$BW$228)+(IF($A$7=Nutrients!$B$8,Nutrients!$BW$8,Nutrients!$BW$9)*F$7)+(((IF($A$8=Nutrients!$B$79,Nutrients!$BW$79,(IF($A$8=Nutrients!$B$77,Nutrients!$BW$77,Nutrients!$BW$78)))))*F$8))/2000</f>
        <v>0.16677873706348853</v>
      </c>
      <c r="G306" s="23">
        <f>(SUMPRODUCT(G$9:G$229,Nutrients!$BW$8:$BW$228)+(IF($A$7=Nutrients!$B$8,Nutrients!$BW$8,Nutrients!$BW$9)*G$7)+(((IF($A$8=Nutrients!$B$79,Nutrients!$BW$79,(IF($A$8=Nutrients!$B$77,Nutrients!$BW$77,Nutrients!$BW$78)))))*G$8))/2000</f>
        <v>0.16577103413561747</v>
      </c>
      <c r="H306" s="227"/>
      <c r="I306" s="23">
        <f>(SUMPRODUCT(I$9:I$229,Nutrients!$BW$8:$BW$228)+(IF($A$7=Nutrients!$B$8,Nutrients!$BW$8,Nutrients!$BW$9)*I$7)+(((IF($A$8=Nutrients!$B$79,Nutrients!$BW$79,(IF($A$8=Nutrients!$B$77,Nutrients!$BW$77,Nutrients!$BW$78)))))*I$8))/2000</f>
        <v>0.18319762970323239</v>
      </c>
      <c r="J306" s="23">
        <f>(SUMPRODUCT(J$9:J$229,Nutrients!$BW$8:$BW$228)+(IF($A$7=Nutrients!$B$8,Nutrients!$BW$8,Nutrients!$BW$9)*J$7)+(((IF($A$8=Nutrients!$B$79,Nutrients!$BW$79,(IF($A$8=Nutrients!$B$77,Nutrients!$BW$77,Nutrients!$BW$78)))))*J$8))/2000</f>
        <v>0.18052372934420191</v>
      </c>
      <c r="K306" s="23">
        <f>(SUMPRODUCT(K$9:K$229,Nutrients!$BW$8:$BW$228)+(IF($A$7=Nutrients!$B$8,Nutrients!$BW$8,Nutrients!$BW$9)*K$7)+(((IF($A$8=Nutrients!$B$79,Nutrients!$BW$79,(IF($A$8=Nutrients!$B$77,Nutrients!$BW$77,Nutrients!$BW$78)))))*K$8))/2000</f>
        <v>0.17824662181473622</v>
      </c>
      <c r="L306" s="23">
        <f>(SUMPRODUCT(L$9:L$229,Nutrients!$BW$8:$BW$228)+(IF($A$7=Nutrients!$B$8,Nutrients!$BW$8,Nutrients!$BW$9)*L$7)+(((IF($A$8=Nutrients!$B$79,Nutrients!$BW$79,(IF($A$8=Nutrients!$B$77,Nutrients!$BW$77,Nutrients!$BW$78)))))*L$8))/2000</f>
        <v>0.1760524065896884</v>
      </c>
      <c r="M306" s="23">
        <f>(SUMPRODUCT(M$9:M$229,Nutrients!$BW$8:$BW$228)+(IF($A$7=Nutrients!$B$8,Nutrients!$BW$8,Nutrients!$BW$9)*M$7)+(((IF($A$8=Nutrients!$B$79,Nutrients!$BW$79,(IF($A$8=Nutrients!$B$77,Nutrients!$BW$77,Nutrients!$BW$78)))))*M$8))/2000</f>
        <v>0.17420794749635488</v>
      </c>
      <c r="N306" s="23">
        <f>(SUMPRODUCT(N$9:N$229,Nutrients!$BW$8:$BW$228)+(IF($A$7=Nutrients!$B$8,Nutrients!$BW$8,Nutrients!$BW$9)*N$7)+(((IF($A$8=Nutrients!$B$79,Nutrients!$BW$79,(IF($A$8=Nutrients!$B$77,Nutrients!$BW$77,Nutrients!$BW$78)))))*N$8))/2000</f>
        <v>0.17320824661421633</v>
      </c>
      <c r="O306" s="198"/>
      <c r="P306" s="23">
        <f>(SUMPRODUCT(P$9:P$229,Nutrients!$BW$8:$BW$228)+(IF($A$7=Nutrients!$B$8,Nutrients!$BW$8,Nutrients!$BW$9)*P$7)+(((IF($A$8=Nutrients!$B$79,Nutrients!$BW$79,(IF($A$8=Nutrients!$B$77,Nutrients!$BW$77,Nutrients!$BW$78)))))*P$8))/2000</f>
        <v>0.19058880290891977</v>
      </c>
      <c r="Q306" s="23">
        <f>(SUMPRODUCT(Q$9:Q$229,Nutrients!$BW$8:$BW$228)+(IF($A$7=Nutrients!$B$8,Nutrients!$BW$8,Nutrients!$BW$9)*Q$7)+(((IF($A$8=Nutrients!$B$79,Nutrients!$BW$79,(IF($A$8=Nutrients!$B$77,Nutrients!$BW$77,Nutrients!$BW$78)))))*Q$8))/2000</f>
        <v>0.18793592639723561</v>
      </c>
      <c r="R306" s="23">
        <f>(SUMPRODUCT(R$9:R$229,Nutrients!$BW$8:$BW$228)+(IF($A$7=Nutrients!$B$8,Nutrients!$BW$8,Nutrients!$BW$9)*R$7)+(((IF($A$8=Nutrients!$B$79,Nutrients!$BW$79,(IF($A$8=Nutrients!$B$77,Nutrients!$BW$77,Nutrients!$BW$78)))))*R$8))/2000</f>
        <v>0.18568144193667493</v>
      </c>
      <c r="S306" s="23">
        <f>(SUMPRODUCT(S$9:S$229,Nutrients!$BW$8:$BW$228)+(IF($A$7=Nutrients!$B$8,Nutrients!$BW$8,Nutrients!$BW$9)*S$7)+(((IF($A$8=Nutrients!$B$79,Nutrients!$BW$79,(IF($A$8=Nutrients!$B$77,Nutrients!$BW$77,Nutrients!$BW$78)))))*S$8))/2000</f>
        <v>0.18347610863080288</v>
      </c>
      <c r="T306" s="23">
        <f>(SUMPRODUCT(T$9:T$229,Nutrients!$BW$8:$BW$228)+(IF($A$7=Nutrients!$B$8,Nutrients!$BW$8,Nutrients!$BW$9)*T$7)+(((IF($A$8=Nutrients!$B$79,Nutrients!$BW$79,(IF($A$8=Nutrients!$B$77,Nutrients!$BW$77,Nutrients!$BW$78)))))*T$8))/2000</f>
        <v>0.18165037327511316</v>
      </c>
      <c r="U306" s="23">
        <f>(SUMPRODUCT(U$9:U$229,Nutrients!$BW$8:$BW$228)+(IF($A$7=Nutrients!$B$8,Nutrients!$BW$8,Nutrients!$BW$9)*U$7)+(((IF($A$8=Nutrients!$B$79,Nutrients!$BW$79,(IF($A$8=Nutrients!$B$77,Nutrients!$BW$77,Nutrients!$BW$78)))))*U$8))/2000</f>
        <v>0.18065844298834979</v>
      </c>
      <c r="W306" s="23">
        <f>(SUMPRODUCT(W$9:W$229,Nutrients!$BW$8:$BW$228)+(IF($A$7=Nutrients!$B$8,Nutrients!$BW$8,Nutrients!$BW$9)*W$7)+(((IF($A$8=Nutrients!$B$79,Nutrients!$BW$79,(IF($A$8=Nutrients!$B$77,Nutrients!$BW$77,Nutrients!$BW$78)))))*W$8))/2000</f>
        <v>0.19797941670614247</v>
      </c>
      <c r="X306" s="23">
        <f>(SUMPRODUCT(X$9:X$229,Nutrients!$BW$8:$BW$228)+(IF($A$7=Nutrients!$B$8,Nutrients!$BW$8,Nutrients!$BW$9)*X$7)+(((IF($A$8=Nutrients!$B$79,Nutrients!$BW$79,(IF($A$8=Nutrients!$B$77,Nutrients!$BW$77,Nutrients!$BW$78)))))*X$8))/2000</f>
        <v>0.19534791883193384</v>
      </c>
      <c r="Y306" s="23">
        <f>(SUMPRODUCT(Y$9:Y$229,Nutrients!$BW$8:$BW$228)+(IF($A$7=Nutrients!$B$8,Nutrients!$BW$8,Nutrients!$BW$9)*Y$7)+(((IF($A$8=Nutrients!$B$79,Nutrients!$BW$79,(IF($A$8=Nutrients!$B$77,Nutrients!$BW$77,Nutrients!$BW$78)))))*Y$8))/2000</f>
        <v>0.19308241815282676</v>
      </c>
      <c r="Z306" s="23">
        <f>(SUMPRODUCT(Z$9:Z$229,Nutrients!$BW$8:$BW$228)+(IF($A$7=Nutrients!$B$8,Nutrients!$BW$8,Nutrients!$BW$9)*Z$7)+(((IF($A$8=Nutrients!$B$79,Nutrients!$BW$79,(IF($A$8=Nutrients!$B$77,Nutrients!$BW$77,Nutrients!$BW$78)))))*Z$8))/2000</f>
        <v>0.19090753067375563</v>
      </c>
      <c r="AA306" s="23">
        <f>(SUMPRODUCT(AA$9:AA$229,Nutrients!$BW$8:$BW$228)+(IF($A$7=Nutrients!$B$8,Nutrients!$BW$8,Nutrients!$BW$9)*AA$7)+(((IF($A$8=Nutrients!$B$79,Nutrients!$BW$79,(IF($A$8=Nutrients!$B$77,Nutrients!$BW$77,Nutrients!$BW$78)))))*AA$8))/2000</f>
        <v>0.18909246559606993</v>
      </c>
      <c r="AB306" s="23">
        <f>(SUMPRODUCT(AB$9:AB$229,Nutrients!$BW$8:$BW$228)+(IF($A$7=Nutrients!$B$8,Nutrients!$BW$8,Nutrients!$BW$9)*AB$7)+(((IF($A$8=Nutrients!$B$79,Nutrients!$BW$79,(IF($A$8=Nutrients!$B$77,Nutrients!$BW$77,Nutrients!$BW$78)))))*AB$8))/2000</f>
        <v>0.18813188633968353</v>
      </c>
      <c r="AD306" s="23">
        <f>(SUMPRODUCT(AD$9:AD$229,Nutrients!$BW$8:$BW$228)+(IF($A$7=Nutrients!$B$8,Nutrients!$BW$8,Nutrients!$BW$9)*AD$7)+(((IF($A$8=Nutrients!$B$79,Nutrients!$BW$79,(IF($A$8=Nutrients!$B$77,Nutrients!$BW$77,Nutrients!$BW$78)))))*AD$8))/2000</f>
        <v>0.20536684497012131</v>
      </c>
      <c r="AE306" s="23">
        <f>(SUMPRODUCT(AE$9:AE$229,Nutrients!$BW$8:$BW$228)+(IF($A$7=Nutrients!$B$8,Nutrients!$BW$8,Nutrients!$BW$9)*AE$7)+(((IF($A$8=Nutrients!$B$79,Nutrients!$BW$79,(IF($A$8=Nutrients!$B$77,Nutrients!$BW$77,Nutrients!$BW$78)))))*AE$8))/2000</f>
        <v>0.20272659264021414</v>
      </c>
      <c r="AF306" s="23">
        <f>(SUMPRODUCT(AF$9:AF$229,Nutrients!$BW$8:$BW$228)+(IF($A$7=Nutrients!$B$8,Nutrients!$BW$8,Nutrients!$BW$9)*AF$7)+(((IF($A$8=Nutrients!$B$79,Nutrients!$BW$79,(IF($A$8=Nutrients!$B$77,Nutrients!$BW$77,Nutrients!$BW$78)))))*AF$8))/2000</f>
        <v>0.20049048598481142</v>
      </c>
      <c r="AG306" s="23">
        <f>(SUMPRODUCT(AG$9:AG$229,Nutrients!$BW$8:$BW$228)+(IF($A$7=Nutrients!$B$8,Nutrients!$BW$8,Nutrients!$BW$9)*AG$7)+(((IF($A$8=Nutrients!$B$79,Nutrients!$BW$79,(IF($A$8=Nutrients!$B$77,Nutrients!$BW$77,Nutrients!$BW$78)))))*AG$8))/2000</f>
        <v>0.19833719986561096</v>
      </c>
      <c r="AH306" s="23">
        <f>(SUMPRODUCT(AH$9:AH$229,Nutrients!$BW$8:$BW$228)+(IF($A$7=Nutrients!$B$8,Nutrients!$BW$8,Nutrients!$BW$9)*AH$7)+(((IF($A$8=Nutrients!$B$79,Nutrients!$BW$79,(IF($A$8=Nutrients!$B$77,Nutrients!$BW$77,Nutrients!$BW$78)))))*AH$8))/2000</f>
        <v>0.19662249518317662</v>
      </c>
      <c r="AI306" s="23">
        <f>(SUMPRODUCT(AI$9:AI$229,Nutrients!$BW$8:$BW$228)+(IF($A$7=Nutrients!$B$8,Nutrients!$BW$8,Nutrients!$BW$9)*AI$7)+(((IF($A$8=Nutrients!$B$79,Nutrients!$BW$79,(IF($A$8=Nutrients!$B$77,Nutrients!$BW$77,Nutrients!$BW$78)))))*AI$8))/2000</f>
        <v>0.19570189296571663</v>
      </c>
      <c r="AK306" s="23">
        <f>(SUMPRODUCT(AK$9:AK$229,Nutrients!$BW$8:$BW$228)+(IF($A$7=Nutrients!$B$8,Nutrients!$BW$8,Nutrients!$BW$9)*AK$7)+(((IF($A$8=Nutrients!$B$79,Nutrients!$BW$79,(IF($A$8=Nutrients!$B$77,Nutrients!$BW$77,Nutrients!$BW$78)))))*AK$8))/2000</f>
        <v>0.21276273423851211</v>
      </c>
      <c r="AL306" s="23">
        <f>(SUMPRODUCT(AL$9:AL$229,Nutrients!$BW$8:$BW$228)+(IF($A$7=Nutrients!$B$8,Nutrients!$BW$8,Nutrients!$BW$9)*AL$7)+(((IF($A$8=Nutrients!$B$79,Nutrients!$BW$79,(IF($A$8=Nutrients!$B$77,Nutrients!$BW$77,Nutrients!$BW$78)))))*AL$8))/2000</f>
        <v>0.21011524520387345</v>
      </c>
      <c r="AM306" s="23">
        <f>(SUMPRODUCT(AM$9:AM$229,Nutrients!$BW$8:$BW$228)+(IF($A$7=Nutrients!$B$8,Nutrients!$BW$8,Nutrients!$BW$9)*AM$7)+(((IF($A$8=Nutrients!$B$79,Nutrients!$BW$79,(IF($A$8=Nutrients!$B$77,Nutrients!$BW$77,Nutrients!$BW$78)))))*AM$8))/2000</f>
        <v>0.20790154159840904</v>
      </c>
      <c r="AN306" s="23">
        <f>(SUMPRODUCT(AN$9:AN$229,Nutrients!$BW$8:$BW$228)+(IF($A$7=Nutrients!$B$8,Nutrients!$BW$8,Nutrients!$BW$9)*AN$7)+(((IF($A$8=Nutrients!$B$79,Nutrients!$BW$79,(IF($A$8=Nutrients!$B$77,Nutrients!$BW$77,Nutrients!$BW$78)))))*AN$8))/2000</f>
        <v>0.20583697985827978</v>
      </c>
      <c r="AO306" s="23">
        <f>(SUMPRODUCT(AO$9:AO$229,Nutrients!$BW$8:$BW$228)+(IF($A$7=Nutrients!$B$8,Nutrients!$BW$8,Nutrients!$BW$9)*AO$7)+(((IF($A$8=Nutrients!$B$79,Nutrients!$BW$79,(IF($A$8=Nutrients!$B$77,Nutrients!$BW$77,Nutrients!$BW$78)))))*AO$8))/2000</f>
        <v>0.20418449631842439</v>
      </c>
      <c r="AP306" s="23">
        <f>(SUMPRODUCT(AP$9:AP$229,Nutrients!$BW$8:$BW$228)+(IF($A$7=Nutrients!$B$8,Nutrients!$BW$8,Nutrients!$BW$9)*AP$7)+(((IF($A$8=Nutrients!$B$79,Nutrients!$BW$79,(IF($A$8=Nutrients!$B$77,Nutrients!$BW$77,Nutrients!$BW$78)))))*AP$8))/2000</f>
        <v>0.20327186425920049</v>
      </c>
      <c r="AR306" s="23">
        <f>(SUMPRODUCT(AR$9:AR$229,Nutrients!$BW$8:$BW$228)+(IF($A$7=Nutrients!$B$8,Nutrients!$BW$8,Nutrients!$BW$9)*AR$7)+(((IF($A$8=Nutrients!$B$79,Nutrients!$BW$79,(IF($A$8=Nutrients!$B$77,Nutrients!$BW$77,Nutrients!$BW$78)))))*AR$8))/2000</f>
        <v>0.22022324135223351</v>
      </c>
      <c r="AS306" s="23">
        <f>(SUMPRODUCT(AS$9:AS$229,Nutrients!$BW$8:$BW$228)+(IF($A$7=Nutrients!$B$8,Nutrients!$BW$8,Nutrients!$BW$9)*AS$7)+(((IF($A$8=Nutrients!$B$79,Nutrients!$BW$79,(IF($A$8=Nutrients!$B$77,Nutrients!$BW$77,Nutrients!$BW$78)))))*AS$8))/2000</f>
        <v>0.21750280797955365</v>
      </c>
      <c r="AT306" s="23">
        <f>(SUMPRODUCT(AT$9:AT$229,Nutrients!$BW$8:$BW$228)+(IF($A$7=Nutrients!$B$8,Nutrients!$BW$8,Nutrients!$BW$9)*AT$7)+(((IF($A$8=Nutrients!$B$79,Nutrients!$BW$79,(IF($A$8=Nutrients!$B$77,Nutrients!$BW$77,Nutrients!$BW$78)))))*AT$8))/2000</f>
        <v>0.21531888015406664</v>
      </c>
      <c r="AU306" s="23">
        <f>(SUMPRODUCT(AU$9:AU$229,Nutrients!$BW$8:$BW$228)+(IF($A$7=Nutrients!$B$8,Nutrients!$BW$8,Nutrients!$BW$9)*AU$7)+(((IF($A$8=Nutrients!$B$79,Nutrients!$BW$79,(IF($A$8=Nutrients!$B$77,Nutrients!$BW$77,Nutrients!$BW$78)))))*AU$8))/2000</f>
        <v>0.21338843002624167</v>
      </c>
      <c r="AV306" s="23">
        <f>(SUMPRODUCT(AV$9:AV$229,Nutrients!$BW$8:$BW$228)+(IF($A$7=Nutrients!$B$8,Nutrients!$BW$8,Nutrients!$BW$9)*AV$7)+(((IF($A$8=Nutrients!$B$79,Nutrients!$BW$79,(IF($A$8=Nutrients!$B$77,Nutrients!$BW$77,Nutrients!$BW$78)))))*AV$8))/2000</f>
        <v>0.21174666555825902</v>
      </c>
      <c r="AW306" s="23">
        <f>(SUMPRODUCT(AW$9:AW$229,Nutrients!$BW$8:$BW$228)+(IF($A$7=Nutrients!$B$8,Nutrients!$BW$8,Nutrients!$BW$9)*AW$7)+(((IF($A$8=Nutrients!$B$79,Nutrients!$BW$79,(IF($A$8=Nutrients!$B$77,Nutrients!$BW$77,Nutrients!$BW$78)))))*AW$8))/2000</f>
        <v>0.21084190067239753</v>
      </c>
    </row>
    <row r="307" spans="1:49" x14ac:dyDescent="0.25">
      <c r="A307" t="s">
        <v>66</v>
      </c>
      <c r="B307" s="23">
        <f>(SUMPRODUCT(B$9:B$229,Nutrients!$BT$8:$BT$228)+(IF($A$7=Nutrients!$B$8,Nutrients!$BT$8,Nutrients!$BT$9)*B$7)+(((IF($A$8=Nutrients!$B$79,Nutrients!$BT$79,(IF($A$8=Nutrients!$B$77,Nutrients!$BT$77,Nutrients!$BT$78)))))*B$8))/2000</f>
        <v>0.34074334390126987</v>
      </c>
      <c r="C307" s="23">
        <f>(SUMPRODUCT(C$9:C$229,Nutrients!$BT$8:$BT$228)+(IF($A$7=Nutrients!$B$8,Nutrients!$BT$8,Nutrients!$BT$9)*C$7)+(((IF($A$8=Nutrients!$B$79,Nutrients!$BT$79,(IF($A$8=Nutrients!$B$77,Nutrients!$BT$77,Nutrients!$BT$78)))))*C$8))/2000</f>
        <v>0.33141446527128632</v>
      </c>
      <c r="D307" s="23">
        <f>(SUMPRODUCT(D$9:D$229,Nutrients!$BT$8:$BT$228)+(IF($A$7=Nutrients!$B$8,Nutrients!$BT$8,Nutrients!$BT$9)*D$7)+(((IF($A$8=Nutrients!$B$79,Nutrients!$BT$79,(IF($A$8=Nutrients!$B$77,Nutrients!$BT$77,Nutrients!$BT$78)))))*D$8))/2000</f>
        <v>0.32208201141013715</v>
      </c>
      <c r="E307" s="23">
        <f>(SUMPRODUCT(E$9:E$229,Nutrients!$BT$8:$BT$228)+(IF($A$7=Nutrients!$B$8,Nutrients!$BT$8,Nutrients!$BT$9)*E$7)+(((IF($A$8=Nutrients!$B$79,Nutrients!$BT$79,(IF($A$8=Nutrients!$B$77,Nutrients!$BT$77,Nutrients!$BT$78)))))*E$8))/2000</f>
        <v>0.31765998822682556</v>
      </c>
      <c r="F307" s="23">
        <f>(SUMPRODUCT(F$9:F$229,Nutrients!$BT$8:$BT$228)+(IF($A$7=Nutrients!$B$8,Nutrients!$BT$8,Nutrients!$BT$9)*F$7)+(((IF($A$8=Nutrients!$B$79,Nutrients!$BT$79,(IF($A$8=Nutrients!$B$77,Nutrients!$BT$77,Nutrients!$BT$78)))))*F$8))/2000</f>
        <v>0.31776531917662576</v>
      </c>
      <c r="G307" s="23">
        <f>(SUMPRODUCT(G$9:G$229,Nutrients!$BT$8:$BT$228)+(IF($A$7=Nutrients!$B$8,Nutrients!$BT$8,Nutrients!$BT$9)*G$7)+(((IF($A$8=Nutrients!$B$79,Nutrients!$BT$79,(IF($A$8=Nutrients!$B$77,Nutrients!$BT$77,Nutrients!$BT$78)))))*G$8))/2000</f>
        <v>0.31780178721106933</v>
      </c>
      <c r="H307" s="227"/>
      <c r="I307" s="23">
        <f>(SUMPRODUCT(I$9:I$229,Nutrients!$BT$8:$BT$228)+(IF($A$7=Nutrients!$B$8,Nutrients!$BT$8,Nutrients!$BT$9)*I$7)+(((IF($A$8=Nutrients!$B$79,Nutrients!$BT$79,(IF($A$8=Nutrients!$B$77,Nutrients!$BT$77,Nutrients!$BT$78)))))*I$8))/2000</f>
        <v>0.35239636713024375</v>
      </c>
      <c r="J307" s="23">
        <f>(SUMPRODUCT(J$9:J$229,Nutrients!$BT$8:$BT$228)+(IF($A$7=Nutrients!$B$8,Nutrients!$BT$8,Nutrients!$BT$9)*J$7)+(((IF($A$8=Nutrients!$B$79,Nutrients!$BT$79,(IF($A$8=Nutrients!$B$77,Nutrients!$BT$77,Nutrients!$BT$78)))))*J$8))/2000</f>
        <v>0.34306325575935631</v>
      </c>
      <c r="K307" s="23">
        <f>(SUMPRODUCT(K$9:K$229,Nutrients!$BT$8:$BT$228)+(IF($A$7=Nutrients!$B$8,Nutrients!$BT$8,Nutrients!$BT$9)*K$7)+(((IF($A$8=Nutrients!$B$79,Nutrients!$BT$79,(IF($A$8=Nutrients!$B$77,Nutrients!$BT$77,Nutrients!$BT$78)))))*K$8))/2000</f>
        <v>0.33373012786126527</v>
      </c>
      <c r="L307" s="23">
        <f>(SUMPRODUCT(L$9:L$229,Nutrients!$BT$8:$BT$228)+(IF($A$7=Nutrients!$B$8,Nutrients!$BT$8,Nutrients!$BT$9)*L$7)+(((IF($A$8=Nutrients!$B$79,Nutrients!$BT$79,(IF($A$8=Nutrients!$B$77,Nutrients!$BT$77,Nutrients!$BT$78)))))*L$8))/2000</f>
        <v>0.32930750985242252</v>
      </c>
      <c r="M307" s="23">
        <f>(SUMPRODUCT(M$9:M$229,Nutrients!$BT$8:$BT$228)+(IF($A$7=Nutrients!$B$8,Nutrients!$BT$8,Nutrients!$BT$9)*M$7)+(((IF($A$8=Nutrients!$B$79,Nutrients!$BT$79,(IF($A$8=Nutrients!$B$77,Nutrients!$BT$77,Nutrients!$BT$78)))))*M$8))/2000</f>
        <v>0.32941434344457726</v>
      </c>
      <c r="N307" s="23">
        <f>(SUMPRODUCT(N$9:N$229,Nutrients!$BT$8:$BT$228)+(IF($A$7=Nutrients!$B$8,Nutrients!$BT$8,Nutrients!$BT$9)*N$7)+(((IF($A$8=Nutrients!$B$79,Nutrients!$BT$79,(IF($A$8=Nutrients!$B$77,Nutrients!$BT$77,Nutrients!$BT$78)))))*N$8))/2000</f>
        <v>0.32944766765507305</v>
      </c>
      <c r="O307" s="198"/>
      <c r="P307" s="23">
        <f>(SUMPRODUCT(P$9:P$229,Nutrients!$BT$8:$BT$228)+(IF($A$7=Nutrients!$B$8,Nutrients!$BT$8,Nutrients!$BT$9)*P$7)+(((IF($A$8=Nutrients!$B$79,Nutrients!$BT$79,(IF($A$8=Nutrients!$B$77,Nutrients!$BT$77,Nutrients!$BT$78)))))*P$8))/2000</f>
        <v>0.36404643714426255</v>
      </c>
      <c r="Q307" s="23">
        <f>(SUMPRODUCT(Q$9:Q$229,Nutrients!$BT$8:$BT$228)+(IF($A$7=Nutrients!$B$8,Nutrients!$BT$8,Nutrients!$BT$9)*Q$7)+(((IF($A$8=Nutrients!$B$79,Nutrients!$BT$79,(IF($A$8=Nutrients!$B$77,Nutrients!$BT$77,Nutrients!$BT$78)))))*Q$8))/2000</f>
        <v>0.35470970876145158</v>
      </c>
      <c r="R307" s="23">
        <f>(SUMPRODUCT(R$9:R$229,Nutrients!$BT$8:$BT$228)+(IF($A$7=Nutrients!$B$8,Nutrients!$BT$8,Nutrients!$BT$9)*R$7)+(((IF($A$8=Nutrients!$B$79,Nutrients!$BT$79,(IF($A$8=Nutrients!$B$77,Nutrients!$BT$77,Nutrients!$BT$78)))))*R$8))/2000</f>
        <v>0.34537646218322793</v>
      </c>
      <c r="S307" s="23">
        <f>(SUMPRODUCT(S$9:S$229,Nutrients!$BT$8:$BT$228)+(IF($A$7=Nutrients!$B$8,Nutrients!$BT$8,Nutrients!$BT$9)*S$7)+(((IF($A$8=Nutrients!$B$79,Nutrients!$BT$79,(IF($A$8=Nutrients!$B$77,Nutrients!$BT$77,Nutrients!$BT$78)))))*S$8))/2000</f>
        <v>0.34095282997677101</v>
      </c>
      <c r="T307" s="23">
        <f>(SUMPRODUCT(T$9:T$229,Nutrients!$BT$8:$BT$228)+(IF($A$7=Nutrients!$B$8,Nutrients!$BT$8,Nutrients!$BT$9)*T$7)+(((IF($A$8=Nutrients!$B$79,Nutrients!$BT$79,(IF($A$8=Nutrients!$B$77,Nutrients!$BT$77,Nutrients!$BT$78)))))*T$8))/2000</f>
        <v>0.3410587600601066</v>
      </c>
      <c r="U307" s="23">
        <f>(SUMPRODUCT(U$9:U$229,Nutrients!$BT$8:$BT$228)+(IF($A$7=Nutrients!$B$8,Nutrients!$BT$8,Nutrients!$BT$9)*U$7)+(((IF($A$8=Nutrients!$B$79,Nutrients!$BT$79,(IF($A$8=Nutrients!$B$77,Nutrients!$BT$77,Nutrients!$BT$78)))))*U$8))/2000</f>
        <v>0.34109237964548972</v>
      </c>
      <c r="W307" s="23">
        <f>(SUMPRODUCT(W$9:W$229,Nutrients!$BT$8:$BT$228)+(IF($A$7=Nutrients!$B$8,Nutrients!$BT$8,Nutrients!$BT$9)*W$7)+(((IF($A$8=Nutrients!$B$79,Nutrients!$BT$79,(IF($A$8=Nutrients!$B$77,Nutrients!$BT$77,Nutrients!$BT$78)))))*W$8))/2000</f>
        <v>0.37569521683199403</v>
      </c>
      <c r="X307" s="23">
        <f>(SUMPRODUCT(X$9:X$229,Nutrients!$BT$8:$BT$228)+(IF($A$7=Nutrients!$B$8,Nutrients!$BT$8,Nutrients!$BT$9)*X$7)+(((IF($A$8=Nutrients!$B$79,Nutrients!$BT$79,(IF($A$8=Nutrients!$B$77,Nutrients!$BT$77,Nutrients!$BT$78)))))*X$8))/2000</f>
        <v>0.36635694467568641</v>
      </c>
      <c r="Y307" s="23">
        <f>(SUMPRODUCT(Y$9:Y$229,Nutrients!$BT$8:$BT$228)+(IF($A$7=Nutrients!$B$8,Nutrients!$BT$8,Nutrients!$BT$9)*Y$7)+(((IF($A$8=Nutrients!$B$79,Nutrients!$BT$79,(IF($A$8=Nutrients!$B$77,Nutrients!$BT$77,Nutrients!$BT$78)))))*Y$8))/2000</f>
        <v>0.35702190207867263</v>
      </c>
      <c r="Z307" s="23">
        <f>(SUMPRODUCT(Z$9:Z$229,Nutrients!$BT$8:$BT$228)+(IF($A$7=Nutrients!$B$8,Nutrients!$BT$8,Nutrients!$BT$9)*Z$7)+(((IF($A$8=Nutrients!$B$79,Nutrients!$BT$79,(IF($A$8=Nutrients!$B$77,Nutrients!$BT$77,Nutrients!$BT$78)))))*Z$8))/2000</f>
        <v>0.35259535127605518</v>
      </c>
      <c r="AA307" s="23">
        <f>(SUMPRODUCT(AA$9:AA$229,Nutrients!$BT$8:$BT$228)+(IF($A$7=Nutrients!$B$8,Nutrients!$BT$8,Nutrients!$BT$9)*AA$7)+(((IF($A$8=Nutrients!$B$79,Nutrients!$BT$79,(IF($A$8=Nutrients!$B$77,Nutrients!$BT$77,Nutrients!$BT$78)))))*AA$8))/2000</f>
        <v>0.35269481185475721</v>
      </c>
      <c r="AB307" s="23">
        <f>(SUMPRODUCT(AB$9:AB$229,Nutrients!$BT$8:$BT$228)+(IF($A$7=Nutrients!$B$8,Nutrients!$BT$8,Nutrients!$BT$9)*AB$7)+(((IF($A$8=Nutrients!$B$79,Nutrients!$BT$79,(IF($A$8=Nutrients!$B$77,Nutrients!$BT$77,Nutrients!$BT$78)))))*AB$8))/2000</f>
        <v>0.35271952914396931</v>
      </c>
      <c r="AD307" s="23">
        <f>(SUMPRODUCT(AD$9:AD$229,Nutrients!$BT$8:$BT$228)+(IF($A$7=Nutrients!$B$8,Nutrients!$BT$8,Nutrients!$BT$9)*AD$7)+(((IF($A$8=Nutrients!$B$79,Nutrients!$BT$79,(IF($A$8=Nutrients!$B$77,Nutrients!$BT$77,Nutrients!$BT$78)))))*AD$8))/2000</f>
        <v>0.38734221458972123</v>
      </c>
      <c r="AE307" s="23">
        <f>(SUMPRODUCT(AE$9:AE$229,Nutrients!$BT$8:$BT$228)+(IF($A$7=Nutrients!$B$8,Nutrients!$BT$8,Nutrients!$BT$9)*AE$7)+(((IF($A$8=Nutrients!$B$79,Nutrients!$BT$79,(IF($A$8=Nutrients!$B$77,Nutrients!$BT$77,Nutrients!$BT$78)))))*AE$8))/2000</f>
        <v>0.37800313801756585</v>
      </c>
      <c r="AF307" s="23">
        <f>(SUMPRODUCT(AF$9:AF$229,Nutrients!$BT$8:$BT$228)+(IF($A$7=Nutrients!$B$8,Nutrients!$BT$8,Nutrients!$BT$9)*AF$7)+(((IF($A$8=Nutrients!$B$79,Nutrients!$BT$79,(IF($A$8=Nutrients!$B$77,Nutrients!$BT$77,Nutrients!$BT$78)))))*AF$8))/2000</f>
        <v>0.36866456094813954</v>
      </c>
      <c r="AG307" s="23">
        <f>(SUMPRODUCT(AG$9:AG$229,Nutrients!$BT$8:$BT$228)+(IF($A$7=Nutrients!$B$8,Nutrients!$BT$8,Nutrients!$BT$9)*AG$7)+(((IF($A$8=Nutrients!$B$79,Nutrients!$BT$79,(IF($A$8=Nutrients!$B$77,Nutrients!$BT$77,Nutrients!$BT$78)))))*AG$8))/2000</f>
        <v>0.3642307611699207</v>
      </c>
      <c r="AH307" s="23">
        <f>(SUMPRODUCT(AH$9:AH$229,Nutrients!$BT$8:$BT$228)+(IF($A$7=Nutrients!$B$8,Nutrients!$BT$8,Nutrients!$BT$9)*AH$7)+(((IF($A$8=Nutrients!$B$79,Nutrients!$BT$79,(IF($A$8=Nutrients!$B$77,Nutrients!$BT$77,Nutrients!$BT$78)))))*AH$8))/2000</f>
        <v>0.36430095287529396</v>
      </c>
      <c r="AI307" s="23">
        <f>(SUMPRODUCT(AI$9:AI$229,Nutrients!$BT$8:$BT$228)+(IF($A$7=Nutrients!$B$8,Nutrients!$BT$8,Nutrients!$BT$9)*AI$7)+(((IF($A$8=Nutrients!$B$79,Nutrients!$BT$79,(IF($A$8=Nutrients!$B$77,Nutrients!$BT$77,Nutrients!$BT$78)))))*AI$8))/2000</f>
        <v>0.36431498963619119</v>
      </c>
      <c r="AK307" s="23">
        <f>(SUMPRODUCT(AK$9:AK$229,Nutrients!$BT$8:$BT$228)+(IF($A$7=Nutrients!$B$8,Nutrients!$BT$8,Nutrients!$BT$9)*AK$7)+(((IF($A$8=Nutrients!$B$79,Nutrients!$BT$79,(IF($A$8=Nutrients!$B$77,Nutrients!$BT$77,Nutrients!$BT$78)))))*AK$8))/2000</f>
        <v>0.39898847564090234</v>
      </c>
      <c r="AL307" s="23">
        <f>(SUMPRODUCT(AL$9:AL$229,Nutrients!$BT$8:$BT$228)+(IF($A$7=Nutrients!$B$8,Nutrients!$BT$8,Nutrients!$BT$9)*AL$7)+(((IF($A$8=Nutrients!$B$79,Nutrients!$BT$79,(IF($A$8=Nutrients!$B$77,Nutrients!$BT$77,Nutrients!$BT$78)))))*AL$8))/2000</f>
        <v>0.3896508269252057</v>
      </c>
      <c r="AM307" s="23">
        <f>(SUMPRODUCT(AM$9:AM$229,Nutrients!$BT$8:$BT$228)+(IF($A$7=Nutrients!$B$8,Nutrients!$BT$8,Nutrients!$BT$9)*AM$7)+(((IF($A$8=Nutrients!$B$79,Nutrients!$BT$79,(IF($A$8=Nutrients!$B$77,Nutrients!$BT$77,Nutrients!$BT$78)))))*AM$8))/2000</f>
        <v>0.380304471689969</v>
      </c>
      <c r="AN307" s="23">
        <f>(SUMPRODUCT(AN$9:AN$229,Nutrients!$BT$8:$BT$228)+(IF($A$7=Nutrients!$B$8,Nutrients!$BT$8,Nutrients!$BT$9)*AN$7)+(((IF($A$8=Nutrients!$B$79,Nutrients!$BT$79,(IF($A$8=Nutrients!$B$77,Nutrients!$BT$77,Nutrients!$BT$78)))))*AN$8))/2000</f>
        <v>0.37584327572448922</v>
      </c>
      <c r="AO307" s="23">
        <f>(SUMPRODUCT(AO$9:AO$229,Nutrients!$BT$8:$BT$228)+(IF($A$7=Nutrients!$B$8,Nutrients!$BT$8,Nutrients!$BT$9)*AO$7)+(((IF($A$8=Nutrients!$B$79,Nutrients!$BT$79,(IF($A$8=Nutrients!$B$77,Nutrients!$BT$77,Nutrients!$BT$78)))))*AO$8))/2000</f>
        <v>0.37589681135371272</v>
      </c>
      <c r="AP307" s="23">
        <f>(SUMPRODUCT(AP$9:AP$229,Nutrients!$BT$8:$BT$228)+(IF($A$7=Nutrients!$B$8,Nutrients!$BT$8,Nutrients!$BT$9)*AP$7)+(((IF($A$8=Nutrients!$B$79,Nutrients!$BT$79,(IF($A$8=Nutrients!$B$77,Nutrients!$BT$77,Nutrients!$BT$78)))))*AP$8))/2000</f>
        <v>0.37591070119345882</v>
      </c>
      <c r="AR307" s="23">
        <f>(SUMPRODUCT(AR$9:AR$229,Nutrients!$BT$8:$BT$228)+(IF($A$7=Nutrients!$B$8,Nutrients!$BT$8,Nutrients!$BT$9)*AR$7)+(((IF($A$8=Nutrients!$B$79,Nutrients!$BT$79,(IF($A$8=Nutrients!$B$77,Nutrients!$BT$77,Nutrients!$BT$78)))))*AR$8))/2000</f>
        <v>0.41063436961349259</v>
      </c>
      <c r="AS307" s="23">
        <f>(SUMPRODUCT(AS$9:AS$229,Nutrients!$BT$8:$BT$228)+(IF($A$7=Nutrients!$B$8,Nutrients!$BT$8,Nutrients!$BT$9)*AS$7)+(((IF($A$8=Nutrients!$B$79,Nutrients!$BT$79,(IF($A$8=Nutrients!$B$77,Nutrients!$BT$77,Nutrients!$BT$78)))))*AS$8))/2000</f>
        <v>0.40129433087894434</v>
      </c>
      <c r="AT307" s="23">
        <f>(SUMPRODUCT(AT$9:AT$229,Nutrients!$BT$8:$BT$228)+(IF($A$7=Nutrients!$B$8,Nutrients!$BT$8,Nutrients!$BT$9)*AT$7)+(((IF($A$8=Nutrients!$B$79,Nutrients!$BT$79,(IF($A$8=Nutrients!$B$77,Nutrients!$BT$77,Nutrients!$BT$78)))))*AT$8))/2000</f>
        <v>0.39194051973495486</v>
      </c>
      <c r="AU307" s="23">
        <f>(SUMPRODUCT(AU$9:AU$229,Nutrients!$BT$8:$BT$228)+(IF($A$7=Nutrients!$B$8,Nutrients!$BT$8,Nutrients!$BT$9)*AU$7)+(((IF($A$8=Nutrients!$B$79,Nutrients!$BT$79,(IF($A$8=Nutrients!$B$77,Nutrients!$BT$77,Nutrients!$BT$78)))))*AU$8))/2000</f>
        <v>0.38743914527695067</v>
      </c>
      <c r="AV307" s="23">
        <f>(SUMPRODUCT(AV$9:AV$229,Nutrients!$BT$8:$BT$228)+(IF($A$7=Nutrients!$B$8,Nutrients!$BT$8,Nutrients!$BT$9)*AV$7)+(((IF($A$8=Nutrients!$B$79,Nutrients!$BT$79,(IF($A$8=Nutrients!$B$77,Nutrients!$BT$77,Nutrients!$BT$78)))))*AV$8))/2000</f>
        <v>0.38749266588755532</v>
      </c>
      <c r="AW307" s="23">
        <f>(SUMPRODUCT(AW$9:AW$229,Nutrients!$BT$8:$BT$228)+(IF($A$7=Nutrients!$B$8,Nutrients!$BT$8,Nutrients!$BT$9)*AW$7)+(((IF($A$8=Nutrients!$B$79,Nutrients!$BT$79,(IF($A$8=Nutrients!$B$77,Nutrients!$BT$77,Nutrients!$BT$78)))))*AW$8))/2000</f>
        <v>0.387506410756151</v>
      </c>
    </row>
    <row r="308" spans="1:49" x14ac:dyDescent="0.25">
      <c r="A308" t="s">
        <v>67</v>
      </c>
      <c r="B308" s="23">
        <f>(SUMPRODUCT(B$9:B$229,Nutrients!$BU$8:$BU$228)+(IF($A$7=Nutrients!$B$8,Nutrients!$BU$8,Nutrients!$BU$9)*B$7)+(((IF($A$8=Nutrients!$B$79,Nutrients!$BU$79,(IF($A$8=Nutrients!$B$77,Nutrients!$BU$77,Nutrients!$BU$78)))))*B$8))/2000</f>
        <v>0.82299889398162063</v>
      </c>
      <c r="C308" s="23">
        <f>(SUMPRODUCT(C$9:C$229,Nutrients!$BU$8:$BU$228)+(IF($A$7=Nutrients!$B$8,Nutrients!$BU$8,Nutrients!$BU$9)*C$7)+(((IF($A$8=Nutrients!$B$79,Nutrients!$BU$79,(IF($A$8=Nutrients!$B$77,Nutrients!$BU$77,Nutrients!$BU$78)))))*C$8))/2000</f>
        <v>0.74655886728664078</v>
      </c>
      <c r="D308" s="23">
        <f>(SUMPRODUCT(D$9:D$229,Nutrients!$BU$8:$BU$228)+(IF($A$7=Nutrients!$B$8,Nutrients!$BU$8,Nutrients!$BU$9)*D$7)+(((IF($A$8=Nutrients!$B$79,Nutrients!$BU$79,(IF($A$8=Nutrients!$B$77,Nutrients!$BU$77,Nutrients!$BU$78)))))*D$8))/2000</f>
        <v>0.68235096300443021</v>
      </c>
      <c r="E308" s="23">
        <f>(SUMPRODUCT(E$9:E$229,Nutrients!$BU$8:$BU$228)+(IF($A$7=Nutrients!$B$8,Nutrients!$BU$8,Nutrients!$BU$9)*E$7)+(((IF($A$8=Nutrients!$B$79,Nutrients!$BU$79,(IF($A$8=Nutrients!$B$77,Nutrients!$BU$77,Nutrients!$BU$78)))))*E$8))/2000</f>
        <v>0.61832324439114794</v>
      </c>
      <c r="F308" s="23">
        <f>(SUMPRODUCT(F$9:F$229,Nutrients!$BU$8:$BU$228)+(IF($A$7=Nutrients!$B$8,Nutrients!$BU$8,Nutrients!$BU$9)*F$7)+(((IF($A$8=Nutrients!$B$79,Nutrients!$BU$79,(IF($A$8=Nutrients!$B$77,Nutrients!$BU$77,Nutrients!$BU$78)))))*F$8))/2000</f>
        <v>0.5641190327748159</v>
      </c>
      <c r="G308" s="23">
        <f>(SUMPRODUCT(G$9:G$229,Nutrients!$BU$8:$BU$228)+(IF($A$7=Nutrients!$B$8,Nutrients!$BU$8,Nutrients!$BU$9)*G$7)+(((IF($A$8=Nutrients!$B$79,Nutrients!$BU$79,(IF($A$8=Nutrients!$B$77,Nutrients!$BU$77,Nutrients!$BU$78)))))*G$8))/2000</f>
        <v>0.53408892433970367</v>
      </c>
      <c r="H308" s="227"/>
      <c r="I308" s="23">
        <f>(SUMPRODUCT(I$9:I$229,Nutrients!$BU$8:$BU$228)+(IF($A$7=Nutrients!$B$8,Nutrients!$BU$8,Nutrients!$BU$9)*I$7)+(((IF($A$8=Nutrients!$B$79,Nutrients!$BU$79,(IF($A$8=Nutrients!$B$77,Nutrients!$BU$77,Nutrients!$BU$78)))))*I$8))/2000</f>
        <v>0.81965437437059241</v>
      </c>
      <c r="J308" s="23">
        <f>(SUMPRODUCT(J$9:J$229,Nutrients!$BU$8:$BU$228)+(IF($A$7=Nutrients!$B$8,Nutrients!$BU$8,Nutrients!$BU$9)*J$7)+(((IF($A$8=Nutrients!$B$79,Nutrients!$BU$79,(IF($A$8=Nutrients!$B$77,Nutrients!$BU$77,Nutrients!$BU$78)))))*J$8))/2000</f>
        <v>0.74435254874252699</v>
      </c>
      <c r="K308" s="23">
        <f>(SUMPRODUCT(K$9:K$229,Nutrients!$BU$8:$BU$228)+(IF($A$7=Nutrients!$B$8,Nutrients!$BU$8,Nutrients!$BU$9)*K$7)+(((IF($A$8=Nutrients!$B$79,Nutrients!$BU$79,(IF($A$8=Nutrients!$B$77,Nutrients!$BU$77,Nutrients!$BU$78)))))*K$8))/2000</f>
        <v>0.68107417499789247</v>
      </c>
      <c r="L308" s="23">
        <f>(SUMPRODUCT(L$9:L$229,Nutrients!$BU$8:$BU$228)+(IF($A$7=Nutrients!$B$8,Nutrients!$BU$8,Nutrients!$BU$9)*L$7)+(((IF($A$8=Nutrients!$B$79,Nutrients!$BU$79,(IF($A$8=Nutrients!$B$77,Nutrients!$BU$77,Nutrients!$BU$78)))))*L$8))/2000</f>
        <v>0.61767504769545212</v>
      </c>
      <c r="M308" s="23">
        <f>(SUMPRODUCT(M$9:M$229,Nutrients!$BU$8:$BU$228)+(IF($A$7=Nutrients!$B$8,Nutrients!$BU$8,Nutrients!$BU$9)*M$7)+(((IF($A$8=Nutrients!$B$79,Nutrients!$BU$79,(IF($A$8=Nutrients!$B$77,Nutrients!$BU$77,Nutrients!$BU$78)))))*M$8))/2000</f>
        <v>0.563431512991595</v>
      </c>
      <c r="N308" s="23">
        <f>(SUMPRODUCT(N$9:N$229,Nutrients!$BU$8:$BU$228)+(IF($A$7=Nutrients!$B$8,Nutrients!$BU$8,Nutrients!$BU$9)*N$7)+(((IF($A$8=Nutrients!$B$79,Nutrients!$BU$79,(IF($A$8=Nutrients!$B$77,Nutrients!$BU$77,Nutrients!$BU$78)))))*N$8))/2000</f>
        <v>0.5337067350464072</v>
      </c>
      <c r="O308" s="198"/>
      <c r="P308" s="23">
        <f>(SUMPRODUCT(P$9:P$229,Nutrients!$BU$8:$BU$228)+(IF($A$7=Nutrients!$B$8,Nutrients!$BU$8,Nutrients!$BU$9)*P$7)+(((IF($A$8=Nutrients!$B$79,Nutrients!$BU$79,(IF($A$8=Nutrients!$B$77,Nutrients!$BU$77,Nutrients!$BU$78)))))*P$8))/2000</f>
        <v>0.81777664095488534</v>
      </c>
      <c r="Q308" s="23">
        <f>(SUMPRODUCT(Q$9:Q$229,Nutrients!$BU$8:$BU$228)+(IF($A$7=Nutrients!$B$8,Nutrients!$BU$8,Nutrients!$BU$9)*Q$7)+(((IF($A$8=Nutrients!$B$79,Nutrients!$BU$79,(IF($A$8=Nutrients!$B$77,Nutrients!$BU$77,Nutrients!$BU$78)))))*Q$8))/2000</f>
        <v>0.74315548552894917</v>
      </c>
      <c r="R308" s="23">
        <f>(SUMPRODUCT(R$9:R$229,Nutrients!$BU$8:$BU$228)+(IF($A$7=Nutrients!$B$8,Nutrients!$BU$8,Nutrients!$BU$9)*R$7)+(((IF($A$8=Nutrients!$B$79,Nutrients!$BU$79,(IF($A$8=Nutrients!$B$77,Nutrients!$BU$77,Nutrients!$BU$78)))))*R$8))/2000</f>
        <v>0.68061661710499632</v>
      </c>
      <c r="S308" s="23">
        <f>(SUMPRODUCT(S$9:S$229,Nutrients!$BU$8:$BU$228)+(IF($A$7=Nutrients!$B$8,Nutrients!$BU$8,Nutrients!$BU$9)*S$7)+(((IF($A$8=Nutrients!$B$79,Nutrients!$BU$79,(IF($A$8=Nutrients!$B$77,Nutrients!$BU$77,Nutrients!$BU$78)))))*S$8))/2000</f>
        <v>0.61686933716984049</v>
      </c>
      <c r="T308" s="23">
        <f>(SUMPRODUCT(T$9:T$229,Nutrients!$BU$8:$BU$228)+(IF($A$7=Nutrients!$B$8,Nutrients!$BU$8,Nutrients!$BU$9)*T$7)+(((IF($A$8=Nutrients!$B$79,Nutrients!$BU$79,(IF($A$8=Nutrients!$B$77,Nutrients!$BU$77,Nutrients!$BU$78)))))*T$8))/2000</f>
        <v>0.56322872226041387</v>
      </c>
      <c r="U308" s="23">
        <f>(SUMPRODUCT(U$9:U$229,Nutrients!$BU$8:$BU$228)+(IF($A$7=Nutrients!$B$8,Nutrients!$BU$8,Nutrients!$BU$9)*U$7)+(((IF($A$8=Nutrients!$B$79,Nutrients!$BU$79,(IF($A$8=Nutrients!$B$77,Nutrients!$BU$77,Nutrients!$BU$78)))))*U$8))/2000</f>
        <v>0.53374990211281037</v>
      </c>
      <c r="W308" s="23">
        <f>(SUMPRODUCT(W$9:W$229,Nutrients!$BU$8:$BU$228)+(IF($A$7=Nutrients!$B$8,Nutrients!$BU$8,Nutrients!$BU$9)*W$7)+(((IF($A$8=Nutrients!$B$79,Nutrients!$BU$79,(IF($A$8=Nutrients!$B$77,Nutrients!$BU$77,Nutrients!$BU$78)))))*W$8))/2000</f>
        <v>0.81589361808867533</v>
      </c>
      <c r="X308" s="23">
        <f>(SUMPRODUCT(X$9:X$229,Nutrients!$BU$8:$BU$228)+(IF($A$7=Nutrients!$B$8,Nutrients!$BU$8,Nutrients!$BU$9)*X$7)+(((IF($A$8=Nutrients!$B$79,Nutrients!$BU$79,(IF($A$8=Nutrients!$B$77,Nutrients!$BU$77,Nutrients!$BU$78)))))*X$8))/2000</f>
        <v>0.74196412849478377</v>
      </c>
      <c r="Y308" s="23">
        <f>(SUMPRODUCT(Y$9:Y$229,Nutrients!$BU$8:$BU$228)+(IF($A$7=Nutrients!$B$8,Nutrients!$BU$8,Nutrients!$BU$9)*Y$7)+(((IF($A$8=Nutrients!$B$79,Nutrients!$BU$79,(IF($A$8=Nutrients!$B$77,Nutrients!$BU$77,Nutrients!$BU$78)))))*Y$8))/2000</f>
        <v>0.67908532675638966</v>
      </c>
      <c r="Z308" s="23">
        <f>(SUMPRODUCT(Z$9:Z$229,Nutrients!$BU$8:$BU$228)+(IF($A$7=Nutrients!$B$8,Nutrients!$BU$8,Nutrients!$BU$9)*Z$7)+(((IF($A$8=Nutrients!$B$79,Nutrients!$BU$79,(IF($A$8=Nutrients!$B$77,Nutrients!$BU$77,Nutrients!$BU$78)))))*Z$8))/2000</f>
        <v>0.61632764254432848</v>
      </c>
      <c r="AA308" s="23">
        <f>(SUMPRODUCT(AA$9:AA$229,Nutrients!$BU$8:$BU$228)+(IF($A$7=Nutrients!$B$8,Nutrients!$BU$8,Nutrients!$BU$9)*AA$7)+(((IF($A$8=Nutrients!$B$79,Nutrients!$BU$79,(IF($A$8=Nutrients!$B$77,Nutrients!$BU$77,Nutrients!$BU$78)))))*AA$8))/2000</f>
        <v>0.56306847653102987</v>
      </c>
      <c r="AB308" s="23">
        <f>(SUMPRODUCT(AB$9:AB$229,Nutrients!$BU$8:$BU$228)+(IF($A$7=Nutrients!$B$8,Nutrients!$BU$8,Nutrients!$BU$9)*AB$7)+(((IF($A$8=Nutrients!$B$79,Nutrients!$BU$79,(IF($A$8=Nutrients!$B$77,Nutrients!$BU$77,Nutrients!$BU$78)))))*AB$8))/2000</f>
        <v>0.53363455640884672</v>
      </c>
      <c r="AD308" s="23">
        <f>(SUMPRODUCT(AD$9:AD$229,Nutrients!$BU$8:$BU$228)+(IF($A$7=Nutrients!$B$8,Nutrients!$BU$8,Nutrients!$BU$9)*AD$7)+(((IF($A$8=Nutrients!$B$79,Nutrients!$BU$79,(IF($A$8=Nutrients!$B$77,Nutrients!$BU$77,Nutrients!$BU$78)))))*AD$8))/2000</f>
        <v>0.81392032452512597</v>
      </c>
      <c r="AE308" s="23">
        <f>(SUMPRODUCT(AE$9:AE$229,Nutrients!$BU$8:$BU$228)+(IF($A$7=Nutrients!$B$8,Nutrients!$BU$8,Nutrients!$BU$9)*AE$7)+(((IF($A$8=Nutrients!$B$79,Nutrients!$BU$79,(IF($A$8=Nutrients!$B$77,Nutrients!$BU$77,Nutrients!$BU$78)))))*AE$8))/2000</f>
        <v>0.73971673414030459</v>
      </c>
      <c r="AF308" s="23">
        <f>(SUMPRODUCT(AF$9:AF$229,Nutrients!$BU$8:$BU$228)+(IF($A$7=Nutrients!$B$8,Nutrients!$BU$8,Nutrients!$BU$9)*AF$7)+(((IF($A$8=Nutrients!$B$79,Nutrients!$BU$79,(IF($A$8=Nutrients!$B$77,Nutrients!$BU$77,Nutrients!$BU$78)))))*AF$8))/2000</f>
        <v>0.67779789737989726</v>
      </c>
      <c r="AG308" s="23">
        <f>(SUMPRODUCT(AG$9:AG$229,Nutrients!$BU$8:$BU$228)+(IF($A$7=Nutrients!$B$8,Nutrients!$BU$8,Nutrients!$BU$9)*AG$7)+(((IF($A$8=Nutrients!$B$79,Nutrients!$BU$79,(IF($A$8=Nutrients!$B$77,Nutrients!$BU$77,Nutrients!$BU$78)))))*AG$8))/2000</f>
        <v>0.61574322589368025</v>
      </c>
      <c r="AH308" s="23">
        <f>(SUMPRODUCT(AH$9:AH$229,Nutrients!$BU$8:$BU$228)+(IF($A$7=Nutrients!$B$8,Nutrients!$BU$8,Nutrients!$BU$9)*AH$7)+(((IF($A$8=Nutrients!$B$79,Nutrients!$BU$79,(IF($A$8=Nutrients!$B$77,Nutrients!$BU$77,Nutrients!$BU$78)))))*AH$8))/2000</f>
        <v>0.5624746156265471</v>
      </c>
      <c r="AI308" s="23">
        <f>(SUMPRODUCT(AI$9:AI$229,Nutrients!$BU$8:$BU$228)+(IF($A$7=Nutrients!$B$8,Nutrients!$BU$8,Nutrients!$BU$9)*AI$7)+(((IF($A$8=Nutrients!$B$79,Nutrients!$BU$79,(IF($A$8=Nutrients!$B$77,Nutrients!$BU$77,Nutrients!$BU$78)))))*AI$8))/2000</f>
        <v>0.53315079953626621</v>
      </c>
      <c r="AK308" s="23">
        <f>(SUMPRODUCT(AK$9:AK$229,Nutrients!$BU$8:$BU$228)+(IF($A$7=Nutrients!$B$8,Nutrients!$BU$8,Nutrients!$BU$9)*AK$7)+(((IF($A$8=Nutrients!$B$79,Nutrients!$BU$79,(IF($A$8=Nutrients!$B$77,Nutrients!$BU$77,Nutrients!$BU$78)))))*AK$8))/2000</f>
        <v>0.81222157026973629</v>
      </c>
      <c r="AL308" s="23">
        <f>(SUMPRODUCT(AL$9:AL$229,Nutrients!$BU$8:$BU$228)+(IF($A$7=Nutrients!$B$8,Nutrients!$BU$8,Nutrients!$BU$9)*AL$7)+(((IF($A$8=Nutrients!$B$79,Nutrients!$BU$79,(IF($A$8=Nutrients!$B$77,Nutrients!$BU$77,Nutrients!$BU$78)))))*AL$8))/2000</f>
        <v>0.73777809437374209</v>
      </c>
      <c r="AM308" s="23">
        <f>(SUMPRODUCT(AM$9:AM$229,Nutrients!$BU$8:$BU$228)+(IF($A$7=Nutrients!$B$8,Nutrients!$BU$8,Nutrients!$BU$9)*AM$7)+(((IF($A$8=Nutrients!$B$79,Nutrients!$BU$79,(IF($A$8=Nutrients!$B$77,Nutrients!$BU$77,Nutrients!$BU$78)))))*AM$8))/2000</f>
        <v>0.67662323196883822</v>
      </c>
      <c r="AN308" s="23">
        <f>(SUMPRODUCT(AN$9:AN$229,Nutrients!$BU$8:$BU$228)+(IF($A$7=Nutrients!$B$8,Nutrients!$BU$8,Nutrients!$BU$9)*AN$7)+(((IF($A$8=Nutrients!$B$79,Nutrients!$BU$79,(IF($A$8=Nutrients!$B$77,Nutrients!$BU$77,Nutrients!$BU$78)))))*AN$8))/2000</f>
        <v>0.61482357324490455</v>
      </c>
      <c r="AO308" s="23">
        <f>(SUMPRODUCT(AO$9:AO$229,Nutrients!$BU$8:$BU$228)+(IF($A$7=Nutrients!$B$8,Nutrients!$BU$8,Nutrients!$BU$9)*AO$7)+(((IF($A$8=Nutrients!$B$79,Nutrients!$BU$79,(IF($A$8=Nutrients!$B$77,Nutrients!$BU$77,Nutrients!$BU$78)))))*AO$8))/2000</f>
        <v>0.56173404348045175</v>
      </c>
      <c r="AP308" s="23">
        <f>(SUMPRODUCT(AP$9:AP$229,Nutrients!$BU$8:$BU$228)+(IF($A$7=Nutrients!$B$8,Nutrients!$BU$8,Nutrients!$BU$9)*AP$7)+(((IF($A$8=Nutrients!$B$79,Nutrients!$BU$79,(IF($A$8=Nutrients!$B$77,Nutrients!$BU$77,Nutrients!$BU$78)))))*AP$8))/2000</f>
        <v>0.53266422335062302</v>
      </c>
      <c r="AR308" s="23">
        <f>(SUMPRODUCT(AR$9:AR$229,Nutrients!$BU$8:$BU$228)+(IF($A$7=Nutrients!$B$8,Nutrients!$BU$8,Nutrients!$BU$9)*AR$7)+(((IF($A$8=Nutrients!$B$79,Nutrients!$BU$79,(IF($A$8=Nutrients!$B$77,Nutrients!$BU$77,Nutrients!$BU$78)))))*AR$8))/2000</f>
        <v>0.81258607388560133</v>
      </c>
      <c r="AS308" s="23">
        <f>(SUMPRODUCT(AS$9:AS$229,Nutrients!$BU$8:$BU$228)+(IF($A$7=Nutrients!$B$8,Nutrients!$BU$8,Nutrients!$BU$9)*AS$7)+(((IF($A$8=Nutrients!$B$79,Nutrients!$BU$79,(IF($A$8=Nutrients!$B$77,Nutrients!$BU$77,Nutrients!$BU$78)))))*AS$8))/2000</f>
        <v>0.73583130319550927</v>
      </c>
      <c r="AT308" s="23">
        <f>(SUMPRODUCT(AT$9:AT$229,Nutrients!$BU$8:$BU$228)+(IF($A$7=Nutrients!$B$8,Nutrients!$BU$8,Nutrients!$BU$9)*AT$7)+(((IF($A$8=Nutrients!$B$79,Nutrients!$BU$79,(IF($A$8=Nutrients!$B$77,Nutrients!$BU$77,Nutrients!$BU$78)))))*AT$8))/2000</f>
        <v>0.67563985765240775</v>
      </c>
      <c r="AU308" s="23">
        <f>(SUMPRODUCT(AU$9:AU$229,Nutrients!$BU$8:$BU$228)+(IF($A$7=Nutrients!$B$8,Nutrients!$BU$8,Nutrients!$BU$9)*AU$7)+(((IF($A$8=Nutrients!$B$79,Nutrients!$BU$79,(IF($A$8=Nutrients!$B$77,Nutrients!$BU$77,Nutrients!$BU$78)))))*AU$8))/2000</f>
        <v>0.61373309721842451</v>
      </c>
      <c r="AV308" s="23">
        <f>(SUMPRODUCT(AV$9:AV$229,Nutrients!$BU$8:$BU$228)+(IF($A$7=Nutrients!$B$8,Nutrients!$BU$8,Nutrients!$BU$9)*AV$7)+(((IF($A$8=Nutrients!$B$79,Nutrients!$BU$79,(IF($A$8=Nutrients!$B$77,Nutrients!$BU$77,Nutrients!$BU$78)))))*AV$8))/2000</f>
        <v>0.56099876555978545</v>
      </c>
      <c r="AW308" s="23">
        <f>(SUMPRODUCT(AW$9:AW$229,Nutrients!$BU$8:$BU$228)+(IF($A$7=Nutrients!$B$8,Nutrients!$BU$8,Nutrients!$BU$9)*AW$7)+(((IF($A$8=Nutrients!$B$79,Nutrients!$BU$79,(IF($A$8=Nutrients!$B$77,Nutrients!$BU$77,Nutrients!$BU$78)))))*AW$8))/2000</f>
        <v>0.53217966327259392</v>
      </c>
    </row>
    <row r="309" spans="1:49" x14ac:dyDescent="0.25">
      <c r="A309" t="s">
        <v>42</v>
      </c>
      <c r="B309" s="8">
        <f t="shared" ref="B309:G309" si="183">(B306 * 434.98) + (B308* 255.74) - (B307*282.06)</f>
        <v>190.85683508470862</v>
      </c>
      <c r="C309" s="8">
        <f t="shared" si="183"/>
        <v>172.75687046998428</v>
      </c>
      <c r="D309" s="8">
        <f t="shared" si="183"/>
        <v>157.97167371049909</v>
      </c>
      <c r="E309" s="8">
        <f t="shared" si="183"/>
        <v>141.87849201438749</v>
      </c>
      <c r="F309" s="8">
        <f t="shared" si="183"/>
        <v>127.1843305627486</v>
      </c>
      <c r="G309" s="8">
        <f t="shared" si="183"/>
        <v>119.05581383819251</v>
      </c>
      <c r="H309" s="8"/>
      <c r="I309" s="8">
        <f t="shared" ref="I309:N309" si="184">(I306 * 434.98) + (I308* 255.74) - (I307*282.06)</f>
        <v>189.90879535709081</v>
      </c>
      <c r="J309" s="8">
        <f t="shared" si="184"/>
        <v>172.12051068607076</v>
      </c>
      <c r="K309" s="8">
        <f t="shared" si="184"/>
        <v>157.57970520638651</v>
      </c>
      <c r="L309" s="8">
        <f t="shared" si="184"/>
        <v>141.6590162870433</v>
      </c>
      <c r="M309" s="8">
        <f t="shared" si="184"/>
        <v>126.9543384224575</v>
      </c>
      <c r="N309" s="8">
        <f t="shared" si="184"/>
        <v>118.90827439423012</v>
      </c>
      <c r="O309" s="198"/>
      <c r="P309" s="8">
        <f t="shared" ref="P309:U309" si="185">(P306 * 434.98) + (P308* 255.74) - (P307*282.06)</f>
        <v>189.35757758621361</v>
      </c>
      <c r="Q309" s="8">
        <f t="shared" si="185"/>
        <v>171.75353268018796</v>
      </c>
      <c r="R309" s="8">
        <f t="shared" si="185"/>
        <v>157.41172234864541</v>
      </c>
      <c r="S309" s="8">
        <f t="shared" si="185"/>
        <v>141.39744679679364</v>
      </c>
      <c r="T309" s="8">
        <f t="shared" si="185"/>
        <v>126.85535893553332</v>
      </c>
      <c r="U309" s="8">
        <f t="shared" si="185"/>
        <v>118.87549289459569</v>
      </c>
      <c r="W309" s="8">
        <f t="shared" ref="W309:AB309" si="186">(W306 * 434.98) + (W308* 255.74) - (W307*282.06)</f>
        <v>188.80512770920348</v>
      </c>
      <c r="X309" s="8">
        <f t="shared" si="186"/>
        <v>171.38770413954646</v>
      </c>
      <c r="Y309" s="8">
        <f t="shared" si="186"/>
        <v>156.95467401248527</v>
      </c>
      <c r="Z309" s="8">
        <f t="shared" si="186"/>
        <v>141.20754421583268</v>
      </c>
      <c r="AA309" s="8">
        <f t="shared" si="186"/>
        <v>126.7694742412713</v>
      </c>
      <c r="AB309" s="8">
        <f t="shared" si="186"/>
        <v>118.81723898568603</v>
      </c>
      <c r="AD309" s="8">
        <f t="shared" ref="AD309:AI309" si="187">(AD306 * 434.98) + (AD308* 255.74) - (AD307*282.06)</f>
        <v>188.22870897198231</v>
      </c>
      <c r="AE309" s="8">
        <f t="shared" si="187"/>
        <v>170.7376057464472</v>
      </c>
      <c r="AF309" s="8">
        <f t="shared" si="187"/>
        <v>156.56385980857596</v>
      </c>
      <c r="AG309" s="8">
        <f t="shared" si="187"/>
        <v>141.00795929200541</v>
      </c>
      <c r="AH309" s="8">
        <f t="shared" si="187"/>
        <v>126.61938438710592</v>
      </c>
      <c r="AI309" s="8">
        <f t="shared" si="187"/>
        <v>118.71570889884804</v>
      </c>
      <c r="AK309" s="8">
        <f t="shared" ref="AK309:AP309" si="188">(AK306 * 434.98) + (AK308* 255.74) - (AK307*282.06)</f>
        <v>187.72638908057746</v>
      </c>
      <c r="AL309" s="8">
        <f t="shared" si="188"/>
        <v>170.17038697139813</v>
      </c>
      <c r="AM309" s="8">
        <f t="shared" si="188"/>
        <v>156.20395862331404</v>
      </c>
      <c r="AN309" s="8">
        <f t="shared" si="188"/>
        <v>140.759595769557</v>
      </c>
      <c r="AO309" s="8">
        <f t="shared" si="188"/>
        <v>126.44858187785074</v>
      </c>
      <c r="AP309" s="8">
        <f t="shared" si="188"/>
        <v>118.61337161652837</v>
      </c>
      <c r="AR309" s="8">
        <f t="shared" ref="AR309:AW309" si="189">(AR306 * 434.98) + (AR308* 255.74) - (AR307*282.06)</f>
        <v>187.77993776571651</v>
      </c>
      <c r="AS309" s="8">
        <f t="shared" si="189"/>
        <v>169.60178992645075</v>
      </c>
      <c r="AT309" s="8">
        <f t="shared" si="189"/>
        <v>155.89680068900128</v>
      </c>
      <c r="AU309" s="8">
        <f t="shared" si="189"/>
        <v>140.49471625863777</v>
      </c>
      <c r="AV309" s="8">
        <f t="shared" si="189"/>
        <v>126.27920754854721</v>
      </c>
      <c r="AW309" s="8">
        <f t="shared" si="189"/>
        <v>118.51157882193269</v>
      </c>
    </row>
    <row r="310" spans="1:49" x14ac:dyDescent="0.25">
      <c r="A310" t="s">
        <v>73</v>
      </c>
      <c r="B310" s="202">
        <f>(SUMPRODUCT(B$9:B$229,Nutrients!$EG$8:$EG$228)+(IF($A$7=Nutrients!$B$8,Nutrients!$EG$8,Nutrients!$EG$9)*B$7)+(((IF($A$8=Nutrients!$B$79,Nutrients!$EG$79,(IF($A$8=Nutrients!$B$77,Nutrients!$EG$77,Nutrients!$EG$78)))))*B$8))/2000</f>
        <v>0.25833959194258826</v>
      </c>
      <c r="C310" s="202">
        <f>(SUMPRODUCT(C$9:C$229,Nutrients!$EG$8:$EG$228)+(IF($A$7=Nutrients!$B$8,Nutrients!$EG$8,Nutrients!$EG$9)*C$7)+(((IF($A$8=Nutrients!$B$79,Nutrients!$EG$79,(IF($A$8=Nutrients!$B$77,Nutrients!$EG$77,Nutrients!$EG$78)))))*C$8))/2000</f>
        <v>0.24779907433968829</v>
      </c>
      <c r="D310" s="202">
        <f>(SUMPRODUCT(D$9:D$229,Nutrients!$EG$8:$EG$228)+(IF($A$7=Nutrients!$B$8,Nutrients!$EG$8,Nutrients!$EG$9)*D$7)+(((IF($A$8=Nutrients!$B$79,Nutrients!$EG$79,(IF($A$8=Nutrients!$B$77,Nutrients!$EG$77,Nutrients!$EG$78)))))*D$8))/2000</f>
        <v>0.23900316211582037</v>
      </c>
      <c r="E310" s="202">
        <f>(SUMPRODUCT(E$9:E$229,Nutrients!$EG$8:$EG$228)+(IF($A$7=Nutrients!$B$8,Nutrients!$EG$8,Nutrients!$EG$9)*E$7)+(((IF($A$8=Nutrients!$B$79,Nutrients!$EG$79,(IF($A$8=Nutrients!$B$77,Nutrients!$EG$77,Nutrients!$EG$78)))))*E$8))/2000</f>
        <v>0.23005692988837381</v>
      </c>
      <c r="F310" s="202">
        <f>(SUMPRODUCT(F$9:F$229,Nutrients!$EG$8:$EG$228)+(IF($A$7=Nutrients!$B$8,Nutrients!$EG$8,Nutrients!$EG$9)*F$7)+(((IF($A$8=Nutrients!$B$79,Nutrients!$EG$79,(IF($A$8=Nutrients!$B$77,Nutrients!$EG$77,Nutrients!$EG$78)))))*F$8))/2000</f>
        <v>0.22240960598768925</v>
      </c>
      <c r="G310" s="202">
        <f>(SUMPRODUCT(G$9:G$229,Nutrients!$EG$8:$EG$228)+(IF($A$7=Nutrients!$B$8,Nutrients!$EG$8,Nutrients!$EG$9)*G$7)+(((IF($A$8=Nutrients!$B$79,Nutrients!$EG$79,(IF($A$8=Nutrients!$B$77,Nutrients!$EG$77,Nutrients!$EG$78)))))*G$8))/2000</f>
        <v>0.21810869862161428</v>
      </c>
      <c r="H310" s="232"/>
      <c r="I310" s="202">
        <f>(SUMPRODUCT(I$9:I$229,Nutrients!$EG$8:$EG$228)+(IF($A$7=Nutrients!$B$8,Nutrients!$EG$8,Nutrients!$EG$9)*I$7)+(((IF($A$8=Nutrients!$B$79,Nutrients!$EG$79,(IF($A$8=Nutrients!$B$77,Nutrients!$EG$77,Nutrients!$EG$78)))))*I$8))/2000</f>
        <v>0.2529793743230016</v>
      </c>
      <c r="J310" s="202">
        <f>(SUMPRODUCT(J$9:J$229,Nutrients!$EG$8:$EG$228)+(IF($A$7=Nutrients!$B$8,Nutrients!$EG$8,Nutrients!$EG$9)*J$7)+(((IF($A$8=Nutrients!$B$79,Nutrients!$EG$79,(IF($A$8=Nutrients!$B$77,Nutrients!$EG$77,Nutrients!$EG$78)))))*J$8))/2000</f>
        <v>0.24259233363577518</v>
      </c>
      <c r="K310" s="202">
        <f>(SUMPRODUCT(K$9:K$229,Nutrients!$EG$8:$EG$228)+(IF($A$7=Nutrients!$B$8,Nutrients!$EG$8,Nutrients!$EG$9)*K$7)+(((IF($A$8=Nutrients!$B$79,Nutrients!$EG$79,(IF($A$8=Nutrients!$B$77,Nutrients!$EG$77,Nutrients!$EG$78)))))*K$8))/2000</f>
        <v>0.23393470824154367</v>
      </c>
      <c r="L310" s="202">
        <f>(SUMPRODUCT(L$9:L$229,Nutrients!$EG$8:$EG$228)+(IF($A$7=Nutrients!$B$8,Nutrients!$EG$8,Nutrients!$EG$9)*L$7)+(((IF($A$8=Nutrients!$B$79,Nutrients!$EG$79,(IF($A$8=Nutrients!$B$77,Nutrients!$EG$77,Nutrients!$EG$78)))))*L$8))/2000</f>
        <v>0.22507771214746949</v>
      </c>
      <c r="M310" s="202">
        <f>(SUMPRODUCT(M$9:M$229,Nutrients!$EG$8:$EG$228)+(IF($A$7=Nutrients!$B$8,Nutrients!$EG$8,Nutrients!$EG$9)*M$7)+(((IF($A$8=Nutrients!$B$79,Nutrients!$EG$79,(IF($A$8=Nutrients!$B$77,Nutrients!$EG$77,Nutrients!$EG$78)))))*M$8))/2000</f>
        <v>0.2174280908978922</v>
      </c>
      <c r="N310" s="202">
        <f>(SUMPRODUCT(N$9:N$229,Nutrients!$EG$8:$EG$228)+(IF($A$7=Nutrients!$B$8,Nutrients!$EG$8,Nutrients!$EG$9)*N$7)+(((IF($A$8=Nutrients!$B$79,Nutrients!$EG$79,(IF($A$8=Nutrients!$B$77,Nutrients!$EG$77,Nutrients!$EG$78)))))*N$8))/2000</f>
        <v>0.21316406864950757</v>
      </c>
      <c r="O310" s="8"/>
      <c r="P310" s="202">
        <f>(SUMPRODUCT(P$9:P$229,Nutrients!$EG$8:$EG$228)+(IF($A$7=Nutrients!$B$8,Nutrients!$EG$8,Nutrients!$EG$9)*P$7)+(((IF($A$8=Nutrients!$B$79,Nutrients!$EG$79,(IF($A$8=Nutrients!$B$77,Nutrients!$EG$77,Nutrients!$EG$78)))))*P$8))/2000</f>
        <v>0.24782637327006385</v>
      </c>
      <c r="Q310" s="202">
        <f>(SUMPRODUCT(Q$9:Q$229,Nutrients!$EG$8:$EG$228)+(IF($A$7=Nutrients!$B$8,Nutrients!$EG$8,Nutrients!$EG$9)*Q$7)+(((IF($A$8=Nutrients!$B$79,Nutrients!$EG$79,(IF($A$8=Nutrients!$B$77,Nutrients!$EG$77,Nutrients!$EG$78)))))*Q$8))/2000</f>
        <v>0.23752889743998792</v>
      </c>
      <c r="R310" s="202">
        <f>(SUMPRODUCT(R$9:R$229,Nutrients!$EG$8:$EG$228)+(IF($A$7=Nutrients!$B$8,Nutrients!$EG$8,Nutrients!$EG$9)*R$7)+(((IF($A$8=Nutrients!$B$79,Nutrients!$EG$79,(IF($A$8=Nutrients!$B$77,Nutrients!$EG$77,Nutrients!$EG$78)))))*R$8))/2000</f>
        <v>0.22898038393614423</v>
      </c>
      <c r="S310" s="202">
        <f>(SUMPRODUCT(S$9:S$229,Nutrients!$EG$8:$EG$228)+(IF($A$7=Nutrients!$B$8,Nutrients!$EG$8,Nutrients!$EG$9)*S$7)+(((IF($A$8=Nutrients!$B$79,Nutrients!$EG$79,(IF($A$8=Nutrients!$B$77,Nutrients!$EG$77,Nutrients!$EG$78)))))*S$8))/2000</f>
        <v>0.22006919979138856</v>
      </c>
      <c r="T310" s="202">
        <f>(SUMPRODUCT(T$9:T$229,Nutrients!$EG$8:$EG$228)+(IF($A$7=Nutrients!$B$8,Nutrients!$EG$8,Nutrients!$EG$9)*T$7)+(((IF($A$8=Nutrients!$B$79,Nutrients!$EG$79,(IF($A$8=Nutrients!$B$77,Nutrients!$EG$77,Nutrients!$EG$78)))))*T$8))/2000</f>
        <v>0.21250582009347158</v>
      </c>
      <c r="U310" s="202">
        <f>(SUMPRODUCT(U$9:U$229,Nutrients!$EG$8:$EG$228)+(IF($A$7=Nutrients!$B$8,Nutrients!$EG$8,Nutrients!$EG$9)*U$7)+(((IF($A$8=Nutrients!$B$79,Nutrients!$EG$79,(IF($A$8=Nutrients!$B$77,Nutrients!$EG$77,Nutrients!$EG$78)))))*U$8))/2000</f>
        <v>0.20827887662744479</v>
      </c>
      <c r="W310" s="202">
        <f>(SUMPRODUCT(W$9:W$229,Nutrients!$EG$8:$EG$228)+(IF($A$7=Nutrients!$B$8,Nutrients!$EG$8,Nutrients!$EG$9)*W$7)+(((IF($A$8=Nutrients!$B$79,Nutrients!$EG$79,(IF($A$8=Nutrients!$B$77,Nutrients!$EG$77,Nutrients!$EG$78)))))*W$8))/2000</f>
        <v>0.24266903418775679</v>
      </c>
      <c r="X310" s="202">
        <f>(SUMPRODUCT(X$9:X$229,Nutrients!$EG$8:$EG$228)+(IF($A$7=Nutrients!$B$8,Nutrients!$EG$8,Nutrients!$EG$9)*X$7)+(((IF($A$8=Nutrients!$B$79,Nutrients!$EG$79,(IF($A$8=Nutrients!$B$77,Nutrients!$EG$77,Nutrients!$EG$78)))))*X$8))/2000</f>
        <v>0.23246904477473293</v>
      </c>
      <c r="Y310" s="202">
        <f>(SUMPRODUCT(Y$9:Y$229,Nutrients!$EG$8:$EG$228)+(IF($A$7=Nutrients!$B$8,Nutrients!$EG$8,Nutrients!$EG$9)*Y$7)+(((IF($A$8=Nutrients!$B$79,Nutrients!$EG$79,(IF($A$8=Nutrients!$B$77,Nutrients!$EG$77,Nutrients!$EG$78)))))*Y$8))/2000</f>
        <v>0.223865320327129</v>
      </c>
      <c r="Z310" s="202">
        <f>(SUMPRODUCT(Z$9:Z$229,Nutrients!$EG$8:$EG$228)+(IF($A$7=Nutrients!$B$8,Nutrients!$EG$8,Nutrients!$EG$9)*Z$7)+(((IF($A$8=Nutrients!$B$79,Nutrients!$EG$79,(IF($A$8=Nutrients!$B$77,Nutrients!$EG$77,Nutrients!$EG$78)))))*Z$8))/2000</f>
        <v>0.21509158599183473</v>
      </c>
      <c r="AA310" s="202">
        <f>(SUMPRODUCT(AA$9:AA$229,Nutrients!$EG$8:$EG$228)+(IF($A$7=Nutrients!$B$8,Nutrients!$EG$8,Nutrients!$EG$9)*AA$7)+(((IF($A$8=Nutrients!$B$79,Nutrients!$EG$79,(IF($A$8=Nutrients!$B$77,Nutrients!$EG$77,Nutrients!$EG$78)))))*AA$8))/2000</f>
        <v>0.20756591759126977</v>
      </c>
      <c r="AB310" s="202">
        <f>(SUMPRODUCT(AB$9:AB$229,Nutrients!$EG$8:$EG$228)+(IF($A$7=Nutrients!$B$8,Nutrients!$EG$8,Nutrients!$EG$9)*AB$7)+(((IF($A$8=Nutrients!$B$79,Nutrients!$EG$79,(IF($A$8=Nutrients!$B$77,Nutrients!$EG$77,Nutrients!$EG$78)))))*AB$8))/2000</f>
        <v>0.20331241127269045</v>
      </c>
      <c r="AD310" s="202">
        <f>(SUMPRODUCT(AD$9:AD$229,Nutrients!$EG$8:$EG$228)+(IF($A$7=Nutrients!$B$8,Nutrients!$EG$8,Nutrients!$EG$9)*AD$7)+(((IF($A$8=Nutrients!$B$79,Nutrients!$EG$79,(IF($A$8=Nutrients!$B$77,Nutrients!$EG$77,Nutrients!$EG$78)))))*AD$8))/2000</f>
        <v>0.237493305068776</v>
      </c>
      <c r="AE310" s="202">
        <f>(SUMPRODUCT(AE$9:AE$229,Nutrients!$EG$8:$EG$228)+(IF($A$7=Nutrients!$B$8,Nutrients!$EG$8,Nutrients!$EG$9)*AE$7)+(((IF($A$8=Nutrients!$B$79,Nutrients!$EG$79,(IF($A$8=Nutrients!$B$77,Nutrients!$EG$77,Nutrients!$EG$78)))))*AE$8))/2000</f>
        <v>0.22725063640466628</v>
      </c>
      <c r="AF310" s="202">
        <f>(SUMPRODUCT(AF$9:AF$229,Nutrients!$EG$8:$EG$228)+(IF($A$7=Nutrients!$B$8,Nutrients!$EG$8,Nutrients!$EG$9)*AF$7)+(((IF($A$8=Nutrients!$B$79,Nutrients!$EG$79,(IF($A$8=Nutrients!$B$77,Nutrients!$EG$77,Nutrients!$EG$78)))))*AF$8))/2000</f>
        <v>0.2187782368763905</v>
      </c>
      <c r="AG310" s="202">
        <f>(SUMPRODUCT(AG$9:AG$229,Nutrients!$EG$8:$EG$228)+(IF($A$7=Nutrients!$B$8,Nutrients!$EG$8,Nutrients!$EG$9)*AG$7)+(((IF($A$8=Nutrients!$B$79,Nutrients!$EG$79,(IF($A$8=Nutrients!$B$77,Nutrients!$EG$77,Nutrients!$EG$78)))))*AG$8))/2000</f>
        <v>0.21008641833939604</v>
      </c>
      <c r="AH310" s="202">
        <f>(SUMPRODUCT(AH$9:AH$229,Nutrients!$EG$8:$EG$228)+(IF($A$7=Nutrients!$B$8,Nutrients!$EG$8,Nutrients!$EG$9)*AH$7)+(((IF($A$8=Nutrients!$B$79,Nutrients!$EG$79,(IF($A$8=Nutrients!$B$77,Nutrients!$EG$77,Nutrients!$EG$78)))))*AH$8))/2000</f>
        <v>0.20245153388808254</v>
      </c>
      <c r="AI310" s="202">
        <f>(SUMPRODUCT(AI$9:AI$229,Nutrients!$EG$8:$EG$228)+(IF($A$7=Nutrients!$B$8,Nutrients!$EG$8,Nutrients!$EG$9)*AI$7)+(((IF($A$8=Nutrients!$B$79,Nutrients!$EG$79,(IF($A$8=Nutrients!$B$77,Nutrients!$EG$77,Nutrients!$EG$78)))))*AI$8))/2000</f>
        <v>0.19817535081193255</v>
      </c>
      <c r="AK310" s="202">
        <f>(SUMPRODUCT(AK$9:AK$229,Nutrients!$EG$8:$EG$228)+(IF($A$7=Nutrients!$B$8,Nutrients!$EG$8,Nutrients!$EG$9)*AK$7)+(((IF($A$8=Nutrients!$B$79,Nutrients!$EG$79,(IF($A$8=Nutrients!$B$77,Nutrients!$EG$77,Nutrients!$EG$78)))))*AK$8))/2000</f>
        <v>0.23235591659702598</v>
      </c>
      <c r="AL310" s="202">
        <f>(SUMPRODUCT(AL$9:AL$229,Nutrients!$EG$8:$EG$228)+(IF($A$7=Nutrients!$B$8,Nutrients!$EG$8,Nutrients!$EG$9)*AL$7)+(((IF($A$8=Nutrients!$B$79,Nutrients!$EG$79,(IF($A$8=Nutrients!$B$77,Nutrients!$EG$77,Nutrients!$EG$78)))))*AL$8))/2000</f>
        <v>0.22208198724659889</v>
      </c>
      <c r="AM310" s="202">
        <f>(SUMPRODUCT(AM$9:AM$229,Nutrients!$EG$8:$EG$228)+(IF($A$7=Nutrients!$B$8,Nutrients!$EG$8,Nutrients!$EG$9)*AM$7)+(((IF($A$8=Nutrients!$B$79,Nutrients!$EG$79,(IF($A$8=Nutrients!$B$77,Nutrients!$EG$77,Nutrients!$EG$78)))))*AM$8))/2000</f>
        <v>0.21369991418088108</v>
      </c>
      <c r="AN310" s="202">
        <f>(SUMPRODUCT(AN$9:AN$229,Nutrients!$EG$8:$EG$228)+(IF($A$7=Nutrients!$B$8,Nutrients!$EG$8,Nutrients!$EG$9)*AN$7)+(((IF($A$8=Nutrients!$B$79,Nutrients!$EG$79,(IF($A$8=Nutrients!$B$77,Nutrients!$EG$77,Nutrients!$EG$78)))))*AN$8))/2000</f>
        <v>0.20494739026703729</v>
      </c>
      <c r="AO310" s="202">
        <f>(SUMPRODUCT(AO$9:AO$229,Nutrients!$EG$8:$EG$228)+(IF($A$7=Nutrients!$B$8,Nutrients!$EG$8,Nutrients!$EG$9)*AO$7)+(((IF($A$8=Nutrients!$B$79,Nutrients!$EG$79,(IF($A$8=Nutrients!$B$77,Nutrients!$EG$77,Nutrients!$EG$78)))))*AO$8))/2000</f>
        <v>0.19727780678646512</v>
      </c>
      <c r="AP310" s="202">
        <f>(SUMPRODUCT(AP$9:AP$229,Nutrients!$EG$8:$EG$228)+(IF($A$7=Nutrients!$B$8,Nutrients!$EG$8,Nutrients!$EG$9)*AP$7)+(((IF($A$8=Nutrients!$B$79,Nutrients!$EG$79,(IF($A$8=Nutrients!$B$77,Nutrients!$EG$77,Nutrients!$EG$78)))))*AP$8))/2000</f>
        <v>0.19303858950501945</v>
      </c>
      <c r="AR310" s="202">
        <f>(SUMPRODUCT(AR$9:AR$229,Nutrients!$EG$8:$EG$228)+(IF($A$7=Nutrients!$B$8,Nutrients!$EG$8,Nutrients!$EG$9)*AR$7)+(((IF($A$8=Nutrients!$B$79,Nutrients!$EG$79,(IF($A$8=Nutrients!$B$77,Nutrients!$EG$77,Nutrients!$EG$78)))))*AR$8))/2000</f>
        <v>0.22752144142640685</v>
      </c>
      <c r="AS310" s="202">
        <f>(SUMPRODUCT(AS$9:AS$229,Nutrients!$EG$8:$EG$228)+(IF($A$7=Nutrients!$B$8,Nutrients!$EG$8,Nutrients!$EG$9)*AS$7)+(((IF($A$8=Nutrients!$B$79,Nutrients!$EG$79,(IF($A$8=Nutrients!$B$77,Nutrients!$EG$77,Nutrients!$EG$78)))))*AS$8))/2000</f>
        <v>0.21690018019977322</v>
      </c>
      <c r="AT310" s="202">
        <f>(SUMPRODUCT(AT$9:AT$229,Nutrients!$EG$8:$EG$228)+(IF($A$7=Nutrients!$B$8,Nutrients!$EG$8,Nutrients!$EG$9)*AT$7)+(((IF($A$8=Nutrients!$B$79,Nutrients!$EG$79,(IF($A$8=Nutrients!$B$77,Nutrients!$EG$77,Nutrients!$EG$78)))))*AT$8))/2000</f>
        <v>0.20863774697496257</v>
      </c>
      <c r="AU310" s="202">
        <f>(SUMPRODUCT(AU$9:AU$229,Nutrients!$EG$8:$EG$228)+(IF($A$7=Nutrients!$B$8,Nutrients!$EG$8,Nutrients!$EG$9)*AU$7)+(((IF($A$8=Nutrients!$B$79,Nutrients!$EG$79,(IF($A$8=Nutrients!$B$77,Nutrients!$EG$77,Nutrients!$EG$78)))))*AU$8))/2000</f>
        <v>0.19972175482002971</v>
      </c>
      <c r="AV310" s="202">
        <f>(SUMPRODUCT(AV$9:AV$229,Nutrients!$EG$8:$EG$228)+(IF($A$7=Nutrients!$B$8,Nutrients!$EG$8,Nutrients!$EG$9)*AV$7)+(((IF($A$8=Nutrients!$B$79,Nutrients!$EG$79,(IF($A$8=Nutrients!$B$77,Nutrients!$EG$77,Nutrients!$EG$78)))))*AV$8))/2000</f>
        <v>0.19210484565114425</v>
      </c>
      <c r="AW310" s="202">
        <f>(SUMPRODUCT(AW$9:AW$229,Nutrients!$EG$8:$EG$228)+(IF($A$7=Nutrients!$B$8,Nutrients!$EG$8,Nutrients!$EG$9)*AW$7)+(((IF($A$8=Nutrients!$B$79,Nutrients!$EG$79,(IF($A$8=Nutrients!$B$77,Nutrients!$EG$77,Nutrients!$EG$78)))))*AW$8))/2000</f>
        <v>0.18790211735403292</v>
      </c>
    </row>
    <row r="311" spans="1:49" x14ac:dyDescent="0.25">
      <c r="A311" t="s">
        <v>74</v>
      </c>
      <c r="B311" s="23">
        <f t="shared" ref="B311:G311" si="190">B255-B256</f>
        <v>0.30252335581907996</v>
      </c>
      <c r="C311" s="23">
        <f t="shared" si="190"/>
        <v>0.29036249419994237</v>
      </c>
      <c r="D311" s="23">
        <f t="shared" si="190"/>
        <v>0.2802277845068476</v>
      </c>
      <c r="E311" s="23">
        <f t="shared" si="190"/>
        <v>0.26990911671431012</v>
      </c>
      <c r="F311" s="23">
        <f t="shared" si="190"/>
        <v>0.26108614031234767</v>
      </c>
      <c r="G311" s="23">
        <f t="shared" si="190"/>
        <v>0.25612193787172505</v>
      </c>
      <c r="H311" s="227"/>
      <c r="I311" s="23">
        <f t="shared" ref="I311:N311" si="191">I255-I256</f>
        <v>0.31974354705426455</v>
      </c>
      <c r="J311" s="23">
        <f t="shared" si="191"/>
        <v>0.30775975371198583</v>
      </c>
      <c r="K311" s="23">
        <f t="shared" si="191"/>
        <v>0.29778412434763091</v>
      </c>
      <c r="L311" s="23">
        <f t="shared" si="191"/>
        <v>0.2875686553376216</v>
      </c>
      <c r="M311" s="23">
        <f t="shared" si="191"/>
        <v>0.27874336785466058</v>
      </c>
      <c r="N311" s="23">
        <f t="shared" si="191"/>
        <v>0.27382123452334328</v>
      </c>
      <c r="O311" s="238"/>
      <c r="P311" s="23">
        <f t="shared" ref="P311:U311" si="192">P255-P256</f>
        <v>0.3372026984736346</v>
      </c>
      <c r="Q311" s="23">
        <f t="shared" si="192"/>
        <v>0.32532207362767895</v>
      </c>
      <c r="R311" s="23">
        <f t="shared" si="192"/>
        <v>0.31547224066687385</v>
      </c>
      <c r="S311" s="23">
        <f t="shared" si="192"/>
        <v>0.30519413876653445</v>
      </c>
      <c r="T311" s="23">
        <f t="shared" si="192"/>
        <v>0.29646831671703178</v>
      </c>
      <c r="U311" s="23">
        <f t="shared" si="192"/>
        <v>0.29158900640239616</v>
      </c>
      <c r="W311" s="23">
        <f t="shared" ref="W311:AB311" si="193">W255-W256</f>
        <v>0.35465669802584537</v>
      </c>
      <c r="X311" s="23">
        <f t="shared" si="193"/>
        <v>0.34288846283249264</v>
      </c>
      <c r="Y311" s="23">
        <f t="shared" si="193"/>
        <v>0.33297474915918746</v>
      </c>
      <c r="Z311" s="23">
        <f t="shared" si="193"/>
        <v>0.32285504596783499</v>
      </c>
      <c r="AA311" s="23">
        <f t="shared" si="193"/>
        <v>0.31417219586538392</v>
      </c>
      <c r="AB311" s="23">
        <f t="shared" si="193"/>
        <v>0.3092626509593881</v>
      </c>
      <c r="AD311" s="23">
        <f t="shared" ref="AD311:AI311" si="194">AD255-AD256</f>
        <v>0.37208931806943457</v>
      </c>
      <c r="AE311" s="23">
        <f t="shared" si="194"/>
        <v>0.36027175187081384</v>
      </c>
      <c r="AF311" s="23">
        <f t="shared" si="194"/>
        <v>0.35050931443442462</v>
      </c>
      <c r="AG311" s="23">
        <f t="shared" si="194"/>
        <v>0.34048378838984339</v>
      </c>
      <c r="AH311" s="23">
        <f t="shared" si="194"/>
        <v>0.33167581138309921</v>
      </c>
      <c r="AI311" s="23">
        <f t="shared" si="194"/>
        <v>0.32674030390789094</v>
      </c>
      <c r="AK311" s="23">
        <f t="shared" ref="AK311:AP311" si="195">AK255-AK256</f>
        <v>0.3895661289572418</v>
      </c>
      <c r="AL311" s="23">
        <f t="shared" si="195"/>
        <v>0.37771260322938244</v>
      </c>
      <c r="AM311" s="23">
        <f t="shared" si="195"/>
        <v>0.36805375560381293</v>
      </c>
      <c r="AN311" s="23">
        <f t="shared" si="195"/>
        <v>0.35795872470801882</v>
      </c>
      <c r="AO311" s="23">
        <f t="shared" si="195"/>
        <v>0.34911116845785828</v>
      </c>
      <c r="AP311" s="23">
        <f t="shared" si="195"/>
        <v>0.34421832446873085</v>
      </c>
      <c r="AR311" s="23">
        <f t="shared" ref="AR311:AW311" si="196">AR255-AR256</f>
        <v>0.40739254155929139</v>
      </c>
      <c r="AS311" s="23">
        <f t="shared" si="196"/>
        <v>0.39513790777642049</v>
      </c>
      <c r="AT311" s="23">
        <f t="shared" si="196"/>
        <v>0.38561677463114974</v>
      </c>
      <c r="AU311" s="23">
        <f t="shared" si="196"/>
        <v>0.37533427216154747</v>
      </c>
      <c r="AV311" s="23">
        <f t="shared" si="196"/>
        <v>0.36654741001960678</v>
      </c>
      <c r="AW311" s="23">
        <f t="shared" si="196"/>
        <v>0.36169667918542381</v>
      </c>
    </row>
    <row r="312" spans="1:49" x14ac:dyDescent="0.25">
      <c r="A312" s="34" t="s">
        <v>109</v>
      </c>
      <c r="B312" s="45">
        <f t="shared" ref="B312:G312" si="197">B257-B256</f>
        <v>0.11261444047083269</v>
      </c>
      <c r="C312" s="45">
        <f t="shared" si="197"/>
        <v>0.11261444047083263</v>
      </c>
      <c r="D312" s="45">
        <f t="shared" si="197"/>
        <v>0.11261444047083269</v>
      </c>
      <c r="E312" s="45">
        <f t="shared" si="197"/>
        <v>0.11261444047083267</v>
      </c>
      <c r="F312" s="45">
        <f t="shared" si="197"/>
        <v>0.1126144404708327</v>
      </c>
      <c r="G312" s="45">
        <f t="shared" si="197"/>
        <v>0.11261444047083267</v>
      </c>
      <c r="H312" s="233"/>
      <c r="I312" s="45">
        <f t="shared" ref="I312:N312" si="198">I257-I256</f>
        <v>0.11261444047083266</v>
      </c>
      <c r="J312" s="45">
        <f t="shared" si="198"/>
        <v>0.11261444047083269</v>
      </c>
      <c r="K312" s="45">
        <f t="shared" si="198"/>
        <v>0.11261444047083269</v>
      </c>
      <c r="L312" s="45">
        <f t="shared" si="198"/>
        <v>0.1126144404708327</v>
      </c>
      <c r="M312" s="45">
        <f t="shared" si="198"/>
        <v>0.11261444047083267</v>
      </c>
      <c r="N312" s="45">
        <f t="shared" si="198"/>
        <v>0.11261444047083269</v>
      </c>
      <c r="O312" s="198"/>
      <c r="P312" s="45">
        <f t="shared" ref="P312:U312" si="199">P257-P256</f>
        <v>0.11261444047083266</v>
      </c>
      <c r="Q312" s="45">
        <f t="shared" si="199"/>
        <v>0.11261444047083272</v>
      </c>
      <c r="R312" s="45">
        <f t="shared" si="199"/>
        <v>0.11261444047083269</v>
      </c>
      <c r="S312" s="45">
        <f t="shared" si="199"/>
        <v>0.11261444047083267</v>
      </c>
      <c r="T312" s="45">
        <f t="shared" si="199"/>
        <v>0.11261444047083269</v>
      </c>
      <c r="U312" s="45">
        <f t="shared" si="199"/>
        <v>0.11261444047083267</v>
      </c>
      <c r="W312" s="45">
        <f t="shared" ref="W312:AB312" si="200">W257-W256</f>
        <v>0.11261444047083263</v>
      </c>
      <c r="X312" s="45">
        <f t="shared" si="200"/>
        <v>0.11261444047083266</v>
      </c>
      <c r="Y312" s="45">
        <f t="shared" si="200"/>
        <v>0.11261444047083269</v>
      </c>
      <c r="Z312" s="45">
        <f t="shared" si="200"/>
        <v>0.11261444047083267</v>
      </c>
      <c r="AA312" s="45">
        <f t="shared" si="200"/>
        <v>0.11261444047083269</v>
      </c>
      <c r="AB312" s="45">
        <f t="shared" si="200"/>
        <v>0.11261444047083269</v>
      </c>
      <c r="AD312" s="45">
        <f t="shared" ref="AD312:AI312" si="201">AD257-AD256</f>
        <v>0.11261444047083266</v>
      </c>
      <c r="AE312" s="45">
        <f t="shared" si="201"/>
        <v>0.11261444047083266</v>
      </c>
      <c r="AF312" s="45">
        <f t="shared" si="201"/>
        <v>0.1126144404708327</v>
      </c>
      <c r="AG312" s="45">
        <f t="shared" si="201"/>
        <v>0.11261444047083269</v>
      </c>
      <c r="AH312" s="45">
        <f t="shared" si="201"/>
        <v>0.11261444047083269</v>
      </c>
      <c r="AI312" s="45">
        <f t="shared" si="201"/>
        <v>0.11261444047083269</v>
      </c>
      <c r="AK312" s="45">
        <f t="shared" ref="AK312:AP312" si="202">AK257-AK256</f>
        <v>0.11261444047083266</v>
      </c>
      <c r="AL312" s="45">
        <f t="shared" si="202"/>
        <v>0.11261444047083269</v>
      </c>
      <c r="AM312" s="45">
        <f t="shared" si="202"/>
        <v>0.11261444047083269</v>
      </c>
      <c r="AN312" s="45">
        <f t="shared" si="202"/>
        <v>0.11261444047083267</v>
      </c>
      <c r="AO312" s="45">
        <f t="shared" si="202"/>
        <v>0.11261444047083269</v>
      </c>
      <c r="AP312" s="45">
        <f t="shared" si="202"/>
        <v>0.11261444047083269</v>
      </c>
      <c r="AR312" s="45">
        <f t="shared" ref="AR312:AW312" si="203">AR257-AR256</f>
        <v>0.1126144404708327</v>
      </c>
      <c r="AS312" s="45">
        <f t="shared" si="203"/>
        <v>0.1126144404708327</v>
      </c>
      <c r="AT312" s="45">
        <f t="shared" si="203"/>
        <v>0.1126144404708327</v>
      </c>
      <c r="AU312" s="45">
        <f t="shared" si="203"/>
        <v>0.11261444047083269</v>
      </c>
      <c r="AV312" s="45">
        <f t="shared" si="203"/>
        <v>0.11261444047083269</v>
      </c>
      <c r="AW312" s="45">
        <f t="shared" si="203"/>
        <v>0.11261444047083269</v>
      </c>
    </row>
    <row r="313" spans="1:49" x14ac:dyDescent="0.25">
      <c r="A313" s="44" t="s">
        <v>110</v>
      </c>
      <c r="B313" s="46">
        <f t="shared" ref="B313:G313" si="204">B312/B310</f>
        <v>0.43591630544906723</v>
      </c>
      <c r="C313" s="46">
        <f t="shared" si="204"/>
        <v>0.45445868097335318</v>
      </c>
      <c r="D313" s="46">
        <f t="shared" si="204"/>
        <v>0.47118389344263151</v>
      </c>
      <c r="E313" s="46">
        <f t="shared" si="204"/>
        <v>0.4895068387006401</v>
      </c>
      <c r="F313" s="46">
        <f t="shared" si="204"/>
        <v>0.50633802425362018</v>
      </c>
      <c r="G313" s="46">
        <f t="shared" si="204"/>
        <v>0.51632255468270782</v>
      </c>
      <c r="H313" s="46"/>
      <c r="I313" s="46">
        <f t="shared" ref="I313:N313" si="205">I312/I310</f>
        <v>0.44515265630725942</v>
      </c>
      <c r="J313" s="46">
        <f t="shared" si="205"/>
        <v>0.4642126928871152</v>
      </c>
      <c r="K313" s="46">
        <f t="shared" si="205"/>
        <v>0.48139261299591063</v>
      </c>
      <c r="L313" s="46">
        <f t="shared" si="205"/>
        <v>0.50033581466763988</v>
      </c>
      <c r="M313" s="46">
        <f t="shared" si="205"/>
        <v>0.51793878153360717</v>
      </c>
      <c r="N313" s="46">
        <f t="shared" si="205"/>
        <v>0.52829935731803668</v>
      </c>
      <c r="O313" s="239"/>
      <c r="P313" s="46">
        <f t="shared" ref="P313:U313" si="206">P312/P310</f>
        <v>0.45440862078110356</v>
      </c>
      <c r="Q313" s="46">
        <f t="shared" si="206"/>
        <v>0.47410837874698991</v>
      </c>
      <c r="R313" s="46">
        <f t="shared" si="206"/>
        <v>0.49180824372378329</v>
      </c>
      <c r="S313" s="46">
        <f t="shared" si="206"/>
        <v>0.51172286070737716</v>
      </c>
      <c r="T313" s="46">
        <f t="shared" si="206"/>
        <v>0.52993579385872236</v>
      </c>
      <c r="U313" s="46">
        <f t="shared" si="206"/>
        <v>0.54069064657127852</v>
      </c>
      <c r="W313" s="46">
        <f t="shared" ref="W313:AB313" si="207">W312/W310</f>
        <v>0.46406596889367063</v>
      </c>
      <c r="X313" s="46">
        <f t="shared" si="207"/>
        <v>0.4844276818875316</v>
      </c>
      <c r="Y313" s="46">
        <f t="shared" si="207"/>
        <v>0.50304549318434821</v>
      </c>
      <c r="Z313" s="46">
        <f t="shared" si="207"/>
        <v>0.52356506625557975</v>
      </c>
      <c r="AA313" s="46">
        <f t="shared" si="207"/>
        <v>0.54254784107951859</v>
      </c>
      <c r="AB313" s="46">
        <f t="shared" si="207"/>
        <v>0.5538985041094705</v>
      </c>
      <c r="AD313" s="46">
        <f t="shared" ref="AD313:AI313" si="208">AD312/AD310</f>
        <v>0.47417943187165001</v>
      </c>
      <c r="AE313" s="46">
        <f t="shared" si="208"/>
        <v>0.49555170560798606</v>
      </c>
      <c r="AF313" s="46">
        <f t="shared" si="208"/>
        <v>0.51474242629745548</v>
      </c>
      <c r="AG313" s="46">
        <f t="shared" si="208"/>
        <v>0.53603865190801292</v>
      </c>
      <c r="AH313" s="46">
        <f t="shared" si="208"/>
        <v>0.55625382682003888</v>
      </c>
      <c r="AI313" s="46">
        <f t="shared" si="208"/>
        <v>0.5682565465858731</v>
      </c>
      <c r="AK313" s="46">
        <f t="shared" ref="AK313:AP313" si="209">AK312/AK310</f>
        <v>0.48466353738751344</v>
      </c>
      <c r="AL313" s="46">
        <f t="shared" si="209"/>
        <v>0.50708498184405248</v>
      </c>
      <c r="AM313" s="46">
        <f t="shared" si="209"/>
        <v>0.52697466399314008</v>
      </c>
      <c r="AN313" s="46">
        <f t="shared" si="209"/>
        <v>0.54947974855450021</v>
      </c>
      <c r="AO313" s="46">
        <f t="shared" si="209"/>
        <v>0.57084191225182945</v>
      </c>
      <c r="AP313" s="46">
        <f t="shared" si="209"/>
        <v>0.58337786636129796</v>
      </c>
      <c r="AR313" s="46">
        <f t="shared" ref="AR313:AW313" si="210">AR312/AR310</f>
        <v>0.4949618803608824</v>
      </c>
      <c r="AS313" s="46">
        <f t="shared" si="210"/>
        <v>0.51919938640489172</v>
      </c>
      <c r="AT313" s="46">
        <f t="shared" si="210"/>
        <v>0.53976062387381385</v>
      </c>
      <c r="AU313" s="46">
        <f t="shared" si="210"/>
        <v>0.56385665433547849</v>
      </c>
      <c r="AV313" s="46">
        <f t="shared" si="210"/>
        <v>0.58621342990658665</v>
      </c>
      <c r="AW313" s="46">
        <f t="shared" si="210"/>
        <v>0.59932502122183062</v>
      </c>
    </row>
    <row r="314" spans="1:49" x14ac:dyDescent="0.25">
      <c r="A314" s="34" t="s">
        <v>359</v>
      </c>
      <c r="B314" s="21">
        <f>((SUMPRODUCT(B$9:B$229,Nutrients!$EE$8:$EE$228)+(IF($A$7=Nutrients!$B$8,Nutrients!$EE$8,Nutrients!$EE$9)*B$7)+(((IF($A$8=Nutrients!$B$79,Nutrients!$EE$79,(IF($A$8=Nutrients!$B$77,Nutrients!$EE$77,Nutrients!$EE$78)))))*B$8))/2000)*2.2046</f>
        <v>608.03970300000003</v>
      </c>
      <c r="C314" s="21">
        <f>((SUMPRODUCT(C$9:C$229,Nutrients!$EE$8:$EE$228)+(IF($A$7=Nutrients!$B$8,Nutrients!$EE$8,Nutrients!$EE$9)*C$7)+(((IF($A$8=Nutrients!$B$79,Nutrients!$EE$79,(IF($A$8=Nutrients!$B$77,Nutrients!$EE$77,Nutrients!$EE$78)))))*C$8))/2000)*2.2046</f>
        <v>608.03970300000003</v>
      </c>
      <c r="D314" s="21">
        <f>((SUMPRODUCT(D$9:D$229,Nutrients!$EE$8:$EE$228)+(IF($A$7=Nutrients!$B$8,Nutrients!$EE$8,Nutrients!$EE$9)*D$7)+(((IF($A$8=Nutrients!$B$79,Nutrients!$EE$79,(IF($A$8=Nutrients!$B$77,Nutrients!$EE$77,Nutrients!$EE$78)))))*D$8))/2000)*2.2046</f>
        <v>608.03970300000003</v>
      </c>
      <c r="E314" s="21">
        <f>((SUMPRODUCT(E$9:E$229,Nutrients!$EE$8:$EE$228)+(IF($A$7=Nutrients!$B$8,Nutrients!$EE$8,Nutrients!$EE$9)*E$7)+(((IF($A$8=Nutrients!$B$79,Nutrients!$EE$79,(IF($A$8=Nutrients!$B$77,Nutrients!$EE$77,Nutrients!$EE$78)))))*E$8))/2000)*2.2046</f>
        <v>608.03970300000003</v>
      </c>
      <c r="F314" s="21">
        <f>((SUMPRODUCT(F$9:F$229,Nutrients!$EE$8:$EE$228)+(IF($A$7=Nutrients!$B$8,Nutrients!$EE$8,Nutrients!$EE$9)*F$7)+(((IF($A$8=Nutrients!$B$79,Nutrients!$EE$79,(IF($A$8=Nutrients!$B$77,Nutrients!$EE$77,Nutrients!$EE$78)))))*F$8))/2000)*2.2046</f>
        <v>608.03970300000003</v>
      </c>
      <c r="G314" s="21">
        <f>((SUMPRODUCT(G$9:G$229,Nutrients!$EE$8:$EE$228)+(IF($A$7=Nutrients!$B$8,Nutrients!$EE$8,Nutrients!$EE$9)*G$7)+(((IF($A$8=Nutrients!$B$79,Nutrients!$EE$79,(IF($A$8=Nutrients!$B$77,Nutrients!$EE$77,Nutrients!$EE$78)))))*G$8))/2000)*2.2046</f>
        <v>608.03970300000003</v>
      </c>
      <c r="H314" s="226"/>
      <c r="I314" s="21">
        <f>((SUMPRODUCT(I$9:I$229,Nutrients!$EE$8:$EE$228)+(IF($A$7=Nutrients!$B$8,Nutrients!$EE$8,Nutrients!$EE$9)*I$7)+(((IF($A$8=Nutrients!$B$79,Nutrients!$EE$79,(IF($A$8=Nutrients!$B$77,Nutrients!$EE$77,Nutrients!$EE$78)))))*I$8))/2000)*2.2046</f>
        <v>608.03970300000003</v>
      </c>
      <c r="J314" s="21">
        <f>((SUMPRODUCT(J$9:J$229,Nutrients!$EE$8:$EE$228)+(IF($A$7=Nutrients!$B$8,Nutrients!$EE$8,Nutrients!$EE$9)*J$7)+(((IF($A$8=Nutrients!$B$79,Nutrients!$EE$79,(IF($A$8=Nutrients!$B$77,Nutrients!$EE$77,Nutrients!$EE$78)))))*J$8))/2000)*2.2046</f>
        <v>608.03970300000003</v>
      </c>
      <c r="K314" s="21">
        <f>((SUMPRODUCT(K$9:K$229,Nutrients!$EE$8:$EE$228)+(IF($A$7=Nutrients!$B$8,Nutrients!$EE$8,Nutrients!$EE$9)*K$7)+(((IF($A$8=Nutrients!$B$79,Nutrients!$EE$79,(IF($A$8=Nutrients!$B$77,Nutrients!$EE$77,Nutrients!$EE$78)))))*K$8))/2000)*2.2046</f>
        <v>608.03970300000003</v>
      </c>
      <c r="L314" s="21">
        <f>((SUMPRODUCT(L$9:L$229,Nutrients!$EE$8:$EE$228)+(IF($A$7=Nutrients!$B$8,Nutrients!$EE$8,Nutrients!$EE$9)*L$7)+(((IF($A$8=Nutrients!$B$79,Nutrients!$EE$79,(IF($A$8=Nutrients!$B$77,Nutrients!$EE$77,Nutrients!$EE$78)))))*L$8))/2000)*2.2046</f>
        <v>608.03970300000003</v>
      </c>
      <c r="M314" s="21">
        <f>((SUMPRODUCT(M$9:M$229,Nutrients!$EE$8:$EE$228)+(IF($A$7=Nutrients!$B$8,Nutrients!$EE$8,Nutrients!$EE$9)*M$7)+(((IF($A$8=Nutrients!$B$79,Nutrients!$EE$79,(IF($A$8=Nutrients!$B$77,Nutrients!$EE$77,Nutrients!$EE$78)))))*M$8))/2000)*2.2046</f>
        <v>608.03970300000003</v>
      </c>
      <c r="N314" s="21">
        <f>((SUMPRODUCT(N$9:N$229,Nutrients!$EE$8:$EE$228)+(IF($A$7=Nutrients!$B$8,Nutrients!$EE$8,Nutrients!$EE$9)*N$7)+(((IF($A$8=Nutrients!$B$79,Nutrients!$EE$79,(IF($A$8=Nutrients!$B$77,Nutrients!$EE$77,Nutrients!$EE$78)))))*N$8))/2000)*2.2046</f>
        <v>608.03970300000003</v>
      </c>
      <c r="O314" s="46"/>
      <c r="P314" s="21">
        <f>((SUMPRODUCT(P$9:P$229,Nutrients!$EE$8:$EE$228)+(IF($A$7=Nutrients!$B$8,Nutrients!$EE$8,Nutrients!$EE$9)*P$7)+(((IF($A$8=Nutrients!$B$79,Nutrients!$EE$79,(IF($A$8=Nutrients!$B$77,Nutrients!$EE$77,Nutrients!$EE$78)))))*P$8))/2000)*2.2046</f>
        <v>608.03970300000003</v>
      </c>
      <c r="Q314" s="21">
        <f>((SUMPRODUCT(Q$9:Q$229,Nutrients!$EE$8:$EE$228)+(IF($A$7=Nutrients!$B$8,Nutrients!$EE$8,Nutrients!$EE$9)*Q$7)+(((IF($A$8=Nutrients!$B$79,Nutrients!$EE$79,(IF($A$8=Nutrients!$B$77,Nutrients!$EE$77,Nutrients!$EE$78)))))*Q$8))/2000)*2.2046</f>
        <v>608.03970300000003</v>
      </c>
      <c r="R314" s="21">
        <f>((SUMPRODUCT(R$9:R$229,Nutrients!$EE$8:$EE$228)+(IF($A$7=Nutrients!$B$8,Nutrients!$EE$8,Nutrients!$EE$9)*R$7)+(((IF($A$8=Nutrients!$B$79,Nutrients!$EE$79,(IF($A$8=Nutrients!$B$77,Nutrients!$EE$77,Nutrients!$EE$78)))))*R$8))/2000)*2.2046</f>
        <v>608.03970300000003</v>
      </c>
      <c r="S314" s="21">
        <f>((SUMPRODUCT(S$9:S$229,Nutrients!$EE$8:$EE$228)+(IF($A$7=Nutrients!$B$8,Nutrients!$EE$8,Nutrients!$EE$9)*S$7)+(((IF($A$8=Nutrients!$B$79,Nutrients!$EE$79,(IF($A$8=Nutrients!$B$77,Nutrients!$EE$77,Nutrients!$EE$78)))))*S$8))/2000)*2.2046</f>
        <v>608.03970300000003</v>
      </c>
      <c r="T314" s="21">
        <f>((SUMPRODUCT(T$9:T$229,Nutrients!$EE$8:$EE$228)+(IF($A$7=Nutrients!$B$8,Nutrients!$EE$8,Nutrients!$EE$9)*T$7)+(((IF($A$8=Nutrients!$B$79,Nutrients!$EE$79,(IF($A$8=Nutrients!$B$77,Nutrients!$EE$77,Nutrients!$EE$78)))))*T$8))/2000)*2.2046</f>
        <v>608.03970300000003</v>
      </c>
      <c r="U314" s="21">
        <f>((SUMPRODUCT(U$9:U$229,Nutrients!$EE$8:$EE$228)+(IF($A$7=Nutrients!$B$8,Nutrients!$EE$8,Nutrients!$EE$9)*U$7)+(((IF($A$8=Nutrients!$B$79,Nutrients!$EE$79,(IF($A$8=Nutrients!$B$77,Nutrients!$EE$77,Nutrients!$EE$78)))))*U$8))/2000)*2.2046</f>
        <v>608.03970300000003</v>
      </c>
      <c r="W314" s="21">
        <f>((SUMPRODUCT(W$9:W$229,Nutrients!$EE$8:$EE$228)+(IF($A$7=Nutrients!$B$8,Nutrients!$EE$8,Nutrients!$EE$9)*W$7)+(((IF($A$8=Nutrients!$B$79,Nutrients!$EE$79,(IF($A$8=Nutrients!$B$77,Nutrients!$EE$77,Nutrients!$EE$78)))))*W$8))/2000)*2.2046</f>
        <v>608.03970300000003</v>
      </c>
      <c r="X314" s="21">
        <f>((SUMPRODUCT(X$9:X$229,Nutrients!$EE$8:$EE$228)+(IF($A$7=Nutrients!$B$8,Nutrients!$EE$8,Nutrients!$EE$9)*X$7)+(((IF($A$8=Nutrients!$B$79,Nutrients!$EE$79,(IF($A$8=Nutrients!$B$77,Nutrients!$EE$77,Nutrients!$EE$78)))))*X$8))/2000)*2.2046</f>
        <v>608.03970300000003</v>
      </c>
      <c r="Y314" s="21">
        <f>((SUMPRODUCT(Y$9:Y$229,Nutrients!$EE$8:$EE$228)+(IF($A$7=Nutrients!$B$8,Nutrients!$EE$8,Nutrients!$EE$9)*Y$7)+(((IF($A$8=Nutrients!$B$79,Nutrients!$EE$79,(IF($A$8=Nutrients!$B$77,Nutrients!$EE$77,Nutrients!$EE$78)))))*Y$8))/2000)*2.2046</f>
        <v>608.03970300000003</v>
      </c>
      <c r="Z314" s="21">
        <f>((SUMPRODUCT(Z$9:Z$229,Nutrients!$EE$8:$EE$228)+(IF($A$7=Nutrients!$B$8,Nutrients!$EE$8,Nutrients!$EE$9)*Z$7)+(((IF($A$8=Nutrients!$B$79,Nutrients!$EE$79,(IF($A$8=Nutrients!$B$77,Nutrients!$EE$77,Nutrients!$EE$78)))))*Z$8))/2000)*2.2046</f>
        <v>608.03970300000003</v>
      </c>
      <c r="AA314" s="21">
        <f>((SUMPRODUCT(AA$9:AA$229,Nutrients!$EE$8:$EE$228)+(IF($A$7=Nutrients!$B$8,Nutrients!$EE$8,Nutrients!$EE$9)*AA$7)+(((IF($A$8=Nutrients!$B$79,Nutrients!$EE$79,(IF($A$8=Nutrients!$B$77,Nutrients!$EE$77,Nutrients!$EE$78)))))*AA$8))/2000)*2.2046</f>
        <v>608.03970300000003</v>
      </c>
      <c r="AB314" s="21">
        <f>((SUMPRODUCT(AB$9:AB$229,Nutrients!$EE$8:$EE$228)+(IF($A$7=Nutrients!$B$8,Nutrients!$EE$8,Nutrients!$EE$9)*AB$7)+(((IF($A$8=Nutrients!$B$79,Nutrients!$EE$79,(IF($A$8=Nutrients!$B$77,Nutrients!$EE$77,Nutrients!$EE$78)))))*AB$8))/2000)*2.2046</f>
        <v>608.03970300000003</v>
      </c>
      <c r="AD314" s="21">
        <f>((SUMPRODUCT(AD$9:AD$229,Nutrients!$EE$8:$EE$228)+(IF($A$7=Nutrients!$B$8,Nutrients!$EE$8,Nutrients!$EE$9)*AD$7)+(((IF($A$8=Nutrients!$B$79,Nutrients!$EE$79,(IF($A$8=Nutrients!$B$77,Nutrients!$EE$77,Nutrients!$EE$78)))))*AD$8))/2000)*2.2046</f>
        <v>608.03970300000003</v>
      </c>
      <c r="AE314" s="21">
        <f>((SUMPRODUCT(AE$9:AE$229,Nutrients!$EE$8:$EE$228)+(IF($A$7=Nutrients!$B$8,Nutrients!$EE$8,Nutrients!$EE$9)*AE$7)+(((IF($A$8=Nutrients!$B$79,Nutrients!$EE$79,(IF($A$8=Nutrients!$B$77,Nutrients!$EE$77,Nutrients!$EE$78)))))*AE$8))/2000)*2.2046</f>
        <v>608.03970300000003</v>
      </c>
      <c r="AF314" s="21">
        <f>((SUMPRODUCT(AF$9:AF$229,Nutrients!$EE$8:$EE$228)+(IF($A$7=Nutrients!$B$8,Nutrients!$EE$8,Nutrients!$EE$9)*AF$7)+(((IF($A$8=Nutrients!$B$79,Nutrients!$EE$79,(IF($A$8=Nutrients!$B$77,Nutrients!$EE$77,Nutrients!$EE$78)))))*AF$8))/2000)*2.2046</f>
        <v>608.03970300000003</v>
      </c>
      <c r="AG314" s="21">
        <f>((SUMPRODUCT(AG$9:AG$229,Nutrients!$EE$8:$EE$228)+(IF($A$7=Nutrients!$B$8,Nutrients!$EE$8,Nutrients!$EE$9)*AG$7)+(((IF($A$8=Nutrients!$B$79,Nutrients!$EE$79,(IF($A$8=Nutrients!$B$77,Nutrients!$EE$77,Nutrients!$EE$78)))))*AG$8))/2000)*2.2046</f>
        <v>608.03970300000003</v>
      </c>
      <c r="AH314" s="21">
        <f>((SUMPRODUCT(AH$9:AH$229,Nutrients!$EE$8:$EE$228)+(IF($A$7=Nutrients!$B$8,Nutrients!$EE$8,Nutrients!$EE$9)*AH$7)+(((IF($A$8=Nutrients!$B$79,Nutrients!$EE$79,(IF($A$8=Nutrients!$B$77,Nutrients!$EE$77,Nutrients!$EE$78)))))*AH$8))/2000)*2.2046</f>
        <v>608.03970300000003</v>
      </c>
      <c r="AI314" s="21">
        <f>((SUMPRODUCT(AI$9:AI$229,Nutrients!$EE$8:$EE$228)+(IF($A$7=Nutrients!$B$8,Nutrients!$EE$8,Nutrients!$EE$9)*AI$7)+(((IF($A$8=Nutrients!$B$79,Nutrients!$EE$79,(IF($A$8=Nutrients!$B$77,Nutrients!$EE$77,Nutrients!$EE$78)))))*AI$8))/2000)*2.2046</f>
        <v>608.03970300000003</v>
      </c>
      <c r="AK314" s="21">
        <f>((SUMPRODUCT(AK$9:AK$229,Nutrients!$EE$8:$EE$228)+(IF($A$7=Nutrients!$B$8,Nutrients!$EE$8,Nutrients!$EE$9)*AK$7)+(((IF($A$8=Nutrients!$B$79,Nutrients!$EE$79,(IF($A$8=Nutrients!$B$77,Nutrients!$EE$77,Nutrients!$EE$78)))))*AK$8))/2000)*2.2046</f>
        <v>608.03970300000003</v>
      </c>
      <c r="AL314" s="21">
        <f>((SUMPRODUCT(AL$9:AL$229,Nutrients!$EE$8:$EE$228)+(IF($A$7=Nutrients!$B$8,Nutrients!$EE$8,Nutrients!$EE$9)*AL$7)+(((IF($A$8=Nutrients!$B$79,Nutrients!$EE$79,(IF($A$8=Nutrients!$B$77,Nutrients!$EE$77,Nutrients!$EE$78)))))*AL$8))/2000)*2.2046</f>
        <v>608.03970300000003</v>
      </c>
      <c r="AM314" s="21">
        <f>((SUMPRODUCT(AM$9:AM$229,Nutrients!$EE$8:$EE$228)+(IF($A$7=Nutrients!$B$8,Nutrients!$EE$8,Nutrients!$EE$9)*AM$7)+(((IF($A$8=Nutrients!$B$79,Nutrients!$EE$79,(IF($A$8=Nutrients!$B$77,Nutrients!$EE$77,Nutrients!$EE$78)))))*AM$8))/2000)*2.2046</f>
        <v>608.03970300000003</v>
      </c>
      <c r="AN314" s="21">
        <f>((SUMPRODUCT(AN$9:AN$229,Nutrients!$EE$8:$EE$228)+(IF($A$7=Nutrients!$B$8,Nutrients!$EE$8,Nutrients!$EE$9)*AN$7)+(((IF($A$8=Nutrients!$B$79,Nutrients!$EE$79,(IF($A$8=Nutrients!$B$77,Nutrients!$EE$77,Nutrients!$EE$78)))))*AN$8))/2000)*2.2046</f>
        <v>608.03970300000003</v>
      </c>
      <c r="AO314" s="21">
        <f>((SUMPRODUCT(AO$9:AO$229,Nutrients!$EE$8:$EE$228)+(IF($A$7=Nutrients!$B$8,Nutrients!$EE$8,Nutrients!$EE$9)*AO$7)+(((IF($A$8=Nutrients!$B$79,Nutrients!$EE$79,(IF($A$8=Nutrients!$B$77,Nutrients!$EE$77,Nutrients!$EE$78)))))*AO$8))/2000)*2.2046</f>
        <v>608.03970300000003</v>
      </c>
      <c r="AP314" s="21">
        <f>((SUMPRODUCT(AP$9:AP$229,Nutrients!$EE$8:$EE$228)+(IF($A$7=Nutrients!$B$8,Nutrients!$EE$8,Nutrients!$EE$9)*AP$7)+(((IF($A$8=Nutrients!$B$79,Nutrients!$EE$79,(IF($A$8=Nutrients!$B$77,Nutrients!$EE$77,Nutrients!$EE$78)))))*AP$8))/2000)*2.2046</f>
        <v>608.03970300000003</v>
      </c>
      <c r="AR314" s="21">
        <f>((SUMPRODUCT(AR$9:AR$229,Nutrients!$EE$8:$EE$228)+(IF($A$7=Nutrients!$B$8,Nutrients!$EE$8,Nutrients!$EE$9)*AR$7)+(((IF($A$8=Nutrients!$B$79,Nutrients!$EE$79,(IF($A$8=Nutrients!$B$77,Nutrients!$EE$77,Nutrients!$EE$78)))))*AR$8))/2000)*2.2046</f>
        <v>608.03970300000003</v>
      </c>
      <c r="AS314" s="21">
        <f>((SUMPRODUCT(AS$9:AS$229,Nutrients!$EE$8:$EE$228)+(IF($A$7=Nutrients!$B$8,Nutrients!$EE$8,Nutrients!$EE$9)*AS$7)+(((IF($A$8=Nutrients!$B$79,Nutrients!$EE$79,(IF($A$8=Nutrients!$B$77,Nutrients!$EE$77,Nutrients!$EE$78)))))*AS$8))/2000)*2.2046</f>
        <v>608.03970300000003</v>
      </c>
      <c r="AT314" s="21">
        <f>((SUMPRODUCT(AT$9:AT$229,Nutrients!$EE$8:$EE$228)+(IF($A$7=Nutrients!$B$8,Nutrients!$EE$8,Nutrients!$EE$9)*AT$7)+(((IF($A$8=Nutrients!$B$79,Nutrients!$EE$79,(IF($A$8=Nutrients!$B$77,Nutrients!$EE$77,Nutrients!$EE$78)))))*AT$8))/2000)*2.2046</f>
        <v>608.03970300000003</v>
      </c>
      <c r="AU314" s="21">
        <f>((SUMPRODUCT(AU$9:AU$229,Nutrients!$EE$8:$EE$228)+(IF($A$7=Nutrients!$B$8,Nutrients!$EE$8,Nutrients!$EE$9)*AU$7)+(((IF($A$8=Nutrients!$B$79,Nutrients!$EE$79,(IF($A$8=Nutrients!$B$77,Nutrients!$EE$77,Nutrients!$EE$78)))))*AU$8))/2000)*2.2046</f>
        <v>608.03970300000003</v>
      </c>
      <c r="AV314" s="21">
        <f>((SUMPRODUCT(AV$9:AV$229,Nutrients!$EE$8:$EE$228)+(IF($A$7=Nutrients!$B$8,Nutrients!$EE$8,Nutrients!$EE$9)*AV$7)+(((IF($A$8=Nutrients!$B$79,Nutrients!$EE$79,(IF($A$8=Nutrients!$B$77,Nutrients!$EE$77,Nutrients!$EE$78)))))*AV$8))/2000)*2.2046</f>
        <v>608.03970300000003</v>
      </c>
      <c r="AW314" s="21">
        <f>((SUMPRODUCT(AW$9:AW$229,Nutrients!$EE$8:$EE$228)+(IF($A$7=Nutrients!$B$8,Nutrients!$EE$8,Nutrients!$EE$9)*AW$7)+(((IF($A$8=Nutrients!$B$79,Nutrients!$EE$79,(IF($A$8=Nutrients!$B$77,Nutrients!$EE$77,Nutrients!$EE$78)))))*AW$8))/2000)*2.2046</f>
        <v>608.03970300000003</v>
      </c>
    </row>
    <row r="315" spans="1:49" x14ac:dyDescent="0.25">
      <c r="A315" s="34" t="s">
        <v>360</v>
      </c>
      <c r="B315" s="23">
        <f>((SUMPRODUCT(B$9:B$229,Nutrients!$FK$8:$FK$228)+(IF($A$7=Nutrients!$B$8,Nutrients!$FK$8,Nutrients!$FK$9)*B$7)+(((IF($A$8=Nutrients!$B$79,Nutrients!$FK$79,(IF($A$8=Nutrients!$B$77,Nutrients!$FK$77,Nutrients!$FK$78)))))*B$8))/2000)</f>
        <v>1.5519301991788417</v>
      </c>
      <c r="C315" s="23">
        <f>((SUMPRODUCT(C$9:C$229,Nutrients!$FK$8:$FK$228)+(IF($A$7=Nutrients!$B$8,Nutrients!$FK$8,Nutrients!$FK$9)*C$7)+(((IF($A$8=Nutrients!$B$79,Nutrients!$FK$79,(IF($A$8=Nutrients!$B$77,Nutrients!$FK$77,Nutrients!$FK$78)))))*C$8))/2000)</f>
        <v>1.595708614420986</v>
      </c>
      <c r="D315" s="23">
        <f>((SUMPRODUCT(D$9:D$229,Nutrients!$FK$8:$FK$228)+(IF($A$7=Nutrients!$B$8,Nutrients!$FK$8,Nutrients!$FK$9)*D$7)+(((IF($A$8=Nutrients!$B$79,Nutrients!$FK$79,(IF($A$8=Nutrients!$B$77,Nutrients!$FK$77,Nutrients!$FK$78)))))*D$8))/2000)</f>
        <v>1.633289438982505</v>
      </c>
      <c r="E315" s="23">
        <f>((SUMPRODUCT(E$9:E$229,Nutrients!$FK$8:$FK$228)+(IF($A$7=Nutrients!$B$8,Nutrients!$FK$8,Nutrients!$FK$9)*E$7)+(((IF($A$8=Nutrients!$B$79,Nutrients!$FK$79,(IF($A$8=Nutrients!$B$77,Nutrients!$FK$77,Nutrients!$FK$78)))))*E$8))/2000)</f>
        <v>1.6684624843927185</v>
      </c>
      <c r="F315" s="23">
        <f>((SUMPRODUCT(F$9:F$229,Nutrients!$FK$8:$FK$228)+(IF($A$7=Nutrients!$B$8,Nutrients!$FK$8,Nutrients!$FK$9)*F$7)+(((IF($A$8=Nutrients!$B$79,Nutrients!$FK$79,(IF($A$8=Nutrients!$B$77,Nutrients!$FK$77,Nutrients!$FK$78)))))*F$8))/2000)</f>
        <v>1.6972910046236616</v>
      </c>
      <c r="G315" s="23">
        <f>((SUMPRODUCT(G$9:G$229,Nutrients!$FK$8:$FK$228)+(IF($A$7=Nutrients!$B$8,Nutrients!$FK$8,Nutrients!$FK$9)*G$7)+(((IF($A$8=Nutrients!$B$79,Nutrients!$FK$79,(IF($A$8=Nutrients!$B$77,Nutrients!$FK$77,Nutrients!$FK$78)))))*G$8))/2000)</f>
        <v>1.7124024914223799</v>
      </c>
      <c r="H315" s="227"/>
      <c r="I315" s="23">
        <f>((SUMPRODUCT(I$9:I$229,Nutrients!$FK$8:$FK$228)+(IF($A$7=Nutrients!$B$8,Nutrients!$FK$8,Nutrients!$FK$9)*I$7)+(((IF($A$8=Nutrients!$B$79,Nutrients!$FK$79,(IF($A$8=Nutrients!$B$77,Nutrients!$FK$77,Nutrients!$FK$78)))))*I$8))/2000)</f>
        <v>1.4760344244256087</v>
      </c>
      <c r="J315" s="23">
        <f>((SUMPRODUCT(J$9:J$229,Nutrients!$FK$8:$FK$228)+(IF($A$7=Nutrients!$B$8,Nutrients!$FK$8,Nutrients!$FK$9)*J$7)+(((IF($A$8=Nutrients!$B$79,Nutrients!$FK$79,(IF($A$8=Nutrients!$B$77,Nutrients!$FK$77,Nutrients!$FK$78)))))*J$8))/2000)</f>
        <v>1.5191214970156433</v>
      </c>
      <c r="K315" s="23">
        <f>((SUMPRODUCT(K$9:K$229,Nutrients!$FK$8:$FK$228)+(IF($A$7=Nutrients!$B$8,Nutrients!$FK$8,Nutrients!$FK$9)*K$7)+(((IF($A$8=Nutrients!$B$79,Nutrients!$FK$79,(IF($A$8=Nutrients!$B$77,Nutrients!$FK$77,Nutrients!$FK$78)))))*K$8))/2000)</f>
        <v>1.5562714494008456</v>
      </c>
      <c r="L315" s="23">
        <f>((SUMPRODUCT(L$9:L$229,Nutrients!$FK$8:$FK$228)+(IF($A$7=Nutrients!$B$8,Nutrients!$FK$8,Nutrients!$FK$9)*L$7)+(((IF($A$8=Nutrients!$B$79,Nutrients!$FK$79,(IF($A$8=Nutrients!$B$77,Nutrients!$FK$77,Nutrients!$FK$78)))))*L$8))/2000)</f>
        <v>1.5911288986500161</v>
      </c>
      <c r="M315" s="23">
        <f>((SUMPRODUCT(M$9:M$229,Nutrients!$FK$8:$FK$228)+(IF($A$7=Nutrients!$B$8,Nutrients!$FK$8,Nutrients!$FK$9)*M$7)+(((IF($A$8=Nutrients!$B$79,Nutrients!$FK$79,(IF($A$8=Nutrients!$B$77,Nutrients!$FK$77,Nutrients!$FK$78)))))*M$8))/2000)</f>
        <v>1.6200263975221858</v>
      </c>
      <c r="N315" s="23">
        <f>((SUMPRODUCT(N$9:N$229,Nutrients!$FK$8:$FK$228)+(IF($A$7=Nutrients!$B$8,Nutrients!$FK$8,Nutrients!$FK$9)*N$7)+(((IF($A$8=Nutrients!$B$79,Nutrients!$FK$79,(IF($A$8=Nutrients!$B$77,Nutrients!$FK$77,Nutrients!$FK$78)))))*N$8))/2000)</f>
        <v>1.634884267298782</v>
      </c>
      <c r="O315" s="234"/>
      <c r="P315" s="23">
        <f>((SUMPRODUCT(P$9:P$229,Nutrients!$FK$8:$FK$228)+(IF($A$7=Nutrients!$B$8,Nutrients!$FK$8,Nutrients!$FK$9)*P$7)+(((IF($A$8=Nutrients!$B$79,Nutrients!$FK$79,(IF($A$8=Nutrients!$B$77,Nutrients!$FK$77,Nutrients!$FK$78)))))*P$8))/2000)</f>
        <v>1.399358212946674</v>
      </c>
      <c r="Q315" s="23">
        <f>((SUMPRODUCT(Q$9:Q$229,Nutrients!$FK$8:$FK$228)+(IF($A$7=Nutrients!$B$8,Nutrients!$FK$8,Nutrients!$FK$9)*Q$7)+(((IF($A$8=Nutrients!$B$79,Nutrients!$FK$79,(IF($A$8=Nutrients!$B$77,Nutrients!$FK$77,Nutrients!$FK$78)))))*Q$8))/2000)</f>
        <v>1.4419894227552654</v>
      </c>
      <c r="R315" s="23">
        <f>((SUMPRODUCT(R$9:R$229,Nutrients!$FK$8:$FK$228)+(IF($A$7=Nutrients!$B$8,Nutrients!$FK$8,Nutrients!$FK$9)*R$7)+(((IF($A$8=Nutrients!$B$79,Nutrients!$FK$79,(IF($A$8=Nutrients!$B$77,Nutrients!$FK$77,Nutrients!$FK$78)))))*R$8))/2000)</f>
        <v>1.4788066153660113</v>
      </c>
      <c r="S315" s="23">
        <f>((SUMPRODUCT(S$9:S$229,Nutrients!$FK$8:$FK$228)+(IF($A$7=Nutrients!$B$8,Nutrients!$FK$8,Nutrients!$FK$9)*S$7)+(((IF($A$8=Nutrients!$B$79,Nutrients!$FK$79,(IF($A$8=Nutrients!$B$77,Nutrients!$FK$77,Nutrients!$FK$78)))))*S$8))/2000)</f>
        <v>1.5137805851345894</v>
      </c>
      <c r="T315" s="23">
        <f>((SUMPRODUCT(T$9:T$229,Nutrients!$FK$8:$FK$228)+(IF($A$7=Nutrients!$B$8,Nutrients!$FK$8,Nutrients!$FK$9)*T$7)+(((IF($A$8=Nutrients!$B$79,Nutrients!$FK$79,(IF($A$8=Nutrients!$B$77,Nutrients!$FK$77,Nutrients!$FK$78)))))*T$8))/2000)</f>
        <v>1.5423699636874932</v>
      </c>
      <c r="U315" s="23">
        <f>((SUMPRODUCT(U$9:U$229,Nutrients!$FK$8:$FK$228)+(IF($A$7=Nutrients!$B$8,Nutrients!$FK$8,Nutrients!$FK$9)*U$7)+(((IF($A$8=Nutrients!$B$79,Nutrients!$FK$79,(IF($A$8=Nutrients!$B$77,Nutrients!$FK$77,Nutrients!$FK$78)))))*U$8))/2000)</f>
        <v>1.5571286805506113</v>
      </c>
      <c r="W315" s="23">
        <f>((SUMPRODUCT(W$9:W$229,Nutrients!$FK$8:$FK$228)+(IF($A$7=Nutrients!$B$8,Nutrients!$FK$8,Nutrients!$FK$9)*W$7)+(((IF($A$8=Nutrients!$B$79,Nutrients!$FK$79,(IF($A$8=Nutrients!$B$77,Nutrients!$FK$77,Nutrients!$FK$78)))))*W$8))/2000)</f>
        <v>1.3226342204515136</v>
      </c>
      <c r="X315" s="23">
        <f>((SUMPRODUCT(X$9:X$229,Nutrients!$FK$8:$FK$228)+(IF($A$7=Nutrients!$B$8,Nutrients!$FK$8,Nutrients!$FK$9)*X$7)+(((IF($A$8=Nutrients!$B$79,Nutrients!$FK$79,(IF($A$8=Nutrients!$B$77,Nutrients!$FK$77,Nutrients!$FK$78)))))*X$8))/2000)</f>
        <v>1.3648916771986532</v>
      </c>
      <c r="Y315" s="23">
        <f>((SUMPRODUCT(Y$9:Y$229,Nutrients!$FK$8:$FK$228)+(IF($A$7=Nutrients!$B$8,Nutrients!$FK$8,Nutrients!$FK$9)*Y$7)+(((IF($A$8=Nutrients!$B$79,Nutrients!$FK$79,(IF($A$8=Nutrients!$B$77,Nutrients!$FK$77,Nutrients!$FK$78)))))*Y$8))/2000)</f>
        <v>1.4017904273073654</v>
      </c>
      <c r="Z315" s="23">
        <f>((SUMPRODUCT(Z$9:Z$229,Nutrients!$FK$8:$FK$228)+(IF($A$7=Nutrients!$B$8,Nutrients!$FK$8,Nutrients!$FK$9)*Z$7)+(((IF($A$8=Nutrients!$B$79,Nutrients!$FK$79,(IF($A$8=Nutrients!$B$77,Nutrients!$FK$77,Nutrients!$FK$78)))))*Z$8))/2000)</f>
        <v>1.4362012747590855</v>
      </c>
      <c r="AA315" s="23">
        <f>((SUMPRODUCT(AA$9:AA$229,Nutrients!$FK$8:$FK$228)+(IF($A$7=Nutrients!$B$8,Nutrients!$FK$8,Nutrients!$FK$9)*AA$7)+(((IF($A$8=Nutrients!$B$79,Nutrients!$FK$79,(IF($A$8=Nutrients!$B$77,Nutrients!$FK$77,Nutrients!$FK$78)))))*AA$8))/2000)</f>
        <v>1.4643599346153693</v>
      </c>
      <c r="AB315" s="23">
        <f>((SUMPRODUCT(AB$9:AB$229,Nutrients!$FK$8:$FK$228)+(IF($A$7=Nutrients!$B$8,Nutrients!$FK$8,Nutrients!$FK$9)*AB$7)+(((IF($A$8=Nutrients!$B$79,Nutrients!$FK$79,(IF($A$8=Nutrients!$B$77,Nutrients!$FK$77,Nutrients!$FK$78)))))*AB$8))/2000)</f>
        <v>1.4787027854659036</v>
      </c>
      <c r="AD315" s="23">
        <f>((SUMPRODUCT(AD$9:AD$229,Nutrients!$FK$8:$FK$228)+(IF($A$7=Nutrients!$B$8,Nutrients!$FK$8,Nutrients!$FK$9)*AD$7)+(((IF($A$8=Nutrients!$B$79,Nutrients!$FK$79,(IF($A$8=Nutrients!$B$77,Nutrients!$FK$77,Nutrients!$FK$78)))))*AD$8))/2000)</f>
        <v>1.2458797161413699</v>
      </c>
      <c r="AE315" s="23">
        <f>((SUMPRODUCT(AE$9:AE$229,Nutrients!$FK$8:$FK$228)+(IF($A$7=Nutrients!$B$8,Nutrients!$FK$8,Nutrients!$FK$9)*AE$7)+(((IF($A$8=Nutrients!$B$79,Nutrients!$FK$79,(IF($A$8=Nutrients!$B$77,Nutrients!$FK$77,Nutrients!$FK$78)))))*AE$8))/2000)</f>
        <v>1.2882286722072902</v>
      </c>
      <c r="AF315" s="23">
        <f>((SUMPRODUCT(AF$9:AF$229,Nutrients!$FK$8:$FK$228)+(IF($A$7=Nutrients!$B$8,Nutrients!$FK$8,Nutrients!$FK$9)*AF$7)+(((IF($A$8=Nutrients!$B$79,Nutrients!$FK$79,(IF($A$8=Nutrients!$B$77,Nutrients!$FK$77,Nutrients!$FK$78)))))*AF$8))/2000)</f>
        <v>1.3245530466189905</v>
      </c>
      <c r="AG315" s="23">
        <f>((SUMPRODUCT(AG$9:AG$229,Nutrients!$FK$8:$FK$228)+(IF($A$7=Nutrients!$B$8,Nutrients!$FK$8,Nutrients!$FK$9)*AG$7)+(((IF($A$8=Nutrients!$B$79,Nutrients!$FK$79,(IF($A$8=Nutrients!$B$77,Nutrients!$FK$77,Nutrients!$FK$78)))))*AG$8))/2000)</f>
        <v>1.3583465143292797</v>
      </c>
      <c r="AH315" s="23">
        <f>((SUMPRODUCT(AH$9:AH$229,Nutrients!$FK$8:$FK$228)+(IF($A$7=Nutrients!$B$8,Nutrients!$FK$8,Nutrients!$FK$9)*AH$7)+(((IF($A$8=Nutrients!$B$79,Nutrients!$FK$79,(IF($A$8=Nutrients!$B$77,Nutrients!$FK$77,Nutrients!$FK$78)))))*AH$8))/2000)</f>
        <v>1.3852296303900873</v>
      </c>
      <c r="AI315" s="23">
        <f>((SUMPRODUCT(AI$9:AI$229,Nutrients!$FK$8:$FK$228)+(IF($A$7=Nutrients!$B$8,Nutrients!$FK$8,Nutrients!$FK$9)*AI$7)+(((IF($A$8=Nutrients!$B$79,Nutrients!$FK$79,(IF($A$8=Nutrients!$B$77,Nutrients!$FK$77,Nutrients!$FK$78)))))*AI$8))/2000)</f>
        <v>1.399061302834532</v>
      </c>
      <c r="AK315" s="23">
        <f>((SUMPRODUCT(AK$9:AK$229,Nutrients!$FK$8:$FK$228)+(IF($A$7=Nutrients!$B$8,Nutrients!$FK$8,Nutrients!$FK$9)*AK$7)+(((IF($A$8=Nutrients!$B$79,Nutrients!$FK$79,(IF($A$8=Nutrients!$B$77,Nutrients!$FK$77,Nutrients!$FK$78)))))*AK$8))/2000)</f>
        <v>1.1689719050305982</v>
      </c>
      <c r="AL315" s="23">
        <f>((SUMPRODUCT(AL$9:AL$229,Nutrients!$FK$8:$FK$228)+(IF($A$7=Nutrients!$B$8,Nutrients!$FK$8,Nutrients!$FK$9)*AL$7)+(((IF($A$8=Nutrients!$B$79,Nutrients!$FK$79,(IF($A$8=Nutrients!$B$77,Nutrients!$FK$77,Nutrients!$FK$78)))))*AL$8))/2000)</f>
        <v>1.2114861644076045</v>
      </c>
      <c r="AM315" s="23">
        <f>((SUMPRODUCT(AM$9:AM$229,Nutrients!$FK$8:$FK$228)+(IF($A$7=Nutrients!$B$8,Nutrients!$FK$8,Nutrients!$FK$9)*AM$7)+(((IF($A$8=Nutrients!$B$79,Nutrients!$FK$79,(IF($A$8=Nutrients!$B$77,Nutrients!$FK$77,Nutrients!$FK$78)))))*AM$8))/2000)</f>
        <v>1.2471549314539421</v>
      </c>
      <c r="AN315" s="23">
        <f>((SUMPRODUCT(AN$9:AN$229,Nutrients!$FK$8:$FK$228)+(IF($A$7=Nutrients!$B$8,Nutrients!$FK$8,Nutrients!$FK$9)*AN$7)+(((IF($A$8=Nutrients!$B$79,Nutrients!$FK$79,(IF($A$8=Nutrients!$B$77,Nutrients!$FK$77,Nutrients!$FK$78)))))*AN$8))/2000)</f>
        <v>1.2796438867284037</v>
      </c>
      <c r="AO315" s="23">
        <f>((SUMPRODUCT(AO$9:AO$229,Nutrients!$FK$8:$FK$228)+(IF($A$7=Nutrients!$B$8,Nutrients!$FK$8,Nutrients!$FK$9)*AO$7)+(((IF($A$8=Nutrients!$B$79,Nutrients!$FK$79,(IF($A$8=Nutrients!$B$77,Nutrients!$FK$77,Nutrients!$FK$78)))))*AO$8))/2000)</f>
        <v>1.3057202569531909</v>
      </c>
      <c r="AP315" s="23">
        <f>((SUMPRODUCT(AP$9:AP$229,Nutrients!$FK$8:$FK$228)+(IF($A$7=Nutrients!$B$8,Nutrients!$FK$8,Nutrients!$FK$9)*AP$7)+(((IF($A$8=Nutrients!$B$79,Nutrients!$FK$79,(IF($A$8=Nutrients!$B$77,Nutrients!$FK$77,Nutrients!$FK$78)))))*AP$8))/2000)</f>
        <v>1.3194310976241668</v>
      </c>
      <c r="AR315" s="23">
        <f>((SUMPRODUCT(AR$9:AR$229,Nutrients!$FK$8:$FK$228)+(IF($A$7=Nutrients!$B$8,Nutrients!$FK$8,Nutrients!$FK$9)*AR$7)+(((IF($A$8=Nutrients!$B$79,Nutrients!$FK$79,(IF($A$8=Nutrients!$B$77,Nutrients!$FK$77,Nutrients!$FK$78)))))*AR$8))/2000)</f>
        <v>1.0911186030889439</v>
      </c>
      <c r="AS315" s="23">
        <f>((SUMPRODUCT(AS$9:AS$229,Nutrients!$FK$8:$FK$228)+(IF($A$7=Nutrients!$B$8,Nutrients!$FK$8,Nutrients!$FK$9)*AS$7)+(((IF($A$8=Nutrients!$B$79,Nutrients!$FK$79,(IF($A$8=Nutrients!$B$77,Nutrients!$FK$77,Nutrients!$FK$78)))))*AS$8))/2000)</f>
        <v>1.1345800315832464</v>
      </c>
      <c r="AT315" s="23">
        <f>((SUMPRODUCT(AT$9:AT$229,Nutrients!$FK$8:$FK$228)+(IF($A$7=Nutrients!$B$8,Nutrients!$FK$8,Nutrients!$FK$9)*AT$7)+(((IF($A$8=Nutrients!$B$79,Nutrients!$FK$79,(IF($A$8=Nutrients!$B$77,Nutrients!$FK$77,Nutrients!$FK$78)))))*AT$8))/2000)</f>
        <v>1.1695051380800432</v>
      </c>
      <c r="AU315" s="23">
        <f>((SUMPRODUCT(AU$9:AU$229,Nutrients!$FK$8:$FK$228)+(IF($A$7=Nutrients!$B$8,Nutrients!$FK$8,Nutrients!$FK$9)*AU$7)+(((IF($A$8=Nutrients!$B$79,Nutrients!$FK$79,(IF($A$8=Nutrients!$B$77,Nutrients!$FK$77,Nutrients!$FK$78)))))*AU$8))/2000)</f>
        <v>1.20028847342177</v>
      </c>
      <c r="AV315" s="23">
        <f>((SUMPRODUCT(AV$9:AV$229,Nutrients!$FK$8:$FK$228)+(IF($A$7=Nutrients!$B$8,Nutrients!$FK$8,Nutrients!$FK$9)*AV$7)+(((IF($A$8=Nutrients!$B$79,Nutrients!$FK$79,(IF($A$8=Nutrients!$B$77,Nutrients!$FK$77,Nutrients!$FK$78)))))*AV$8))/2000)</f>
        <v>1.226208307305805</v>
      </c>
      <c r="AW315" s="23">
        <f>((SUMPRODUCT(AW$9:AW$229,Nutrients!$FK$8:$FK$228)+(IF($A$7=Nutrients!$B$8,Nutrients!$FK$8,Nutrients!$FK$9)*AW$7)+(((IF($A$8=Nutrients!$B$79,Nutrients!$FK$79,(IF($A$8=Nutrients!$B$77,Nutrients!$FK$77,Nutrients!$FK$78)))))*AW$8))/2000)</f>
        <v>1.2397998791948934</v>
      </c>
    </row>
    <row r="316" spans="1:49" x14ac:dyDescent="0.25">
      <c r="A316" s="34" t="s">
        <v>403</v>
      </c>
      <c r="B316" s="22">
        <f>(SUMPRODUCT(B$9:B$229,Nutrients!$U$8:$U$228)+(IF($A$7=Nutrients!$B$8,Nutrients!$U$8,Nutrients!$U$9)*B$7)+(((IF($A$8=Nutrients!$B$79,Nutrients!$U$79,(IF($A$8=Nutrients!$B$77,Nutrients!$U$77,Nutrients!$U$78)))))*B$8))/2000</f>
        <v>8.5699292218715204</v>
      </c>
      <c r="C316" s="22">
        <f>(SUMPRODUCT(C$9:C$229,Nutrients!$U$8:$U$228)+(IF($A$7=Nutrients!$B$8,Nutrients!$U$8,Nutrients!$U$9)*C$7)+(((IF($A$8=Nutrients!$B$79,Nutrients!$U$79,(IF($A$8=Nutrients!$B$77,Nutrients!$U$77,Nutrients!$U$78)))))*C$8))/2000</f>
        <v>8.6418600707376481</v>
      </c>
      <c r="D316" s="22">
        <f>(SUMPRODUCT(D$9:D$229,Nutrients!$U$8:$U$228)+(IF($A$7=Nutrients!$B$8,Nutrients!$U$8,Nutrients!$U$9)*D$7)+(((IF($A$8=Nutrients!$B$79,Nutrients!$U$79,(IF($A$8=Nutrients!$B$77,Nutrients!$U$77,Nutrients!$U$78)))))*D$8))/2000</f>
        <v>8.7060121920111886</v>
      </c>
      <c r="E316" s="22">
        <f>(SUMPRODUCT(E$9:E$229,Nutrients!$U$8:$U$228)+(IF($A$7=Nutrients!$B$8,Nutrients!$U$8,Nutrients!$U$9)*E$7)+(((IF($A$8=Nutrients!$B$79,Nutrients!$U$79,(IF($A$8=Nutrients!$B$77,Nutrients!$U$77,Nutrients!$U$78)))))*E$8))/2000</f>
        <v>8.7592542727281515</v>
      </c>
      <c r="F316" s="22">
        <f>(SUMPRODUCT(F$9:F$229,Nutrients!$U$8:$U$228)+(IF($A$7=Nutrients!$B$8,Nutrients!$U$8,Nutrients!$U$9)*F$7)+(((IF($A$8=Nutrients!$B$79,Nutrients!$U$79,(IF($A$8=Nutrients!$B$77,Nutrients!$U$77,Nutrients!$U$78)))))*F$8))/2000</f>
        <v>8.7998937942372635</v>
      </c>
      <c r="G316" s="22">
        <f>(SUMPRODUCT(G$9:G$229,Nutrients!$U$8:$U$228)+(IF($A$7=Nutrients!$B$8,Nutrients!$U$8,Nutrients!$U$9)*G$7)+(((IF($A$8=Nutrients!$B$79,Nutrients!$U$79,(IF($A$8=Nutrients!$B$77,Nutrients!$U$77,Nutrients!$U$78)))))*G$8))/2000</f>
        <v>8.8184122421246407</v>
      </c>
      <c r="H316" s="228"/>
      <c r="I316" s="22">
        <f>(SUMPRODUCT(I$9:I$229,Nutrients!$U$8:$U$228)+(IF($A$7=Nutrients!$B$8,Nutrients!$U$8,Nutrients!$U$9)*I$7)+(((IF($A$8=Nutrients!$B$79,Nutrients!$U$79,(IF($A$8=Nutrients!$B$77,Nutrients!$U$77,Nutrients!$U$78)))))*I$8))/2000</f>
        <v>9.7758803148391742</v>
      </c>
      <c r="J316" s="22">
        <f>(SUMPRODUCT(J$9:J$229,Nutrients!$U$8:$U$228)+(IF($A$7=Nutrients!$B$8,Nutrients!$U$8,Nutrients!$U$9)*J$7)+(((IF($A$8=Nutrients!$B$79,Nutrients!$U$79,(IF($A$8=Nutrients!$B$77,Nutrients!$U$77,Nutrients!$U$78)))))*J$8))/2000</f>
        <v>9.8465516265845316</v>
      </c>
      <c r="K316" s="22">
        <f>(SUMPRODUCT(K$9:K$229,Nutrients!$U$8:$U$228)+(IF($A$7=Nutrients!$B$8,Nutrients!$U$8,Nutrients!$U$9)*K$7)+(((IF($A$8=Nutrients!$B$79,Nutrients!$U$79,(IF($A$8=Nutrients!$B$77,Nutrients!$U$77,Nutrients!$U$78)))))*K$8))/2000</f>
        <v>9.9103248579405285</v>
      </c>
      <c r="L316" s="22">
        <f>(SUMPRODUCT(L$9:L$229,Nutrients!$U$8:$U$228)+(IF($A$7=Nutrients!$B$8,Nutrients!$U$8,Nutrients!$U$9)*L$7)+(((IF($A$8=Nutrients!$B$79,Nutrients!$U$79,(IF($A$8=Nutrients!$B$77,Nutrients!$U$77,Nutrients!$U$78)))))*L$8))/2000</f>
        <v>9.9631746054439638</v>
      </c>
      <c r="M316" s="22">
        <f>(SUMPRODUCT(M$9:M$229,Nutrients!$U$8:$U$228)+(IF($A$7=Nutrients!$B$8,Nutrients!$U$8,Nutrients!$U$9)*M$7)+(((IF($A$8=Nutrients!$B$79,Nutrients!$U$79,(IF($A$8=Nutrients!$B$77,Nutrients!$U$77,Nutrients!$U$78)))))*M$8))/2000</f>
        <v>10.00406377730083</v>
      </c>
      <c r="N316" s="22">
        <f>(SUMPRODUCT(N$9:N$229,Nutrients!$U$8:$U$228)+(IF($A$7=Nutrients!$B$8,Nutrients!$U$8,Nutrients!$U$9)*N$7)+(((IF($A$8=Nutrients!$B$79,Nutrients!$U$79,(IF($A$8=Nutrients!$B$77,Nutrients!$U$77,Nutrients!$U$78)))))*N$8))/2000</f>
        <v>10.021935209551948</v>
      </c>
      <c r="O316" s="198"/>
      <c r="P316" s="22">
        <f>(SUMPRODUCT(P$9:P$229,Nutrients!$U$8:$U$228)+(IF($A$7=Nutrients!$B$8,Nutrients!$U$8,Nutrients!$U$9)*P$7)+(((IF($A$8=Nutrients!$B$79,Nutrients!$U$79,(IF($A$8=Nutrients!$B$77,Nutrients!$U$77,Nutrients!$U$78)))))*P$8))/2000</f>
        <v>10.980733042813222</v>
      </c>
      <c r="Q316" s="22">
        <f>(SUMPRODUCT(Q$9:Q$229,Nutrients!$U$8:$U$228)+(IF($A$7=Nutrients!$B$8,Nutrients!$U$8,Nutrients!$U$9)*Q$7)+(((IF($A$8=Nutrients!$B$79,Nutrients!$U$79,(IF($A$8=Nutrients!$B$77,Nutrients!$U$77,Nutrients!$U$78)))))*Q$8))/2000</f>
        <v>11.050462995024263</v>
      </c>
      <c r="R316" s="22">
        <f>(SUMPRODUCT(R$9:R$229,Nutrients!$U$8:$U$228)+(IF($A$7=Nutrients!$B$8,Nutrients!$U$8,Nutrients!$U$9)*R$7)+(((IF($A$8=Nutrients!$B$79,Nutrients!$U$79,(IF($A$8=Nutrients!$B$77,Nutrients!$U$77,Nutrients!$U$78)))))*R$8))/2000</f>
        <v>11.113965652643751</v>
      </c>
      <c r="S316" s="22">
        <f>(SUMPRODUCT(S$9:S$229,Nutrients!$U$8:$U$228)+(IF($A$7=Nutrients!$B$8,Nutrients!$U$8,Nutrients!$U$9)*S$7)+(((IF($A$8=Nutrients!$B$79,Nutrients!$U$79,(IF($A$8=Nutrients!$B$77,Nutrients!$U$77,Nutrients!$U$78)))))*S$8))/2000</f>
        <v>11.166757920659718</v>
      </c>
      <c r="T316" s="22">
        <f>(SUMPRODUCT(T$9:T$229,Nutrients!$U$8:$U$228)+(IF($A$7=Nutrients!$B$8,Nutrients!$U$8,Nutrients!$U$9)*T$7)+(((IF($A$8=Nutrients!$B$79,Nutrients!$U$79,(IF($A$8=Nutrients!$B$77,Nutrients!$U$77,Nutrients!$U$78)))))*T$8))/2000</f>
        <v>11.207255663369779</v>
      </c>
      <c r="U316" s="22">
        <f>(SUMPRODUCT(U$9:U$229,Nutrients!$U$8:$U$228)+(IF($A$7=Nutrients!$B$8,Nutrients!$U$8,Nutrients!$U$9)*U$7)+(((IF($A$8=Nutrients!$B$79,Nutrients!$U$79,(IF($A$8=Nutrients!$B$77,Nutrients!$U$77,Nutrients!$U$78)))))*U$8))/2000</f>
        <v>11.225089970453132</v>
      </c>
      <c r="W316" s="22">
        <f>(SUMPRODUCT(W$9:W$229,Nutrients!$U$8:$U$228)+(IF($A$7=Nutrients!$B$8,Nutrients!$U$8,Nutrients!$U$9)*W$7)+(((IF($A$8=Nutrients!$B$79,Nutrients!$U$79,(IF($A$8=Nutrients!$B$77,Nutrients!$U$77,Nutrients!$U$78)))))*W$8))/2000</f>
        <v>12.185356360200929</v>
      </c>
      <c r="X316" s="22">
        <f>(SUMPRODUCT(X$9:X$229,Nutrients!$U$8:$U$228)+(IF($A$7=Nutrients!$B$8,Nutrients!$U$8,Nutrients!$U$9)*X$7)+(((IF($A$8=Nutrients!$B$79,Nutrients!$U$79,(IF($A$8=Nutrients!$B$77,Nutrients!$U$77,Nutrients!$U$78)))))*X$8))/2000</f>
        <v>12.254543632340727</v>
      </c>
      <c r="Y316" s="22">
        <f>(SUMPRODUCT(Y$9:Y$229,Nutrients!$U$8:$U$228)+(IF($A$7=Nutrients!$B$8,Nutrients!$U$8,Nutrients!$U$9)*Y$7)+(((IF($A$8=Nutrients!$B$79,Nutrients!$U$79,(IF($A$8=Nutrients!$B$77,Nutrients!$U$77,Nutrients!$U$78)))))*Y$8))/2000</f>
        <v>12.317841435614078</v>
      </c>
      <c r="Z316" s="22">
        <f>(SUMPRODUCT(Z$9:Z$229,Nutrients!$U$8:$U$228)+(IF($A$7=Nutrients!$B$8,Nutrients!$U$8,Nutrients!$U$9)*Z$7)+(((IF($A$8=Nutrients!$B$79,Nutrients!$U$79,(IF($A$8=Nutrients!$B$77,Nutrients!$U$77,Nutrients!$U$78)))))*Z$8))/2000</f>
        <v>12.369726240015426</v>
      </c>
      <c r="AA316" s="22">
        <f>(SUMPRODUCT(AA$9:AA$229,Nutrients!$U$8:$U$228)+(IF($A$7=Nutrients!$B$8,Nutrients!$U$8,Nutrients!$U$9)*AA$7)+(((IF($A$8=Nutrients!$B$79,Nutrients!$U$79,(IF($A$8=Nutrients!$B$77,Nutrients!$U$77,Nutrients!$U$78)))))*AA$8))/2000</f>
        <v>12.408887678555427</v>
      </c>
      <c r="AB316" s="22">
        <f>(SUMPRODUCT(AB$9:AB$229,Nutrients!$U$8:$U$228)+(IF($A$7=Nutrients!$B$8,Nutrients!$U$8,Nutrients!$U$9)*AB$7)+(((IF($A$8=Nutrients!$B$79,Nutrients!$U$79,(IF($A$8=Nutrients!$B$77,Nutrients!$U$77,Nutrients!$U$78)))))*AB$8))/2000</f>
        <v>12.424831914256155</v>
      </c>
      <c r="AD316" s="22">
        <f>(SUMPRODUCT(AD$9:AD$229,Nutrients!$U$8:$U$228)+(IF($A$7=Nutrients!$B$8,Nutrients!$U$8,Nutrients!$U$9)*AD$7)+(((IF($A$8=Nutrients!$B$79,Nutrients!$U$79,(IF($A$8=Nutrients!$B$77,Nutrients!$U$77,Nutrients!$U$78)))))*AD$8))/2000</f>
        <v>13.389684396498479</v>
      </c>
      <c r="AE316" s="22">
        <f>(SUMPRODUCT(AE$9:AE$229,Nutrients!$U$8:$U$228)+(IF($A$7=Nutrients!$B$8,Nutrients!$U$8,Nutrients!$U$9)*AE$7)+(((IF($A$8=Nutrients!$B$79,Nutrients!$U$79,(IF($A$8=Nutrients!$B$77,Nutrients!$U$77,Nutrients!$U$78)))))*AE$8))/2000</f>
        <v>13.458825319044692</v>
      </c>
      <c r="AF316" s="22">
        <f>(SUMPRODUCT(AF$9:AF$229,Nutrients!$U$8:$U$228)+(IF($A$7=Nutrients!$B$8,Nutrients!$U$8,Nutrients!$U$9)*AF$7)+(((IF($A$8=Nutrients!$B$79,Nutrients!$U$79,(IF($A$8=Nutrients!$B$77,Nutrients!$U$77,Nutrients!$U$78)))))*AF$8))/2000</f>
        <v>13.521113018134308</v>
      </c>
      <c r="AG316" s="22">
        <f>(SUMPRODUCT(AG$9:AG$229,Nutrients!$U$8:$U$228)+(IF($A$7=Nutrients!$B$8,Nutrients!$U$8,Nutrients!$U$9)*AG$7)+(((IF($A$8=Nutrients!$B$79,Nutrients!$U$79,(IF($A$8=Nutrients!$B$77,Nutrients!$U$77,Nutrients!$U$78)))))*AG$8))/2000</f>
        <v>13.57134779375134</v>
      </c>
      <c r="AH316" s="22">
        <f>(SUMPRODUCT(AH$9:AH$229,Nutrients!$U$8:$U$228)+(IF($A$7=Nutrients!$B$8,Nutrients!$U$8,Nutrients!$U$9)*AH$7)+(((IF($A$8=Nutrients!$B$79,Nutrients!$U$79,(IF($A$8=Nutrients!$B$77,Nutrients!$U$77,Nutrients!$U$78)))))*AH$8))/2000</f>
        <v>13.604447749988939</v>
      </c>
      <c r="AI316" s="22">
        <f>(SUMPRODUCT(AI$9:AI$229,Nutrients!$U$8:$U$228)+(IF($A$7=Nutrients!$B$8,Nutrients!$U$8,Nutrients!$U$9)*AI$7)+(((IF($A$8=Nutrients!$B$79,Nutrients!$U$79,(IF($A$8=Nutrients!$B$77,Nutrients!$U$77,Nutrients!$U$78)))))*AI$8))/2000</f>
        <v>13.61816373490487</v>
      </c>
      <c r="AK316" s="22">
        <f>(SUMPRODUCT(AK$9:AK$229,Nutrients!$U$8:$U$228)+(IF($A$7=Nutrients!$B$8,Nutrients!$U$8,Nutrients!$U$9)*AK$7)+(((IF($A$8=Nutrients!$B$79,Nutrients!$U$79,(IF($A$8=Nutrients!$B$77,Nutrients!$U$77,Nutrients!$U$78)))))*AK$8))/2000</f>
        <v>14.593774151350882</v>
      </c>
      <c r="AL316" s="22">
        <f>(SUMPRODUCT(AL$9:AL$229,Nutrients!$U$8:$U$228)+(IF($A$7=Nutrients!$B$8,Nutrients!$U$8,Nutrients!$U$9)*AL$7)+(((IF($A$8=Nutrients!$B$79,Nutrients!$U$79,(IF($A$8=Nutrients!$B$77,Nutrients!$U$77,Nutrients!$U$78)))))*AL$8))/2000</f>
        <v>14.663268018628695</v>
      </c>
      <c r="AM316" s="22">
        <f>(SUMPRODUCT(AM$9:AM$229,Nutrients!$U$8:$U$228)+(IF($A$7=Nutrients!$B$8,Nutrients!$U$8,Nutrients!$U$9)*AM$7)+(((IF($A$8=Nutrients!$B$79,Nutrients!$U$79,(IF($A$8=Nutrients!$B$77,Nutrients!$U$77,Nutrients!$U$78)))))*AM$8))/2000</f>
        <v>14.7238353210697</v>
      </c>
      <c r="AN316" s="22">
        <f>(SUMPRODUCT(AN$9:AN$229,Nutrients!$U$8:$U$228)+(IF($A$7=Nutrients!$B$8,Nutrients!$U$8,Nutrients!$U$9)*AN$7)+(((IF($A$8=Nutrients!$B$79,Nutrients!$U$79,(IF($A$8=Nutrients!$B$77,Nutrients!$U$77,Nutrients!$U$78)))))*AN$8))/2000</f>
        <v>14.768356661511596</v>
      </c>
      <c r="AO316" s="22">
        <f>(SUMPRODUCT(AO$9:AO$229,Nutrients!$U$8:$U$228)+(IF($A$7=Nutrients!$B$8,Nutrients!$U$8,Nutrients!$U$9)*AO$7)+(((IF($A$8=Nutrients!$B$79,Nutrients!$U$79,(IF($A$8=Nutrients!$B$77,Nutrients!$U$77,Nutrients!$U$78)))))*AO$8))/2000</f>
        <v>14.797950353528863</v>
      </c>
      <c r="AP316" s="22">
        <f>(SUMPRODUCT(AP$9:AP$229,Nutrients!$U$8:$U$228)+(IF($A$7=Nutrients!$B$8,Nutrients!$U$8,Nutrients!$U$9)*AP$7)+(((IF($A$8=Nutrients!$B$79,Nutrients!$U$79,(IF($A$8=Nutrients!$B$77,Nutrients!$U$77,Nutrients!$U$78)))))*AP$8))/2000</f>
        <v>14.81154279850807</v>
      </c>
      <c r="AR316" s="22">
        <f>(SUMPRODUCT(AR$9:AR$229,Nutrients!$U$8:$U$228)+(IF($A$7=Nutrients!$B$8,Nutrients!$U$8,Nutrients!$U$9)*AR$7)+(((IF($A$8=Nutrients!$B$79,Nutrients!$U$79,(IF($A$8=Nutrients!$B$77,Nutrients!$U$77,Nutrients!$U$78)))))*AR$8))/2000</f>
        <v>15.79702735420287</v>
      </c>
      <c r="AS316" s="22">
        <f>(SUMPRODUCT(AS$9:AS$229,Nutrients!$U$8:$U$228)+(IF($A$7=Nutrients!$B$8,Nutrients!$U$8,Nutrients!$U$9)*AS$7)+(((IF($A$8=Nutrients!$B$79,Nutrients!$U$79,(IF($A$8=Nutrients!$B$77,Nutrients!$U$77,Nutrients!$U$78)))))*AS$8))/2000</f>
        <v>15.866941276993494</v>
      </c>
      <c r="AT316" s="22">
        <f>(SUMPRODUCT(AT$9:AT$229,Nutrients!$U$8:$U$228)+(IF($A$7=Nutrients!$B$8,Nutrients!$U$8,Nutrients!$U$9)*AT$7)+(((IF($A$8=Nutrients!$B$79,Nutrients!$U$79,(IF($A$8=Nutrients!$B$77,Nutrients!$U$77,Nutrients!$U$78)))))*AT$8))/2000</f>
        <v>15.925720783253233</v>
      </c>
      <c r="AU316" s="22">
        <f>(SUMPRODUCT(AU$9:AU$229,Nutrients!$U$8:$U$228)+(IF($A$7=Nutrients!$B$8,Nutrients!$U$8,Nutrients!$U$9)*AU$7)+(((IF($A$8=Nutrients!$B$79,Nutrients!$U$79,(IF($A$8=Nutrients!$B$77,Nutrients!$U$77,Nutrients!$U$78)))))*AU$8))/2000</f>
        <v>15.961970881073496</v>
      </c>
      <c r="AV316" s="22">
        <f>(SUMPRODUCT(AV$9:AV$229,Nutrients!$U$8:$U$228)+(IF($A$7=Nutrients!$B$8,Nutrients!$U$8,Nutrients!$U$9)*AV$7)+(((IF($A$8=Nutrients!$B$79,Nutrients!$U$79,(IF($A$8=Nutrients!$B$77,Nutrients!$U$77,Nutrients!$U$78)))))*AV$8))/2000</f>
        <v>15.991450111960036</v>
      </c>
      <c r="AW316" s="22">
        <f>(SUMPRODUCT(AW$9:AW$229,Nutrients!$U$8:$U$228)+(IF($A$7=Nutrients!$B$8,Nutrients!$U$8,Nutrients!$U$9)*AW$7)+(((IF($A$8=Nutrients!$B$79,Nutrients!$U$79,(IF($A$8=Nutrients!$B$77,Nutrients!$U$77,Nutrients!$U$78)))))*AW$8))/2000</f>
        <v>16.004920627904681</v>
      </c>
    </row>
    <row r="317" spans="1:49" x14ac:dyDescent="0.25">
      <c r="A317" s="34" t="s">
        <v>416</v>
      </c>
      <c r="B317" s="23">
        <f t="shared" ref="B317:G317" si="211">B236/B253*100</f>
        <v>6.1785853391259096</v>
      </c>
      <c r="C317" s="23">
        <f t="shared" si="211"/>
        <v>5.9864354833614239</v>
      </c>
      <c r="D317" s="23">
        <f t="shared" si="211"/>
        <v>5.7595132677868364</v>
      </c>
      <c r="E317" s="23">
        <f t="shared" si="211"/>
        <v>5.6037683275620731</v>
      </c>
      <c r="F317" s="23">
        <f t="shared" si="211"/>
        <v>5.5537986803701944</v>
      </c>
      <c r="G317" s="23">
        <f t="shared" si="211"/>
        <v>5.52175985110991</v>
      </c>
      <c r="H317" s="227"/>
      <c r="I317" s="23">
        <f t="shared" ref="I317:N317" si="212">I236/I253*100</f>
        <v>6.0439016493390048</v>
      </c>
      <c r="J317" s="23">
        <f t="shared" si="212"/>
        <v>5.8420803911481061</v>
      </c>
      <c r="K317" s="23">
        <f t="shared" si="212"/>
        <v>5.605335311772957</v>
      </c>
      <c r="L317" s="23">
        <f t="shared" si="212"/>
        <v>5.4405545839128377</v>
      </c>
      <c r="M317" s="23">
        <f t="shared" si="212"/>
        <v>5.3796023106898971</v>
      </c>
      <c r="N317" s="23">
        <f t="shared" si="212"/>
        <v>5.3389123363934567</v>
      </c>
      <c r="O317" s="235"/>
      <c r="P317" s="23">
        <f t="shared" ref="P317:U317" si="213">P236/P253*100</f>
        <v>5.9127458106201107</v>
      </c>
      <c r="Q317" s="23">
        <f t="shared" si="213"/>
        <v>5.7013734026617886</v>
      </c>
      <c r="R317" s="23">
        <f t="shared" si="213"/>
        <v>5.4580366643530507</v>
      </c>
      <c r="S317" s="23">
        <f t="shared" si="213"/>
        <v>5.2830027473563659</v>
      </c>
      <c r="T317" s="23">
        <f t="shared" si="213"/>
        <v>5.2118178311893315</v>
      </c>
      <c r="U317" s="23">
        <f t="shared" si="213"/>
        <v>5.1653743846333624</v>
      </c>
      <c r="W317" s="23">
        <f t="shared" ref="W317:AB317" si="214">W236/W253*100</f>
        <v>5.7849621287241995</v>
      </c>
      <c r="X317" s="23">
        <f t="shared" si="214"/>
        <v>5.5657287880140025</v>
      </c>
      <c r="Y317" s="23">
        <f t="shared" si="214"/>
        <v>5.3147206859021301</v>
      </c>
      <c r="Z317" s="23">
        <f t="shared" si="214"/>
        <v>5.1312210182423392</v>
      </c>
      <c r="AA317" s="23">
        <f t="shared" si="214"/>
        <v>5.048535432215064</v>
      </c>
      <c r="AB317" s="23">
        <f t="shared" si="214"/>
        <v>4.9967491855053492</v>
      </c>
      <c r="AD317" s="23">
        <f t="shared" ref="AD317:AI317" si="215">AD236/AD253*100</f>
        <v>5.6602063231134485</v>
      </c>
      <c r="AE317" s="23">
        <f t="shared" si="215"/>
        <v>5.4331367695898285</v>
      </c>
      <c r="AF317" s="23">
        <f t="shared" si="215"/>
        <v>5.1757878824371488</v>
      </c>
      <c r="AG317" s="23">
        <f t="shared" si="215"/>
        <v>4.9835141907946516</v>
      </c>
      <c r="AH317" s="23">
        <f t="shared" si="215"/>
        <v>4.8931944699487442</v>
      </c>
      <c r="AI317" s="23">
        <f t="shared" si="215"/>
        <v>4.8367993004670655</v>
      </c>
      <c r="AK317" s="23">
        <f t="shared" ref="AK317:AP317" si="216">AK236/AK253*100</f>
        <v>5.5391118493769254</v>
      </c>
      <c r="AL317" s="23">
        <f t="shared" si="216"/>
        <v>5.3055885129326086</v>
      </c>
      <c r="AM317" s="23">
        <f t="shared" si="216"/>
        <v>5.0412799420943868</v>
      </c>
      <c r="AN317" s="23">
        <f t="shared" si="216"/>
        <v>4.8424321394054859</v>
      </c>
      <c r="AO317" s="23">
        <f t="shared" si="216"/>
        <v>4.7449704840407652</v>
      </c>
      <c r="AP317" s="23">
        <f t="shared" si="216"/>
        <v>4.6843671769652344</v>
      </c>
      <c r="AR317" s="23">
        <f t="shared" ref="AR317:AW317" si="217">AR236/AR253*100</f>
        <v>5.4233502423310584</v>
      </c>
      <c r="AS317" s="23">
        <f t="shared" si="217"/>
        <v>5.1805199555219588</v>
      </c>
      <c r="AT317" s="23">
        <f t="shared" si="217"/>
        <v>4.9109928286313362</v>
      </c>
      <c r="AU317" s="23">
        <f t="shared" si="217"/>
        <v>4.7072293680635768</v>
      </c>
      <c r="AV317" s="23">
        <f t="shared" si="217"/>
        <v>4.6030984155535872</v>
      </c>
      <c r="AW317" s="23">
        <f t="shared" si="217"/>
        <v>4.538820860645699</v>
      </c>
    </row>
    <row r="318" spans="1:49" x14ac:dyDescent="0.25">
      <c r="A318" s="34" t="s">
        <v>120</v>
      </c>
      <c r="O318" s="198"/>
    </row>
    <row r="319" spans="1:49" x14ac:dyDescent="0.25">
      <c r="A319" s="34" t="s">
        <v>112</v>
      </c>
      <c r="B319" s="21">
        <f>(SUMPRODUCT(B$9:B$229,Nutrients!$EK$8:$EK$228)+(IF($A$7=Nutrients!$B$8,Nutrients!$EK$8,Nutrients!$EK$9)*B$7)+(((IF($A$8=Nutrients!$B$79,Nutrients!$EK$79,(IF($A$8=Nutrients!$B$77,Nutrients!$EK$77,Nutrients!$EK$78)))))*B$8))/2000*1000000</f>
        <v>110.11950000000002</v>
      </c>
      <c r="C319" s="21">
        <f>(SUMPRODUCT(C$9:C$229,Nutrients!$EK$8:$EK$228)+(IF($A$7=Nutrients!$B$8,Nutrients!$EK$8,Nutrients!$EK$9)*C$7)+(((IF($A$8=Nutrients!$B$79,Nutrients!$EK$79,(IF($A$8=Nutrients!$B$77,Nutrients!$EK$77,Nutrients!$EK$78)))))*C$8))/2000*1000000</f>
        <v>110.11950000000002</v>
      </c>
      <c r="D319" s="21">
        <f>(SUMPRODUCT(D$9:D$229,Nutrients!$EK$8:$EK$228)+(IF($A$7=Nutrients!$B$8,Nutrients!$EK$8,Nutrients!$EK$9)*D$7)+(((IF($A$8=Nutrients!$B$79,Nutrients!$EK$79,(IF($A$8=Nutrients!$B$77,Nutrients!$EK$77,Nutrients!$EK$78)))))*D$8))/2000*1000000</f>
        <v>91.766249999999999</v>
      </c>
      <c r="E319" s="21">
        <f>(SUMPRODUCT(E$9:E$229,Nutrients!$EK$8:$EK$228)+(IF($A$7=Nutrients!$B$8,Nutrients!$EK$8,Nutrients!$EK$9)*E$7)+(((IF($A$8=Nutrients!$B$79,Nutrients!$EK$79,(IF($A$8=Nutrients!$B$77,Nutrients!$EK$77,Nutrients!$EK$78)))))*E$8))/2000*1000000</f>
        <v>73.413000000000011</v>
      </c>
      <c r="F319" s="21">
        <f>(SUMPRODUCT(F$9:F$229,Nutrients!$EK$8:$EK$228)+(IF($A$7=Nutrients!$B$8,Nutrients!$EK$8,Nutrients!$EK$9)*F$7)+(((IF($A$8=Nutrients!$B$79,Nutrients!$EK$79,(IF($A$8=Nutrients!$B$77,Nutrients!$EK$77,Nutrients!$EK$78)))))*F$8))/2000*1000000</f>
        <v>55.059750000000008</v>
      </c>
      <c r="G319" s="21">
        <f>(SUMPRODUCT(G$9:G$229,Nutrients!$EK$8:$EK$228)+(IF($A$7=Nutrients!$B$8,Nutrients!$EK$8,Nutrients!$EK$9)*G$7)+(((IF($A$8=Nutrients!$B$79,Nutrients!$EK$79,(IF($A$8=Nutrients!$B$77,Nutrients!$EK$77,Nutrients!$EK$78)))))*G$8))/2000*1000000</f>
        <v>55.059750000000008</v>
      </c>
      <c r="H319" s="226"/>
      <c r="I319" s="21">
        <f>(SUMPRODUCT(I$9:I$229,Nutrients!$EK$8:$EK$228)+(IF($A$7=Nutrients!$B$8,Nutrients!$EK$8,Nutrients!$EK$9)*I$7)+(((IF($A$8=Nutrients!$B$79,Nutrients!$EK$79,(IF($A$8=Nutrients!$B$77,Nutrients!$EK$77,Nutrients!$EK$78)))))*I$8))/2000*1000000</f>
        <v>110.11950000000002</v>
      </c>
      <c r="J319" s="21">
        <f>(SUMPRODUCT(J$9:J$229,Nutrients!$EK$8:$EK$228)+(IF($A$7=Nutrients!$B$8,Nutrients!$EK$8,Nutrients!$EK$9)*J$7)+(((IF($A$8=Nutrients!$B$79,Nutrients!$EK$79,(IF($A$8=Nutrients!$B$77,Nutrients!$EK$77,Nutrients!$EK$78)))))*J$8))/2000*1000000</f>
        <v>110.11950000000002</v>
      </c>
      <c r="K319" s="21">
        <f>(SUMPRODUCT(K$9:K$229,Nutrients!$EK$8:$EK$228)+(IF($A$7=Nutrients!$B$8,Nutrients!$EK$8,Nutrients!$EK$9)*K$7)+(((IF($A$8=Nutrients!$B$79,Nutrients!$EK$79,(IF($A$8=Nutrients!$B$77,Nutrients!$EK$77,Nutrients!$EK$78)))))*K$8))/2000*1000000</f>
        <v>91.766249999999999</v>
      </c>
      <c r="L319" s="21">
        <f>(SUMPRODUCT(L$9:L$229,Nutrients!$EK$8:$EK$228)+(IF($A$7=Nutrients!$B$8,Nutrients!$EK$8,Nutrients!$EK$9)*L$7)+(((IF($A$8=Nutrients!$B$79,Nutrients!$EK$79,(IF($A$8=Nutrients!$B$77,Nutrients!$EK$77,Nutrients!$EK$78)))))*L$8))/2000*1000000</f>
        <v>73.413000000000011</v>
      </c>
      <c r="M319" s="21">
        <f>(SUMPRODUCT(M$9:M$229,Nutrients!$EK$8:$EK$228)+(IF($A$7=Nutrients!$B$8,Nutrients!$EK$8,Nutrients!$EK$9)*M$7)+(((IF($A$8=Nutrients!$B$79,Nutrients!$EK$79,(IF($A$8=Nutrients!$B$77,Nutrients!$EK$77,Nutrients!$EK$78)))))*M$8))/2000*1000000</f>
        <v>55.059750000000008</v>
      </c>
      <c r="N319" s="21">
        <f>(SUMPRODUCT(N$9:N$229,Nutrients!$EK$8:$EK$228)+(IF($A$7=Nutrients!$B$8,Nutrients!$EK$8,Nutrients!$EK$9)*N$7)+(((IF($A$8=Nutrients!$B$79,Nutrients!$EK$79,(IF($A$8=Nutrients!$B$77,Nutrients!$EK$77,Nutrients!$EK$78)))))*N$8))/2000*1000000</f>
        <v>55.059750000000008</v>
      </c>
      <c r="P319" s="21">
        <f>(SUMPRODUCT(P$9:P$229,Nutrients!$EK$8:$EK$228)+(IF($A$7=Nutrients!$B$8,Nutrients!$EK$8,Nutrients!$EK$9)*P$7)+(((IF($A$8=Nutrients!$B$79,Nutrients!$EK$79,(IF($A$8=Nutrients!$B$77,Nutrients!$EK$77,Nutrients!$EK$78)))))*P$8))/2000*1000000</f>
        <v>110.11950000000002</v>
      </c>
      <c r="Q319" s="21">
        <f>(SUMPRODUCT(Q$9:Q$229,Nutrients!$EK$8:$EK$228)+(IF($A$7=Nutrients!$B$8,Nutrients!$EK$8,Nutrients!$EK$9)*Q$7)+(((IF($A$8=Nutrients!$B$79,Nutrients!$EK$79,(IF($A$8=Nutrients!$B$77,Nutrients!$EK$77,Nutrients!$EK$78)))))*Q$8))/2000*1000000</f>
        <v>110.11950000000002</v>
      </c>
      <c r="R319" s="21">
        <f>(SUMPRODUCT(R$9:R$229,Nutrients!$EK$8:$EK$228)+(IF($A$7=Nutrients!$B$8,Nutrients!$EK$8,Nutrients!$EK$9)*R$7)+(((IF($A$8=Nutrients!$B$79,Nutrients!$EK$79,(IF($A$8=Nutrients!$B$77,Nutrients!$EK$77,Nutrients!$EK$78)))))*R$8))/2000*1000000</f>
        <v>91.766249999999999</v>
      </c>
      <c r="S319" s="21">
        <f>(SUMPRODUCT(S$9:S$229,Nutrients!$EK$8:$EK$228)+(IF($A$7=Nutrients!$B$8,Nutrients!$EK$8,Nutrients!$EK$9)*S$7)+(((IF($A$8=Nutrients!$B$79,Nutrients!$EK$79,(IF($A$8=Nutrients!$B$77,Nutrients!$EK$77,Nutrients!$EK$78)))))*S$8))/2000*1000000</f>
        <v>73.413000000000011</v>
      </c>
      <c r="T319" s="21">
        <f>(SUMPRODUCT(T$9:T$229,Nutrients!$EK$8:$EK$228)+(IF($A$7=Nutrients!$B$8,Nutrients!$EK$8,Nutrients!$EK$9)*T$7)+(((IF($A$8=Nutrients!$B$79,Nutrients!$EK$79,(IF($A$8=Nutrients!$B$77,Nutrients!$EK$77,Nutrients!$EK$78)))))*T$8))/2000*1000000</f>
        <v>55.059750000000008</v>
      </c>
      <c r="U319" s="21">
        <f>(SUMPRODUCT(U$9:U$229,Nutrients!$EK$8:$EK$228)+(IF($A$7=Nutrients!$B$8,Nutrients!$EK$8,Nutrients!$EK$9)*U$7)+(((IF($A$8=Nutrients!$B$79,Nutrients!$EK$79,(IF($A$8=Nutrients!$B$77,Nutrients!$EK$77,Nutrients!$EK$78)))))*U$8))/2000*1000000</f>
        <v>55.059750000000008</v>
      </c>
      <c r="W319" s="21">
        <f>(SUMPRODUCT(W$9:W$229,Nutrients!$EK$8:$EK$228)+(IF($A$7=Nutrients!$B$8,Nutrients!$EK$8,Nutrients!$EK$9)*W$7)+(((IF($A$8=Nutrients!$B$79,Nutrients!$EK$79,(IF($A$8=Nutrients!$B$77,Nutrients!$EK$77,Nutrients!$EK$78)))))*W$8))/2000*1000000</f>
        <v>110.11950000000002</v>
      </c>
      <c r="X319" s="21">
        <f>(SUMPRODUCT(X$9:X$229,Nutrients!$EK$8:$EK$228)+(IF($A$7=Nutrients!$B$8,Nutrients!$EK$8,Nutrients!$EK$9)*X$7)+(((IF($A$8=Nutrients!$B$79,Nutrients!$EK$79,(IF($A$8=Nutrients!$B$77,Nutrients!$EK$77,Nutrients!$EK$78)))))*X$8))/2000*1000000</f>
        <v>110.11950000000002</v>
      </c>
      <c r="Y319" s="21">
        <f>(SUMPRODUCT(Y$9:Y$229,Nutrients!$EK$8:$EK$228)+(IF($A$7=Nutrients!$B$8,Nutrients!$EK$8,Nutrients!$EK$9)*Y$7)+(((IF($A$8=Nutrients!$B$79,Nutrients!$EK$79,(IF($A$8=Nutrients!$B$77,Nutrients!$EK$77,Nutrients!$EK$78)))))*Y$8))/2000*1000000</f>
        <v>91.766249999999999</v>
      </c>
      <c r="Z319" s="21">
        <f>(SUMPRODUCT(Z$9:Z$229,Nutrients!$EK$8:$EK$228)+(IF($A$7=Nutrients!$B$8,Nutrients!$EK$8,Nutrients!$EK$9)*Z$7)+(((IF($A$8=Nutrients!$B$79,Nutrients!$EK$79,(IF($A$8=Nutrients!$B$77,Nutrients!$EK$77,Nutrients!$EK$78)))))*Z$8))/2000*1000000</f>
        <v>73.413000000000011</v>
      </c>
      <c r="AA319" s="21">
        <f>(SUMPRODUCT(AA$9:AA$229,Nutrients!$EK$8:$EK$228)+(IF($A$7=Nutrients!$B$8,Nutrients!$EK$8,Nutrients!$EK$9)*AA$7)+(((IF($A$8=Nutrients!$B$79,Nutrients!$EK$79,(IF($A$8=Nutrients!$B$77,Nutrients!$EK$77,Nutrients!$EK$78)))))*AA$8))/2000*1000000</f>
        <v>55.059750000000008</v>
      </c>
      <c r="AB319" s="21">
        <f>(SUMPRODUCT(AB$9:AB$229,Nutrients!$EK$8:$EK$228)+(IF($A$7=Nutrients!$B$8,Nutrients!$EK$8,Nutrients!$EK$9)*AB$7)+(((IF($A$8=Nutrients!$B$79,Nutrients!$EK$79,(IF($A$8=Nutrients!$B$77,Nutrients!$EK$77,Nutrients!$EK$78)))))*AB$8))/2000*1000000</f>
        <v>55.059750000000008</v>
      </c>
      <c r="AD319" s="21">
        <f>(SUMPRODUCT(AD$9:AD$229,Nutrients!$EK$8:$EK$228)+(IF($A$7=Nutrients!$B$8,Nutrients!$EK$8,Nutrients!$EK$9)*AD$7)+(((IF($A$8=Nutrients!$B$79,Nutrients!$EK$79,(IF($A$8=Nutrients!$B$77,Nutrients!$EK$77,Nutrients!$EK$78)))))*AD$8))/2000*1000000</f>
        <v>110.11950000000002</v>
      </c>
      <c r="AE319" s="21">
        <f>(SUMPRODUCT(AE$9:AE$229,Nutrients!$EK$8:$EK$228)+(IF($A$7=Nutrients!$B$8,Nutrients!$EK$8,Nutrients!$EK$9)*AE$7)+(((IF($A$8=Nutrients!$B$79,Nutrients!$EK$79,(IF($A$8=Nutrients!$B$77,Nutrients!$EK$77,Nutrients!$EK$78)))))*AE$8))/2000*1000000</f>
        <v>110.11950000000002</v>
      </c>
      <c r="AF319" s="21">
        <f>(SUMPRODUCT(AF$9:AF$229,Nutrients!$EK$8:$EK$228)+(IF($A$7=Nutrients!$B$8,Nutrients!$EK$8,Nutrients!$EK$9)*AF$7)+(((IF($A$8=Nutrients!$B$79,Nutrients!$EK$79,(IF($A$8=Nutrients!$B$77,Nutrients!$EK$77,Nutrients!$EK$78)))))*AF$8))/2000*1000000</f>
        <v>91.766249999999999</v>
      </c>
      <c r="AG319" s="21">
        <f>(SUMPRODUCT(AG$9:AG$229,Nutrients!$EK$8:$EK$228)+(IF($A$7=Nutrients!$B$8,Nutrients!$EK$8,Nutrients!$EK$9)*AG$7)+(((IF($A$8=Nutrients!$B$79,Nutrients!$EK$79,(IF($A$8=Nutrients!$B$77,Nutrients!$EK$77,Nutrients!$EK$78)))))*AG$8))/2000*1000000</f>
        <v>73.413000000000011</v>
      </c>
      <c r="AH319" s="21">
        <f>(SUMPRODUCT(AH$9:AH$229,Nutrients!$EK$8:$EK$228)+(IF($A$7=Nutrients!$B$8,Nutrients!$EK$8,Nutrients!$EK$9)*AH$7)+(((IF($A$8=Nutrients!$B$79,Nutrients!$EK$79,(IF($A$8=Nutrients!$B$77,Nutrients!$EK$77,Nutrients!$EK$78)))))*AH$8))/2000*1000000</f>
        <v>55.059750000000008</v>
      </c>
      <c r="AI319" s="21">
        <f>(SUMPRODUCT(AI$9:AI$229,Nutrients!$EK$8:$EK$228)+(IF($A$7=Nutrients!$B$8,Nutrients!$EK$8,Nutrients!$EK$9)*AI$7)+(((IF($A$8=Nutrients!$B$79,Nutrients!$EK$79,(IF($A$8=Nutrients!$B$77,Nutrients!$EK$77,Nutrients!$EK$78)))))*AI$8))/2000*1000000</f>
        <v>55.059750000000008</v>
      </c>
      <c r="AK319" s="21">
        <f>(SUMPRODUCT(AK$9:AK$229,Nutrients!$EK$8:$EK$228)+(IF($A$7=Nutrients!$B$8,Nutrients!$EK$8,Nutrients!$EK$9)*AK$7)+(((IF($A$8=Nutrients!$B$79,Nutrients!$EK$79,(IF($A$8=Nutrients!$B$77,Nutrients!$EK$77,Nutrients!$EK$78)))))*AK$8))/2000*1000000</f>
        <v>110.11950000000002</v>
      </c>
      <c r="AL319" s="21">
        <f>(SUMPRODUCT(AL$9:AL$229,Nutrients!$EK$8:$EK$228)+(IF($A$7=Nutrients!$B$8,Nutrients!$EK$8,Nutrients!$EK$9)*AL$7)+(((IF($A$8=Nutrients!$B$79,Nutrients!$EK$79,(IF($A$8=Nutrients!$B$77,Nutrients!$EK$77,Nutrients!$EK$78)))))*AL$8))/2000*1000000</f>
        <v>110.11950000000002</v>
      </c>
      <c r="AM319" s="21">
        <f>(SUMPRODUCT(AM$9:AM$229,Nutrients!$EK$8:$EK$228)+(IF($A$7=Nutrients!$B$8,Nutrients!$EK$8,Nutrients!$EK$9)*AM$7)+(((IF($A$8=Nutrients!$B$79,Nutrients!$EK$79,(IF($A$8=Nutrients!$B$77,Nutrients!$EK$77,Nutrients!$EK$78)))))*AM$8))/2000*1000000</f>
        <v>91.766249999999999</v>
      </c>
      <c r="AN319" s="21">
        <f>(SUMPRODUCT(AN$9:AN$229,Nutrients!$EK$8:$EK$228)+(IF($A$7=Nutrients!$B$8,Nutrients!$EK$8,Nutrients!$EK$9)*AN$7)+(((IF($A$8=Nutrients!$B$79,Nutrients!$EK$79,(IF($A$8=Nutrients!$B$77,Nutrients!$EK$77,Nutrients!$EK$78)))))*AN$8))/2000*1000000</f>
        <v>73.413000000000011</v>
      </c>
      <c r="AO319" s="21">
        <f>(SUMPRODUCT(AO$9:AO$229,Nutrients!$EK$8:$EK$228)+(IF($A$7=Nutrients!$B$8,Nutrients!$EK$8,Nutrients!$EK$9)*AO$7)+(((IF($A$8=Nutrients!$B$79,Nutrients!$EK$79,(IF($A$8=Nutrients!$B$77,Nutrients!$EK$77,Nutrients!$EK$78)))))*AO$8))/2000*1000000</f>
        <v>55.059750000000008</v>
      </c>
      <c r="AP319" s="21">
        <f>(SUMPRODUCT(AP$9:AP$229,Nutrients!$EK$8:$EK$228)+(IF($A$7=Nutrients!$B$8,Nutrients!$EK$8,Nutrients!$EK$9)*AP$7)+(((IF($A$8=Nutrients!$B$79,Nutrients!$EK$79,(IF($A$8=Nutrients!$B$77,Nutrients!$EK$77,Nutrients!$EK$78)))))*AP$8))/2000*1000000</f>
        <v>55.059750000000008</v>
      </c>
      <c r="AR319" s="21">
        <f>(SUMPRODUCT(AR$9:AR$229,Nutrients!$EK$8:$EK$228)+(IF($A$7=Nutrients!$B$8,Nutrients!$EK$8,Nutrients!$EK$9)*AR$7)+(((IF($A$8=Nutrients!$B$79,Nutrients!$EK$79,(IF($A$8=Nutrients!$B$77,Nutrients!$EK$77,Nutrients!$EK$78)))))*AR$8))/2000*1000000</f>
        <v>110.11950000000002</v>
      </c>
      <c r="AS319" s="21">
        <f>(SUMPRODUCT(AS$9:AS$229,Nutrients!$EK$8:$EK$228)+(IF($A$7=Nutrients!$B$8,Nutrients!$EK$8,Nutrients!$EK$9)*AS$7)+(((IF($A$8=Nutrients!$B$79,Nutrients!$EK$79,(IF($A$8=Nutrients!$B$77,Nutrients!$EK$77,Nutrients!$EK$78)))))*AS$8))/2000*1000000</f>
        <v>110.11950000000002</v>
      </c>
      <c r="AT319" s="21">
        <f>(SUMPRODUCT(AT$9:AT$229,Nutrients!$EK$8:$EK$228)+(IF($A$7=Nutrients!$B$8,Nutrients!$EK$8,Nutrients!$EK$9)*AT$7)+(((IF($A$8=Nutrients!$B$79,Nutrients!$EK$79,(IF($A$8=Nutrients!$B$77,Nutrients!$EK$77,Nutrients!$EK$78)))))*AT$8))/2000*1000000</f>
        <v>91.766249999999999</v>
      </c>
      <c r="AU319" s="21">
        <f>(SUMPRODUCT(AU$9:AU$229,Nutrients!$EK$8:$EK$228)+(IF($A$7=Nutrients!$B$8,Nutrients!$EK$8,Nutrients!$EK$9)*AU$7)+(((IF($A$8=Nutrients!$B$79,Nutrients!$EK$79,(IF($A$8=Nutrients!$B$77,Nutrients!$EK$77,Nutrients!$EK$78)))))*AU$8))/2000*1000000</f>
        <v>73.413000000000011</v>
      </c>
      <c r="AV319" s="21">
        <f>(SUMPRODUCT(AV$9:AV$229,Nutrients!$EK$8:$EK$228)+(IF($A$7=Nutrients!$B$8,Nutrients!$EK$8,Nutrients!$EK$9)*AV$7)+(((IF($A$8=Nutrients!$B$79,Nutrients!$EK$79,(IF($A$8=Nutrients!$B$77,Nutrients!$EK$77,Nutrients!$EK$78)))))*AV$8))/2000*1000000</f>
        <v>55.059750000000008</v>
      </c>
      <c r="AW319" s="21">
        <f>(SUMPRODUCT(AW$9:AW$229,Nutrients!$EK$8:$EK$228)+(IF($A$7=Nutrients!$B$8,Nutrients!$EK$8,Nutrients!$EK$9)*AW$7)+(((IF($A$8=Nutrients!$B$79,Nutrients!$EK$79,(IF($A$8=Nutrients!$B$77,Nutrients!$EK$77,Nutrients!$EK$78)))))*AW$8))/2000*1000000</f>
        <v>55.059750000000008</v>
      </c>
    </row>
    <row r="320" spans="1:49" x14ac:dyDescent="0.25">
      <c r="A320" s="34" t="s">
        <v>113</v>
      </c>
      <c r="B320" s="21">
        <f>(SUMPRODUCT(B$9:B$229,Nutrients!$EL$8:$EL$228)+(IF($A$7=Nutrients!$B$8,Nutrients!$EL$8,Nutrients!$EL$9)*B$7)+(((IF($A$8=Nutrients!$B$79,Nutrients!$EL$79,(IF($A$8=Nutrients!$B$77,Nutrients!$EL$77,Nutrients!$EL$78)))))*B$8))/2000*1000000</f>
        <v>110.11950000000002</v>
      </c>
      <c r="C320" s="21">
        <f>(SUMPRODUCT(C$9:C$229,Nutrients!$EL$8:$EL$228)+(IF($A$7=Nutrients!$B$8,Nutrients!$EL$8,Nutrients!$EL$9)*C$7)+(((IF($A$8=Nutrients!$B$79,Nutrients!$EL$79,(IF($A$8=Nutrients!$B$77,Nutrients!$EL$77,Nutrients!$EL$78)))))*C$8))/2000*1000000</f>
        <v>110.11950000000002</v>
      </c>
      <c r="D320" s="21">
        <f>(SUMPRODUCT(D$9:D$229,Nutrients!$EL$8:$EL$228)+(IF($A$7=Nutrients!$B$8,Nutrients!$EL$8,Nutrients!$EL$9)*D$7)+(((IF($A$8=Nutrients!$B$79,Nutrients!$EL$79,(IF($A$8=Nutrients!$B$77,Nutrients!$EL$77,Nutrients!$EL$78)))))*D$8))/2000*1000000</f>
        <v>91.766249999999999</v>
      </c>
      <c r="E320" s="21">
        <f>(SUMPRODUCT(E$9:E$229,Nutrients!$EL$8:$EL$228)+(IF($A$7=Nutrients!$B$8,Nutrients!$EL$8,Nutrients!$EL$9)*E$7)+(((IF($A$8=Nutrients!$B$79,Nutrients!$EL$79,(IF($A$8=Nutrients!$B$77,Nutrients!$EL$77,Nutrients!$EL$78)))))*E$8))/2000*1000000</f>
        <v>73.413000000000011</v>
      </c>
      <c r="F320" s="21">
        <f>(SUMPRODUCT(F$9:F$229,Nutrients!$EL$8:$EL$228)+(IF($A$7=Nutrients!$B$8,Nutrients!$EL$8,Nutrients!$EL$9)*F$7)+(((IF($A$8=Nutrients!$B$79,Nutrients!$EL$79,(IF($A$8=Nutrients!$B$77,Nutrients!$EL$77,Nutrients!$EL$78)))))*F$8))/2000*1000000</f>
        <v>55.059750000000008</v>
      </c>
      <c r="G320" s="21">
        <f>(SUMPRODUCT(G$9:G$229,Nutrients!$EL$8:$EL$228)+(IF($A$7=Nutrients!$B$8,Nutrients!$EL$8,Nutrients!$EL$9)*G$7)+(((IF($A$8=Nutrients!$B$79,Nutrients!$EL$79,(IF($A$8=Nutrients!$B$77,Nutrients!$EL$77,Nutrients!$EL$78)))))*G$8))/2000*1000000</f>
        <v>55.059750000000008</v>
      </c>
      <c r="H320" s="226"/>
      <c r="I320" s="21">
        <f>(SUMPRODUCT(I$9:I$229,Nutrients!$EL$8:$EL$228)+(IF($A$7=Nutrients!$B$8,Nutrients!$EL$8,Nutrients!$EL$9)*I$7)+(((IF($A$8=Nutrients!$B$79,Nutrients!$EL$79,(IF($A$8=Nutrients!$B$77,Nutrients!$EL$77,Nutrients!$EL$78)))))*I$8))/2000*1000000</f>
        <v>110.11950000000002</v>
      </c>
      <c r="J320" s="21">
        <f>(SUMPRODUCT(J$9:J$229,Nutrients!$EL$8:$EL$228)+(IF($A$7=Nutrients!$B$8,Nutrients!$EL$8,Nutrients!$EL$9)*J$7)+(((IF($A$8=Nutrients!$B$79,Nutrients!$EL$79,(IF($A$8=Nutrients!$B$77,Nutrients!$EL$77,Nutrients!$EL$78)))))*J$8))/2000*1000000</f>
        <v>110.11950000000002</v>
      </c>
      <c r="K320" s="21">
        <f>(SUMPRODUCT(K$9:K$229,Nutrients!$EL$8:$EL$228)+(IF($A$7=Nutrients!$B$8,Nutrients!$EL$8,Nutrients!$EL$9)*K$7)+(((IF($A$8=Nutrients!$B$79,Nutrients!$EL$79,(IF($A$8=Nutrients!$B$77,Nutrients!$EL$77,Nutrients!$EL$78)))))*K$8))/2000*1000000</f>
        <v>91.766249999999999</v>
      </c>
      <c r="L320" s="21">
        <f>(SUMPRODUCT(L$9:L$229,Nutrients!$EL$8:$EL$228)+(IF($A$7=Nutrients!$B$8,Nutrients!$EL$8,Nutrients!$EL$9)*L$7)+(((IF($A$8=Nutrients!$B$79,Nutrients!$EL$79,(IF($A$8=Nutrients!$B$77,Nutrients!$EL$77,Nutrients!$EL$78)))))*L$8))/2000*1000000</f>
        <v>73.413000000000011</v>
      </c>
      <c r="M320" s="21">
        <f>(SUMPRODUCT(M$9:M$229,Nutrients!$EL$8:$EL$228)+(IF($A$7=Nutrients!$B$8,Nutrients!$EL$8,Nutrients!$EL$9)*M$7)+(((IF($A$8=Nutrients!$B$79,Nutrients!$EL$79,(IF($A$8=Nutrients!$B$77,Nutrients!$EL$77,Nutrients!$EL$78)))))*M$8))/2000*1000000</f>
        <v>55.059750000000008</v>
      </c>
      <c r="N320" s="21">
        <f>(SUMPRODUCT(N$9:N$229,Nutrients!$EL$8:$EL$228)+(IF($A$7=Nutrients!$B$8,Nutrients!$EL$8,Nutrients!$EL$9)*N$7)+(((IF($A$8=Nutrients!$B$79,Nutrients!$EL$79,(IF($A$8=Nutrients!$B$77,Nutrients!$EL$77,Nutrients!$EL$78)))))*N$8))/2000*1000000</f>
        <v>55.059750000000008</v>
      </c>
      <c r="O320" s="234"/>
      <c r="P320" s="21">
        <f>(SUMPRODUCT(P$9:P$229,Nutrients!$EL$8:$EL$228)+(IF($A$7=Nutrients!$B$8,Nutrients!$EL$8,Nutrients!$EL$9)*P$7)+(((IF($A$8=Nutrients!$B$79,Nutrients!$EL$79,(IF($A$8=Nutrients!$B$77,Nutrients!$EL$77,Nutrients!$EL$78)))))*P$8))/2000*1000000</f>
        <v>110.11950000000002</v>
      </c>
      <c r="Q320" s="21">
        <f>(SUMPRODUCT(Q$9:Q$229,Nutrients!$EL$8:$EL$228)+(IF($A$7=Nutrients!$B$8,Nutrients!$EL$8,Nutrients!$EL$9)*Q$7)+(((IF($A$8=Nutrients!$B$79,Nutrients!$EL$79,(IF($A$8=Nutrients!$B$77,Nutrients!$EL$77,Nutrients!$EL$78)))))*Q$8))/2000*1000000</f>
        <v>110.11950000000002</v>
      </c>
      <c r="R320" s="21">
        <f>(SUMPRODUCT(R$9:R$229,Nutrients!$EL$8:$EL$228)+(IF($A$7=Nutrients!$B$8,Nutrients!$EL$8,Nutrients!$EL$9)*R$7)+(((IF($A$8=Nutrients!$B$79,Nutrients!$EL$79,(IF($A$8=Nutrients!$B$77,Nutrients!$EL$77,Nutrients!$EL$78)))))*R$8))/2000*1000000</f>
        <v>91.766249999999999</v>
      </c>
      <c r="S320" s="21">
        <f>(SUMPRODUCT(S$9:S$229,Nutrients!$EL$8:$EL$228)+(IF($A$7=Nutrients!$B$8,Nutrients!$EL$8,Nutrients!$EL$9)*S$7)+(((IF($A$8=Nutrients!$B$79,Nutrients!$EL$79,(IF($A$8=Nutrients!$B$77,Nutrients!$EL$77,Nutrients!$EL$78)))))*S$8))/2000*1000000</f>
        <v>73.413000000000011</v>
      </c>
      <c r="T320" s="21">
        <f>(SUMPRODUCT(T$9:T$229,Nutrients!$EL$8:$EL$228)+(IF($A$7=Nutrients!$B$8,Nutrients!$EL$8,Nutrients!$EL$9)*T$7)+(((IF($A$8=Nutrients!$B$79,Nutrients!$EL$79,(IF($A$8=Nutrients!$B$77,Nutrients!$EL$77,Nutrients!$EL$78)))))*T$8))/2000*1000000</f>
        <v>55.059750000000008</v>
      </c>
      <c r="U320" s="21">
        <f>(SUMPRODUCT(U$9:U$229,Nutrients!$EL$8:$EL$228)+(IF($A$7=Nutrients!$B$8,Nutrients!$EL$8,Nutrients!$EL$9)*U$7)+(((IF($A$8=Nutrients!$B$79,Nutrients!$EL$79,(IF($A$8=Nutrients!$B$77,Nutrients!$EL$77,Nutrients!$EL$78)))))*U$8))/2000*1000000</f>
        <v>55.059750000000008</v>
      </c>
      <c r="W320" s="21">
        <f>(SUMPRODUCT(W$9:W$229,Nutrients!$EL$8:$EL$228)+(IF($A$7=Nutrients!$B$8,Nutrients!$EL$8,Nutrients!$EL$9)*W$7)+(((IF($A$8=Nutrients!$B$79,Nutrients!$EL$79,(IF($A$8=Nutrients!$B$77,Nutrients!$EL$77,Nutrients!$EL$78)))))*W$8))/2000*1000000</f>
        <v>110.11950000000002</v>
      </c>
      <c r="X320" s="21">
        <f>(SUMPRODUCT(X$9:X$229,Nutrients!$EL$8:$EL$228)+(IF($A$7=Nutrients!$B$8,Nutrients!$EL$8,Nutrients!$EL$9)*X$7)+(((IF($A$8=Nutrients!$B$79,Nutrients!$EL$79,(IF($A$8=Nutrients!$B$77,Nutrients!$EL$77,Nutrients!$EL$78)))))*X$8))/2000*1000000</f>
        <v>110.11950000000002</v>
      </c>
      <c r="Y320" s="21">
        <f>(SUMPRODUCT(Y$9:Y$229,Nutrients!$EL$8:$EL$228)+(IF($A$7=Nutrients!$B$8,Nutrients!$EL$8,Nutrients!$EL$9)*Y$7)+(((IF($A$8=Nutrients!$B$79,Nutrients!$EL$79,(IF($A$8=Nutrients!$B$77,Nutrients!$EL$77,Nutrients!$EL$78)))))*Y$8))/2000*1000000</f>
        <v>91.766249999999999</v>
      </c>
      <c r="Z320" s="21">
        <f>(SUMPRODUCT(Z$9:Z$229,Nutrients!$EL$8:$EL$228)+(IF($A$7=Nutrients!$B$8,Nutrients!$EL$8,Nutrients!$EL$9)*Z$7)+(((IF($A$8=Nutrients!$B$79,Nutrients!$EL$79,(IF($A$8=Nutrients!$B$77,Nutrients!$EL$77,Nutrients!$EL$78)))))*Z$8))/2000*1000000</f>
        <v>73.413000000000011</v>
      </c>
      <c r="AA320" s="21">
        <f>(SUMPRODUCT(AA$9:AA$229,Nutrients!$EL$8:$EL$228)+(IF($A$7=Nutrients!$B$8,Nutrients!$EL$8,Nutrients!$EL$9)*AA$7)+(((IF($A$8=Nutrients!$B$79,Nutrients!$EL$79,(IF($A$8=Nutrients!$B$77,Nutrients!$EL$77,Nutrients!$EL$78)))))*AA$8))/2000*1000000</f>
        <v>55.059750000000008</v>
      </c>
      <c r="AB320" s="21">
        <f>(SUMPRODUCT(AB$9:AB$229,Nutrients!$EL$8:$EL$228)+(IF($A$7=Nutrients!$B$8,Nutrients!$EL$8,Nutrients!$EL$9)*AB$7)+(((IF($A$8=Nutrients!$B$79,Nutrients!$EL$79,(IF($A$8=Nutrients!$B$77,Nutrients!$EL$77,Nutrients!$EL$78)))))*AB$8))/2000*1000000</f>
        <v>55.059750000000008</v>
      </c>
      <c r="AD320" s="21">
        <f>(SUMPRODUCT(AD$9:AD$229,Nutrients!$EL$8:$EL$228)+(IF($A$7=Nutrients!$B$8,Nutrients!$EL$8,Nutrients!$EL$9)*AD$7)+(((IF($A$8=Nutrients!$B$79,Nutrients!$EL$79,(IF($A$8=Nutrients!$B$77,Nutrients!$EL$77,Nutrients!$EL$78)))))*AD$8))/2000*1000000</f>
        <v>110.11950000000002</v>
      </c>
      <c r="AE320" s="21">
        <f>(SUMPRODUCT(AE$9:AE$229,Nutrients!$EL$8:$EL$228)+(IF($A$7=Nutrients!$B$8,Nutrients!$EL$8,Nutrients!$EL$9)*AE$7)+(((IF($A$8=Nutrients!$B$79,Nutrients!$EL$79,(IF($A$8=Nutrients!$B$77,Nutrients!$EL$77,Nutrients!$EL$78)))))*AE$8))/2000*1000000</f>
        <v>110.11950000000002</v>
      </c>
      <c r="AF320" s="21">
        <f>(SUMPRODUCT(AF$9:AF$229,Nutrients!$EL$8:$EL$228)+(IF($A$7=Nutrients!$B$8,Nutrients!$EL$8,Nutrients!$EL$9)*AF$7)+(((IF($A$8=Nutrients!$B$79,Nutrients!$EL$79,(IF($A$8=Nutrients!$B$77,Nutrients!$EL$77,Nutrients!$EL$78)))))*AF$8))/2000*1000000</f>
        <v>91.766249999999999</v>
      </c>
      <c r="AG320" s="21">
        <f>(SUMPRODUCT(AG$9:AG$229,Nutrients!$EL$8:$EL$228)+(IF($A$7=Nutrients!$B$8,Nutrients!$EL$8,Nutrients!$EL$9)*AG$7)+(((IF($A$8=Nutrients!$B$79,Nutrients!$EL$79,(IF($A$8=Nutrients!$B$77,Nutrients!$EL$77,Nutrients!$EL$78)))))*AG$8))/2000*1000000</f>
        <v>73.413000000000011</v>
      </c>
      <c r="AH320" s="21">
        <f>(SUMPRODUCT(AH$9:AH$229,Nutrients!$EL$8:$EL$228)+(IF($A$7=Nutrients!$B$8,Nutrients!$EL$8,Nutrients!$EL$9)*AH$7)+(((IF($A$8=Nutrients!$B$79,Nutrients!$EL$79,(IF($A$8=Nutrients!$B$77,Nutrients!$EL$77,Nutrients!$EL$78)))))*AH$8))/2000*1000000</f>
        <v>55.059750000000008</v>
      </c>
      <c r="AI320" s="21">
        <f>(SUMPRODUCT(AI$9:AI$229,Nutrients!$EL$8:$EL$228)+(IF($A$7=Nutrients!$B$8,Nutrients!$EL$8,Nutrients!$EL$9)*AI$7)+(((IF($A$8=Nutrients!$B$79,Nutrients!$EL$79,(IF($A$8=Nutrients!$B$77,Nutrients!$EL$77,Nutrients!$EL$78)))))*AI$8))/2000*1000000</f>
        <v>55.059750000000008</v>
      </c>
      <c r="AK320" s="21">
        <f>(SUMPRODUCT(AK$9:AK$229,Nutrients!$EL$8:$EL$228)+(IF($A$7=Nutrients!$B$8,Nutrients!$EL$8,Nutrients!$EL$9)*AK$7)+(((IF($A$8=Nutrients!$B$79,Nutrients!$EL$79,(IF($A$8=Nutrients!$B$77,Nutrients!$EL$77,Nutrients!$EL$78)))))*AK$8))/2000*1000000</f>
        <v>110.11950000000002</v>
      </c>
      <c r="AL320" s="21">
        <f>(SUMPRODUCT(AL$9:AL$229,Nutrients!$EL$8:$EL$228)+(IF($A$7=Nutrients!$B$8,Nutrients!$EL$8,Nutrients!$EL$9)*AL$7)+(((IF($A$8=Nutrients!$B$79,Nutrients!$EL$79,(IF($A$8=Nutrients!$B$77,Nutrients!$EL$77,Nutrients!$EL$78)))))*AL$8))/2000*1000000</f>
        <v>110.11950000000002</v>
      </c>
      <c r="AM320" s="21">
        <f>(SUMPRODUCT(AM$9:AM$229,Nutrients!$EL$8:$EL$228)+(IF($A$7=Nutrients!$B$8,Nutrients!$EL$8,Nutrients!$EL$9)*AM$7)+(((IF($A$8=Nutrients!$B$79,Nutrients!$EL$79,(IF($A$8=Nutrients!$B$77,Nutrients!$EL$77,Nutrients!$EL$78)))))*AM$8))/2000*1000000</f>
        <v>91.766249999999999</v>
      </c>
      <c r="AN320" s="21">
        <f>(SUMPRODUCT(AN$9:AN$229,Nutrients!$EL$8:$EL$228)+(IF($A$7=Nutrients!$B$8,Nutrients!$EL$8,Nutrients!$EL$9)*AN$7)+(((IF($A$8=Nutrients!$B$79,Nutrients!$EL$79,(IF($A$8=Nutrients!$B$77,Nutrients!$EL$77,Nutrients!$EL$78)))))*AN$8))/2000*1000000</f>
        <v>73.413000000000011</v>
      </c>
      <c r="AO320" s="21">
        <f>(SUMPRODUCT(AO$9:AO$229,Nutrients!$EL$8:$EL$228)+(IF($A$7=Nutrients!$B$8,Nutrients!$EL$8,Nutrients!$EL$9)*AO$7)+(((IF($A$8=Nutrients!$B$79,Nutrients!$EL$79,(IF($A$8=Nutrients!$B$77,Nutrients!$EL$77,Nutrients!$EL$78)))))*AO$8))/2000*1000000</f>
        <v>55.059750000000008</v>
      </c>
      <c r="AP320" s="21">
        <f>(SUMPRODUCT(AP$9:AP$229,Nutrients!$EL$8:$EL$228)+(IF($A$7=Nutrients!$B$8,Nutrients!$EL$8,Nutrients!$EL$9)*AP$7)+(((IF($A$8=Nutrients!$B$79,Nutrients!$EL$79,(IF($A$8=Nutrients!$B$77,Nutrients!$EL$77,Nutrients!$EL$78)))))*AP$8))/2000*1000000</f>
        <v>55.059750000000008</v>
      </c>
      <c r="AR320" s="21">
        <f>(SUMPRODUCT(AR$9:AR$229,Nutrients!$EL$8:$EL$228)+(IF($A$7=Nutrients!$B$8,Nutrients!$EL$8,Nutrients!$EL$9)*AR$7)+(((IF($A$8=Nutrients!$B$79,Nutrients!$EL$79,(IF($A$8=Nutrients!$B$77,Nutrients!$EL$77,Nutrients!$EL$78)))))*AR$8))/2000*1000000</f>
        <v>110.11950000000002</v>
      </c>
      <c r="AS320" s="21">
        <f>(SUMPRODUCT(AS$9:AS$229,Nutrients!$EL$8:$EL$228)+(IF($A$7=Nutrients!$B$8,Nutrients!$EL$8,Nutrients!$EL$9)*AS$7)+(((IF($A$8=Nutrients!$B$79,Nutrients!$EL$79,(IF($A$8=Nutrients!$B$77,Nutrients!$EL$77,Nutrients!$EL$78)))))*AS$8))/2000*1000000</f>
        <v>110.11950000000002</v>
      </c>
      <c r="AT320" s="21">
        <f>(SUMPRODUCT(AT$9:AT$229,Nutrients!$EL$8:$EL$228)+(IF($A$7=Nutrients!$B$8,Nutrients!$EL$8,Nutrients!$EL$9)*AT$7)+(((IF($A$8=Nutrients!$B$79,Nutrients!$EL$79,(IF($A$8=Nutrients!$B$77,Nutrients!$EL$77,Nutrients!$EL$78)))))*AT$8))/2000*1000000</f>
        <v>91.766249999999999</v>
      </c>
      <c r="AU320" s="21">
        <f>(SUMPRODUCT(AU$9:AU$229,Nutrients!$EL$8:$EL$228)+(IF($A$7=Nutrients!$B$8,Nutrients!$EL$8,Nutrients!$EL$9)*AU$7)+(((IF($A$8=Nutrients!$B$79,Nutrients!$EL$79,(IF($A$8=Nutrients!$B$77,Nutrients!$EL$77,Nutrients!$EL$78)))))*AU$8))/2000*1000000</f>
        <v>73.413000000000011</v>
      </c>
      <c r="AV320" s="21">
        <f>(SUMPRODUCT(AV$9:AV$229,Nutrients!$EL$8:$EL$228)+(IF($A$7=Nutrients!$B$8,Nutrients!$EL$8,Nutrients!$EL$9)*AV$7)+(((IF($A$8=Nutrients!$B$79,Nutrients!$EL$79,(IF($A$8=Nutrients!$B$77,Nutrients!$EL$77,Nutrients!$EL$78)))))*AV$8))/2000*1000000</f>
        <v>55.059750000000008</v>
      </c>
      <c r="AW320" s="21">
        <f>(SUMPRODUCT(AW$9:AW$229,Nutrients!$EL$8:$EL$228)+(IF($A$7=Nutrients!$B$8,Nutrients!$EL$8,Nutrients!$EL$9)*AW$7)+(((IF($A$8=Nutrients!$B$79,Nutrients!$EL$79,(IF($A$8=Nutrients!$B$77,Nutrients!$EL$77,Nutrients!$EL$78)))))*AW$8))/2000*1000000</f>
        <v>55.059750000000008</v>
      </c>
    </row>
    <row r="321" spans="1:49" x14ac:dyDescent="0.25">
      <c r="A321" s="34" t="s">
        <v>114</v>
      </c>
      <c r="B321" s="21">
        <f>(SUMPRODUCT(B$9:B$229,Nutrients!$EM$8:$EM$228)+(IF($A$7=Nutrients!$B$8,Nutrients!$EM$8,Nutrients!$EM$9)*B$7)+(((IF($A$8=Nutrients!$B$79,Nutrients!$EM$79,(IF($A$8=Nutrients!$B$77,Nutrients!$EM$77,Nutrients!$EM$78)))))*B$8))/2000*1000000</f>
        <v>33.068999999999996</v>
      </c>
      <c r="C321" s="21">
        <f>(SUMPRODUCT(C$9:C$229,Nutrients!$EM$8:$EM$228)+(IF($A$7=Nutrients!$B$8,Nutrients!$EM$8,Nutrients!$EM$9)*C$7)+(((IF($A$8=Nutrients!$B$79,Nutrients!$EM$79,(IF($A$8=Nutrients!$B$77,Nutrients!$EM$77,Nutrients!$EM$78)))))*C$8))/2000*1000000</f>
        <v>33.068999999999996</v>
      </c>
      <c r="D321" s="21">
        <f>(SUMPRODUCT(D$9:D$229,Nutrients!$EM$8:$EM$228)+(IF($A$7=Nutrients!$B$8,Nutrients!$EM$8,Nutrients!$EM$9)*D$7)+(((IF($A$8=Nutrients!$B$79,Nutrients!$EM$79,(IF($A$8=Nutrients!$B$77,Nutrients!$EM$77,Nutrients!$EM$78)))))*D$8))/2000*1000000</f>
        <v>27.557499999999997</v>
      </c>
      <c r="E321" s="21">
        <f>(SUMPRODUCT(E$9:E$229,Nutrients!$EM$8:$EM$228)+(IF($A$7=Nutrients!$B$8,Nutrients!$EM$8,Nutrients!$EM$9)*E$7)+(((IF($A$8=Nutrients!$B$79,Nutrients!$EM$79,(IF($A$8=Nutrients!$B$77,Nutrients!$EM$77,Nutrients!$EM$78)))))*E$8))/2000*1000000</f>
        <v>22.045999999999999</v>
      </c>
      <c r="F321" s="21">
        <f>(SUMPRODUCT(F$9:F$229,Nutrients!$EM$8:$EM$228)+(IF($A$7=Nutrients!$B$8,Nutrients!$EM$8,Nutrients!$EM$9)*F$7)+(((IF($A$8=Nutrients!$B$79,Nutrients!$EM$79,(IF($A$8=Nutrients!$B$77,Nutrients!$EM$77,Nutrients!$EM$78)))))*F$8))/2000*1000000</f>
        <v>16.534499999999998</v>
      </c>
      <c r="G321" s="21">
        <f>(SUMPRODUCT(G$9:G$229,Nutrients!$EM$8:$EM$228)+(IF($A$7=Nutrients!$B$8,Nutrients!$EM$8,Nutrients!$EM$9)*G$7)+(((IF($A$8=Nutrients!$B$79,Nutrients!$EM$79,(IF($A$8=Nutrients!$B$77,Nutrients!$EM$77,Nutrients!$EM$78)))))*G$8))/2000*1000000</f>
        <v>16.534499999999998</v>
      </c>
      <c r="H321" s="226"/>
      <c r="I321" s="21">
        <f>(SUMPRODUCT(I$9:I$229,Nutrients!$EM$8:$EM$228)+(IF($A$7=Nutrients!$B$8,Nutrients!$EM$8,Nutrients!$EM$9)*I$7)+(((IF($A$8=Nutrients!$B$79,Nutrients!$EM$79,(IF($A$8=Nutrients!$B$77,Nutrients!$EM$77,Nutrients!$EM$78)))))*I$8))/2000*1000000</f>
        <v>33.068999999999996</v>
      </c>
      <c r="J321" s="21">
        <f>(SUMPRODUCT(J$9:J$229,Nutrients!$EM$8:$EM$228)+(IF($A$7=Nutrients!$B$8,Nutrients!$EM$8,Nutrients!$EM$9)*J$7)+(((IF($A$8=Nutrients!$B$79,Nutrients!$EM$79,(IF($A$8=Nutrients!$B$77,Nutrients!$EM$77,Nutrients!$EM$78)))))*J$8))/2000*1000000</f>
        <v>33.068999999999996</v>
      </c>
      <c r="K321" s="21">
        <f>(SUMPRODUCT(K$9:K$229,Nutrients!$EM$8:$EM$228)+(IF($A$7=Nutrients!$B$8,Nutrients!$EM$8,Nutrients!$EM$9)*K$7)+(((IF($A$8=Nutrients!$B$79,Nutrients!$EM$79,(IF($A$8=Nutrients!$B$77,Nutrients!$EM$77,Nutrients!$EM$78)))))*K$8))/2000*1000000</f>
        <v>27.557499999999997</v>
      </c>
      <c r="L321" s="21">
        <f>(SUMPRODUCT(L$9:L$229,Nutrients!$EM$8:$EM$228)+(IF($A$7=Nutrients!$B$8,Nutrients!$EM$8,Nutrients!$EM$9)*L$7)+(((IF($A$8=Nutrients!$B$79,Nutrients!$EM$79,(IF($A$8=Nutrients!$B$77,Nutrients!$EM$77,Nutrients!$EM$78)))))*L$8))/2000*1000000</f>
        <v>22.045999999999999</v>
      </c>
      <c r="M321" s="21">
        <f>(SUMPRODUCT(M$9:M$229,Nutrients!$EM$8:$EM$228)+(IF($A$7=Nutrients!$B$8,Nutrients!$EM$8,Nutrients!$EM$9)*M$7)+(((IF($A$8=Nutrients!$B$79,Nutrients!$EM$79,(IF($A$8=Nutrients!$B$77,Nutrients!$EM$77,Nutrients!$EM$78)))))*M$8))/2000*1000000</f>
        <v>16.534499999999998</v>
      </c>
      <c r="N321" s="21">
        <f>(SUMPRODUCT(N$9:N$229,Nutrients!$EM$8:$EM$228)+(IF($A$7=Nutrients!$B$8,Nutrients!$EM$8,Nutrients!$EM$9)*N$7)+(((IF($A$8=Nutrients!$B$79,Nutrients!$EM$79,(IF($A$8=Nutrients!$B$77,Nutrients!$EM$77,Nutrients!$EM$78)))))*N$8))/2000*1000000</f>
        <v>16.534499999999998</v>
      </c>
      <c r="O321" s="234"/>
      <c r="P321" s="21">
        <f>(SUMPRODUCT(P$9:P$229,Nutrients!$EM$8:$EM$228)+(IF($A$7=Nutrients!$B$8,Nutrients!$EM$8,Nutrients!$EM$9)*P$7)+(((IF($A$8=Nutrients!$B$79,Nutrients!$EM$79,(IF($A$8=Nutrients!$B$77,Nutrients!$EM$77,Nutrients!$EM$78)))))*P$8))/2000*1000000</f>
        <v>33.068999999999996</v>
      </c>
      <c r="Q321" s="21">
        <f>(SUMPRODUCT(Q$9:Q$229,Nutrients!$EM$8:$EM$228)+(IF($A$7=Nutrients!$B$8,Nutrients!$EM$8,Nutrients!$EM$9)*Q$7)+(((IF($A$8=Nutrients!$B$79,Nutrients!$EM$79,(IF($A$8=Nutrients!$B$77,Nutrients!$EM$77,Nutrients!$EM$78)))))*Q$8))/2000*1000000</f>
        <v>33.068999999999996</v>
      </c>
      <c r="R321" s="21">
        <f>(SUMPRODUCT(R$9:R$229,Nutrients!$EM$8:$EM$228)+(IF($A$7=Nutrients!$B$8,Nutrients!$EM$8,Nutrients!$EM$9)*R$7)+(((IF($A$8=Nutrients!$B$79,Nutrients!$EM$79,(IF($A$8=Nutrients!$B$77,Nutrients!$EM$77,Nutrients!$EM$78)))))*R$8))/2000*1000000</f>
        <v>27.557499999999997</v>
      </c>
      <c r="S321" s="21">
        <f>(SUMPRODUCT(S$9:S$229,Nutrients!$EM$8:$EM$228)+(IF($A$7=Nutrients!$B$8,Nutrients!$EM$8,Nutrients!$EM$9)*S$7)+(((IF($A$8=Nutrients!$B$79,Nutrients!$EM$79,(IF($A$8=Nutrients!$B$77,Nutrients!$EM$77,Nutrients!$EM$78)))))*S$8))/2000*1000000</f>
        <v>22.045999999999999</v>
      </c>
      <c r="T321" s="21">
        <f>(SUMPRODUCT(T$9:T$229,Nutrients!$EM$8:$EM$228)+(IF($A$7=Nutrients!$B$8,Nutrients!$EM$8,Nutrients!$EM$9)*T$7)+(((IF($A$8=Nutrients!$B$79,Nutrients!$EM$79,(IF($A$8=Nutrients!$B$77,Nutrients!$EM$77,Nutrients!$EM$78)))))*T$8))/2000*1000000</f>
        <v>16.534499999999998</v>
      </c>
      <c r="U321" s="21">
        <f>(SUMPRODUCT(U$9:U$229,Nutrients!$EM$8:$EM$228)+(IF($A$7=Nutrients!$B$8,Nutrients!$EM$8,Nutrients!$EM$9)*U$7)+(((IF($A$8=Nutrients!$B$79,Nutrients!$EM$79,(IF($A$8=Nutrients!$B$77,Nutrients!$EM$77,Nutrients!$EM$78)))))*U$8))/2000*1000000</f>
        <v>16.534499999999998</v>
      </c>
      <c r="W321" s="21">
        <f>(SUMPRODUCT(W$9:W$229,Nutrients!$EM$8:$EM$228)+(IF($A$7=Nutrients!$B$8,Nutrients!$EM$8,Nutrients!$EM$9)*W$7)+(((IF($A$8=Nutrients!$B$79,Nutrients!$EM$79,(IF($A$8=Nutrients!$B$77,Nutrients!$EM$77,Nutrients!$EM$78)))))*W$8))/2000*1000000</f>
        <v>33.068999999999996</v>
      </c>
      <c r="X321" s="21">
        <f>(SUMPRODUCT(X$9:X$229,Nutrients!$EM$8:$EM$228)+(IF($A$7=Nutrients!$B$8,Nutrients!$EM$8,Nutrients!$EM$9)*X$7)+(((IF($A$8=Nutrients!$B$79,Nutrients!$EM$79,(IF($A$8=Nutrients!$B$77,Nutrients!$EM$77,Nutrients!$EM$78)))))*X$8))/2000*1000000</f>
        <v>33.068999999999996</v>
      </c>
      <c r="Y321" s="21">
        <f>(SUMPRODUCT(Y$9:Y$229,Nutrients!$EM$8:$EM$228)+(IF($A$7=Nutrients!$B$8,Nutrients!$EM$8,Nutrients!$EM$9)*Y$7)+(((IF($A$8=Nutrients!$B$79,Nutrients!$EM$79,(IF($A$8=Nutrients!$B$77,Nutrients!$EM$77,Nutrients!$EM$78)))))*Y$8))/2000*1000000</f>
        <v>27.557499999999997</v>
      </c>
      <c r="Z321" s="21">
        <f>(SUMPRODUCT(Z$9:Z$229,Nutrients!$EM$8:$EM$228)+(IF($A$7=Nutrients!$B$8,Nutrients!$EM$8,Nutrients!$EM$9)*Z$7)+(((IF($A$8=Nutrients!$B$79,Nutrients!$EM$79,(IF($A$8=Nutrients!$B$77,Nutrients!$EM$77,Nutrients!$EM$78)))))*Z$8))/2000*1000000</f>
        <v>22.045999999999999</v>
      </c>
      <c r="AA321" s="21">
        <f>(SUMPRODUCT(AA$9:AA$229,Nutrients!$EM$8:$EM$228)+(IF($A$7=Nutrients!$B$8,Nutrients!$EM$8,Nutrients!$EM$9)*AA$7)+(((IF($A$8=Nutrients!$B$79,Nutrients!$EM$79,(IF($A$8=Nutrients!$B$77,Nutrients!$EM$77,Nutrients!$EM$78)))))*AA$8))/2000*1000000</f>
        <v>16.534499999999998</v>
      </c>
      <c r="AB321" s="21">
        <f>(SUMPRODUCT(AB$9:AB$229,Nutrients!$EM$8:$EM$228)+(IF($A$7=Nutrients!$B$8,Nutrients!$EM$8,Nutrients!$EM$9)*AB$7)+(((IF($A$8=Nutrients!$B$79,Nutrients!$EM$79,(IF($A$8=Nutrients!$B$77,Nutrients!$EM$77,Nutrients!$EM$78)))))*AB$8))/2000*1000000</f>
        <v>16.534499999999998</v>
      </c>
      <c r="AD321" s="21">
        <f>(SUMPRODUCT(AD$9:AD$229,Nutrients!$EM$8:$EM$228)+(IF($A$7=Nutrients!$B$8,Nutrients!$EM$8,Nutrients!$EM$9)*AD$7)+(((IF($A$8=Nutrients!$B$79,Nutrients!$EM$79,(IF($A$8=Nutrients!$B$77,Nutrients!$EM$77,Nutrients!$EM$78)))))*AD$8))/2000*1000000</f>
        <v>33.068999999999996</v>
      </c>
      <c r="AE321" s="21">
        <f>(SUMPRODUCT(AE$9:AE$229,Nutrients!$EM$8:$EM$228)+(IF($A$7=Nutrients!$B$8,Nutrients!$EM$8,Nutrients!$EM$9)*AE$7)+(((IF($A$8=Nutrients!$B$79,Nutrients!$EM$79,(IF($A$8=Nutrients!$B$77,Nutrients!$EM$77,Nutrients!$EM$78)))))*AE$8))/2000*1000000</f>
        <v>33.068999999999996</v>
      </c>
      <c r="AF321" s="21">
        <f>(SUMPRODUCT(AF$9:AF$229,Nutrients!$EM$8:$EM$228)+(IF($A$7=Nutrients!$B$8,Nutrients!$EM$8,Nutrients!$EM$9)*AF$7)+(((IF($A$8=Nutrients!$B$79,Nutrients!$EM$79,(IF($A$8=Nutrients!$B$77,Nutrients!$EM$77,Nutrients!$EM$78)))))*AF$8))/2000*1000000</f>
        <v>27.557499999999997</v>
      </c>
      <c r="AG321" s="21">
        <f>(SUMPRODUCT(AG$9:AG$229,Nutrients!$EM$8:$EM$228)+(IF($A$7=Nutrients!$B$8,Nutrients!$EM$8,Nutrients!$EM$9)*AG$7)+(((IF($A$8=Nutrients!$B$79,Nutrients!$EM$79,(IF($A$8=Nutrients!$B$77,Nutrients!$EM$77,Nutrients!$EM$78)))))*AG$8))/2000*1000000</f>
        <v>22.045999999999999</v>
      </c>
      <c r="AH321" s="21">
        <f>(SUMPRODUCT(AH$9:AH$229,Nutrients!$EM$8:$EM$228)+(IF($A$7=Nutrients!$B$8,Nutrients!$EM$8,Nutrients!$EM$9)*AH$7)+(((IF($A$8=Nutrients!$B$79,Nutrients!$EM$79,(IF($A$8=Nutrients!$B$77,Nutrients!$EM$77,Nutrients!$EM$78)))))*AH$8))/2000*1000000</f>
        <v>16.534499999999998</v>
      </c>
      <c r="AI321" s="21">
        <f>(SUMPRODUCT(AI$9:AI$229,Nutrients!$EM$8:$EM$228)+(IF($A$7=Nutrients!$B$8,Nutrients!$EM$8,Nutrients!$EM$9)*AI$7)+(((IF($A$8=Nutrients!$B$79,Nutrients!$EM$79,(IF($A$8=Nutrients!$B$77,Nutrients!$EM$77,Nutrients!$EM$78)))))*AI$8))/2000*1000000</f>
        <v>16.534499999999998</v>
      </c>
      <c r="AK321" s="21">
        <f>(SUMPRODUCT(AK$9:AK$229,Nutrients!$EM$8:$EM$228)+(IF($A$7=Nutrients!$B$8,Nutrients!$EM$8,Nutrients!$EM$9)*AK$7)+(((IF($A$8=Nutrients!$B$79,Nutrients!$EM$79,(IF($A$8=Nutrients!$B$77,Nutrients!$EM$77,Nutrients!$EM$78)))))*AK$8))/2000*1000000</f>
        <v>33.068999999999996</v>
      </c>
      <c r="AL321" s="21">
        <f>(SUMPRODUCT(AL$9:AL$229,Nutrients!$EM$8:$EM$228)+(IF($A$7=Nutrients!$B$8,Nutrients!$EM$8,Nutrients!$EM$9)*AL$7)+(((IF($A$8=Nutrients!$B$79,Nutrients!$EM$79,(IF($A$8=Nutrients!$B$77,Nutrients!$EM$77,Nutrients!$EM$78)))))*AL$8))/2000*1000000</f>
        <v>33.068999999999996</v>
      </c>
      <c r="AM321" s="21">
        <f>(SUMPRODUCT(AM$9:AM$229,Nutrients!$EM$8:$EM$228)+(IF($A$7=Nutrients!$B$8,Nutrients!$EM$8,Nutrients!$EM$9)*AM$7)+(((IF($A$8=Nutrients!$B$79,Nutrients!$EM$79,(IF($A$8=Nutrients!$B$77,Nutrients!$EM$77,Nutrients!$EM$78)))))*AM$8))/2000*1000000</f>
        <v>27.557499999999997</v>
      </c>
      <c r="AN321" s="21">
        <f>(SUMPRODUCT(AN$9:AN$229,Nutrients!$EM$8:$EM$228)+(IF($A$7=Nutrients!$B$8,Nutrients!$EM$8,Nutrients!$EM$9)*AN$7)+(((IF($A$8=Nutrients!$B$79,Nutrients!$EM$79,(IF($A$8=Nutrients!$B$77,Nutrients!$EM$77,Nutrients!$EM$78)))))*AN$8))/2000*1000000</f>
        <v>22.045999999999999</v>
      </c>
      <c r="AO321" s="21">
        <f>(SUMPRODUCT(AO$9:AO$229,Nutrients!$EM$8:$EM$228)+(IF($A$7=Nutrients!$B$8,Nutrients!$EM$8,Nutrients!$EM$9)*AO$7)+(((IF($A$8=Nutrients!$B$79,Nutrients!$EM$79,(IF($A$8=Nutrients!$B$77,Nutrients!$EM$77,Nutrients!$EM$78)))))*AO$8))/2000*1000000</f>
        <v>16.534499999999998</v>
      </c>
      <c r="AP321" s="21">
        <f>(SUMPRODUCT(AP$9:AP$229,Nutrients!$EM$8:$EM$228)+(IF($A$7=Nutrients!$B$8,Nutrients!$EM$8,Nutrients!$EM$9)*AP$7)+(((IF($A$8=Nutrients!$B$79,Nutrients!$EM$79,(IF($A$8=Nutrients!$B$77,Nutrients!$EM$77,Nutrients!$EM$78)))))*AP$8))/2000*1000000</f>
        <v>16.534499999999998</v>
      </c>
      <c r="AR321" s="21">
        <f>(SUMPRODUCT(AR$9:AR$229,Nutrients!$EM$8:$EM$228)+(IF($A$7=Nutrients!$B$8,Nutrients!$EM$8,Nutrients!$EM$9)*AR$7)+(((IF($A$8=Nutrients!$B$79,Nutrients!$EM$79,(IF($A$8=Nutrients!$B$77,Nutrients!$EM$77,Nutrients!$EM$78)))))*AR$8))/2000*1000000</f>
        <v>33.068999999999996</v>
      </c>
      <c r="AS321" s="21">
        <f>(SUMPRODUCT(AS$9:AS$229,Nutrients!$EM$8:$EM$228)+(IF($A$7=Nutrients!$B$8,Nutrients!$EM$8,Nutrients!$EM$9)*AS$7)+(((IF($A$8=Nutrients!$B$79,Nutrients!$EM$79,(IF($A$8=Nutrients!$B$77,Nutrients!$EM$77,Nutrients!$EM$78)))))*AS$8))/2000*1000000</f>
        <v>33.068999999999996</v>
      </c>
      <c r="AT321" s="21">
        <f>(SUMPRODUCT(AT$9:AT$229,Nutrients!$EM$8:$EM$228)+(IF($A$7=Nutrients!$B$8,Nutrients!$EM$8,Nutrients!$EM$9)*AT$7)+(((IF($A$8=Nutrients!$B$79,Nutrients!$EM$79,(IF($A$8=Nutrients!$B$77,Nutrients!$EM$77,Nutrients!$EM$78)))))*AT$8))/2000*1000000</f>
        <v>27.557499999999997</v>
      </c>
      <c r="AU321" s="21">
        <f>(SUMPRODUCT(AU$9:AU$229,Nutrients!$EM$8:$EM$228)+(IF($A$7=Nutrients!$B$8,Nutrients!$EM$8,Nutrients!$EM$9)*AU$7)+(((IF($A$8=Nutrients!$B$79,Nutrients!$EM$79,(IF($A$8=Nutrients!$B$77,Nutrients!$EM$77,Nutrients!$EM$78)))))*AU$8))/2000*1000000</f>
        <v>22.045999999999999</v>
      </c>
      <c r="AV321" s="21">
        <f>(SUMPRODUCT(AV$9:AV$229,Nutrients!$EM$8:$EM$228)+(IF($A$7=Nutrients!$B$8,Nutrients!$EM$8,Nutrients!$EM$9)*AV$7)+(((IF($A$8=Nutrients!$B$79,Nutrients!$EM$79,(IF($A$8=Nutrients!$B$77,Nutrients!$EM$77,Nutrients!$EM$78)))))*AV$8))/2000*1000000</f>
        <v>16.534499999999998</v>
      </c>
      <c r="AW321" s="21">
        <f>(SUMPRODUCT(AW$9:AW$229,Nutrients!$EM$8:$EM$228)+(IF($A$7=Nutrients!$B$8,Nutrients!$EM$8,Nutrients!$EM$9)*AW$7)+(((IF($A$8=Nutrients!$B$79,Nutrients!$EM$79,(IF($A$8=Nutrients!$B$77,Nutrients!$EM$77,Nutrients!$EM$78)))))*AW$8))/2000*1000000</f>
        <v>16.534499999999998</v>
      </c>
    </row>
    <row r="322" spans="1:49" x14ac:dyDescent="0.25">
      <c r="A322" s="34" t="s">
        <v>115</v>
      </c>
      <c r="B322" s="21">
        <f>(SUMPRODUCT(B$9:B$229,Nutrients!$EN$8:$EN$228)+(IF($A$7=Nutrients!$B$8,Nutrients!$EN$8,Nutrients!$EN$9)*B$7)+(((IF($A$8=Nutrients!$B$79,Nutrients!$EN$79,(IF($A$8=Nutrients!$B$77,Nutrients!$EN$77,Nutrients!$EN$78)))))*B$8))/2000*1000000</f>
        <v>16.5</v>
      </c>
      <c r="C322" s="21">
        <f>(SUMPRODUCT(C$9:C$229,Nutrients!$EN$8:$EN$228)+(IF($A$7=Nutrients!$B$8,Nutrients!$EN$8,Nutrients!$EN$9)*C$7)+(((IF($A$8=Nutrients!$B$79,Nutrients!$EN$79,(IF($A$8=Nutrients!$B$77,Nutrients!$EN$77,Nutrients!$EN$78)))))*C$8))/2000*1000000</f>
        <v>16.5</v>
      </c>
      <c r="D322" s="21">
        <f>(SUMPRODUCT(D$9:D$229,Nutrients!$EN$8:$EN$228)+(IF($A$7=Nutrients!$B$8,Nutrients!$EN$8,Nutrients!$EN$9)*D$7)+(((IF($A$8=Nutrients!$B$79,Nutrients!$EN$79,(IF($A$8=Nutrients!$B$77,Nutrients!$EN$77,Nutrients!$EN$78)))))*D$8))/2000*1000000</f>
        <v>13.749999999999998</v>
      </c>
      <c r="E322" s="21">
        <f>(SUMPRODUCT(E$9:E$229,Nutrients!$EN$8:$EN$228)+(IF($A$7=Nutrients!$B$8,Nutrients!$EN$8,Nutrients!$EN$9)*E$7)+(((IF($A$8=Nutrients!$B$79,Nutrients!$EN$79,(IF($A$8=Nutrients!$B$77,Nutrients!$EN$77,Nutrients!$EN$78)))))*E$8))/2000*1000000</f>
        <v>11</v>
      </c>
      <c r="F322" s="21">
        <f>(SUMPRODUCT(F$9:F$229,Nutrients!$EN$8:$EN$228)+(IF($A$7=Nutrients!$B$8,Nutrients!$EN$8,Nutrients!$EN$9)*F$7)+(((IF($A$8=Nutrients!$B$79,Nutrients!$EN$79,(IF($A$8=Nutrients!$B$77,Nutrients!$EN$77,Nutrients!$EN$78)))))*F$8))/2000*1000000</f>
        <v>8.25</v>
      </c>
      <c r="G322" s="21">
        <f>(SUMPRODUCT(G$9:G$229,Nutrients!$EN$8:$EN$228)+(IF($A$7=Nutrients!$B$8,Nutrients!$EN$8,Nutrients!$EN$9)*G$7)+(((IF($A$8=Nutrients!$B$79,Nutrients!$EN$79,(IF($A$8=Nutrients!$B$77,Nutrients!$EN$77,Nutrients!$EN$78)))))*G$8))/2000*1000000</f>
        <v>8.25</v>
      </c>
      <c r="H322" s="226"/>
      <c r="I322" s="21">
        <f>(SUMPRODUCT(I$9:I$229,Nutrients!$EN$8:$EN$228)+(IF($A$7=Nutrients!$B$8,Nutrients!$EN$8,Nutrients!$EN$9)*I$7)+(((IF($A$8=Nutrients!$B$79,Nutrients!$EN$79,(IF($A$8=Nutrients!$B$77,Nutrients!$EN$77,Nutrients!$EN$78)))))*I$8))/2000*1000000</f>
        <v>16.5</v>
      </c>
      <c r="J322" s="21">
        <f>(SUMPRODUCT(J$9:J$229,Nutrients!$EN$8:$EN$228)+(IF($A$7=Nutrients!$B$8,Nutrients!$EN$8,Nutrients!$EN$9)*J$7)+(((IF($A$8=Nutrients!$B$79,Nutrients!$EN$79,(IF($A$8=Nutrients!$B$77,Nutrients!$EN$77,Nutrients!$EN$78)))))*J$8))/2000*1000000</f>
        <v>16.5</v>
      </c>
      <c r="K322" s="21">
        <f>(SUMPRODUCT(K$9:K$229,Nutrients!$EN$8:$EN$228)+(IF($A$7=Nutrients!$B$8,Nutrients!$EN$8,Nutrients!$EN$9)*K$7)+(((IF($A$8=Nutrients!$B$79,Nutrients!$EN$79,(IF($A$8=Nutrients!$B$77,Nutrients!$EN$77,Nutrients!$EN$78)))))*K$8))/2000*1000000</f>
        <v>13.749999999999998</v>
      </c>
      <c r="L322" s="21">
        <f>(SUMPRODUCT(L$9:L$229,Nutrients!$EN$8:$EN$228)+(IF($A$7=Nutrients!$B$8,Nutrients!$EN$8,Nutrients!$EN$9)*L$7)+(((IF($A$8=Nutrients!$B$79,Nutrients!$EN$79,(IF($A$8=Nutrients!$B$77,Nutrients!$EN$77,Nutrients!$EN$78)))))*L$8))/2000*1000000</f>
        <v>11</v>
      </c>
      <c r="M322" s="21">
        <f>(SUMPRODUCT(M$9:M$229,Nutrients!$EN$8:$EN$228)+(IF($A$7=Nutrients!$B$8,Nutrients!$EN$8,Nutrients!$EN$9)*M$7)+(((IF($A$8=Nutrients!$B$79,Nutrients!$EN$79,(IF($A$8=Nutrients!$B$77,Nutrients!$EN$77,Nutrients!$EN$78)))))*M$8))/2000*1000000</f>
        <v>8.25</v>
      </c>
      <c r="N322" s="21">
        <f>(SUMPRODUCT(N$9:N$229,Nutrients!$EN$8:$EN$228)+(IF($A$7=Nutrients!$B$8,Nutrients!$EN$8,Nutrients!$EN$9)*N$7)+(((IF($A$8=Nutrients!$B$79,Nutrients!$EN$79,(IF($A$8=Nutrients!$B$77,Nutrients!$EN$77,Nutrients!$EN$78)))))*N$8))/2000*1000000</f>
        <v>8.25</v>
      </c>
      <c r="O322" s="234"/>
      <c r="P322" s="21">
        <f>(SUMPRODUCT(P$9:P$229,Nutrients!$EN$8:$EN$228)+(IF($A$7=Nutrients!$B$8,Nutrients!$EN$8,Nutrients!$EN$9)*P$7)+(((IF($A$8=Nutrients!$B$79,Nutrients!$EN$79,(IF($A$8=Nutrients!$B$77,Nutrients!$EN$77,Nutrients!$EN$78)))))*P$8))/2000*1000000</f>
        <v>16.5</v>
      </c>
      <c r="Q322" s="21">
        <f>(SUMPRODUCT(Q$9:Q$229,Nutrients!$EN$8:$EN$228)+(IF($A$7=Nutrients!$B$8,Nutrients!$EN$8,Nutrients!$EN$9)*Q$7)+(((IF($A$8=Nutrients!$B$79,Nutrients!$EN$79,(IF($A$8=Nutrients!$B$77,Nutrients!$EN$77,Nutrients!$EN$78)))))*Q$8))/2000*1000000</f>
        <v>16.5</v>
      </c>
      <c r="R322" s="21">
        <f>(SUMPRODUCT(R$9:R$229,Nutrients!$EN$8:$EN$228)+(IF($A$7=Nutrients!$B$8,Nutrients!$EN$8,Nutrients!$EN$9)*R$7)+(((IF($A$8=Nutrients!$B$79,Nutrients!$EN$79,(IF($A$8=Nutrients!$B$77,Nutrients!$EN$77,Nutrients!$EN$78)))))*R$8))/2000*1000000</f>
        <v>13.749999999999998</v>
      </c>
      <c r="S322" s="21">
        <f>(SUMPRODUCT(S$9:S$229,Nutrients!$EN$8:$EN$228)+(IF($A$7=Nutrients!$B$8,Nutrients!$EN$8,Nutrients!$EN$9)*S$7)+(((IF($A$8=Nutrients!$B$79,Nutrients!$EN$79,(IF($A$8=Nutrients!$B$77,Nutrients!$EN$77,Nutrients!$EN$78)))))*S$8))/2000*1000000</f>
        <v>11</v>
      </c>
      <c r="T322" s="21">
        <f>(SUMPRODUCT(T$9:T$229,Nutrients!$EN$8:$EN$228)+(IF($A$7=Nutrients!$B$8,Nutrients!$EN$8,Nutrients!$EN$9)*T$7)+(((IF($A$8=Nutrients!$B$79,Nutrients!$EN$79,(IF($A$8=Nutrients!$B$77,Nutrients!$EN$77,Nutrients!$EN$78)))))*T$8))/2000*1000000</f>
        <v>8.25</v>
      </c>
      <c r="U322" s="21">
        <f>(SUMPRODUCT(U$9:U$229,Nutrients!$EN$8:$EN$228)+(IF($A$7=Nutrients!$B$8,Nutrients!$EN$8,Nutrients!$EN$9)*U$7)+(((IF($A$8=Nutrients!$B$79,Nutrients!$EN$79,(IF($A$8=Nutrients!$B$77,Nutrients!$EN$77,Nutrients!$EN$78)))))*U$8))/2000*1000000</f>
        <v>8.25</v>
      </c>
      <c r="W322" s="21">
        <f>(SUMPRODUCT(W$9:W$229,Nutrients!$EN$8:$EN$228)+(IF($A$7=Nutrients!$B$8,Nutrients!$EN$8,Nutrients!$EN$9)*W$7)+(((IF($A$8=Nutrients!$B$79,Nutrients!$EN$79,(IF($A$8=Nutrients!$B$77,Nutrients!$EN$77,Nutrients!$EN$78)))))*W$8))/2000*1000000</f>
        <v>16.5</v>
      </c>
      <c r="X322" s="21">
        <f>(SUMPRODUCT(X$9:X$229,Nutrients!$EN$8:$EN$228)+(IF($A$7=Nutrients!$B$8,Nutrients!$EN$8,Nutrients!$EN$9)*X$7)+(((IF($A$8=Nutrients!$B$79,Nutrients!$EN$79,(IF($A$8=Nutrients!$B$77,Nutrients!$EN$77,Nutrients!$EN$78)))))*X$8))/2000*1000000</f>
        <v>16.5</v>
      </c>
      <c r="Y322" s="21">
        <f>(SUMPRODUCT(Y$9:Y$229,Nutrients!$EN$8:$EN$228)+(IF($A$7=Nutrients!$B$8,Nutrients!$EN$8,Nutrients!$EN$9)*Y$7)+(((IF($A$8=Nutrients!$B$79,Nutrients!$EN$79,(IF($A$8=Nutrients!$B$77,Nutrients!$EN$77,Nutrients!$EN$78)))))*Y$8))/2000*1000000</f>
        <v>13.749999999999998</v>
      </c>
      <c r="Z322" s="21">
        <f>(SUMPRODUCT(Z$9:Z$229,Nutrients!$EN$8:$EN$228)+(IF($A$7=Nutrients!$B$8,Nutrients!$EN$8,Nutrients!$EN$9)*Z$7)+(((IF($A$8=Nutrients!$B$79,Nutrients!$EN$79,(IF($A$8=Nutrients!$B$77,Nutrients!$EN$77,Nutrients!$EN$78)))))*Z$8))/2000*1000000</f>
        <v>11</v>
      </c>
      <c r="AA322" s="21">
        <f>(SUMPRODUCT(AA$9:AA$229,Nutrients!$EN$8:$EN$228)+(IF($A$7=Nutrients!$B$8,Nutrients!$EN$8,Nutrients!$EN$9)*AA$7)+(((IF($A$8=Nutrients!$B$79,Nutrients!$EN$79,(IF($A$8=Nutrients!$B$77,Nutrients!$EN$77,Nutrients!$EN$78)))))*AA$8))/2000*1000000</f>
        <v>8.25</v>
      </c>
      <c r="AB322" s="21">
        <f>(SUMPRODUCT(AB$9:AB$229,Nutrients!$EN$8:$EN$228)+(IF($A$7=Nutrients!$B$8,Nutrients!$EN$8,Nutrients!$EN$9)*AB$7)+(((IF($A$8=Nutrients!$B$79,Nutrients!$EN$79,(IF($A$8=Nutrients!$B$77,Nutrients!$EN$77,Nutrients!$EN$78)))))*AB$8))/2000*1000000</f>
        <v>8.25</v>
      </c>
      <c r="AD322" s="21">
        <f>(SUMPRODUCT(AD$9:AD$229,Nutrients!$EN$8:$EN$228)+(IF($A$7=Nutrients!$B$8,Nutrients!$EN$8,Nutrients!$EN$9)*AD$7)+(((IF($A$8=Nutrients!$B$79,Nutrients!$EN$79,(IF($A$8=Nutrients!$B$77,Nutrients!$EN$77,Nutrients!$EN$78)))))*AD$8))/2000*1000000</f>
        <v>16.5</v>
      </c>
      <c r="AE322" s="21">
        <f>(SUMPRODUCT(AE$9:AE$229,Nutrients!$EN$8:$EN$228)+(IF($A$7=Nutrients!$B$8,Nutrients!$EN$8,Nutrients!$EN$9)*AE$7)+(((IF($A$8=Nutrients!$B$79,Nutrients!$EN$79,(IF($A$8=Nutrients!$B$77,Nutrients!$EN$77,Nutrients!$EN$78)))))*AE$8))/2000*1000000</f>
        <v>16.5</v>
      </c>
      <c r="AF322" s="21">
        <f>(SUMPRODUCT(AF$9:AF$229,Nutrients!$EN$8:$EN$228)+(IF($A$7=Nutrients!$B$8,Nutrients!$EN$8,Nutrients!$EN$9)*AF$7)+(((IF($A$8=Nutrients!$B$79,Nutrients!$EN$79,(IF($A$8=Nutrients!$B$77,Nutrients!$EN$77,Nutrients!$EN$78)))))*AF$8))/2000*1000000</f>
        <v>13.749999999999998</v>
      </c>
      <c r="AG322" s="21">
        <f>(SUMPRODUCT(AG$9:AG$229,Nutrients!$EN$8:$EN$228)+(IF($A$7=Nutrients!$B$8,Nutrients!$EN$8,Nutrients!$EN$9)*AG$7)+(((IF($A$8=Nutrients!$B$79,Nutrients!$EN$79,(IF($A$8=Nutrients!$B$77,Nutrients!$EN$77,Nutrients!$EN$78)))))*AG$8))/2000*1000000</f>
        <v>11</v>
      </c>
      <c r="AH322" s="21">
        <f>(SUMPRODUCT(AH$9:AH$229,Nutrients!$EN$8:$EN$228)+(IF($A$7=Nutrients!$B$8,Nutrients!$EN$8,Nutrients!$EN$9)*AH$7)+(((IF($A$8=Nutrients!$B$79,Nutrients!$EN$79,(IF($A$8=Nutrients!$B$77,Nutrients!$EN$77,Nutrients!$EN$78)))))*AH$8))/2000*1000000</f>
        <v>8.25</v>
      </c>
      <c r="AI322" s="21">
        <f>(SUMPRODUCT(AI$9:AI$229,Nutrients!$EN$8:$EN$228)+(IF($A$7=Nutrients!$B$8,Nutrients!$EN$8,Nutrients!$EN$9)*AI$7)+(((IF($A$8=Nutrients!$B$79,Nutrients!$EN$79,(IF($A$8=Nutrients!$B$77,Nutrients!$EN$77,Nutrients!$EN$78)))))*AI$8))/2000*1000000</f>
        <v>8.25</v>
      </c>
      <c r="AK322" s="21">
        <f>(SUMPRODUCT(AK$9:AK$229,Nutrients!$EN$8:$EN$228)+(IF($A$7=Nutrients!$B$8,Nutrients!$EN$8,Nutrients!$EN$9)*AK$7)+(((IF($A$8=Nutrients!$B$79,Nutrients!$EN$79,(IF($A$8=Nutrients!$B$77,Nutrients!$EN$77,Nutrients!$EN$78)))))*AK$8))/2000*1000000</f>
        <v>16.5</v>
      </c>
      <c r="AL322" s="21">
        <f>(SUMPRODUCT(AL$9:AL$229,Nutrients!$EN$8:$EN$228)+(IF($A$7=Nutrients!$B$8,Nutrients!$EN$8,Nutrients!$EN$9)*AL$7)+(((IF($A$8=Nutrients!$B$79,Nutrients!$EN$79,(IF($A$8=Nutrients!$B$77,Nutrients!$EN$77,Nutrients!$EN$78)))))*AL$8))/2000*1000000</f>
        <v>16.5</v>
      </c>
      <c r="AM322" s="21">
        <f>(SUMPRODUCT(AM$9:AM$229,Nutrients!$EN$8:$EN$228)+(IF($A$7=Nutrients!$B$8,Nutrients!$EN$8,Nutrients!$EN$9)*AM$7)+(((IF($A$8=Nutrients!$B$79,Nutrients!$EN$79,(IF($A$8=Nutrients!$B$77,Nutrients!$EN$77,Nutrients!$EN$78)))))*AM$8))/2000*1000000</f>
        <v>13.749999999999998</v>
      </c>
      <c r="AN322" s="21">
        <f>(SUMPRODUCT(AN$9:AN$229,Nutrients!$EN$8:$EN$228)+(IF($A$7=Nutrients!$B$8,Nutrients!$EN$8,Nutrients!$EN$9)*AN$7)+(((IF($A$8=Nutrients!$B$79,Nutrients!$EN$79,(IF($A$8=Nutrients!$B$77,Nutrients!$EN$77,Nutrients!$EN$78)))))*AN$8))/2000*1000000</f>
        <v>11</v>
      </c>
      <c r="AO322" s="21">
        <f>(SUMPRODUCT(AO$9:AO$229,Nutrients!$EN$8:$EN$228)+(IF($A$7=Nutrients!$B$8,Nutrients!$EN$8,Nutrients!$EN$9)*AO$7)+(((IF($A$8=Nutrients!$B$79,Nutrients!$EN$79,(IF($A$8=Nutrients!$B$77,Nutrients!$EN$77,Nutrients!$EN$78)))))*AO$8))/2000*1000000</f>
        <v>8.25</v>
      </c>
      <c r="AP322" s="21">
        <f>(SUMPRODUCT(AP$9:AP$229,Nutrients!$EN$8:$EN$228)+(IF($A$7=Nutrients!$B$8,Nutrients!$EN$8,Nutrients!$EN$9)*AP$7)+(((IF($A$8=Nutrients!$B$79,Nutrients!$EN$79,(IF($A$8=Nutrients!$B$77,Nutrients!$EN$77,Nutrients!$EN$78)))))*AP$8))/2000*1000000</f>
        <v>8.25</v>
      </c>
      <c r="AR322" s="21">
        <f>(SUMPRODUCT(AR$9:AR$229,Nutrients!$EN$8:$EN$228)+(IF($A$7=Nutrients!$B$8,Nutrients!$EN$8,Nutrients!$EN$9)*AR$7)+(((IF($A$8=Nutrients!$B$79,Nutrients!$EN$79,(IF($A$8=Nutrients!$B$77,Nutrients!$EN$77,Nutrients!$EN$78)))))*AR$8))/2000*1000000</f>
        <v>16.5</v>
      </c>
      <c r="AS322" s="21">
        <f>(SUMPRODUCT(AS$9:AS$229,Nutrients!$EN$8:$EN$228)+(IF($A$7=Nutrients!$B$8,Nutrients!$EN$8,Nutrients!$EN$9)*AS$7)+(((IF($A$8=Nutrients!$B$79,Nutrients!$EN$79,(IF($A$8=Nutrients!$B$77,Nutrients!$EN$77,Nutrients!$EN$78)))))*AS$8))/2000*1000000</f>
        <v>16.5</v>
      </c>
      <c r="AT322" s="21">
        <f>(SUMPRODUCT(AT$9:AT$229,Nutrients!$EN$8:$EN$228)+(IF($A$7=Nutrients!$B$8,Nutrients!$EN$8,Nutrients!$EN$9)*AT$7)+(((IF($A$8=Nutrients!$B$79,Nutrients!$EN$79,(IF($A$8=Nutrients!$B$77,Nutrients!$EN$77,Nutrients!$EN$78)))))*AT$8))/2000*1000000</f>
        <v>13.749999999999998</v>
      </c>
      <c r="AU322" s="21">
        <f>(SUMPRODUCT(AU$9:AU$229,Nutrients!$EN$8:$EN$228)+(IF($A$7=Nutrients!$B$8,Nutrients!$EN$8,Nutrients!$EN$9)*AU$7)+(((IF($A$8=Nutrients!$B$79,Nutrients!$EN$79,(IF($A$8=Nutrients!$B$77,Nutrients!$EN$77,Nutrients!$EN$78)))))*AU$8))/2000*1000000</f>
        <v>11</v>
      </c>
      <c r="AV322" s="21">
        <f>(SUMPRODUCT(AV$9:AV$229,Nutrients!$EN$8:$EN$228)+(IF($A$7=Nutrients!$B$8,Nutrients!$EN$8,Nutrients!$EN$9)*AV$7)+(((IF($A$8=Nutrients!$B$79,Nutrients!$EN$79,(IF($A$8=Nutrients!$B$77,Nutrients!$EN$77,Nutrients!$EN$78)))))*AV$8))/2000*1000000</f>
        <v>8.25</v>
      </c>
      <c r="AW322" s="21">
        <f>(SUMPRODUCT(AW$9:AW$229,Nutrients!$EN$8:$EN$228)+(IF($A$7=Nutrients!$B$8,Nutrients!$EN$8,Nutrients!$EN$9)*AW$7)+(((IF($A$8=Nutrients!$B$79,Nutrients!$EN$79,(IF($A$8=Nutrients!$B$77,Nutrients!$EN$77,Nutrients!$EN$78)))))*AW$8))/2000*1000000</f>
        <v>8.25</v>
      </c>
    </row>
    <row r="323" spans="1:49" x14ac:dyDescent="0.25">
      <c r="A323" s="34" t="s">
        <v>116</v>
      </c>
      <c r="B323" s="23">
        <f>(SUMPRODUCT(B$9:B$229,Nutrients!$EO$8:$EO$228)+(IF($A$7=Nutrients!$B$8,Nutrients!$EO$8,Nutrients!$EO$9)*B$7)+(((IF($A$8=Nutrients!$B$79,Nutrients!$EO$79,(IF($A$8=Nutrients!$B$77,Nutrients!$EO$77,Nutrients!$EO$78)))))*B$8))/2000*1000000</f>
        <v>0.29699999999999999</v>
      </c>
      <c r="C323" s="23">
        <f>(SUMPRODUCT(C$9:C$229,Nutrients!$EO$8:$EO$228)+(IF($A$7=Nutrients!$B$8,Nutrients!$EO$8,Nutrients!$EO$9)*C$7)+(((IF($A$8=Nutrients!$B$79,Nutrients!$EO$79,(IF($A$8=Nutrients!$B$77,Nutrients!$EO$77,Nutrients!$EO$78)))))*C$8))/2000*1000000</f>
        <v>0.29699999999999999</v>
      </c>
      <c r="D323" s="23">
        <f>(SUMPRODUCT(D$9:D$229,Nutrients!$EO$8:$EO$228)+(IF($A$7=Nutrients!$B$8,Nutrients!$EO$8,Nutrients!$EO$9)*D$7)+(((IF($A$8=Nutrients!$B$79,Nutrients!$EO$79,(IF($A$8=Nutrients!$B$77,Nutrients!$EO$77,Nutrients!$EO$78)))))*D$8))/2000*1000000</f>
        <v>0.24750000000000003</v>
      </c>
      <c r="E323" s="23">
        <f>(SUMPRODUCT(E$9:E$229,Nutrients!$EO$8:$EO$228)+(IF($A$7=Nutrients!$B$8,Nutrients!$EO$8,Nutrients!$EO$9)*E$7)+(((IF($A$8=Nutrients!$B$79,Nutrients!$EO$79,(IF($A$8=Nutrients!$B$77,Nutrients!$EO$77,Nutrients!$EO$78)))))*E$8))/2000*1000000</f>
        <v>0.19800000000000001</v>
      </c>
      <c r="F323" s="23">
        <f>(SUMPRODUCT(F$9:F$229,Nutrients!$EO$8:$EO$228)+(IF($A$7=Nutrients!$B$8,Nutrients!$EO$8,Nutrients!$EO$9)*F$7)+(((IF($A$8=Nutrients!$B$79,Nutrients!$EO$79,(IF($A$8=Nutrients!$B$77,Nutrients!$EO$77,Nutrients!$EO$78)))))*F$8))/2000*1000000</f>
        <v>0.14849999999999999</v>
      </c>
      <c r="G323" s="23">
        <f>(SUMPRODUCT(G$9:G$229,Nutrients!$EO$8:$EO$228)+(IF($A$7=Nutrients!$B$8,Nutrients!$EO$8,Nutrients!$EO$9)*G$7)+(((IF($A$8=Nutrients!$B$79,Nutrients!$EO$79,(IF($A$8=Nutrients!$B$77,Nutrients!$EO$77,Nutrients!$EO$78)))))*G$8))/2000*1000000</f>
        <v>0.14849999999999999</v>
      </c>
      <c r="H323" s="227"/>
      <c r="I323" s="23">
        <f>(SUMPRODUCT(I$9:I$229,Nutrients!$EO$8:$EO$228)+(IF($A$7=Nutrients!$B$8,Nutrients!$EO$8,Nutrients!$EO$9)*I$7)+(((IF($A$8=Nutrients!$B$79,Nutrients!$EO$79,(IF($A$8=Nutrients!$B$77,Nutrients!$EO$77,Nutrients!$EO$78)))))*I$8))/2000*1000000</f>
        <v>0.29699999999999999</v>
      </c>
      <c r="J323" s="23">
        <f>(SUMPRODUCT(J$9:J$229,Nutrients!$EO$8:$EO$228)+(IF($A$7=Nutrients!$B$8,Nutrients!$EO$8,Nutrients!$EO$9)*J$7)+(((IF($A$8=Nutrients!$B$79,Nutrients!$EO$79,(IF($A$8=Nutrients!$B$77,Nutrients!$EO$77,Nutrients!$EO$78)))))*J$8))/2000*1000000</f>
        <v>0.29699999999999999</v>
      </c>
      <c r="K323" s="23">
        <f>(SUMPRODUCT(K$9:K$229,Nutrients!$EO$8:$EO$228)+(IF($A$7=Nutrients!$B$8,Nutrients!$EO$8,Nutrients!$EO$9)*K$7)+(((IF($A$8=Nutrients!$B$79,Nutrients!$EO$79,(IF($A$8=Nutrients!$B$77,Nutrients!$EO$77,Nutrients!$EO$78)))))*K$8))/2000*1000000</f>
        <v>0.24750000000000003</v>
      </c>
      <c r="L323" s="23">
        <f>(SUMPRODUCT(L$9:L$229,Nutrients!$EO$8:$EO$228)+(IF($A$7=Nutrients!$B$8,Nutrients!$EO$8,Nutrients!$EO$9)*L$7)+(((IF($A$8=Nutrients!$B$79,Nutrients!$EO$79,(IF($A$8=Nutrients!$B$77,Nutrients!$EO$77,Nutrients!$EO$78)))))*L$8))/2000*1000000</f>
        <v>0.19800000000000001</v>
      </c>
      <c r="M323" s="23">
        <f>(SUMPRODUCT(M$9:M$229,Nutrients!$EO$8:$EO$228)+(IF($A$7=Nutrients!$B$8,Nutrients!$EO$8,Nutrients!$EO$9)*M$7)+(((IF($A$8=Nutrients!$B$79,Nutrients!$EO$79,(IF($A$8=Nutrients!$B$77,Nutrients!$EO$77,Nutrients!$EO$78)))))*M$8))/2000*1000000</f>
        <v>0.14849999999999999</v>
      </c>
      <c r="N323" s="23">
        <f>(SUMPRODUCT(N$9:N$229,Nutrients!$EO$8:$EO$228)+(IF($A$7=Nutrients!$B$8,Nutrients!$EO$8,Nutrients!$EO$9)*N$7)+(((IF($A$8=Nutrients!$B$79,Nutrients!$EO$79,(IF($A$8=Nutrients!$B$77,Nutrients!$EO$77,Nutrients!$EO$78)))))*N$8))/2000*1000000</f>
        <v>0.14849999999999999</v>
      </c>
      <c r="O323" s="234"/>
      <c r="P323" s="23">
        <f>(SUMPRODUCT(P$9:P$229,Nutrients!$EO$8:$EO$228)+(IF($A$7=Nutrients!$B$8,Nutrients!$EO$8,Nutrients!$EO$9)*P$7)+(((IF($A$8=Nutrients!$B$79,Nutrients!$EO$79,(IF($A$8=Nutrients!$B$77,Nutrients!$EO$77,Nutrients!$EO$78)))))*P$8))/2000*1000000</f>
        <v>0.29699999999999999</v>
      </c>
      <c r="Q323" s="23">
        <f>(SUMPRODUCT(Q$9:Q$229,Nutrients!$EO$8:$EO$228)+(IF($A$7=Nutrients!$B$8,Nutrients!$EO$8,Nutrients!$EO$9)*Q$7)+(((IF($A$8=Nutrients!$B$79,Nutrients!$EO$79,(IF($A$8=Nutrients!$B$77,Nutrients!$EO$77,Nutrients!$EO$78)))))*Q$8))/2000*1000000</f>
        <v>0.29699999999999999</v>
      </c>
      <c r="R323" s="23">
        <f>(SUMPRODUCT(R$9:R$229,Nutrients!$EO$8:$EO$228)+(IF($A$7=Nutrients!$B$8,Nutrients!$EO$8,Nutrients!$EO$9)*R$7)+(((IF($A$8=Nutrients!$B$79,Nutrients!$EO$79,(IF($A$8=Nutrients!$B$77,Nutrients!$EO$77,Nutrients!$EO$78)))))*R$8))/2000*1000000</f>
        <v>0.24750000000000003</v>
      </c>
      <c r="S323" s="23">
        <f>(SUMPRODUCT(S$9:S$229,Nutrients!$EO$8:$EO$228)+(IF($A$7=Nutrients!$B$8,Nutrients!$EO$8,Nutrients!$EO$9)*S$7)+(((IF($A$8=Nutrients!$B$79,Nutrients!$EO$79,(IF($A$8=Nutrients!$B$77,Nutrients!$EO$77,Nutrients!$EO$78)))))*S$8))/2000*1000000</f>
        <v>0.19800000000000001</v>
      </c>
      <c r="T323" s="23">
        <f>(SUMPRODUCT(T$9:T$229,Nutrients!$EO$8:$EO$228)+(IF($A$7=Nutrients!$B$8,Nutrients!$EO$8,Nutrients!$EO$9)*T$7)+(((IF($A$8=Nutrients!$B$79,Nutrients!$EO$79,(IF($A$8=Nutrients!$B$77,Nutrients!$EO$77,Nutrients!$EO$78)))))*T$8))/2000*1000000</f>
        <v>0.14849999999999999</v>
      </c>
      <c r="U323" s="23">
        <f>(SUMPRODUCT(U$9:U$229,Nutrients!$EO$8:$EO$228)+(IF($A$7=Nutrients!$B$8,Nutrients!$EO$8,Nutrients!$EO$9)*U$7)+(((IF($A$8=Nutrients!$B$79,Nutrients!$EO$79,(IF($A$8=Nutrients!$B$77,Nutrients!$EO$77,Nutrients!$EO$78)))))*U$8))/2000*1000000</f>
        <v>0.14849999999999999</v>
      </c>
      <c r="W323" s="23">
        <f>(SUMPRODUCT(W$9:W$229,Nutrients!$EO$8:$EO$228)+(IF($A$7=Nutrients!$B$8,Nutrients!$EO$8,Nutrients!$EO$9)*W$7)+(((IF($A$8=Nutrients!$B$79,Nutrients!$EO$79,(IF($A$8=Nutrients!$B$77,Nutrients!$EO$77,Nutrients!$EO$78)))))*W$8))/2000*1000000</f>
        <v>0.29699999999999999</v>
      </c>
      <c r="X323" s="23">
        <f>(SUMPRODUCT(X$9:X$229,Nutrients!$EO$8:$EO$228)+(IF($A$7=Nutrients!$B$8,Nutrients!$EO$8,Nutrients!$EO$9)*X$7)+(((IF($A$8=Nutrients!$B$79,Nutrients!$EO$79,(IF($A$8=Nutrients!$B$77,Nutrients!$EO$77,Nutrients!$EO$78)))))*X$8))/2000*1000000</f>
        <v>0.29699999999999999</v>
      </c>
      <c r="Y323" s="23">
        <f>(SUMPRODUCT(Y$9:Y$229,Nutrients!$EO$8:$EO$228)+(IF($A$7=Nutrients!$B$8,Nutrients!$EO$8,Nutrients!$EO$9)*Y$7)+(((IF($A$8=Nutrients!$B$79,Nutrients!$EO$79,(IF($A$8=Nutrients!$B$77,Nutrients!$EO$77,Nutrients!$EO$78)))))*Y$8))/2000*1000000</f>
        <v>0.24750000000000003</v>
      </c>
      <c r="Z323" s="23">
        <f>(SUMPRODUCT(Z$9:Z$229,Nutrients!$EO$8:$EO$228)+(IF($A$7=Nutrients!$B$8,Nutrients!$EO$8,Nutrients!$EO$9)*Z$7)+(((IF($A$8=Nutrients!$B$79,Nutrients!$EO$79,(IF($A$8=Nutrients!$B$77,Nutrients!$EO$77,Nutrients!$EO$78)))))*Z$8))/2000*1000000</f>
        <v>0.19800000000000001</v>
      </c>
      <c r="AA323" s="23">
        <f>(SUMPRODUCT(AA$9:AA$229,Nutrients!$EO$8:$EO$228)+(IF($A$7=Nutrients!$B$8,Nutrients!$EO$8,Nutrients!$EO$9)*AA$7)+(((IF($A$8=Nutrients!$B$79,Nutrients!$EO$79,(IF($A$8=Nutrients!$B$77,Nutrients!$EO$77,Nutrients!$EO$78)))))*AA$8))/2000*1000000</f>
        <v>0.14849999999999999</v>
      </c>
      <c r="AB323" s="23">
        <f>(SUMPRODUCT(AB$9:AB$229,Nutrients!$EO$8:$EO$228)+(IF($A$7=Nutrients!$B$8,Nutrients!$EO$8,Nutrients!$EO$9)*AB$7)+(((IF($A$8=Nutrients!$B$79,Nutrients!$EO$79,(IF($A$8=Nutrients!$B$77,Nutrients!$EO$77,Nutrients!$EO$78)))))*AB$8))/2000*1000000</f>
        <v>0.14849999999999999</v>
      </c>
      <c r="AD323" s="23">
        <f>(SUMPRODUCT(AD$9:AD$229,Nutrients!$EO$8:$EO$228)+(IF($A$7=Nutrients!$B$8,Nutrients!$EO$8,Nutrients!$EO$9)*AD$7)+(((IF($A$8=Nutrients!$B$79,Nutrients!$EO$79,(IF($A$8=Nutrients!$B$77,Nutrients!$EO$77,Nutrients!$EO$78)))))*AD$8))/2000*1000000</f>
        <v>0.29699999999999999</v>
      </c>
      <c r="AE323" s="23">
        <f>(SUMPRODUCT(AE$9:AE$229,Nutrients!$EO$8:$EO$228)+(IF($A$7=Nutrients!$B$8,Nutrients!$EO$8,Nutrients!$EO$9)*AE$7)+(((IF($A$8=Nutrients!$B$79,Nutrients!$EO$79,(IF($A$8=Nutrients!$B$77,Nutrients!$EO$77,Nutrients!$EO$78)))))*AE$8))/2000*1000000</f>
        <v>0.29699999999999999</v>
      </c>
      <c r="AF323" s="23">
        <f>(SUMPRODUCT(AF$9:AF$229,Nutrients!$EO$8:$EO$228)+(IF($A$7=Nutrients!$B$8,Nutrients!$EO$8,Nutrients!$EO$9)*AF$7)+(((IF($A$8=Nutrients!$B$79,Nutrients!$EO$79,(IF($A$8=Nutrients!$B$77,Nutrients!$EO$77,Nutrients!$EO$78)))))*AF$8))/2000*1000000</f>
        <v>0.24750000000000003</v>
      </c>
      <c r="AG323" s="23">
        <f>(SUMPRODUCT(AG$9:AG$229,Nutrients!$EO$8:$EO$228)+(IF($A$7=Nutrients!$B$8,Nutrients!$EO$8,Nutrients!$EO$9)*AG$7)+(((IF($A$8=Nutrients!$B$79,Nutrients!$EO$79,(IF($A$8=Nutrients!$B$77,Nutrients!$EO$77,Nutrients!$EO$78)))))*AG$8))/2000*1000000</f>
        <v>0.19800000000000001</v>
      </c>
      <c r="AH323" s="23">
        <f>(SUMPRODUCT(AH$9:AH$229,Nutrients!$EO$8:$EO$228)+(IF($A$7=Nutrients!$B$8,Nutrients!$EO$8,Nutrients!$EO$9)*AH$7)+(((IF($A$8=Nutrients!$B$79,Nutrients!$EO$79,(IF($A$8=Nutrients!$B$77,Nutrients!$EO$77,Nutrients!$EO$78)))))*AH$8))/2000*1000000</f>
        <v>0.14849999999999999</v>
      </c>
      <c r="AI323" s="23">
        <f>(SUMPRODUCT(AI$9:AI$229,Nutrients!$EO$8:$EO$228)+(IF($A$7=Nutrients!$B$8,Nutrients!$EO$8,Nutrients!$EO$9)*AI$7)+(((IF($A$8=Nutrients!$B$79,Nutrients!$EO$79,(IF($A$8=Nutrients!$B$77,Nutrients!$EO$77,Nutrients!$EO$78)))))*AI$8))/2000*1000000</f>
        <v>0.14849999999999999</v>
      </c>
      <c r="AK323" s="23">
        <f>(SUMPRODUCT(AK$9:AK$229,Nutrients!$EO$8:$EO$228)+(IF($A$7=Nutrients!$B$8,Nutrients!$EO$8,Nutrients!$EO$9)*AK$7)+(((IF($A$8=Nutrients!$B$79,Nutrients!$EO$79,(IF($A$8=Nutrients!$B$77,Nutrients!$EO$77,Nutrients!$EO$78)))))*AK$8))/2000*1000000</f>
        <v>0.29699999999999999</v>
      </c>
      <c r="AL323" s="23">
        <f>(SUMPRODUCT(AL$9:AL$229,Nutrients!$EO$8:$EO$228)+(IF($A$7=Nutrients!$B$8,Nutrients!$EO$8,Nutrients!$EO$9)*AL$7)+(((IF($A$8=Nutrients!$B$79,Nutrients!$EO$79,(IF($A$8=Nutrients!$B$77,Nutrients!$EO$77,Nutrients!$EO$78)))))*AL$8))/2000*1000000</f>
        <v>0.29699999999999999</v>
      </c>
      <c r="AM323" s="23">
        <f>(SUMPRODUCT(AM$9:AM$229,Nutrients!$EO$8:$EO$228)+(IF($A$7=Nutrients!$B$8,Nutrients!$EO$8,Nutrients!$EO$9)*AM$7)+(((IF($A$8=Nutrients!$B$79,Nutrients!$EO$79,(IF($A$8=Nutrients!$B$77,Nutrients!$EO$77,Nutrients!$EO$78)))))*AM$8))/2000*1000000</f>
        <v>0.24750000000000003</v>
      </c>
      <c r="AN323" s="23">
        <f>(SUMPRODUCT(AN$9:AN$229,Nutrients!$EO$8:$EO$228)+(IF($A$7=Nutrients!$B$8,Nutrients!$EO$8,Nutrients!$EO$9)*AN$7)+(((IF($A$8=Nutrients!$B$79,Nutrients!$EO$79,(IF($A$8=Nutrients!$B$77,Nutrients!$EO$77,Nutrients!$EO$78)))))*AN$8))/2000*1000000</f>
        <v>0.19800000000000001</v>
      </c>
      <c r="AO323" s="23">
        <f>(SUMPRODUCT(AO$9:AO$229,Nutrients!$EO$8:$EO$228)+(IF($A$7=Nutrients!$B$8,Nutrients!$EO$8,Nutrients!$EO$9)*AO$7)+(((IF($A$8=Nutrients!$B$79,Nutrients!$EO$79,(IF($A$8=Nutrients!$B$77,Nutrients!$EO$77,Nutrients!$EO$78)))))*AO$8))/2000*1000000</f>
        <v>0.14849999999999999</v>
      </c>
      <c r="AP323" s="23">
        <f>(SUMPRODUCT(AP$9:AP$229,Nutrients!$EO$8:$EO$228)+(IF($A$7=Nutrients!$B$8,Nutrients!$EO$8,Nutrients!$EO$9)*AP$7)+(((IF($A$8=Nutrients!$B$79,Nutrients!$EO$79,(IF($A$8=Nutrients!$B$77,Nutrients!$EO$77,Nutrients!$EO$78)))))*AP$8))/2000*1000000</f>
        <v>0.14849999999999999</v>
      </c>
      <c r="AR323" s="23">
        <f>(SUMPRODUCT(AR$9:AR$229,Nutrients!$EO$8:$EO$228)+(IF($A$7=Nutrients!$B$8,Nutrients!$EO$8,Nutrients!$EO$9)*AR$7)+(((IF($A$8=Nutrients!$B$79,Nutrients!$EO$79,(IF($A$8=Nutrients!$B$77,Nutrients!$EO$77,Nutrients!$EO$78)))))*AR$8))/2000*1000000</f>
        <v>0.29699999999999999</v>
      </c>
      <c r="AS323" s="23">
        <f>(SUMPRODUCT(AS$9:AS$229,Nutrients!$EO$8:$EO$228)+(IF($A$7=Nutrients!$B$8,Nutrients!$EO$8,Nutrients!$EO$9)*AS$7)+(((IF($A$8=Nutrients!$B$79,Nutrients!$EO$79,(IF($A$8=Nutrients!$B$77,Nutrients!$EO$77,Nutrients!$EO$78)))))*AS$8))/2000*1000000</f>
        <v>0.29699999999999999</v>
      </c>
      <c r="AT323" s="23">
        <f>(SUMPRODUCT(AT$9:AT$229,Nutrients!$EO$8:$EO$228)+(IF($A$7=Nutrients!$B$8,Nutrients!$EO$8,Nutrients!$EO$9)*AT$7)+(((IF($A$8=Nutrients!$B$79,Nutrients!$EO$79,(IF($A$8=Nutrients!$B$77,Nutrients!$EO$77,Nutrients!$EO$78)))))*AT$8))/2000*1000000</f>
        <v>0.24750000000000003</v>
      </c>
      <c r="AU323" s="23">
        <f>(SUMPRODUCT(AU$9:AU$229,Nutrients!$EO$8:$EO$228)+(IF($A$7=Nutrients!$B$8,Nutrients!$EO$8,Nutrients!$EO$9)*AU$7)+(((IF($A$8=Nutrients!$B$79,Nutrients!$EO$79,(IF($A$8=Nutrients!$B$77,Nutrients!$EO$77,Nutrients!$EO$78)))))*AU$8))/2000*1000000</f>
        <v>0.19800000000000001</v>
      </c>
      <c r="AV323" s="23">
        <f>(SUMPRODUCT(AV$9:AV$229,Nutrients!$EO$8:$EO$228)+(IF($A$7=Nutrients!$B$8,Nutrients!$EO$8,Nutrients!$EO$9)*AV$7)+(((IF($A$8=Nutrients!$B$79,Nutrients!$EO$79,(IF($A$8=Nutrients!$B$77,Nutrients!$EO$77,Nutrients!$EO$78)))))*AV$8))/2000*1000000</f>
        <v>0.14849999999999999</v>
      </c>
      <c r="AW323" s="23">
        <f>(SUMPRODUCT(AW$9:AW$229,Nutrients!$EO$8:$EO$228)+(IF($A$7=Nutrients!$B$8,Nutrients!$EO$8,Nutrients!$EO$9)*AW$7)+(((IF($A$8=Nutrients!$B$79,Nutrients!$EO$79,(IF($A$8=Nutrients!$B$77,Nutrients!$EO$77,Nutrients!$EO$78)))))*AW$8))/2000*1000000</f>
        <v>0.14849999999999999</v>
      </c>
    </row>
    <row r="324" spans="1:49" x14ac:dyDescent="0.25">
      <c r="A324" s="34" t="s">
        <v>117</v>
      </c>
      <c r="B324" s="23">
        <f>(SUMPRODUCT(B$9:B$229,Nutrients!$EP$8:$EP$228)+(IF($A$7=Nutrients!$B$8,Nutrients!$EP$8,Nutrients!$EP$9)*B$7)+(((IF($A$8=Nutrients!$B$79,Nutrients!$EP$79,(IF($A$8=Nutrients!$B$77,Nutrients!$EP$77,Nutrients!$EP$78)))))*B$8))/2000*1000000</f>
        <v>0.29699999999999999</v>
      </c>
      <c r="C324" s="23">
        <f>(SUMPRODUCT(C$9:C$229,Nutrients!$EP$8:$EP$228)+(IF($A$7=Nutrients!$B$8,Nutrients!$EP$8,Nutrients!$EP$9)*C$7)+(((IF($A$8=Nutrients!$B$79,Nutrients!$EP$79,(IF($A$8=Nutrients!$B$77,Nutrients!$EP$77,Nutrients!$EP$78)))))*C$8))/2000*1000000</f>
        <v>0.29699999999999999</v>
      </c>
      <c r="D324" s="23">
        <f>(SUMPRODUCT(D$9:D$229,Nutrients!$EP$8:$EP$228)+(IF($A$7=Nutrients!$B$8,Nutrients!$EP$8,Nutrients!$EP$9)*D$7)+(((IF($A$8=Nutrients!$B$79,Nutrients!$EP$79,(IF($A$8=Nutrients!$B$77,Nutrients!$EP$77,Nutrients!$EP$78)))))*D$8))/2000*1000000</f>
        <v>0.24750000000000003</v>
      </c>
      <c r="E324" s="23">
        <f>(SUMPRODUCT(E$9:E$229,Nutrients!$EP$8:$EP$228)+(IF($A$7=Nutrients!$B$8,Nutrients!$EP$8,Nutrients!$EP$9)*E$7)+(((IF($A$8=Nutrients!$B$79,Nutrients!$EP$79,(IF($A$8=Nutrients!$B$77,Nutrients!$EP$77,Nutrients!$EP$78)))))*E$8))/2000*1000000</f>
        <v>0.19800000000000001</v>
      </c>
      <c r="F324" s="23">
        <f>(SUMPRODUCT(F$9:F$229,Nutrients!$EP$8:$EP$228)+(IF($A$7=Nutrients!$B$8,Nutrients!$EP$8,Nutrients!$EP$9)*F$7)+(((IF($A$8=Nutrients!$B$79,Nutrients!$EP$79,(IF($A$8=Nutrients!$B$77,Nutrients!$EP$77,Nutrients!$EP$78)))))*F$8))/2000*1000000</f>
        <v>0.14849999999999999</v>
      </c>
      <c r="G324" s="23">
        <f>(SUMPRODUCT(G$9:G$229,Nutrients!$EP$8:$EP$228)+(IF($A$7=Nutrients!$B$8,Nutrients!$EP$8,Nutrients!$EP$9)*G$7)+(((IF($A$8=Nutrients!$B$79,Nutrients!$EP$79,(IF($A$8=Nutrients!$B$77,Nutrients!$EP$77,Nutrients!$EP$78)))))*G$8))/2000*1000000</f>
        <v>0.14849999999999999</v>
      </c>
      <c r="H324" s="227"/>
      <c r="I324" s="23">
        <f>(SUMPRODUCT(I$9:I$229,Nutrients!$EP$8:$EP$228)+(IF($A$7=Nutrients!$B$8,Nutrients!$EP$8,Nutrients!$EP$9)*I$7)+(((IF($A$8=Nutrients!$B$79,Nutrients!$EP$79,(IF($A$8=Nutrients!$B$77,Nutrients!$EP$77,Nutrients!$EP$78)))))*I$8))/2000*1000000</f>
        <v>0.29699999999999999</v>
      </c>
      <c r="J324" s="23">
        <f>(SUMPRODUCT(J$9:J$229,Nutrients!$EP$8:$EP$228)+(IF($A$7=Nutrients!$B$8,Nutrients!$EP$8,Nutrients!$EP$9)*J$7)+(((IF($A$8=Nutrients!$B$79,Nutrients!$EP$79,(IF($A$8=Nutrients!$B$77,Nutrients!$EP$77,Nutrients!$EP$78)))))*J$8))/2000*1000000</f>
        <v>0.29699999999999999</v>
      </c>
      <c r="K324" s="23">
        <f>(SUMPRODUCT(K$9:K$229,Nutrients!$EP$8:$EP$228)+(IF($A$7=Nutrients!$B$8,Nutrients!$EP$8,Nutrients!$EP$9)*K$7)+(((IF($A$8=Nutrients!$B$79,Nutrients!$EP$79,(IF($A$8=Nutrients!$B$77,Nutrients!$EP$77,Nutrients!$EP$78)))))*K$8))/2000*1000000</f>
        <v>0.24750000000000003</v>
      </c>
      <c r="L324" s="23">
        <f>(SUMPRODUCT(L$9:L$229,Nutrients!$EP$8:$EP$228)+(IF($A$7=Nutrients!$B$8,Nutrients!$EP$8,Nutrients!$EP$9)*L$7)+(((IF($A$8=Nutrients!$B$79,Nutrients!$EP$79,(IF($A$8=Nutrients!$B$77,Nutrients!$EP$77,Nutrients!$EP$78)))))*L$8))/2000*1000000</f>
        <v>0.19800000000000001</v>
      </c>
      <c r="M324" s="23">
        <f>(SUMPRODUCT(M$9:M$229,Nutrients!$EP$8:$EP$228)+(IF($A$7=Nutrients!$B$8,Nutrients!$EP$8,Nutrients!$EP$9)*M$7)+(((IF($A$8=Nutrients!$B$79,Nutrients!$EP$79,(IF($A$8=Nutrients!$B$77,Nutrients!$EP$77,Nutrients!$EP$78)))))*M$8))/2000*1000000</f>
        <v>0.14849999999999999</v>
      </c>
      <c r="N324" s="23">
        <f>(SUMPRODUCT(N$9:N$229,Nutrients!$EP$8:$EP$228)+(IF($A$7=Nutrients!$B$8,Nutrients!$EP$8,Nutrients!$EP$9)*N$7)+(((IF($A$8=Nutrients!$B$79,Nutrients!$EP$79,(IF($A$8=Nutrients!$B$77,Nutrients!$EP$77,Nutrients!$EP$78)))))*N$8))/2000*1000000</f>
        <v>0.14849999999999999</v>
      </c>
      <c r="O324" s="198"/>
      <c r="P324" s="23">
        <f>(SUMPRODUCT(P$9:P$229,Nutrients!$EP$8:$EP$228)+(IF($A$7=Nutrients!$B$8,Nutrients!$EP$8,Nutrients!$EP$9)*P$7)+(((IF($A$8=Nutrients!$B$79,Nutrients!$EP$79,(IF($A$8=Nutrients!$B$77,Nutrients!$EP$77,Nutrients!$EP$78)))))*P$8))/2000*1000000</f>
        <v>0.29699999999999999</v>
      </c>
      <c r="Q324" s="23">
        <f>(SUMPRODUCT(Q$9:Q$229,Nutrients!$EP$8:$EP$228)+(IF($A$7=Nutrients!$B$8,Nutrients!$EP$8,Nutrients!$EP$9)*Q$7)+(((IF($A$8=Nutrients!$B$79,Nutrients!$EP$79,(IF($A$8=Nutrients!$B$77,Nutrients!$EP$77,Nutrients!$EP$78)))))*Q$8))/2000*1000000</f>
        <v>0.29699999999999999</v>
      </c>
      <c r="R324" s="23">
        <f>(SUMPRODUCT(R$9:R$229,Nutrients!$EP$8:$EP$228)+(IF($A$7=Nutrients!$B$8,Nutrients!$EP$8,Nutrients!$EP$9)*R$7)+(((IF($A$8=Nutrients!$B$79,Nutrients!$EP$79,(IF($A$8=Nutrients!$B$77,Nutrients!$EP$77,Nutrients!$EP$78)))))*R$8))/2000*1000000</f>
        <v>0.24750000000000003</v>
      </c>
      <c r="S324" s="23">
        <f>(SUMPRODUCT(S$9:S$229,Nutrients!$EP$8:$EP$228)+(IF($A$7=Nutrients!$B$8,Nutrients!$EP$8,Nutrients!$EP$9)*S$7)+(((IF($A$8=Nutrients!$B$79,Nutrients!$EP$79,(IF($A$8=Nutrients!$B$77,Nutrients!$EP$77,Nutrients!$EP$78)))))*S$8))/2000*1000000</f>
        <v>0.19800000000000001</v>
      </c>
      <c r="T324" s="23">
        <f>(SUMPRODUCT(T$9:T$229,Nutrients!$EP$8:$EP$228)+(IF($A$7=Nutrients!$B$8,Nutrients!$EP$8,Nutrients!$EP$9)*T$7)+(((IF($A$8=Nutrients!$B$79,Nutrients!$EP$79,(IF($A$8=Nutrients!$B$77,Nutrients!$EP$77,Nutrients!$EP$78)))))*T$8))/2000*1000000</f>
        <v>0.14849999999999999</v>
      </c>
      <c r="U324" s="23">
        <f>(SUMPRODUCT(U$9:U$229,Nutrients!$EP$8:$EP$228)+(IF($A$7=Nutrients!$B$8,Nutrients!$EP$8,Nutrients!$EP$9)*U$7)+(((IF($A$8=Nutrients!$B$79,Nutrients!$EP$79,(IF($A$8=Nutrients!$B$77,Nutrients!$EP$77,Nutrients!$EP$78)))))*U$8))/2000*1000000</f>
        <v>0.14849999999999999</v>
      </c>
      <c r="W324" s="23">
        <f>(SUMPRODUCT(W$9:W$229,Nutrients!$EP$8:$EP$228)+(IF($A$7=Nutrients!$B$8,Nutrients!$EP$8,Nutrients!$EP$9)*W$7)+(((IF($A$8=Nutrients!$B$79,Nutrients!$EP$79,(IF($A$8=Nutrients!$B$77,Nutrients!$EP$77,Nutrients!$EP$78)))))*W$8))/2000*1000000</f>
        <v>0.29699999999999999</v>
      </c>
      <c r="X324" s="23">
        <f>(SUMPRODUCT(X$9:X$229,Nutrients!$EP$8:$EP$228)+(IF($A$7=Nutrients!$B$8,Nutrients!$EP$8,Nutrients!$EP$9)*X$7)+(((IF($A$8=Nutrients!$B$79,Nutrients!$EP$79,(IF($A$8=Nutrients!$B$77,Nutrients!$EP$77,Nutrients!$EP$78)))))*X$8))/2000*1000000</f>
        <v>0.29699999999999999</v>
      </c>
      <c r="Y324" s="23">
        <f>(SUMPRODUCT(Y$9:Y$229,Nutrients!$EP$8:$EP$228)+(IF($A$7=Nutrients!$B$8,Nutrients!$EP$8,Nutrients!$EP$9)*Y$7)+(((IF($A$8=Nutrients!$B$79,Nutrients!$EP$79,(IF($A$8=Nutrients!$B$77,Nutrients!$EP$77,Nutrients!$EP$78)))))*Y$8))/2000*1000000</f>
        <v>0.24750000000000003</v>
      </c>
      <c r="Z324" s="23">
        <f>(SUMPRODUCT(Z$9:Z$229,Nutrients!$EP$8:$EP$228)+(IF($A$7=Nutrients!$B$8,Nutrients!$EP$8,Nutrients!$EP$9)*Z$7)+(((IF($A$8=Nutrients!$B$79,Nutrients!$EP$79,(IF($A$8=Nutrients!$B$77,Nutrients!$EP$77,Nutrients!$EP$78)))))*Z$8))/2000*1000000</f>
        <v>0.19800000000000001</v>
      </c>
      <c r="AA324" s="23">
        <f>(SUMPRODUCT(AA$9:AA$229,Nutrients!$EP$8:$EP$228)+(IF($A$7=Nutrients!$B$8,Nutrients!$EP$8,Nutrients!$EP$9)*AA$7)+(((IF($A$8=Nutrients!$B$79,Nutrients!$EP$79,(IF($A$8=Nutrients!$B$77,Nutrients!$EP$77,Nutrients!$EP$78)))))*AA$8))/2000*1000000</f>
        <v>0.14849999999999999</v>
      </c>
      <c r="AB324" s="23">
        <f>(SUMPRODUCT(AB$9:AB$229,Nutrients!$EP$8:$EP$228)+(IF($A$7=Nutrients!$B$8,Nutrients!$EP$8,Nutrients!$EP$9)*AB$7)+(((IF($A$8=Nutrients!$B$79,Nutrients!$EP$79,(IF($A$8=Nutrients!$B$77,Nutrients!$EP$77,Nutrients!$EP$78)))))*AB$8))/2000*1000000</f>
        <v>0.14849999999999999</v>
      </c>
      <c r="AD324" s="23">
        <f>(SUMPRODUCT(AD$9:AD$229,Nutrients!$EP$8:$EP$228)+(IF($A$7=Nutrients!$B$8,Nutrients!$EP$8,Nutrients!$EP$9)*AD$7)+(((IF($A$8=Nutrients!$B$79,Nutrients!$EP$79,(IF($A$8=Nutrients!$B$77,Nutrients!$EP$77,Nutrients!$EP$78)))))*AD$8))/2000*1000000</f>
        <v>0.29699999999999999</v>
      </c>
      <c r="AE324" s="23">
        <f>(SUMPRODUCT(AE$9:AE$229,Nutrients!$EP$8:$EP$228)+(IF($A$7=Nutrients!$B$8,Nutrients!$EP$8,Nutrients!$EP$9)*AE$7)+(((IF($A$8=Nutrients!$B$79,Nutrients!$EP$79,(IF($A$8=Nutrients!$B$77,Nutrients!$EP$77,Nutrients!$EP$78)))))*AE$8))/2000*1000000</f>
        <v>0.29699999999999999</v>
      </c>
      <c r="AF324" s="23">
        <f>(SUMPRODUCT(AF$9:AF$229,Nutrients!$EP$8:$EP$228)+(IF($A$7=Nutrients!$B$8,Nutrients!$EP$8,Nutrients!$EP$9)*AF$7)+(((IF($A$8=Nutrients!$B$79,Nutrients!$EP$79,(IF($A$8=Nutrients!$B$77,Nutrients!$EP$77,Nutrients!$EP$78)))))*AF$8))/2000*1000000</f>
        <v>0.24750000000000003</v>
      </c>
      <c r="AG324" s="23">
        <f>(SUMPRODUCT(AG$9:AG$229,Nutrients!$EP$8:$EP$228)+(IF($A$7=Nutrients!$B$8,Nutrients!$EP$8,Nutrients!$EP$9)*AG$7)+(((IF($A$8=Nutrients!$B$79,Nutrients!$EP$79,(IF($A$8=Nutrients!$B$77,Nutrients!$EP$77,Nutrients!$EP$78)))))*AG$8))/2000*1000000</f>
        <v>0.19800000000000001</v>
      </c>
      <c r="AH324" s="23">
        <f>(SUMPRODUCT(AH$9:AH$229,Nutrients!$EP$8:$EP$228)+(IF($A$7=Nutrients!$B$8,Nutrients!$EP$8,Nutrients!$EP$9)*AH$7)+(((IF($A$8=Nutrients!$B$79,Nutrients!$EP$79,(IF($A$8=Nutrients!$B$77,Nutrients!$EP$77,Nutrients!$EP$78)))))*AH$8))/2000*1000000</f>
        <v>0.14849999999999999</v>
      </c>
      <c r="AI324" s="23">
        <f>(SUMPRODUCT(AI$9:AI$229,Nutrients!$EP$8:$EP$228)+(IF($A$7=Nutrients!$B$8,Nutrients!$EP$8,Nutrients!$EP$9)*AI$7)+(((IF($A$8=Nutrients!$B$79,Nutrients!$EP$79,(IF($A$8=Nutrients!$B$77,Nutrients!$EP$77,Nutrients!$EP$78)))))*AI$8))/2000*1000000</f>
        <v>0.14849999999999999</v>
      </c>
      <c r="AK324" s="23">
        <f>(SUMPRODUCT(AK$9:AK$229,Nutrients!$EP$8:$EP$228)+(IF($A$7=Nutrients!$B$8,Nutrients!$EP$8,Nutrients!$EP$9)*AK$7)+(((IF($A$8=Nutrients!$B$79,Nutrients!$EP$79,(IF($A$8=Nutrients!$B$77,Nutrients!$EP$77,Nutrients!$EP$78)))))*AK$8))/2000*1000000</f>
        <v>0.29699999999999999</v>
      </c>
      <c r="AL324" s="23">
        <f>(SUMPRODUCT(AL$9:AL$229,Nutrients!$EP$8:$EP$228)+(IF($A$7=Nutrients!$B$8,Nutrients!$EP$8,Nutrients!$EP$9)*AL$7)+(((IF($A$8=Nutrients!$B$79,Nutrients!$EP$79,(IF($A$8=Nutrients!$B$77,Nutrients!$EP$77,Nutrients!$EP$78)))))*AL$8))/2000*1000000</f>
        <v>0.29699999999999999</v>
      </c>
      <c r="AM324" s="23">
        <f>(SUMPRODUCT(AM$9:AM$229,Nutrients!$EP$8:$EP$228)+(IF($A$7=Nutrients!$B$8,Nutrients!$EP$8,Nutrients!$EP$9)*AM$7)+(((IF($A$8=Nutrients!$B$79,Nutrients!$EP$79,(IF($A$8=Nutrients!$B$77,Nutrients!$EP$77,Nutrients!$EP$78)))))*AM$8))/2000*1000000</f>
        <v>0.24750000000000003</v>
      </c>
      <c r="AN324" s="23">
        <f>(SUMPRODUCT(AN$9:AN$229,Nutrients!$EP$8:$EP$228)+(IF($A$7=Nutrients!$B$8,Nutrients!$EP$8,Nutrients!$EP$9)*AN$7)+(((IF($A$8=Nutrients!$B$79,Nutrients!$EP$79,(IF($A$8=Nutrients!$B$77,Nutrients!$EP$77,Nutrients!$EP$78)))))*AN$8))/2000*1000000</f>
        <v>0.19800000000000001</v>
      </c>
      <c r="AO324" s="23">
        <f>(SUMPRODUCT(AO$9:AO$229,Nutrients!$EP$8:$EP$228)+(IF($A$7=Nutrients!$B$8,Nutrients!$EP$8,Nutrients!$EP$9)*AO$7)+(((IF($A$8=Nutrients!$B$79,Nutrients!$EP$79,(IF($A$8=Nutrients!$B$77,Nutrients!$EP$77,Nutrients!$EP$78)))))*AO$8))/2000*1000000</f>
        <v>0.14849999999999999</v>
      </c>
      <c r="AP324" s="23">
        <f>(SUMPRODUCT(AP$9:AP$229,Nutrients!$EP$8:$EP$228)+(IF($A$7=Nutrients!$B$8,Nutrients!$EP$8,Nutrients!$EP$9)*AP$7)+(((IF($A$8=Nutrients!$B$79,Nutrients!$EP$79,(IF($A$8=Nutrients!$B$77,Nutrients!$EP$77,Nutrients!$EP$78)))))*AP$8))/2000*1000000</f>
        <v>0.14849999999999999</v>
      </c>
      <c r="AR324" s="23">
        <f>(SUMPRODUCT(AR$9:AR$229,Nutrients!$EP$8:$EP$228)+(IF($A$7=Nutrients!$B$8,Nutrients!$EP$8,Nutrients!$EP$9)*AR$7)+(((IF($A$8=Nutrients!$B$79,Nutrients!$EP$79,(IF($A$8=Nutrients!$B$77,Nutrients!$EP$77,Nutrients!$EP$78)))))*AR$8))/2000*1000000</f>
        <v>0.29699999999999999</v>
      </c>
      <c r="AS324" s="23">
        <f>(SUMPRODUCT(AS$9:AS$229,Nutrients!$EP$8:$EP$228)+(IF($A$7=Nutrients!$B$8,Nutrients!$EP$8,Nutrients!$EP$9)*AS$7)+(((IF($A$8=Nutrients!$B$79,Nutrients!$EP$79,(IF($A$8=Nutrients!$B$77,Nutrients!$EP$77,Nutrients!$EP$78)))))*AS$8))/2000*1000000</f>
        <v>0.29699999999999999</v>
      </c>
      <c r="AT324" s="23">
        <f>(SUMPRODUCT(AT$9:AT$229,Nutrients!$EP$8:$EP$228)+(IF($A$7=Nutrients!$B$8,Nutrients!$EP$8,Nutrients!$EP$9)*AT$7)+(((IF($A$8=Nutrients!$B$79,Nutrients!$EP$79,(IF($A$8=Nutrients!$B$77,Nutrients!$EP$77,Nutrients!$EP$78)))))*AT$8))/2000*1000000</f>
        <v>0.24750000000000003</v>
      </c>
      <c r="AU324" s="23">
        <f>(SUMPRODUCT(AU$9:AU$229,Nutrients!$EP$8:$EP$228)+(IF($A$7=Nutrients!$B$8,Nutrients!$EP$8,Nutrients!$EP$9)*AU$7)+(((IF($A$8=Nutrients!$B$79,Nutrients!$EP$79,(IF($A$8=Nutrients!$B$77,Nutrients!$EP$77,Nutrients!$EP$78)))))*AU$8))/2000*1000000</f>
        <v>0.19800000000000001</v>
      </c>
      <c r="AV324" s="23">
        <f>(SUMPRODUCT(AV$9:AV$229,Nutrients!$EP$8:$EP$228)+(IF($A$7=Nutrients!$B$8,Nutrients!$EP$8,Nutrients!$EP$9)*AV$7)+(((IF($A$8=Nutrients!$B$79,Nutrients!$EP$79,(IF($A$8=Nutrients!$B$77,Nutrients!$EP$77,Nutrients!$EP$78)))))*AV$8))/2000*1000000</f>
        <v>0.14849999999999999</v>
      </c>
      <c r="AW324" s="23">
        <f>(SUMPRODUCT(AW$9:AW$229,Nutrients!$EP$8:$EP$228)+(IF($A$7=Nutrients!$B$8,Nutrients!$EP$8,Nutrients!$EP$9)*AW$7)+(((IF($A$8=Nutrients!$B$79,Nutrients!$EP$79,(IF($A$8=Nutrients!$B$77,Nutrients!$EP$77,Nutrients!$EP$78)))))*AW$8))/2000*1000000</f>
        <v>0.14849999999999999</v>
      </c>
    </row>
    <row r="325" spans="1:49" x14ac:dyDescent="0.25">
      <c r="A325" s="34" t="s">
        <v>118</v>
      </c>
      <c r="B325" s="21">
        <f>(SUMPRODUCT(B$9:B$229,Nutrients!$EQ$8:$EQ$228)+(IF($A$7=Nutrients!$B$8,Nutrients!$EQ$8,Nutrients!$EQ$9)*B$7)+(((IF($A$8=Nutrients!$B$79,Nutrients!$EQ$79,(IF($A$8=Nutrients!$B$77,Nutrients!$EQ$77,Nutrients!$EQ$78)))))*B$8))/2000*1000000000</f>
        <v>0</v>
      </c>
      <c r="C325" s="21">
        <f>(SUMPRODUCT(C$9:C$229,Nutrients!$EQ$8:$EQ$228)+(IF($A$7=Nutrients!$B$8,Nutrients!$EQ$8,Nutrients!$EQ$9)*C$7)+(((IF($A$8=Nutrients!$B$79,Nutrients!$EQ$79,(IF($A$8=Nutrients!$B$77,Nutrients!$EQ$77,Nutrients!$EQ$78)))))*C$8))/2000*1000000000</f>
        <v>0</v>
      </c>
      <c r="D325" s="21">
        <f>(SUMPRODUCT(D$9:D$229,Nutrients!$EQ$8:$EQ$228)+(IF($A$7=Nutrients!$B$8,Nutrients!$EQ$8,Nutrients!$EQ$9)*D$7)+(((IF($A$8=Nutrients!$B$79,Nutrients!$EQ$79,(IF($A$8=Nutrients!$B$77,Nutrients!$EQ$77,Nutrients!$EQ$78)))))*D$8))/2000*1000000000</f>
        <v>0</v>
      </c>
      <c r="E325" s="21">
        <f>(SUMPRODUCT(E$9:E$229,Nutrients!$EQ$8:$EQ$228)+(IF($A$7=Nutrients!$B$8,Nutrients!$EQ$8,Nutrients!$EQ$9)*E$7)+(((IF($A$8=Nutrients!$B$79,Nutrients!$EQ$79,(IF($A$8=Nutrients!$B$77,Nutrients!$EQ$77,Nutrients!$EQ$78)))))*E$8))/2000*1000000000</f>
        <v>0</v>
      </c>
      <c r="F325" s="21">
        <f>(SUMPRODUCT(F$9:F$229,Nutrients!$EQ$8:$EQ$228)+(IF($A$7=Nutrients!$B$8,Nutrients!$EQ$8,Nutrients!$EQ$9)*F$7)+(((IF($A$8=Nutrients!$B$79,Nutrients!$EQ$79,(IF($A$8=Nutrients!$B$77,Nutrients!$EQ$77,Nutrients!$EQ$78)))))*F$8))/2000*1000000000</f>
        <v>0</v>
      </c>
      <c r="G325" s="21">
        <f>(SUMPRODUCT(G$9:G$229,Nutrients!$EQ$8:$EQ$228)+(IF($A$7=Nutrients!$B$8,Nutrients!$EQ$8,Nutrients!$EQ$9)*G$7)+(((IF($A$8=Nutrients!$B$79,Nutrients!$EQ$79,(IF($A$8=Nutrients!$B$77,Nutrients!$EQ$77,Nutrients!$EQ$78)))))*G$8))/2000*1000000000</f>
        <v>0</v>
      </c>
      <c r="H325" s="226"/>
      <c r="I325" s="21">
        <f>(SUMPRODUCT(I$9:I$229,Nutrients!$EQ$8:$EQ$228)+(IF($A$7=Nutrients!$B$8,Nutrients!$EQ$8,Nutrients!$EQ$9)*I$7)+(((IF($A$8=Nutrients!$B$79,Nutrients!$EQ$79,(IF($A$8=Nutrients!$B$77,Nutrients!$EQ$77,Nutrients!$EQ$78)))))*I$8))/2000*1000000000</f>
        <v>0</v>
      </c>
      <c r="J325" s="21">
        <f>(SUMPRODUCT(J$9:J$229,Nutrients!$EQ$8:$EQ$228)+(IF($A$7=Nutrients!$B$8,Nutrients!$EQ$8,Nutrients!$EQ$9)*J$7)+(((IF($A$8=Nutrients!$B$79,Nutrients!$EQ$79,(IF($A$8=Nutrients!$B$77,Nutrients!$EQ$77,Nutrients!$EQ$78)))))*J$8))/2000*1000000000</f>
        <v>0</v>
      </c>
      <c r="K325" s="21">
        <f>(SUMPRODUCT(K$9:K$229,Nutrients!$EQ$8:$EQ$228)+(IF($A$7=Nutrients!$B$8,Nutrients!$EQ$8,Nutrients!$EQ$9)*K$7)+(((IF($A$8=Nutrients!$B$79,Nutrients!$EQ$79,(IF($A$8=Nutrients!$B$77,Nutrients!$EQ$77,Nutrients!$EQ$78)))))*K$8))/2000*1000000000</f>
        <v>0</v>
      </c>
      <c r="L325" s="21">
        <f>(SUMPRODUCT(L$9:L$229,Nutrients!$EQ$8:$EQ$228)+(IF($A$7=Nutrients!$B$8,Nutrients!$EQ$8,Nutrients!$EQ$9)*L$7)+(((IF($A$8=Nutrients!$B$79,Nutrients!$EQ$79,(IF($A$8=Nutrients!$B$77,Nutrients!$EQ$77,Nutrients!$EQ$78)))))*L$8))/2000*1000000000</f>
        <v>0</v>
      </c>
      <c r="M325" s="21">
        <f>(SUMPRODUCT(M$9:M$229,Nutrients!$EQ$8:$EQ$228)+(IF($A$7=Nutrients!$B$8,Nutrients!$EQ$8,Nutrients!$EQ$9)*M$7)+(((IF($A$8=Nutrients!$B$79,Nutrients!$EQ$79,(IF($A$8=Nutrients!$B$77,Nutrients!$EQ$77,Nutrients!$EQ$78)))))*M$8))/2000*1000000000</f>
        <v>0</v>
      </c>
      <c r="N325" s="21">
        <f>(SUMPRODUCT(N$9:N$229,Nutrients!$EQ$8:$EQ$228)+(IF($A$7=Nutrients!$B$8,Nutrients!$EQ$8,Nutrients!$EQ$9)*N$7)+(((IF($A$8=Nutrients!$B$79,Nutrients!$EQ$79,(IF($A$8=Nutrients!$B$77,Nutrients!$EQ$77,Nutrients!$EQ$78)))))*N$8))/2000*1000000000</f>
        <v>0</v>
      </c>
      <c r="O325" s="198"/>
      <c r="P325" s="21">
        <f>(SUMPRODUCT(P$9:P$229,Nutrients!$EQ$8:$EQ$228)+(IF($A$7=Nutrients!$B$8,Nutrients!$EQ$8,Nutrients!$EQ$9)*P$7)+(((IF($A$8=Nutrients!$B$79,Nutrients!$EQ$79,(IF($A$8=Nutrients!$B$77,Nutrients!$EQ$77,Nutrients!$EQ$78)))))*P$8))/2000*1000000000</f>
        <v>0</v>
      </c>
      <c r="Q325" s="21">
        <f>(SUMPRODUCT(Q$9:Q$229,Nutrients!$EQ$8:$EQ$228)+(IF($A$7=Nutrients!$B$8,Nutrients!$EQ$8,Nutrients!$EQ$9)*Q$7)+(((IF($A$8=Nutrients!$B$79,Nutrients!$EQ$79,(IF($A$8=Nutrients!$B$77,Nutrients!$EQ$77,Nutrients!$EQ$78)))))*Q$8))/2000*1000000000</f>
        <v>0</v>
      </c>
      <c r="R325" s="21">
        <f>(SUMPRODUCT(R$9:R$229,Nutrients!$EQ$8:$EQ$228)+(IF($A$7=Nutrients!$B$8,Nutrients!$EQ$8,Nutrients!$EQ$9)*R$7)+(((IF($A$8=Nutrients!$B$79,Nutrients!$EQ$79,(IF($A$8=Nutrients!$B$77,Nutrients!$EQ$77,Nutrients!$EQ$78)))))*R$8))/2000*1000000000</f>
        <v>0</v>
      </c>
      <c r="S325" s="21">
        <f>(SUMPRODUCT(S$9:S$229,Nutrients!$EQ$8:$EQ$228)+(IF($A$7=Nutrients!$B$8,Nutrients!$EQ$8,Nutrients!$EQ$9)*S$7)+(((IF($A$8=Nutrients!$B$79,Nutrients!$EQ$79,(IF($A$8=Nutrients!$B$77,Nutrients!$EQ$77,Nutrients!$EQ$78)))))*S$8))/2000*1000000000</f>
        <v>0</v>
      </c>
      <c r="T325" s="21">
        <f>(SUMPRODUCT(T$9:T$229,Nutrients!$EQ$8:$EQ$228)+(IF($A$7=Nutrients!$B$8,Nutrients!$EQ$8,Nutrients!$EQ$9)*T$7)+(((IF($A$8=Nutrients!$B$79,Nutrients!$EQ$79,(IF($A$8=Nutrients!$B$77,Nutrients!$EQ$77,Nutrients!$EQ$78)))))*T$8))/2000*1000000000</f>
        <v>0</v>
      </c>
      <c r="U325" s="21">
        <f>(SUMPRODUCT(U$9:U$229,Nutrients!$EQ$8:$EQ$228)+(IF($A$7=Nutrients!$B$8,Nutrients!$EQ$8,Nutrients!$EQ$9)*U$7)+(((IF($A$8=Nutrients!$B$79,Nutrients!$EQ$79,(IF($A$8=Nutrients!$B$77,Nutrients!$EQ$77,Nutrients!$EQ$78)))))*U$8))/2000*1000000000</f>
        <v>0</v>
      </c>
      <c r="W325" s="21">
        <f>(SUMPRODUCT(W$9:W$229,Nutrients!$EQ$8:$EQ$228)+(IF($A$7=Nutrients!$B$8,Nutrients!$EQ$8,Nutrients!$EQ$9)*W$7)+(((IF($A$8=Nutrients!$B$79,Nutrients!$EQ$79,(IF($A$8=Nutrients!$B$77,Nutrients!$EQ$77,Nutrients!$EQ$78)))))*W$8))/2000*1000000000</f>
        <v>0</v>
      </c>
      <c r="X325" s="21">
        <f>(SUMPRODUCT(X$9:X$229,Nutrients!$EQ$8:$EQ$228)+(IF($A$7=Nutrients!$B$8,Nutrients!$EQ$8,Nutrients!$EQ$9)*X$7)+(((IF($A$8=Nutrients!$B$79,Nutrients!$EQ$79,(IF($A$8=Nutrients!$B$77,Nutrients!$EQ$77,Nutrients!$EQ$78)))))*X$8))/2000*1000000000</f>
        <v>0</v>
      </c>
      <c r="Y325" s="21">
        <f>(SUMPRODUCT(Y$9:Y$229,Nutrients!$EQ$8:$EQ$228)+(IF($A$7=Nutrients!$B$8,Nutrients!$EQ$8,Nutrients!$EQ$9)*Y$7)+(((IF($A$8=Nutrients!$B$79,Nutrients!$EQ$79,(IF($A$8=Nutrients!$B$77,Nutrients!$EQ$77,Nutrients!$EQ$78)))))*Y$8))/2000*1000000000</f>
        <v>0</v>
      </c>
      <c r="Z325" s="21">
        <f>(SUMPRODUCT(Z$9:Z$229,Nutrients!$EQ$8:$EQ$228)+(IF($A$7=Nutrients!$B$8,Nutrients!$EQ$8,Nutrients!$EQ$9)*Z$7)+(((IF($A$8=Nutrients!$B$79,Nutrients!$EQ$79,(IF($A$8=Nutrients!$B$77,Nutrients!$EQ$77,Nutrients!$EQ$78)))))*Z$8))/2000*1000000000</f>
        <v>0</v>
      </c>
      <c r="AA325" s="21">
        <f>(SUMPRODUCT(AA$9:AA$229,Nutrients!$EQ$8:$EQ$228)+(IF($A$7=Nutrients!$B$8,Nutrients!$EQ$8,Nutrients!$EQ$9)*AA$7)+(((IF($A$8=Nutrients!$B$79,Nutrients!$EQ$79,(IF($A$8=Nutrients!$B$77,Nutrients!$EQ$77,Nutrients!$EQ$78)))))*AA$8))/2000*1000000000</f>
        <v>0</v>
      </c>
      <c r="AB325" s="21">
        <f>(SUMPRODUCT(AB$9:AB$229,Nutrients!$EQ$8:$EQ$228)+(IF($A$7=Nutrients!$B$8,Nutrients!$EQ$8,Nutrients!$EQ$9)*AB$7)+(((IF($A$8=Nutrients!$B$79,Nutrients!$EQ$79,(IF($A$8=Nutrients!$B$77,Nutrients!$EQ$77,Nutrients!$EQ$78)))))*AB$8))/2000*1000000000</f>
        <v>0</v>
      </c>
      <c r="AD325" s="21">
        <f>(SUMPRODUCT(AD$9:AD$229,Nutrients!$EQ$8:$EQ$228)+(IF($A$7=Nutrients!$B$8,Nutrients!$EQ$8,Nutrients!$EQ$9)*AD$7)+(((IF($A$8=Nutrients!$B$79,Nutrients!$EQ$79,(IF($A$8=Nutrients!$B$77,Nutrients!$EQ$77,Nutrients!$EQ$78)))))*AD$8))/2000*1000000000</f>
        <v>0</v>
      </c>
      <c r="AE325" s="21">
        <f>(SUMPRODUCT(AE$9:AE$229,Nutrients!$EQ$8:$EQ$228)+(IF($A$7=Nutrients!$B$8,Nutrients!$EQ$8,Nutrients!$EQ$9)*AE$7)+(((IF($A$8=Nutrients!$B$79,Nutrients!$EQ$79,(IF($A$8=Nutrients!$B$77,Nutrients!$EQ$77,Nutrients!$EQ$78)))))*AE$8))/2000*1000000000</f>
        <v>0</v>
      </c>
      <c r="AF325" s="21">
        <f>(SUMPRODUCT(AF$9:AF$229,Nutrients!$EQ$8:$EQ$228)+(IF($A$7=Nutrients!$B$8,Nutrients!$EQ$8,Nutrients!$EQ$9)*AF$7)+(((IF($A$8=Nutrients!$B$79,Nutrients!$EQ$79,(IF($A$8=Nutrients!$B$77,Nutrients!$EQ$77,Nutrients!$EQ$78)))))*AF$8))/2000*1000000000</f>
        <v>0</v>
      </c>
      <c r="AG325" s="21">
        <f>(SUMPRODUCT(AG$9:AG$229,Nutrients!$EQ$8:$EQ$228)+(IF($A$7=Nutrients!$B$8,Nutrients!$EQ$8,Nutrients!$EQ$9)*AG$7)+(((IF($A$8=Nutrients!$B$79,Nutrients!$EQ$79,(IF($A$8=Nutrients!$B$77,Nutrients!$EQ$77,Nutrients!$EQ$78)))))*AG$8))/2000*1000000000</f>
        <v>0</v>
      </c>
      <c r="AH325" s="21">
        <f>(SUMPRODUCT(AH$9:AH$229,Nutrients!$EQ$8:$EQ$228)+(IF($A$7=Nutrients!$B$8,Nutrients!$EQ$8,Nutrients!$EQ$9)*AH$7)+(((IF($A$8=Nutrients!$B$79,Nutrients!$EQ$79,(IF($A$8=Nutrients!$B$77,Nutrients!$EQ$77,Nutrients!$EQ$78)))))*AH$8))/2000*1000000000</f>
        <v>0</v>
      </c>
      <c r="AI325" s="21">
        <f>(SUMPRODUCT(AI$9:AI$229,Nutrients!$EQ$8:$EQ$228)+(IF($A$7=Nutrients!$B$8,Nutrients!$EQ$8,Nutrients!$EQ$9)*AI$7)+(((IF($A$8=Nutrients!$B$79,Nutrients!$EQ$79,(IF($A$8=Nutrients!$B$77,Nutrients!$EQ$77,Nutrients!$EQ$78)))))*AI$8))/2000*1000000000</f>
        <v>0</v>
      </c>
      <c r="AK325" s="21">
        <f>(SUMPRODUCT(AK$9:AK$229,Nutrients!$EQ$8:$EQ$228)+(IF($A$7=Nutrients!$B$8,Nutrients!$EQ$8,Nutrients!$EQ$9)*AK$7)+(((IF($A$8=Nutrients!$B$79,Nutrients!$EQ$79,(IF($A$8=Nutrients!$B$77,Nutrients!$EQ$77,Nutrients!$EQ$78)))))*AK$8))/2000*1000000000</f>
        <v>0</v>
      </c>
      <c r="AL325" s="21">
        <f>(SUMPRODUCT(AL$9:AL$229,Nutrients!$EQ$8:$EQ$228)+(IF($A$7=Nutrients!$B$8,Nutrients!$EQ$8,Nutrients!$EQ$9)*AL$7)+(((IF($A$8=Nutrients!$B$79,Nutrients!$EQ$79,(IF($A$8=Nutrients!$B$77,Nutrients!$EQ$77,Nutrients!$EQ$78)))))*AL$8))/2000*1000000000</f>
        <v>0</v>
      </c>
      <c r="AM325" s="21">
        <f>(SUMPRODUCT(AM$9:AM$229,Nutrients!$EQ$8:$EQ$228)+(IF($A$7=Nutrients!$B$8,Nutrients!$EQ$8,Nutrients!$EQ$9)*AM$7)+(((IF($A$8=Nutrients!$B$79,Nutrients!$EQ$79,(IF($A$8=Nutrients!$B$77,Nutrients!$EQ$77,Nutrients!$EQ$78)))))*AM$8))/2000*1000000000</f>
        <v>0</v>
      </c>
      <c r="AN325" s="21">
        <f>(SUMPRODUCT(AN$9:AN$229,Nutrients!$EQ$8:$EQ$228)+(IF($A$7=Nutrients!$B$8,Nutrients!$EQ$8,Nutrients!$EQ$9)*AN$7)+(((IF($A$8=Nutrients!$B$79,Nutrients!$EQ$79,(IF($A$8=Nutrients!$B$77,Nutrients!$EQ$77,Nutrients!$EQ$78)))))*AN$8))/2000*1000000000</f>
        <v>0</v>
      </c>
      <c r="AO325" s="21">
        <f>(SUMPRODUCT(AO$9:AO$229,Nutrients!$EQ$8:$EQ$228)+(IF($A$7=Nutrients!$B$8,Nutrients!$EQ$8,Nutrients!$EQ$9)*AO$7)+(((IF($A$8=Nutrients!$B$79,Nutrients!$EQ$79,(IF($A$8=Nutrients!$B$77,Nutrients!$EQ$77,Nutrients!$EQ$78)))))*AO$8))/2000*1000000000</f>
        <v>0</v>
      </c>
      <c r="AP325" s="21">
        <f>(SUMPRODUCT(AP$9:AP$229,Nutrients!$EQ$8:$EQ$228)+(IF($A$7=Nutrients!$B$8,Nutrients!$EQ$8,Nutrients!$EQ$9)*AP$7)+(((IF($A$8=Nutrients!$B$79,Nutrients!$EQ$79,(IF($A$8=Nutrients!$B$77,Nutrients!$EQ$77,Nutrients!$EQ$78)))))*AP$8))/2000*1000000000</f>
        <v>0</v>
      </c>
      <c r="AR325" s="21">
        <f>(SUMPRODUCT(AR$9:AR$229,Nutrients!$EQ$8:$EQ$228)+(IF($A$7=Nutrients!$B$8,Nutrients!$EQ$8,Nutrients!$EQ$9)*AR$7)+(((IF($A$8=Nutrients!$B$79,Nutrients!$EQ$79,(IF($A$8=Nutrients!$B$77,Nutrients!$EQ$77,Nutrients!$EQ$78)))))*AR$8))/2000*1000000000</f>
        <v>0</v>
      </c>
      <c r="AS325" s="21">
        <f>(SUMPRODUCT(AS$9:AS$229,Nutrients!$EQ$8:$EQ$228)+(IF($A$7=Nutrients!$B$8,Nutrients!$EQ$8,Nutrients!$EQ$9)*AS$7)+(((IF($A$8=Nutrients!$B$79,Nutrients!$EQ$79,(IF($A$8=Nutrients!$B$77,Nutrients!$EQ$77,Nutrients!$EQ$78)))))*AS$8))/2000*1000000000</f>
        <v>0</v>
      </c>
      <c r="AT325" s="21">
        <f>(SUMPRODUCT(AT$9:AT$229,Nutrients!$EQ$8:$EQ$228)+(IF($A$7=Nutrients!$B$8,Nutrients!$EQ$8,Nutrients!$EQ$9)*AT$7)+(((IF($A$8=Nutrients!$B$79,Nutrients!$EQ$79,(IF($A$8=Nutrients!$B$77,Nutrients!$EQ$77,Nutrients!$EQ$78)))))*AT$8))/2000*1000000000</f>
        <v>0</v>
      </c>
      <c r="AU325" s="21">
        <f>(SUMPRODUCT(AU$9:AU$229,Nutrients!$EQ$8:$EQ$228)+(IF($A$7=Nutrients!$B$8,Nutrients!$EQ$8,Nutrients!$EQ$9)*AU$7)+(((IF($A$8=Nutrients!$B$79,Nutrients!$EQ$79,(IF($A$8=Nutrients!$B$77,Nutrients!$EQ$77,Nutrients!$EQ$78)))))*AU$8))/2000*1000000000</f>
        <v>0</v>
      </c>
      <c r="AV325" s="21">
        <f>(SUMPRODUCT(AV$9:AV$229,Nutrients!$EQ$8:$EQ$228)+(IF($A$7=Nutrients!$B$8,Nutrients!$EQ$8,Nutrients!$EQ$9)*AV$7)+(((IF($A$8=Nutrients!$B$79,Nutrients!$EQ$79,(IF($A$8=Nutrients!$B$77,Nutrients!$EQ$77,Nutrients!$EQ$78)))))*AV$8))/2000*1000000000</f>
        <v>0</v>
      </c>
      <c r="AW325" s="21">
        <f>(SUMPRODUCT(AW$9:AW$229,Nutrients!$EQ$8:$EQ$228)+(IF($A$7=Nutrients!$B$8,Nutrients!$EQ$8,Nutrients!$EQ$9)*AW$7)+(((IF($A$8=Nutrients!$B$79,Nutrients!$EQ$79,(IF($A$8=Nutrients!$B$77,Nutrients!$EQ$77,Nutrients!$EQ$78)))))*AW$8))/2000*1000000000</f>
        <v>0</v>
      </c>
    </row>
    <row r="326" spans="1:49" x14ac:dyDescent="0.25">
      <c r="O326" s="234"/>
    </row>
    <row r="327" spans="1:49" x14ac:dyDescent="0.25">
      <c r="A327" s="34" t="s">
        <v>119</v>
      </c>
    </row>
    <row r="328" spans="1:49" x14ac:dyDescent="0.25">
      <c r="A328" s="34" t="s">
        <v>121</v>
      </c>
      <c r="B328" s="21">
        <f>(SUMPRODUCT(B$9:B$229,Nutrients!$ES$8:$ES$228)+(IF($A$7=Nutrients!$B$8,Nutrients!$ES$8,Nutrients!$ES$9)*B$7)+(((IF($A$8=Nutrients!$B$79,Nutrients!$ES$79,(IF($A$8=Nutrients!$B$77,Nutrients!$ES$77,Nutrients!$ES$78)))))*B$8))</f>
        <v>2250000</v>
      </c>
      <c r="C328" s="21">
        <f>(SUMPRODUCT(C$9:C$229,Nutrients!$ES$8:$ES$228)+(IF($A$7=Nutrients!$B$8,Nutrients!$ES$8,Nutrients!$ES$9)*C$7)+(((IF($A$8=Nutrients!$B$79,Nutrients!$ES$79,(IF($A$8=Nutrients!$B$77,Nutrients!$ES$77,Nutrients!$ES$78)))))*C$8))</f>
        <v>2250000</v>
      </c>
      <c r="D328" s="21">
        <f>(SUMPRODUCT(D$9:D$229,Nutrients!$ES$8:$ES$228)+(IF($A$7=Nutrients!$B$8,Nutrients!$ES$8,Nutrients!$ES$9)*D$7)+(((IF($A$8=Nutrients!$B$79,Nutrients!$ES$79,(IF($A$8=Nutrients!$B$77,Nutrients!$ES$77,Nutrients!$ES$78)))))*D$8))</f>
        <v>1875000</v>
      </c>
      <c r="E328" s="21">
        <f>(SUMPRODUCT(E$9:E$229,Nutrients!$ES$8:$ES$228)+(IF($A$7=Nutrients!$B$8,Nutrients!$ES$8,Nutrients!$ES$9)*E$7)+(((IF($A$8=Nutrients!$B$79,Nutrients!$ES$79,(IF($A$8=Nutrients!$B$77,Nutrients!$ES$77,Nutrients!$ES$78)))))*E$8))</f>
        <v>1500000</v>
      </c>
      <c r="F328" s="21">
        <f>(SUMPRODUCT(F$9:F$229,Nutrients!$ES$8:$ES$228)+(IF($A$7=Nutrients!$B$8,Nutrients!$ES$8,Nutrients!$ES$9)*F$7)+(((IF($A$8=Nutrients!$B$79,Nutrients!$ES$79,(IF($A$8=Nutrients!$B$77,Nutrients!$ES$77,Nutrients!$ES$78)))))*F$8))</f>
        <v>1125000</v>
      </c>
      <c r="G328" s="21">
        <f>(SUMPRODUCT(G$9:G$229,Nutrients!$ES$8:$ES$228)+(IF($A$7=Nutrients!$B$8,Nutrients!$ES$8,Nutrients!$ES$9)*G$7)+(((IF($A$8=Nutrients!$B$79,Nutrients!$ES$79,(IF($A$8=Nutrients!$B$77,Nutrients!$ES$77,Nutrients!$ES$78)))))*G$8))</f>
        <v>1125000</v>
      </c>
      <c r="H328" s="226"/>
      <c r="I328" s="21">
        <f>(SUMPRODUCT(I$9:I$229,Nutrients!$ES$8:$ES$228)+(IF($A$7=Nutrients!$B$8,Nutrients!$ES$8,Nutrients!$ES$9)*I$7)+(((IF($A$8=Nutrients!$B$79,Nutrients!$ES$79,(IF($A$8=Nutrients!$B$77,Nutrients!$ES$77,Nutrients!$ES$78)))))*I$8))</f>
        <v>2250000</v>
      </c>
      <c r="J328" s="21">
        <f>(SUMPRODUCT(J$9:J$229,Nutrients!$ES$8:$ES$228)+(IF($A$7=Nutrients!$B$8,Nutrients!$ES$8,Nutrients!$ES$9)*J$7)+(((IF($A$8=Nutrients!$B$79,Nutrients!$ES$79,(IF($A$8=Nutrients!$B$77,Nutrients!$ES$77,Nutrients!$ES$78)))))*J$8))</f>
        <v>2250000</v>
      </c>
      <c r="K328" s="21">
        <f>(SUMPRODUCT(K$9:K$229,Nutrients!$ES$8:$ES$228)+(IF($A$7=Nutrients!$B$8,Nutrients!$ES$8,Nutrients!$ES$9)*K$7)+(((IF($A$8=Nutrients!$B$79,Nutrients!$ES$79,(IF($A$8=Nutrients!$B$77,Nutrients!$ES$77,Nutrients!$ES$78)))))*K$8))</f>
        <v>1875000</v>
      </c>
      <c r="L328" s="21">
        <f>(SUMPRODUCT(L$9:L$229,Nutrients!$ES$8:$ES$228)+(IF($A$7=Nutrients!$B$8,Nutrients!$ES$8,Nutrients!$ES$9)*L$7)+(((IF($A$8=Nutrients!$B$79,Nutrients!$ES$79,(IF($A$8=Nutrients!$B$77,Nutrients!$ES$77,Nutrients!$ES$78)))))*L$8))</f>
        <v>1500000</v>
      </c>
      <c r="M328" s="21">
        <f>(SUMPRODUCT(M$9:M$229,Nutrients!$ES$8:$ES$228)+(IF($A$7=Nutrients!$B$8,Nutrients!$ES$8,Nutrients!$ES$9)*M$7)+(((IF($A$8=Nutrients!$B$79,Nutrients!$ES$79,(IF($A$8=Nutrients!$B$77,Nutrients!$ES$77,Nutrients!$ES$78)))))*M$8))</f>
        <v>1125000</v>
      </c>
      <c r="N328" s="21">
        <f>(SUMPRODUCT(N$9:N$229,Nutrients!$ES$8:$ES$228)+(IF($A$7=Nutrients!$B$8,Nutrients!$ES$8,Nutrients!$ES$9)*N$7)+(((IF($A$8=Nutrients!$B$79,Nutrients!$ES$79,(IF($A$8=Nutrients!$B$77,Nutrients!$ES$77,Nutrients!$ES$78)))))*N$8))</f>
        <v>1125000</v>
      </c>
      <c r="P328" s="21">
        <f>(SUMPRODUCT(P$9:P$229,Nutrients!$ES$8:$ES$228)+(IF($A$7=Nutrients!$B$8,Nutrients!$ES$8,Nutrients!$ES$9)*P$7)+(((IF($A$8=Nutrients!$B$79,Nutrients!$ES$79,(IF($A$8=Nutrients!$B$77,Nutrients!$ES$77,Nutrients!$ES$78)))))*P$8))</f>
        <v>2250000</v>
      </c>
      <c r="Q328" s="21">
        <f>(SUMPRODUCT(Q$9:Q$229,Nutrients!$ES$8:$ES$228)+(IF($A$7=Nutrients!$B$8,Nutrients!$ES$8,Nutrients!$ES$9)*Q$7)+(((IF($A$8=Nutrients!$B$79,Nutrients!$ES$79,(IF($A$8=Nutrients!$B$77,Nutrients!$ES$77,Nutrients!$ES$78)))))*Q$8))</f>
        <v>2250000</v>
      </c>
      <c r="R328" s="21">
        <f>(SUMPRODUCT(R$9:R$229,Nutrients!$ES$8:$ES$228)+(IF($A$7=Nutrients!$B$8,Nutrients!$ES$8,Nutrients!$ES$9)*R$7)+(((IF($A$8=Nutrients!$B$79,Nutrients!$ES$79,(IF($A$8=Nutrients!$B$77,Nutrients!$ES$77,Nutrients!$ES$78)))))*R$8))</f>
        <v>1875000</v>
      </c>
      <c r="S328" s="21">
        <f>(SUMPRODUCT(S$9:S$229,Nutrients!$ES$8:$ES$228)+(IF($A$7=Nutrients!$B$8,Nutrients!$ES$8,Nutrients!$ES$9)*S$7)+(((IF($A$8=Nutrients!$B$79,Nutrients!$ES$79,(IF($A$8=Nutrients!$B$77,Nutrients!$ES$77,Nutrients!$ES$78)))))*S$8))</f>
        <v>1500000</v>
      </c>
      <c r="T328" s="21">
        <f>(SUMPRODUCT(T$9:T$229,Nutrients!$ES$8:$ES$228)+(IF($A$7=Nutrients!$B$8,Nutrients!$ES$8,Nutrients!$ES$9)*T$7)+(((IF($A$8=Nutrients!$B$79,Nutrients!$ES$79,(IF($A$8=Nutrients!$B$77,Nutrients!$ES$77,Nutrients!$ES$78)))))*T$8))</f>
        <v>1125000</v>
      </c>
      <c r="U328" s="21">
        <f>(SUMPRODUCT(U$9:U$229,Nutrients!$ES$8:$ES$228)+(IF($A$7=Nutrients!$B$8,Nutrients!$ES$8,Nutrients!$ES$9)*U$7)+(((IF($A$8=Nutrients!$B$79,Nutrients!$ES$79,(IF($A$8=Nutrients!$B$77,Nutrients!$ES$77,Nutrients!$ES$78)))))*U$8))</f>
        <v>1125000</v>
      </c>
      <c r="W328" s="21">
        <f>(SUMPRODUCT(W$9:W$229,Nutrients!$ES$8:$ES$228)+(IF($A$7=Nutrients!$B$8,Nutrients!$ES$8,Nutrients!$ES$9)*W$7)+(((IF($A$8=Nutrients!$B$79,Nutrients!$ES$79,(IF($A$8=Nutrients!$B$77,Nutrients!$ES$77,Nutrients!$ES$78)))))*W$8))</f>
        <v>2250000</v>
      </c>
      <c r="X328" s="21">
        <f>(SUMPRODUCT(X$9:X$229,Nutrients!$ES$8:$ES$228)+(IF($A$7=Nutrients!$B$8,Nutrients!$ES$8,Nutrients!$ES$9)*X$7)+(((IF($A$8=Nutrients!$B$79,Nutrients!$ES$79,(IF($A$8=Nutrients!$B$77,Nutrients!$ES$77,Nutrients!$ES$78)))))*X$8))</f>
        <v>2250000</v>
      </c>
      <c r="Y328" s="21">
        <f>(SUMPRODUCT(Y$9:Y$229,Nutrients!$ES$8:$ES$228)+(IF($A$7=Nutrients!$B$8,Nutrients!$ES$8,Nutrients!$ES$9)*Y$7)+(((IF($A$8=Nutrients!$B$79,Nutrients!$ES$79,(IF($A$8=Nutrients!$B$77,Nutrients!$ES$77,Nutrients!$ES$78)))))*Y$8))</f>
        <v>1875000</v>
      </c>
      <c r="Z328" s="21">
        <f>(SUMPRODUCT(Z$9:Z$229,Nutrients!$ES$8:$ES$228)+(IF($A$7=Nutrients!$B$8,Nutrients!$ES$8,Nutrients!$ES$9)*Z$7)+(((IF($A$8=Nutrients!$B$79,Nutrients!$ES$79,(IF($A$8=Nutrients!$B$77,Nutrients!$ES$77,Nutrients!$ES$78)))))*Z$8))</f>
        <v>1500000</v>
      </c>
      <c r="AA328" s="21">
        <f>(SUMPRODUCT(AA$9:AA$229,Nutrients!$ES$8:$ES$228)+(IF($A$7=Nutrients!$B$8,Nutrients!$ES$8,Nutrients!$ES$9)*AA$7)+(((IF($A$8=Nutrients!$B$79,Nutrients!$ES$79,(IF($A$8=Nutrients!$B$77,Nutrients!$ES$77,Nutrients!$ES$78)))))*AA$8))</f>
        <v>1125000</v>
      </c>
      <c r="AB328" s="21">
        <f>(SUMPRODUCT(AB$9:AB$229,Nutrients!$ES$8:$ES$228)+(IF($A$7=Nutrients!$B$8,Nutrients!$ES$8,Nutrients!$ES$9)*AB$7)+(((IF($A$8=Nutrients!$B$79,Nutrients!$ES$79,(IF($A$8=Nutrients!$B$77,Nutrients!$ES$77,Nutrients!$ES$78)))))*AB$8))</f>
        <v>1125000</v>
      </c>
      <c r="AD328" s="21">
        <f>(SUMPRODUCT(AD$9:AD$229,Nutrients!$ES$8:$ES$228)+(IF($A$7=Nutrients!$B$8,Nutrients!$ES$8,Nutrients!$ES$9)*AD$7)+(((IF($A$8=Nutrients!$B$79,Nutrients!$ES$79,(IF($A$8=Nutrients!$B$77,Nutrients!$ES$77,Nutrients!$ES$78)))))*AD$8))</f>
        <v>2250000</v>
      </c>
      <c r="AE328" s="21">
        <f>(SUMPRODUCT(AE$9:AE$229,Nutrients!$ES$8:$ES$228)+(IF($A$7=Nutrients!$B$8,Nutrients!$ES$8,Nutrients!$ES$9)*AE$7)+(((IF($A$8=Nutrients!$B$79,Nutrients!$ES$79,(IF($A$8=Nutrients!$B$77,Nutrients!$ES$77,Nutrients!$ES$78)))))*AE$8))</f>
        <v>2250000</v>
      </c>
      <c r="AF328" s="21">
        <f>(SUMPRODUCT(AF$9:AF$229,Nutrients!$ES$8:$ES$228)+(IF($A$7=Nutrients!$B$8,Nutrients!$ES$8,Nutrients!$ES$9)*AF$7)+(((IF($A$8=Nutrients!$B$79,Nutrients!$ES$79,(IF($A$8=Nutrients!$B$77,Nutrients!$ES$77,Nutrients!$ES$78)))))*AF$8))</f>
        <v>1875000</v>
      </c>
      <c r="AG328" s="21">
        <f>(SUMPRODUCT(AG$9:AG$229,Nutrients!$ES$8:$ES$228)+(IF($A$7=Nutrients!$B$8,Nutrients!$ES$8,Nutrients!$ES$9)*AG$7)+(((IF($A$8=Nutrients!$B$79,Nutrients!$ES$79,(IF($A$8=Nutrients!$B$77,Nutrients!$ES$77,Nutrients!$ES$78)))))*AG$8))</f>
        <v>1500000</v>
      </c>
      <c r="AH328" s="21">
        <f>(SUMPRODUCT(AH$9:AH$229,Nutrients!$ES$8:$ES$228)+(IF($A$7=Nutrients!$B$8,Nutrients!$ES$8,Nutrients!$ES$9)*AH$7)+(((IF($A$8=Nutrients!$B$79,Nutrients!$ES$79,(IF($A$8=Nutrients!$B$77,Nutrients!$ES$77,Nutrients!$ES$78)))))*AH$8))</f>
        <v>1125000</v>
      </c>
      <c r="AI328" s="21">
        <f>(SUMPRODUCT(AI$9:AI$229,Nutrients!$ES$8:$ES$228)+(IF($A$7=Nutrients!$B$8,Nutrients!$ES$8,Nutrients!$ES$9)*AI$7)+(((IF($A$8=Nutrients!$B$79,Nutrients!$ES$79,(IF($A$8=Nutrients!$B$77,Nutrients!$ES$77,Nutrients!$ES$78)))))*AI$8))</f>
        <v>1125000</v>
      </c>
      <c r="AK328" s="21">
        <f>(SUMPRODUCT(AK$9:AK$229,Nutrients!$ES$8:$ES$228)+(IF($A$7=Nutrients!$B$8,Nutrients!$ES$8,Nutrients!$ES$9)*AK$7)+(((IF($A$8=Nutrients!$B$79,Nutrients!$ES$79,(IF($A$8=Nutrients!$B$77,Nutrients!$ES$77,Nutrients!$ES$78)))))*AK$8))</f>
        <v>2250000</v>
      </c>
      <c r="AL328" s="21">
        <f>(SUMPRODUCT(AL$9:AL$229,Nutrients!$ES$8:$ES$228)+(IF($A$7=Nutrients!$B$8,Nutrients!$ES$8,Nutrients!$ES$9)*AL$7)+(((IF($A$8=Nutrients!$B$79,Nutrients!$ES$79,(IF($A$8=Nutrients!$B$77,Nutrients!$ES$77,Nutrients!$ES$78)))))*AL$8))</f>
        <v>2250000</v>
      </c>
      <c r="AM328" s="21">
        <f>(SUMPRODUCT(AM$9:AM$229,Nutrients!$ES$8:$ES$228)+(IF($A$7=Nutrients!$B$8,Nutrients!$ES$8,Nutrients!$ES$9)*AM$7)+(((IF($A$8=Nutrients!$B$79,Nutrients!$ES$79,(IF($A$8=Nutrients!$B$77,Nutrients!$ES$77,Nutrients!$ES$78)))))*AM$8))</f>
        <v>1875000</v>
      </c>
      <c r="AN328" s="21">
        <f>(SUMPRODUCT(AN$9:AN$229,Nutrients!$ES$8:$ES$228)+(IF($A$7=Nutrients!$B$8,Nutrients!$ES$8,Nutrients!$ES$9)*AN$7)+(((IF($A$8=Nutrients!$B$79,Nutrients!$ES$79,(IF($A$8=Nutrients!$B$77,Nutrients!$ES$77,Nutrients!$ES$78)))))*AN$8))</f>
        <v>1500000</v>
      </c>
      <c r="AO328" s="21">
        <f>(SUMPRODUCT(AO$9:AO$229,Nutrients!$ES$8:$ES$228)+(IF($A$7=Nutrients!$B$8,Nutrients!$ES$8,Nutrients!$ES$9)*AO$7)+(((IF($A$8=Nutrients!$B$79,Nutrients!$ES$79,(IF($A$8=Nutrients!$B$77,Nutrients!$ES$77,Nutrients!$ES$78)))))*AO$8))</f>
        <v>1125000</v>
      </c>
      <c r="AP328" s="21">
        <f>(SUMPRODUCT(AP$9:AP$229,Nutrients!$ES$8:$ES$228)+(IF($A$7=Nutrients!$B$8,Nutrients!$ES$8,Nutrients!$ES$9)*AP$7)+(((IF($A$8=Nutrients!$B$79,Nutrients!$ES$79,(IF($A$8=Nutrients!$B$77,Nutrients!$ES$77,Nutrients!$ES$78)))))*AP$8))</f>
        <v>1125000</v>
      </c>
      <c r="AR328" s="21">
        <f>(SUMPRODUCT(AR$9:AR$229,Nutrients!$ES$8:$ES$228)+(IF($A$7=Nutrients!$B$8,Nutrients!$ES$8,Nutrients!$ES$9)*AR$7)+(((IF($A$8=Nutrients!$B$79,Nutrients!$ES$79,(IF($A$8=Nutrients!$B$77,Nutrients!$ES$77,Nutrients!$ES$78)))))*AR$8))</f>
        <v>2250000</v>
      </c>
      <c r="AS328" s="21">
        <f>(SUMPRODUCT(AS$9:AS$229,Nutrients!$ES$8:$ES$228)+(IF($A$7=Nutrients!$B$8,Nutrients!$ES$8,Nutrients!$ES$9)*AS$7)+(((IF($A$8=Nutrients!$B$79,Nutrients!$ES$79,(IF($A$8=Nutrients!$B$77,Nutrients!$ES$77,Nutrients!$ES$78)))))*AS$8))</f>
        <v>2250000</v>
      </c>
      <c r="AT328" s="21">
        <f>(SUMPRODUCT(AT$9:AT$229,Nutrients!$ES$8:$ES$228)+(IF($A$7=Nutrients!$B$8,Nutrients!$ES$8,Nutrients!$ES$9)*AT$7)+(((IF($A$8=Nutrients!$B$79,Nutrients!$ES$79,(IF($A$8=Nutrients!$B$77,Nutrients!$ES$77,Nutrients!$ES$78)))))*AT$8))</f>
        <v>1875000</v>
      </c>
      <c r="AU328" s="21">
        <f>(SUMPRODUCT(AU$9:AU$229,Nutrients!$ES$8:$ES$228)+(IF($A$7=Nutrients!$B$8,Nutrients!$ES$8,Nutrients!$ES$9)*AU$7)+(((IF($A$8=Nutrients!$B$79,Nutrients!$ES$79,(IF($A$8=Nutrients!$B$77,Nutrients!$ES$77,Nutrients!$ES$78)))))*AU$8))</f>
        <v>1500000</v>
      </c>
      <c r="AV328" s="21">
        <f>(SUMPRODUCT(AV$9:AV$229,Nutrients!$ES$8:$ES$228)+(IF($A$7=Nutrients!$B$8,Nutrients!$ES$8,Nutrients!$ES$9)*AV$7)+(((IF($A$8=Nutrients!$B$79,Nutrients!$ES$79,(IF($A$8=Nutrients!$B$77,Nutrients!$ES$77,Nutrients!$ES$78)))))*AV$8))</f>
        <v>1125000</v>
      </c>
      <c r="AW328" s="21">
        <f>(SUMPRODUCT(AW$9:AW$229,Nutrients!$ES$8:$ES$228)+(IF($A$7=Nutrients!$B$8,Nutrients!$ES$8,Nutrients!$ES$9)*AW$7)+(((IF($A$8=Nutrients!$B$79,Nutrients!$ES$79,(IF($A$8=Nutrients!$B$77,Nutrients!$ES$77,Nutrients!$ES$78)))))*AW$8))</f>
        <v>1125000</v>
      </c>
    </row>
    <row r="329" spans="1:49" x14ac:dyDescent="0.25">
      <c r="A329" s="34" t="s">
        <v>122</v>
      </c>
      <c r="B329" s="21">
        <f>(SUMPRODUCT(B$9:B$229,Nutrients!$ET$8:$ET$228)+(IF($A$7=Nutrients!$B$8,Nutrients!$ET$8,Nutrients!$ET$9)*B$7)+(((IF($A$8=Nutrients!$B$79,Nutrients!$ET$79,(IF($A$8=Nutrients!$B$77,Nutrients!$ET$77,Nutrients!$ET$78)))))*B$8))</f>
        <v>900000</v>
      </c>
      <c r="C329" s="21">
        <f>(SUMPRODUCT(C$9:C$229,Nutrients!$ET$8:$ET$228)+(IF($A$7=Nutrients!$B$8,Nutrients!$ET$8,Nutrients!$ET$9)*C$7)+(((IF($A$8=Nutrients!$B$79,Nutrients!$ET$79,(IF($A$8=Nutrients!$B$77,Nutrients!$ET$77,Nutrients!$ET$78)))))*C$8))</f>
        <v>900000</v>
      </c>
      <c r="D329" s="21">
        <f>(SUMPRODUCT(D$9:D$229,Nutrients!$ET$8:$ET$228)+(IF($A$7=Nutrients!$B$8,Nutrients!$ET$8,Nutrients!$ET$9)*D$7)+(((IF($A$8=Nutrients!$B$79,Nutrients!$ET$79,(IF($A$8=Nutrients!$B$77,Nutrients!$ET$77,Nutrients!$ET$78)))))*D$8))</f>
        <v>750000</v>
      </c>
      <c r="E329" s="21">
        <f>(SUMPRODUCT(E$9:E$229,Nutrients!$ET$8:$ET$228)+(IF($A$7=Nutrients!$B$8,Nutrients!$ET$8,Nutrients!$ET$9)*E$7)+(((IF($A$8=Nutrients!$B$79,Nutrients!$ET$79,(IF($A$8=Nutrients!$B$77,Nutrients!$ET$77,Nutrients!$ET$78)))))*E$8))</f>
        <v>600000</v>
      </c>
      <c r="F329" s="21">
        <f>(SUMPRODUCT(F$9:F$229,Nutrients!$ET$8:$ET$228)+(IF($A$7=Nutrients!$B$8,Nutrients!$ET$8,Nutrients!$ET$9)*F$7)+(((IF($A$8=Nutrients!$B$79,Nutrients!$ET$79,(IF($A$8=Nutrients!$B$77,Nutrients!$ET$77,Nutrients!$ET$78)))))*F$8))</f>
        <v>450000</v>
      </c>
      <c r="G329" s="21">
        <f>(SUMPRODUCT(G$9:G$229,Nutrients!$ET$8:$ET$228)+(IF($A$7=Nutrients!$B$8,Nutrients!$ET$8,Nutrients!$ET$9)*G$7)+(((IF($A$8=Nutrients!$B$79,Nutrients!$ET$79,(IF($A$8=Nutrients!$B$77,Nutrients!$ET$77,Nutrients!$ET$78)))))*G$8))</f>
        <v>450000</v>
      </c>
      <c r="H329" s="226"/>
      <c r="I329" s="21">
        <f>(SUMPRODUCT(I$9:I$229,Nutrients!$ET$8:$ET$228)+(IF($A$7=Nutrients!$B$8,Nutrients!$ET$8,Nutrients!$ET$9)*I$7)+(((IF($A$8=Nutrients!$B$79,Nutrients!$ET$79,(IF($A$8=Nutrients!$B$77,Nutrients!$ET$77,Nutrients!$ET$78)))))*I$8))</f>
        <v>900000</v>
      </c>
      <c r="J329" s="21">
        <f>(SUMPRODUCT(J$9:J$229,Nutrients!$ET$8:$ET$228)+(IF($A$7=Nutrients!$B$8,Nutrients!$ET$8,Nutrients!$ET$9)*J$7)+(((IF($A$8=Nutrients!$B$79,Nutrients!$ET$79,(IF($A$8=Nutrients!$B$77,Nutrients!$ET$77,Nutrients!$ET$78)))))*J$8))</f>
        <v>900000</v>
      </c>
      <c r="K329" s="21">
        <f>(SUMPRODUCT(K$9:K$229,Nutrients!$ET$8:$ET$228)+(IF($A$7=Nutrients!$B$8,Nutrients!$ET$8,Nutrients!$ET$9)*K$7)+(((IF($A$8=Nutrients!$B$79,Nutrients!$ET$79,(IF($A$8=Nutrients!$B$77,Nutrients!$ET$77,Nutrients!$ET$78)))))*K$8))</f>
        <v>750000</v>
      </c>
      <c r="L329" s="21">
        <f>(SUMPRODUCT(L$9:L$229,Nutrients!$ET$8:$ET$228)+(IF($A$7=Nutrients!$B$8,Nutrients!$ET$8,Nutrients!$ET$9)*L$7)+(((IF($A$8=Nutrients!$B$79,Nutrients!$ET$79,(IF($A$8=Nutrients!$B$77,Nutrients!$ET$77,Nutrients!$ET$78)))))*L$8))</f>
        <v>600000</v>
      </c>
      <c r="M329" s="21">
        <f>(SUMPRODUCT(M$9:M$229,Nutrients!$ET$8:$ET$228)+(IF($A$7=Nutrients!$B$8,Nutrients!$ET$8,Nutrients!$ET$9)*M$7)+(((IF($A$8=Nutrients!$B$79,Nutrients!$ET$79,(IF($A$8=Nutrients!$B$77,Nutrients!$ET$77,Nutrients!$ET$78)))))*M$8))</f>
        <v>450000</v>
      </c>
      <c r="N329" s="21">
        <f>(SUMPRODUCT(N$9:N$229,Nutrients!$ET$8:$ET$228)+(IF($A$7=Nutrients!$B$8,Nutrients!$ET$8,Nutrients!$ET$9)*N$7)+(((IF($A$8=Nutrients!$B$79,Nutrients!$ET$79,(IF($A$8=Nutrients!$B$77,Nutrients!$ET$77,Nutrients!$ET$78)))))*N$8))</f>
        <v>450000</v>
      </c>
      <c r="O329" s="234"/>
      <c r="P329" s="21">
        <f>(SUMPRODUCT(P$9:P$229,Nutrients!$ET$8:$ET$228)+(IF($A$7=Nutrients!$B$8,Nutrients!$ET$8,Nutrients!$ET$9)*P$7)+(((IF($A$8=Nutrients!$B$79,Nutrients!$ET$79,(IF($A$8=Nutrients!$B$77,Nutrients!$ET$77,Nutrients!$ET$78)))))*P$8))</f>
        <v>900000</v>
      </c>
      <c r="Q329" s="21">
        <f>(SUMPRODUCT(Q$9:Q$229,Nutrients!$ET$8:$ET$228)+(IF($A$7=Nutrients!$B$8,Nutrients!$ET$8,Nutrients!$ET$9)*Q$7)+(((IF($A$8=Nutrients!$B$79,Nutrients!$ET$79,(IF($A$8=Nutrients!$B$77,Nutrients!$ET$77,Nutrients!$ET$78)))))*Q$8))</f>
        <v>900000</v>
      </c>
      <c r="R329" s="21">
        <f>(SUMPRODUCT(R$9:R$229,Nutrients!$ET$8:$ET$228)+(IF($A$7=Nutrients!$B$8,Nutrients!$ET$8,Nutrients!$ET$9)*R$7)+(((IF($A$8=Nutrients!$B$79,Nutrients!$ET$79,(IF($A$8=Nutrients!$B$77,Nutrients!$ET$77,Nutrients!$ET$78)))))*R$8))</f>
        <v>750000</v>
      </c>
      <c r="S329" s="21">
        <f>(SUMPRODUCT(S$9:S$229,Nutrients!$ET$8:$ET$228)+(IF($A$7=Nutrients!$B$8,Nutrients!$ET$8,Nutrients!$ET$9)*S$7)+(((IF($A$8=Nutrients!$B$79,Nutrients!$ET$79,(IF($A$8=Nutrients!$B$77,Nutrients!$ET$77,Nutrients!$ET$78)))))*S$8))</f>
        <v>600000</v>
      </c>
      <c r="T329" s="21">
        <f>(SUMPRODUCT(T$9:T$229,Nutrients!$ET$8:$ET$228)+(IF($A$7=Nutrients!$B$8,Nutrients!$ET$8,Nutrients!$ET$9)*T$7)+(((IF($A$8=Nutrients!$B$79,Nutrients!$ET$79,(IF($A$8=Nutrients!$B$77,Nutrients!$ET$77,Nutrients!$ET$78)))))*T$8))</f>
        <v>450000</v>
      </c>
      <c r="U329" s="21">
        <f>(SUMPRODUCT(U$9:U$229,Nutrients!$ET$8:$ET$228)+(IF($A$7=Nutrients!$B$8,Nutrients!$ET$8,Nutrients!$ET$9)*U$7)+(((IF($A$8=Nutrients!$B$79,Nutrients!$ET$79,(IF($A$8=Nutrients!$B$77,Nutrients!$ET$77,Nutrients!$ET$78)))))*U$8))</f>
        <v>450000</v>
      </c>
      <c r="W329" s="21">
        <f>(SUMPRODUCT(W$9:W$229,Nutrients!$ET$8:$ET$228)+(IF($A$7=Nutrients!$B$8,Nutrients!$ET$8,Nutrients!$ET$9)*W$7)+(((IF($A$8=Nutrients!$B$79,Nutrients!$ET$79,(IF($A$8=Nutrients!$B$77,Nutrients!$ET$77,Nutrients!$ET$78)))))*W$8))</f>
        <v>900000</v>
      </c>
      <c r="X329" s="21">
        <f>(SUMPRODUCT(X$9:X$229,Nutrients!$ET$8:$ET$228)+(IF($A$7=Nutrients!$B$8,Nutrients!$ET$8,Nutrients!$ET$9)*X$7)+(((IF($A$8=Nutrients!$B$79,Nutrients!$ET$79,(IF($A$8=Nutrients!$B$77,Nutrients!$ET$77,Nutrients!$ET$78)))))*X$8))</f>
        <v>900000</v>
      </c>
      <c r="Y329" s="21">
        <f>(SUMPRODUCT(Y$9:Y$229,Nutrients!$ET$8:$ET$228)+(IF($A$7=Nutrients!$B$8,Nutrients!$ET$8,Nutrients!$ET$9)*Y$7)+(((IF($A$8=Nutrients!$B$79,Nutrients!$ET$79,(IF($A$8=Nutrients!$B$77,Nutrients!$ET$77,Nutrients!$ET$78)))))*Y$8))</f>
        <v>750000</v>
      </c>
      <c r="Z329" s="21">
        <f>(SUMPRODUCT(Z$9:Z$229,Nutrients!$ET$8:$ET$228)+(IF($A$7=Nutrients!$B$8,Nutrients!$ET$8,Nutrients!$ET$9)*Z$7)+(((IF($A$8=Nutrients!$B$79,Nutrients!$ET$79,(IF($A$8=Nutrients!$B$77,Nutrients!$ET$77,Nutrients!$ET$78)))))*Z$8))</f>
        <v>600000</v>
      </c>
      <c r="AA329" s="21">
        <f>(SUMPRODUCT(AA$9:AA$229,Nutrients!$ET$8:$ET$228)+(IF($A$7=Nutrients!$B$8,Nutrients!$ET$8,Nutrients!$ET$9)*AA$7)+(((IF($A$8=Nutrients!$B$79,Nutrients!$ET$79,(IF($A$8=Nutrients!$B$77,Nutrients!$ET$77,Nutrients!$ET$78)))))*AA$8))</f>
        <v>450000</v>
      </c>
      <c r="AB329" s="21">
        <f>(SUMPRODUCT(AB$9:AB$229,Nutrients!$ET$8:$ET$228)+(IF($A$7=Nutrients!$B$8,Nutrients!$ET$8,Nutrients!$ET$9)*AB$7)+(((IF($A$8=Nutrients!$B$79,Nutrients!$ET$79,(IF($A$8=Nutrients!$B$77,Nutrients!$ET$77,Nutrients!$ET$78)))))*AB$8))</f>
        <v>450000</v>
      </c>
      <c r="AD329" s="21">
        <f>(SUMPRODUCT(AD$9:AD$229,Nutrients!$ET$8:$ET$228)+(IF($A$7=Nutrients!$B$8,Nutrients!$ET$8,Nutrients!$ET$9)*AD$7)+(((IF($A$8=Nutrients!$B$79,Nutrients!$ET$79,(IF($A$8=Nutrients!$B$77,Nutrients!$ET$77,Nutrients!$ET$78)))))*AD$8))</f>
        <v>900000</v>
      </c>
      <c r="AE329" s="21">
        <f>(SUMPRODUCT(AE$9:AE$229,Nutrients!$ET$8:$ET$228)+(IF($A$7=Nutrients!$B$8,Nutrients!$ET$8,Nutrients!$ET$9)*AE$7)+(((IF($A$8=Nutrients!$B$79,Nutrients!$ET$79,(IF($A$8=Nutrients!$B$77,Nutrients!$ET$77,Nutrients!$ET$78)))))*AE$8))</f>
        <v>900000</v>
      </c>
      <c r="AF329" s="21">
        <f>(SUMPRODUCT(AF$9:AF$229,Nutrients!$ET$8:$ET$228)+(IF($A$7=Nutrients!$B$8,Nutrients!$ET$8,Nutrients!$ET$9)*AF$7)+(((IF($A$8=Nutrients!$B$79,Nutrients!$ET$79,(IF($A$8=Nutrients!$B$77,Nutrients!$ET$77,Nutrients!$ET$78)))))*AF$8))</f>
        <v>750000</v>
      </c>
      <c r="AG329" s="21">
        <f>(SUMPRODUCT(AG$9:AG$229,Nutrients!$ET$8:$ET$228)+(IF($A$7=Nutrients!$B$8,Nutrients!$ET$8,Nutrients!$ET$9)*AG$7)+(((IF($A$8=Nutrients!$B$79,Nutrients!$ET$79,(IF($A$8=Nutrients!$B$77,Nutrients!$ET$77,Nutrients!$ET$78)))))*AG$8))</f>
        <v>600000</v>
      </c>
      <c r="AH329" s="21">
        <f>(SUMPRODUCT(AH$9:AH$229,Nutrients!$ET$8:$ET$228)+(IF($A$7=Nutrients!$B$8,Nutrients!$ET$8,Nutrients!$ET$9)*AH$7)+(((IF($A$8=Nutrients!$B$79,Nutrients!$ET$79,(IF($A$8=Nutrients!$B$77,Nutrients!$ET$77,Nutrients!$ET$78)))))*AH$8))</f>
        <v>450000</v>
      </c>
      <c r="AI329" s="21">
        <f>(SUMPRODUCT(AI$9:AI$229,Nutrients!$ET$8:$ET$228)+(IF($A$7=Nutrients!$B$8,Nutrients!$ET$8,Nutrients!$ET$9)*AI$7)+(((IF($A$8=Nutrients!$B$79,Nutrients!$ET$79,(IF($A$8=Nutrients!$B$77,Nutrients!$ET$77,Nutrients!$ET$78)))))*AI$8))</f>
        <v>450000</v>
      </c>
      <c r="AK329" s="21">
        <f>(SUMPRODUCT(AK$9:AK$229,Nutrients!$ET$8:$ET$228)+(IF($A$7=Nutrients!$B$8,Nutrients!$ET$8,Nutrients!$ET$9)*AK$7)+(((IF($A$8=Nutrients!$B$79,Nutrients!$ET$79,(IF($A$8=Nutrients!$B$77,Nutrients!$ET$77,Nutrients!$ET$78)))))*AK$8))</f>
        <v>900000</v>
      </c>
      <c r="AL329" s="21">
        <f>(SUMPRODUCT(AL$9:AL$229,Nutrients!$ET$8:$ET$228)+(IF($A$7=Nutrients!$B$8,Nutrients!$ET$8,Nutrients!$ET$9)*AL$7)+(((IF($A$8=Nutrients!$B$79,Nutrients!$ET$79,(IF($A$8=Nutrients!$B$77,Nutrients!$ET$77,Nutrients!$ET$78)))))*AL$8))</f>
        <v>900000</v>
      </c>
      <c r="AM329" s="21">
        <f>(SUMPRODUCT(AM$9:AM$229,Nutrients!$ET$8:$ET$228)+(IF($A$7=Nutrients!$B$8,Nutrients!$ET$8,Nutrients!$ET$9)*AM$7)+(((IF($A$8=Nutrients!$B$79,Nutrients!$ET$79,(IF($A$8=Nutrients!$B$77,Nutrients!$ET$77,Nutrients!$ET$78)))))*AM$8))</f>
        <v>750000</v>
      </c>
      <c r="AN329" s="21">
        <f>(SUMPRODUCT(AN$9:AN$229,Nutrients!$ET$8:$ET$228)+(IF($A$7=Nutrients!$B$8,Nutrients!$ET$8,Nutrients!$ET$9)*AN$7)+(((IF($A$8=Nutrients!$B$79,Nutrients!$ET$79,(IF($A$8=Nutrients!$B$77,Nutrients!$ET$77,Nutrients!$ET$78)))))*AN$8))</f>
        <v>600000</v>
      </c>
      <c r="AO329" s="21">
        <f>(SUMPRODUCT(AO$9:AO$229,Nutrients!$ET$8:$ET$228)+(IF($A$7=Nutrients!$B$8,Nutrients!$ET$8,Nutrients!$ET$9)*AO$7)+(((IF($A$8=Nutrients!$B$79,Nutrients!$ET$79,(IF($A$8=Nutrients!$B$77,Nutrients!$ET$77,Nutrients!$ET$78)))))*AO$8))</f>
        <v>450000</v>
      </c>
      <c r="AP329" s="21">
        <f>(SUMPRODUCT(AP$9:AP$229,Nutrients!$ET$8:$ET$228)+(IF($A$7=Nutrients!$B$8,Nutrients!$ET$8,Nutrients!$ET$9)*AP$7)+(((IF($A$8=Nutrients!$B$79,Nutrients!$ET$79,(IF($A$8=Nutrients!$B$77,Nutrients!$ET$77,Nutrients!$ET$78)))))*AP$8))</f>
        <v>450000</v>
      </c>
      <c r="AR329" s="21">
        <f>(SUMPRODUCT(AR$9:AR$229,Nutrients!$ET$8:$ET$228)+(IF($A$7=Nutrients!$B$8,Nutrients!$ET$8,Nutrients!$ET$9)*AR$7)+(((IF($A$8=Nutrients!$B$79,Nutrients!$ET$79,(IF($A$8=Nutrients!$B$77,Nutrients!$ET$77,Nutrients!$ET$78)))))*AR$8))</f>
        <v>900000</v>
      </c>
      <c r="AS329" s="21">
        <f>(SUMPRODUCT(AS$9:AS$229,Nutrients!$ET$8:$ET$228)+(IF($A$7=Nutrients!$B$8,Nutrients!$ET$8,Nutrients!$ET$9)*AS$7)+(((IF($A$8=Nutrients!$B$79,Nutrients!$ET$79,(IF($A$8=Nutrients!$B$77,Nutrients!$ET$77,Nutrients!$ET$78)))))*AS$8))</f>
        <v>900000</v>
      </c>
      <c r="AT329" s="21">
        <f>(SUMPRODUCT(AT$9:AT$229,Nutrients!$ET$8:$ET$228)+(IF($A$7=Nutrients!$B$8,Nutrients!$ET$8,Nutrients!$ET$9)*AT$7)+(((IF($A$8=Nutrients!$B$79,Nutrients!$ET$79,(IF($A$8=Nutrients!$B$77,Nutrients!$ET$77,Nutrients!$ET$78)))))*AT$8))</f>
        <v>750000</v>
      </c>
      <c r="AU329" s="21">
        <f>(SUMPRODUCT(AU$9:AU$229,Nutrients!$ET$8:$ET$228)+(IF($A$7=Nutrients!$B$8,Nutrients!$ET$8,Nutrients!$ET$9)*AU$7)+(((IF($A$8=Nutrients!$B$79,Nutrients!$ET$79,(IF($A$8=Nutrients!$B$77,Nutrients!$ET$77,Nutrients!$ET$78)))))*AU$8))</f>
        <v>600000</v>
      </c>
      <c r="AV329" s="21">
        <f>(SUMPRODUCT(AV$9:AV$229,Nutrients!$ET$8:$ET$228)+(IF($A$7=Nutrients!$B$8,Nutrients!$ET$8,Nutrients!$ET$9)*AV$7)+(((IF($A$8=Nutrients!$B$79,Nutrients!$ET$79,(IF($A$8=Nutrients!$B$77,Nutrients!$ET$77,Nutrients!$ET$78)))))*AV$8))</f>
        <v>450000</v>
      </c>
      <c r="AW329" s="21">
        <f>(SUMPRODUCT(AW$9:AW$229,Nutrients!$ET$8:$ET$228)+(IF($A$7=Nutrients!$B$8,Nutrients!$ET$8,Nutrients!$ET$9)*AW$7)+(((IF($A$8=Nutrients!$B$79,Nutrients!$ET$79,(IF($A$8=Nutrients!$B$77,Nutrients!$ET$77,Nutrients!$ET$78)))))*AW$8))</f>
        <v>450000</v>
      </c>
    </row>
    <row r="330" spans="1:49" x14ac:dyDescent="0.25">
      <c r="A330" s="34" t="s">
        <v>123</v>
      </c>
      <c r="B330" s="21">
        <f>(SUMPRODUCT(B$9:B$229,Nutrients!$EU$8:$EU$228)+(IF($A$7=Nutrients!$B$8,Nutrients!$EU$8,Nutrients!$EU$9)*B$7)+(((IF($A$8=Nutrients!$B$79,Nutrients!$EU$79,(IF($A$8=Nutrients!$B$77,Nutrients!$EU$77,Nutrients!$EU$78)))))*B$8))</f>
        <v>24000</v>
      </c>
      <c r="C330" s="21">
        <f>(SUMPRODUCT(C$9:C$229,Nutrients!$EU$8:$EU$228)+(IF($A$7=Nutrients!$B$8,Nutrients!$EU$8,Nutrients!$EU$9)*C$7)+(((IF($A$8=Nutrients!$B$79,Nutrients!$EU$79,(IF($A$8=Nutrients!$B$77,Nutrients!$EU$77,Nutrients!$EU$78)))))*C$8))</f>
        <v>24000</v>
      </c>
      <c r="D330" s="21">
        <f>(SUMPRODUCT(D$9:D$229,Nutrients!$EU$8:$EU$228)+(IF($A$7=Nutrients!$B$8,Nutrients!$EU$8,Nutrients!$EU$9)*D$7)+(((IF($A$8=Nutrients!$B$79,Nutrients!$EU$79,(IF($A$8=Nutrients!$B$77,Nutrients!$EU$77,Nutrients!$EU$78)))))*D$8))</f>
        <v>20000</v>
      </c>
      <c r="E330" s="21">
        <f>(SUMPRODUCT(E$9:E$229,Nutrients!$EU$8:$EU$228)+(IF($A$7=Nutrients!$B$8,Nutrients!$EU$8,Nutrients!$EU$9)*E$7)+(((IF($A$8=Nutrients!$B$79,Nutrients!$EU$79,(IF($A$8=Nutrients!$B$77,Nutrients!$EU$77,Nutrients!$EU$78)))))*E$8))</f>
        <v>16000</v>
      </c>
      <c r="F330" s="21">
        <f>(SUMPRODUCT(F$9:F$229,Nutrients!$EU$8:$EU$228)+(IF($A$7=Nutrients!$B$8,Nutrients!$EU$8,Nutrients!$EU$9)*F$7)+(((IF($A$8=Nutrients!$B$79,Nutrients!$EU$79,(IF($A$8=Nutrients!$B$77,Nutrients!$EU$77,Nutrients!$EU$78)))))*F$8))</f>
        <v>12000</v>
      </c>
      <c r="G330" s="21">
        <f>(SUMPRODUCT(G$9:G$229,Nutrients!$EU$8:$EU$228)+(IF($A$7=Nutrients!$B$8,Nutrients!$EU$8,Nutrients!$EU$9)*G$7)+(((IF($A$8=Nutrients!$B$79,Nutrients!$EU$79,(IF($A$8=Nutrients!$B$77,Nutrients!$EU$77,Nutrients!$EU$78)))))*G$8))</f>
        <v>12000</v>
      </c>
      <c r="H330" s="226"/>
      <c r="I330" s="21">
        <f>(SUMPRODUCT(I$9:I$229,Nutrients!$EU$8:$EU$228)+(IF($A$7=Nutrients!$B$8,Nutrients!$EU$8,Nutrients!$EU$9)*I$7)+(((IF($A$8=Nutrients!$B$79,Nutrients!$EU$79,(IF($A$8=Nutrients!$B$77,Nutrients!$EU$77,Nutrients!$EU$78)))))*I$8))</f>
        <v>24000</v>
      </c>
      <c r="J330" s="21">
        <f>(SUMPRODUCT(J$9:J$229,Nutrients!$EU$8:$EU$228)+(IF($A$7=Nutrients!$B$8,Nutrients!$EU$8,Nutrients!$EU$9)*J$7)+(((IF($A$8=Nutrients!$B$79,Nutrients!$EU$79,(IF($A$8=Nutrients!$B$77,Nutrients!$EU$77,Nutrients!$EU$78)))))*J$8))</f>
        <v>24000</v>
      </c>
      <c r="K330" s="21">
        <f>(SUMPRODUCT(K$9:K$229,Nutrients!$EU$8:$EU$228)+(IF($A$7=Nutrients!$B$8,Nutrients!$EU$8,Nutrients!$EU$9)*K$7)+(((IF($A$8=Nutrients!$B$79,Nutrients!$EU$79,(IF($A$8=Nutrients!$B$77,Nutrients!$EU$77,Nutrients!$EU$78)))))*K$8))</f>
        <v>20000</v>
      </c>
      <c r="L330" s="21">
        <f>(SUMPRODUCT(L$9:L$229,Nutrients!$EU$8:$EU$228)+(IF($A$7=Nutrients!$B$8,Nutrients!$EU$8,Nutrients!$EU$9)*L$7)+(((IF($A$8=Nutrients!$B$79,Nutrients!$EU$79,(IF($A$8=Nutrients!$B$77,Nutrients!$EU$77,Nutrients!$EU$78)))))*L$8))</f>
        <v>16000</v>
      </c>
      <c r="M330" s="21">
        <f>(SUMPRODUCT(M$9:M$229,Nutrients!$EU$8:$EU$228)+(IF($A$7=Nutrients!$B$8,Nutrients!$EU$8,Nutrients!$EU$9)*M$7)+(((IF($A$8=Nutrients!$B$79,Nutrients!$EU$79,(IF($A$8=Nutrients!$B$77,Nutrients!$EU$77,Nutrients!$EU$78)))))*M$8))</f>
        <v>12000</v>
      </c>
      <c r="N330" s="21">
        <f>(SUMPRODUCT(N$9:N$229,Nutrients!$EU$8:$EU$228)+(IF($A$7=Nutrients!$B$8,Nutrients!$EU$8,Nutrients!$EU$9)*N$7)+(((IF($A$8=Nutrients!$B$79,Nutrients!$EU$79,(IF($A$8=Nutrients!$B$77,Nutrients!$EU$77,Nutrients!$EU$78)))))*N$8))</f>
        <v>12000</v>
      </c>
      <c r="O330" s="234"/>
      <c r="P330" s="21">
        <f>(SUMPRODUCT(P$9:P$229,Nutrients!$EU$8:$EU$228)+(IF($A$7=Nutrients!$B$8,Nutrients!$EU$8,Nutrients!$EU$9)*P$7)+(((IF($A$8=Nutrients!$B$79,Nutrients!$EU$79,(IF($A$8=Nutrients!$B$77,Nutrients!$EU$77,Nutrients!$EU$78)))))*P$8))</f>
        <v>24000</v>
      </c>
      <c r="Q330" s="21">
        <f>(SUMPRODUCT(Q$9:Q$229,Nutrients!$EU$8:$EU$228)+(IF($A$7=Nutrients!$B$8,Nutrients!$EU$8,Nutrients!$EU$9)*Q$7)+(((IF($A$8=Nutrients!$B$79,Nutrients!$EU$79,(IF($A$8=Nutrients!$B$77,Nutrients!$EU$77,Nutrients!$EU$78)))))*Q$8))</f>
        <v>24000</v>
      </c>
      <c r="R330" s="21">
        <f>(SUMPRODUCT(R$9:R$229,Nutrients!$EU$8:$EU$228)+(IF($A$7=Nutrients!$B$8,Nutrients!$EU$8,Nutrients!$EU$9)*R$7)+(((IF($A$8=Nutrients!$B$79,Nutrients!$EU$79,(IF($A$8=Nutrients!$B$77,Nutrients!$EU$77,Nutrients!$EU$78)))))*R$8))</f>
        <v>20000</v>
      </c>
      <c r="S330" s="21">
        <f>(SUMPRODUCT(S$9:S$229,Nutrients!$EU$8:$EU$228)+(IF($A$7=Nutrients!$B$8,Nutrients!$EU$8,Nutrients!$EU$9)*S$7)+(((IF($A$8=Nutrients!$B$79,Nutrients!$EU$79,(IF($A$8=Nutrients!$B$77,Nutrients!$EU$77,Nutrients!$EU$78)))))*S$8))</f>
        <v>16000</v>
      </c>
      <c r="T330" s="21">
        <f>(SUMPRODUCT(T$9:T$229,Nutrients!$EU$8:$EU$228)+(IF($A$7=Nutrients!$B$8,Nutrients!$EU$8,Nutrients!$EU$9)*T$7)+(((IF($A$8=Nutrients!$B$79,Nutrients!$EU$79,(IF($A$8=Nutrients!$B$77,Nutrients!$EU$77,Nutrients!$EU$78)))))*T$8))</f>
        <v>12000</v>
      </c>
      <c r="U330" s="21">
        <f>(SUMPRODUCT(U$9:U$229,Nutrients!$EU$8:$EU$228)+(IF($A$7=Nutrients!$B$8,Nutrients!$EU$8,Nutrients!$EU$9)*U$7)+(((IF($A$8=Nutrients!$B$79,Nutrients!$EU$79,(IF($A$8=Nutrients!$B$77,Nutrients!$EU$77,Nutrients!$EU$78)))))*U$8))</f>
        <v>12000</v>
      </c>
      <c r="W330" s="21">
        <f>(SUMPRODUCT(W$9:W$229,Nutrients!$EU$8:$EU$228)+(IF($A$7=Nutrients!$B$8,Nutrients!$EU$8,Nutrients!$EU$9)*W$7)+(((IF($A$8=Nutrients!$B$79,Nutrients!$EU$79,(IF($A$8=Nutrients!$B$77,Nutrients!$EU$77,Nutrients!$EU$78)))))*W$8))</f>
        <v>24000</v>
      </c>
      <c r="X330" s="21">
        <f>(SUMPRODUCT(X$9:X$229,Nutrients!$EU$8:$EU$228)+(IF($A$7=Nutrients!$B$8,Nutrients!$EU$8,Nutrients!$EU$9)*X$7)+(((IF($A$8=Nutrients!$B$79,Nutrients!$EU$79,(IF($A$8=Nutrients!$B$77,Nutrients!$EU$77,Nutrients!$EU$78)))))*X$8))</f>
        <v>24000</v>
      </c>
      <c r="Y330" s="21">
        <f>(SUMPRODUCT(Y$9:Y$229,Nutrients!$EU$8:$EU$228)+(IF($A$7=Nutrients!$B$8,Nutrients!$EU$8,Nutrients!$EU$9)*Y$7)+(((IF($A$8=Nutrients!$B$79,Nutrients!$EU$79,(IF($A$8=Nutrients!$B$77,Nutrients!$EU$77,Nutrients!$EU$78)))))*Y$8))</f>
        <v>20000</v>
      </c>
      <c r="Z330" s="21">
        <f>(SUMPRODUCT(Z$9:Z$229,Nutrients!$EU$8:$EU$228)+(IF($A$7=Nutrients!$B$8,Nutrients!$EU$8,Nutrients!$EU$9)*Z$7)+(((IF($A$8=Nutrients!$B$79,Nutrients!$EU$79,(IF($A$8=Nutrients!$B$77,Nutrients!$EU$77,Nutrients!$EU$78)))))*Z$8))</f>
        <v>16000</v>
      </c>
      <c r="AA330" s="21">
        <f>(SUMPRODUCT(AA$9:AA$229,Nutrients!$EU$8:$EU$228)+(IF($A$7=Nutrients!$B$8,Nutrients!$EU$8,Nutrients!$EU$9)*AA$7)+(((IF($A$8=Nutrients!$B$79,Nutrients!$EU$79,(IF($A$8=Nutrients!$B$77,Nutrients!$EU$77,Nutrients!$EU$78)))))*AA$8))</f>
        <v>12000</v>
      </c>
      <c r="AB330" s="21">
        <f>(SUMPRODUCT(AB$9:AB$229,Nutrients!$EU$8:$EU$228)+(IF($A$7=Nutrients!$B$8,Nutrients!$EU$8,Nutrients!$EU$9)*AB$7)+(((IF($A$8=Nutrients!$B$79,Nutrients!$EU$79,(IF($A$8=Nutrients!$B$77,Nutrients!$EU$77,Nutrients!$EU$78)))))*AB$8))</f>
        <v>12000</v>
      </c>
      <c r="AD330" s="21">
        <f>(SUMPRODUCT(AD$9:AD$229,Nutrients!$EU$8:$EU$228)+(IF($A$7=Nutrients!$B$8,Nutrients!$EU$8,Nutrients!$EU$9)*AD$7)+(((IF($A$8=Nutrients!$B$79,Nutrients!$EU$79,(IF($A$8=Nutrients!$B$77,Nutrients!$EU$77,Nutrients!$EU$78)))))*AD$8))</f>
        <v>24000</v>
      </c>
      <c r="AE330" s="21">
        <f>(SUMPRODUCT(AE$9:AE$229,Nutrients!$EU$8:$EU$228)+(IF($A$7=Nutrients!$B$8,Nutrients!$EU$8,Nutrients!$EU$9)*AE$7)+(((IF($A$8=Nutrients!$B$79,Nutrients!$EU$79,(IF($A$8=Nutrients!$B$77,Nutrients!$EU$77,Nutrients!$EU$78)))))*AE$8))</f>
        <v>24000</v>
      </c>
      <c r="AF330" s="21">
        <f>(SUMPRODUCT(AF$9:AF$229,Nutrients!$EU$8:$EU$228)+(IF($A$7=Nutrients!$B$8,Nutrients!$EU$8,Nutrients!$EU$9)*AF$7)+(((IF($A$8=Nutrients!$B$79,Nutrients!$EU$79,(IF($A$8=Nutrients!$B$77,Nutrients!$EU$77,Nutrients!$EU$78)))))*AF$8))</f>
        <v>20000</v>
      </c>
      <c r="AG330" s="21">
        <f>(SUMPRODUCT(AG$9:AG$229,Nutrients!$EU$8:$EU$228)+(IF($A$7=Nutrients!$B$8,Nutrients!$EU$8,Nutrients!$EU$9)*AG$7)+(((IF($A$8=Nutrients!$B$79,Nutrients!$EU$79,(IF($A$8=Nutrients!$B$77,Nutrients!$EU$77,Nutrients!$EU$78)))))*AG$8))</f>
        <v>16000</v>
      </c>
      <c r="AH330" s="21">
        <f>(SUMPRODUCT(AH$9:AH$229,Nutrients!$EU$8:$EU$228)+(IF($A$7=Nutrients!$B$8,Nutrients!$EU$8,Nutrients!$EU$9)*AH$7)+(((IF($A$8=Nutrients!$B$79,Nutrients!$EU$79,(IF($A$8=Nutrients!$B$77,Nutrients!$EU$77,Nutrients!$EU$78)))))*AH$8))</f>
        <v>12000</v>
      </c>
      <c r="AI330" s="21">
        <f>(SUMPRODUCT(AI$9:AI$229,Nutrients!$EU$8:$EU$228)+(IF($A$7=Nutrients!$B$8,Nutrients!$EU$8,Nutrients!$EU$9)*AI$7)+(((IF($A$8=Nutrients!$B$79,Nutrients!$EU$79,(IF($A$8=Nutrients!$B$77,Nutrients!$EU$77,Nutrients!$EU$78)))))*AI$8))</f>
        <v>12000</v>
      </c>
      <c r="AK330" s="21">
        <f>(SUMPRODUCT(AK$9:AK$229,Nutrients!$EU$8:$EU$228)+(IF($A$7=Nutrients!$B$8,Nutrients!$EU$8,Nutrients!$EU$9)*AK$7)+(((IF($A$8=Nutrients!$B$79,Nutrients!$EU$79,(IF($A$8=Nutrients!$B$77,Nutrients!$EU$77,Nutrients!$EU$78)))))*AK$8))</f>
        <v>24000</v>
      </c>
      <c r="AL330" s="21">
        <f>(SUMPRODUCT(AL$9:AL$229,Nutrients!$EU$8:$EU$228)+(IF($A$7=Nutrients!$B$8,Nutrients!$EU$8,Nutrients!$EU$9)*AL$7)+(((IF($A$8=Nutrients!$B$79,Nutrients!$EU$79,(IF($A$8=Nutrients!$B$77,Nutrients!$EU$77,Nutrients!$EU$78)))))*AL$8))</f>
        <v>24000</v>
      </c>
      <c r="AM330" s="21">
        <f>(SUMPRODUCT(AM$9:AM$229,Nutrients!$EU$8:$EU$228)+(IF($A$7=Nutrients!$B$8,Nutrients!$EU$8,Nutrients!$EU$9)*AM$7)+(((IF($A$8=Nutrients!$B$79,Nutrients!$EU$79,(IF($A$8=Nutrients!$B$77,Nutrients!$EU$77,Nutrients!$EU$78)))))*AM$8))</f>
        <v>20000</v>
      </c>
      <c r="AN330" s="21">
        <f>(SUMPRODUCT(AN$9:AN$229,Nutrients!$EU$8:$EU$228)+(IF($A$7=Nutrients!$B$8,Nutrients!$EU$8,Nutrients!$EU$9)*AN$7)+(((IF($A$8=Nutrients!$B$79,Nutrients!$EU$79,(IF($A$8=Nutrients!$B$77,Nutrients!$EU$77,Nutrients!$EU$78)))))*AN$8))</f>
        <v>16000</v>
      </c>
      <c r="AO330" s="21">
        <f>(SUMPRODUCT(AO$9:AO$229,Nutrients!$EU$8:$EU$228)+(IF($A$7=Nutrients!$B$8,Nutrients!$EU$8,Nutrients!$EU$9)*AO$7)+(((IF($A$8=Nutrients!$B$79,Nutrients!$EU$79,(IF($A$8=Nutrients!$B$77,Nutrients!$EU$77,Nutrients!$EU$78)))))*AO$8))</f>
        <v>12000</v>
      </c>
      <c r="AP330" s="21">
        <f>(SUMPRODUCT(AP$9:AP$229,Nutrients!$EU$8:$EU$228)+(IF($A$7=Nutrients!$B$8,Nutrients!$EU$8,Nutrients!$EU$9)*AP$7)+(((IF($A$8=Nutrients!$B$79,Nutrients!$EU$79,(IF($A$8=Nutrients!$B$77,Nutrients!$EU$77,Nutrients!$EU$78)))))*AP$8))</f>
        <v>12000</v>
      </c>
      <c r="AR330" s="21">
        <f>(SUMPRODUCT(AR$9:AR$229,Nutrients!$EU$8:$EU$228)+(IF($A$7=Nutrients!$B$8,Nutrients!$EU$8,Nutrients!$EU$9)*AR$7)+(((IF($A$8=Nutrients!$B$79,Nutrients!$EU$79,(IF($A$8=Nutrients!$B$77,Nutrients!$EU$77,Nutrients!$EU$78)))))*AR$8))</f>
        <v>24000</v>
      </c>
      <c r="AS330" s="21">
        <f>(SUMPRODUCT(AS$9:AS$229,Nutrients!$EU$8:$EU$228)+(IF($A$7=Nutrients!$B$8,Nutrients!$EU$8,Nutrients!$EU$9)*AS$7)+(((IF($A$8=Nutrients!$B$79,Nutrients!$EU$79,(IF($A$8=Nutrients!$B$77,Nutrients!$EU$77,Nutrients!$EU$78)))))*AS$8))</f>
        <v>24000</v>
      </c>
      <c r="AT330" s="21">
        <f>(SUMPRODUCT(AT$9:AT$229,Nutrients!$EU$8:$EU$228)+(IF($A$7=Nutrients!$B$8,Nutrients!$EU$8,Nutrients!$EU$9)*AT$7)+(((IF($A$8=Nutrients!$B$79,Nutrients!$EU$79,(IF($A$8=Nutrients!$B$77,Nutrients!$EU$77,Nutrients!$EU$78)))))*AT$8))</f>
        <v>20000</v>
      </c>
      <c r="AU330" s="21">
        <f>(SUMPRODUCT(AU$9:AU$229,Nutrients!$EU$8:$EU$228)+(IF($A$7=Nutrients!$B$8,Nutrients!$EU$8,Nutrients!$EU$9)*AU$7)+(((IF($A$8=Nutrients!$B$79,Nutrients!$EU$79,(IF($A$8=Nutrients!$B$77,Nutrients!$EU$77,Nutrients!$EU$78)))))*AU$8))</f>
        <v>16000</v>
      </c>
      <c r="AV330" s="21">
        <f>(SUMPRODUCT(AV$9:AV$229,Nutrients!$EU$8:$EU$228)+(IF($A$7=Nutrients!$B$8,Nutrients!$EU$8,Nutrients!$EU$9)*AV$7)+(((IF($A$8=Nutrients!$B$79,Nutrients!$EU$79,(IF($A$8=Nutrients!$B$77,Nutrients!$EU$77,Nutrients!$EU$78)))))*AV$8))</f>
        <v>12000</v>
      </c>
      <c r="AW330" s="21">
        <f>(SUMPRODUCT(AW$9:AW$229,Nutrients!$EU$8:$EU$228)+(IF($A$7=Nutrients!$B$8,Nutrients!$EU$8,Nutrients!$EU$9)*AW$7)+(((IF($A$8=Nutrients!$B$79,Nutrients!$EU$79,(IF($A$8=Nutrients!$B$77,Nutrients!$EU$77,Nutrients!$EU$78)))))*AW$8))</f>
        <v>12000</v>
      </c>
    </row>
    <row r="331" spans="1:49" x14ac:dyDescent="0.25">
      <c r="A331" s="34" t="s">
        <v>124</v>
      </c>
      <c r="B331" s="21">
        <f>(SUMPRODUCT(B$9:B$229,Nutrients!$EV$8:$EV$228)+(IF($A$7=Nutrients!$B$8,Nutrients!$EV$8,Nutrients!$EV$9)*B$7)+(((IF($A$8=Nutrients!$B$79,Nutrients!$EV$79,(IF($A$8=Nutrients!$B$77,Nutrients!$EV$77,Nutrients!$EV$78)))))*B$8))</f>
        <v>1800</v>
      </c>
      <c r="C331" s="21">
        <f>(SUMPRODUCT(C$9:C$229,Nutrients!$EV$8:$EV$228)+(IF($A$7=Nutrients!$B$8,Nutrients!$EV$8,Nutrients!$EV$9)*C$7)+(((IF($A$8=Nutrients!$B$79,Nutrients!$EV$79,(IF($A$8=Nutrients!$B$77,Nutrients!$EV$77,Nutrients!$EV$78)))))*C$8))</f>
        <v>1800</v>
      </c>
      <c r="D331" s="21">
        <f>(SUMPRODUCT(D$9:D$229,Nutrients!$EV$8:$EV$228)+(IF($A$7=Nutrients!$B$8,Nutrients!$EV$8,Nutrients!$EV$9)*D$7)+(((IF($A$8=Nutrients!$B$79,Nutrients!$EV$79,(IF($A$8=Nutrients!$B$77,Nutrients!$EV$77,Nutrients!$EV$78)))))*D$8))</f>
        <v>1500</v>
      </c>
      <c r="E331" s="21">
        <f>(SUMPRODUCT(E$9:E$229,Nutrients!$EV$8:$EV$228)+(IF($A$7=Nutrients!$B$8,Nutrients!$EV$8,Nutrients!$EV$9)*E$7)+(((IF($A$8=Nutrients!$B$79,Nutrients!$EV$79,(IF($A$8=Nutrients!$B$77,Nutrients!$EV$77,Nutrients!$EV$78)))))*E$8))</f>
        <v>1200</v>
      </c>
      <c r="F331" s="21">
        <f>(SUMPRODUCT(F$9:F$229,Nutrients!$EV$8:$EV$228)+(IF($A$7=Nutrients!$B$8,Nutrients!$EV$8,Nutrients!$EV$9)*F$7)+(((IF($A$8=Nutrients!$B$79,Nutrients!$EV$79,(IF($A$8=Nutrients!$B$77,Nutrients!$EV$77,Nutrients!$EV$78)))))*F$8))</f>
        <v>900</v>
      </c>
      <c r="G331" s="21">
        <f>(SUMPRODUCT(G$9:G$229,Nutrients!$EV$8:$EV$228)+(IF($A$7=Nutrients!$B$8,Nutrients!$EV$8,Nutrients!$EV$9)*G$7)+(((IF($A$8=Nutrients!$B$79,Nutrients!$EV$79,(IF($A$8=Nutrients!$B$77,Nutrients!$EV$77,Nutrients!$EV$78)))))*G$8))</f>
        <v>900</v>
      </c>
      <c r="H331" s="226"/>
      <c r="I331" s="21">
        <f>(SUMPRODUCT(I$9:I$229,Nutrients!$EV$8:$EV$228)+(IF($A$7=Nutrients!$B$8,Nutrients!$EV$8,Nutrients!$EV$9)*I$7)+(((IF($A$8=Nutrients!$B$79,Nutrients!$EV$79,(IF($A$8=Nutrients!$B$77,Nutrients!$EV$77,Nutrients!$EV$78)))))*I$8))</f>
        <v>1800</v>
      </c>
      <c r="J331" s="21">
        <f>(SUMPRODUCT(J$9:J$229,Nutrients!$EV$8:$EV$228)+(IF($A$7=Nutrients!$B$8,Nutrients!$EV$8,Nutrients!$EV$9)*J$7)+(((IF($A$8=Nutrients!$B$79,Nutrients!$EV$79,(IF($A$8=Nutrients!$B$77,Nutrients!$EV$77,Nutrients!$EV$78)))))*J$8))</f>
        <v>1800</v>
      </c>
      <c r="K331" s="21">
        <f>(SUMPRODUCT(K$9:K$229,Nutrients!$EV$8:$EV$228)+(IF($A$7=Nutrients!$B$8,Nutrients!$EV$8,Nutrients!$EV$9)*K$7)+(((IF($A$8=Nutrients!$B$79,Nutrients!$EV$79,(IF($A$8=Nutrients!$B$77,Nutrients!$EV$77,Nutrients!$EV$78)))))*K$8))</f>
        <v>1500</v>
      </c>
      <c r="L331" s="21">
        <f>(SUMPRODUCT(L$9:L$229,Nutrients!$EV$8:$EV$228)+(IF($A$7=Nutrients!$B$8,Nutrients!$EV$8,Nutrients!$EV$9)*L$7)+(((IF($A$8=Nutrients!$B$79,Nutrients!$EV$79,(IF($A$8=Nutrients!$B$77,Nutrients!$EV$77,Nutrients!$EV$78)))))*L$8))</f>
        <v>1200</v>
      </c>
      <c r="M331" s="21">
        <f>(SUMPRODUCT(M$9:M$229,Nutrients!$EV$8:$EV$228)+(IF($A$7=Nutrients!$B$8,Nutrients!$EV$8,Nutrients!$EV$9)*M$7)+(((IF($A$8=Nutrients!$B$79,Nutrients!$EV$79,(IF($A$8=Nutrients!$B$77,Nutrients!$EV$77,Nutrients!$EV$78)))))*M$8))</f>
        <v>900</v>
      </c>
      <c r="N331" s="21">
        <f>(SUMPRODUCT(N$9:N$229,Nutrients!$EV$8:$EV$228)+(IF($A$7=Nutrients!$B$8,Nutrients!$EV$8,Nutrients!$EV$9)*N$7)+(((IF($A$8=Nutrients!$B$79,Nutrients!$EV$79,(IF($A$8=Nutrients!$B$77,Nutrients!$EV$77,Nutrients!$EV$78)))))*N$8))</f>
        <v>900</v>
      </c>
      <c r="O331" s="234"/>
      <c r="P331" s="21">
        <f>(SUMPRODUCT(P$9:P$229,Nutrients!$EV$8:$EV$228)+(IF($A$7=Nutrients!$B$8,Nutrients!$EV$8,Nutrients!$EV$9)*P$7)+(((IF($A$8=Nutrients!$B$79,Nutrients!$EV$79,(IF($A$8=Nutrients!$B$77,Nutrients!$EV$77,Nutrients!$EV$78)))))*P$8))</f>
        <v>1800</v>
      </c>
      <c r="Q331" s="21">
        <f>(SUMPRODUCT(Q$9:Q$229,Nutrients!$EV$8:$EV$228)+(IF($A$7=Nutrients!$B$8,Nutrients!$EV$8,Nutrients!$EV$9)*Q$7)+(((IF($A$8=Nutrients!$B$79,Nutrients!$EV$79,(IF($A$8=Nutrients!$B$77,Nutrients!$EV$77,Nutrients!$EV$78)))))*Q$8))</f>
        <v>1800</v>
      </c>
      <c r="R331" s="21">
        <f>(SUMPRODUCT(R$9:R$229,Nutrients!$EV$8:$EV$228)+(IF($A$7=Nutrients!$B$8,Nutrients!$EV$8,Nutrients!$EV$9)*R$7)+(((IF($A$8=Nutrients!$B$79,Nutrients!$EV$79,(IF($A$8=Nutrients!$B$77,Nutrients!$EV$77,Nutrients!$EV$78)))))*R$8))</f>
        <v>1500</v>
      </c>
      <c r="S331" s="21">
        <f>(SUMPRODUCT(S$9:S$229,Nutrients!$EV$8:$EV$228)+(IF($A$7=Nutrients!$B$8,Nutrients!$EV$8,Nutrients!$EV$9)*S$7)+(((IF($A$8=Nutrients!$B$79,Nutrients!$EV$79,(IF($A$8=Nutrients!$B$77,Nutrients!$EV$77,Nutrients!$EV$78)))))*S$8))</f>
        <v>1200</v>
      </c>
      <c r="T331" s="21">
        <f>(SUMPRODUCT(T$9:T$229,Nutrients!$EV$8:$EV$228)+(IF($A$7=Nutrients!$B$8,Nutrients!$EV$8,Nutrients!$EV$9)*T$7)+(((IF($A$8=Nutrients!$B$79,Nutrients!$EV$79,(IF($A$8=Nutrients!$B$77,Nutrients!$EV$77,Nutrients!$EV$78)))))*T$8))</f>
        <v>900</v>
      </c>
      <c r="U331" s="21">
        <f>(SUMPRODUCT(U$9:U$229,Nutrients!$EV$8:$EV$228)+(IF($A$7=Nutrients!$B$8,Nutrients!$EV$8,Nutrients!$EV$9)*U$7)+(((IF($A$8=Nutrients!$B$79,Nutrients!$EV$79,(IF($A$8=Nutrients!$B$77,Nutrients!$EV$77,Nutrients!$EV$78)))))*U$8))</f>
        <v>900</v>
      </c>
      <c r="W331" s="21">
        <f>(SUMPRODUCT(W$9:W$229,Nutrients!$EV$8:$EV$228)+(IF($A$7=Nutrients!$B$8,Nutrients!$EV$8,Nutrients!$EV$9)*W$7)+(((IF($A$8=Nutrients!$B$79,Nutrients!$EV$79,(IF($A$8=Nutrients!$B$77,Nutrients!$EV$77,Nutrients!$EV$78)))))*W$8))</f>
        <v>1800</v>
      </c>
      <c r="X331" s="21">
        <f>(SUMPRODUCT(X$9:X$229,Nutrients!$EV$8:$EV$228)+(IF($A$7=Nutrients!$B$8,Nutrients!$EV$8,Nutrients!$EV$9)*X$7)+(((IF($A$8=Nutrients!$B$79,Nutrients!$EV$79,(IF($A$8=Nutrients!$B$77,Nutrients!$EV$77,Nutrients!$EV$78)))))*X$8))</f>
        <v>1800</v>
      </c>
      <c r="Y331" s="21">
        <f>(SUMPRODUCT(Y$9:Y$229,Nutrients!$EV$8:$EV$228)+(IF($A$7=Nutrients!$B$8,Nutrients!$EV$8,Nutrients!$EV$9)*Y$7)+(((IF($A$8=Nutrients!$B$79,Nutrients!$EV$79,(IF($A$8=Nutrients!$B$77,Nutrients!$EV$77,Nutrients!$EV$78)))))*Y$8))</f>
        <v>1500</v>
      </c>
      <c r="Z331" s="21">
        <f>(SUMPRODUCT(Z$9:Z$229,Nutrients!$EV$8:$EV$228)+(IF($A$7=Nutrients!$B$8,Nutrients!$EV$8,Nutrients!$EV$9)*Z$7)+(((IF($A$8=Nutrients!$B$79,Nutrients!$EV$79,(IF($A$8=Nutrients!$B$77,Nutrients!$EV$77,Nutrients!$EV$78)))))*Z$8))</f>
        <v>1200</v>
      </c>
      <c r="AA331" s="21">
        <f>(SUMPRODUCT(AA$9:AA$229,Nutrients!$EV$8:$EV$228)+(IF($A$7=Nutrients!$B$8,Nutrients!$EV$8,Nutrients!$EV$9)*AA$7)+(((IF($A$8=Nutrients!$B$79,Nutrients!$EV$79,(IF($A$8=Nutrients!$B$77,Nutrients!$EV$77,Nutrients!$EV$78)))))*AA$8))</f>
        <v>900</v>
      </c>
      <c r="AB331" s="21">
        <f>(SUMPRODUCT(AB$9:AB$229,Nutrients!$EV$8:$EV$228)+(IF($A$7=Nutrients!$B$8,Nutrients!$EV$8,Nutrients!$EV$9)*AB$7)+(((IF($A$8=Nutrients!$B$79,Nutrients!$EV$79,(IF($A$8=Nutrients!$B$77,Nutrients!$EV$77,Nutrients!$EV$78)))))*AB$8))</f>
        <v>900</v>
      </c>
      <c r="AD331" s="21">
        <f>(SUMPRODUCT(AD$9:AD$229,Nutrients!$EV$8:$EV$228)+(IF($A$7=Nutrients!$B$8,Nutrients!$EV$8,Nutrients!$EV$9)*AD$7)+(((IF($A$8=Nutrients!$B$79,Nutrients!$EV$79,(IF($A$8=Nutrients!$B$77,Nutrients!$EV$77,Nutrients!$EV$78)))))*AD$8))</f>
        <v>1800</v>
      </c>
      <c r="AE331" s="21">
        <f>(SUMPRODUCT(AE$9:AE$229,Nutrients!$EV$8:$EV$228)+(IF($A$7=Nutrients!$B$8,Nutrients!$EV$8,Nutrients!$EV$9)*AE$7)+(((IF($A$8=Nutrients!$B$79,Nutrients!$EV$79,(IF($A$8=Nutrients!$B$77,Nutrients!$EV$77,Nutrients!$EV$78)))))*AE$8))</f>
        <v>1800</v>
      </c>
      <c r="AF331" s="21">
        <f>(SUMPRODUCT(AF$9:AF$229,Nutrients!$EV$8:$EV$228)+(IF($A$7=Nutrients!$B$8,Nutrients!$EV$8,Nutrients!$EV$9)*AF$7)+(((IF($A$8=Nutrients!$B$79,Nutrients!$EV$79,(IF($A$8=Nutrients!$B$77,Nutrients!$EV$77,Nutrients!$EV$78)))))*AF$8))</f>
        <v>1500</v>
      </c>
      <c r="AG331" s="21">
        <f>(SUMPRODUCT(AG$9:AG$229,Nutrients!$EV$8:$EV$228)+(IF($A$7=Nutrients!$B$8,Nutrients!$EV$8,Nutrients!$EV$9)*AG$7)+(((IF($A$8=Nutrients!$B$79,Nutrients!$EV$79,(IF($A$8=Nutrients!$B$77,Nutrients!$EV$77,Nutrients!$EV$78)))))*AG$8))</f>
        <v>1200</v>
      </c>
      <c r="AH331" s="21">
        <f>(SUMPRODUCT(AH$9:AH$229,Nutrients!$EV$8:$EV$228)+(IF($A$7=Nutrients!$B$8,Nutrients!$EV$8,Nutrients!$EV$9)*AH$7)+(((IF($A$8=Nutrients!$B$79,Nutrients!$EV$79,(IF($A$8=Nutrients!$B$77,Nutrients!$EV$77,Nutrients!$EV$78)))))*AH$8))</f>
        <v>900</v>
      </c>
      <c r="AI331" s="21">
        <f>(SUMPRODUCT(AI$9:AI$229,Nutrients!$EV$8:$EV$228)+(IF($A$7=Nutrients!$B$8,Nutrients!$EV$8,Nutrients!$EV$9)*AI$7)+(((IF($A$8=Nutrients!$B$79,Nutrients!$EV$79,(IF($A$8=Nutrients!$B$77,Nutrients!$EV$77,Nutrients!$EV$78)))))*AI$8))</f>
        <v>900</v>
      </c>
      <c r="AK331" s="21">
        <f>(SUMPRODUCT(AK$9:AK$229,Nutrients!$EV$8:$EV$228)+(IF($A$7=Nutrients!$B$8,Nutrients!$EV$8,Nutrients!$EV$9)*AK$7)+(((IF($A$8=Nutrients!$B$79,Nutrients!$EV$79,(IF($A$8=Nutrients!$B$77,Nutrients!$EV$77,Nutrients!$EV$78)))))*AK$8))</f>
        <v>1800</v>
      </c>
      <c r="AL331" s="21">
        <f>(SUMPRODUCT(AL$9:AL$229,Nutrients!$EV$8:$EV$228)+(IF($A$7=Nutrients!$B$8,Nutrients!$EV$8,Nutrients!$EV$9)*AL$7)+(((IF($A$8=Nutrients!$B$79,Nutrients!$EV$79,(IF($A$8=Nutrients!$B$77,Nutrients!$EV$77,Nutrients!$EV$78)))))*AL$8))</f>
        <v>1800</v>
      </c>
      <c r="AM331" s="21">
        <f>(SUMPRODUCT(AM$9:AM$229,Nutrients!$EV$8:$EV$228)+(IF($A$7=Nutrients!$B$8,Nutrients!$EV$8,Nutrients!$EV$9)*AM$7)+(((IF($A$8=Nutrients!$B$79,Nutrients!$EV$79,(IF($A$8=Nutrients!$B$77,Nutrients!$EV$77,Nutrients!$EV$78)))))*AM$8))</f>
        <v>1500</v>
      </c>
      <c r="AN331" s="21">
        <f>(SUMPRODUCT(AN$9:AN$229,Nutrients!$EV$8:$EV$228)+(IF($A$7=Nutrients!$B$8,Nutrients!$EV$8,Nutrients!$EV$9)*AN$7)+(((IF($A$8=Nutrients!$B$79,Nutrients!$EV$79,(IF($A$8=Nutrients!$B$77,Nutrients!$EV$77,Nutrients!$EV$78)))))*AN$8))</f>
        <v>1200</v>
      </c>
      <c r="AO331" s="21">
        <f>(SUMPRODUCT(AO$9:AO$229,Nutrients!$EV$8:$EV$228)+(IF($A$7=Nutrients!$B$8,Nutrients!$EV$8,Nutrients!$EV$9)*AO$7)+(((IF($A$8=Nutrients!$B$79,Nutrients!$EV$79,(IF($A$8=Nutrients!$B$77,Nutrients!$EV$77,Nutrients!$EV$78)))))*AO$8))</f>
        <v>900</v>
      </c>
      <c r="AP331" s="21">
        <f>(SUMPRODUCT(AP$9:AP$229,Nutrients!$EV$8:$EV$228)+(IF($A$7=Nutrients!$B$8,Nutrients!$EV$8,Nutrients!$EV$9)*AP$7)+(((IF($A$8=Nutrients!$B$79,Nutrients!$EV$79,(IF($A$8=Nutrients!$B$77,Nutrients!$EV$77,Nutrients!$EV$78)))))*AP$8))</f>
        <v>900</v>
      </c>
      <c r="AR331" s="21">
        <f>(SUMPRODUCT(AR$9:AR$229,Nutrients!$EV$8:$EV$228)+(IF($A$7=Nutrients!$B$8,Nutrients!$EV$8,Nutrients!$EV$9)*AR$7)+(((IF($A$8=Nutrients!$B$79,Nutrients!$EV$79,(IF($A$8=Nutrients!$B$77,Nutrients!$EV$77,Nutrients!$EV$78)))))*AR$8))</f>
        <v>1800</v>
      </c>
      <c r="AS331" s="21">
        <f>(SUMPRODUCT(AS$9:AS$229,Nutrients!$EV$8:$EV$228)+(IF($A$7=Nutrients!$B$8,Nutrients!$EV$8,Nutrients!$EV$9)*AS$7)+(((IF($A$8=Nutrients!$B$79,Nutrients!$EV$79,(IF($A$8=Nutrients!$B$77,Nutrients!$EV$77,Nutrients!$EV$78)))))*AS$8))</f>
        <v>1800</v>
      </c>
      <c r="AT331" s="21">
        <f>(SUMPRODUCT(AT$9:AT$229,Nutrients!$EV$8:$EV$228)+(IF($A$7=Nutrients!$B$8,Nutrients!$EV$8,Nutrients!$EV$9)*AT$7)+(((IF($A$8=Nutrients!$B$79,Nutrients!$EV$79,(IF($A$8=Nutrients!$B$77,Nutrients!$EV$77,Nutrients!$EV$78)))))*AT$8))</f>
        <v>1500</v>
      </c>
      <c r="AU331" s="21">
        <f>(SUMPRODUCT(AU$9:AU$229,Nutrients!$EV$8:$EV$228)+(IF($A$7=Nutrients!$B$8,Nutrients!$EV$8,Nutrients!$EV$9)*AU$7)+(((IF($A$8=Nutrients!$B$79,Nutrients!$EV$79,(IF($A$8=Nutrients!$B$77,Nutrients!$EV$77,Nutrients!$EV$78)))))*AU$8))</f>
        <v>1200</v>
      </c>
      <c r="AV331" s="21">
        <f>(SUMPRODUCT(AV$9:AV$229,Nutrients!$EV$8:$EV$228)+(IF($A$7=Nutrients!$B$8,Nutrients!$EV$8,Nutrients!$EV$9)*AV$7)+(((IF($A$8=Nutrients!$B$79,Nutrients!$EV$79,(IF($A$8=Nutrients!$B$77,Nutrients!$EV$77,Nutrients!$EV$78)))))*AV$8))</f>
        <v>900</v>
      </c>
      <c r="AW331" s="21">
        <f>(SUMPRODUCT(AW$9:AW$229,Nutrients!$EV$8:$EV$228)+(IF($A$7=Nutrients!$B$8,Nutrients!$EV$8,Nutrients!$EV$9)*AW$7)+(((IF($A$8=Nutrients!$B$79,Nutrients!$EV$79,(IF($A$8=Nutrients!$B$77,Nutrients!$EV$77,Nutrients!$EV$78)))))*AW$8))</f>
        <v>900</v>
      </c>
    </row>
    <row r="332" spans="1:49" x14ac:dyDescent="0.25">
      <c r="A332" s="34" t="s">
        <v>125</v>
      </c>
      <c r="B332" s="21">
        <f>(SUMPRODUCT(B$9:B$229,Nutrients!$EW$8:$EW$228)+(IF($A$7=Nutrients!$B$8,Nutrients!$EW$8,Nutrients!$EW$9)*B$7)+(((IF($A$8=Nutrients!$B$79,Nutrients!$EW$79,(IF($A$8=Nutrients!$B$77,Nutrients!$EW$77,Nutrients!$EW$78)))))*B$8))</f>
        <v>18</v>
      </c>
      <c r="C332" s="21">
        <f>(SUMPRODUCT(C$9:C$229,Nutrients!$EW$8:$EW$228)+(IF($A$7=Nutrients!$B$8,Nutrients!$EW$8,Nutrients!$EW$9)*C$7)+(((IF($A$8=Nutrients!$B$79,Nutrients!$EW$79,(IF($A$8=Nutrients!$B$77,Nutrients!$EW$77,Nutrients!$EW$78)))))*C$8))</f>
        <v>18</v>
      </c>
      <c r="D332" s="21">
        <f>(SUMPRODUCT(D$9:D$229,Nutrients!$EW$8:$EW$228)+(IF($A$7=Nutrients!$B$8,Nutrients!$EW$8,Nutrients!$EW$9)*D$7)+(((IF($A$8=Nutrients!$B$79,Nutrients!$EW$79,(IF($A$8=Nutrients!$B$77,Nutrients!$EW$77,Nutrients!$EW$78)))))*D$8))</f>
        <v>15</v>
      </c>
      <c r="E332" s="21">
        <f>(SUMPRODUCT(E$9:E$229,Nutrients!$EW$8:$EW$228)+(IF($A$7=Nutrients!$B$8,Nutrients!$EW$8,Nutrients!$EW$9)*E$7)+(((IF($A$8=Nutrients!$B$79,Nutrients!$EW$79,(IF($A$8=Nutrients!$B$77,Nutrients!$EW$77,Nutrients!$EW$78)))))*E$8))</f>
        <v>12</v>
      </c>
      <c r="F332" s="21">
        <f>(SUMPRODUCT(F$9:F$229,Nutrients!$EW$8:$EW$228)+(IF($A$7=Nutrients!$B$8,Nutrients!$EW$8,Nutrients!$EW$9)*F$7)+(((IF($A$8=Nutrients!$B$79,Nutrients!$EW$79,(IF($A$8=Nutrients!$B$77,Nutrients!$EW$77,Nutrients!$EW$78)))))*F$8))</f>
        <v>9</v>
      </c>
      <c r="G332" s="21">
        <f>(SUMPRODUCT(G$9:G$229,Nutrients!$EW$8:$EW$228)+(IF($A$7=Nutrients!$B$8,Nutrients!$EW$8,Nutrients!$EW$9)*G$7)+(((IF($A$8=Nutrients!$B$79,Nutrients!$EW$79,(IF($A$8=Nutrients!$B$77,Nutrients!$EW$77,Nutrients!$EW$78)))))*G$8))</f>
        <v>9</v>
      </c>
      <c r="H332" s="226"/>
      <c r="I332" s="21">
        <f>(SUMPRODUCT(I$9:I$229,Nutrients!$EW$8:$EW$228)+(IF($A$7=Nutrients!$B$8,Nutrients!$EW$8,Nutrients!$EW$9)*I$7)+(((IF($A$8=Nutrients!$B$79,Nutrients!$EW$79,(IF($A$8=Nutrients!$B$77,Nutrients!$EW$77,Nutrients!$EW$78)))))*I$8))</f>
        <v>18</v>
      </c>
      <c r="J332" s="21">
        <f>(SUMPRODUCT(J$9:J$229,Nutrients!$EW$8:$EW$228)+(IF($A$7=Nutrients!$B$8,Nutrients!$EW$8,Nutrients!$EW$9)*J$7)+(((IF($A$8=Nutrients!$B$79,Nutrients!$EW$79,(IF($A$8=Nutrients!$B$77,Nutrients!$EW$77,Nutrients!$EW$78)))))*J$8))</f>
        <v>18</v>
      </c>
      <c r="K332" s="21">
        <f>(SUMPRODUCT(K$9:K$229,Nutrients!$EW$8:$EW$228)+(IF($A$7=Nutrients!$B$8,Nutrients!$EW$8,Nutrients!$EW$9)*K$7)+(((IF($A$8=Nutrients!$B$79,Nutrients!$EW$79,(IF($A$8=Nutrients!$B$77,Nutrients!$EW$77,Nutrients!$EW$78)))))*K$8))</f>
        <v>15</v>
      </c>
      <c r="L332" s="21">
        <f>(SUMPRODUCT(L$9:L$229,Nutrients!$EW$8:$EW$228)+(IF($A$7=Nutrients!$B$8,Nutrients!$EW$8,Nutrients!$EW$9)*L$7)+(((IF($A$8=Nutrients!$B$79,Nutrients!$EW$79,(IF($A$8=Nutrients!$B$77,Nutrients!$EW$77,Nutrients!$EW$78)))))*L$8))</f>
        <v>12</v>
      </c>
      <c r="M332" s="21">
        <f>(SUMPRODUCT(M$9:M$229,Nutrients!$EW$8:$EW$228)+(IF($A$7=Nutrients!$B$8,Nutrients!$EW$8,Nutrients!$EW$9)*M$7)+(((IF($A$8=Nutrients!$B$79,Nutrients!$EW$79,(IF($A$8=Nutrients!$B$77,Nutrients!$EW$77,Nutrients!$EW$78)))))*M$8))</f>
        <v>9</v>
      </c>
      <c r="N332" s="21">
        <f>(SUMPRODUCT(N$9:N$229,Nutrients!$EW$8:$EW$228)+(IF($A$7=Nutrients!$B$8,Nutrients!$EW$8,Nutrients!$EW$9)*N$7)+(((IF($A$8=Nutrients!$B$79,Nutrients!$EW$79,(IF($A$8=Nutrients!$B$77,Nutrients!$EW$77,Nutrients!$EW$78)))))*N$8))</f>
        <v>9</v>
      </c>
      <c r="O332" s="234"/>
      <c r="P332" s="21">
        <f>(SUMPRODUCT(P$9:P$229,Nutrients!$EW$8:$EW$228)+(IF($A$7=Nutrients!$B$8,Nutrients!$EW$8,Nutrients!$EW$9)*P$7)+(((IF($A$8=Nutrients!$B$79,Nutrients!$EW$79,(IF($A$8=Nutrients!$B$77,Nutrients!$EW$77,Nutrients!$EW$78)))))*P$8))</f>
        <v>18</v>
      </c>
      <c r="Q332" s="21">
        <f>(SUMPRODUCT(Q$9:Q$229,Nutrients!$EW$8:$EW$228)+(IF($A$7=Nutrients!$B$8,Nutrients!$EW$8,Nutrients!$EW$9)*Q$7)+(((IF($A$8=Nutrients!$B$79,Nutrients!$EW$79,(IF($A$8=Nutrients!$B$77,Nutrients!$EW$77,Nutrients!$EW$78)))))*Q$8))</f>
        <v>18</v>
      </c>
      <c r="R332" s="21">
        <f>(SUMPRODUCT(R$9:R$229,Nutrients!$EW$8:$EW$228)+(IF($A$7=Nutrients!$B$8,Nutrients!$EW$8,Nutrients!$EW$9)*R$7)+(((IF($A$8=Nutrients!$B$79,Nutrients!$EW$79,(IF($A$8=Nutrients!$B$77,Nutrients!$EW$77,Nutrients!$EW$78)))))*R$8))</f>
        <v>15</v>
      </c>
      <c r="S332" s="21">
        <f>(SUMPRODUCT(S$9:S$229,Nutrients!$EW$8:$EW$228)+(IF($A$7=Nutrients!$B$8,Nutrients!$EW$8,Nutrients!$EW$9)*S$7)+(((IF($A$8=Nutrients!$B$79,Nutrients!$EW$79,(IF($A$8=Nutrients!$B$77,Nutrients!$EW$77,Nutrients!$EW$78)))))*S$8))</f>
        <v>12</v>
      </c>
      <c r="T332" s="21">
        <f>(SUMPRODUCT(T$9:T$229,Nutrients!$EW$8:$EW$228)+(IF($A$7=Nutrients!$B$8,Nutrients!$EW$8,Nutrients!$EW$9)*T$7)+(((IF($A$8=Nutrients!$B$79,Nutrients!$EW$79,(IF($A$8=Nutrients!$B$77,Nutrients!$EW$77,Nutrients!$EW$78)))))*T$8))</f>
        <v>9</v>
      </c>
      <c r="U332" s="21">
        <f>(SUMPRODUCT(U$9:U$229,Nutrients!$EW$8:$EW$228)+(IF($A$7=Nutrients!$B$8,Nutrients!$EW$8,Nutrients!$EW$9)*U$7)+(((IF($A$8=Nutrients!$B$79,Nutrients!$EW$79,(IF($A$8=Nutrients!$B$77,Nutrients!$EW$77,Nutrients!$EW$78)))))*U$8))</f>
        <v>9</v>
      </c>
      <c r="W332" s="21">
        <f>(SUMPRODUCT(W$9:W$229,Nutrients!$EW$8:$EW$228)+(IF($A$7=Nutrients!$B$8,Nutrients!$EW$8,Nutrients!$EW$9)*W$7)+(((IF($A$8=Nutrients!$B$79,Nutrients!$EW$79,(IF($A$8=Nutrients!$B$77,Nutrients!$EW$77,Nutrients!$EW$78)))))*W$8))</f>
        <v>18</v>
      </c>
      <c r="X332" s="21">
        <f>(SUMPRODUCT(X$9:X$229,Nutrients!$EW$8:$EW$228)+(IF($A$7=Nutrients!$B$8,Nutrients!$EW$8,Nutrients!$EW$9)*X$7)+(((IF($A$8=Nutrients!$B$79,Nutrients!$EW$79,(IF($A$8=Nutrients!$B$77,Nutrients!$EW$77,Nutrients!$EW$78)))))*X$8))</f>
        <v>18</v>
      </c>
      <c r="Y332" s="21">
        <f>(SUMPRODUCT(Y$9:Y$229,Nutrients!$EW$8:$EW$228)+(IF($A$7=Nutrients!$B$8,Nutrients!$EW$8,Nutrients!$EW$9)*Y$7)+(((IF($A$8=Nutrients!$B$79,Nutrients!$EW$79,(IF($A$8=Nutrients!$B$77,Nutrients!$EW$77,Nutrients!$EW$78)))))*Y$8))</f>
        <v>15</v>
      </c>
      <c r="Z332" s="21">
        <f>(SUMPRODUCT(Z$9:Z$229,Nutrients!$EW$8:$EW$228)+(IF($A$7=Nutrients!$B$8,Nutrients!$EW$8,Nutrients!$EW$9)*Z$7)+(((IF($A$8=Nutrients!$B$79,Nutrients!$EW$79,(IF($A$8=Nutrients!$B$77,Nutrients!$EW$77,Nutrients!$EW$78)))))*Z$8))</f>
        <v>12</v>
      </c>
      <c r="AA332" s="21">
        <f>(SUMPRODUCT(AA$9:AA$229,Nutrients!$EW$8:$EW$228)+(IF($A$7=Nutrients!$B$8,Nutrients!$EW$8,Nutrients!$EW$9)*AA$7)+(((IF($A$8=Nutrients!$B$79,Nutrients!$EW$79,(IF($A$8=Nutrients!$B$77,Nutrients!$EW$77,Nutrients!$EW$78)))))*AA$8))</f>
        <v>9</v>
      </c>
      <c r="AB332" s="21">
        <f>(SUMPRODUCT(AB$9:AB$229,Nutrients!$EW$8:$EW$228)+(IF($A$7=Nutrients!$B$8,Nutrients!$EW$8,Nutrients!$EW$9)*AB$7)+(((IF($A$8=Nutrients!$B$79,Nutrients!$EW$79,(IF($A$8=Nutrients!$B$77,Nutrients!$EW$77,Nutrients!$EW$78)))))*AB$8))</f>
        <v>9</v>
      </c>
      <c r="AD332" s="21">
        <f>(SUMPRODUCT(AD$9:AD$229,Nutrients!$EW$8:$EW$228)+(IF($A$7=Nutrients!$B$8,Nutrients!$EW$8,Nutrients!$EW$9)*AD$7)+(((IF($A$8=Nutrients!$B$79,Nutrients!$EW$79,(IF($A$8=Nutrients!$B$77,Nutrients!$EW$77,Nutrients!$EW$78)))))*AD$8))</f>
        <v>18</v>
      </c>
      <c r="AE332" s="21">
        <f>(SUMPRODUCT(AE$9:AE$229,Nutrients!$EW$8:$EW$228)+(IF($A$7=Nutrients!$B$8,Nutrients!$EW$8,Nutrients!$EW$9)*AE$7)+(((IF($A$8=Nutrients!$B$79,Nutrients!$EW$79,(IF($A$8=Nutrients!$B$77,Nutrients!$EW$77,Nutrients!$EW$78)))))*AE$8))</f>
        <v>18</v>
      </c>
      <c r="AF332" s="21">
        <f>(SUMPRODUCT(AF$9:AF$229,Nutrients!$EW$8:$EW$228)+(IF($A$7=Nutrients!$B$8,Nutrients!$EW$8,Nutrients!$EW$9)*AF$7)+(((IF($A$8=Nutrients!$B$79,Nutrients!$EW$79,(IF($A$8=Nutrients!$B$77,Nutrients!$EW$77,Nutrients!$EW$78)))))*AF$8))</f>
        <v>15</v>
      </c>
      <c r="AG332" s="21">
        <f>(SUMPRODUCT(AG$9:AG$229,Nutrients!$EW$8:$EW$228)+(IF($A$7=Nutrients!$B$8,Nutrients!$EW$8,Nutrients!$EW$9)*AG$7)+(((IF($A$8=Nutrients!$B$79,Nutrients!$EW$79,(IF($A$8=Nutrients!$B$77,Nutrients!$EW$77,Nutrients!$EW$78)))))*AG$8))</f>
        <v>12</v>
      </c>
      <c r="AH332" s="21">
        <f>(SUMPRODUCT(AH$9:AH$229,Nutrients!$EW$8:$EW$228)+(IF($A$7=Nutrients!$B$8,Nutrients!$EW$8,Nutrients!$EW$9)*AH$7)+(((IF($A$8=Nutrients!$B$79,Nutrients!$EW$79,(IF($A$8=Nutrients!$B$77,Nutrients!$EW$77,Nutrients!$EW$78)))))*AH$8))</f>
        <v>9</v>
      </c>
      <c r="AI332" s="21">
        <f>(SUMPRODUCT(AI$9:AI$229,Nutrients!$EW$8:$EW$228)+(IF($A$7=Nutrients!$B$8,Nutrients!$EW$8,Nutrients!$EW$9)*AI$7)+(((IF($A$8=Nutrients!$B$79,Nutrients!$EW$79,(IF($A$8=Nutrients!$B$77,Nutrients!$EW$77,Nutrients!$EW$78)))))*AI$8))</f>
        <v>9</v>
      </c>
      <c r="AK332" s="21">
        <f>(SUMPRODUCT(AK$9:AK$229,Nutrients!$EW$8:$EW$228)+(IF($A$7=Nutrients!$B$8,Nutrients!$EW$8,Nutrients!$EW$9)*AK$7)+(((IF($A$8=Nutrients!$B$79,Nutrients!$EW$79,(IF($A$8=Nutrients!$B$77,Nutrients!$EW$77,Nutrients!$EW$78)))))*AK$8))</f>
        <v>18</v>
      </c>
      <c r="AL332" s="21">
        <f>(SUMPRODUCT(AL$9:AL$229,Nutrients!$EW$8:$EW$228)+(IF($A$7=Nutrients!$B$8,Nutrients!$EW$8,Nutrients!$EW$9)*AL$7)+(((IF($A$8=Nutrients!$B$79,Nutrients!$EW$79,(IF($A$8=Nutrients!$B$77,Nutrients!$EW$77,Nutrients!$EW$78)))))*AL$8))</f>
        <v>18</v>
      </c>
      <c r="AM332" s="21">
        <f>(SUMPRODUCT(AM$9:AM$229,Nutrients!$EW$8:$EW$228)+(IF($A$7=Nutrients!$B$8,Nutrients!$EW$8,Nutrients!$EW$9)*AM$7)+(((IF($A$8=Nutrients!$B$79,Nutrients!$EW$79,(IF($A$8=Nutrients!$B$77,Nutrients!$EW$77,Nutrients!$EW$78)))))*AM$8))</f>
        <v>15</v>
      </c>
      <c r="AN332" s="21">
        <f>(SUMPRODUCT(AN$9:AN$229,Nutrients!$EW$8:$EW$228)+(IF($A$7=Nutrients!$B$8,Nutrients!$EW$8,Nutrients!$EW$9)*AN$7)+(((IF($A$8=Nutrients!$B$79,Nutrients!$EW$79,(IF($A$8=Nutrients!$B$77,Nutrients!$EW$77,Nutrients!$EW$78)))))*AN$8))</f>
        <v>12</v>
      </c>
      <c r="AO332" s="21">
        <f>(SUMPRODUCT(AO$9:AO$229,Nutrients!$EW$8:$EW$228)+(IF($A$7=Nutrients!$B$8,Nutrients!$EW$8,Nutrients!$EW$9)*AO$7)+(((IF($A$8=Nutrients!$B$79,Nutrients!$EW$79,(IF($A$8=Nutrients!$B$77,Nutrients!$EW$77,Nutrients!$EW$78)))))*AO$8))</f>
        <v>9</v>
      </c>
      <c r="AP332" s="21">
        <f>(SUMPRODUCT(AP$9:AP$229,Nutrients!$EW$8:$EW$228)+(IF($A$7=Nutrients!$B$8,Nutrients!$EW$8,Nutrients!$EW$9)*AP$7)+(((IF($A$8=Nutrients!$B$79,Nutrients!$EW$79,(IF($A$8=Nutrients!$B$77,Nutrients!$EW$77,Nutrients!$EW$78)))))*AP$8))</f>
        <v>9</v>
      </c>
      <c r="AR332" s="21">
        <f>(SUMPRODUCT(AR$9:AR$229,Nutrients!$EW$8:$EW$228)+(IF($A$7=Nutrients!$B$8,Nutrients!$EW$8,Nutrients!$EW$9)*AR$7)+(((IF($A$8=Nutrients!$B$79,Nutrients!$EW$79,(IF($A$8=Nutrients!$B$77,Nutrients!$EW$77,Nutrients!$EW$78)))))*AR$8))</f>
        <v>18</v>
      </c>
      <c r="AS332" s="21">
        <f>(SUMPRODUCT(AS$9:AS$229,Nutrients!$EW$8:$EW$228)+(IF($A$7=Nutrients!$B$8,Nutrients!$EW$8,Nutrients!$EW$9)*AS$7)+(((IF($A$8=Nutrients!$B$79,Nutrients!$EW$79,(IF($A$8=Nutrients!$B$77,Nutrients!$EW$77,Nutrients!$EW$78)))))*AS$8))</f>
        <v>18</v>
      </c>
      <c r="AT332" s="21">
        <f>(SUMPRODUCT(AT$9:AT$229,Nutrients!$EW$8:$EW$228)+(IF($A$7=Nutrients!$B$8,Nutrients!$EW$8,Nutrients!$EW$9)*AT$7)+(((IF($A$8=Nutrients!$B$79,Nutrients!$EW$79,(IF($A$8=Nutrients!$B$77,Nutrients!$EW$77,Nutrients!$EW$78)))))*AT$8))</f>
        <v>15</v>
      </c>
      <c r="AU332" s="21">
        <f>(SUMPRODUCT(AU$9:AU$229,Nutrients!$EW$8:$EW$228)+(IF($A$7=Nutrients!$B$8,Nutrients!$EW$8,Nutrients!$EW$9)*AU$7)+(((IF($A$8=Nutrients!$B$79,Nutrients!$EW$79,(IF($A$8=Nutrients!$B$77,Nutrients!$EW$77,Nutrients!$EW$78)))))*AU$8))</f>
        <v>12</v>
      </c>
      <c r="AV332" s="21">
        <f>(SUMPRODUCT(AV$9:AV$229,Nutrients!$EW$8:$EW$228)+(IF($A$7=Nutrients!$B$8,Nutrients!$EW$8,Nutrients!$EW$9)*AV$7)+(((IF($A$8=Nutrients!$B$79,Nutrients!$EW$79,(IF($A$8=Nutrients!$B$77,Nutrients!$EW$77,Nutrients!$EW$78)))))*AV$8))</f>
        <v>9</v>
      </c>
      <c r="AW332" s="21">
        <f>(SUMPRODUCT(AW$9:AW$229,Nutrients!$EW$8:$EW$228)+(IF($A$7=Nutrients!$B$8,Nutrients!$EW$8,Nutrients!$EW$9)*AW$7)+(((IF($A$8=Nutrients!$B$79,Nutrients!$EW$79,(IF($A$8=Nutrients!$B$77,Nutrients!$EW$77,Nutrients!$EW$78)))))*AW$8))</f>
        <v>9</v>
      </c>
    </row>
    <row r="333" spans="1:49" x14ac:dyDescent="0.25">
      <c r="A333" s="34" t="s">
        <v>126</v>
      </c>
      <c r="B333" s="21">
        <f>(SUMPRODUCT(B$9:B$229,Nutrients!$EX$8:$EX$228)+(IF($A$7=Nutrients!$B$8,Nutrients!$EX$8,Nutrients!$EX$9)*B$7)+(((IF($A$8=Nutrients!$B$79,Nutrients!$EX$79,(IF($A$8=Nutrients!$B$77,Nutrients!$EX$77,Nutrients!$EX$78)))))*B$8))</f>
        <v>27000</v>
      </c>
      <c r="C333" s="21">
        <f>(SUMPRODUCT(C$9:C$229,Nutrients!$EX$8:$EX$228)+(IF($A$7=Nutrients!$B$8,Nutrients!$EX$8,Nutrients!$EX$9)*C$7)+(((IF($A$8=Nutrients!$B$79,Nutrients!$EX$79,(IF($A$8=Nutrients!$B$77,Nutrients!$EX$77,Nutrients!$EX$78)))))*C$8))</f>
        <v>27000</v>
      </c>
      <c r="D333" s="21">
        <f>(SUMPRODUCT(D$9:D$229,Nutrients!$EX$8:$EX$228)+(IF($A$7=Nutrients!$B$8,Nutrients!$EX$8,Nutrients!$EX$9)*D$7)+(((IF($A$8=Nutrients!$B$79,Nutrients!$EX$79,(IF($A$8=Nutrients!$B$77,Nutrients!$EX$77,Nutrients!$EX$78)))))*D$8))</f>
        <v>22500</v>
      </c>
      <c r="E333" s="21">
        <f>(SUMPRODUCT(E$9:E$229,Nutrients!$EX$8:$EX$228)+(IF($A$7=Nutrients!$B$8,Nutrients!$EX$8,Nutrients!$EX$9)*E$7)+(((IF($A$8=Nutrients!$B$79,Nutrients!$EX$79,(IF($A$8=Nutrients!$B$77,Nutrients!$EX$77,Nutrients!$EX$78)))))*E$8))</f>
        <v>18000</v>
      </c>
      <c r="F333" s="21">
        <f>(SUMPRODUCT(F$9:F$229,Nutrients!$EX$8:$EX$228)+(IF($A$7=Nutrients!$B$8,Nutrients!$EX$8,Nutrients!$EX$9)*F$7)+(((IF($A$8=Nutrients!$B$79,Nutrients!$EX$79,(IF($A$8=Nutrients!$B$77,Nutrients!$EX$77,Nutrients!$EX$78)))))*F$8))</f>
        <v>13500</v>
      </c>
      <c r="G333" s="21">
        <f>(SUMPRODUCT(G$9:G$229,Nutrients!$EX$8:$EX$228)+(IF($A$7=Nutrients!$B$8,Nutrients!$EX$8,Nutrients!$EX$9)*G$7)+(((IF($A$8=Nutrients!$B$79,Nutrients!$EX$79,(IF($A$8=Nutrients!$B$77,Nutrients!$EX$77,Nutrients!$EX$78)))))*G$8))</f>
        <v>13500</v>
      </c>
      <c r="H333" s="226"/>
      <c r="I333" s="21">
        <f>(SUMPRODUCT(I$9:I$229,Nutrients!$EX$8:$EX$228)+(IF($A$7=Nutrients!$B$8,Nutrients!$EX$8,Nutrients!$EX$9)*I$7)+(((IF($A$8=Nutrients!$B$79,Nutrients!$EX$79,(IF($A$8=Nutrients!$B$77,Nutrients!$EX$77,Nutrients!$EX$78)))))*I$8))</f>
        <v>27000</v>
      </c>
      <c r="J333" s="21">
        <f>(SUMPRODUCT(J$9:J$229,Nutrients!$EX$8:$EX$228)+(IF($A$7=Nutrients!$B$8,Nutrients!$EX$8,Nutrients!$EX$9)*J$7)+(((IF($A$8=Nutrients!$B$79,Nutrients!$EX$79,(IF($A$8=Nutrients!$B$77,Nutrients!$EX$77,Nutrients!$EX$78)))))*J$8))</f>
        <v>27000</v>
      </c>
      <c r="K333" s="21">
        <f>(SUMPRODUCT(K$9:K$229,Nutrients!$EX$8:$EX$228)+(IF($A$7=Nutrients!$B$8,Nutrients!$EX$8,Nutrients!$EX$9)*K$7)+(((IF($A$8=Nutrients!$B$79,Nutrients!$EX$79,(IF($A$8=Nutrients!$B$77,Nutrients!$EX$77,Nutrients!$EX$78)))))*K$8))</f>
        <v>22500</v>
      </c>
      <c r="L333" s="21">
        <f>(SUMPRODUCT(L$9:L$229,Nutrients!$EX$8:$EX$228)+(IF($A$7=Nutrients!$B$8,Nutrients!$EX$8,Nutrients!$EX$9)*L$7)+(((IF($A$8=Nutrients!$B$79,Nutrients!$EX$79,(IF($A$8=Nutrients!$B$77,Nutrients!$EX$77,Nutrients!$EX$78)))))*L$8))</f>
        <v>18000</v>
      </c>
      <c r="M333" s="21">
        <f>(SUMPRODUCT(M$9:M$229,Nutrients!$EX$8:$EX$228)+(IF($A$7=Nutrients!$B$8,Nutrients!$EX$8,Nutrients!$EX$9)*M$7)+(((IF($A$8=Nutrients!$B$79,Nutrients!$EX$79,(IF($A$8=Nutrients!$B$77,Nutrients!$EX$77,Nutrients!$EX$78)))))*M$8))</f>
        <v>13500</v>
      </c>
      <c r="N333" s="21">
        <f>(SUMPRODUCT(N$9:N$229,Nutrients!$EX$8:$EX$228)+(IF($A$7=Nutrients!$B$8,Nutrients!$EX$8,Nutrients!$EX$9)*N$7)+(((IF($A$8=Nutrients!$B$79,Nutrients!$EX$79,(IF($A$8=Nutrients!$B$77,Nutrients!$EX$77,Nutrients!$EX$78)))))*N$8))</f>
        <v>13500</v>
      </c>
      <c r="O333" s="234"/>
      <c r="P333" s="21">
        <f>(SUMPRODUCT(P$9:P$229,Nutrients!$EX$8:$EX$228)+(IF($A$7=Nutrients!$B$8,Nutrients!$EX$8,Nutrients!$EX$9)*P$7)+(((IF($A$8=Nutrients!$B$79,Nutrients!$EX$79,(IF($A$8=Nutrients!$B$77,Nutrients!$EX$77,Nutrients!$EX$78)))))*P$8))</f>
        <v>27000</v>
      </c>
      <c r="Q333" s="21">
        <f>(SUMPRODUCT(Q$9:Q$229,Nutrients!$EX$8:$EX$228)+(IF($A$7=Nutrients!$B$8,Nutrients!$EX$8,Nutrients!$EX$9)*Q$7)+(((IF($A$8=Nutrients!$B$79,Nutrients!$EX$79,(IF($A$8=Nutrients!$B$77,Nutrients!$EX$77,Nutrients!$EX$78)))))*Q$8))</f>
        <v>27000</v>
      </c>
      <c r="R333" s="21">
        <f>(SUMPRODUCT(R$9:R$229,Nutrients!$EX$8:$EX$228)+(IF($A$7=Nutrients!$B$8,Nutrients!$EX$8,Nutrients!$EX$9)*R$7)+(((IF($A$8=Nutrients!$B$79,Nutrients!$EX$79,(IF($A$8=Nutrients!$B$77,Nutrients!$EX$77,Nutrients!$EX$78)))))*R$8))</f>
        <v>22500</v>
      </c>
      <c r="S333" s="21">
        <f>(SUMPRODUCT(S$9:S$229,Nutrients!$EX$8:$EX$228)+(IF($A$7=Nutrients!$B$8,Nutrients!$EX$8,Nutrients!$EX$9)*S$7)+(((IF($A$8=Nutrients!$B$79,Nutrients!$EX$79,(IF($A$8=Nutrients!$B$77,Nutrients!$EX$77,Nutrients!$EX$78)))))*S$8))</f>
        <v>18000</v>
      </c>
      <c r="T333" s="21">
        <f>(SUMPRODUCT(T$9:T$229,Nutrients!$EX$8:$EX$228)+(IF($A$7=Nutrients!$B$8,Nutrients!$EX$8,Nutrients!$EX$9)*T$7)+(((IF($A$8=Nutrients!$B$79,Nutrients!$EX$79,(IF($A$8=Nutrients!$B$77,Nutrients!$EX$77,Nutrients!$EX$78)))))*T$8))</f>
        <v>13500</v>
      </c>
      <c r="U333" s="21">
        <f>(SUMPRODUCT(U$9:U$229,Nutrients!$EX$8:$EX$228)+(IF($A$7=Nutrients!$B$8,Nutrients!$EX$8,Nutrients!$EX$9)*U$7)+(((IF($A$8=Nutrients!$B$79,Nutrients!$EX$79,(IF($A$8=Nutrients!$B$77,Nutrients!$EX$77,Nutrients!$EX$78)))))*U$8))</f>
        <v>13500</v>
      </c>
      <c r="W333" s="21">
        <f>(SUMPRODUCT(W$9:W$229,Nutrients!$EX$8:$EX$228)+(IF($A$7=Nutrients!$B$8,Nutrients!$EX$8,Nutrients!$EX$9)*W$7)+(((IF($A$8=Nutrients!$B$79,Nutrients!$EX$79,(IF($A$8=Nutrients!$B$77,Nutrients!$EX$77,Nutrients!$EX$78)))))*W$8))</f>
        <v>27000</v>
      </c>
      <c r="X333" s="21">
        <f>(SUMPRODUCT(X$9:X$229,Nutrients!$EX$8:$EX$228)+(IF($A$7=Nutrients!$B$8,Nutrients!$EX$8,Nutrients!$EX$9)*X$7)+(((IF($A$8=Nutrients!$B$79,Nutrients!$EX$79,(IF($A$8=Nutrients!$B$77,Nutrients!$EX$77,Nutrients!$EX$78)))))*X$8))</f>
        <v>27000</v>
      </c>
      <c r="Y333" s="21">
        <f>(SUMPRODUCT(Y$9:Y$229,Nutrients!$EX$8:$EX$228)+(IF($A$7=Nutrients!$B$8,Nutrients!$EX$8,Nutrients!$EX$9)*Y$7)+(((IF($A$8=Nutrients!$B$79,Nutrients!$EX$79,(IF($A$8=Nutrients!$B$77,Nutrients!$EX$77,Nutrients!$EX$78)))))*Y$8))</f>
        <v>22500</v>
      </c>
      <c r="Z333" s="21">
        <f>(SUMPRODUCT(Z$9:Z$229,Nutrients!$EX$8:$EX$228)+(IF($A$7=Nutrients!$B$8,Nutrients!$EX$8,Nutrients!$EX$9)*Z$7)+(((IF($A$8=Nutrients!$B$79,Nutrients!$EX$79,(IF($A$8=Nutrients!$B$77,Nutrients!$EX$77,Nutrients!$EX$78)))))*Z$8))</f>
        <v>18000</v>
      </c>
      <c r="AA333" s="21">
        <f>(SUMPRODUCT(AA$9:AA$229,Nutrients!$EX$8:$EX$228)+(IF($A$7=Nutrients!$B$8,Nutrients!$EX$8,Nutrients!$EX$9)*AA$7)+(((IF($A$8=Nutrients!$B$79,Nutrients!$EX$79,(IF($A$8=Nutrients!$B$77,Nutrients!$EX$77,Nutrients!$EX$78)))))*AA$8))</f>
        <v>13500</v>
      </c>
      <c r="AB333" s="21">
        <f>(SUMPRODUCT(AB$9:AB$229,Nutrients!$EX$8:$EX$228)+(IF($A$7=Nutrients!$B$8,Nutrients!$EX$8,Nutrients!$EX$9)*AB$7)+(((IF($A$8=Nutrients!$B$79,Nutrients!$EX$79,(IF($A$8=Nutrients!$B$77,Nutrients!$EX$77,Nutrients!$EX$78)))))*AB$8))</f>
        <v>13500</v>
      </c>
      <c r="AD333" s="21">
        <f>(SUMPRODUCT(AD$9:AD$229,Nutrients!$EX$8:$EX$228)+(IF($A$7=Nutrients!$B$8,Nutrients!$EX$8,Nutrients!$EX$9)*AD$7)+(((IF($A$8=Nutrients!$B$79,Nutrients!$EX$79,(IF($A$8=Nutrients!$B$77,Nutrients!$EX$77,Nutrients!$EX$78)))))*AD$8))</f>
        <v>27000</v>
      </c>
      <c r="AE333" s="21">
        <f>(SUMPRODUCT(AE$9:AE$229,Nutrients!$EX$8:$EX$228)+(IF($A$7=Nutrients!$B$8,Nutrients!$EX$8,Nutrients!$EX$9)*AE$7)+(((IF($A$8=Nutrients!$B$79,Nutrients!$EX$79,(IF($A$8=Nutrients!$B$77,Nutrients!$EX$77,Nutrients!$EX$78)))))*AE$8))</f>
        <v>27000</v>
      </c>
      <c r="AF333" s="21">
        <f>(SUMPRODUCT(AF$9:AF$229,Nutrients!$EX$8:$EX$228)+(IF($A$7=Nutrients!$B$8,Nutrients!$EX$8,Nutrients!$EX$9)*AF$7)+(((IF($A$8=Nutrients!$B$79,Nutrients!$EX$79,(IF($A$8=Nutrients!$B$77,Nutrients!$EX$77,Nutrients!$EX$78)))))*AF$8))</f>
        <v>22500</v>
      </c>
      <c r="AG333" s="21">
        <f>(SUMPRODUCT(AG$9:AG$229,Nutrients!$EX$8:$EX$228)+(IF($A$7=Nutrients!$B$8,Nutrients!$EX$8,Nutrients!$EX$9)*AG$7)+(((IF($A$8=Nutrients!$B$79,Nutrients!$EX$79,(IF($A$8=Nutrients!$B$77,Nutrients!$EX$77,Nutrients!$EX$78)))))*AG$8))</f>
        <v>18000</v>
      </c>
      <c r="AH333" s="21">
        <f>(SUMPRODUCT(AH$9:AH$229,Nutrients!$EX$8:$EX$228)+(IF($A$7=Nutrients!$B$8,Nutrients!$EX$8,Nutrients!$EX$9)*AH$7)+(((IF($A$8=Nutrients!$B$79,Nutrients!$EX$79,(IF($A$8=Nutrients!$B$77,Nutrients!$EX$77,Nutrients!$EX$78)))))*AH$8))</f>
        <v>13500</v>
      </c>
      <c r="AI333" s="21">
        <f>(SUMPRODUCT(AI$9:AI$229,Nutrients!$EX$8:$EX$228)+(IF($A$7=Nutrients!$B$8,Nutrients!$EX$8,Nutrients!$EX$9)*AI$7)+(((IF($A$8=Nutrients!$B$79,Nutrients!$EX$79,(IF($A$8=Nutrients!$B$77,Nutrients!$EX$77,Nutrients!$EX$78)))))*AI$8))</f>
        <v>13500</v>
      </c>
      <c r="AK333" s="21">
        <f>(SUMPRODUCT(AK$9:AK$229,Nutrients!$EX$8:$EX$228)+(IF($A$7=Nutrients!$B$8,Nutrients!$EX$8,Nutrients!$EX$9)*AK$7)+(((IF($A$8=Nutrients!$B$79,Nutrients!$EX$79,(IF($A$8=Nutrients!$B$77,Nutrients!$EX$77,Nutrients!$EX$78)))))*AK$8))</f>
        <v>27000</v>
      </c>
      <c r="AL333" s="21">
        <f>(SUMPRODUCT(AL$9:AL$229,Nutrients!$EX$8:$EX$228)+(IF($A$7=Nutrients!$B$8,Nutrients!$EX$8,Nutrients!$EX$9)*AL$7)+(((IF($A$8=Nutrients!$B$79,Nutrients!$EX$79,(IF($A$8=Nutrients!$B$77,Nutrients!$EX$77,Nutrients!$EX$78)))))*AL$8))</f>
        <v>27000</v>
      </c>
      <c r="AM333" s="21">
        <f>(SUMPRODUCT(AM$9:AM$229,Nutrients!$EX$8:$EX$228)+(IF($A$7=Nutrients!$B$8,Nutrients!$EX$8,Nutrients!$EX$9)*AM$7)+(((IF($A$8=Nutrients!$B$79,Nutrients!$EX$79,(IF($A$8=Nutrients!$B$77,Nutrients!$EX$77,Nutrients!$EX$78)))))*AM$8))</f>
        <v>22500</v>
      </c>
      <c r="AN333" s="21">
        <f>(SUMPRODUCT(AN$9:AN$229,Nutrients!$EX$8:$EX$228)+(IF($A$7=Nutrients!$B$8,Nutrients!$EX$8,Nutrients!$EX$9)*AN$7)+(((IF($A$8=Nutrients!$B$79,Nutrients!$EX$79,(IF($A$8=Nutrients!$B$77,Nutrients!$EX$77,Nutrients!$EX$78)))))*AN$8))</f>
        <v>18000</v>
      </c>
      <c r="AO333" s="21">
        <f>(SUMPRODUCT(AO$9:AO$229,Nutrients!$EX$8:$EX$228)+(IF($A$7=Nutrients!$B$8,Nutrients!$EX$8,Nutrients!$EX$9)*AO$7)+(((IF($A$8=Nutrients!$B$79,Nutrients!$EX$79,(IF($A$8=Nutrients!$B$77,Nutrients!$EX$77,Nutrients!$EX$78)))))*AO$8))</f>
        <v>13500</v>
      </c>
      <c r="AP333" s="21">
        <f>(SUMPRODUCT(AP$9:AP$229,Nutrients!$EX$8:$EX$228)+(IF($A$7=Nutrients!$B$8,Nutrients!$EX$8,Nutrients!$EX$9)*AP$7)+(((IF($A$8=Nutrients!$B$79,Nutrients!$EX$79,(IF($A$8=Nutrients!$B$77,Nutrients!$EX$77,Nutrients!$EX$78)))))*AP$8))</f>
        <v>13500</v>
      </c>
      <c r="AR333" s="21">
        <f>(SUMPRODUCT(AR$9:AR$229,Nutrients!$EX$8:$EX$228)+(IF($A$7=Nutrients!$B$8,Nutrients!$EX$8,Nutrients!$EX$9)*AR$7)+(((IF($A$8=Nutrients!$B$79,Nutrients!$EX$79,(IF($A$8=Nutrients!$B$77,Nutrients!$EX$77,Nutrients!$EX$78)))))*AR$8))</f>
        <v>27000</v>
      </c>
      <c r="AS333" s="21">
        <f>(SUMPRODUCT(AS$9:AS$229,Nutrients!$EX$8:$EX$228)+(IF($A$7=Nutrients!$B$8,Nutrients!$EX$8,Nutrients!$EX$9)*AS$7)+(((IF($A$8=Nutrients!$B$79,Nutrients!$EX$79,(IF($A$8=Nutrients!$B$77,Nutrients!$EX$77,Nutrients!$EX$78)))))*AS$8))</f>
        <v>27000</v>
      </c>
      <c r="AT333" s="21">
        <f>(SUMPRODUCT(AT$9:AT$229,Nutrients!$EX$8:$EX$228)+(IF($A$7=Nutrients!$B$8,Nutrients!$EX$8,Nutrients!$EX$9)*AT$7)+(((IF($A$8=Nutrients!$B$79,Nutrients!$EX$79,(IF($A$8=Nutrients!$B$77,Nutrients!$EX$77,Nutrients!$EX$78)))))*AT$8))</f>
        <v>22500</v>
      </c>
      <c r="AU333" s="21">
        <f>(SUMPRODUCT(AU$9:AU$229,Nutrients!$EX$8:$EX$228)+(IF($A$7=Nutrients!$B$8,Nutrients!$EX$8,Nutrients!$EX$9)*AU$7)+(((IF($A$8=Nutrients!$B$79,Nutrients!$EX$79,(IF($A$8=Nutrients!$B$77,Nutrients!$EX$77,Nutrients!$EX$78)))))*AU$8))</f>
        <v>18000</v>
      </c>
      <c r="AV333" s="21">
        <f>(SUMPRODUCT(AV$9:AV$229,Nutrients!$EX$8:$EX$228)+(IF($A$7=Nutrients!$B$8,Nutrients!$EX$8,Nutrients!$EX$9)*AV$7)+(((IF($A$8=Nutrients!$B$79,Nutrients!$EX$79,(IF($A$8=Nutrients!$B$77,Nutrients!$EX$77,Nutrients!$EX$78)))))*AV$8))</f>
        <v>13500</v>
      </c>
      <c r="AW333" s="21">
        <f>(SUMPRODUCT(AW$9:AW$229,Nutrients!$EX$8:$EX$228)+(IF($A$7=Nutrients!$B$8,Nutrients!$EX$8,Nutrients!$EX$9)*AW$7)+(((IF($A$8=Nutrients!$B$79,Nutrients!$EX$79,(IF($A$8=Nutrients!$B$77,Nutrients!$EX$77,Nutrients!$EX$78)))))*AW$8))</f>
        <v>13500</v>
      </c>
    </row>
    <row r="334" spans="1:49" x14ac:dyDescent="0.25">
      <c r="A334" s="34" t="s">
        <v>127</v>
      </c>
      <c r="B334" s="21">
        <f>(SUMPRODUCT(B$9:B$229,Nutrients!$EY$8:$EY$228)+(IF($A$7=Nutrients!$B$8,Nutrients!$EY$8,Nutrients!$EY$9)*B$7)+(((IF($A$8=Nutrients!$B$79,Nutrients!$EY$79,(IF($A$8=Nutrients!$B$77,Nutrients!$EY$77,Nutrients!$EY$78)))))*B$8))</f>
        <v>15000</v>
      </c>
      <c r="C334" s="21">
        <f>(SUMPRODUCT(C$9:C$229,Nutrients!$EY$8:$EY$228)+(IF($A$7=Nutrients!$B$8,Nutrients!$EY$8,Nutrients!$EY$9)*C$7)+(((IF($A$8=Nutrients!$B$79,Nutrients!$EY$79,(IF($A$8=Nutrients!$B$77,Nutrients!$EY$77,Nutrients!$EY$78)))))*C$8))</f>
        <v>15000</v>
      </c>
      <c r="D334" s="21">
        <f>(SUMPRODUCT(D$9:D$229,Nutrients!$EY$8:$EY$228)+(IF($A$7=Nutrients!$B$8,Nutrients!$EY$8,Nutrients!$EY$9)*D$7)+(((IF($A$8=Nutrients!$B$79,Nutrients!$EY$79,(IF($A$8=Nutrients!$B$77,Nutrients!$EY$77,Nutrients!$EY$78)))))*D$8))</f>
        <v>12500</v>
      </c>
      <c r="E334" s="21">
        <f>(SUMPRODUCT(E$9:E$229,Nutrients!$EY$8:$EY$228)+(IF($A$7=Nutrients!$B$8,Nutrients!$EY$8,Nutrients!$EY$9)*E$7)+(((IF($A$8=Nutrients!$B$79,Nutrients!$EY$79,(IF($A$8=Nutrients!$B$77,Nutrients!$EY$77,Nutrients!$EY$78)))))*E$8))</f>
        <v>10000</v>
      </c>
      <c r="F334" s="21">
        <f>(SUMPRODUCT(F$9:F$229,Nutrients!$EY$8:$EY$228)+(IF($A$7=Nutrients!$B$8,Nutrients!$EY$8,Nutrients!$EY$9)*F$7)+(((IF($A$8=Nutrients!$B$79,Nutrients!$EY$79,(IF($A$8=Nutrients!$B$77,Nutrients!$EY$77,Nutrients!$EY$78)))))*F$8))</f>
        <v>7500</v>
      </c>
      <c r="G334" s="21">
        <f>(SUMPRODUCT(G$9:G$229,Nutrients!$EY$8:$EY$228)+(IF($A$7=Nutrients!$B$8,Nutrients!$EY$8,Nutrients!$EY$9)*G$7)+(((IF($A$8=Nutrients!$B$79,Nutrients!$EY$79,(IF($A$8=Nutrients!$B$77,Nutrients!$EY$77,Nutrients!$EY$78)))))*G$8))</f>
        <v>7500</v>
      </c>
      <c r="H334" s="226"/>
      <c r="I334" s="21">
        <f>(SUMPRODUCT(I$9:I$229,Nutrients!$EY$8:$EY$228)+(IF($A$7=Nutrients!$B$8,Nutrients!$EY$8,Nutrients!$EY$9)*I$7)+(((IF($A$8=Nutrients!$B$79,Nutrients!$EY$79,(IF($A$8=Nutrients!$B$77,Nutrients!$EY$77,Nutrients!$EY$78)))))*I$8))</f>
        <v>15000</v>
      </c>
      <c r="J334" s="21">
        <f>(SUMPRODUCT(J$9:J$229,Nutrients!$EY$8:$EY$228)+(IF($A$7=Nutrients!$B$8,Nutrients!$EY$8,Nutrients!$EY$9)*J$7)+(((IF($A$8=Nutrients!$B$79,Nutrients!$EY$79,(IF($A$8=Nutrients!$B$77,Nutrients!$EY$77,Nutrients!$EY$78)))))*J$8))</f>
        <v>15000</v>
      </c>
      <c r="K334" s="21">
        <f>(SUMPRODUCT(K$9:K$229,Nutrients!$EY$8:$EY$228)+(IF($A$7=Nutrients!$B$8,Nutrients!$EY$8,Nutrients!$EY$9)*K$7)+(((IF($A$8=Nutrients!$B$79,Nutrients!$EY$79,(IF($A$8=Nutrients!$B$77,Nutrients!$EY$77,Nutrients!$EY$78)))))*K$8))</f>
        <v>12500</v>
      </c>
      <c r="L334" s="21">
        <f>(SUMPRODUCT(L$9:L$229,Nutrients!$EY$8:$EY$228)+(IF($A$7=Nutrients!$B$8,Nutrients!$EY$8,Nutrients!$EY$9)*L$7)+(((IF($A$8=Nutrients!$B$79,Nutrients!$EY$79,(IF($A$8=Nutrients!$B$77,Nutrients!$EY$77,Nutrients!$EY$78)))))*L$8))</f>
        <v>10000</v>
      </c>
      <c r="M334" s="21">
        <f>(SUMPRODUCT(M$9:M$229,Nutrients!$EY$8:$EY$228)+(IF($A$7=Nutrients!$B$8,Nutrients!$EY$8,Nutrients!$EY$9)*M$7)+(((IF($A$8=Nutrients!$B$79,Nutrients!$EY$79,(IF($A$8=Nutrients!$B$77,Nutrients!$EY$77,Nutrients!$EY$78)))))*M$8))</f>
        <v>7500</v>
      </c>
      <c r="N334" s="21">
        <f>(SUMPRODUCT(N$9:N$229,Nutrients!$EY$8:$EY$228)+(IF($A$7=Nutrients!$B$8,Nutrients!$EY$8,Nutrients!$EY$9)*N$7)+(((IF($A$8=Nutrients!$B$79,Nutrients!$EY$79,(IF($A$8=Nutrients!$B$77,Nutrients!$EY$77,Nutrients!$EY$78)))))*N$8))</f>
        <v>7500</v>
      </c>
      <c r="O334" s="234"/>
      <c r="P334" s="21">
        <f>(SUMPRODUCT(P$9:P$229,Nutrients!$EY$8:$EY$228)+(IF($A$7=Nutrients!$B$8,Nutrients!$EY$8,Nutrients!$EY$9)*P$7)+(((IF($A$8=Nutrients!$B$79,Nutrients!$EY$79,(IF($A$8=Nutrients!$B$77,Nutrients!$EY$77,Nutrients!$EY$78)))))*P$8))</f>
        <v>15000</v>
      </c>
      <c r="Q334" s="21">
        <f>(SUMPRODUCT(Q$9:Q$229,Nutrients!$EY$8:$EY$228)+(IF($A$7=Nutrients!$B$8,Nutrients!$EY$8,Nutrients!$EY$9)*Q$7)+(((IF($A$8=Nutrients!$B$79,Nutrients!$EY$79,(IF($A$8=Nutrients!$B$77,Nutrients!$EY$77,Nutrients!$EY$78)))))*Q$8))</f>
        <v>15000</v>
      </c>
      <c r="R334" s="21">
        <f>(SUMPRODUCT(R$9:R$229,Nutrients!$EY$8:$EY$228)+(IF($A$7=Nutrients!$B$8,Nutrients!$EY$8,Nutrients!$EY$9)*R$7)+(((IF($A$8=Nutrients!$B$79,Nutrients!$EY$79,(IF($A$8=Nutrients!$B$77,Nutrients!$EY$77,Nutrients!$EY$78)))))*R$8))</f>
        <v>12500</v>
      </c>
      <c r="S334" s="21">
        <f>(SUMPRODUCT(S$9:S$229,Nutrients!$EY$8:$EY$228)+(IF($A$7=Nutrients!$B$8,Nutrients!$EY$8,Nutrients!$EY$9)*S$7)+(((IF($A$8=Nutrients!$B$79,Nutrients!$EY$79,(IF($A$8=Nutrients!$B$77,Nutrients!$EY$77,Nutrients!$EY$78)))))*S$8))</f>
        <v>10000</v>
      </c>
      <c r="T334" s="21">
        <f>(SUMPRODUCT(T$9:T$229,Nutrients!$EY$8:$EY$228)+(IF($A$7=Nutrients!$B$8,Nutrients!$EY$8,Nutrients!$EY$9)*T$7)+(((IF($A$8=Nutrients!$B$79,Nutrients!$EY$79,(IF($A$8=Nutrients!$B$77,Nutrients!$EY$77,Nutrients!$EY$78)))))*T$8))</f>
        <v>7500</v>
      </c>
      <c r="U334" s="21">
        <f>(SUMPRODUCT(U$9:U$229,Nutrients!$EY$8:$EY$228)+(IF($A$7=Nutrients!$B$8,Nutrients!$EY$8,Nutrients!$EY$9)*U$7)+(((IF($A$8=Nutrients!$B$79,Nutrients!$EY$79,(IF($A$8=Nutrients!$B$77,Nutrients!$EY$77,Nutrients!$EY$78)))))*U$8))</f>
        <v>7500</v>
      </c>
      <c r="W334" s="21">
        <f>(SUMPRODUCT(W$9:W$229,Nutrients!$EY$8:$EY$228)+(IF($A$7=Nutrients!$B$8,Nutrients!$EY$8,Nutrients!$EY$9)*W$7)+(((IF($A$8=Nutrients!$B$79,Nutrients!$EY$79,(IF($A$8=Nutrients!$B$77,Nutrients!$EY$77,Nutrients!$EY$78)))))*W$8))</f>
        <v>15000</v>
      </c>
      <c r="X334" s="21">
        <f>(SUMPRODUCT(X$9:X$229,Nutrients!$EY$8:$EY$228)+(IF($A$7=Nutrients!$B$8,Nutrients!$EY$8,Nutrients!$EY$9)*X$7)+(((IF($A$8=Nutrients!$B$79,Nutrients!$EY$79,(IF($A$8=Nutrients!$B$77,Nutrients!$EY$77,Nutrients!$EY$78)))))*X$8))</f>
        <v>15000</v>
      </c>
      <c r="Y334" s="21">
        <f>(SUMPRODUCT(Y$9:Y$229,Nutrients!$EY$8:$EY$228)+(IF($A$7=Nutrients!$B$8,Nutrients!$EY$8,Nutrients!$EY$9)*Y$7)+(((IF($A$8=Nutrients!$B$79,Nutrients!$EY$79,(IF($A$8=Nutrients!$B$77,Nutrients!$EY$77,Nutrients!$EY$78)))))*Y$8))</f>
        <v>12500</v>
      </c>
      <c r="Z334" s="21">
        <f>(SUMPRODUCT(Z$9:Z$229,Nutrients!$EY$8:$EY$228)+(IF($A$7=Nutrients!$B$8,Nutrients!$EY$8,Nutrients!$EY$9)*Z$7)+(((IF($A$8=Nutrients!$B$79,Nutrients!$EY$79,(IF($A$8=Nutrients!$B$77,Nutrients!$EY$77,Nutrients!$EY$78)))))*Z$8))</f>
        <v>10000</v>
      </c>
      <c r="AA334" s="21">
        <f>(SUMPRODUCT(AA$9:AA$229,Nutrients!$EY$8:$EY$228)+(IF($A$7=Nutrients!$B$8,Nutrients!$EY$8,Nutrients!$EY$9)*AA$7)+(((IF($A$8=Nutrients!$B$79,Nutrients!$EY$79,(IF($A$8=Nutrients!$B$77,Nutrients!$EY$77,Nutrients!$EY$78)))))*AA$8))</f>
        <v>7500</v>
      </c>
      <c r="AB334" s="21">
        <f>(SUMPRODUCT(AB$9:AB$229,Nutrients!$EY$8:$EY$228)+(IF($A$7=Nutrients!$B$8,Nutrients!$EY$8,Nutrients!$EY$9)*AB$7)+(((IF($A$8=Nutrients!$B$79,Nutrients!$EY$79,(IF($A$8=Nutrients!$B$77,Nutrients!$EY$77,Nutrients!$EY$78)))))*AB$8))</f>
        <v>7500</v>
      </c>
      <c r="AD334" s="21">
        <f>(SUMPRODUCT(AD$9:AD$229,Nutrients!$EY$8:$EY$228)+(IF($A$7=Nutrients!$B$8,Nutrients!$EY$8,Nutrients!$EY$9)*AD$7)+(((IF($A$8=Nutrients!$B$79,Nutrients!$EY$79,(IF($A$8=Nutrients!$B$77,Nutrients!$EY$77,Nutrients!$EY$78)))))*AD$8))</f>
        <v>15000</v>
      </c>
      <c r="AE334" s="21">
        <f>(SUMPRODUCT(AE$9:AE$229,Nutrients!$EY$8:$EY$228)+(IF($A$7=Nutrients!$B$8,Nutrients!$EY$8,Nutrients!$EY$9)*AE$7)+(((IF($A$8=Nutrients!$B$79,Nutrients!$EY$79,(IF($A$8=Nutrients!$B$77,Nutrients!$EY$77,Nutrients!$EY$78)))))*AE$8))</f>
        <v>15000</v>
      </c>
      <c r="AF334" s="21">
        <f>(SUMPRODUCT(AF$9:AF$229,Nutrients!$EY$8:$EY$228)+(IF($A$7=Nutrients!$B$8,Nutrients!$EY$8,Nutrients!$EY$9)*AF$7)+(((IF($A$8=Nutrients!$B$79,Nutrients!$EY$79,(IF($A$8=Nutrients!$B$77,Nutrients!$EY$77,Nutrients!$EY$78)))))*AF$8))</f>
        <v>12500</v>
      </c>
      <c r="AG334" s="21">
        <f>(SUMPRODUCT(AG$9:AG$229,Nutrients!$EY$8:$EY$228)+(IF($A$7=Nutrients!$B$8,Nutrients!$EY$8,Nutrients!$EY$9)*AG$7)+(((IF($A$8=Nutrients!$B$79,Nutrients!$EY$79,(IF($A$8=Nutrients!$B$77,Nutrients!$EY$77,Nutrients!$EY$78)))))*AG$8))</f>
        <v>10000</v>
      </c>
      <c r="AH334" s="21">
        <f>(SUMPRODUCT(AH$9:AH$229,Nutrients!$EY$8:$EY$228)+(IF($A$7=Nutrients!$B$8,Nutrients!$EY$8,Nutrients!$EY$9)*AH$7)+(((IF($A$8=Nutrients!$B$79,Nutrients!$EY$79,(IF($A$8=Nutrients!$B$77,Nutrients!$EY$77,Nutrients!$EY$78)))))*AH$8))</f>
        <v>7500</v>
      </c>
      <c r="AI334" s="21">
        <f>(SUMPRODUCT(AI$9:AI$229,Nutrients!$EY$8:$EY$228)+(IF($A$7=Nutrients!$B$8,Nutrients!$EY$8,Nutrients!$EY$9)*AI$7)+(((IF($A$8=Nutrients!$B$79,Nutrients!$EY$79,(IF($A$8=Nutrients!$B$77,Nutrients!$EY$77,Nutrients!$EY$78)))))*AI$8))</f>
        <v>7500</v>
      </c>
      <c r="AK334" s="21">
        <f>(SUMPRODUCT(AK$9:AK$229,Nutrients!$EY$8:$EY$228)+(IF($A$7=Nutrients!$B$8,Nutrients!$EY$8,Nutrients!$EY$9)*AK$7)+(((IF($A$8=Nutrients!$B$79,Nutrients!$EY$79,(IF($A$8=Nutrients!$B$77,Nutrients!$EY$77,Nutrients!$EY$78)))))*AK$8))</f>
        <v>15000</v>
      </c>
      <c r="AL334" s="21">
        <f>(SUMPRODUCT(AL$9:AL$229,Nutrients!$EY$8:$EY$228)+(IF($A$7=Nutrients!$B$8,Nutrients!$EY$8,Nutrients!$EY$9)*AL$7)+(((IF($A$8=Nutrients!$B$79,Nutrients!$EY$79,(IF($A$8=Nutrients!$B$77,Nutrients!$EY$77,Nutrients!$EY$78)))))*AL$8))</f>
        <v>15000</v>
      </c>
      <c r="AM334" s="21">
        <f>(SUMPRODUCT(AM$9:AM$229,Nutrients!$EY$8:$EY$228)+(IF($A$7=Nutrients!$B$8,Nutrients!$EY$8,Nutrients!$EY$9)*AM$7)+(((IF($A$8=Nutrients!$B$79,Nutrients!$EY$79,(IF($A$8=Nutrients!$B$77,Nutrients!$EY$77,Nutrients!$EY$78)))))*AM$8))</f>
        <v>12500</v>
      </c>
      <c r="AN334" s="21">
        <f>(SUMPRODUCT(AN$9:AN$229,Nutrients!$EY$8:$EY$228)+(IF($A$7=Nutrients!$B$8,Nutrients!$EY$8,Nutrients!$EY$9)*AN$7)+(((IF($A$8=Nutrients!$B$79,Nutrients!$EY$79,(IF($A$8=Nutrients!$B$77,Nutrients!$EY$77,Nutrients!$EY$78)))))*AN$8))</f>
        <v>10000</v>
      </c>
      <c r="AO334" s="21">
        <f>(SUMPRODUCT(AO$9:AO$229,Nutrients!$EY$8:$EY$228)+(IF($A$7=Nutrients!$B$8,Nutrients!$EY$8,Nutrients!$EY$9)*AO$7)+(((IF($A$8=Nutrients!$B$79,Nutrients!$EY$79,(IF($A$8=Nutrients!$B$77,Nutrients!$EY$77,Nutrients!$EY$78)))))*AO$8))</f>
        <v>7500</v>
      </c>
      <c r="AP334" s="21">
        <f>(SUMPRODUCT(AP$9:AP$229,Nutrients!$EY$8:$EY$228)+(IF($A$7=Nutrients!$B$8,Nutrients!$EY$8,Nutrients!$EY$9)*AP$7)+(((IF($A$8=Nutrients!$B$79,Nutrients!$EY$79,(IF($A$8=Nutrients!$B$77,Nutrients!$EY$77,Nutrients!$EY$78)))))*AP$8))</f>
        <v>7500</v>
      </c>
      <c r="AR334" s="21">
        <f>(SUMPRODUCT(AR$9:AR$229,Nutrients!$EY$8:$EY$228)+(IF($A$7=Nutrients!$B$8,Nutrients!$EY$8,Nutrients!$EY$9)*AR$7)+(((IF($A$8=Nutrients!$B$79,Nutrients!$EY$79,(IF($A$8=Nutrients!$B$77,Nutrients!$EY$77,Nutrients!$EY$78)))))*AR$8))</f>
        <v>15000</v>
      </c>
      <c r="AS334" s="21">
        <f>(SUMPRODUCT(AS$9:AS$229,Nutrients!$EY$8:$EY$228)+(IF($A$7=Nutrients!$B$8,Nutrients!$EY$8,Nutrients!$EY$9)*AS$7)+(((IF($A$8=Nutrients!$B$79,Nutrients!$EY$79,(IF($A$8=Nutrients!$B$77,Nutrients!$EY$77,Nutrients!$EY$78)))))*AS$8))</f>
        <v>15000</v>
      </c>
      <c r="AT334" s="21">
        <f>(SUMPRODUCT(AT$9:AT$229,Nutrients!$EY$8:$EY$228)+(IF($A$7=Nutrients!$B$8,Nutrients!$EY$8,Nutrients!$EY$9)*AT$7)+(((IF($A$8=Nutrients!$B$79,Nutrients!$EY$79,(IF($A$8=Nutrients!$B$77,Nutrients!$EY$77,Nutrients!$EY$78)))))*AT$8))</f>
        <v>12500</v>
      </c>
      <c r="AU334" s="21">
        <f>(SUMPRODUCT(AU$9:AU$229,Nutrients!$EY$8:$EY$228)+(IF($A$7=Nutrients!$B$8,Nutrients!$EY$8,Nutrients!$EY$9)*AU$7)+(((IF($A$8=Nutrients!$B$79,Nutrients!$EY$79,(IF($A$8=Nutrients!$B$77,Nutrients!$EY$77,Nutrients!$EY$78)))))*AU$8))</f>
        <v>10000</v>
      </c>
      <c r="AV334" s="21">
        <f>(SUMPRODUCT(AV$9:AV$229,Nutrients!$EY$8:$EY$228)+(IF($A$7=Nutrients!$B$8,Nutrients!$EY$8,Nutrients!$EY$9)*AV$7)+(((IF($A$8=Nutrients!$B$79,Nutrients!$EY$79,(IF($A$8=Nutrients!$B$77,Nutrients!$EY$77,Nutrients!$EY$78)))))*AV$8))</f>
        <v>7500</v>
      </c>
      <c r="AW334" s="21">
        <f>(SUMPRODUCT(AW$9:AW$229,Nutrients!$EY$8:$EY$228)+(IF($A$7=Nutrients!$B$8,Nutrients!$EY$8,Nutrients!$EY$9)*AW$7)+(((IF($A$8=Nutrients!$B$79,Nutrients!$EY$79,(IF($A$8=Nutrients!$B$77,Nutrients!$EY$77,Nutrients!$EY$78)))))*AW$8))</f>
        <v>7500</v>
      </c>
    </row>
    <row r="335" spans="1:49" x14ac:dyDescent="0.25">
      <c r="A335" s="34" t="s">
        <v>128</v>
      </c>
      <c r="B335" s="21">
        <f>(SUMPRODUCT(B$9:B$229,Nutrients!$EZ$8:$EZ$228)+(IF($A$7=Nutrients!$B$8,Nutrients!$EZ$8,Nutrients!$EZ$9)*B$7)+(((IF($A$8=Nutrients!$B$79,Nutrients!$EZ$79,(IF($A$8=Nutrients!$B$77,Nutrients!$EZ$77,Nutrients!$EZ$78)))))*B$8))</f>
        <v>4500</v>
      </c>
      <c r="C335" s="21">
        <f>(SUMPRODUCT(C$9:C$229,Nutrients!$EZ$8:$EZ$228)+(IF($A$7=Nutrients!$B$8,Nutrients!$EZ$8,Nutrients!$EZ$9)*C$7)+(((IF($A$8=Nutrients!$B$79,Nutrients!$EZ$79,(IF($A$8=Nutrients!$B$77,Nutrients!$EZ$77,Nutrients!$EZ$78)))))*C$8))</f>
        <v>4500</v>
      </c>
      <c r="D335" s="21">
        <f>(SUMPRODUCT(D$9:D$229,Nutrients!$EZ$8:$EZ$228)+(IF($A$7=Nutrients!$B$8,Nutrients!$EZ$8,Nutrients!$EZ$9)*D$7)+(((IF($A$8=Nutrients!$B$79,Nutrients!$EZ$79,(IF($A$8=Nutrients!$B$77,Nutrients!$EZ$77,Nutrients!$EZ$78)))))*D$8))</f>
        <v>3750</v>
      </c>
      <c r="E335" s="21">
        <f>(SUMPRODUCT(E$9:E$229,Nutrients!$EZ$8:$EZ$228)+(IF($A$7=Nutrients!$B$8,Nutrients!$EZ$8,Nutrients!$EZ$9)*E$7)+(((IF($A$8=Nutrients!$B$79,Nutrients!$EZ$79,(IF($A$8=Nutrients!$B$77,Nutrients!$EZ$77,Nutrients!$EZ$78)))))*E$8))</f>
        <v>3000</v>
      </c>
      <c r="F335" s="21">
        <f>(SUMPRODUCT(F$9:F$229,Nutrients!$EZ$8:$EZ$228)+(IF($A$7=Nutrients!$B$8,Nutrients!$EZ$8,Nutrients!$EZ$9)*F$7)+(((IF($A$8=Nutrients!$B$79,Nutrients!$EZ$79,(IF($A$8=Nutrients!$B$77,Nutrients!$EZ$77,Nutrients!$EZ$78)))))*F$8))</f>
        <v>2250</v>
      </c>
      <c r="G335" s="21">
        <f>(SUMPRODUCT(G$9:G$229,Nutrients!$EZ$8:$EZ$228)+(IF($A$7=Nutrients!$B$8,Nutrients!$EZ$8,Nutrients!$EZ$9)*G$7)+(((IF($A$8=Nutrients!$B$79,Nutrients!$EZ$79,(IF($A$8=Nutrients!$B$77,Nutrients!$EZ$77,Nutrients!$EZ$78)))))*G$8))</f>
        <v>2250</v>
      </c>
      <c r="H335" s="226"/>
      <c r="I335" s="21">
        <f>(SUMPRODUCT(I$9:I$229,Nutrients!$EZ$8:$EZ$228)+(IF($A$7=Nutrients!$B$8,Nutrients!$EZ$8,Nutrients!$EZ$9)*I$7)+(((IF($A$8=Nutrients!$B$79,Nutrients!$EZ$79,(IF($A$8=Nutrients!$B$77,Nutrients!$EZ$77,Nutrients!$EZ$78)))))*I$8))</f>
        <v>4500</v>
      </c>
      <c r="J335" s="21">
        <f>(SUMPRODUCT(J$9:J$229,Nutrients!$EZ$8:$EZ$228)+(IF($A$7=Nutrients!$B$8,Nutrients!$EZ$8,Nutrients!$EZ$9)*J$7)+(((IF($A$8=Nutrients!$B$79,Nutrients!$EZ$79,(IF($A$8=Nutrients!$B$77,Nutrients!$EZ$77,Nutrients!$EZ$78)))))*J$8))</f>
        <v>4500</v>
      </c>
      <c r="K335" s="21">
        <f>(SUMPRODUCT(K$9:K$229,Nutrients!$EZ$8:$EZ$228)+(IF($A$7=Nutrients!$B$8,Nutrients!$EZ$8,Nutrients!$EZ$9)*K$7)+(((IF($A$8=Nutrients!$B$79,Nutrients!$EZ$79,(IF($A$8=Nutrients!$B$77,Nutrients!$EZ$77,Nutrients!$EZ$78)))))*K$8))</f>
        <v>3750</v>
      </c>
      <c r="L335" s="21">
        <f>(SUMPRODUCT(L$9:L$229,Nutrients!$EZ$8:$EZ$228)+(IF($A$7=Nutrients!$B$8,Nutrients!$EZ$8,Nutrients!$EZ$9)*L$7)+(((IF($A$8=Nutrients!$B$79,Nutrients!$EZ$79,(IF($A$8=Nutrients!$B$77,Nutrients!$EZ$77,Nutrients!$EZ$78)))))*L$8))</f>
        <v>3000</v>
      </c>
      <c r="M335" s="21">
        <f>(SUMPRODUCT(M$9:M$229,Nutrients!$EZ$8:$EZ$228)+(IF($A$7=Nutrients!$B$8,Nutrients!$EZ$8,Nutrients!$EZ$9)*M$7)+(((IF($A$8=Nutrients!$B$79,Nutrients!$EZ$79,(IF($A$8=Nutrients!$B$77,Nutrients!$EZ$77,Nutrients!$EZ$78)))))*M$8))</f>
        <v>2250</v>
      </c>
      <c r="N335" s="21">
        <f>(SUMPRODUCT(N$9:N$229,Nutrients!$EZ$8:$EZ$228)+(IF($A$7=Nutrients!$B$8,Nutrients!$EZ$8,Nutrients!$EZ$9)*N$7)+(((IF($A$8=Nutrients!$B$79,Nutrients!$EZ$79,(IF($A$8=Nutrients!$B$77,Nutrients!$EZ$77,Nutrients!$EZ$78)))))*N$8))</f>
        <v>2250</v>
      </c>
      <c r="O335" s="234"/>
      <c r="P335" s="21">
        <f>(SUMPRODUCT(P$9:P$229,Nutrients!$EZ$8:$EZ$228)+(IF($A$7=Nutrients!$B$8,Nutrients!$EZ$8,Nutrients!$EZ$9)*P$7)+(((IF($A$8=Nutrients!$B$79,Nutrients!$EZ$79,(IF($A$8=Nutrients!$B$77,Nutrients!$EZ$77,Nutrients!$EZ$78)))))*P$8))</f>
        <v>4500</v>
      </c>
      <c r="Q335" s="21">
        <f>(SUMPRODUCT(Q$9:Q$229,Nutrients!$EZ$8:$EZ$228)+(IF($A$7=Nutrients!$B$8,Nutrients!$EZ$8,Nutrients!$EZ$9)*Q$7)+(((IF($A$8=Nutrients!$B$79,Nutrients!$EZ$79,(IF($A$8=Nutrients!$B$77,Nutrients!$EZ$77,Nutrients!$EZ$78)))))*Q$8))</f>
        <v>4500</v>
      </c>
      <c r="R335" s="21">
        <f>(SUMPRODUCT(R$9:R$229,Nutrients!$EZ$8:$EZ$228)+(IF($A$7=Nutrients!$B$8,Nutrients!$EZ$8,Nutrients!$EZ$9)*R$7)+(((IF($A$8=Nutrients!$B$79,Nutrients!$EZ$79,(IF($A$8=Nutrients!$B$77,Nutrients!$EZ$77,Nutrients!$EZ$78)))))*R$8))</f>
        <v>3750</v>
      </c>
      <c r="S335" s="21">
        <f>(SUMPRODUCT(S$9:S$229,Nutrients!$EZ$8:$EZ$228)+(IF($A$7=Nutrients!$B$8,Nutrients!$EZ$8,Nutrients!$EZ$9)*S$7)+(((IF($A$8=Nutrients!$B$79,Nutrients!$EZ$79,(IF($A$8=Nutrients!$B$77,Nutrients!$EZ$77,Nutrients!$EZ$78)))))*S$8))</f>
        <v>3000</v>
      </c>
      <c r="T335" s="21">
        <f>(SUMPRODUCT(T$9:T$229,Nutrients!$EZ$8:$EZ$228)+(IF($A$7=Nutrients!$B$8,Nutrients!$EZ$8,Nutrients!$EZ$9)*T$7)+(((IF($A$8=Nutrients!$B$79,Nutrients!$EZ$79,(IF($A$8=Nutrients!$B$77,Nutrients!$EZ$77,Nutrients!$EZ$78)))))*T$8))</f>
        <v>2250</v>
      </c>
      <c r="U335" s="21">
        <f>(SUMPRODUCT(U$9:U$229,Nutrients!$EZ$8:$EZ$228)+(IF($A$7=Nutrients!$B$8,Nutrients!$EZ$8,Nutrients!$EZ$9)*U$7)+(((IF($A$8=Nutrients!$B$79,Nutrients!$EZ$79,(IF($A$8=Nutrients!$B$77,Nutrients!$EZ$77,Nutrients!$EZ$78)))))*U$8))</f>
        <v>2250</v>
      </c>
      <c r="W335" s="21">
        <f>(SUMPRODUCT(W$9:W$229,Nutrients!$EZ$8:$EZ$228)+(IF($A$7=Nutrients!$B$8,Nutrients!$EZ$8,Nutrients!$EZ$9)*W$7)+(((IF($A$8=Nutrients!$B$79,Nutrients!$EZ$79,(IF($A$8=Nutrients!$B$77,Nutrients!$EZ$77,Nutrients!$EZ$78)))))*W$8))</f>
        <v>4500</v>
      </c>
      <c r="X335" s="21">
        <f>(SUMPRODUCT(X$9:X$229,Nutrients!$EZ$8:$EZ$228)+(IF($A$7=Nutrients!$B$8,Nutrients!$EZ$8,Nutrients!$EZ$9)*X$7)+(((IF($A$8=Nutrients!$B$79,Nutrients!$EZ$79,(IF($A$8=Nutrients!$B$77,Nutrients!$EZ$77,Nutrients!$EZ$78)))))*X$8))</f>
        <v>4500</v>
      </c>
      <c r="Y335" s="21">
        <f>(SUMPRODUCT(Y$9:Y$229,Nutrients!$EZ$8:$EZ$228)+(IF($A$7=Nutrients!$B$8,Nutrients!$EZ$8,Nutrients!$EZ$9)*Y$7)+(((IF($A$8=Nutrients!$B$79,Nutrients!$EZ$79,(IF($A$8=Nutrients!$B$77,Nutrients!$EZ$77,Nutrients!$EZ$78)))))*Y$8))</f>
        <v>3750</v>
      </c>
      <c r="Z335" s="21">
        <f>(SUMPRODUCT(Z$9:Z$229,Nutrients!$EZ$8:$EZ$228)+(IF($A$7=Nutrients!$B$8,Nutrients!$EZ$8,Nutrients!$EZ$9)*Z$7)+(((IF($A$8=Nutrients!$B$79,Nutrients!$EZ$79,(IF($A$8=Nutrients!$B$77,Nutrients!$EZ$77,Nutrients!$EZ$78)))))*Z$8))</f>
        <v>3000</v>
      </c>
      <c r="AA335" s="21">
        <f>(SUMPRODUCT(AA$9:AA$229,Nutrients!$EZ$8:$EZ$228)+(IF($A$7=Nutrients!$B$8,Nutrients!$EZ$8,Nutrients!$EZ$9)*AA$7)+(((IF($A$8=Nutrients!$B$79,Nutrients!$EZ$79,(IF($A$8=Nutrients!$B$77,Nutrients!$EZ$77,Nutrients!$EZ$78)))))*AA$8))</f>
        <v>2250</v>
      </c>
      <c r="AB335" s="21">
        <f>(SUMPRODUCT(AB$9:AB$229,Nutrients!$EZ$8:$EZ$228)+(IF($A$7=Nutrients!$B$8,Nutrients!$EZ$8,Nutrients!$EZ$9)*AB$7)+(((IF($A$8=Nutrients!$B$79,Nutrients!$EZ$79,(IF($A$8=Nutrients!$B$77,Nutrients!$EZ$77,Nutrients!$EZ$78)))))*AB$8))</f>
        <v>2250</v>
      </c>
      <c r="AD335" s="21">
        <f>(SUMPRODUCT(AD$9:AD$229,Nutrients!$EZ$8:$EZ$228)+(IF($A$7=Nutrients!$B$8,Nutrients!$EZ$8,Nutrients!$EZ$9)*AD$7)+(((IF($A$8=Nutrients!$B$79,Nutrients!$EZ$79,(IF($A$8=Nutrients!$B$77,Nutrients!$EZ$77,Nutrients!$EZ$78)))))*AD$8))</f>
        <v>4500</v>
      </c>
      <c r="AE335" s="21">
        <f>(SUMPRODUCT(AE$9:AE$229,Nutrients!$EZ$8:$EZ$228)+(IF($A$7=Nutrients!$B$8,Nutrients!$EZ$8,Nutrients!$EZ$9)*AE$7)+(((IF($A$8=Nutrients!$B$79,Nutrients!$EZ$79,(IF($A$8=Nutrients!$B$77,Nutrients!$EZ$77,Nutrients!$EZ$78)))))*AE$8))</f>
        <v>4500</v>
      </c>
      <c r="AF335" s="21">
        <f>(SUMPRODUCT(AF$9:AF$229,Nutrients!$EZ$8:$EZ$228)+(IF($A$7=Nutrients!$B$8,Nutrients!$EZ$8,Nutrients!$EZ$9)*AF$7)+(((IF($A$8=Nutrients!$B$79,Nutrients!$EZ$79,(IF($A$8=Nutrients!$B$77,Nutrients!$EZ$77,Nutrients!$EZ$78)))))*AF$8))</f>
        <v>3750</v>
      </c>
      <c r="AG335" s="21">
        <f>(SUMPRODUCT(AG$9:AG$229,Nutrients!$EZ$8:$EZ$228)+(IF($A$7=Nutrients!$B$8,Nutrients!$EZ$8,Nutrients!$EZ$9)*AG$7)+(((IF($A$8=Nutrients!$B$79,Nutrients!$EZ$79,(IF($A$8=Nutrients!$B$77,Nutrients!$EZ$77,Nutrients!$EZ$78)))))*AG$8))</f>
        <v>3000</v>
      </c>
      <c r="AH335" s="21">
        <f>(SUMPRODUCT(AH$9:AH$229,Nutrients!$EZ$8:$EZ$228)+(IF($A$7=Nutrients!$B$8,Nutrients!$EZ$8,Nutrients!$EZ$9)*AH$7)+(((IF($A$8=Nutrients!$B$79,Nutrients!$EZ$79,(IF($A$8=Nutrients!$B$77,Nutrients!$EZ$77,Nutrients!$EZ$78)))))*AH$8))</f>
        <v>2250</v>
      </c>
      <c r="AI335" s="21">
        <f>(SUMPRODUCT(AI$9:AI$229,Nutrients!$EZ$8:$EZ$228)+(IF($A$7=Nutrients!$B$8,Nutrients!$EZ$8,Nutrients!$EZ$9)*AI$7)+(((IF($A$8=Nutrients!$B$79,Nutrients!$EZ$79,(IF($A$8=Nutrients!$B$77,Nutrients!$EZ$77,Nutrients!$EZ$78)))))*AI$8))</f>
        <v>2250</v>
      </c>
      <c r="AK335" s="21">
        <f>(SUMPRODUCT(AK$9:AK$229,Nutrients!$EZ$8:$EZ$228)+(IF($A$7=Nutrients!$B$8,Nutrients!$EZ$8,Nutrients!$EZ$9)*AK$7)+(((IF($A$8=Nutrients!$B$79,Nutrients!$EZ$79,(IF($A$8=Nutrients!$B$77,Nutrients!$EZ$77,Nutrients!$EZ$78)))))*AK$8))</f>
        <v>4500</v>
      </c>
      <c r="AL335" s="21">
        <f>(SUMPRODUCT(AL$9:AL$229,Nutrients!$EZ$8:$EZ$228)+(IF($A$7=Nutrients!$B$8,Nutrients!$EZ$8,Nutrients!$EZ$9)*AL$7)+(((IF($A$8=Nutrients!$B$79,Nutrients!$EZ$79,(IF($A$8=Nutrients!$B$77,Nutrients!$EZ$77,Nutrients!$EZ$78)))))*AL$8))</f>
        <v>4500</v>
      </c>
      <c r="AM335" s="21">
        <f>(SUMPRODUCT(AM$9:AM$229,Nutrients!$EZ$8:$EZ$228)+(IF($A$7=Nutrients!$B$8,Nutrients!$EZ$8,Nutrients!$EZ$9)*AM$7)+(((IF($A$8=Nutrients!$B$79,Nutrients!$EZ$79,(IF($A$8=Nutrients!$B$77,Nutrients!$EZ$77,Nutrients!$EZ$78)))))*AM$8))</f>
        <v>3750</v>
      </c>
      <c r="AN335" s="21">
        <f>(SUMPRODUCT(AN$9:AN$229,Nutrients!$EZ$8:$EZ$228)+(IF($A$7=Nutrients!$B$8,Nutrients!$EZ$8,Nutrients!$EZ$9)*AN$7)+(((IF($A$8=Nutrients!$B$79,Nutrients!$EZ$79,(IF($A$8=Nutrients!$B$77,Nutrients!$EZ$77,Nutrients!$EZ$78)))))*AN$8))</f>
        <v>3000</v>
      </c>
      <c r="AO335" s="21">
        <f>(SUMPRODUCT(AO$9:AO$229,Nutrients!$EZ$8:$EZ$228)+(IF($A$7=Nutrients!$B$8,Nutrients!$EZ$8,Nutrients!$EZ$9)*AO$7)+(((IF($A$8=Nutrients!$B$79,Nutrients!$EZ$79,(IF($A$8=Nutrients!$B$77,Nutrients!$EZ$77,Nutrients!$EZ$78)))))*AO$8))</f>
        <v>2250</v>
      </c>
      <c r="AP335" s="21">
        <f>(SUMPRODUCT(AP$9:AP$229,Nutrients!$EZ$8:$EZ$228)+(IF($A$7=Nutrients!$B$8,Nutrients!$EZ$8,Nutrients!$EZ$9)*AP$7)+(((IF($A$8=Nutrients!$B$79,Nutrients!$EZ$79,(IF($A$8=Nutrients!$B$77,Nutrients!$EZ$77,Nutrients!$EZ$78)))))*AP$8))</f>
        <v>2250</v>
      </c>
      <c r="AR335" s="21">
        <f>(SUMPRODUCT(AR$9:AR$229,Nutrients!$EZ$8:$EZ$228)+(IF($A$7=Nutrients!$B$8,Nutrients!$EZ$8,Nutrients!$EZ$9)*AR$7)+(((IF($A$8=Nutrients!$B$79,Nutrients!$EZ$79,(IF($A$8=Nutrients!$B$77,Nutrients!$EZ$77,Nutrients!$EZ$78)))))*AR$8))</f>
        <v>4500</v>
      </c>
      <c r="AS335" s="21">
        <f>(SUMPRODUCT(AS$9:AS$229,Nutrients!$EZ$8:$EZ$228)+(IF($A$7=Nutrients!$B$8,Nutrients!$EZ$8,Nutrients!$EZ$9)*AS$7)+(((IF($A$8=Nutrients!$B$79,Nutrients!$EZ$79,(IF($A$8=Nutrients!$B$77,Nutrients!$EZ$77,Nutrients!$EZ$78)))))*AS$8))</f>
        <v>4500</v>
      </c>
      <c r="AT335" s="21">
        <f>(SUMPRODUCT(AT$9:AT$229,Nutrients!$EZ$8:$EZ$228)+(IF($A$7=Nutrients!$B$8,Nutrients!$EZ$8,Nutrients!$EZ$9)*AT$7)+(((IF($A$8=Nutrients!$B$79,Nutrients!$EZ$79,(IF($A$8=Nutrients!$B$77,Nutrients!$EZ$77,Nutrients!$EZ$78)))))*AT$8))</f>
        <v>3750</v>
      </c>
      <c r="AU335" s="21">
        <f>(SUMPRODUCT(AU$9:AU$229,Nutrients!$EZ$8:$EZ$228)+(IF($A$7=Nutrients!$B$8,Nutrients!$EZ$8,Nutrients!$EZ$9)*AU$7)+(((IF($A$8=Nutrients!$B$79,Nutrients!$EZ$79,(IF($A$8=Nutrients!$B$77,Nutrients!$EZ$77,Nutrients!$EZ$78)))))*AU$8))</f>
        <v>3000</v>
      </c>
      <c r="AV335" s="21">
        <f>(SUMPRODUCT(AV$9:AV$229,Nutrients!$EZ$8:$EZ$228)+(IF($A$7=Nutrients!$B$8,Nutrients!$EZ$8,Nutrients!$EZ$9)*AV$7)+(((IF($A$8=Nutrients!$B$79,Nutrients!$EZ$79,(IF($A$8=Nutrients!$B$77,Nutrients!$EZ$77,Nutrients!$EZ$78)))))*AV$8))</f>
        <v>2250</v>
      </c>
      <c r="AW335" s="21">
        <f>(SUMPRODUCT(AW$9:AW$229,Nutrients!$EZ$8:$EZ$228)+(IF($A$7=Nutrients!$B$8,Nutrients!$EZ$8,Nutrients!$EZ$9)*AW$7)+(((IF($A$8=Nutrients!$B$79,Nutrients!$EZ$79,(IF($A$8=Nutrients!$B$77,Nutrients!$EZ$77,Nutrients!$EZ$78)))))*AW$8))</f>
        <v>2250</v>
      </c>
    </row>
    <row r="336" spans="1:49" x14ac:dyDescent="0.25">
      <c r="A336" s="34" t="s">
        <v>129</v>
      </c>
      <c r="B336" s="21">
        <f>(SUMPRODUCT(B$9:B$229,Nutrients!$FA$8:$FA$228)+(IF($A$7=Nutrients!$B$8,Nutrients!$FA$8,Nutrients!$FA$9)*B$7)+(((IF($A$8=Nutrients!$B$79,Nutrients!$FA$79,(IF($A$8=Nutrients!$B$77,Nutrients!$FA$77,Nutrients!$FA$78)))))*B$8))</f>
        <v>0</v>
      </c>
      <c r="C336" s="21">
        <f>(SUMPRODUCT(C$9:C$229,Nutrients!$FA$8:$FA$228)+(IF($A$7=Nutrients!$B$8,Nutrients!$FA$8,Nutrients!$FA$9)*C$7)+(((IF($A$8=Nutrients!$B$79,Nutrients!$FA$79,(IF($A$8=Nutrients!$B$77,Nutrients!$FA$77,Nutrients!$FA$78)))))*C$8))</f>
        <v>0</v>
      </c>
      <c r="D336" s="21">
        <f>(SUMPRODUCT(D$9:D$229,Nutrients!$FA$8:$FA$228)+(IF($A$7=Nutrients!$B$8,Nutrients!$FA$8,Nutrients!$FA$9)*D$7)+(((IF($A$8=Nutrients!$B$79,Nutrients!$FA$79,(IF($A$8=Nutrients!$B$77,Nutrients!$FA$77,Nutrients!$FA$78)))))*D$8))</f>
        <v>0</v>
      </c>
      <c r="E336" s="21">
        <f>(SUMPRODUCT(E$9:E$229,Nutrients!$FA$8:$FA$228)+(IF($A$7=Nutrients!$B$8,Nutrients!$FA$8,Nutrients!$FA$9)*E$7)+(((IF($A$8=Nutrients!$B$79,Nutrients!$FA$79,(IF($A$8=Nutrients!$B$77,Nutrients!$FA$77,Nutrients!$FA$78)))))*E$8))</f>
        <v>0</v>
      </c>
      <c r="F336" s="21">
        <f>(SUMPRODUCT(F$9:F$229,Nutrients!$FA$8:$FA$228)+(IF($A$7=Nutrients!$B$8,Nutrients!$FA$8,Nutrients!$FA$9)*F$7)+(((IF($A$8=Nutrients!$B$79,Nutrients!$FA$79,(IF($A$8=Nutrients!$B$77,Nutrients!$FA$77,Nutrients!$FA$78)))))*F$8))</f>
        <v>0</v>
      </c>
      <c r="G336" s="21">
        <f>(SUMPRODUCT(G$9:G$229,Nutrients!$FA$8:$FA$228)+(IF($A$7=Nutrients!$B$8,Nutrients!$FA$8,Nutrients!$FA$9)*G$7)+(((IF($A$8=Nutrients!$B$79,Nutrients!$FA$79,(IF($A$8=Nutrients!$B$77,Nutrients!$FA$77,Nutrients!$FA$78)))))*G$8))</f>
        <v>0</v>
      </c>
      <c r="H336" s="226"/>
      <c r="I336" s="21">
        <f>(SUMPRODUCT(I$9:I$229,Nutrients!$FA$8:$FA$228)+(IF($A$7=Nutrients!$B$8,Nutrients!$FA$8,Nutrients!$FA$9)*I$7)+(((IF($A$8=Nutrients!$B$79,Nutrients!$FA$79,(IF($A$8=Nutrients!$B$77,Nutrients!$FA$77,Nutrients!$FA$78)))))*I$8))</f>
        <v>0</v>
      </c>
      <c r="J336" s="21">
        <f>(SUMPRODUCT(J$9:J$229,Nutrients!$FA$8:$FA$228)+(IF($A$7=Nutrients!$B$8,Nutrients!$FA$8,Nutrients!$FA$9)*J$7)+(((IF($A$8=Nutrients!$B$79,Nutrients!$FA$79,(IF($A$8=Nutrients!$B$77,Nutrients!$FA$77,Nutrients!$FA$78)))))*J$8))</f>
        <v>0</v>
      </c>
      <c r="K336" s="21">
        <f>(SUMPRODUCT(K$9:K$229,Nutrients!$FA$8:$FA$228)+(IF($A$7=Nutrients!$B$8,Nutrients!$FA$8,Nutrients!$FA$9)*K$7)+(((IF($A$8=Nutrients!$B$79,Nutrients!$FA$79,(IF($A$8=Nutrients!$B$77,Nutrients!$FA$77,Nutrients!$FA$78)))))*K$8))</f>
        <v>0</v>
      </c>
      <c r="L336" s="21">
        <f>(SUMPRODUCT(L$9:L$229,Nutrients!$FA$8:$FA$228)+(IF($A$7=Nutrients!$B$8,Nutrients!$FA$8,Nutrients!$FA$9)*L$7)+(((IF($A$8=Nutrients!$B$79,Nutrients!$FA$79,(IF($A$8=Nutrients!$B$77,Nutrients!$FA$77,Nutrients!$FA$78)))))*L$8))</f>
        <v>0</v>
      </c>
      <c r="M336" s="21">
        <f>(SUMPRODUCT(M$9:M$229,Nutrients!$FA$8:$FA$228)+(IF($A$7=Nutrients!$B$8,Nutrients!$FA$8,Nutrients!$FA$9)*M$7)+(((IF($A$8=Nutrients!$B$79,Nutrients!$FA$79,(IF($A$8=Nutrients!$B$77,Nutrients!$FA$77,Nutrients!$FA$78)))))*M$8))</f>
        <v>0</v>
      </c>
      <c r="N336" s="21">
        <f>(SUMPRODUCT(N$9:N$229,Nutrients!$FA$8:$FA$228)+(IF($A$7=Nutrients!$B$8,Nutrients!$FA$8,Nutrients!$FA$9)*N$7)+(((IF($A$8=Nutrients!$B$79,Nutrients!$FA$79,(IF($A$8=Nutrients!$B$77,Nutrients!$FA$77,Nutrients!$FA$78)))))*N$8))</f>
        <v>0</v>
      </c>
      <c r="O336" s="234"/>
      <c r="P336" s="21">
        <f>(SUMPRODUCT(P$9:P$229,Nutrients!$FA$8:$FA$228)+(IF($A$7=Nutrients!$B$8,Nutrients!$FA$8,Nutrients!$FA$9)*P$7)+(((IF($A$8=Nutrients!$B$79,Nutrients!$FA$79,(IF($A$8=Nutrients!$B$77,Nutrients!$FA$77,Nutrients!$FA$78)))))*P$8))</f>
        <v>0</v>
      </c>
      <c r="Q336" s="21">
        <f>(SUMPRODUCT(Q$9:Q$229,Nutrients!$FA$8:$FA$228)+(IF($A$7=Nutrients!$B$8,Nutrients!$FA$8,Nutrients!$FA$9)*Q$7)+(((IF($A$8=Nutrients!$B$79,Nutrients!$FA$79,(IF($A$8=Nutrients!$B$77,Nutrients!$FA$77,Nutrients!$FA$78)))))*Q$8))</f>
        <v>0</v>
      </c>
      <c r="R336" s="21">
        <f>(SUMPRODUCT(R$9:R$229,Nutrients!$FA$8:$FA$228)+(IF($A$7=Nutrients!$B$8,Nutrients!$FA$8,Nutrients!$FA$9)*R$7)+(((IF($A$8=Nutrients!$B$79,Nutrients!$FA$79,(IF($A$8=Nutrients!$B$77,Nutrients!$FA$77,Nutrients!$FA$78)))))*R$8))</f>
        <v>0</v>
      </c>
      <c r="S336" s="21">
        <f>(SUMPRODUCT(S$9:S$229,Nutrients!$FA$8:$FA$228)+(IF($A$7=Nutrients!$B$8,Nutrients!$FA$8,Nutrients!$FA$9)*S$7)+(((IF($A$8=Nutrients!$B$79,Nutrients!$FA$79,(IF($A$8=Nutrients!$B$77,Nutrients!$FA$77,Nutrients!$FA$78)))))*S$8))</f>
        <v>0</v>
      </c>
      <c r="T336" s="21">
        <f>(SUMPRODUCT(T$9:T$229,Nutrients!$FA$8:$FA$228)+(IF($A$7=Nutrients!$B$8,Nutrients!$FA$8,Nutrients!$FA$9)*T$7)+(((IF($A$8=Nutrients!$B$79,Nutrients!$FA$79,(IF($A$8=Nutrients!$B$77,Nutrients!$FA$77,Nutrients!$FA$78)))))*T$8))</f>
        <v>0</v>
      </c>
      <c r="U336" s="21">
        <f>(SUMPRODUCT(U$9:U$229,Nutrients!$FA$8:$FA$228)+(IF($A$7=Nutrients!$B$8,Nutrients!$FA$8,Nutrients!$FA$9)*U$7)+(((IF($A$8=Nutrients!$B$79,Nutrients!$FA$79,(IF($A$8=Nutrients!$B$77,Nutrients!$FA$77,Nutrients!$FA$78)))))*U$8))</f>
        <v>0</v>
      </c>
      <c r="W336" s="21">
        <f>(SUMPRODUCT(W$9:W$229,Nutrients!$FA$8:$FA$228)+(IF($A$7=Nutrients!$B$8,Nutrients!$FA$8,Nutrients!$FA$9)*W$7)+(((IF($A$8=Nutrients!$B$79,Nutrients!$FA$79,(IF($A$8=Nutrients!$B$77,Nutrients!$FA$77,Nutrients!$FA$78)))))*W$8))</f>
        <v>0</v>
      </c>
      <c r="X336" s="21">
        <f>(SUMPRODUCT(X$9:X$229,Nutrients!$FA$8:$FA$228)+(IF($A$7=Nutrients!$B$8,Nutrients!$FA$8,Nutrients!$FA$9)*X$7)+(((IF($A$8=Nutrients!$B$79,Nutrients!$FA$79,(IF($A$8=Nutrients!$B$77,Nutrients!$FA$77,Nutrients!$FA$78)))))*X$8))</f>
        <v>0</v>
      </c>
      <c r="Y336" s="21">
        <f>(SUMPRODUCT(Y$9:Y$229,Nutrients!$FA$8:$FA$228)+(IF($A$7=Nutrients!$B$8,Nutrients!$FA$8,Nutrients!$FA$9)*Y$7)+(((IF($A$8=Nutrients!$B$79,Nutrients!$FA$79,(IF($A$8=Nutrients!$B$77,Nutrients!$FA$77,Nutrients!$FA$78)))))*Y$8))</f>
        <v>0</v>
      </c>
      <c r="Z336" s="21">
        <f>(SUMPRODUCT(Z$9:Z$229,Nutrients!$FA$8:$FA$228)+(IF($A$7=Nutrients!$B$8,Nutrients!$FA$8,Nutrients!$FA$9)*Z$7)+(((IF($A$8=Nutrients!$B$79,Nutrients!$FA$79,(IF($A$8=Nutrients!$B$77,Nutrients!$FA$77,Nutrients!$FA$78)))))*Z$8))</f>
        <v>0</v>
      </c>
      <c r="AA336" s="21">
        <f>(SUMPRODUCT(AA$9:AA$229,Nutrients!$FA$8:$FA$228)+(IF($A$7=Nutrients!$B$8,Nutrients!$FA$8,Nutrients!$FA$9)*AA$7)+(((IF($A$8=Nutrients!$B$79,Nutrients!$FA$79,(IF($A$8=Nutrients!$B$77,Nutrients!$FA$77,Nutrients!$FA$78)))))*AA$8))</f>
        <v>0</v>
      </c>
      <c r="AB336" s="21">
        <f>(SUMPRODUCT(AB$9:AB$229,Nutrients!$FA$8:$FA$228)+(IF($A$7=Nutrients!$B$8,Nutrients!$FA$8,Nutrients!$FA$9)*AB$7)+(((IF($A$8=Nutrients!$B$79,Nutrients!$FA$79,(IF($A$8=Nutrients!$B$77,Nutrients!$FA$77,Nutrients!$FA$78)))))*AB$8))</f>
        <v>0</v>
      </c>
      <c r="AD336" s="21">
        <f>(SUMPRODUCT(AD$9:AD$229,Nutrients!$FA$8:$FA$228)+(IF($A$7=Nutrients!$B$8,Nutrients!$FA$8,Nutrients!$FA$9)*AD$7)+(((IF($A$8=Nutrients!$B$79,Nutrients!$FA$79,(IF($A$8=Nutrients!$B$77,Nutrients!$FA$77,Nutrients!$FA$78)))))*AD$8))</f>
        <v>0</v>
      </c>
      <c r="AE336" s="21">
        <f>(SUMPRODUCT(AE$9:AE$229,Nutrients!$FA$8:$FA$228)+(IF($A$7=Nutrients!$B$8,Nutrients!$FA$8,Nutrients!$FA$9)*AE$7)+(((IF($A$8=Nutrients!$B$79,Nutrients!$FA$79,(IF($A$8=Nutrients!$B$77,Nutrients!$FA$77,Nutrients!$FA$78)))))*AE$8))</f>
        <v>0</v>
      </c>
      <c r="AF336" s="21">
        <f>(SUMPRODUCT(AF$9:AF$229,Nutrients!$FA$8:$FA$228)+(IF($A$7=Nutrients!$B$8,Nutrients!$FA$8,Nutrients!$FA$9)*AF$7)+(((IF($A$8=Nutrients!$B$79,Nutrients!$FA$79,(IF($A$8=Nutrients!$B$77,Nutrients!$FA$77,Nutrients!$FA$78)))))*AF$8))</f>
        <v>0</v>
      </c>
      <c r="AG336" s="21">
        <f>(SUMPRODUCT(AG$9:AG$229,Nutrients!$FA$8:$FA$228)+(IF($A$7=Nutrients!$B$8,Nutrients!$FA$8,Nutrients!$FA$9)*AG$7)+(((IF($A$8=Nutrients!$B$79,Nutrients!$FA$79,(IF($A$8=Nutrients!$B$77,Nutrients!$FA$77,Nutrients!$FA$78)))))*AG$8))</f>
        <v>0</v>
      </c>
      <c r="AH336" s="21">
        <f>(SUMPRODUCT(AH$9:AH$229,Nutrients!$FA$8:$FA$228)+(IF($A$7=Nutrients!$B$8,Nutrients!$FA$8,Nutrients!$FA$9)*AH$7)+(((IF($A$8=Nutrients!$B$79,Nutrients!$FA$79,(IF($A$8=Nutrients!$B$77,Nutrients!$FA$77,Nutrients!$FA$78)))))*AH$8))</f>
        <v>0</v>
      </c>
      <c r="AI336" s="21">
        <f>(SUMPRODUCT(AI$9:AI$229,Nutrients!$FA$8:$FA$228)+(IF($A$7=Nutrients!$B$8,Nutrients!$FA$8,Nutrients!$FA$9)*AI$7)+(((IF($A$8=Nutrients!$B$79,Nutrients!$FA$79,(IF($A$8=Nutrients!$B$77,Nutrients!$FA$77,Nutrients!$FA$78)))))*AI$8))</f>
        <v>0</v>
      </c>
      <c r="AK336" s="21">
        <f>(SUMPRODUCT(AK$9:AK$229,Nutrients!$FA$8:$FA$228)+(IF($A$7=Nutrients!$B$8,Nutrients!$FA$8,Nutrients!$FA$9)*AK$7)+(((IF($A$8=Nutrients!$B$79,Nutrients!$FA$79,(IF($A$8=Nutrients!$B$77,Nutrients!$FA$77,Nutrients!$FA$78)))))*AK$8))</f>
        <v>0</v>
      </c>
      <c r="AL336" s="21">
        <f>(SUMPRODUCT(AL$9:AL$229,Nutrients!$FA$8:$FA$228)+(IF($A$7=Nutrients!$B$8,Nutrients!$FA$8,Nutrients!$FA$9)*AL$7)+(((IF($A$8=Nutrients!$B$79,Nutrients!$FA$79,(IF($A$8=Nutrients!$B$77,Nutrients!$FA$77,Nutrients!$FA$78)))))*AL$8))</f>
        <v>0</v>
      </c>
      <c r="AM336" s="21">
        <f>(SUMPRODUCT(AM$9:AM$229,Nutrients!$FA$8:$FA$228)+(IF($A$7=Nutrients!$B$8,Nutrients!$FA$8,Nutrients!$FA$9)*AM$7)+(((IF($A$8=Nutrients!$B$79,Nutrients!$FA$79,(IF($A$8=Nutrients!$B$77,Nutrients!$FA$77,Nutrients!$FA$78)))))*AM$8))</f>
        <v>0</v>
      </c>
      <c r="AN336" s="21">
        <f>(SUMPRODUCT(AN$9:AN$229,Nutrients!$FA$8:$FA$228)+(IF($A$7=Nutrients!$B$8,Nutrients!$FA$8,Nutrients!$FA$9)*AN$7)+(((IF($A$8=Nutrients!$B$79,Nutrients!$FA$79,(IF($A$8=Nutrients!$B$77,Nutrients!$FA$77,Nutrients!$FA$78)))))*AN$8))</f>
        <v>0</v>
      </c>
      <c r="AO336" s="21">
        <f>(SUMPRODUCT(AO$9:AO$229,Nutrients!$FA$8:$FA$228)+(IF($A$7=Nutrients!$B$8,Nutrients!$FA$8,Nutrients!$FA$9)*AO$7)+(((IF($A$8=Nutrients!$B$79,Nutrients!$FA$79,(IF($A$8=Nutrients!$B$77,Nutrients!$FA$77,Nutrients!$FA$78)))))*AO$8))</f>
        <v>0</v>
      </c>
      <c r="AP336" s="21">
        <f>(SUMPRODUCT(AP$9:AP$229,Nutrients!$FA$8:$FA$228)+(IF($A$7=Nutrients!$B$8,Nutrients!$FA$8,Nutrients!$FA$9)*AP$7)+(((IF($A$8=Nutrients!$B$79,Nutrients!$FA$79,(IF($A$8=Nutrients!$B$77,Nutrients!$FA$77,Nutrients!$FA$78)))))*AP$8))</f>
        <v>0</v>
      </c>
      <c r="AR336" s="21">
        <f>(SUMPRODUCT(AR$9:AR$229,Nutrients!$FA$8:$FA$228)+(IF($A$7=Nutrients!$B$8,Nutrients!$FA$8,Nutrients!$FA$9)*AR$7)+(((IF($A$8=Nutrients!$B$79,Nutrients!$FA$79,(IF($A$8=Nutrients!$B$77,Nutrients!$FA$77,Nutrients!$FA$78)))))*AR$8))</f>
        <v>0</v>
      </c>
      <c r="AS336" s="21">
        <f>(SUMPRODUCT(AS$9:AS$229,Nutrients!$FA$8:$FA$228)+(IF($A$7=Nutrients!$B$8,Nutrients!$FA$8,Nutrients!$FA$9)*AS$7)+(((IF($A$8=Nutrients!$B$79,Nutrients!$FA$79,(IF($A$8=Nutrients!$B$77,Nutrients!$FA$77,Nutrients!$FA$78)))))*AS$8))</f>
        <v>0</v>
      </c>
      <c r="AT336" s="21">
        <f>(SUMPRODUCT(AT$9:AT$229,Nutrients!$FA$8:$FA$228)+(IF($A$7=Nutrients!$B$8,Nutrients!$FA$8,Nutrients!$FA$9)*AT$7)+(((IF($A$8=Nutrients!$B$79,Nutrients!$FA$79,(IF($A$8=Nutrients!$B$77,Nutrients!$FA$77,Nutrients!$FA$78)))))*AT$8))</f>
        <v>0</v>
      </c>
      <c r="AU336" s="21">
        <f>(SUMPRODUCT(AU$9:AU$229,Nutrients!$FA$8:$FA$228)+(IF($A$7=Nutrients!$B$8,Nutrients!$FA$8,Nutrients!$FA$9)*AU$7)+(((IF($A$8=Nutrients!$B$79,Nutrients!$FA$79,(IF($A$8=Nutrients!$B$77,Nutrients!$FA$77,Nutrients!$FA$78)))))*AU$8))</f>
        <v>0</v>
      </c>
      <c r="AV336" s="21">
        <f>(SUMPRODUCT(AV$9:AV$229,Nutrients!$FA$8:$FA$228)+(IF($A$7=Nutrients!$B$8,Nutrients!$FA$8,Nutrients!$FA$9)*AV$7)+(((IF($A$8=Nutrients!$B$79,Nutrients!$FA$79,(IF($A$8=Nutrients!$B$77,Nutrients!$FA$77,Nutrients!$FA$78)))))*AV$8))</f>
        <v>0</v>
      </c>
      <c r="AW336" s="21">
        <f>(SUMPRODUCT(AW$9:AW$229,Nutrients!$FA$8:$FA$228)+(IF($A$7=Nutrients!$B$8,Nutrients!$FA$8,Nutrients!$FA$9)*AW$7)+(((IF($A$8=Nutrients!$B$79,Nutrients!$FA$79,(IF($A$8=Nutrients!$B$77,Nutrients!$FA$77,Nutrients!$FA$78)))))*AW$8))</f>
        <v>0</v>
      </c>
    </row>
    <row r="337" spans="1:52" x14ac:dyDescent="0.25">
      <c r="A337" s="34" t="s">
        <v>130</v>
      </c>
      <c r="B337" s="21">
        <f>(SUMPRODUCT(B$9:B$229,Nutrients!$FB$8:$FB$228)+(IF($A$7=Nutrients!$B$8,Nutrients!$FB$8,Nutrients!$FB$9)*B$7)+(((IF($A$8=Nutrients!$B$79,Nutrients!$FB$79,(IF($A$8=Nutrients!$B$77,Nutrients!$FB$77,Nutrients!$FB$78)))))*B$8))</f>
        <v>0</v>
      </c>
      <c r="C337" s="21">
        <f>(SUMPRODUCT(C$9:C$229,Nutrients!$FB$8:$FB$228)+(IF($A$7=Nutrients!$B$8,Nutrients!$FB$8,Nutrients!$FB$9)*C$7)+(((IF($A$8=Nutrients!$B$79,Nutrients!$FB$79,(IF($A$8=Nutrients!$B$77,Nutrients!$FB$77,Nutrients!$FB$78)))))*C$8))</f>
        <v>0</v>
      </c>
      <c r="D337" s="21">
        <f>(SUMPRODUCT(D$9:D$229,Nutrients!$FB$8:$FB$228)+(IF($A$7=Nutrients!$B$8,Nutrients!$FB$8,Nutrients!$FB$9)*D$7)+(((IF($A$8=Nutrients!$B$79,Nutrients!$FB$79,(IF($A$8=Nutrients!$B$77,Nutrients!$FB$77,Nutrients!$FB$78)))))*D$8))</f>
        <v>0</v>
      </c>
      <c r="E337" s="21">
        <f>(SUMPRODUCT(E$9:E$229,Nutrients!$FB$8:$FB$228)+(IF($A$7=Nutrients!$B$8,Nutrients!$FB$8,Nutrients!$FB$9)*E$7)+(((IF($A$8=Nutrients!$B$79,Nutrients!$FB$79,(IF($A$8=Nutrients!$B$77,Nutrients!$FB$77,Nutrients!$FB$78)))))*E$8))</f>
        <v>0</v>
      </c>
      <c r="F337" s="21">
        <f>(SUMPRODUCT(F$9:F$229,Nutrients!$FB$8:$FB$228)+(IF($A$7=Nutrients!$B$8,Nutrients!$FB$8,Nutrients!$FB$9)*F$7)+(((IF($A$8=Nutrients!$B$79,Nutrients!$FB$79,(IF($A$8=Nutrients!$B$77,Nutrients!$FB$77,Nutrients!$FB$78)))))*F$8))</f>
        <v>0</v>
      </c>
      <c r="G337" s="21">
        <f>(SUMPRODUCT(G$9:G$229,Nutrients!$FB$8:$FB$228)+(IF($A$7=Nutrients!$B$8,Nutrients!$FB$8,Nutrients!$FB$9)*G$7)+(((IF($A$8=Nutrients!$B$79,Nutrients!$FB$79,(IF($A$8=Nutrients!$B$77,Nutrients!$FB$77,Nutrients!$FB$78)))))*G$8))</f>
        <v>0</v>
      </c>
      <c r="H337" s="226"/>
      <c r="I337" s="21">
        <f>(SUMPRODUCT(I$9:I$229,Nutrients!$FB$8:$FB$228)+(IF($A$7=Nutrients!$B$8,Nutrients!$FB$8,Nutrients!$FB$9)*I$7)+(((IF($A$8=Nutrients!$B$79,Nutrients!$FB$79,(IF($A$8=Nutrients!$B$77,Nutrients!$FB$77,Nutrients!$FB$78)))))*I$8))</f>
        <v>0</v>
      </c>
      <c r="J337" s="21">
        <f>(SUMPRODUCT(J$9:J$229,Nutrients!$FB$8:$FB$228)+(IF($A$7=Nutrients!$B$8,Nutrients!$FB$8,Nutrients!$FB$9)*J$7)+(((IF($A$8=Nutrients!$B$79,Nutrients!$FB$79,(IF($A$8=Nutrients!$B$77,Nutrients!$FB$77,Nutrients!$FB$78)))))*J$8))</f>
        <v>0</v>
      </c>
      <c r="K337" s="21">
        <f>(SUMPRODUCT(K$9:K$229,Nutrients!$FB$8:$FB$228)+(IF($A$7=Nutrients!$B$8,Nutrients!$FB$8,Nutrients!$FB$9)*K$7)+(((IF($A$8=Nutrients!$B$79,Nutrients!$FB$79,(IF($A$8=Nutrients!$B$77,Nutrients!$FB$77,Nutrients!$FB$78)))))*K$8))</f>
        <v>0</v>
      </c>
      <c r="L337" s="21">
        <f>(SUMPRODUCT(L$9:L$229,Nutrients!$FB$8:$FB$228)+(IF($A$7=Nutrients!$B$8,Nutrients!$FB$8,Nutrients!$FB$9)*L$7)+(((IF($A$8=Nutrients!$B$79,Nutrients!$FB$79,(IF($A$8=Nutrients!$B$77,Nutrients!$FB$77,Nutrients!$FB$78)))))*L$8))</f>
        <v>0</v>
      </c>
      <c r="M337" s="21">
        <f>(SUMPRODUCT(M$9:M$229,Nutrients!$FB$8:$FB$228)+(IF($A$7=Nutrients!$B$8,Nutrients!$FB$8,Nutrients!$FB$9)*M$7)+(((IF($A$8=Nutrients!$B$79,Nutrients!$FB$79,(IF($A$8=Nutrients!$B$77,Nutrients!$FB$77,Nutrients!$FB$78)))))*M$8))</f>
        <v>0</v>
      </c>
      <c r="N337" s="21">
        <f>(SUMPRODUCT(N$9:N$229,Nutrients!$FB$8:$FB$228)+(IF($A$7=Nutrients!$B$8,Nutrients!$FB$8,Nutrients!$FB$9)*N$7)+(((IF($A$8=Nutrients!$B$79,Nutrients!$FB$79,(IF($A$8=Nutrients!$B$77,Nutrients!$FB$77,Nutrients!$FB$78)))))*N$8))</f>
        <v>0</v>
      </c>
      <c r="O337" s="234"/>
      <c r="P337" s="21">
        <f>(SUMPRODUCT(P$9:P$229,Nutrients!$FB$8:$FB$228)+(IF($A$7=Nutrients!$B$8,Nutrients!$FB$8,Nutrients!$FB$9)*P$7)+(((IF($A$8=Nutrients!$B$79,Nutrients!$FB$79,(IF($A$8=Nutrients!$B$77,Nutrients!$FB$77,Nutrients!$FB$78)))))*P$8))</f>
        <v>0</v>
      </c>
      <c r="Q337" s="21">
        <f>(SUMPRODUCT(Q$9:Q$229,Nutrients!$FB$8:$FB$228)+(IF($A$7=Nutrients!$B$8,Nutrients!$FB$8,Nutrients!$FB$9)*Q$7)+(((IF($A$8=Nutrients!$B$79,Nutrients!$FB$79,(IF($A$8=Nutrients!$B$77,Nutrients!$FB$77,Nutrients!$FB$78)))))*Q$8))</f>
        <v>0</v>
      </c>
      <c r="R337" s="21">
        <f>(SUMPRODUCT(R$9:R$229,Nutrients!$FB$8:$FB$228)+(IF($A$7=Nutrients!$B$8,Nutrients!$FB$8,Nutrients!$FB$9)*R$7)+(((IF($A$8=Nutrients!$B$79,Nutrients!$FB$79,(IF($A$8=Nutrients!$B$77,Nutrients!$FB$77,Nutrients!$FB$78)))))*R$8))</f>
        <v>0</v>
      </c>
      <c r="S337" s="21">
        <f>(SUMPRODUCT(S$9:S$229,Nutrients!$FB$8:$FB$228)+(IF($A$7=Nutrients!$B$8,Nutrients!$FB$8,Nutrients!$FB$9)*S$7)+(((IF($A$8=Nutrients!$B$79,Nutrients!$FB$79,(IF($A$8=Nutrients!$B$77,Nutrients!$FB$77,Nutrients!$FB$78)))))*S$8))</f>
        <v>0</v>
      </c>
      <c r="T337" s="21">
        <f>(SUMPRODUCT(T$9:T$229,Nutrients!$FB$8:$FB$228)+(IF($A$7=Nutrients!$B$8,Nutrients!$FB$8,Nutrients!$FB$9)*T$7)+(((IF($A$8=Nutrients!$B$79,Nutrients!$FB$79,(IF($A$8=Nutrients!$B$77,Nutrients!$FB$77,Nutrients!$FB$78)))))*T$8))</f>
        <v>0</v>
      </c>
      <c r="U337" s="21">
        <f>(SUMPRODUCT(U$9:U$229,Nutrients!$FB$8:$FB$228)+(IF($A$7=Nutrients!$B$8,Nutrients!$FB$8,Nutrients!$FB$9)*U$7)+(((IF($A$8=Nutrients!$B$79,Nutrients!$FB$79,(IF($A$8=Nutrients!$B$77,Nutrients!$FB$77,Nutrients!$FB$78)))))*U$8))</f>
        <v>0</v>
      </c>
      <c r="W337" s="21">
        <f>(SUMPRODUCT(W$9:W$229,Nutrients!$FB$8:$FB$228)+(IF($A$7=Nutrients!$B$8,Nutrients!$FB$8,Nutrients!$FB$9)*W$7)+(((IF($A$8=Nutrients!$B$79,Nutrients!$FB$79,(IF($A$8=Nutrients!$B$77,Nutrients!$FB$77,Nutrients!$FB$78)))))*W$8))</f>
        <v>0</v>
      </c>
      <c r="X337" s="21">
        <f>(SUMPRODUCT(X$9:X$229,Nutrients!$FB$8:$FB$228)+(IF($A$7=Nutrients!$B$8,Nutrients!$FB$8,Nutrients!$FB$9)*X$7)+(((IF($A$8=Nutrients!$B$79,Nutrients!$FB$79,(IF($A$8=Nutrients!$B$77,Nutrients!$FB$77,Nutrients!$FB$78)))))*X$8))</f>
        <v>0</v>
      </c>
      <c r="Y337" s="21">
        <f>(SUMPRODUCT(Y$9:Y$229,Nutrients!$FB$8:$FB$228)+(IF($A$7=Nutrients!$B$8,Nutrients!$FB$8,Nutrients!$FB$9)*Y$7)+(((IF($A$8=Nutrients!$B$79,Nutrients!$FB$79,(IF($A$8=Nutrients!$B$77,Nutrients!$FB$77,Nutrients!$FB$78)))))*Y$8))</f>
        <v>0</v>
      </c>
      <c r="Z337" s="21">
        <f>(SUMPRODUCT(Z$9:Z$229,Nutrients!$FB$8:$FB$228)+(IF($A$7=Nutrients!$B$8,Nutrients!$FB$8,Nutrients!$FB$9)*Z$7)+(((IF($A$8=Nutrients!$B$79,Nutrients!$FB$79,(IF($A$8=Nutrients!$B$77,Nutrients!$FB$77,Nutrients!$FB$78)))))*Z$8))</f>
        <v>0</v>
      </c>
      <c r="AA337" s="21">
        <f>(SUMPRODUCT(AA$9:AA$229,Nutrients!$FB$8:$FB$228)+(IF($A$7=Nutrients!$B$8,Nutrients!$FB$8,Nutrients!$FB$9)*AA$7)+(((IF($A$8=Nutrients!$B$79,Nutrients!$FB$79,(IF($A$8=Nutrients!$B$77,Nutrients!$FB$77,Nutrients!$FB$78)))))*AA$8))</f>
        <v>0</v>
      </c>
      <c r="AB337" s="21">
        <f>(SUMPRODUCT(AB$9:AB$229,Nutrients!$FB$8:$FB$228)+(IF($A$7=Nutrients!$B$8,Nutrients!$FB$8,Nutrients!$FB$9)*AB$7)+(((IF($A$8=Nutrients!$B$79,Nutrients!$FB$79,(IF($A$8=Nutrients!$B$77,Nutrients!$FB$77,Nutrients!$FB$78)))))*AB$8))</f>
        <v>0</v>
      </c>
      <c r="AD337" s="21">
        <f>(SUMPRODUCT(AD$9:AD$229,Nutrients!$FB$8:$FB$228)+(IF($A$7=Nutrients!$B$8,Nutrients!$FB$8,Nutrients!$FB$9)*AD$7)+(((IF($A$8=Nutrients!$B$79,Nutrients!$FB$79,(IF($A$8=Nutrients!$B$77,Nutrients!$FB$77,Nutrients!$FB$78)))))*AD$8))</f>
        <v>0</v>
      </c>
      <c r="AE337" s="21">
        <f>(SUMPRODUCT(AE$9:AE$229,Nutrients!$FB$8:$FB$228)+(IF($A$7=Nutrients!$B$8,Nutrients!$FB$8,Nutrients!$FB$9)*AE$7)+(((IF($A$8=Nutrients!$B$79,Nutrients!$FB$79,(IF($A$8=Nutrients!$B$77,Nutrients!$FB$77,Nutrients!$FB$78)))))*AE$8))</f>
        <v>0</v>
      </c>
      <c r="AF337" s="21">
        <f>(SUMPRODUCT(AF$9:AF$229,Nutrients!$FB$8:$FB$228)+(IF($A$7=Nutrients!$B$8,Nutrients!$FB$8,Nutrients!$FB$9)*AF$7)+(((IF($A$8=Nutrients!$B$79,Nutrients!$FB$79,(IF($A$8=Nutrients!$B$77,Nutrients!$FB$77,Nutrients!$FB$78)))))*AF$8))</f>
        <v>0</v>
      </c>
      <c r="AG337" s="21">
        <f>(SUMPRODUCT(AG$9:AG$229,Nutrients!$FB$8:$FB$228)+(IF($A$7=Nutrients!$B$8,Nutrients!$FB$8,Nutrients!$FB$9)*AG$7)+(((IF($A$8=Nutrients!$B$79,Nutrients!$FB$79,(IF($A$8=Nutrients!$B$77,Nutrients!$FB$77,Nutrients!$FB$78)))))*AG$8))</f>
        <v>0</v>
      </c>
      <c r="AH337" s="21">
        <f>(SUMPRODUCT(AH$9:AH$229,Nutrients!$FB$8:$FB$228)+(IF($A$7=Nutrients!$B$8,Nutrients!$FB$8,Nutrients!$FB$9)*AH$7)+(((IF($A$8=Nutrients!$B$79,Nutrients!$FB$79,(IF($A$8=Nutrients!$B$77,Nutrients!$FB$77,Nutrients!$FB$78)))))*AH$8))</f>
        <v>0</v>
      </c>
      <c r="AI337" s="21">
        <f>(SUMPRODUCT(AI$9:AI$229,Nutrients!$FB$8:$FB$228)+(IF($A$7=Nutrients!$B$8,Nutrients!$FB$8,Nutrients!$FB$9)*AI$7)+(((IF($A$8=Nutrients!$B$79,Nutrients!$FB$79,(IF($A$8=Nutrients!$B$77,Nutrients!$FB$77,Nutrients!$FB$78)))))*AI$8))</f>
        <v>0</v>
      </c>
      <c r="AK337" s="21">
        <f>(SUMPRODUCT(AK$9:AK$229,Nutrients!$FB$8:$FB$228)+(IF($A$7=Nutrients!$B$8,Nutrients!$FB$8,Nutrients!$FB$9)*AK$7)+(((IF($A$8=Nutrients!$B$79,Nutrients!$FB$79,(IF($A$8=Nutrients!$B$77,Nutrients!$FB$77,Nutrients!$FB$78)))))*AK$8))</f>
        <v>0</v>
      </c>
      <c r="AL337" s="21">
        <f>(SUMPRODUCT(AL$9:AL$229,Nutrients!$FB$8:$FB$228)+(IF($A$7=Nutrients!$B$8,Nutrients!$FB$8,Nutrients!$FB$9)*AL$7)+(((IF($A$8=Nutrients!$B$79,Nutrients!$FB$79,(IF($A$8=Nutrients!$B$77,Nutrients!$FB$77,Nutrients!$FB$78)))))*AL$8))</f>
        <v>0</v>
      </c>
      <c r="AM337" s="21">
        <f>(SUMPRODUCT(AM$9:AM$229,Nutrients!$FB$8:$FB$228)+(IF($A$7=Nutrients!$B$8,Nutrients!$FB$8,Nutrients!$FB$9)*AM$7)+(((IF($A$8=Nutrients!$B$79,Nutrients!$FB$79,(IF($A$8=Nutrients!$B$77,Nutrients!$FB$77,Nutrients!$FB$78)))))*AM$8))</f>
        <v>0</v>
      </c>
      <c r="AN337" s="21">
        <f>(SUMPRODUCT(AN$9:AN$229,Nutrients!$FB$8:$FB$228)+(IF($A$7=Nutrients!$B$8,Nutrients!$FB$8,Nutrients!$FB$9)*AN$7)+(((IF($A$8=Nutrients!$B$79,Nutrients!$FB$79,(IF($A$8=Nutrients!$B$77,Nutrients!$FB$77,Nutrients!$FB$78)))))*AN$8))</f>
        <v>0</v>
      </c>
      <c r="AO337" s="21">
        <f>(SUMPRODUCT(AO$9:AO$229,Nutrients!$FB$8:$FB$228)+(IF($A$7=Nutrients!$B$8,Nutrients!$FB$8,Nutrients!$FB$9)*AO$7)+(((IF($A$8=Nutrients!$B$79,Nutrients!$FB$79,(IF($A$8=Nutrients!$B$77,Nutrients!$FB$77,Nutrients!$FB$78)))))*AO$8))</f>
        <v>0</v>
      </c>
      <c r="AP337" s="21">
        <f>(SUMPRODUCT(AP$9:AP$229,Nutrients!$FB$8:$FB$228)+(IF($A$7=Nutrients!$B$8,Nutrients!$FB$8,Nutrients!$FB$9)*AP$7)+(((IF($A$8=Nutrients!$B$79,Nutrients!$FB$79,(IF($A$8=Nutrients!$B$77,Nutrients!$FB$77,Nutrients!$FB$78)))))*AP$8))</f>
        <v>0</v>
      </c>
      <c r="AR337" s="21">
        <f>(SUMPRODUCT(AR$9:AR$229,Nutrients!$FB$8:$FB$228)+(IF($A$7=Nutrients!$B$8,Nutrients!$FB$8,Nutrients!$FB$9)*AR$7)+(((IF($A$8=Nutrients!$B$79,Nutrients!$FB$79,(IF($A$8=Nutrients!$B$77,Nutrients!$FB$77,Nutrients!$FB$78)))))*AR$8))</f>
        <v>0</v>
      </c>
      <c r="AS337" s="21">
        <f>(SUMPRODUCT(AS$9:AS$229,Nutrients!$FB$8:$FB$228)+(IF($A$7=Nutrients!$B$8,Nutrients!$FB$8,Nutrients!$FB$9)*AS$7)+(((IF($A$8=Nutrients!$B$79,Nutrients!$FB$79,(IF($A$8=Nutrients!$B$77,Nutrients!$FB$77,Nutrients!$FB$78)))))*AS$8))</f>
        <v>0</v>
      </c>
      <c r="AT337" s="21">
        <f>(SUMPRODUCT(AT$9:AT$229,Nutrients!$FB$8:$FB$228)+(IF($A$7=Nutrients!$B$8,Nutrients!$FB$8,Nutrients!$FB$9)*AT$7)+(((IF($A$8=Nutrients!$B$79,Nutrients!$FB$79,(IF($A$8=Nutrients!$B$77,Nutrients!$FB$77,Nutrients!$FB$78)))))*AT$8))</f>
        <v>0</v>
      </c>
      <c r="AU337" s="21">
        <f>(SUMPRODUCT(AU$9:AU$229,Nutrients!$FB$8:$FB$228)+(IF($A$7=Nutrients!$B$8,Nutrients!$FB$8,Nutrients!$FB$9)*AU$7)+(((IF($A$8=Nutrients!$B$79,Nutrients!$FB$79,(IF($A$8=Nutrients!$B$77,Nutrients!$FB$77,Nutrients!$FB$78)))))*AU$8))</f>
        <v>0</v>
      </c>
      <c r="AV337" s="21">
        <f>(SUMPRODUCT(AV$9:AV$229,Nutrients!$FB$8:$FB$228)+(IF($A$7=Nutrients!$B$8,Nutrients!$FB$8,Nutrients!$FB$9)*AV$7)+(((IF($A$8=Nutrients!$B$79,Nutrients!$FB$79,(IF($A$8=Nutrients!$B$77,Nutrients!$FB$77,Nutrients!$FB$78)))))*AV$8))</f>
        <v>0</v>
      </c>
      <c r="AW337" s="21">
        <f>(SUMPRODUCT(AW$9:AW$229,Nutrients!$FB$8:$FB$228)+(IF($A$7=Nutrients!$B$8,Nutrients!$FB$8,Nutrients!$FB$9)*AW$7)+(((IF($A$8=Nutrients!$B$79,Nutrients!$FB$79,(IF($A$8=Nutrients!$B$77,Nutrients!$FB$77,Nutrients!$FB$78)))))*AW$8))</f>
        <v>0</v>
      </c>
    </row>
    <row r="338" spans="1:52" x14ac:dyDescent="0.25">
      <c r="A338" s="34" t="s">
        <v>131</v>
      </c>
      <c r="B338" s="21">
        <f>(SUMPRODUCT(B$9:B$229,Nutrients!$FC$8:$FC$228)+(IF($A$7=Nutrients!$B$8,Nutrients!$FC$8,Nutrients!$FC$9)*B$7)+(((IF($A$8=Nutrients!$B$79,Nutrients!$FC$79,(IF($A$8=Nutrients!$B$77,Nutrients!$FC$77,Nutrients!$FC$78)))))*B$8))</f>
        <v>0</v>
      </c>
      <c r="C338" s="21">
        <f>(SUMPRODUCT(C$9:C$229,Nutrients!$FC$8:$FC$228)+(IF($A$7=Nutrients!$B$8,Nutrients!$FC$8,Nutrients!$FC$9)*C$7)+(((IF($A$8=Nutrients!$B$79,Nutrients!$FC$79,(IF($A$8=Nutrients!$B$77,Nutrients!$FC$77,Nutrients!$FC$78)))))*C$8))</f>
        <v>0</v>
      </c>
      <c r="D338" s="21">
        <f>(SUMPRODUCT(D$9:D$229,Nutrients!$FC$8:$FC$228)+(IF($A$7=Nutrients!$B$8,Nutrients!$FC$8,Nutrients!$FC$9)*D$7)+(((IF($A$8=Nutrients!$B$79,Nutrients!$FC$79,(IF($A$8=Nutrients!$B$77,Nutrients!$FC$77,Nutrients!$FC$78)))))*D$8))</f>
        <v>0</v>
      </c>
      <c r="E338" s="21">
        <f>(SUMPRODUCT(E$9:E$229,Nutrients!$FC$8:$FC$228)+(IF($A$7=Nutrients!$B$8,Nutrients!$FC$8,Nutrients!$FC$9)*E$7)+(((IF($A$8=Nutrients!$B$79,Nutrients!$FC$79,(IF($A$8=Nutrients!$B$77,Nutrients!$FC$77,Nutrients!$FC$78)))))*E$8))</f>
        <v>0</v>
      </c>
      <c r="F338" s="21">
        <f>(SUMPRODUCT(F$9:F$229,Nutrients!$FC$8:$FC$228)+(IF($A$7=Nutrients!$B$8,Nutrients!$FC$8,Nutrients!$FC$9)*F$7)+(((IF($A$8=Nutrients!$B$79,Nutrients!$FC$79,(IF($A$8=Nutrients!$B$77,Nutrients!$FC$77,Nutrients!$FC$78)))))*F$8))</f>
        <v>0</v>
      </c>
      <c r="G338" s="21">
        <f>(SUMPRODUCT(G$9:G$229,Nutrients!$FC$8:$FC$228)+(IF($A$7=Nutrients!$B$8,Nutrients!$FC$8,Nutrients!$FC$9)*G$7)+(((IF($A$8=Nutrients!$B$79,Nutrients!$FC$79,(IF($A$8=Nutrients!$B$77,Nutrients!$FC$77,Nutrients!$FC$78)))))*G$8))</f>
        <v>0</v>
      </c>
      <c r="H338" s="226"/>
      <c r="I338" s="21">
        <f>(SUMPRODUCT(I$9:I$229,Nutrients!$FC$8:$FC$228)+(IF($A$7=Nutrients!$B$8,Nutrients!$FC$8,Nutrients!$FC$9)*I$7)+(((IF($A$8=Nutrients!$B$79,Nutrients!$FC$79,(IF($A$8=Nutrients!$B$77,Nutrients!$FC$77,Nutrients!$FC$78)))))*I$8))</f>
        <v>0</v>
      </c>
      <c r="J338" s="21">
        <f>(SUMPRODUCT(J$9:J$229,Nutrients!$FC$8:$FC$228)+(IF($A$7=Nutrients!$B$8,Nutrients!$FC$8,Nutrients!$FC$9)*J$7)+(((IF($A$8=Nutrients!$B$79,Nutrients!$FC$79,(IF($A$8=Nutrients!$B$77,Nutrients!$FC$77,Nutrients!$FC$78)))))*J$8))</f>
        <v>0</v>
      </c>
      <c r="K338" s="21">
        <f>(SUMPRODUCT(K$9:K$229,Nutrients!$FC$8:$FC$228)+(IF($A$7=Nutrients!$B$8,Nutrients!$FC$8,Nutrients!$FC$9)*K$7)+(((IF($A$8=Nutrients!$B$79,Nutrients!$FC$79,(IF($A$8=Nutrients!$B$77,Nutrients!$FC$77,Nutrients!$FC$78)))))*K$8))</f>
        <v>0</v>
      </c>
      <c r="L338" s="21">
        <f>(SUMPRODUCT(L$9:L$229,Nutrients!$FC$8:$FC$228)+(IF($A$7=Nutrients!$B$8,Nutrients!$FC$8,Nutrients!$FC$9)*L$7)+(((IF($A$8=Nutrients!$B$79,Nutrients!$FC$79,(IF($A$8=Nutrients!$B$77,Nutrients!$FC$77,Nutrients!$FC$78)))))*L$8))</f>
        <v>0</v>
      </c>
      <c r="M338" s="21">
        <f>(SUMPRODUCT(M$9:M$229,Nutrients!$FC$8:$FC$228)+(IF($A$7=Nutrients!$B$8,Nutrients!$FC$8,Nutrients!$FC$9)*M$7)+(((IF($A$8=Nutrients!$B$79,Nutrients!$FC$79,(IF($A$8=Nutrients!$B$77,Nutrients!$FC$77,Nutrients!$FC$78)))))*M$8))</f>
        <v>0</v>
      </c>
      <c r="N338" s="21">
        <f>(SUMPRODUCT(N$9:N$229,Nutrients!$FC$8:$FC$228)+(IF($A$7=Nutrients!$B$8,Nutrients!$FC$8,Nutrients!$FC$9)*N$7)+(((IF($A$8=Nutrients!$B$79,Nutrients!$FC$79,(IF($A$8=Nutrients!$B$77,Nutrients!$FC$77,Nutrients!$FC$78)))))*N$8))</f>
        <v>0</v>
      </c>
      <c r="O338" s="234"/>
      <c r="P338" s="21">
        <f>(SUMPRODUCT(P$9:P$229,Nutrients!$FC$8:$FC$228)+(IF($A$7=Nutrients!$B$8,Nutrients!$FC$8,Nutrients!$FC$9)*P$7)+(((IF($A$8=Nutrients!$B$79,Nutrients!$FC$79,(IF($A$8=Nutrients!$B$77,Nutrients!$FC$77,Nutrients!$FC$78)))))*P$8))</f>
        <v>0</v>
      </c>
      <c r="Q338" s="21">
        <f>(SUMPRODUCT(Q$9:Q$229,Nutrients!$FC$8:$FC$228)+(IF($A$7=Nutrients!$B$8,Nutrients!$FC$8,Nutrients!$FC$9)*Q$7)+(((IF($A$8=Nutrients!$B$79,Nutrients!$FC$79,(IF($A$8=Nutrients!$B$77,Nutrients!$FC$77,Nutrients!$FC$78)))))*Q$8))</f>
        <v>0</v>
      </c>
      <c r="R338" s="21">
        <f>(SUMPRODUCT(R$9:R$229,Nutrients!$FC$8:$FC$228)+(IF($A$7=Nutrients!$B$8,Nutrients!$FC$8,Nutrients!$FC$9)*R$7)+(((IF($A$8=Nutrients!$B$79,Nutrients!$FC$79,(IF($A$8=Nutrients!$B$77,Nutrients!$FC$77,Nutrients!$FC$78)))))*R$8))</f>
        <v>0</v>
      </c>
      <c r="S338" s="21">
        <f>(SUMPRODUCT(S$9:S$229,Nutrients!$FC$8:$FC$228)+(IF($A$7=Nutrients!$B$8,Nutrients!$FC$8,Nutrients!$FC$9)*S$7)+(((IF($A$8=Nutrients!$B$79,Nutrients!$FC$79,(IF($A$8=Nutrients!$B$77,Nutrients!$FC$77,Nutrients!$FC$78)))))*S$8))</f>
        <v>0</v>
      </c>
      <c r="T338" s="21">
        <f>(SUMPRODUCT(T$9:T$229,Nutrients!$FC$8:$FC$228)+(IF($A$7=Nutrients!$B$8,Nutrients!$FC$8,Nutrients!$FC$9)*T$7)+(((IF($A$8=Nutrients!$B$79,Nutrients!$FC$79,(IF($A$8=Nutrients!$B$77,Nutrients!$FC$77,Nutrients!$FC$78)))))*T$8))</f>
        <v>0</v>
      </c>
      <c r="U338" s="21">
        <f>(SUMPRODUCT(U$9:U$229,Nutrients!$FC$8:$FC$228)+(IF($A$7=Nutrients!$B$8,Nutrients!$FC$8,Nutrients!$FC$9)*U$7)+(((IF($A$8=Nutrients!$B$79,Nutrients!$FC$79,(IF($A$8=Nutrients!$B$77,Nutrients!$FC$77,Nutrients!$FC$78)))))*U$8))</f>
        <v>0</v>
      </c>
      <c r="W338" s="21">
        <f>(SUMPRODUCT(W$9:W$229,Nutrients!$FC$8:$FC$228)+(IF($A$7=Nutrients!$B$8,Nutrients!$FC$8,Nutrients!$FC$9)*W$7)+(((IF($A$8=Nutrients!$B$79,Nutrients!$FC$79,(IF($A$8=Nutrients!$B$77,Nutrients!$FC$77,Nutrients!$FC$78)))))*W$8))</f>
        <v>0</v>
      </c>
      <c r="X338" s="21">
        <f>(SUMPRODUCT(X$9:X$229,Nutrients!$FC$8:$FC$228)+(IF($A$7=Nutrients!$B$8,Nutrients!$FC$8,Nutrients!$FC$9)*X$7)+(((IF($A$8=Nutrients!$B$79,Nutrients!$FC$79,(IF($A$8=Nutrients!$B$77,Nutrients!$FC$77,Nutrients!$FC$78)))))*X$8))</f>
        <v>0</v>
      </c>
      <c r="Y338" s="21">
        <f>(SUMPRODUCT(Y$9:Y$229,Nutrients!$FC$8:$FC$228)+(IF($A$7=Nutrients!$B$8,Nutrients!$FC$8,Nutrients!$FC$9)*Y$7)+(((IF($A$8=Nutrients!$B$79,Nutrients!$FC$79,(IF($A$8=Nutrients!$B$77,Nutrients!$FC$77,Nutrients!$FC$78)))))*Y$8))</f>
        <v>0</v>
      </c>
      <c r="Z338" s="21">
        <f>(SUMPRODUCT(Z$9:Z$229,Nutrients!$FC$8:$FC$228)+(IF($A$7=Nutrients!$B$8,Nutrients!$FC$8,Nutrients!$FC$9)*Z$7)+(((IF($A$8=Nutrients!$B$79,Nutrients!$FC$79,(IF($A$8=Nutrients!$B$77,Nutrients!$FC$77,Nutrients!$FC$78)))))*Z$8))</f>
        <v>0</v>
      </c>
      <c r="AA338" s="21">
        <f>(SUMPRODUCT(AA$9:AA$229,Nutrients!$FC$8:$FC$228)+(IF($A$7=Nutrients!$B$8,Nutrients!$FC$8,Nutrients!$FC$9)*AA$7)+(((IF($A$8=Nutrients!$B$79,Nutrients!$FC$79,(IF($A$8=Nutrients!$B$77,Nutrients!$FC$77,Nutrients!$FC$78)))))*AA$8))</f>
        <v>0</v>
      </c>
      <c r="AB338" s="21">
        <f>(SUMPRODUCT(AB$9:AB$229,Nutrients!$FC$8:$FC$228)+(IF($A$7=Nutrients!$B$8,Nutrients!$FC$8,Nutrients!$FC$9)*AB$7)+(((IF($A$8=Nutrients!$B$79,Nutrients!$FC$79,(IF($A$8=Nutrients!$B$77,Nutrients!$FC$77,Nutrients!$FC$78)))))*AB$8))</f>
        <v>0</v>
      </c>
      <c r="AD338" s="21">
        <f>(SUMPRODUCT(AD$9:AD$229,Nutrients!$FC$8:$FC$228)+(IF($A$7=Nutrients!$B$8,Nutrients!$FC$8,Nutrients!$FC$9)*AD$7)+(((IF($A$8=Nutrients!$B$79,Nutrients!$FC$79,(IF($A$8=Nutrients!$B$77,Nutrients!$FC$77,Nutrients!$FC$78)))))*AD$8))</f>
        <v>0</v>
      </c>
      <c r="AE338" s="21">
        <f>(SUMPRODUCT(AE$9:AE$229,Nutrients!$FC$8:$FC$228)+(IF($A$7=Nutrients!$B$8,Nutrients!$FC$8,Nutrients!$FC$9)*AE$7)+(((IF($A$8=Nutrients!$B$79,Nutrients!$FC$79,(IF($A$8=Nutrients!$B$77,Nutrients!$FC$77,Nutrients!$FC$78)))))*AE$8))</f>
        <v>0</v>
      </c>
      <c r="AF338" s="21">
        <f>(SUMPRODUCT(AF$9:AF$229,Nutrients!$FC$8:$FC$228)+(IF($A$7=Nutrients!$B$8,Nutrients!$FC$8,Nutrients!$FC$9)*AF$7)+(((IF($A$8=Nutrients!$B$79,Nutrients!$FC$79,(IF($A$8=Nutrients!$B$77,Nutrients!$FC$77,Nutrients!$FC$78)))))*AF$8))</f>
        <v>0</v>
      </c>
      <c r="AG338" s="21">
        <f>(SUMPRODUCT(AG$9:AG$229,Nutrients!$FC$8:$FC$228)+(IF($A$7=Nutrients!$B$8,Nutrients!$FC$8,Nutrients!$FC$9)*AG$7)+(((IF($A$8=Nutrients!$B$79,Nutrients!$FC$79,(IF($A$8=Nutrients!$B$77,Nutrients!$FC$77,Nutrients!$FC$78)))))*AG$8))</f>
        <v>0</v>
      </c>
      <c r="AH338" s="21">
        <f>(SUMPRODUCT(AH$9:AH$229,Nutrients!$FC$8:$FC$228)+(IF($A$7=Nutrients!$B$8,Nutrients!$FC$8,Nutrients!$FC$9)*AH$7)+(((IF($A$8=Nutrients!$B$79,Nutrients!$FC$79,(IF($A$8=Nutrients!$B$77,Nutrients!$FC$77,Nutrients!$FC$78)))))*AH$8))</f>
        <v>0</v>
      </c>
      <c r="AI338" s="21">
        <f>(SUMPRODUCT(AI$9:AI$229,Nutrients!$FC$8:$FC$228)+(IF($A$7=Nutrients!$B$8,Nutrients!$FC$8,Nutrients!$FC$9)*AI$7)+(((IF($A$8=Nutrients!$B$79,Nutrients!$FC$79,(IF($A$8=Nutrients!$B$77,Nutrients!$FC$77,Nutrients!$FC$78)))))*AI$8))</f>
        <v>0</v>
      </c>
      <c r="AK338" s="21">
        <f>(SUMPRODUCT(AK$9:AK$229,Nutrients!$FC$8:$FC$228)+(IF($A$7=Nutrients!$B$8,Nutrients!$FC$8,Nutrients!$FC$9)*AK$7)+(((IF($A$8=Nutrients!$B$79,Nutrients!$FC$79,(IF($A$8=Nutrients!$B$77,Nutrients!$FC$77,Nutrients!$FC$78)))))*AK$8))</f>
        <v>0</v>
      </c>
      <c r="AL338" s="21">
        <f>(SUMPRODUCT(AL$9:AL$229,Nutrients!$FC$8:$FC$228)+(IF($A$7=Nutrients!$B$8,Nutrients!$FC$8,Nutrients!$FC$9)*AL$7)+(((IF($A$8=Nutrients!$B$79,Nutrients!$FC$79,(IF($A$8=Nutrients!$B$77,Nutrients!$FC$77,Nutrients!$FC$78)))))*AL$8))</f>
        <v>0</v>
      </c>
      <c r="AM338" s="21">
        <f>(SUMPRODUCT(AM$9:AM$229,Nutrients!$FC$8:$FC$228)+(IF($A$7=Nutrients!$B$8,Nutrients!$FC$8,Nutrients!$FC$9)*AM$7)+(((IF($A$8=Nutrients!$B$79,Nutrients!$FC$79,(IF($A$8=Nutrients!$B$77,Nutrients!$FC$77,Nutrients!$FC$78)))))*AM$8))</f>
        <v>0</v>
      </c>
      <c r="AN338" s="21">
        <f>(SUMPRODUCT(AN$9:AN$229,Nutrients!$FC$8:$FC$228)+(IF($A$7=Nutrients!$B$8,Nutrients!$FC$8,Nutrients!$FC$9)*AN$7)+(((IF($A$8=Nutrients!$B$79,Nutrients!$FC$79,(IF($A$8=Nutrients!$B$77,Nutrients!$FC$77,Nutrients!$FC$78)))))*AN$8))</f>
        <v>0</v>
      </c>
      <c r="AO338" s="21">
        <f>(SUMPRODUCT(AO$9:AO$229,Nutrients!$FC$8:$FC$228)+(IF($A$7=Nutrients!$B$8,Nutrients!$FC$8,Nutrients!$FC$9)*AO$7)+(((IF($A$8=Nutrients!$B$79,Nutrients!$FC$79,(IF($A$8=Nutrients!$B$77,Nutrients!$FC$77,Nutrients!$FC$78)))))*AO$8))</f>
        <v>0</v>
      </c>
      <c r="AP338" s="21">
        <f>(SUMPRODUCT(AP$9:AP$229,Nutrients!$FC$8:$FC$228)+(IF($A$7=Nutrients!$B$8,Nutrients!$FC$8,Nutrients!$FC$9)*AP$7)+(((IF($A$8=Nutrients!$B$79,Nutrients!$FC$79,(IF($A$8=Nutrients!$B$77,Nutrients!$FC$77,Nutrients!$FC$78)))))*AP$8))</f>
        <v>0</v>
      </c>
      <c r="AR338" s="21">
        <f>(SUMPRODUCT(AR$9:AR$229,Nutrients!$FC$8:$FC$228)+(IF($A$7=Nutrients!$B$8,Nutrients!$FC$8,Nutrients!$FC$9)*AR$7)+(((IF($A$8=Nutrients!$B$79,Nutrients!$FC$79,(IF($A$8=Nutrients!$B$77,Nutrients!$FC$77,Nutrients!$FC$78)))))*AR$8))</f>
        <v>0</v>
      </c>
      <c r="AS338" s="21">
        <f>(SUMPRODUCT(AS$9:AS$229,Nutrients!$FC$8:$FC$228)+(IF($A$7=Nutrients!$B$8,Nutrients!$FC$8,Nutrients!$FC$9)*AS$7)+(((IF($A$8=Nutrients!$B$79,Nutrients!$FC$79,(IF($A$8=Nutrients!$B$77,Nutrients!$FC$77,Nutrients!$FC$78)))))*AS$8))</f>
        <v>0</v>
      </c>
      <c r="AT338" s="21">
        <f>(SUMPRODUCT(AT$9:AT$229,Nutrients!$FC$8:$FC$228)+(IF($A$7=Nutrients!$B$8,Nutrients!$FC$8,Nutrients!$FC$9)*AT$7)+(((IF($A$8=Nutrients!$B$79,Nutrients!$FC$79,(IF($A$8=Nutrients!$B$77,Nutrients!$FC$77,Nutrients!$FC$78)))))*AT$8))</f>
        <v>0</v>
      </c>
      <c r="AU338" s="21">
        <f>(SUMPRODUCT(AU$9:AU$229,Nutrients!$FC$8:$FC$228)+(IF($A$7=Nutrients!$B$8,Nutrients!$FC$8,Nutrients!$FC$9)*AU$7)+(((IF($A$8=Nutrients!$B$79,Nutrients!$FC$79,(IF($A$8=Nutrients!$B$77,Nutrients!$FC$77,Nutrients!$FC$78)))))*AU$8))</f>
        <v>0</v>
      </c>
      <c r="AV338" s="21">
        <f>(SUMPRODUCT(AV$9:AV$229,Nutrients!$FC$8:$FC$228)+(IF($A$7=Nutrients!$B$8,Nutrients!$FC$8,Nutrients!$FC$9)*AV$7)+(((IF($A$8=Nutrients!$B$79,Nutrients!$FC$79,(IF($A$8=Nutrients!$B$77,Nutrients!$FC$77,Nutrients!$FC$78)))))*AV$8))</f>
        <v>0</v>
      </c>
      <c r="AW338" s="21">
        <f>(SUMPRODUCT(AW$9:AW$229,Nutrients!$FC$8:$FC$228)+(IF($A$7=Nutrients!$B$8,Nutrients!$FC$8,Nutrients!$FC$9)*AW$7)+(((IF($A$8=Nutrients!$B$79,Nutrients!$FC$79,(IF($A$8=Nutrients!$B$77,Nutrients!$FC$77,Nutrients!$FC$78)))))*AW$8))</f>
        <v>0</v>
      </c>
    </row>
    <row r="339" spans="1:52" x14ac:dyDescent="0.25">
      <c r="A339" s="34" t="s">
        <v>132</v>
      </c>
      <c r="B339" s="21">
        <f>(SUMPRODUCT(B$9:B$229,Nutrients!$FD$8:$FD$228)+(IF($A$7=Nutrients!$B$8,Nutrients!$FD$8,Nutrients!$FD$9)*B$7)+(((IF($A$8=Nutrients!$B$79,Nutrients!$FD$79,(IF($A$8=Nutrients!$B$77,Nutrients!$FD$77,Nutrients!$FD$78)))))*B$8))</f>
        <v>0</v>
      </c>
      <c r="C339" s="21">
        <f>(SUMPRODUCT(C$9:C$229,Nutrients!$FD$8:$FD$228)+(IF($A$7=Nutrients!$B$8,Nutrients!$FD$8,Nutrients!$FD$9)*C$7)+(((IF($A$8=Nutrients!$B$79,Nutrients!$FD$79,(IF($A$8=Nutrients!$B$77,Nutrients!$FD$77,Nutrients!$FD$78)))))*C$8))</f>
        <v>0</v>
      </c>
      <c r="D339" s="21">
        <f>(SUMPRODUCT(D$9:D$229,Nutrients!$FD$8:$FD$228)+(IF($A$7=Nutrients!$B$8,Nutrients!$FD$8,Nutrients!$FD$9)*D$7)+(((IF($A$8=Nutrients!$B$79,Nutrients!$FD$79,(IF($A$8=Nutrients!$B$77,Nutrients!$FD$77,Nutrients!$FD$78)))))*D$8))</f>
        <v>0</v>
      </c>
      <c r="E339" s="21">
        <f>(SUMPRODUCT(E$9:E$229,Nutrients!$FD$8:$FD$228)+(IF($A$7=Nutrients!$B$8,Nutrients!$FD$8,Nutrients!$FD$9)*E$7)+(((IF($A$8=Nutrients!$B$79,Nutrients!$FD$79,(IF($A$8=Nutrients!$B$77,Nutrients!$FD$77,Nutrients!$FD$78)))))*E$8))</f>
        <v>0</v>
      </c>
      <c r="F339" s="21">
        <f>(SUMPRODUCT(F$9:F$229,Nutrients!$FD$8:$FD$228)+(IF($A$7=Nutrients!$B$8,Nutrients!$FD$8,Nutrients!$FD$9)*F$7)+(((IF($A$8=Nutrients!$B$79,Nutrients!$FD$79,(IF($A$8=Nutrients!$B$77,Nutrients!$FD$77,Nutrients!$FD$78)))))*F$8))</f>
        <v>0</v>
      </c>
      <c r="G339" s="21">
        <f>(SUMPRODUCT(G$9:G$229,Nutrients!$FD$8:$FD$228)+(IF($A$7=Nutrients!$B$8,Nutrients!$FD$8,Nutrients!$FD$9)*G$7)+(((IF($A$8=Nutrients!$B$79,Nutrients!$FD$79,(IF($A$8=Nutrients!$B$77,Nutrients!$FD$77,Nutrients!$FD$78)))))*G$8))</f>
        <v>0</v>
      </c>
      <c r="H339" s="226"/>
      <c r="I339" s="21">
        <f>(SUMPRODUCT(I$9:I$229,Nutrients!$FD$8:$FD$228)+(IF($A$7=Nutrients!$B$8,Nutrients!$FD$8,Nutrients!$FD$9)*I$7)+(((IF($A$8=Nutrients!$B$79,Nutrients!$FD$79,(IF($A$8=Nutrients!$B$77,Nutrients!$FD$77,Nutrients!$FD$78)))))*I$8))</f>
        <v>0</v>
      </c>
      <c r="J339" s="21">
        <f>(SUMPRODUCT(J$9:J$229,Nutrients!$FD$8:$FD$228)+(IF($A$7=Nutrients!$B$8,Nutrients!$FD$8,Nutrients!$FD$9)*J$7)+(((IF($A$8=Nutrients!$B$79,Nutrients!$FD$79,(IF($A$8=Nutrients!$B$77,Nutrients!$FD$77,Nutrients!$FD$78)))))*J$8))</f>
        <v>0</v>
      </c>
      <c r="K339" s="21">
        <f>(SUMPRODUCT(K$9:K$229,Nutrients!$FD$8:$FD$228)+(IF($A$7=Nutrients!$B$8,Nutrients!$FD$8,Nutrients!$FD$9)*K$7)+(((IF($A$8=Nutrients!$B$79,Nutrients!$FD$79,(IF($A$8=Nutrients!$B$77,Nutrients!$FD$77,Nutrients!$FD$78)))))*K$8))</f>
        <v>0</v>
      </c>
      <c r="L339" s="21">
        <f>(SUMPRODUCT(L$9:L$229,Nutrients!$FD$8:$FD$228)+(IF($A$7=Nutrients!$B$8,Nutrients!$FD$8,Nutrients!$FD$9)*L$7)+(((IF($A$8=Nutrients!$B$79,Nutrients!$FD$79,(IF($A$8=Nutrients!$B$77,Nutrients!$FD$77,Nutrients!$FD$78)))))*L$8))</f>
        <v>0</v>
      </c>
      <c r="M339" s="21">
        <f>(SUMPRODUCT(M$9:M$229,Nutrients!$FD$8:$FD$228)+(IF($A$7=Nutrients!$B$8,Nutrients!$FD$8,Nutrients!$FD$9)*M$7)+(((IF($A$8=Nutrients!$B$79,Nutrients!$FD$79,(IF($A$8=Nutrients!$B$77,Nutrients!$FD$77,Nutrients!$FD$78)))))*M$8))</f>
        <v>0</v>
      </c>
      <c r="N339" s="21">
        <f>(SUMPRODUCT(N$9:N$229,Nutrients!$FD$8:$FD$228)+(IF($A$7=Nutrients!$B$8,Nutrients!$FD$8,Nutrients!$FD$9)*N$7)+(((IF($A$8=Nutrients!$B$79,Nutrients!$FD$79,(IF($A$8=Nutrients!$B$77,Nutrients!$FD$77,Nutrients!$FD$78)))))*N$8))</f>
        <v>0</v>
      </c>
      <c r="O339" s="234"/>
      <c r="P339" s="21">
        <f>(SUMPRODUCT(P$9:P$229,Nutrients!$FD$8:$FD$228)+(IF($A$7=Nutrients!$B$8,Nutrients!$FD$8,Nutrients!$FD$9)*P$7)+(((IF($A$8=Nutrients!$B$79,Nutrients!$FD$79,(IF($A$8=Nutrients!$B$77,Nutrients!$FD$77,Nutrients!$FD$78)))))*P$8))</f>
        <v>0</v>
      </c>
      <c r="Q339" s="21">
        <f>(SUMPRODUCT(Q$9:Q$229,Nutrients!$FD$8:$FD$228)+(IF($A$7=Nutrients!$B$8,Nutrients!$FD$8,Nutrients!$FD$9)*Q$7)+(((IF($A$8=Nutrients!$B$79,Nutrients!$FD$79,(IF($A$8=Nutrients!$B$77,Nutrients!$FD$77,Nutrients!$FD$78)))))*Q$8))</f>
        <v>0</v>
      </c>
      <c r="R339" s="21">
        <f>(SUMPRODUCT(R$9:R$229,Nutrients!$FD$8:$FD$228)+(IF($A$7=Nutrients!$B$8,Nutrients!$FD$8,Nutrients!$FD$9)*R$7)+(((IF($A$8=Nutrients!$B$79,Nutrients!$FD$79,(IF($A$8=Nutrients!$B$77,Nutrients!$FD$77,Nutrients!$FD$78)))))*R$8))</f>
        <v>0</v>
      </c>
      <c r="S339" s="21">
        <f>(SUMPRODUCT(S$9:S$229,Nutrients!$FD$8:$FD$228)+(IF($A$7=Nutrients!$B$8,Nutrients!$FD$8,Nutrients!$FD$9)*S$7)+(((IF($A$8=Nutrients!$B$79,Nutrients!$FD$79,(IF($A$8=Nutrients!$B$77,Nutrients!$FD$77,Nutrients!$FD$78)))))*S$8))</f>
        <v>0</v>
      </c>
      <c r="T339" s="21">
        <f>(SUMPRODUCT(T$9:T$229,Nutrients!$FD$8:$FD$228)+(IF($A$7=Nutrients!$B$8,Nutrients!$FD$8,Nutrients!$FD$9)*T$7)+(((IF($A$8=Nutrients!$B$79,Nutrients!$FD$79,(IF($A$8=Nutrients!$B$77,Nutrients!$FD$77,Nutrients!$FD$78)))))*T$8))</f>
        <v>0</v>
      </c>
      <c r="U339" s="21">
        <f>(SUMPRODUCT(U$9:U$229,Nutrients!$FD$8:$FD$228)+(IF($A$7=Nutrients!$B$8,Nutrients!$FD$8,Nutrients!$FD$9)*U$7)+(((IF($A$8=Nutrients!$B$79,Nutrients!$FD$79,(IF($A$8=Nutrients!$B$77,Nutrients!$FD$77,Nutrients!$FD$78)))))*U$8))</f>
        <v>0</v>
      </c>
      <c r="W339" s="21">
        <f>(SUMPRODUCT(W$9:W$229,Nutrients!$FD$8:$FD$228)+(IF($A$7=Nutrients!$B$8,Nutrients!$FD$8,Nutrients!$FD$9)*W$7)+(((IF($A$8=Nutrients!$B$79,Nutrients!$FD$79,(IF($A$8=Nutrients!$B$77,Nutrients!$FD$77,Nutrients!$FD$78)))))*W$8))</f>
        <v>0</v>
      </c>
      <c r="X339" s="21">
        <f>(SUMPRODUCT(X$9:X$229,Nutrients!$FD$8:$FD$228)+(IF($A$7=Nutrients!$B$8,Nutrients!$FD$8,Nutrients!$FD$9)*X$7)+(((IF($A$8=Nutrients!$B$79,Nutrients!$FD$79,(IF($A$8=Nutrients!$B$77,Nutrients!$FD$77,Nutrients!$FD$78)))))*X$8))</f>
        <v>0</v>
      </c>
      <c r="Y339" s="21">
        <f>(SUMPRODUCT(Y$9:Y$229,Nutrients!$FD$8:$FD$228)+(IF($A$7=Nutrients!$B$8,Nutrients!$FD$8,Nutrients!$FD$9)*Y$7)+(((IF($A$8=Nutrients!$B$79,Nutrients!$FD$79,(IF($A$8=Nutrients!$B$77,Nutrients!$FD$77,Nutrients!$FD$78)))))*Y$8))</f>
        <v>0</v>
      </c>
      <c r="Z339" s="21">
        <f>(SUMPRODUCT(Z$9:Z$229,Nutrients!$FD$8:$FD$228)+(IF($A$7=Nutrients!$B$8,Nutrients!$FD$8,Nutrients!$FD$9)*Z$7)+(((IF($A$8=Nutrients!$B$79,Nutrients!$FD$79,(IF($A$8=Nutrients!$B$77,Nutrients!$FD$77,Nutrients!$FD$78)))))*Z$8))</f>
        <v>0</v>
      </c>
      <c r="AA339" s="21">
        <f>(SUMPRODUCT(AA$9:AA$229,Nutrients!$FD$8:$FD$228)+(IF($A$7=Nutrients!$B$8,Nutrients!$FD$8,Nutrients!$FD$9)*AA$7)+(((IF($A$8=Nutrients!$B$79,Nutrients!$FD$79,(IF($A$8=Nutrients!$B$77,Nutrients!$FD$77,Nutrients!$FD$78)))))*AA$8))</f>
        <v>0</v>
      </c>
      <c r="AB339" s="21">
        <f>(SUMPRODUCT(AB$9:AB$229,Nutrients!$FD$8:$FD$228)+(IF($A$7=Nutrients!$B$8,Nutrients!$FD$8,Nutrients!$FD$9)*AB$7)+(((IF($A$8=Nutrients!$B$79,Nutrients!$FD$79,(IF($A$8=Nutrients!$B$77,Nutrients!$FD$77,Nutrients!$FD$78)))))*AB$8))</f>
        <v>0</v>
      </c>
      <c r="AD339" s="21">
        <f>(SUMPRODUCT(AD$9:AD$229,Nutrients!$FD$8:$FD$228)+(IF($A$7=Nutrients!$B$8,Nutrients!$FD$8,Nutrients!$FD$9)*AD$7)+(((IF($A$8=Nutrients!$B$79,Nutrients!$FD$79,(IF($A$8=Nutrients!$B$77,Nutrients!$FD$77,Nutrients!$FD$78)))))*AD$8))</f>
        <v>0</v>
      </c>
      <c r="AE339" s="21">
        <f>(SUMPRODUCT(AE$9:AE$229,Nutrients!$FD$8:$FD$228)+(IF($A$7=Nutrients!$B$8,Nutrients!$FD$8,Nutrients!$FD$9)*AE$7)+(((IF($A$8=Nutrients!$B$79,Nutrients!$FD$79,(IF($A$8=Nutrients!$B$77,Nutrients!$FD$77,Nutrients!$FD$78)))))*AE$8))</f>
        <v>0</v>
      </c>
      <c r="AF339" s="21">
        <f>(SUMPRODUCT(AF$9:AF$229,Nutrients!$FD$8:$FD$228)+(IF($A$7=Nutrients!$B$8,Nutrients!$FD$8,Nutrients!$FD$9)*AF$7)+(((IF($A$8=Nutrients!$B$79,Nutrients!$FD$79,(IF($A$8=Nutrients!$B$77,Nutrients!$FD$77,Nutrients!$FD$78)))))*AF$8))</f>
        <v>0</v>
      </c>
      <c r="AG339" s="21">
        <f>(SUMPRODUCT(AG$9:AG$229,Nutrients!$FD$8:$FD$228)+(IF($A$7=Nutrients!$B$8,Nutrients!$FD$8,Nutrients!$FD$9)*AG$7)+(((IF($A$8=Nutrients!$B$79,Nutrients!$FD$79,(IF($A$8=Nutrients!$B$77,Nutrients!$FD$77,Nutrients!$FD$78)))))*AG$8))</f>
        <v>0</v>
      </c>
      <c r="AH339" s="21">
        <f>(SUMPRODUCT(AH$9:AH$229,Nutrients!$FD$8:$FD$228)+(IF($A$7=Nutrients!$B$8,Nutrients!$FD$8,Nutrients!$FD$9)*AH$7)+(((IF($A$8=Nutrients!$B$79,Nutrients!$FD$79,(IF($A$8=Nutrients!$B$77,Nutrients!$FD$77,Nutrients!$FD$78)))))*AH$8))</f>
        <v>0</v>
      </c>
      <c r="AI339" s="21">
        <f>(SUMPRODUCT(AI$9:AI$229,Nutrients!$FD$8:$FD$228)+(IF($A$7=Nutrients!$B$8,Nutrients!$FD$8,Nutrients!$FD$9)*AI$7)+(((IF($A$8=Nutrients!$B$79,Nutrients!$FD$79,(IF($A$8=Nutrients!$B$77,Nutrients!$FD$77,Nutrients!$FD$78)))))*AI$8))</f>
        <v>0</v>
      </c>
      <c r="AK339" s="21">
        <f>(SUMPRODUCT(AK$9:AK$229,Nutrients!$FD$8:$FD$228)+(IF($A$7=Nutrients!$B$8,Nutrients!$FD$8,Nutrients!$FD$9)*AK$7)+(((IF($A$8=Nutrients!$B$79,Nutrients!$FD$79,(IF($A$8=Nutrients!$B$77,Nutrients!$FD$77,Nutrients!$FD$78)))))*AK$8))</f>
        <v>0</v>
      </c>
      <c r="AL339" s="21">
        <f>(SUMPRODUCT(AL$9:AL$229,Nutrients!$FD$8:$FD$228)+(IF($A$7=Nutrients!$B$8,Nutrients!$FD$8,Nutrients!$FD$9)*AL$7)+(((IF($A$8=Nutrients!$B$79,Nutrients!$FD$79,(IF($A$8=Nutrients!$B$77,Nutrients!$FD$77,Nutrients!$FD$78)))))*AL$8))</f>
        <v>0</v>
      </c>
      <c r="AM339" s="21">
        <f>(SUMPRODUCT(AM$9:AM$229,Nutrients!$FD$8:$FD$228)+(IF($A$7=Nutrients!$B$8,Nutrients!$FD$8,Nutrients!$FD$9)*AM$7)+(((IF($A$8=Nutrients!$B$79,Nutrients!$FD$79,(IF($A$8=Nutrients!$B$77,Nutrients!$FD$77,Nutrients!$FD$78)))))*AM$8))</f>
        <v>0</v>
      </c>
      <c r="AN339" s="21">
        <f>(SUMPRODUCT(AN$9:AN$229,Nutrients!$FD$8:$FD$228)+(IF($A$7=Nutrients!$B$8,Nutrients!$FD$8,Nutrients!$FD$9)*AN$7)+(((IF($A$8=Nutrients!$B$79,Nutrients!$FD$79,(IF($A$8=Nutrients!$B$77,Nutrients!$FD$77,Nutrients!$FD$78)))))*AN$8))</f>
        <v>0</v>
      </c>
      <c r="AO339" s="21">
        <f>(SUMPRODUCT(AO$9:AO$229,Nutrients!$FD$8:$FD$228)+(IF($A$7=Nutrients!$B$8,Nutrients!$FD$8,Nutrients!$FD$9)*AO$7)+(((IF($A$8=Nutrients!$B$79,Nutrients!$FD$79,(IF($A$8=Nutrients!$B$77,Nutrients!$FD$77,Nutrients!$FD$78)))))*AO$8))</f>
        <v>0</v>
      </c>
      <c r="AP339" s="21">
        <f>(SUMPRODUCT(AP$9:AP$229,Nutrients!$FD$8:$FD$228)+(IF($A$7=Nutrients!$B$8,Nutrients!$FD$8,Nutrients!$FD$9)*AP$7)+(((IF($A$8=Nutrients!$B$79,Nutrients!$FD$79,(IF($A$8=Nutrients!$B$77,Nutrients!$FD$77,Nutrients!$FD$78)))))*AP$8))</f>
        <v>0</v>
      </c>
      <c r="AR339" s="21">
        <f>(SUMPRODUCT(AR$9:AR$229,Nutrients!$FD$8:$FD$228)+(IF($A$7=Nutrients!$B$8,Nutrients!$FD$8,Nutrients!$FD$9)*AR$7)+(((IF($A$8=Nutrients!$B$79,Nutrients!$FD$79,(IF($A$8=Nutrients!$B$77,Nutrients!$FD$77,Nutrients!$FD$78)))))*AR$8))</f>
        <v>0</v>
      </c>
      <c r="AS339" s="21">
        <f>(SUMPRODUCT(AS$9:AS$229,Nutrients!$FD$8:$FD$228)+(IF($A$7=Nutrients!$B$8,Nutrients!$FD$8,Nutrients!$FD$9)*AS$7)+(((IF($A$8=Nutrients!$B$79,Nutrients!$FD$79,(IF($A$8=Nutrients!$B$77,Nutrients!$FD$77,Nutrients!$FD$78)))))*AS$8))</f>
        <v>0</v>
      </c>
      <c r="AT339" s="21">
        <f>(SUMPRODUCT(AT$9:AT$229,Nutrients!$FD$8:$FD$228)+(IF($A$7=Nutrients!$B$8,Nutrients!$FD$8,Nutrients!$FD$9)*AT$7)+(((IF($A$8=Nutrients!$B$79,Nutrients!$FD$79,(IF($A$8=Nutrients!$B$77,Nutrients!$FD$77,Nutrients!$FD$78)))))*AT$8))</f>
        <v>0</v>
      </c>
      <c r="AU339" s="21">
        <f>(SUMPRODUCT(AU$9:AU$229,Nutrients!$FD$8:$FD$228)+(IF($A$7=Nutrients!$B$8,Nutrients!$FD$8,Nutrients!$FD$9)*AU$7)+(((IF($A$8=Nutrients!$B$79,Nutrients!$FD$79,(IF($A$8=Nutrients!$B$77,Nutrients!$FD$77,Nutrients!$FD$78)))))*AU$8))</f>
        <v>0</v>
      </c>
      <c r="AV339" s="21">
        <f>(SUMPRODUCT(AV$9:AV$229,Nutrients!$FD$8:$FD$228)+(IF($A$7=Nutrients!$B$8,Nutrients!$FD$8,Nutrients!$FD$9)*AV$7)+(((IF($A$8=Nutrients!$B$79,Nutrients!$FD$79,(IF($A$8=Nutrients!$B$77,Nutrients!$FD$77,Nutrients!$FD$78)))))*AV$8))</f>
        <v>0</v>
      </c>
      <c r="AW339" s="21">
        <f>(SUMPRODUCT(AW$9:AW$229,Nutrients!$FD$8:$FD$228)+(IF($A$7=Nutrients!$B$8,Nutrients!$FD$8,Nutrients!$FD$9)*AW$7)+(((IF($A$8=Nutrients!$B$79,Nutrients!$FD$79,(IF($A$8=Nutrients!$B$77,Nutrients!$FD$77,Nutrients!$FD$78)))))*AW$8))</f>
        <v>0</v>
      </c>
    </row>
    <row r="340" spans="1:52" x14ac:dyDescent="0.25">
      <c r="A340" s="34" t="s">
        <v>133</v>
      </c>
      <c r="B340" s="21">
        <f>(SUMPRODUCT(B$9:B$229,Nutrients!$FE$8:$FE$228)+(IF($A$7=Nutrients!$B$8,Nutrients!$FE$8,Nutrients!$FE$9)*B$7)+(((IF($A$8=Nutrients!$B$79,Nutrients!$FE$79,(IF($A$8=Nutrients!$B$77,Nutrients!$FE$77,Nutrients!$FE$78)))))*B$8))</f>
        <v>0</v>
      </c>
      <c r="C340" s="21">
        <f>(SUMPRODUCT(C$9:C$229,Nutrients!$FE$8:$FE$228)+(IF($A$7=Nutrients!$B$8,Nutrients!$FE$8,Nutrients!$FE$9)*C$7)+(((IF($A$8=Nutrients!$B$79,Nutrients!$FE$79,(IF($A$8=Nutrients!$B$77,Nutrients!$FE$77,Nutrients!$FE$78)))))*C$8))</f>
        <v>0</v>
      </c>
      <c r="D340" s="21">
        <f>(SUMPRODUCT(D$9:D$229,Nutrients!$FE$8:$FE$228)+(IF($A$7=Nutrients!$B$8,Nutrients!$FE$8,Nutrients!$FE$9)*D$7)+(((IF($A$8=Nutrients!$B$79,Nutrients!$FE$79,(IF($A$8=Nutrients!$B$77,Nutrients!$FE$77,Nutrients!$FE$78)))))*D$8))</f>
        <v>0</v>
      </c>
      <c r="E340" s="21">
        <f>(SUMPRODUCT(E$9:E$229,Nutrients!$FE$8:$FE$228)+(IF($A$7=Nutrients!$B$8,Nutrients!$FE$8,Nutrients!$FE$9)*E$7)+(((IF($A$8=Nutrients!$B$79,Nutrients!$FE$79,(IF($A$8=Nutrients!$B$77,Nutrients!$FE$77,Nutrients!$FE$78)))))*E$8))</f>
        <v>0</v>
      </c>
      <c r="F340" s="21">
        <f>(SUMPRODUCT(F$9:F$229,Nutrients!$FE$8:$FE$228)+(IF($A$7=Nutrients!$B$8,Nutrients!$FE$8,Nutrients!$FE$9)*F$7)+(((IF($A$8=Nutrients!$B$79,Nutrients!$FE$79,(IF($A$8=Nutrients!$B$77,Nutrients!$FE$77,Nutrients!$FE$78)))))*F$8))</f>
        <v>0</v>
      </c>
      <c r="G340" s="21">
        <f>(SUMPRODUCT(G$9:G$229,Nutrients!$FE$8:$FE$228)+(IF($A$7=Nutrients!$B$8,Nutrients!$FE$8,Nutrients!$FE$9)*G$7)+(((IF($A$8=Nutrients!$B$79,Nutrients!$FE$79,(IF($A$8=Nutrients!$B$77,Nutrients!$FE$77,Nutrients!$FE$78)))))*G$8))</f>
        <v>0</v>
      </c>
      <c r="H340" s="226"/>
      <c r="I340" s="21">
        <f>(SUMPRODUCT(I$9:I$229,Nutrients!$FE$8:$FE$228)+(IF($A$7=Nutrients!$B$8,Nutrients!$FE$8,Nutrients!$FE$9)*I$7)+(((IF($A$8=Nutrients!$B$79,Nutrients!$FE$79,(IF($A$8=Nutrients!$B$77,Nutrients!$FE$77,Nutrients!$FE$78)))))*I$8))</f>
        <v>0</v>
      </c>
      <c r="J340" s="21">
        <f>(SUMPRODUCT(J$9:J$229,Nutrients!$FE$8:$FE$228)+(IF($A$7=Nutrients!$B$8,Nutrients!$FE$8,Nutrients!$FE$9)*J$7)+(((IF($A$8=Nutrients!$B$79,Nutrients!$FE$79,(IF($A$8=Nutrients!$B$77,Nutrients!$FE$77,Nutrients!$FE$78)))))*J$8))</f>
        <v>0</v>
      </c>
      <c r="K340" s="21">
        <f>(SUMPRODUCT(K$9:K$229,Nutrients!$FE$8:$FE$228)+(IF($A$7=Nutrients!$B$8,Nutrients!$FE$8,Nutrients!$FE$9)*K$7)+(((IF($A$8=Nutrients!$B$79,Nutrients!$FE$79,(IF($A$8=Nutrients!$B$77,Nutrients!$FE$77,Nutrients!$FE$78)))))*K$8))</f>
        <v>0</v>
      </c>
      <c r="L340" s="21">
        <f>(SUMPRODUCT(L$9:L$229,Nutrients!$FE$8:$FE$228)+(IF($A$7=Nutrients!$B$8,Nutrients!$FE$8,Nutrients!$FE$9)*L$7)+(((IF($A$8=Nutrients!$B$79,Nutrients!$FE$79,(IF($A$8=Nutrients!$B$77,Nutrients!$FE$77,Nutrients!$FE$78)))))*L$8))</f>
        <v>0</v>
      </c>
      <c r="M340" s="21">
        <f>(SUMPRODUCT(M$9:M$229,Nutrients!$FE$8:$FE$228)+(IF($A$7=Nutrients!$B$8,Nutrients!$FE$8,Nutrients!$FE$9)*M$7)+(((IF($A$8=Nutrients!$B$79,Nutrients!$FE$79,(IF($A$8=Nutrients!$B$77,Nutrients!$FE$77,Nutrients!$FE$78)))))*M$8))</f>
        <v>0</v>
      </c>
      <c r="N340" s="21">
        <f>(SUMPRODUCT(N$9:N$229,Nutrients!$FE$8:$FE$228)+(IF($A$7=Nutrients!$B$8,Nutrients!$FE$8,Nutrients!$FE$9)*N$7)+(((IF($A$8=Nutrients!$B$79,Nutrients!$FE$79,(IF($A$8=Nutrients!$B$77,Nutrients!$FE$77,Nutrients!$FE$78)))))*N$8))</f>
        <v>0</v>
      </c>
      <c r="O340" s="234"/>
      <c r="P340" s="21">
        <f>(SUMPRODUCT(P$9:P$229,Nutrients!$FE$8:$FE$228)+(IF($A$7=Nutrients!$B$8,Nutrients!$FE$8,Nutrients!$FE$9)*P$7)+(((IF($A$8=Nutrients!$B$79,Nutrients!$FE$79,(IF($A$8=Nutrients!$B$77,Nutrients!$FE$77,Nutrients!$FE$78)))))*P$8))</f>
        <v>0</v>
      </c>
      <c r="Q340" s="21">
        <f>(SUMPRODUCT(Q$9:Q$229,Nutrients!$FE$8:$FE$228)+(IF($A$7=Nutrients!$B$8,Nutrients!$FE$8,Nutrients!$FE$9)*Q$7)+(((IF($A$8=Nutrients!$B$79,Nutrients!$FE$79,(IF($A$8=Nutrients!$B$77,Nutrients!$FE$77,Nutrients!$FE$78)))))*Q$8))</f>
        <v>0</v>
      </c>
      <c r="R340" s="21">
        <f>(SUMPRODUCT(R$9:R$229,Nutrients!$FE$8:$FE$228)+(IF($A$7=Nutrients!$B$8,Nutrients!$FE$8,Nutrients!$FE$9)*R$7)+(((IF($A$8=Nutrients!$B$79,Nutrients!$FE$79,(IF($A$8=Nutrients!$B$77,Nutrients!$FE$77,Nutrients!$FE$78)))))*R$8))</f>
        <v>0</v>
      </c>
      <c r="S340" s="21">
        <f>(SUMPRODUCT(S$9:S$229,Nutrients!$FE$8:$FE$228)+(IF($A$7=Nutrients!$B$8,Nutrients!$FE$8,Nutrients!$FE$9)*S$7)+(((IF($A$8=Nutrients!$B$79,Nutrients!$FE$79,(IF($A$8=Nutrients!$B$77,Nutrients!$FE$77,Nutrients!$FE$78)))))*S$8))</f>
        <v>0</v>
      </c>
      <c r="T340" s="21">
        <f>(SUMPRODUCT(T$9:T$229,Nutrients!$FE$8:$FE$228)+(IF($A$7=Nutrients!$B$8,Nutrients!$FE$8,Nutrients!$FE$9)*T$7)+(((IF($A$8=Nutrients!$B$79,Nutrients!$FE$79,(IF($A$8=Nutrients!$B$77,Nutrients!$FE$77,Nutrients!$FE$78)))))*T$8))</f>
        <v>0</v>
      </c>
      <c r="U340" s="21">
        <f>(SUMPRODUCT(U$9:U$229,Nutrients!$FE$8:$FE$228)+(IF($A$7=Nutrients!$B$8,Nutrients!$FE$8,Nutrients!$FE$9)*U$7)+(((IF($A$8=Nutrients!$B$79,Nutrients!$FE$79,(IF($A$8=Nutrients!$B$77,Nutrients!$FE$77,Nutrients!$FE$78)))))*U$8))</f>
        <v>0</v>
      </c>
      <c r="W340" s="21">
        <f>(SUMPRODUCT(W$9:W$229,Nutrients!$FE$8:$FE$228)+(IF($A$7=Nutrients!$B$8,Nutrients!$FE$8,Nutrients!$FE$9)*W$7)+(((IF($A$8=Nutrients!$B$79,Nutrients!$FE$79,(IF($A$8=Nutrients!$B$77,Nutrients!$FE$77,Nutrients!$FE$78)))))*W$8))</f>
        <v>0</v>
      </c>
      <c r="X340" s="21">
        <f>(SUMPRODUCT(X$9:X$229,Nutrients!$FE$8:$FE$228)+(IF($A$7=Nutrients!$B$8,Nutrients!$FE$8,Nutrients!$FE$9)*X$7)+(((IF($A$8=Nutrients!$B$79,Nutrients!$FE$79,(IF($A$8=Nutrients!$B$77,Nutrients!$FE$77,Nutrients!$FE$78)))))*X$8))</f>
        <v>0</v>
      </c>
      <c r="Y340" s="21">
        <f>(SUMPRODUCT(Y$9:Y$229,Nutrients!$FE$8:$FE$228)+(IF($A$7=Nutrients!$B$8,Nutrients!$FE$8,Nutrients!$FE$9)*Y$7)+(((IF($A$8=Nutrients!$B$79,Nutrients!$FE$79,(IF($A$8=Nutrients!$B$77,Nutrients!$FE$77,Nutrients!$FE$78)))))*Y$8))</f>
        <v>0</v>
      </c>
      <c r="Z340" s="21">
        <f>(SUMPRODUCT(Z$9:Z$229,Nutrients!$FE$8:$FE$228)+(IF($A$7=Nutrients!$B$8,Nutrients!$FE$8,Nutrients!$FE$9)*Z$7)+(((IF($A$8=Nutrients!$B$79,Nutrients!$FE$79,(IF($A$8=Nutrients!$B$77,Nutrients!$FE$77,Nutrients!$FE$78)))))*Z$8))</f>
        <v>0</v>
      </c>
      <c r="AA340" s="21">
        <f>(SUMPRODUCT(AA$9:AA$229,Nutrients!$FE$8:$FE$228)+(IF($A$7=Nutrients!$B$8,Nutrients!$FE$8,Nutrients!$FE$9)*AA$7)+(((IF($A$8=Nutrients!$B$79,Nutrients!$FE$79,(IF($A$8=Nutrients!$B$77,Nutrients!$FE$77,Nutrients!$FE$78)))))*AA$8))</f>
        <v>0</v>
      </c>
      <c r="AB340" s="21">
        <f>(SUMPRODUCT(AB$9:AB$229,Nutrients!$FE$8:$FE$228)+(IF($A$7=Nutrients!$B$8,Nutrients!$FE$8,Nutrients!$FE$9)*AB$7)+(((IF($A$8=Nutrients!$B$79,Nutrients!$FE$79,(IF($A$8=Nutrients!$B$77,Nutrients!$FE$77,Nutrients!$FE$78)))))*AB$8))</f>
        <v>0</v>
      </c>
      <c r="AD340" s="21">
        <f>(SUMPRODUCT(AD$9:AD$229,Nutrients!$FE$8:$FE$228)+(IF($A$7=Nutrients!$B$8,Nutrients!$FE$8,Nutrients!$FE$9)*AD$7)+(((IF($A$8=Nutrients!$B$79,Nutrients!$FE$79,(IF($A$8=Nutrients!$B$77,Nutrients!$FE$77,Nutrients!$FE$78)))))*AD$8))</f>
        <v>0</v>
      </c>
      <c r="AE340" s="21">
        <f>(SUMPRODUCT(AE$9:AE$229,Nutrients!$FE$8:$FE$228)+(IF($A$7=Nutrients!$B$8,Nutrients!$FE$8,Nutrients!$FE$9)*AE$7)+(((IF($A$8=Nutrients!$B$79,Nutrients!$FE$79,(IF($A$8=Nutrients!$B$77,Nutrients!$FE$77,Nutrients!$FE$78)))))*AE$8))</f>
        <v>0</v>
      </c>
      <c r="AF340" s="21">
        <f>(SUMPRODUCT(AF$9:AF$229,Nutrients!$FE$8:$FE$228)+(IF($A$7=Nutrients!$B$8,Nutrients!$FE$8,Nutrients!$FE$9)*AF$7)+(((IF($A$8=Nutrients!$B$79,Nutrients!$FE$79,(IF($A$8=Nutrients!$B$77,Nutrients!$FE$77,Nutrients!$FE$78)))))*AF$8))</f>
        <v>0</v>
      </c>
      <c r="AG340" s="21">
        <f>(SUMPRODUCT(AG$9:AG$229,Nutrients!$FE$8:$FE$228)+(IF($A$7=Nutrients!$B$8,Nutrients!$FE$8,Nutrients!$FE$9)*AG$7)+(((IF($A$8=Nutrients!$B$79,Nutrients!$FE$79,(IF($A$8=Nutrients!$B$77,Nutrients!$FE$77,Nutrients!$FE$78)))))*AG$8))</f>
        <v>0</v>
      </c>
      <c r="AH340" s="21">
        <f>(SUMPRODUCT(AH$9:AH$229,Nutrients!$FE$8:$FE$228)+(IF($A$7=Nutrients!$B$8,Nutrients!$FE$8,Nutrients!$FE$9)*AH$7)+(((IF($A$8=Nutrients!$B$79,Nutrients!$FE$79,(IF($A$8=Nutrients!$B$77,Nutrients!$FE$77,Nutrients!$FE$78)))))*AH$8))</f>
        <v>0</v>
      </c>
      <c r="AI340" s="21">
        <f>(SUMPRODUCT(AI$9:AI$229,Nutrients!$FE$8:$FE$228)+(IF($A$7=Nutrients!$B$8,Nutrients!$FE$8,Nutrients!$FE$9)*AI$7)+(((IF($A$8=Nutrients!$B$79,Nutrients!$FE$79,(IF($A$8=Nutrients!$B$77,Nutrients!$FE$77,Nutrients!$FE$78)))))*AI$8))</f>
        <v>0</v>
      </c>
      <c r="AK340" s="21">
        <f>(SUMPRODUCT(AK$9:AK$229,Nutrients!$FE$8:$FE$228)+(IF($A$7=Nutrients!$B$8,Nutrients!$FE$8,Nutrients!$FE$9)*AK$7)+(((IF($A$8=Nutrients!$B$79,Nutrients!$FE$79,(IF($A$8=Nutrients!$B$77,Nutrients!$FE$77,Nutrients!$FE$78)))))*AK$8))</f>
        <v>0</v>
      </c>
      <c r="AL340" s="21">
        <f>(SUMPRODUCT(AL$9:AL$229,Nutrients!$FE$8:$FE$228)+(IF($A$7=Nutrients!$B$8,Nutrients!$FE$8,Nutrients!$FE$9)*AL$7)+(((IF($A$8=Nutrients!$B$79,Nutrients!$FE$79,(IF($A$8=Nutrients!$B$77,Nutrients!$FE$77,Nutrients!$FE$78)))))*AL$8))</f>
        <v>0</v>
      </c>
      <c r="AM340" s="21">
        <f>(SUMPRODUCT(AM$9:AM$229,Nutrients!$FE$8:$FE$228)+(IF($A$7=Nutrients!$B$8,Nutrients!$FE$8,Nutrients!$FE$9)*AM$7)+(((IF($A$8=Nutrients!$B$79,Nutrients!$FE$79,(IF($A$8=Nutrients!$B$77,Nutrients!$FE$77,Nutrients!$FE$78)))))*AM$8))</f>
        <v>0</v>
      </c>
      <c r="AN340" s="21">
        <f>(SUMPRODUCT(AN$9:AN$229,Nutrients!$FE$8:$FE$228)+(IF($A$7=Nutrients!$B$8,Nutrients!$FE$8,Nutrients!$FE$9)*AN$7)+(((IF($A$8=Nutrients!$B$79,Nutrients!$FE$79,(IF($A$8=Nutrients!$B$77,Nutrients!$FE$77,Nutrients!$FE$78)))))*AN$8))</f>
        <v>0</v>
      </c>
      <c r="AO340" s="21">
        <f>(SUMPRODUCT(AO$9:AO$229,Nutrients!$FE$8:$FE$228)+(IF($A$7=Nutrients!$B$8,Nutrients!$FE$8,Nutrients!$FE$9)*AO$7)+(((IF($A$8=Nutrients!$B$79,Nutrients!$FE$79,(IF($A$8=Nutrients!$B$77,Nutrients!$FE$77,Nutrients!$FE$78)))))*AO$8))</f>
        <v>0</v>
      </c>
      <c r="AP340" s="21">
        <f>(SUMPRODUCT(AP$9:AP$229,Nutrients!$FE$8:$FE$228)+(IF($A$7=Nutrients!$B$8,Nutrients!$FE$8,Nutrients!$FE$9)*AP$7)+(((IF($A$8=Nutrients!$B$79,Nutrients!$FE$79,(IF($A$8=Nutrients!$B$77,Nutrients!$FE$77,Nutrients!$FE$78)))))*AP$8))</f>
        <v>0</v>
      </c>
      <c r="AR340" s="21">
        <f>(SUMPRODUCT(AR$9:AR$229,Nutrients!$FE$8:$FE$228)+(IF($A$7=Nutrients!$B$8,Nutrients!$FE$8,Nutrients!$FE$9)*AR$7)+(((IF($A$8=Nutrients!$B$79,Nutrients!$FE$79,(IF($A$8=Nutrients!$B$77,Nutrients!$FE$77,Nutrients!$FE$78)))))*AR$8))</f>
        <v>0</v>
      </c>
      <c r="AS340" s="21">
        <f>(SUMPRODUCT(AS$9:AS$229,Nutrients!$FE$8:$FE$228)+(IF($A$7=Nutrients!$B$8,Nutrients!$FE$8,Nutrients!$FE$9)*AS$7)+(((IF($A$8=Nutrients!$B$79,Nutrients!$FE$79,(IF($A$8=Nutrients!$B$77,Nutrients!$FE$77,Nutrients!$FE$78)))))*AS$8))</f>
        <v>0</v>
      </c>
      <c r="AT340" s="21">
        <f>(SUMPRODUCT(AT$9:AT$229,Nutrients!$FE$8:$FE$228)+(IF($A$7=Nutrients!$B$8,Nutrients!$FE$8,Nutrients!$FE$9)*AT$7)+(((IF($A$8=Nutrients!$B$79,Nutrients!$FE$79,(IF($A$8=Nutrients!$B$77,Nutrients!$FE$77,Nutrients!$FE$78)))))*AT$8))</f>
        <v>0</v>
      </c>
      <c r="AU340" s="21">
        <f>(SUMPRODUCT(AU$9:AU$229,Nutrients!$FE$8:$FE$228)+(IF($A$7=Nutrients!$B$8,Nutrients!$FE$8,Nutrients!$FE$9)*AU$7)+(((IF($A$8=Nutrients!$B$79,Nutrients!$FE$79,(IF($A$8=Nutrients!$B$77,Nutrients!$FE$77,Nutrients!$FE$78)))))*AU$8))</f>
        <v>0</v>
      </c>
      <c r="AV340" s="21">
        <f>(SUMPRODUCT(AV$9:AV$229,Nutrients!$FE$8:$FE$228)+(IF($A$7=Nutrients!$B$8,Nutrients!$FE$8,Nutrients!$FE$9)*AV$7)+(((IF($A$8=Nutrients!$B$79,Nutrients!$FE$79,(IF($A$8=Nutrients!$B$77,Nutrients!$FE$77,Nutrients!$FE$78)))))*AV$8))</f>
        <v>0</v>
      </c>
      <c r="AW340" s="21">
        <f>(SUMPRODUCT(AW$9:AW$229,Nutrients!$FE$8:$FE$228)+(IF($A$7=Nutrients!$B$8,Nutrients!$FE$8,Nutrients!$FE$9)*AW$7)+(((IF($A$8=Nutrients!$B$79,Nutrients!$FE$79,(IF($A$8=Nutrients!$B$77,Nutrients!$FE$77,Nutrients!$FE$78)))))*AW$8))</f>
        <v>0</v>
      </c>
    </row>
    <row r="341" spans="1:52" x14ac:dyDescent="0.25">
      <c r="B341" s="7"/>
      <c r="C341" s="7"/>
      <c r="D341" s="7"/>
      <c r="E341" s="7"/>
      <c r="F341" s="7"/>
      <c r="G341" s="7"/>
      <c r="O341" s="234"/>
      <c r="AD341" s="380"/>
      <c r="AR341" s="436"/>
      <c r="AS341" s="7"/>
      <c r="AT341" s="7"/>
      <c r="AU341" s="7"/>
      <c r="AV341" s="7"/>
      <c r="AW341" s="7"/>
    </row>
    <row r="342" spans="1:52" x14ac:dyDescent="0.25">
      <c r="A342" s="298" t="s">
        <v>478</v>
      </c>
      <c r="B342" s="299">
        <f xml:space="preserve"> (-1619.2980797296 + 25.9248064834 * (B251/1000) - 2657.6209162609 * B236 +
123.0469725298 * B253 - 9.2854579989 * B316 + 872.0182830582 * B252 + 26.664395965 * (AVERAGE(B5:B6)*0.453592) +
2599.7646012325 * B236 * B236- 0.1016237102 *  (AVERAGE(B5:B6)*0.453592) *  (AVERAGE(B5:B6)*0.453592) - 71.8618465276 * B236 * B253 -
607.1294449572 * B236 * B252 + 25.6463076451 * B236 * (AVERAGE(B5:B6)*0.453592) - 0.8399854508 * B253 * (AVERAGE(B5:B6)*0.453592) +
0.0967347393 * B316 * (AVERAGE(B5:B6)*0.453592) - 5.2553838048 * B252 * (AVERAGE(B5:B6)*0.453592))</f>
        <v>740.32616660444182</v>
      </c>
      <c r="C342" s="299">
        <f xml:space="preserve"> -1619.2980797296 + 25.9248064834 * (C251/1000) - 2657.6209162609 * C236 +
123.0469725298 * C253 - 9.2854579989 * C316 + 872.0182830582 * C252 + 26.664395965 * (AVERAGE(C5:C6)*0.453592) +
2599.7646012325 * C236 * C236- 0.1016237102 *  (AVERAGE(C5:C6)*0.453592) *  (AVERAGE(C5:C6)*0.453592) - 71.8618465276 * C236 * C253 -
607.1294449572 * C236 * C252 + 25.6463076451 * C236 * (AVERAGE(C5:C6)*0.453592) - 0.8399854508 * C253 * (AVERAGE(C5:C6)*0.453592) +
0.0967347393 * C316 * (AVERAGE(C5:C6)*0.453592) - 5.2553838048 * C252 * (AVERAGE(C5:C6)*0.453592)</f>
        <v>862.50756659214221</v>
      </c>
      <c r="D342" s="299">
        <f xml:space="preserve"> -1619.2980797296 + 25.9248064834 * (D251/1000) - 2657.6209162609 * D236 +
123.0469725298 * D253 - 9.2854579989 * D316 + 872.0182830582 * D252 + 26.664395965 * (AVERAGE(D5:D6)*0.453592) +
2599.7646012325 * D236 * D236- 0.1016237102 *  (AVERAGE(D5:D6)*0.453592) *  (AVERAGE(D5:D6)*0.453592) - 71.8618465276 * D236 * D253 -
607.1294449572 * D236 * D252 + 25.6463076451 * D236 * (AVERAGE(D5:D6)*0.453592) - 0.8399854508 * D253 * (AVERAGE(D5:D6)*0.453592) +
0.0967347393 * D316 * (AVERAGE(D5:D6)*0.453592) - 5.2553838048 * D252 * (AVERAGE(D5:D6)*0.453592)</f>
        <v>944.95636803551065</v>
      </c>
      <c r="E342" s="299">
        <f xml:space="preserve"> -1619.2980797296 + 25.9248064834 * (E251/1000) - 2657.6209162609 * E236 +
123.0469725298 * E253 - 9.2854579989 * E316 + 872.0182830582 * E252 + 26.664395965 * (AVERAGE(E5:E6)*0.453592) +
2599.7646012325 * E236 * E236- 0.1016237102 *  (AVERAGE(E5:E6)*0.453592) *  (AVERAGE(E5:E6)*0.453592) - 71.8618465276 * E236 * E253 -
607.1294449572 * E236 * E252 + 25.6463076451 * E236 * (AVERAGE(E5:E6)*0.453592) - 0.8399854508 * E253 * (AVERAGE(E5:E6)*0.453592) +
0.0967347393 * E316 * (AVERAGE(E5:E6)*0.453592) - 5.2553838048 * E252 * (AVERAGE(E5:E6)*0.453592)</f>
        <v>984.20180073567008</v>
      </c>
      <c r="F342" s="299">
        <f xml:space="preserve"> -1619.2980797296 + 25.9248064834 * (F251/1000) - 2657.6209162609 * F236 +
123.0469725298 * F253 - 9.2854579989 * F316 + 872.0182830582 * F252 + 26.664395965 * (AVERAGE(F5:F6)*0.453592) +
2599.7646012325 * F236 * F236- 0.1016237102 *  (AVERAGE(F5:F6)*0.453592) *  (AVERAGE(F5:F6)*0.453592) - 71.8618465276 * F236 * F253 -
607.1294449572 * F236 * F252 + 25.6463076451 * F236 * (AVERAGE(F5:F6)*0.453592) - 0.8399854508 * F253 * (AVERAGE(F5:F6)*0.453592) +
0.0967347393 * F316 * (AVERAGE(F5:F6)*0.453592) - 5.2553838048 * F252 * (AVERAGE(F5:F6)*0.453592)</f>
        <v>982.04258582759257</v>
      </c>
      <c r="G342" s="299">
        <f xml:space="preserve"> -1619.2980797296 + 25.9248064834 * (G251/1000) - 2657.6209162609 * G236 +
123.0469725298 * G253 - 9.2854579989 * G316 + 872.0182830582 * G252 + 26.664395965 * (AVERAGE(G5:G6)*0.453592) +
2599.7646012325 * G236 * G236- 0.1016237102 *  (AVERAGE(G5:G6)*0.453592) *  (AVERAGE(G5:G6)*0.453592) - 71.8618465276 * G236 * G253 -
607.1294449572 * G236 * G252 + 25.6463076451 * G236 * (AVERAGE(G5:G6)*0.453592) - 0.8399854508 * G253 * (AVERAGE(G5:G6)*0.453592) +
0.0967347393 * G316 * (AVERAGE(G5:G6)*0.453592) - 5.2553838048 * G252 * (AVERAGE(G5:G6)*0.453592)</f>
        <v>932.08406418687355</v>
      </c>
      <c r="I342" s="299">
        <f xml:space="preserve"> (-1619.2980797296 + 25.9248064834 * (I251/1000) - 2657.6209162609 * I236 +
123.0469725298 * I253 - 9.2854579989 * I316 + 872.0182830582 * I252 + 26.664395965 * (AVERAGE(I5:I6)*0.453592) +
2599.7646012325 * I236 * I236- 0.1016237102 *  (AVERAGE(I5:I6)*0.453592) *  (AVERAGE(I5:I6)*0.453592) - 71.8618465276 * I236 * I253 -
607.1294449572 * I236 * I252 + 25.6463076451 * I236 * (AVERAGE(I5:I6)*0.453592) - 0.8399854508 * I253 * (AVERAGE(I5:I6)*0.453592) +
0.0967347393 * I316 * (AVERAGE(I5:I6)*0.453592) - 5.2553838048 * I252 * (AVERAGE(I5:I6)*0.453592))</f>
        <v>734.98200857534789</v>
      </c>
      <c r="J342" s="299">
        <f xml:space="preserve"> -1619.2980797296 + 25.9248064834 * (J251/1000) - 2657.6209162609 * J236 +
123.0469725298 * J253 - 9.2854579989 * J316 + 872.0182830582 * J252 + 26.664395965 * (AVERAGE(J5:J6)*0.453592) +
2599.7646012325 * J236 * J236- 0.1016237102 *  (AVERAGE(J5:J6)*0.453592) *  (AVERAGE(J5:J6)*0.453592) - 71.8618465276 * J236 * J253 -
607.1294449572 * J236 * J252 + 25.6463076451 * J236 * (AVERAGE(J5:J6)*0.453592) - 0.8399854508 * J253 * (AVERAGE(J5:J6)*0.453592) +
0.0967347393 * J316 * (AVERAGE(J5:J6)*0.453592) - 5.2553838048 * J252 * (AVERAGE(J5:J6)*0.453592)</f>
        <v>857.03896662430009</v>
      </c>
      <c r="K342" s="299">
        <f xml:space="preserve"> -1619.2980797296 + 25.9248064834 * (K251/1000) - 2657.6209162609 * K236 +
123.0469725298 * K253 - 9.2854579989 * K316 + 872.0182830582 * K252 + 26.664395965 * (AVERAGE(K5:K6)*0.453592) +
2599.7646012325 * K236 * K236- 0.1016237102 *  (AVERAGE(K5:K6)*0.453592) *  (AVERAGE(K5:K6)*0.453592) - 71.8618465276 * K236 * K253 -
607.1294449572 * K236 * K252 + 25.6463076451 * K236 * (AVERAGE(K5:K6)*0.453592) - 0.8399854508 * K253 * (AVERAGE(K5:K6)*0.453592) +
0.0967347393 * K316 * (AVERAGE(K5:K6)*0.453592) - 5.2553838048 * K252 * (AVERAGE(K5:K6)*0.453592)</f>
        <v>938.67333767113405</v>
      </c>
      <c r="L342" s="299">
        <f xml:space="preserve"> -1619.2980797296 + 25.9248064834 * (L251/1000) - 2657.6209162609 * L236 +
123.0469725298 * L253 - 9.2854579989 * L316 + 872.0182830582 * L252 + 26.664395965 * (AVERAGE(L5:L6)*0.453592) +
2599.7646012325 * L236 * L236- 0.1016237102 *  (AVERAGE(L5:L6)*0.453592) *  (AVERAGE(L5:L6)*0.453592) - 71.8618465276 * L236 * L253 -
607.1294449572 * L236 * L252 + 25.6463076451 * L236 * (AVERAGE(L5:L6)*0.453592) - 0.8399854508 * L253 * (AVERAGE(L5:L6)*0.453592) +
0.0967347393 * L316 * (AVERAGE(L5:L6)*0.453592) - 5.2553838048 * L252 * (AVERAGE(L5:L6)*0.453592)</f>
        <v>975.87519399902249</v>
      </c>
      <c r="M342" s="299">
        <f xml:space="preserve"> -1619.2980797296 + 25.9248064834 * (M251/1000) - 2657.6209162609 * M236 +
123.0469725298 * M253 - 9.2854579989 * M316 + 872.0182830582 * M252 + 26.664395965 * (AVERAGE(M5:M6)*0.453592) +
2599.7646012325 * M236 * M236- 0.1016237102 *  (AVERAGE(M5:M6)*0.453592) *  (AVERAGE(M5:M6)*0.453592) - 71.8618465276 * M236 * M253 -
607.1294449572 * M236 * M252 + 25.6463076451 * M236 * (AVERAGE(M5:M6)*0.453592) - 0.8399854508 * M253 * (AVERAGE(M5:M6)*0.453592) +
0.0967347393 * M316 * (AVERAGE(M5:M6)*0.453592) - 5.2553838048 * M252 * (AVERAGE(M5:M6)*0.453592)</f>
        <v>970.37168111826622</v>
      </c>
      <c r="N342" s="299">
        <f xml:space="preserve"> -1619.2980797296 + 25.9248064834 * (N251/1000) - 2657.6209162609 * N236 +
123.0469725298 * N253 - 9.2854579989 * N316 + 872.0182830582 * N252 + 26.664395965 * (AVERAGE(N5:N6)*0.453592) +
2599.7646012325 * N236 * N236- 0.1016237102 *  (AVERAGE(N5:N6)*0.453592) *  (AVERAGE(N5:N6)*0.453592) - 71.8618465276 * N236 * N253 -
607.1294449572 * N236 * N252 + 25.6463076451 * N236 * (AVERAGE(N5:N6)*0.453592) - 0.8399854508 * N253 * (AVERAGE(N5:N6)*0.453592) +
0.0967347393 * N316 * (AVERAGE(N5:N6)*0.453592) - 5.2553838048 * N252 * (AVERAGE(N5:N6)*0.453592)</f>
        <v>915.82072124867454</v>
      </c>
      <c r="P342" s="299">
        <f xml:space="preserve"> (-1619.2980797296 + 25.9248064834 * (P251/1000) - 2657.6209162609 * P236 +
123.0469725298 * P253 - 9.2854579989 * P316 + 872.0182830582 * P252 + 26.664395965 * (AVERAGE(P5:P6)*0.453592) +
2599.7646012325 * P236 * P236- 0.1016237102 *  (AVERAGE(P5:P6)*0.453592) *  (AVERAGE(P5:P6)*0.453592) - 71.8618465276 * P236 * P253 -
607.1294449572 * P236 * P252 + 25.6463076451 * P236 * (AVERAGE(P5:P6)*0.453592) - 0.8399854508 * P253 * (AVERAGE(P5:P6)*0.453592) +
0.0967347393 * P316 * (AVERAGE(P5:P6)*0.453592) - 5.2553838048 * P252 * (AVERAGE(P5:P6)*0.453592))</f>
        <v>730.86253902058513</v>
      </c>
      <c r="Q342" s="299">
        <f xml:space="preserve"> -1619.2980797296 + 25.9248064834 * (Q251/1000) - 2657.6209162609 * Q236 +
123.0469725298 * Q253 - 9.2854579989 * Q316 + 872.0182830582 * Q252 + 26.664395965 * (AVERAGE(Q5:Q6)*0.453592) +
2599.7646012325 * Q236 * Q236- 0.1016237102 *  (AVERAGE(Q5:Q6)*0.453592) *  (AVERAGE(Q5:Q6)*0.453592) - 71.8618465276 * Q236 * Q253 -
607.1294449572 * Q236 * Q252 + 25.6463076451 * Q236 * (AVERAGE(Q5:Q6)*0.453592) - 0.8399854508 * Q253 * (AVERAGE(Q5:Q6)*0.453592) +
0.0967347393 * Q316 * (AVERAGE(Q5:Q6)*0.453592) - 5.2553838048 * Q252 * (AVERAGE(Q5:Q6)*0.453592)</f>
        <v>852.70454847034819</v>
      </c>
      <c r="R342" s="299">
        <f xml:space="preserve"> -1619.2980797296 + 25.9248064834 * (R251/1000) - 2657.6209162609 * R236 +
123.0469725298 * R253 - 9.2854579989 * R316 + 872.0182830582 * R252 + 26.664395965 * (AVERAGE(R5:R6)*0.453592) +
2599.7646012325 * R236 * R236- 0.1016237102 *  (AVERAGE(R5:R6)*0.453592) *  (AVERAGE(R5:R6)*0.453592) - 71.8618465276 * R236 * R253 -
607.1294449572 * R236 * R252 + 25.6463076451 * R236 * (AVERAGE(R5:R6)*0.453592) - 0.8399854508 * R253 * (AVERAGE(R5:R6)*0.453592) +
0.0967347393 * R316 * (AVERAGE(R5:R6)*0.453592) - 5.2553838048 * R252 * (AVERAGE(R5:R6)*0.453592)</f>
        <v>933.32207144981544</v>
      </c>
      <c r="S342" s="299">
        <f xml:space="preserve"> -1619.2980797296 + 25.9248064834 * (S251/1000) - 2657.6209162609 * S236 +
123.0469725298 * S253 - 9.2854579989 * S316 + 872.0182830582 * S252 + 26.664395965 * (AVERAGE(S5:S6)*0.453592) +
2599.7646012325 * S236 * S236- 0.1016237102 *  (AVERAGE(S5:S6)*0.453592) *  (AVERAGE(S5:S6)*0.453592) - 71.8618465276 * S236 * S253 -
607.1294449572 * S236 * S252 + 25.6463076451 * S236 * (AVERAGE(S5:S6)*0.453592) - 0.8399854508 * S253 * (AVERAGE(S5:S6)*0.453592) +
0.0967347393 * S316 * (AVERAGE(S5:S6)*0.453592) - 5.2553838048 * S252 * (AVERAGE(S5:S6)*0.453592)</f>
        <v>967.99604287988086</v>
      </c>
      <c r="T342" s="299">
        <f xml:space="preserve"> -1619.2980797296 + 25.9248064834 * (T251/1000) - 2657.6209162609 * T236 +
123.0469725298 * T253 - 9.2854579989 * T316 + 872.0182830582 * T252 + 26.664395965 * (AVERAGE(T5:T6)*0.453592) +
2599.7646012325 * T236 * T236- 0.1016237102 *  (AVERAGE(T5:T6)*0.453592) *  (AVERAGE(T5:T6)*0.453592) - 71.8618465276 * T236 * T253 -
607.1294449572 * T236 * T252 + 25.6463076451 * T236 * (AVERAGE(T5:T6)*0.453592) - 0.8399854508 * T253 * (AVERAGE(T5:T6)*0.453592) +
0.0967347393 * T316 * (AVERAGE(T5:T6)*0.453592) - 5.2553838048 * T252 * (AVERAGE(T5:T6)*0.453592)</f>
        <v>959.34807253354575</v>
      </c>
      <c r="U342" s="299">
        <f xml:space="preserve"> -1619.2980797296 + 25.9248064834 * (U251/1000) - 2657.6209162609 * U236 +
123.0469725298 * U253 - 9.2854579989 * U316 + 872.0182830582 * U252 + 26.664395965 * (AVERAGE(U5:U6)*0.453592) +
2599.7646012325 * U236 * U236- 0.1016237102 *  (AVERAGE(U5:U6)*0.453592) *  (AVERAGE(U5:U6)*0.453592) - 71.8618465276 * U236 * U253 -
607.1294449572 * U236 * U252 + 25.6463076451 * U236 * (AVERAGE(U5:U6)*0.453592) - 0.8399854508 * U253 * (AVERAGE(U5:U6)*0.453592) +
0.0967347393 * U316 * (AVERAGE(U5:U6)*0.453592) - 5.2553838048 * U252 * (AVERAGE(U5:U6)*0.453592)</f>
        <v>900.134581323867</v>
      </c>
      <c r="W342" s="299">
        <f xml:space="preserve"> (-1619.2980797296 + 25.9248064834 * (W251/1000) - 2657.6209162609 * W236 +
123.0469725298 * W253 - 9.2854579989 * W316 + 872.0182830582 * W252 + 26.664395965 * (AVERAGE(W5:W6)*0.453592) +
2599.7646012325 * W236 * W236- 0.1016237102 *  (AVERAGE(W5:W6)*0.453592) *  (AVERAGE(W5:W6)*0.453592) - 71.8618465276 * W236 * W253 -
607.1294449572 * W236 * W252 + 25.6463076451 * W236 * (AVERAGE(W5:W6)*0.453592) - 0.8399854508 * W253 * (AVERAGE(W5:W6)*0.453592) +
0.0967347393 * W316 * (AVERAGE(W5:W6)*0.453592) - 5.2553838048 * W252 * (AVERAGE(W5:W6)*0.453592))</f>
        <v>727.51552435711903</v>
      </c>
      <c r="X342" s="299">
        <f xml:space="preserve"> -1619.2980797296 + 25.9248064834 * (X251/1000) - 2657.6209162609 * X236 +
123.0469725298 * X253 - 9.2854579989 * X316 + 872.0182830582 * X252 + 26.664395965 * (AVERAGE(X5:X6)*0.453592) +
2599.7646012325 * X236 * X236- 0.1016237102 *  (AVERAGE(X5:X6)*0.453592) *  (AVERAGE(X5:X6)*0.453592) - 71.8618465276 * X236 * X253 -
607.1294449572 * X236 * X252 + 25.6463076451 * X236 * (AVERAGE(X5:X6)*0.453592) - 0.8399854508 * X253 * (AVERAGE(X5:X6)*0.453592) +
0.0967347393 * X316 * (AVERAGE(X5:X6)*0.453592) - 5.2553838048 * X252 * (AVERAGE(X5:X6)*0.453592)</f>
        <v>848.998506061993</v>
      </c>
      <c r="Y342" s="299">
        <f xml:space="preserve"> -1619.2980797296 + 25.9248064834 * (Y251/1000) - 2657.6209162609 * Y236 +
123.0469725298 * Y253 - 9.2854579989 * Y316 + 872.0182830582 * Y252 + 26.664395965 * (AVERAGE(Y5:Y6)*0.453592) +
2599.7646012325 * Y236 * Y236- 0.1016237102 *  (AVERAGE(Y5:Y6)*0.453592) *  (AVERAGE(Y5:Y6)*0.453592) - 71.8618465276 * Y236 * Y253 -
607.1294449572 * Y236 * Y252 + 25.6463076451 * Y236 * (AVERAGE(Y5:Y6)*0.453592) - 0.8399854508 * Y253 * (AVERAGE(Y5:Y6)*0.453592) +
0.0967347393 * Y316 * (AVERAGE(Y5:Y6)*0.453592) - 5.2553838048 * Y252 * (AVERAGE(Y5:Y6)*0.453592)</f>
        <v>928.12318501505911</v>
      </c>
      <c r="Z342" s="299">
        <f xml:space="preserve"> -1619.2980797296 + 25.9248064834 * (Z251/1000) - 2657.6209162609 * Z236 +
123.0469725298 * Z253 - 9.2854579989 * Z316 + 872.0182830582 * Z252 + 26.664395965 * (AVERAGE(Z5:Z6)*0.453592) +
2599.7646012325 * Z236 * Z236- 0.1016237102 *  (AVERAGE(Z5:Z6)*0.453592) *  (AVERAGE(Z5:Z6)*0.453592) - 71.8618465276 * Z236 * Z253 -
607.1294449572 * Z236 * Z252 + 25.6463076451 * Z236 * (AVERAGE(Z5:Z6)*0.453592) - 0.8399854508 * Z253 * (AVERAGE(Z5:Z6)*0.453592) +
0.0967347393 * Z316 * (AVERAGE(Z5:Z6)*0.453592) - 5.2553838048 * Z252 * (AVERAGE(Z5:Z6)*0.453592)</f>
        <v>960.75385333371219</v>
      </c>
      <c r="AA342" s="299">
        <f xml:space="preserve"> -1619.2980797296 + 25.9248064834 * (AA251/1000) - 2657.6209162609 * AA236 +
123.0469725298 * AA253 - 9.2854579989 * AA316 + 872.0182830582 * AA252 + 26.664395965 * (AVERAGE(AA5:AA6)*0.453592) +
2599.7646012325 * AA236 * AA236- 0.1016237102 *  (AVERAGE(AA5:AA6)*0.453592) *  (AVERAGE(AA5:AA6)*0.453592) - 71.8618465276 * AA236 * AA253 -
607.1294449572 * AA236 * AA252 + 25.6463076451 * AA236 * (AVERAGE(AA5:AA6)*0.453592) - 0.8399854508 * AA253 * (AVERAGE(AA5:AA6)*0.453592) +
0.0967347393 * AA316 * (AVERAGE(AA5:AA6)*0.453592) - 5.2553838048 * AA252 * (AVERAGE(AA5:AA6)*0.453592)</f>
        <v>948.70954572017718</v>
      </c>
      <c r="AB342" s="299">
        <f xml:space="preserve"> -1619.2980797296 + 25.9248064834 * (AB251/1000) - 2657.6209162609 * AB236 +
123.0469725298 * AB253 - 9.2854579989 * AB316 + 872.0182830582 * AB252 + 26.664395965 * (AVERAGE(AB5:AB6)*0.453592) +
2599.7646012325 * AB236 * AB236- 0.1016237102 *  (AVERAGE(AB5:AB6)*0.453592) *  (AVERAGE(AB5:AB6)*0.453592) - 71.8618465276 * AB236 * AB253 -
607.1294449572 * AB236 * AB252 + 25.6463076451 * AB236 * (AVERAGE(AB5:AB6)*0.453592) - 0.8399854508 * AB253 * (AVERAGE(AB5:AB6)*0.453592) +
0.0967347393 * AB316 * (AVERAGE(AB5:AB6)*0.453592) - 5.2553838048 * AB252 * (AVERAGE(AB5:AB6)*0.453592)</f>
        <v>884.51788453222389</v>
      </c>
      <c r="AD342" s="299">
        <f xml:space="preserve"> (-1619.2980797296 + 25.9248064834 * (AD251/1000) - 2657.6209162609 * AD236 +
123.0469725298 * AD253 - 9.2854579989 * AD316 + 872.0182830582 * AD252 + 26.664395965 * (AVERAGE(AD5:AD6)*0.453592) +
2599.7646012325 * AD236 * AD236- 0.1016237102 *  (AVERAGE(AD5:AD6)*0.453592) *  (AVERAGE(AD5:AD6)*0.453592) - 71.8618465276 * AD236 * AD253 -
607.1294449572 * AD236 * AD252 + 25.6463076451 * AD236 * (AVERAGE(AD5:AD6)*0.453592) - 0.8399854508 * AD253 * (AVERAGE(AD5:AD6)*0.453592) +
0.0967347393 * AD316 * (AVERAGE(AD5:AD6)*0.453592) - 5.2553838048 * AD252 * (AVERAGE(AD5:AD6)*0.453592))</f>
        <v>724.94582154114494</v>
      </c>
      <c r="AE342" s="299">
        <f xml:space="preserve"> -1619.2980797296 + 25.9248064834 * (AE251/1000) - 2657.6209162609 * AE236 +
123.0469725298 * AE253 - 9.2854579989 * AE316 + 872.0182830582 * AE252 + 26.664395965 * (AVERAGE(AE5:AE6)*0.453592) +
2599.7646012325 * AE236 * AE236- 0.1016237102 *  (AVERAGE(AE5:AE6)*0.453592) *  (AVERAGE(AE5:AE6)*0.453592) - 71.8618465276 * AE236 * AE253 -
607.1294449572 * AE236 * AE252 + 25.6463076451 * AE236 * (AVERAGE(AE5:AE6)*0.453592) - 0.8399854508 * AE253 * (AVERAGE(AE5:AE6)*0.453592) +
0.0967347393 * AE316 * (AVERAGE(AE5:AE6)*0.453592) - 5.2553838048 * AE252 * (AVERAGE(AE5:AE6)*0.453592)</f>
        <v>845.69421270540624</v>
      </c>
      <c r="AF342" s="299">
        <f xml:space="preserve"> -1619.2980797296 + 25.9248064834 * (AF251/1000) - 2657.6209162609 * AF236 +
123.0469725298 * AF253 - 9.2854579989 * AF316 + 872.0182830582 * AF252 + 26.664395965 * (AVERAGE(AF5:AF6)*0.453592) +
2599.7646012325 * AF236 * AF236- 0.1016237102 *  (AVERAGE(AF5:AF6)*0.453592) *  (AVERAGE(AF5:AF6)*0.453592) - 71.8618465276 * AF236 * AF253 -
607.1294449572 * AF236 * AF252 + 25.6463076451 * AF236 * (AVERAGE(AF5:AF6)*0.453592) - 0.8399854508 * AF253 * (AVERAGE(AF5:AF6)*0.453592) +
0.0967347393 * AF316 * (AVERAGE(AF5:AF6)*0.453592) - 5.2553838048 * AF252 * (AVERAGE(AF5:AF6)*0.453592)</f>
        <v>923.65864602576949</v>
      </c>
      <c r="AG342" s="299">
        <f xml:space="preserve"> -1619.2980797296 + 25.9248064834 * (AG251/1000) - 2657.6209162609 * AG236 +
123.0469725298 * AG253 - 9.2854579989 * AG316 + 872.0182830582 * AG252 + 26.664395965 * (AVERAGE(AG5:AG6)*0.453592) +
2599.7646012325 * AG236 * AG236- 0.1016237102 *  (AVERAGE(AG5:AG6)*0.453592) *  (AVERAGE(AG5:AG6)*0.453592) - 71.8618465276 * AG236 * AG253 -
607.1294449572 * AG236 * AG252 + 25.6463076451 * AG236 * (AVERAGE(AG5:AG6)*0.453592) - 0.8399854508 * AG253 * (AVERAGE(AG5:AG6)*0.453592) +
0.0967347393 * AG316 * (AVERAGE(AG5:AG6)*0.453592) - 5.2553838048 * AG252 * (AVERAGE(AG5:AG6)*0.453592)</f>
        <v>954.01012781500322</v>
      </c>
      <c r="AH342" s="299">
        <f xml:space="preserve"> -1619.2980797296 + 25.9248064834 * (AH251/1000) - 2657.6209162609 * AH236 +
123.0469725298 * AH253 - 9.2854579989 * AH316 + 872.0182830582 * AH252 + 26.664395965 * (AVERAGE(AH5:AH6)*0.453592) +
2599.7646012325 * AH236 * AH236- 0.1016237102 *  (AVERAGE(AH5:AH6)*0.453592) *  (AVERAGE(AH5:AH6)*0.453592) - 71.8618465276 * AH236 * AH253 -
607.1294449572 * AH236 * AH252 + 25.6463076451 * AH236 * (AVERAGE(AH5:AH6)*0.453592) - 0.8399854508 * AH253 * (AVERAGE(AH5:AH6)*0.453592) +
0.0967347393 * AH316 * (AVERAGE(AH5:AH6)*0.453592) - 5.2553838048 * AH252 * (AVERAGE(AH5:AH6)*0.453592)</f>
        <v>938.19318574970953</v>
      </c>
      <c r="AI342" s="299">
        <f xml:space="preserve"> -1619.2980797296 + 25.9248064834 * (AI251/1000) - 2657.6209162609 * AI236 +
123.0469725298 * AI253 - 9.2854579989 * AI316 + 872.0182830582 * AI252 + 26.664395965 * (AVERAGE(AI5:AI6)*0.453592) +
2599.7646012325 * AI236 * AI236- 0.1016237102 *  (AVERAGE(AI5:AI6)*0.453592) *  (AVERAGE(AI5:AI6)*0.453592) - 71.8618465276 * AI236 * AI253 -
607.1294449572 * AI236 * AI252 + 25.6463076451 * AI236 * (AVERAGE(AI5:AI6)*0.453592) - 0.8399854508 * AI253 * (AVERAGE(AI5:AI6)*0.453592) +
0.0967347393 * AI316 * (AVERAGE(AI5:AI6)*0.453592) - 5.2553838048 * AI252 * (AVERAGE(AI5:AI6)*0.453592)</f>
        <v>868.94538754257837</v>
      </c>
      <c r="AK342" s="299">
        <f xml:space="preserve"> (-1619.2980797296 + 25.9248064834 * (AK251/1000) - 2657.6209162609 * AK236 +
123.0469725298 * AK253 - 9.2854579989 * AK316 + 872.0182830582 * AK252 + 26.664395965 * (AVERAGE(AK5:AK6)*0.453592) +
2599.7646012325 * AK236 * AK236- 0.1016237102 *  (AVERAGE(AK5:AK6)*0.453592) *  (AVERAGE(AK5:AK6)*0.453592) - 71.8618465276 * AK236 * AK253 -
607.1294449572 * AK236 * AK252 + 25.6463076451 * AK236 * (AVERAGE(AK5:AK6)*0.453592) - 0.8399854508 * AK253 * (AVERAGE(AK5:AK6)*0.453592) +
0.0967347393 * AK316 * (AVERAGE(AK5:AK6)*0.453592) - 5.2553838048 * AK252 * (AVERAGE(AK5:AK6)*0.453592))</f>
        <v>723.16476170971032</v>
      </c>
      <c r="AL342" s="299">
        <f xml:space="preserve"> -1619.2980797296 + 25.9248064834 * (AL251/1000) - 2657.6209162609 * AL236 +
123.0469725298 * AL253 - 9.2854579989 * AL316 + 872.0182830582 * AL252 + 26.664395965 * (AVERAGE(AL5:AL6)*0.453592) +
2599.7646012325 * AL236 * AL236- 0.1016237102 *  (AVERAGE(AL5:AL6)*0.453592) *  (AVERAGE(AL5:AL6)*0.453592) - 71.8618465276 * AL236 * AL253 -
607.1294449572 * AL236 * AL252 + 25.6463076451 * AL236 * (AVERAGE(AL5:AL6)*0.453592) - 0.8399854508 * AL253 * (AVERAGE(AL5:AL6)*0.453592) +
0.0967347393 * AL316 * (AVERAGE(AL5:AL6)*0.453592) - 5.2553838048 * AL252 * (AVERAGE(AL5:AL6)*0.453592)</f>
        <v>843.16103565379217</v>
      </c>
      <c r="AM342" s="299">
        <f xml:space="preserve"> -1619.2980797296 + 25.9248064834 * (AM251/1000) - 2657.6209162609 * AM236 +
123.0469725298 * AM253 - 9.2854579989 * AM316 + 872.0182830582 * AM252 + 26.664395965 * (AVERAGE(AM5:AM6)*0.453592) +
2599.7646012325 * AM236 * AM236- 0.1016237102 *  (AVERAGE(AM5:AM6)*0.453592) *  (AVERAGE(AM5:AM6)*0.453592) - 71.8618465276 * AM236 * AM253 -
607.1294449572 * AM236 * AM252 + 25.6463076451 * AM236 * (AVERAGE(AM5:AM6)*0.453592) - 0.8399854508 * AM253 * (AVERAGE(AM5:AM6)*0.453592) +
0.0967347393 * AM316 * (AVERAGE(AM5:AM6)*0.453592) - 5.2553838048 * AM252 * (AVERAGE(AM5:AM6)*0.453592)</f>
        <v>919.85722269718804</v>
      </c>
      <c r="AN342" s="299">
        <f xml:space="preserve"> -1619.2980797296 + 25.9248064834 * (AN251/1000) - 2657.6209162609 * AN236 +
123.0469725298 * AN253 - 9.2854579989 * AN316 + 872.0182830582 * AN252 + 26.664395965 * (AVERAGE(AN5:AN6)*0.453592) +
2599.7646012325 * AN236 * AN236- 0.1016237102 *  (AVERAGE(AN5:AN6)*0.453592) *  (AVERAGE(AN5:AN6)*0.453592) - 71.8618465276 * AN236 * AN253 -
607.1294449572 * AN236 * AN252 + 25.6463076451 * AN236 * (AVERAGE(AN5:AN6)*0.453592) - 0.8399854508 * AN253 * (AVERAGE(AN5:AN6)*0.453592) +
0.0967347393 * AN316 * (AVERAGE(AN5:AN6)*0.453592) - 5.2553838048 * AN252 * (AVERAGE(AN5:AN6)*0.453592)</f>
        <v>947.59682363309821</v>
      </c>
      <c r="AO342" s="299">
        <f xml:space="preserve"> -1619.2980797296 + 25.9248064834 * (AO251/1000) - 2657.6209162609 * AO236 +
123.0469725298 * AO253 - 9.2854579989 * AO316 + 872.0182830582 * AO252 + 26.664395965 * (AVERAGE(AO5:AO6)*0.453592) +
2599.7646012325 * AO236 * AO236- 0.1016237102 *  (AVERAGE(AO5:AO6)*0.453592) *  (AVERAGE(AO5:AO6)*0.453592) - 71.8618465276 * AO236 * AO253 -
607.1294449572 * AO236 * AO252 + 25.6463076451 * AO236 * (AVERAGE(AO5:AO6)*0.453592) - 0.8399854508 * AO253 * (AVERAGE(AO5:AO6)*0.453592) +
0.0967347393 * AO316 * (AVERAGE(AO5:AO6)*0.453592) - 5.2553838048 * AO252 * (AVERAGE(AO5:AO6)*0.453592)</f>
        <v>928.08306099373704</v>
      </c>
      <c r="AP342" s="299">
        <f xml:space="preserve"> -1619.2980797296 + 25.9248064834 * (AP251/1000) - 2657.6209162609 * AP236 +
123.0469725298 * AP253 - 9.2854579989 * AP316 + 872.0182830582 * AP252 + 26.664395965 * (AVERAGE(AP5:AP6)*0.453592) +
2599.7646012325 * AP236 * AP236- 0.1016237102 *  (AVERAGE(AP5:AP6)*0.453592) *  (AVERAGE(AP5:AP6)*0.453592) - 71.8618465276 * AP236 * AP253 -
607.1294449572 * AP236 * AP252 + 25.6463076451 * AP236 * (AVERAGE(AP5:AP6)*0.453592) - 0.8399854508 * AP253 * (AVERAGE(AP5:AP6)*0.453592) +
0.0967347393 * AP316 * (AVERAGE(AP5:AP6)*0.453592) - 5.2553838048 * AP252 * (AVERAGE(AP5:AP6)*0.453592)</f>
        <v>853.87006838432558</v>
      </c>
      <c r="AR342" s="299">
        <f xml:space="preserve"> (-1619.2980797296 + 25.9248064834 * (AR251/1000) - 2657.6209162609 * AR236 +
123.0469725298 * AR253 - 9.2854579989 * AR316 + 872.0182830582 * AR252 + 26.664395965 * (AVERAGE(AR5:AR6)*0.453592) +
2599.7646012325 * AR236 * AR236- 0.1016237102 *  (AVERAGE(AR5:AR6)*0.453592) *  (AVERAGE(AR5:AR6)*0.453592) - 71.8618465276 * AR236 * AR253 -
607.1294449572 * AR236 * AR252 + 25.6463076451 * AR236 * (AVERAGE(AR5:AR6)*0.453592) - 0.8399854508 * AR253 * (AVERAGE(AR5:AR6)*0.453592) +
0.0967347393 * AR316 * (AVERAGE(AR5:AR6)*0.453592) - 5.2553838048 * AR252 * (AVERAGE(AR5:AR6)*0.453592))</f>
        <v>722.13641638624006</v>
      </c>
      <c r="AS342" s="299">
        <f xml:space="preserve"> -1619.2980797296 + 25.9248064834 * (AS251/1000) - 2657.6209162609 * AS236 +
123.0469725298 * AS253 - 9.2854579989 * AS316 + 872.0182830582 * AS252 + 26.664395965 * (AVERAGE(AS5:AS6)*0.453592) +
2599.7646012325 * AS236 * AS236- 0.1016237102 *  (AVERAGE(AS5:AS6)*0.453592) *  (AVERAGE(AS5:AS6)*0.453592) - 71.8618465276 * AS236 * AS253 -
607.1294449572 * AS236 * AS252 + 25.6463076451 * AS236 * (AVERAGE(AS5:AS6)*0.453592) - 0.8399854508 * AS253 * (AVERAGE(AS5:AS6)*0.453592) +
0.0967347393 * AS316 * (AVERAGE(AS5:AS6)*0.453592) - 5.2553838048 * AS252 * (AVERAGE(AS5:AS6)*0.453592)</f>
        <v>841.40646013664229</v>
      </c>
      <c r="AT342" s="299">
        <f xml:space="preserve"> -1619.2980797296 + 25.9248064834 * (AT251/1000) - 2657.6209162609 * AT236 +
123.0469725298 * AT253 - 9.2854579989 * AT316 + 872.0182830582 * AT252 + 26.664395965 * (AVERAGE(AT5:AT6)*0.453592) +
2599.7646012325 * AT236 * AT236- 0.1016237102 *  (AVERAGE(AT5:AT6)*0.453592) *  (AVERAGE(AT5:AT6)*0.453592) - 71.8618465276 * AT236 * AT253 -
607.1294449572 * AT236 * AT252 + 25.6463076451 * AT236 * (AVERAGE(AT5:AT6)*0.453592) - 0.8399854508 * AT253 * (AVERAGE(AT5:AT6)*0.453592) +
0.0967347393 * AT316 * (AVERAGE(AT5:AT6)*0.453592) - 5.2553838048 * AT252 * (AVERAGE(AT5:AT6)*0.453592)</f>
        <v>916.72904437624834</v>
      </c>
      <c r="AU342" s="299">
        <f xml:space="preserve"> -1619.2980797296 + 25.9248064834 * (AU251/1000) - 2657.6209162609 * AU236 +
123.0469725298 * AU253 - 9.2854579989 * AU316 + 872.0182830582 * AU252 + 26.664395965 * (AVERAGE(AU5:AU6)*0.453592) +
2599.7646012325 * AU236 * AU236- 0.1016237102 *  (AVERAGE(AU5:AU6)*0.453592) *  (AVERAGE(AU5:AU6)*0.453592) - 71.8618465276 * AU236 * AU253 -
607.1294449572 * AU236 * AU252 + 25.6463076451 * AU236 * (AVERAGE(AU5:AU6)*0.453592) - 0.8399854508 * AU253 * (AVERAGE(AU5:AU6)*0.453592) +
0.0967347393 * AU316 * (AVERAGE(AU5:AU6)*0.453592) - 5.2553838048 * AU252 * (AVERAGE(AU5:AU6)*0.453592)</f>
        <v>941.64006968999638</v>
      </c>
      <c r="AV342" s="299">
        <f xml:space="preserve"> -1619.2980797296 + 25.9248064834 * (AV251/1000) - 2657.6209162609 * AV236 +
123.0469725298 * AV253 - 9.2854579989 * AV316 + 872.0182830582 * AV252 + 26.664395965 * (AVERAGE(AV5:AV6)*0.453592) +
2599.7646012325 * AV236 * AV236- 0.1016237102 *  (AVERAGE(AV5:AV6)*0.453592) *  (AVERAGE(AV5:AV6)*0.453592) - 71.8618465276 * AV236 * AV253 -
607.1294449572 * AV236 * AV252 + 25.6463076451 * AV236 * (AVERAGE(AV5:AV6)*0.453592) - 0.8399854508 * AV253 * (AVERAGE(AV5:AV6)*0.453592) +
0.0967347393 * AV316 * (AVERAGE(AV5:AV6)*0.453592) - 5.2553838048 * AV252 * (AVERAGE(AV5:AV6)*0.453592)</f>
        <v>918.50077750001947</v>
      </c>
      <c r="AW342" s="299">
        <f xml:space="preserve"> -1619.2980797296 + 25.9248064834 * (AW251/1000) - 2657.6209162609 * AW236 +
123.0469725298 * AW253 - 9.2854579989 * AW316 + 872.0182830582 * AW252 + 26.664395965 * (AVERAGE(AW5:AW6)*0.453592) +
2599.7646012325 * AW236 * AW236- 0.1016237102 *  (AVERAGE(AW5:AW6)*0.453592) *  (AVERAGE(AW5:AW6)*0.453592) - 71.8618465276 * AW236 * AW253 -
607.1294449572 * AW236 * AW252 + 25.6463076451 * AW236 * (AVERAGE(AW5:AW6)*0.453592) - 0.8399854508 * AW253 * (AVERAGE(AW5:AW6)*0.453592) +
0.0967347393 * AW316 * (AVERAGE(AW5:AW6)*0.453592) - 5.2553838048 * AW252 * (AVERAGE(AW5:AW6)*0.453592)</f>
        <v>839.28439538630732</v>
      </c>
    </row>
    <row r="343" spans="1:52" x14ac:dyDescent="0.25">
      <c r="A343" s="298" t="s">
        <v>479</v>
      </c>
      <c r="B343" s="300">
        <f t="shared" ref="B343:G343" si="218">B342/B344*1000</f>
        <v>1359.5480024980595</v>
      </c>
      <c r="C343" s="300">
        <f t="shared" si="218"/>
        <v>1828.292464469157</v>
      </c>
      <c r="D343" s="300">
        <f t="shared" si="218"/>
        <v>2305.5922105887325</v>
      </c>
      <c r="E343" s="300">
        <f t="shared" si="218"/>
        <v>2729.415034120711</v>
      </c>
      <c r="F343" s="300">
        <f t="shared" si="218"/>
        <v>3011.820185199786</v>
      </c>
      <c r="G343" s="300">
        <f t="shared" si="218"/>
        <v>3094.1334754619566</v>
      </c>
      <c r="I343" s="300">
        <f t="shared" ref="I343:N343" si="219">I342/I344*1000</f>
        <v>1348.7826007278509</v>
      </c>
      <c r="J343" s="300">
        <f t="shared" si="219"/>
        <v>1815.68177892228</v>
      </c>
      <c r="K343" s="300">
        <f t="shared" si="219"/>
        <v>2290.067197897029</v>
      </c>
      <c r="L343" s="300">
        <f t="shared" si="219"/>
        <v>2711.4157746123528</v>
      </c>
      <c r="M343" s="300">
        <f t="shared" si="219"/>
        <v>2994.3858231473955</v>
      </c>
      <c r="N343" s="300">
        <f t="shared" si="219"/>
        <v>3081.7572508536787</v>
      </c>
      <c r="P343" s="300">
        <f t="shared" ref="P343:U343" si="220">P342/P344*1000</f>
        <v>1341.39899974334</v>
      </c>
      <c r="Q343" s="300">
        <f t="shared" si="220"/>
        <v>1806.839086588014</v>
      </c>
      <c r="R343" s="300">
        <f t="shared" si="220"/>
        <v>2278.4572570527534</v>
      </c>
      <c r="S343" s="300">
        <f t="shared" si="220"/>
        <v>2696.6793919520519</v>
      </c>
      <c r="T343" s="300">
        <f t="shared" si="220"/>
        <v>2979.536691801507</v>
      </c>
      <c r="U343" s="300">
        <f t="shared" si="220"/>
        <v>3072.0880938159512</v>
      </c>
      <c r="W343" s="300">
        <f t="shared" ref="W343:AB343" si="221">W342/W344*1000</f>
        <v>1337.2933270276556</v>
      </c>
      <c r="X343" s="300">
        <f t="shared" si="221"/>
        <v>1801.6127543216869</v>
      </c>
      <c r="Y343" s="300">
        <f t="shared" si="221"/>
        <v>2270.4372365023082</v>
      </c>
      <c r="Z343" s="300">
        <f t="shared" si="221"/>
        <v>2685.3276063188227</v>
      </c>
      <c r="AA343" s="300">
        <f t="shared" si="221"/>
        <v>2966.9564816925654</v>
      </c>
      <c r="AB343" s="300">
        <f t="shared" si="221"/>
        <v>3063.8303600626064</v>
      </c>
      <c r="AD343" s="300">
        <f t="shared" ref="AD343:AI343" si="222">AD342/AD344*1000</f>
        <v>1336.515183527601</v>
      </c>
      <c r="AE343" s="300">
        <f t="shared" si="222"/>
        <v>1800.0075173063415</v>
      </c>
      <c r="AF343" s="300">
        <f t="shared" si="222"/>
        <v>2266.1761342156888</v>
      </c>
      <c r="AG343" s="300">
        <f t="shared" si="222"/>
        <v>2677.2240023138611</v>
      </c>
      <c r="AH343" s="300">
        <f t="shared" si="222"/>
        <v>2958.2648530923721</v>
      </c>
      <c r="AI343" s="300">
        <f t="shared" si="222"/>
        <v>3058.3696976822557</v>
      </c>
      <c r="AK343" s="300">
        <f t="shared" ref="AK343:AP343" si="223">AK342/AK344*1000</f>
        <v>1339.0267496662491</v>
      </c>
      <c r="AL343" s="300">
        <f t="shared" si="223"/>
        <v>1802.1045793076732</v>
      </c>
      <c r="AM343" s="300">
        <f t="shared" si="223"/>
        <v>2265.7188386996818</v>
      </c>
      <c r="AN343" s="300">
        <f t="shared" si="223"/>
        <v>2673.778103049729</v>
      </c>
      <c r="AO343" s="300">
        <f t="shared" si="223"/>
        <v>2953.0939340480559</v>
      </c>
      <c r="AP343" s="300">
        <f t="shared" si="223"/>
        <v>3055.8215599373511</v>
      </c>
      <c r="AR343" s="300">
        <f t="shared" ref="AR343:AW343" si="224">AR342/AR344*1000</f>
        <v>1344.5555326317949</v>
      </c>
      <c r="AS343" s="300">
        <f t="shared" si="224"/>
        <v>1808.0599837870654</v>
      </c>
      <c r="AT343" s="300">
        <f t="shared" si="224"/>
        <v>2269.2107982590765</v>
      </c>
      <c r="AU343" s="300">
        <f t="shared" si="224"/>
        <v>2674.9271955846516</v>
      </c>
      <c r="AV343" s="300">
        <f t="shared" si="224"/>
        <v>2951.2306264149029</v>
      </c>
      <c r="AW343" s="300">
        <f t="shared" si="224"/>
        <v>3056.337834167</v>
      </c>
      <c r="AZ343" s="373"/>
    </row>
    <row r="344" spans="1:52" x14ac:dyDescent="0.25">
      <c r="A344" s="298" t="s">
        <v>480</v>
      </c>
      <c r="B344" s="299">
        <f t="shared" ref="B344:G344" si="225" xml:space="preserve"> -232.8670000513 - (102.0339177026 * (B251/1000)) + (1386.8135453223 * B236) - (3.1583174866 * B253) + (80.3303777865 * B316) - (115.1570451563 * B252) + (4.1836503117 * (AVERAGE(B5:B6)*0.453592)) + (2553.6417073224 * B236 * B236) + (228.757399518 * B252 * B252) + (12.736240264 *  (B251/1000) * B253) - (24.4502664605 *  (B251/1000) * B316) - (23.0415882284 * B236 * B253) + (101.5847297779 * B236 * B316) - (1559.9331198689 * B236 *B252) - (3.9239483753 * B236 * (AVERAGE(B5:B6)*0.453592)) - (0.1078600966 * B253 * (AVERAGE(B5:B6)*0.453592)) - (28.1879330488 * B316 * B252) - (0.1153929924 * B316 * (AVERAGE(B5:B6)*0.453592))</f>
        <v>544.53845340080113</v>
      </c>
      <c r="C344" s="299">
        <f t="shared" si="225"/>
        <v>471.75579583355693</v>
      </c>
      <c r="D344" s="299">
        <f t="shared" si="225"/>
        <v>409.85407727163351</v>
      </c>
      <c r="E344" s="299">
        <f t="shared" si="225"/>
        <v>360.59074506150858</v>
      </c>
      <c r="F344" s="299">
        <f t="shared" si="225"/>
        <v>326.06282096567122</v>
      </c>
      <c r="G344" s="299">
        <f t="shared" si="225"/>
        <v>301.24235802326291</v>
      </c>
      <c r="I344" s="299">
        <f t="shared" ref="I344:N344" si="226" xml:space="preserve"> -232.8670000513 - (102.0339177026 * (I251/1000)) + (1386.8135453223 * I236) - (3.1583174866 * I253) + (80.3303777865 * I316) - (115.1570451563 * I252) + (4.1836503117 * (AVERAGE(I5:I6)*0.453592)) + (2553.6417073224 * I236 * I236) + (228.757399518 * I252 * I252) + (12.736240264 *  (I251/1000) * I253) - (24.4502664605 *  (I251/1000) * I316) - (23.0415882284 * I236 * I253) + (101.5847297779 * I236 * I316) - (1559.9331198689 * I236 *I252) - (3.9239483753 * I236 * (AVERAGE(I5:I6)*0.453592)) - (0.1078600966 * I253 * (AVERAGE(I5:I6)*0.453592)) - (28.1879330488 * I316 * I252) - (0.1153929924 * I316 * (AVERAGE(I5:I6)*0.453592))</f>
        <v>544.92251618513285</v>
      </c>
      <c r="J344" s="299">
        <f t="shared" si="226"/>
        <v>472.02046998180811</v>
      </c>
      <c r="K344" s="299">
        <f t="shared" si="226"/>
        <v>409.88899300995126</v>
      </c>
      <c r="L344" s="299">
        <f t="shared" si="226"/>
        <v>359.91351940059508</v>
      </c>
      <c r="M344" s="299">
        <f t="shared" si="226"/>
        <v>324.0636773047201</v>
      </c>
      <c r="N344" s="299">
        <f t="shared" si="226"/>
        <v>297.1748410732165</v>
      </c>
      <c r="P344" s="299">
        <f t="shared" ref="P344:U344" si="227" xml:space="preserve"> -232.8670000513 - (102.0339177026 * (P251/1000)) + (1386.8135453223 * P236) - (3.1583174866 * P253) + (80.3303777865 * P316) - (115.1570451563 * P252) + (4.1836503117 * (AVERAGE(P5:P6)*0.453592)) + (2553.6417073224 * P236 * P236) + (228.757399518 * P252 * P252) + (12.736240264 *  (P251/1000) * P253) - (24.4502664605 *  (P251/1000) * P316) - (23.0415882284 * P236 * P253) + (101.5847297779 * P236 * P316) - (1559.9331198689 * P236 *P252) - (3.9239483753 * P236 * (AVERAGE(P5:P6)*0.453592)) - (0.1078600966 * P253 * (AVERAGE(P5:P6)*0.453592)) - (28.1879330488 * P316 * P252) - (0.1153929924 * P316 * (AVERAGE(P5:P6)*0.453592))</f>
        <v>544.85096467227618</v>
      </c>
      <c r="Q344" s="299">
        <f t="shared" si="227"/>
        <v>471.93164836862832</v>
      </c>
      <c r="R344" s="299">
        <f t="shared" si="227"/>
        <v>409.62895773480216</v>
      </c>
      <c r="S344" s="299">
        <f t="shared" si="227"/>
        <v>358.95851978872997</v>
      </c>
      <c r="T344" s="299">
        <f t="shared" si="227"/>
        <v>321.97894228766768</v>
      </c>
      <c r="U344" s="299">
        <f t="shared" si="227"/>
        <v>293.00415672838903</v>
      </c>
      <c r="W344" s="299">
        <f t="shared" ref="W344:AB344" si="228" xml:space="preserve"> -232.8670000513 - (102.0339177026 * (W251/1000)) + (1386.8135453223 * W236) - (3.1583174866 * W253) + (80.3303777865 * W316) - (115.1570451563 * W252) + (4.1836503117 * (AVERAGE(W5:W6)*0.453592)) + (2553.6417073224 * W236 * W236) + (228.757399518 * W252 * W252) + (12.736240264 *  (W251/1000) * W253) - (24.4502664605 *  (W251/1000) * W316) - (23.0415882284 * W236 * W253) + (101.5847297779 * W236 * W316) - (1559.9331198689 * W236 *W252) - (3.9239483753 * W236 * (AVERAGE(W5:W6)*0.453592)) - (0.1078600966 * W253 * (AVERAGE(W5:W6)*0.453592)) - (28.1879330488 * W316 * W252) - (0.1153929924 * W316 * (AVERAGE(W5:W6)*0.453592))</f>
        <v>544.02090375649789</v>
      </c>
      <c r="X344" s="299">
        <f t="shared" si="228"/>
        <v>471.24361438129569</v>
      </c>
      <c r="Y344" s="299">
        <f t="shared" si="228"/>
        <v>408.78610079742481</v>
      </c>
      <c r="Z344" s="299">
        <f t="shared" si="228"/>
        <v>357.7790103051002</v>
      </c>
      <c r="AA344" s="299">
        <f t="shared" si="228"/>
        <v>319.75849715832874</v>
      </c>
      <c r="AB344" s="299">
        <f t="shared" si="228"/>
        <v>288.69675555866928</v>
      </c>
      <c r="AD344" s="299">
        <f t="shared" ref="AD344:AI344" si="229" xml:space="preserve"> -232.8670000513 - (102.0339177026 * (AD251/1000)) + (1386.8135453223 * AD236) - (3.1583174866 * AD253) + (80.3303777865 * AD316) - (115.1570451563 * AD252) + (4.1836503117 * (AVERAGE(AD5:AD6)*0.453592)) + (2553.6417073224 * AD236 * AD236) + (228.757399518 * AD252 * AD252) + (12.736240264 *  (AD251/1000) * AD253) - (24.4502664605 *  (AD251/1000) * AD316) - (23.0415882284 * AD236 * AD253) + (101.5847297779 * AD236 * AD316) - (1559.9331198689 * AD236 *AD252) - (3.9239483753 * AD236 * (AVERAGE(AD5:AD6)*0.453592)) - (0.1078600966 * AD253 * (AVERAGE(AD5:AD6)*0.453592)) - (28.1879330488 * AD316 * AD252) - (0.1153929924 * AD316 * (AVERAGE(AD5:AD6)*0.453592))</f>
        <v>542.41495381124025</v>
      </c>
      <c r="AE344" s="299">
        <f t="shared" si="229"/>
        <v>469.82815603512751</v>
      </c>
      <c r="AF344" s="299">
        <f t="shared" si="229"/>
        <v>407.58466744044267</v>
      </c>
      <c r="AG344" s="299">
        <f t="shared" si="229"/>
        <v>356.34303554371058</v>
      </c>
      <c r="AH344" s="299">
        <f t="shared" si="229"/>
        <v>317.14306606759203</v>
      </c>
      <c r="AI344" s="299">
        <f t="shared" si="229"/>
        <v>284.12045417566651</v>
      </c>
      <c r="AK344" s="299">
        <f t="shared" ref="AK344:AP344" si="230" xml:space="preserve"> -232.8670000513 - (102.0339177026 * (AK251/1000)) + (1386.8135453223 * AK236) - (3.1583174866 * AK253) + (80.3303777865 * AK316) - (115.1570451563 * AK252) + (4.1836503117 * (AVERAGE(AK5:AK6)*0.453592)) + (2553.6417073224 * AK236 * AK236) + (228.757399518 * AK252 * AK252) + (12.736240264 *  (AK251/1000) * AK253) - (24.4502664605 *  (AK251/1000) * AK316) - (23.0415882284 * AK236 * AK253) + (101.5847297779 * AK236 * AK316) - (1559.9331198689 * AK236 *AK252) - (3.9239483753 * AK236 * (AVERAGE(AK5:AK6)*0.453592)) - (0.1078600966 * AK253 * (AVERAGE(AK5:AK6)*0.453592)) - (28.1879330488 * AK316 * AK252) - (0.1153929924 * AK316 * (AVERAGE(AK5:AK6)*0.453592))</f>
        <v>540.06744965323378</v>
      </c>
      <c r="AL344" s="299">
        <f t="shared" si="230"/>
        <v>467.87575223726196</v>
      </c>
      <c r="AM344" s="299">
        <f t="shared" si="230"/>
        <v>405.98913112498241</v>
      </c>
      <c r="AN344" s="299">
        <f t="shared" si="230"/>
        <v>354.40368912897554</v>
      </c>
      <c r="AO344" s="299">
        <f t="shared" si="230"/>
        <v>314.274818790317</v>
      </c>
      <c r="AP344" s="299">
        <f t="shared" si="230"/>
        <v>279.42406048140822</v>
      </c>
      <c r="AR344" s="299">
        <f t="shared" ref="AR344:AW344" si="231" xml:space="preserve"> -232.8670000513 - (102.0339177026 * (AR251/1000)) + (1386.8135453223 * AR236) - (3.1583174866 * AR253) + (80.3303777865 * AR316) - (115.1570451563 * AR252) + (4.1836503117 * (AVERAGE(AR5:AR6)*0.453592)) + (2553.6417073224 * AR236 * AR236) + (228.757399518 * AR252 * AR252) + (12.736240264 *  (AR251/1000) * AR253) - (24.4502664605 *  (AR251/1000) * AR316) - (23.0415882284 * AR236 * AR253) + (101.5847297779 * AR236 * AR316) - (1559.9331198689 * AR236 *AR252) - (3.9239483753 * AR236 * (AVERAGE(AR5:AR6)*0.453592)) - (0.1078600966 * AR253 * (AVERAGE(AR5:AR6)*0.453592)) - (28.1879330488 * AR316 * AR252) - (0.1153929924 * AR316 * (AVERAGE(AR5:AR6)*0.453592))</f>
        <v>537.08188234721013</v>
      </c>
      <c r="AS344" s="299">
        <f t="shared" si="231"/>
        <v>465.36423994865339</v>
      </c>
      <c r="AT344" s="299">
        <f t="shared" si="231"/>
        <v>403.98584612745401</v>
      </c>
      <c r="AU344" s="299">
        <f t="shared" si="231"/>
        <v>352.02456023637109</v>
      </c>
      <c r="AV344" s="299">
        <f t="shared" si="231"/>
        <v>311.22636410689336</v>
      </c>
      <c r="AW344" s="299">
        <f t="shared" si="231"/>
        <v>274.60458919295252</v>
      </c>
      <c r="AZ344" s="2"/>
    </row>
    <row r="345" spans="1:52" x14ac:dyDescent="0.25">
      <c r="A345" s="298" t="s">
        <v>134</v>
      </c>
      <c r="B345" s="301">
        <f t="shared" ref="B345:G345" si="232">IF(B323="","0",1/B344*1000)</f>
        <v>1.8364176005472321</v>
      </c>
      <c r="C345" s="301">
        <f t="shared" si="232"/>
        <v>2.1197407829045858</v>
      </c>
      <c r="D345" s="301">
        <f t="shared" si="232"/>
        <v>2.4398927702681932</v>
      </c>
      <c r="E345" s="301">
        <f t="shared" si="232"/>
        <v>2.7732270273032733</v>
      </c>
      <c r="F345" s="301">
        <f t="shared" si="232"/>
        <v>3.0668936649642822</v>
      </c>
      <c r="G345" s="301">
        <f t="shared" si="232"/>
        <v>3.319586284485188</v>
      </c>
      <c r="I345" s="301">
        <f t="shared" ref="I345:N345" si="233">IF(I323="","0",1/I344*1000)</f>
        <v>1.8351232887213975</v>
      </c>
      <c r="J345" s="301">
        <f t="shared" si="233"/>
        <v>2.1185521891424335</v>
      </c>
      <c r="K345" s="301">
        <f t="shared" si="233"/>
        <v>2.4396849319047758</v>
      </c>
      <c r="L345" s="301">
        <f t="shared" si="233"/>
        <v>2.7784452266906055</v>
      </c>
      <c r="M345" s="301">
        <f t="shared" si="233"/>
        <v>3.0858132831088341</v>
      </c>
      <c r="N345" s="301">
        <f t="shared" si="233"/>
        <v>3.3650224103379762</v>
      </c>
      <c r="P345" s="301">
        <f t="shared" ref="P345:U345" si="234">IF(P323="","0",1/P344*1000)</f>
        <v>1.8353642827841785</v>
      </c>
      <c r="Q345" s="301">
        <f t="shared" si="234"/>
        <v>2.11895091896633</v>
      </c>
      <c r="R345" s="301">
        <f t="shared" si="234"/>
        <v>2.4412336606520135</v>
      </c>
      <c r="S345" s="301">
        <f t="shared" si="234"/>
        <v>2.7858372064509398</v>
      </c>
      <c r="T345" s="301">
        <f t="shared" si="234"/>
        <v>3.1057931704942483</v>
      </c>
      <c r="U345" s="301">
        <f t="shared" si="234"/>
        <v>3.412920864897445</v>
      </c>
      <c r="W345" s="301">
        <f t="shared" ref="W345:AB345" si="235">IF(W323="","0",1/W344*1000)</f>
        <v>1.8381646607601625</v>
      </c>
      <c r="X345" s="301">
        <f t="shared" si="235"/>
        <v>2.1220446696406023</v>
      </c>
      <c r="Y345" s="301">
        <f t="shared" si="235"/>
        <v>2.4462671261309668</v>
      </c>
      <c r="Z345" s="301">
        <f t="shared" si="235"/>
        <v>2.7950214271855645</v>
      </c>
      <c r="AA345" s="301">
        <f t="shared" si="235"/>
        <v>3.1273602074281985</v>
      </c>
      <c r="AB345" s="301">
        <f t="shared" si="235"/>
        <v>3.4638421830022224</v>
      </c>
      <c r="AD345" s="301">
        <f t="shared" ref="AD345:AI345" si="236">IF(AD323="","0",1/AD344*1000)</f>
        <v>1.8436069893972702</v>
      </c>
      <c r="AE345" s="301">
        <f t="shared" si="236"/>
        <v>2.1284377855064807</v>
      </c>
      <c r="AF345" s="301">
        <f t="shared" si="236"/>
        <v>2.4534779639278814</v>
      </c>
      <c r="AG345" s="301">
        <f t="shared" si="236"/>
        <v>2.8062846758719258</v>
      </c>
      <c r="AH345" s="301">
        <f t="shared" si="236"/>
        <v>3.1531510759465009</v>
      </c>
      <c r="AI345" s="301">
        <f t="shared" si="236"/>
        <v>3.5196339626492299</v>
      </c>
      <c r="AK345" s="301">
        <f t="shared" ref="AK345:AP345" si="237">IF(AK323="","0",1/AK344*1000)</f>
        <v>1.8516205719157477</v>
      </c>
      <c r="AL345" s="301">
        <f t="shared" si="237"/>
        <v>2.1373195666119824</v>
      </c>
      <c r="AM345" s="301">
        <f t="shared" si="237"/>
        <v>2.4631201264650437</v>
      </c>
      <c r="AN345" s="301">
        <f t="shared" si="237"/>
        <v>2.8216410570040011</v>
      </c>
      <c r="AO345" s="301">
        <f t="shared" si="237"/>
        <v>3.1819284912775538</v>
      </c>
      <c r="AP345" s="301">
        <f t="shared" si="237"/>
        <v>3.5787898804317035</v>
      </c>
      <c r="AR345" s="301">
        <f t="shared" ref="AR345:AW345" si="238">IF(AR323="","0",1/AR344*1000)</f>
        <v>1.8619134863192512</v>
      </c>
      <c r="AS345" s="301">
        <f t="shared" si="238"/>
        <v>2.1488544115687453</v>
      </c>
      <c r="AT345" s="301">
        <f t="shared" si="238"/>
        <v>2.4753342464490915</v>
      </c>
      <c r="AU345" s="301">
        <f t="shared" si="238"/>
        <v>2.840710884855699</v>
      </c>
      <c r="AV345" s="301">
        <f t="shared" si="238"/>
        <v>3.2130954036289205</v>
      </c>
      <c r="AW345" s="301">
        <f t="shared" si="238"/>
        <v>3.6415997377864073</v>
      </c>
      <c r="AZ345" s="180"/>
    </row>
    <row r="346" spans="1:52" x14ac:dyDescent="0.25">
      <c r="A346" s="298" t="s">
        <v>481</v>
      </c>
      <c r="B346" s="301">
        <f t="shared" ref="B346:G346" si="239">(B6-B5)*0.453592/(B342/1000)</f>
        <v>21.444223797755399</v>
      </c>
      <c r="C346" s="301">
        <f t="shared" si="239"/>
        <v>18.406470406661629</v>
      </c>
      <c r="D346" s="301">
        <f t="shared" si="239"/>
        <v>19.20054789166538</v>
      </c>
      <c r="E346" s="301">
        <f t="shared" si="239"/>
        <v>18.43491851613966</v>
      </c>
      <c r="F346" s="301">
        <f t="shared" si="239"/>
        <v>18.475451331583397</v>
      </c>
      <c r="G346" s="301">
        <f t="shared" si="239"/>
        <v>21.898926056424528</v>
      </c>
      <c r="I346" s="301">
        <f>(I351-I5)*0.453592/(I342/1000)</f>
        <v>21.444180490323113</v>
      </c>
      <c r="J346" s="301">
        <f>(J351-I351)*0.453592/(J342/1000)</f>
        <v>18.54018815491974</v>
      </c>
      <c r="K346" s="301">
        <f>(K351-J351)*0.453592/(K342/1000)</f>
        <v>19.307776969413119</v>
      </c>
      <c r="L346" s="301">
        <f>(L351-K351)*0.453592/(L342/1000)</f>
        <v>18.55853844844027</v>
      </c>
      <c r="M346" s="301">
        <f>(M351-L351)*0.453592/(M342/1000)</f>
        <v>18.633638467186056</v>
      </c>
      <c r="N346" s="301">
        <f>(N351-M351)*0.453592/(N342/1000)</f>
        <v>22.134365897193419</v>
      </c>
      <c r="P346" s="301">
        <f>(P351-P5)*0.453592/(P342/1000)</f>
        <v>21.444180246222977</v>
      </c>
      <c r="Q346" s="301">
        <f>(Q351-P351)*0.453592/(Q342/1000)</f>
        <v>18.644466261393351</v>
      </c>
      <c r="R346" s="301">
        <f>(R351-Q351)*0.453592/(R342/1000)</f>
        <v>19.393872812724403</v>
      </c>
      <c r="S346" s="301">
        <f>(S351-R351)*0.453592/(S342/1000)</f>
        <v>18.665688952054769</v>
      </c>
      <c r="T346" s="301">
        <f>(T351-S351)*0.453592/(T342/1000)</f>
        <v>18.786862626521202</v>
      </c>
      <c r="U346" s="301">
        <f>(U351-T351)*0.453592/(U342/1000)</f>
        <v>22.364730656523772</v>
      </c>
      <c r="W346" s="301">
        <f>(W351-W5)*0.453592/(W342/1000)</f>
        <v>21.444180045859394</v>
      </c>
      <c r="X346" s="301">
        <f>(X351-W351)*0.453592/(X342/1000)</f>
        <v>18.730044921084275</v>
      </c>
      <c r="Y346" s="301">
        <f>(Y351-X351)*0.453592/(Y342/1000)</f>
        <v>19.468453682314134</v>
      </c>
      <c r="Z346" s="301">
        <f>(Z351-Y351)*0.453592/(Z342/1000)</f>
        <v>18.77132761367476</v>
      </c>
      <c r="AA346" s="301">
        <f>(AA351-Z351)*0.453592/(AA342/1000)</f>
        <v>18.931081826370587</v>
      </c>
      <c r="AB346" s="301">
        <f>(AB351-AA351)*0.453592/(AB342/1000)</f>
        <v>22.595167957055928</v>
      </c>
      <c r="AD346" s="301">
        <f>(AD351-AD5)*0.453592/(AD342/1000)</f>
        <v>21.444179890772812</v>
      </c>
      <c r="AE346" s="301">
        <f>(AE351-AD351)*0.453592/(AE342/1000)</f>
        <v>18.796469009784296</v>
      </c>
      <c r="AF346" s="301">
        <f>(AF351-AE351)*0.453592/(AF342/1000)</f>
        <v>19.535595860864181</v>
      </c>
      <c r="AG346" s="301">
        <f>(AG351-AF351)*0.453592/(AG342/1000)</f>
        <v>18.863559596049374</v>
      </c>
      <c r="AH346" s="301">
        <f>(AH351-AG351)*0.453592/(AH342/1000)</f>
        <v>19.068699117447089</v>
      </c>
      <c r="AI346" s="301">
        <f>(AI351-AH351)*0.453592/(AI342/1000)</f>
        <v>22.831243462677289</v>
      </c>
      <c r="AK346" s="301">
        <f>(AK351-AK5)*0.453592/(AK342/1000)</f>
        <v>21.444179782635668</v>
      </c>
      <c r="AL346" s="301">
        <f>(AL351-AK351)*0.453592/(AL342/1000)</f>
        <v>18.842938639519613</v>
      </c>
      <c r="AM346" s="301">
        <f>(AM351-AL351)*0.453592/(AM342/1000)</f>
        <v>19.58766971147897</v>
      </c>
      <c r="AN346" s="301">
        <f>(AN351-AM351)*0.453592/(AN342/1000)</f>
        <v>18.943486432461576</v>
      </c>
      <c r="AO346" s="301">
        <f>(AO351-AN351)*0.453592/(AO342/1000)</f>
        <v>19.2025519527805</v>
      </c>
      <c r="AP346" s="301">
        <f>(AP351-AO351)*0.453592/(AP342/1000)</f>
        <v>23.066459694956379</v>
      </c>
      <c r="AR346" s="301">
        <f>(AR351-AR5)*0.453592/(AR342/1000)</f>
        <v>21.44417971995674</v>
      </c>
      <c r="AS346" s="301">
        <f>(AS351-AR351)*0.453592/(AS342/1000)</f>
        <v>18.870057380359263</v>
      </c>
      <c r="AT346" s="301">
        <f>(AT351-AS351)*0.453592/(AT342/1000)</f>
        <v>19.624219800758382</v>
      </c>
      <c r="AU346" s="301">
        <f>(AU351-AT351)*0.453592/(AU342/1000)</f>
        <v>19.010488839895785</v>
      </c>
      <c r="AV346" s="301">
        <f>(AV351-AU351)*0.453592/(AV342/1000)</f>
        <v>19.329693443243265</v>
      </c>
      <c r="AW346" s="301">
        <f>(AW351-AV351)*0.453592/(AW342/1000)</f>
        <v>23.297687961877848</v>
      </c>
    </row>
    <row r="347" spans="1:52" x14ac:dyDescent="0.25">
      <c r="A347" s="298" t="s">
        <v>482</v>
      </c>
      <c r="B347" s="299">
        <f t="shared" ref="B347:G347" si="240" xml:space="preserve"> 51.6684755267 + 7.1030096064 * (B251/1000) + 54.0870565413 * B236 + 1.6439820046 * B253 + 0.4039153805 * B316 - 20.5375389219 * B252 + 0.2869358688 *(AVERAGE(B5:B6)*0.453592) - 0.016597667 * B316 * B316 - 0.1531408962 * (B251/1000) * (AVERAGE(B5:B6)*0.453592) - 4.8153797375 * B236 * B253 + 0.5304361357 * B236 * (AVERAGE(B5:B6)*0.453592) + 0.9830652207 * B253 * B252 - 0.0127129553 * B253 *(AVERAGE(B5:B6)*0.453592)</f>
        <v>58.926946242378264</v>
      </c>
      <c r="C347" s="299">
        <f t="shared" si="240"/>
        <v>66.189194917789251</v>
      </c>
      <c r="D347" s="299">
        <f t="shared" si="240"/>
        <v>71.395755678401272</v>
      </c>
      <c r="E347" s="299">
        <f t="shared" si="240"/>
        <v>74.83136084114436</v>
      </c>
      <c r="F347" s="299">
        <f t="shared" si="240"/>
        <v>76.96558226351317</v>
      </c>
      <c r="G347" s="299">
        <f t="shared" si="240"/>
        <v>78.664524560378098</v>
      </c>
      <c r="I347" s="299">
        <f t="shared" ref="I347:N347" si="241" xml:space="preserve"> 51.6684755267 + 7.1030096064 * (I251/1000) + 54.0870565413 * I236 + 1.6439820046 * I253 + 0.4039153805 * I316 - 20.5375389219 * I252 + 0.2869358688 *(AVERAGE(I5:I6)*0.453592) - 0.016597667 * I316 * I316 - 0.1531408962 * (I251/1000) * (AVERAGE(I5:I6)*0.453592) - 4.8153797375 * I236 * I253 + 0.5304361357 * I236 * (AVERAGE(I5:I6)*0.453592) + 0.9830652207 * I253 * I252 - 0.0127129553 * I253 *(AVERAGE(I5:I6)*0.453592)</f>
        <v>59.256306467592132</v>
      </c>
      <c r="J347" s="299">
        <f t="shared" si="241"/>
        <v>66.367015134120294</v>
      </c>
      <c r="K347" s="299">
        <f t="shared" si="241"/>
        <v>71.46679607070223</v>
      </c>
      <c r="L347" s="299">
        <f t="shared" si="241"/>
        <v>74.814708578542152</v>
      </c>
      <c r="M347" s="299">
        <f t="shared" si="241"/>
        <v>76.870626445897727</v>
      </c>
      <c r="N347" s="299">
        <f t="shared" si="241"/>
        <v>78.493625382870434</v>
      </c>
      <c r="P347" s="299">
        <f t="shared" ref="P347:U347" si="242" xml:space="preserve"> 51.6684755267 + 7.1030096064 * (P251/1000) + 54.0870565413 * P236 + 1.6439820046 * P253 + 0.4039153805 * P316 - 20.5375389219 * P252 + 0.2869358688 *(AVERAGE(P5:P6)*0.453592) - 0.016597667 * P316 * P316 - 0.1531408962 * (P251/1000) * (AVERAGE(P5:P6)*0.453592) - 4.8153797375 * P236 * P253 + 0.5304361357 * P236 * (AVERAGE(P5:P6)*0.453592) + 0.9830652207 * P253 * P252 - 0.0127129553 * P253 *(AVERAGE(P5:P6)*0.453592)</f>
        <v>59.514103916213948</v>
      </c>
      <c r="Q347" s="299">
        <f t="shared" si="242"/>
        <v>66.499242398773589</v>
      </c>
      <c r="R347" s="299">
        <f t="shared" si="242"/>
        <v>71.502289957165786</v>
      </c>
      <c r="S347" s="299">
        <f t="shared" si="242"/>
        <v>74.770812876218599</v>
      </c>
      <c r="T347" s="299">
        <f t="shared" si="242"/>
        <v>76.74974151558925</v>
      </c>
      <c r="U347" s="299">
        <f t="shared" si="242"/>
        <v>78.301542938239308</v>
      </c>
      <c r="W347" s="299">
        <f t="shared" ref="W347:AB347" si="243" xml:space="preserve"> 51.6684755267 + 7.1030096064 * (W251/1000) + 54.0870565413 * W236 + 1.6439820046 * W253 + 0.4039153805 * W316 - 20.5375389219 * W252 + 0.2869358688 *(AVERAGE(W5:W6)*0.453592) - 0.016597667 * W316 * W316 - 0.1531408962 * (W251/1000) * (AVERAGE(W5:W6)*0.453592) - 4.8153797375 * W236 * W253 + 0.5304361357 * W236 * (AVERAGE(W5:W6)*0.453592) + 0.9830652207 * W253 * W252 - 0.0127129553 * W253 *(AVERAGE(W5:W6)*0.453592)</f>
        <v>59.752063785782312</v>
      </c>
      <c r="X347" s="299">
        <f t="shared" si="243"/>
        <v>66.608813671194355</v>
      </c>
      <c r="Y347" s="299">
        <f t="shared" si="243"/>
        <v>71.525998193160518</v>
      </c>
      <c r="Z347" s="299">
        <f t="shared" si="243"/>
        <v>74.699496213849145</v>
      </c>
      <c r="AA347" s="299">
        <f t="shared" si="243"/>
        <v>76.598094339391096</v>
      </c>
      <c r="AB347" s="299">
        <f t="shared" si="243"/>
        <v>78.07435509612759</v>
      </c>
      <c r="AD347" s="299">
        <f t="shared" ref="AD347:AI347" si="244" xml:space="preserve"> 51.6684755267 + 7.1030096064 * (AD251/1000) + 54.0870565413 * AD236 + 1.6439820046 * AD253 + 0.4039153805 * AD316 - 20.5375389219 * AD252 + 0.2869358688 *(AVERAGE(AD5:AD6)*0.453592) - 0.016597667 * AD316 * AD316 - 0.1531408962 * (AD251/1000) * (AVERAGE(AD5:AD6)*0.453592) - 4.8153797375 * AD236 * AD253 + 0.5304361357 * AD236 * (AVERAGE(AD5:AD6)*0.453592) + 0.9830652207 * AD253 * AD252 - 0.0127129553 * AD253 *(AVERAGE(AD5:AD6)*0.453592)</f>
        <v>59.973458805908173</v>
      </c>
      <c r="AE347" s="299">
        <f t="shared" si="244"/>
        <v>66.719667287807752</v>
      </c>
      <c r="AF347" s="299">
        <f t="shared" si="244"/>
        <v>71.522174498494138</v>
      </c>
      <c r="AG347" s="299">
        <f t="shared" si="244"/>
        <v>74.601166796203174</v>
      </c>
      <c r="AH347" s="299">
        <f t="shared" si="244"/>
        <v>76.418925247056848</v>
      </c>
      <c r="AI347" s="299">
        <f t="shared" si="244"/>
        <v>77.822590450270184</v>
      </c>
      <c r="AK347" s="299">
        <f t="shared" ref="AK347:AP347" si="245" xml:space="preserve"> 51.6684755267 + 7.1030096064 * (AK251/1000) + 54.0870565413 * AK236 + 1.6439820046 * AK253 + 0.4039153805 * AK316 - 20.5375389219 * AK252 + 0.2869358688 *(AVERAGE(AK5:AK6)*0.453592) - 0.016597667 * AK316 * AK316 - 0.1531408962 * (AK251/1000) * (AVERAGE(AK5:AK6)*0.453592) - 4.8153797375 * AK236 * AK253 + 0.5304361357 * AK236 * (AVERAGE(AK5:AK6)*0.453592) + 0.9830652207 * AK253 * AK252 - 0.0127129553 * AK253 *(AVERAGE(AK5:AK6)*0.453592)</f>
        <v>60.166396912108425</v>
      </c>
      <c r="AL347" s="299">
        <f t="shared" si="245"/>
        <v>66.800023372360315</v>
      </c>
      <c r="AM347" s="299">
        <f t="shared" si="245"/>
        <v>71.49279477845046</v>
      </c>
      <c r="AN347" s="299">
        <f t="shared" si="245"/>
        <v>74.477267086053544</v>
      </c>
      <c r="AO347" s="299">
        <f t="shared" si="245"/>
        <v>76.214163950856815</v>
      </c>
      <c r="AP347" s="299">
        <f t="shared" si="245"/>
        <v>77.544660131999564</v>
      </c>
      <c r="AR347" s="299">
        <f t="shared" ref="AR347:AW347" si="246" xml:space="preserve"> 51.6684755267 + 7.1030096064 * (AR251/1000) + 54.0870565413 * AR236 + 1.6439820046 * AR253 + 0.4039153805 * AR316 - 20.5375389219 * AR252 + 0.2869358688 *(AVERAGE(AR5:AR6)*0.453592) - 0.016597667 * AR316 * AR316 - 0.1531408962 * (AR251/1000) * (AVERAGE(AR5:AR6)*0.453592) - 4.8153797375 * AR236 * AR253 + 0.5304361357 * AR236 * (AVERAGE(AR5:AR6)*0.453592) + 0.9830652207 * AR253 * AR252 - 0.0127129553 * AR253 *(AVERAGE(AR5:AR6)*0.453592)</f>
        <v>60.276466664575793</v>
      </c>
      <c r="AS347" s="299">
        <f t="shared" si="246"/>
        <v>66.859194238658858</v>
      </c>
      <c r="AT347" s="299">
        <f t="shared" si="246"/>
        <v>71.437507554301305</v>
      </c>
      <c r="AU347" s="299">
        <f t="shared" si="246"/>
        <v>74.329152219885884</v>
      </c>
      <c r="AV347" s="299">
        <f t="shared" si="246"/>
        <v>75.98395173551873</v>
      </c>
      <c r="AW347" s="299">
        <f t="shared" si="246"/>
        <v>77.240458431752501</v>
      </c>
    </row>
    <row r="348" spans="1:52" x14ac:dyDescent="0.25">
      <c r="A348" s="298" t="s">
        <v>474</v>
      </c>
      <c r="B348" s="299">
        <f t="shared" ref="B348:G348" si="247" xml:space="preserve"> 41.4410513954 + (14.8656283053 * B236) - (0.6326892081 * B253) - (12.1380129342 * B252) -
(0.0133880688 * (B253^2)) + (1.1112817574 * (B252^2))</f>
        <v>9.5560371255009784</v>
      </c>
      <c r="C348" s="299">
        <f t="shared" si="247"/>
        <v>10.757396605242121</v>
      </c>
      <c r="D348" s="299">
        <f t="shared" si="247"/>
        <v>12.259709285644082</v>
      </c>
      <c r="E348" s="299">
        <f t="shared" si="247"/>
        <v>14.049104759357949</v>
      </c>
      <c r="F348" s="299">
        <f t="shared" si="247"/>
        <v>15.652515990358797</v>
      </c>
      <c r="G348" s="299">
        <f t="shared" si="247"/>
        <v>16.585997021003028</v>
      </c>
      <c r="I348" s="299">
        <f t="shared" ref="I348:N348" si="248" xml:space="preserve"> 41.4410513954 + (14.8656283053 * I236) - (0.6326892081 * I253) - (12.1380129342 * I252) -
(0.0133880688 * (I253^2)) + (1.1112817574 * (I252^2))</f>
        <v>9.1030847275408817</v>
      </c>
      <c r="J348" s="299">
        <f t="shared" si="248"/>
        <v>10.305509878608344</v>
      </c>
      <c r="K348" s="299">
        <f t="shared" si="248"/>
        <v>11.80655762230802</v>
      </c>
      <c r="L348" s="299">
        <f t="shared" si="248"/>
        <v>13.606325223804614</v>
      </c>
      <c r="M348" s="299">
        <f t="shared" si="248"/>
        <v>15.234798120870087</v>
      </c>
      <c r="N348" s="299">
        <f t="shared" si="248"/>
        <v>16.167571198992839</v>
      </c>
      <c r="P348" s="299">
        <f t="shared" ref="P348:U348" si="249" xml:space="preserve"> 41.4410513954 + (14.8656283053 * P236) - (0.6326892081 * P253) - (12.1380129342 * P252) -
(0.0133880688 * (P253^2)) + (1.1112817574 * (P252^2))</f>
        <v>8.6249365428602918</v>
      </c>
      <c r="Q348" s="299">
        <f t="shared" si="249"/>
        <v>9.8263274993130985</v>
      </c>
      <c r="R348" s="299">
        <f t="shared" si="249"/>
        <v>11.330481300635393</v>
      </c>
      <c r="S348" s="299">
        <f t="shared" si="249"/>
        <v>13.161962974540518</v>
      </c>
      <c r="T348" s="299">
        <f t="shared" si="249"/>
        <v>14.79370407992214</v>
      </c>
      <c r="U348" s="299">
        <f t="shared" si="249"/>
        <v>15.731666096979342</v>
      </c>
      <c r="W348" s="299">
        <f t="shared" ref="W348:AB348" si="250" xml:space="preserve"> 41.4410513954 + (14.8656283053 * W236) - (0.6326892081 * W253) - (12.1380129342 * W252) -
(0.0133880688 * (W253^2)) + (1.1112817574 * (W252^2))</f>
        <v>8.1423115986948211</v>
      </c>
      <c r="X348" s="299">
        <f t="shared" si="250"/>
        <v>9.3449814882317455</v>
      </c>
      <c r="Y348" s="299">
        <f t="shared" si="250"/>
        <v>10.876068590363264</v>
      </c>
      <c r="Z348" s="299">
        <f t="shared" si="250"/>
        <v>12.703476594817129</v>
      </c>
      <c r="AA348" s="299">
        <f t="shared" si="250"/>
        <v>14.33860576939837</v>
      </c>
      <c r="AB348" s="299">
        <f t="shared" si="250"/>
        <v>15.284909959372253</v>
      </c>
      <c r="AD348" s="299">
        <f t="shared" ref="AD348:AI348" si="251" xml:space="preserve"> 41.4410513954 + (14.8656283053 * AD236) - (0.6326892081 * AD253) - (12.1380129342 * AD252) -
(0.0133880688 * (AD253^2)) + (1.1112817574 * (AD252^2))</f>
        <v>7.6556553743262796</v>
      </c>
      <c r="AE348" s="299">
        <f t="shared" si="251"/>
        <v>8.879947331605095</v>
      </c>
      <c r="AF348" s="299">
        <f t="shared" si="251"/>
        <v>10.409077879673632</v>
      </c>
      <c r="AG348" s="299">
        <f t="shared" si="251"/>
        <v>12.235613105516206</v>
      </c>
      <c r="AH348" s="299">
        <f t="shared" si="251"/>
        <v>13.884315353758383</v>
      </c>
      <c r="AI348" s="299">
        <f t="shared" si="251"/>
        <v>14.836855379516226</v>
      </c>
      <c r="AK348" s="299">
        <f t="shared" ref="AK348:AP348" si="252" xml:space="preserve"> 41.4410513954 + (14.8656283053 * AK236) - (0.6326892081 * AK253) - (12.1380129342 * AK252) -
(0.0133880688 * (AK253^2)) + (1.1112817574 * (AK252^2))</f>
        <v>7.161747877848704</v>
      </c>
      <c r="AL348" s="299">
        <f t="shared" si="252"/>
        <v>8.4084256625830598</v>
      </c>
      <c r="AM348" s="299">
        <f t="shared" si="252"/>
        <v>9.9334328557634741</v>
      </c>
      <c r="AN348" s="299">
        <f t="shared" si="252"/>
        <v>11.76815195558817</v>
      </c>
      <c r="AO348" s="299">
        <f t="shared" si="252"/>
        <v>13.428627470540391</v>
      </c>
      <c r="AP348" s="299">
        <f t="shared" si="252"/>
        <v>14.385908716439655</v>
      </c>
      <c r="AR348" s="299">
        <f t="shared" ref="AR348:AW348" si="253" xml:space="preserve"> 41.4410513954 + (14.8656283053 * AR236) - (0.6326892081 * AR253) - (12.1380129342 * AR252) -
(0.0133880688 * (AR253^2)) + (1.1112817574 * (AR252^2))</f>
        <v>6.6356117359756333</v>
      </c>
      <c r="AS348" s="299">
        <f t="shared" si="253"/>
        <v>7.9284471969483086</v>
      </c>
      <c r="AT348" s="299">
        <f t="shared" si="253"/>
        <v>9.445868384140848</v>
      </c>
      <c r="AU348" s="299">
        <f t="shared" si="253"/>
        <v>11.297682804889151</v>
      </c>
      <c r="AV348" s="299">
        <f t="shared" si="253"/>
        <v>12.969505073923386</v>
      </c>
      <c r="AW348" s="299">
        <f t="shared" si="253"/>
        <v>13.931535062420066</v>
      </c>
    </row>
    <row r="349" spans="1:52" x14ac:dyDescent="0.25">
      <c r="A349" s="298" t="s">
        <v>483</v>
      </c>
      <c r="B349" s="299">
        <f t="shared" ref="B349:G349" si="254" xml:space="preserve"> -16.7992454106 + 17.2658536059 * (B251/1000) - 106.6634904715 * B236 + 0.1550376119 * B253 - 0.0727312562 * B316 + 48.6541457906 * B252 - 0.1535643762 * B253 * B253 - 0.0358142801 * B316 * B316 - 5.4618633046 * B252 * B252 + 4.2267870055 * B236 * B253 - 2.0313848595 * B236 * B316 + 0.1484978883 * B253 * B316</f>
        <v>51.865570489059841</v>
      </c>
      <c r="C349" s="299">
        <f t="shared" si="254"/>
        <v>57.191564116130472</v>
      </c>
      <c r="D349" s="299">
        <f t="shared" si="254"/>
        <v>59.985859623399051</v>
      </c>
      <c r="E349" s="299">
        <f t="shared" si="254"/>
        <v>60.902879894464405</v>
      </c>
      <c r="F349" s="299">
        <f t="shared" si="254"/>
        <v>60.770621726469166</v>
      </c>
      <c r="G349" s="299">
        <f t="shared" si="254"/>
        <v>60.466263275736296</v>
      </c>
      <c r="I349" s="299">
        <f t="shared" ref="I349:N349" si="255" xml:space="preserve"> -16.7992454106 + 17.2658536059 * (I251/1000) - 106.6634904715 * I236 + 0.1550376119 * I253 - 0.0727312562 * I316 + 48.6541457906 * I252 - 0.1535643762 * I253 * I253 - 0.0358142801 * I316 * I316 - 5.4618633046 * I252 * I252 + 4.2267870055 * I236 * I253 - 2.0313848595 * I236 * I316 + 0.1484978883 * I253 * I316</f>
        <v>51.760378730115342</v>
      </c>
      <c r="J349" s="299">
        <f t="shared" si="255"/>
        <v>57.116711951056431</v>
      </c>
      <c r="K349" s="299">
        <f t="shared" si="255"/>
        <v>59.941048790236486</v>
      </c>
      <c r="L349" s="299">
        <f t="shared" si="255"/>
        <v>60.8598012284709</v>
      </c>
      <c r="M349" s="299">
        <f t="shared" si="255"/>
        <v>60.7084798007822</v>
      </c>
      <c r="N349" s="299">
        <f t="shared" si="255"/>
        <v>60.395140309021286</v>
      </c>
      <c r="P349" s="299">
        <f t="shared" ref="P349:U349" si="256" xml:space="preserve"> -16.7992454106 + 17.2658536059 * (P251/1000) - 106.6634904715 * P236 + 0.1550376119 * P253 - 0.0727312562 * P316 + 48.6541457906 * P252 - 0.1535643762 * P253 * P253 - 0.0358142801 * P316 * P316 - 5.4618633046 * P252 * P252 + 4.2267870055 * P236 * P253 - 2.0313848595 * P236 * P316 + 0.1484978883 * P253 * P316</f>
        <v>51.564383022474743</v>
      </c>
      <c r="Q349" s="299">
        <f t="shared" si="256"/>
        <v>57.004125727873273</v>
      </c>
      <c r="R349" s="299">
        <f t="shared" si="256"/>
        <v>59.875239356438691</v>
      </c>
      <c r="S349" s="299">
        <f t="shared" si="256"/>
        <v>60.812923277768796</v>
      </c>
      <c r="T349" s="299">
        <f t="shared" si="256"/>
        <v>60.647135830635534</v>
      </c>
      <c r="U349" s="299">
        <f t="shared" si="256"/>
        <v>60.324071240925804</v>
      </c>
      <c r="W349" s="299">
        <f t="shared" ref="W349:AB349" si="257" xml:space="preserve"> -16.7992454106 + 17.2658536059 * (W251/1000) - 106.6634904715 * W236 + 0.1550376119 * W253 - 0.0727312562 * W316 + 48.6541457906 * W252 - 0.1535643762 * W253 * W253 - 0.0358142801 * W316 * W316 - 5.4618633046 * W252 * W252 + 4.2267870055 * W236 * W253 - 2.0313848595 * W236 * W316 + 0.1484978883 * W253 * W316</f>
        <v>51.36375182922437</v>
      </c>
      <c r="X349" s="299">
        <f t="shared" si="257"/>
        <v>56.884900906553185</v>
      </c>
      <c r="Y349" s="299">
        <f t="shared" si="257"/>
        <v>59.824341205821518</v>
      </c>
      <c r="Z349" s="299">
        <f t="shared" si="257"/>
        <v>60.761990922695603</v>
      </c>
      <c r="AA349" s="299">
        <f t="shared" si="257"/>
        <v>60.586855208223852</v>
      </c>
      <c r="AB349" s="299">
        <f t="shared" si="257"/>
        <v>60.253590357412463</v>
      </c>
      <c r="AD349" s="299">
        <f t="shared" ref="AD349:AI349" si="258" xml:space="preserve"> -16.7992454106 + 17.2658536059 * (AD251/1000) - 106.6634904715 * AD236 + 0.1550376119 * AD253 - 0.0727312562 * AD316 + 48.6541457906 * AD252 - 0.1535643762 * AD253 * AD253 - 0.0358142801 * AD316 * AD316 - 5.4618633046 * AD252 * AD252 + 4.2267870055 * AD236 * AD253 - 2.0313848595 * AD236 * AD316 + 0.1484978883 * AD253 * AD316</f>
        <v>51.164803681444724</v>
      </c>
      <c r="AE349" s="299">
        <f t="shared" si="258"/>
        <v>56.801760235365194</v>
      </c>
      <c r="AF349" s="299">
        <f t="shared" si="258"/>
        <v>59.766387181758517</v>
      </c>
      <c r="AG349" s="299">
        <f t="shared" si="258"/>
        <v>60.710785086977566</v>
      </c>
      <c r="AH349" s="299">
        <f t="shared" si="258"/>
        <v>60.522198947372814</v>
      </c>
      <c r="AI349" s="299">
        <f t="shared" si="258"/>
        <v>60.17894694782531</v>
      </c>
      <c r="AK349" s="299">
        <f t="shared" ref="AK349:AP349" si="259" xml:space="preserve"> -16.7992454106 + 17.2658536059 * (AK251/1000) - 106.6634904715 * AK236 + 0.1550376119 * AK253 - 0.0727312562 * AK316 + 48.6541457906 * AK252 - 0.1535643762 * AK253 * AK253 - 0.0358142801 * AK316 * AK316 - 5.4618633046 * AK252 * AK252 + 4.2267870055 * AK236 * AK253 - 2.0313848595 * AK236 * AK316 + 0.1484978883 * AK253 * AK316</f>
        <v>50.94290975293066</v>
      </c>
      <c r="AL349" s="299">
        <f t="shared" si="259"/>
        <v>56.69976786992531</v>
      </c>
      <c r="AM349" s="299">
        <f t="shared" si="259"/>
        <v>59.703609749018526</v>
      </c>
      <c r="AN349" s="299">
        <f t="shared" si="259"/>
        <v>60.655471088189302</v>
      </c>
      <c r="AO349" s="299">
        <f t="shared" si="259"/>
        <v>60.452970367087858</v>
      </c>
      <c r="AP349" s="299">
        <f t="shared" si="259"/>
        <v>60.099592040766282</v>
      </c>
      <c r="AR349" s="299">
        <f t="shared" ref="AR349:AW349" si="260" xml:space="preserve"> -16.7992454106 + 17.2658536059 * (AR251/1000) - 106.6634904715 * AR236 + 0.1550376119 * AR253 - 0.0727312562 * AR316 + 48.6541457906 * AR252 - 0.1535643762 * AR253 * AR253 - 0.0358142801 * AR316 * AR316 - 5.4618633046 * AR252 * AR252 + 4.2267870055 * AR236 * AR253 - 2.0313848595 * AR236 * AR316 + 0.1484978883 * AR253 * AR316</f>
        <v>50.580550318529227</v>
      </c>
      <c r="AS349" s="299">
        <f t="shared" si="260"/>
        <v>56.598490848196249</v>
      </c>
      <c r="AT349" s="299">
        <f t="shared" si="260"/>
        <v>59.635455727621</v>
      </c>
      <c r="AU349" s="299">
        <f t="shared" si="260"/>
        <v>60.596415736436171</v>
      </c>
      <c r="AV349" s="299">
        <f t="shared" si="260"/>
        <v>60.379503525965447</v>
      </c>
      <c r="AW349" s="299">
        <f t="shared" si="260"/>
        <v>60.015877351282917</v>
      </c>
    </row>
    <row r="350" spans="1:52" x14ac:dyDescent="0.25">
      <c r="A350" s="298" t="s">
        <v>484</v>
      </c>
      <c r="B350" s="299">
        <f t="shared" ref="B350:G350" si="261" xml:space="preserve"> 49.3215904687 - 4.5564383267 * (B251/1000) + 31.3355706686 * B236 + 0.0864922401 * B253 - 16.201377828 * B236 * B236</f>
        <v>53.767985207144591</v>
      </c>
      <c r="C350" s="299">
        <f t="shared" si="261"/>
        <v>54.221957863966054</v>
      </c>
      <c r="D350" s="299">
        <f t="shared" si="261"/>
        <v>54.11985087991409</v>
      </c>
      <c r="E350" s="299">
        <f t="shared" si="261"/>
        <v>53.644786108848308</v>
      </c>
      <c r="F350" s="299">
        <f t="shared" si="261"/>
        <v>53.100859923606755</v>
      </c>
      <c r="G350" s="299">
        <f t="shared" si="261"/>
        <v>52.737723960313936</v>
      </c>
      <c r="I350" s="299">
        <f t="shared" ref="I350:N350" si="262" xml:space="preserve"> 49.3215904687 - 4.5564383267 * (I251/1000) + 31.3355706686 * I236 + 0.0864922401 * I253 - 16.201377828 * I236 * I236</f>
        <v>53.956077548996447</v>
      </c>
      <c r="J350" s="299">
        <f t="shared" si="262"/>
        <v>54.366625145917489</v>
      </c>
      <c r="K350" s="299">
        <f t="shared" si="262"/>
        <v>54.234757433588257</v>
      </c>
      <c r="L350" s="299">
        <f t="shared" si="262"/>
        <v>53.742359587401396</v>
      </c>
      <c r="M350" s="299">
        <f t="shared" si="262"/>
        <v>53.183906533208742</v>
      </c>
      <c r="N350" s="299">
        <f t="shared" si="262"/>
        <v>52.816819701326807</v>
      </c>
      <c r="P350" s="299">
        <f t="shared" ref="P350:U350" si="263" xml:space="preserve"> 49.3215904687 - 4.5564383267 * (P251/1000) + 31.3355706686 * P236 + 0.0864922401 * P253 - 16.201377828 * P236 * P236</f>
        <v>54.132567492720966</v>
      </c>
      <c r="Q350" s="299">
        <f t="shared" si="263"/>
        <v>54.508201757543986</v>
      </c>
      <c r="R350" s="299">
        <f t="shared" si="263"/>
        <v>54.35234124423387</v>
      </c>
      <c r="S350" s="299">
        <f t="shared" si="263"/>
        <v>53.837272757177388</v>
      </c>
      <c r="T350" s="299">
        <f t="shared" si="263"/>
        <v>53.27123913416856</v>
      </c>
      <c r="U350" s="299">
        <f t="shared" si="263"/>
        <v>52.900355371867242</v>
      </c>
      <c r="W350" s="299">
        <f t="shared" ref="W350:AB350" si="264" xml:space="preserve"> 49.3215904687 - 4.5564383267 * (W251/1000) + 31.3355706686 * W236 + 0.0864922401 * W253 - 16.201377828 * W236 * W236</f>
        <v>54.307004225333472</v>
      </c>
      <c r="X350" s="299">
        <f t="shared" si="264"/>
        <v>54.648121880587475</v>
      </c>
      <c r="Y350" s="299">
        <f t="shared" si="264"/>
        <v>54.463469021621179</v>
      </c>
      <c r="Z350" s="299">
        <f t="shared" si="264"/>
        <v>53.933215354730756</v>
      </c>
      <c r="AA350" s="299">
        <f t="shared" si="264"/>
        <v>53.358066482317938</v>
      </c>
      <c r="AB350" s="299">
        <f t="shared" si="264"/>
        <v>52.983438539180334</v>
      </c>
      <c r="AD350" s="299">
        <f t="shared" ref="AD350:AI350" si="265" xml:space="preserve"> 49.3215904687 - 4.5564383267 * (AD251/1000) + 31.3355706686 * AD236 + 0.0864922401 * AD253 - 16.201377828 * AD236 * AD236</f>
        <v>54.479807730815537</v>
      </c>
      <c r="AE350" s="299">
        <f t="shared" si="265"/>
        <v>54.78611423596584</v>
      </c>
      <c r="AF350" s="299">
        <f t="shared" si="265"/>
        <v>54.574045893424795</v>
      </c>
      <c r="AG350" s="299">
        <f t="shared" si="265"/>
        <v>54.027666739240473</v>
      </c>
      <c r="AH350" s="299">
        <f t="shared" si="265"/>
        <v>53.446946471505626</v>
      </c>
      <c r="AI350" s="299">
        <f t="shared" si="265"/>
        <v>53.069257579100167</v>
      </c>
      <c r="AK350" s="299">
        <f t="shared" ref="AK350:AP350" si="266" xml:space="preserve"> 49.3215904687 - 4.5564383267 * (AK251/1000) + 31.3355706686 * AK236 + 0.0864922401 * AK253 - 16.201377828 * AK236 * AK236</f>
        <v>54.649163636177029</v>
      </c>
      <c r="AL350" s="299">
        <f t="shared" si="266"/>
        <v>54.922113926009153</v>
      </c>
      <c r="AM350" s="299">
        <f t="shared" si="266"/>
        <v>54.683565008213925</v>
      </c>
      <c r="AN350" s="299">
        <f t="shared" si="266"/>
        <v>54.124115745648581</v>
      </c>
      <c r="AO350" s="299">
        <f t="shared" si="266"/>
        <v>53.535689017141308</v>
      </c>
      <c r="AP350" s="299">
        <f t="shared" si="266"/>
        <v>53.153875377100881</v>
      </c>
      <c r="AR350" s="299">
        <f t="shared" ref="AR350:AW350" si="267" xml:space="preserve"> 49.3215904687 - 4.5564383267 * (AR251/1000) + 31.3355706686 * AR236 + 0.0864922401 * AR253 - 16.201377828 * AR236 * AR236</f>
        <v>54.807012934984947</v>
      </c>
      <c r="AS350" s="299">
        <f t="shared" si="267"/>
        <v>55.055937715870606</v>
      </c>
      <c r="AT350" s="299">
        <f t="shared" si="267"/>
        <v>54.792747672122793</v>
      </c>
      <c r="AU350" s="299">
        <f t="shared" si="267"/>
        <v>54.222094315597218</v>
      </c>
      <c r="AV350" s="299">
        <f t="shared" si="267"/>
        <v>53.623204458478163</v>
      </c>
      <c r="AW350" s="299">
        <f t="shared" si="267"/>
        <v>53.237357021304462</v>
      </c>
    </row>
    <row r="351" spans="1:52" x14ac:dyDescent="0.25">
      <c r="A351" s="298" t="s">
        <v>513</v>
      </c>
      <c r="B351" s="364">
        <f t="shared" ref="B351:G351" si="268">B5+(B342*0.00220462*B346)</f>
        <v>84.999929826400006</v>
      </c>
      <c r="C351" s="364">
        <f t="shared" si="268"/>
        <v>119.99992982640001</v>
      </c>
      <c r="D351" s="364">
        <f t="shared" si="268"/>
        <v>159.99991980159999</v>
      </c>
      <c r="E351" s="364">
        <f t="shared" si="268"/>
        <v>199.99991980160002</v>
      </c>
      <c r="F351" s="364">
        <f t="shared" si="268"/>
        <v>239.99991980159999</v>
      </c>
      <c r="G351" s="364">
        <f t="shared" si="268"/>
        <v>284.9999097768</v>
      </c>
      <c r="H351" s="7"/>
      <c r="I351" s="364">
        <f>$B$351-I268</f>
        <v>84.747276956008861</v>
      </c>
      <c r="J351" s="364">
        <f>$C$351-J268</f>
        <v>119.77801757161166</v>
      </c>
      <c r="K351" s="364">
        <f>$D$351-K268</f>
        <v>159.73395914661489</v>
      </c>
      <c r="L351" s="364">
        <f>$E$351-L268</f>
        <v>199.66150925488392</v>
      </c>
      <c r="M351" s="364">
        <f>$F$351-M268</f>
        <v>239.52454714962926</v>
      </c>
      <c r="N351" s="364">
        <f>$G$351-N268</f>
        <v>284.21473335297884</v>
      </c>
      <c r="O351" s="2"/>
      <c r="P351" s="364">
        <f>$B$351-P268</f>
        <v>84.55252302062118</v>
      </c>
      <c r="Q351" s="364">
        <f>$C$351-Q268</f>
        <v>119.60212968231728</v>
      </c>
      <c r="R351" s="364">
        <f>$D$351-R268</f>
        <v>159.50744006478919</v>
      </c>
      <c r="S351" s="364">
        <f>$E$351-S268</f>
        <v>199.34128423138765</v>
      </c>
      <c r="T351" s="364">
        <f>$F$351-T268</f>
        <v>239.07553979521069</v>
      </c>
      <c r="U351" s="364">
        <f>$G$351-U268</f>
        <v>283.45742365985353</v>
      </c>
      <c r="V351" s="2"/>
      <c r="W351" s="364">
        <f>$B$351-W268</f>
        <v>84.39428801758379</v>
      </c>
      <c r="X351" s="364">
        <f>$C$351-X268</f>
        <v>119.45174087494144</v>
      </c>
      <c r="Y351" s="364">
        <f>$D$351-Y268</f>
        <v>159.2873712188354</v>
      </c>
      <c r="Z351" s="364">
        <f>$E$351-Z268</f>
        <v>199.04694664571142</v>
      </c>
      <c r="AA351" s="364">
        <f>$F$351-AA268</f>
        <v>238.64221737246044</v>
      </c>
      <c r="AB351" s="364">
        <f>$G$351-AB268</f>
        <v>282.70346660530714</v>
      </c>
      <c r="AC351" s="2"/>
      <c r="AD351" s="364">
        <f>$B$351-AD268</f>
        <v>84.272801566589351</v>
      </c>
      <c r="AE351" s="364">
        <f>$C$351-AE268</f>
        <v>119.3176547846159</v>
      </c>
      <c r="AF351" s="364">
        <f>$D$351-AF268</f>
        <v>159.09838729787106</v>
      </c>
      <c r="AG351" s="364">
        <f>$E$351-AG268</f>
        <v>198.77286767070169</v>
      </c>
      <c r="AH351" s="364">
        <f>$F$351-AH268</f>
        <v>238.2138709800642</v>
      </c>
      <c r="AI351" s="364">
        <f>$G$351-AI268</f>
        <v>281.95164346889794</v>
      </c>
      <c r="AJ351" s="2"/>
      <c r="AK351" s="364">
        <f>$B$351-AK268</f>
        <v>84.18859936367906</v>
      </c>
      <c r="AL351" s="364">
        <f>$C$351-AL268</f>
        <v>119.21486009591908</v>
      </c>
      <c r="AM351" s="364">
        <f>$D$351-AM268</f>
        <v>158.93747306067789</v>
      </c>
      <c r="AN351" s="364">
        <f>$E$351-AN268</f>
        <v>198.51221770330227</v>
      </c>
      <c r="AO351" s="364">
        <f>$F$351-AO268</f>
        <v>237.80207112934988</v>
      </c>
      <c r="AP351" s="364">
        <f>$G$351-AP268</f>
        <v>281.22382353485239</v>
      </c>
      <c r="AQ351" s="2"/>
      <c r="AR351" s="364">
        <f>$B$351-AR268</f>
        <v>84.13998283768683</v>
      </c>
      <c r="AS351" s="364">
        <f>$C$351-AS268</f>
        <v>119.14366055462939</v>
      </c>
      <c r="AT351" s="364">
        <f>$D$351-AT268</f>
        <v>158.80505728247883</v>
      </c>
      <c r="AU351" s="364">
        <f>$E$351-AU268</f>
        <v>198.27012288337207</v>
      </c>
      <c r="AV351" s="364">
        <f>$F$351-AV268</f>
        <v>237.41177100868285</v>
      </c>
      <c r="AW351" s="364">
        <f>$G$351-AW268</f>
        <v>280.51964318231796</v>
      </c>
      <c r="AX351" s="2"/>
      <c r="AY351" s="7"/>
      <c r="AZ351" s="2"/>
    </row>
    <row r="352" spans="1:52" x14ac:dyDescent="0.25">
      <c r="A352" s="298" t="s">
        <v>514</v>
      </c>
      <c r="B352" s="364">
        <v>0</v>
      </c>
      <c r="C352" s="364">
        <v>0</v>
      </c>
      <c r="D352" s="364">
        <v>0</v>
      </c>
      <c r="E352" s="364">
        <v>0</v>
      </c>
      <c r="F352" s="364">
        <v>0</v>
      </c>
      <c r="G352" s="364">
        <v>0</v>
      </c>
      <c r="H352" s="7"/>
      <c r="I352" s="364">
        <v>0</v>
      </c>
      <c r="J352" s="364">
        <v>0</v>
      </c>
      <c r="K352" s="364">
        <v>0</v>
      </c>
      <c r="L352" s="364">
        <v>0</v>
      </c>
      <c r="M352" s="364">
        <v>0</v>
      </c>
      <c r="N352" s="364">
        <v>0</v>
      </c>
      <c r="O352" s="2"/>
      <c r="P352" s="364">
        <v>0</v>
      </c>
      <c r="Q352" s="364">
        <v>0</v>
      </c>
      <c r="R352" s="364">
        <v>0</v>
      </c>
      <c r="S352" s="364">
        <v>0</v>
      </c>
      <c r="T352" s="364">
        <v>0</v>
      </c>
      <c r="U352" s="364">
        <v>0</v>
      </c>
      <c r="V352" s="2"/>
      <c r="W352" s="364">
        <v>0</v>
      </c>
      <c r="X352" s="364">
        <v>0</v>
      </c>
      <c r="Y352" s="364">
        <v>0</v>
      </c>
      <c r="Z352" s="364">
        <v>0</v>
      </c>
      <c r="AA352" s="364">
        <v>0</v>
      </c>
      <c r="AB352" s="364">
        <v>0</v>
      </c>
      <c r="AC352" s="2"/>
      <c r="AD352" s="364">
        <v>0</v>
      </c>
      <c r="AE352" s="364">
        <v>0</v>
      </c>
      <c r="AF352" s="364">
        <v>0</v>
      </c>
      <c r="AG352" s="364">
        <v>0</v>
      </c>
      <c r="AH352" s="364">
        <v>0</v>
      </c>
      <c r="AI352" s="364">
        <v>0</v>
      </c>
      <c r="AJ352" s="2"/>
      <c r="AK352" s="364">
        <v>0</v>
      </c>
      <c r="AL352" s="364">
        <v>0</v>
      </c>
      <c r="AM352" s="364">
        <v>0</v>
      </c>
      <c r="AN352" s="364">
        <v>0</v>
      </c>
      <c r="AO352" s="364">
        <v>0</v>
      </c>
      <c r="AP352" s="364">
        <v>0</v>
      </c>
      <c r="AQ352" s="2"/>
      <c r="AR352" s="364">
        <v>0</v>
      </c>
      <c r="AS352" s="364">
        <v>0</v>
      </c>
      <c r="AT352" s="364">
        <v>0</v>
      </c>
      <c r="AU352" s="364">
        <v>0</v>
      </c>
      <c r="AV352" s="364">
        <v>0</v>
      </c>
      <c r="AW352" s="364">
        <v>0</v>
      </c>
      <c r="AX352" s="2"/>
    </row>
    <row r="353" spans="1:57" ht="14.4" x14ac:dyDescent="0.3">
      <c r="A353" s="365" t="s">
        <v>515</v>
      </c>
      <c r="B353" s="462">
        <f xml:space="preserve"> 0.03492* B352 - 0.05092 * B316 - 0.06897 * B316 - 0.00289 * (B316 * B352) + 'DDGS Calculator'!$G$9</f>
        <v>73.972551185589822</v>
      </c>
      <c r="C353" s="462">
        <f xml:space="preserve"> 0.03492* C352 - 0.05092 * B316- 0.06897 * C316 - 0.00289 * (C316 * C352) + 'DDGS Calculator'!$G$9</f>
        <v>73.967590114943533</v>
      </c>
      <c r="D353" s="462">
        <f xml:space="preserve"> 0.03492* D352 - 0.05092 * C316- 0.06897 * D316 - 0.00289 * (D316 * D352) + 'DDGS Calculator'!$G$9</f>
        <v>73.959502824315024</v>
      </c>
      <c r="E353" s="462">
        <f xml:space="preserve"> 0.03492* E352 - 0.05092 * D316- 0.06897 * E316 - 0.00289 * (E316 * E352) + 'DDGS Calculator'!$G$9</f>
        <v>73.952564091992727</v>
      </c>
      <c r="F353" s="462">
        <f xml:space="preserve"> 0.03492* F352 - 0.05092 * E316- 0.06897 * F316 - 0.00289 * (F316 * F352) + 'DDGS Calculator'!$G$9</f>
        <v>73.947050097444134</v>
      </c>
      <c r="G353" s="462">
        <f xml:space="preserve"> 0.03492* G352 - 0.05092 * F316- 0.06897 * G316 - 0.00289 * (G316 * G352) + 'DDGS Calculator'!$G$9</f>
        <v>73.9437035156581</v>
      </c>
      <c r="H353" s="7"/>
      <c r="I353" s="462">
        <f xml:space="preserve"> 0.03492* I352 - 0.05092 * I316 - 0.06897 * I316 - 0.00289 * (I316 * I352) + 'DDGS Calculator'!$G$9</f>
        <v>73.827969709053932</v>
      </c>
      <c r="J353" s="462">
        <f xml:space="preserve"> 0.03492* J352 - 0.05092 * I316- 0.06897 * J316 - 0.00289 * (J316 * J352) + 'DDGS Calculator'!$G$9</f>
        <v>73.823095508682854</v>
      </c>
      <c r="K353" s="462">
        <f xml:space="preserve"> 0.03492* K352 - 0.05092 * J316- 0.06897 * K316 - 0.00289 * (K316 * K352) + 'DDGS Calculator'!$G$9</f>
        <v>73.81509848572216</v>
      </c>
      <c r="L353" s="462">
        <f xml:space="preserve"> 0.03492* L352 - 0.05092 * K316- 0.06897 * L316 - 0.00289 * (L316 * L352) + 'DDGS Calculator'!$G$9</f>
        <v>73.8082061056962</v>
      </c>
      <c r="M353" s="462">
        <f xml:space="preserve"> 0.03492* M352 - 0.05092 * L316- 0.06897 * M316 - 0.00289 * (M316 * M352) + 'DDGS Calculator'!$G$9</f>
        <v>73.80269487037036</v>
      </c>
      <c r="N353" s="462">
        <f xml:space="preserve"> 0.03492* N352 - 0.05092 * M316- 0.06897 * N316 - 0.00289 * (N316 * N352) + 'DDGS Calculator'!$G$9</f>
        <v>73.799380201057048</v>
      </c>
      <c r="O353" s="7"/>
      <c r="P353" s="462">
        <f xml:space="preserve"> 0.03492* P352 - 0.05092 * P316 - 0.06897 * P316 - 0.00289 * (P316 * P352) + 'DDGS Calculator'!$G$9</f>
        <v>73.683519915497129</v>
      </c>
      <c r="Q353" s="462">
        <f xml:space="preserve"> 0.03492* Q352 - 0.05092 * P316- 0.06897 * Q316 - 0.00289 * (Q316 * Q352) + 'DDGS Calculator'!$G$9</f>
        <v>73.678710640693126</v>
      </c>
      <c r="R353" s="462">
        <f xml:space="preserve"> 0.03492* R352 - 0.05092 * Q316- 0.06897 * R316 - 0.00289 * (R316 * R352) + 'DDGS Calculator'!$G$9</f>
        <v>73.670780213230529</v>
      </c>
      <c r="S353" s="462">
        <f xml:space="preserve"> 0.03492* S352 - 0.05092 * R316- 0.06897 * S316 - 0.00289 * (S316 * S352) + 'DDGS Calculator'!$G$9</f>
        <v>73.663905575179484</v>
      </c>
      <c r="T353" s="462">
        <f xml:space="preserve"> 0.03492* T352 - 0.05092 * S316- 0.06897 * T316 - 0.00289 * (T316 * T352) + 'DDGS Calculator'!$G$9</f>
        <v>73.658424263577388</v>
      </c>
      <c r="U353" s="462">
        <f xml:space="preserve"> 0.03492* U352 - 0.05092 * T316- 0.06897 * U316 - 0.00289 * (U316 * U352) + 'DDGS Calculator'!$G$9</f>
        <v>73.65513208635906</v>
      </c>
      <c r="V353" s="7"/>
      <c r="W353" s="462">
        <f xml:space="preserve"> 0.03492* W352 - 0.05092 * W316 - 0.06897 * W316 - 0.00289 * (W316 * W352) + 'DDGS Calculator'!$G$9</f>
        <v>73.539097625975515</v>
      </c>
      <c r="X353" s="462">
        <f xml:space="preserve"> 0.03492* X352 - 0.05092 * W316- 0.06897 * X316 - 0.00289 * (X316 * X352) + 'DDGS Calculator'!$G$9</f>
        <v>73.534325779816029</v>
      </c>
      <c r="Y353" s="462">
        <f xml:space="preserve"> 0.03492* Y352 - 0.05092 * X316- 0.06897 * Y316 - 0.00289 * (Y316 * Y352) + 'DDGS Calculator'!$G$9</f>
        <v>73.526437114426912</v>
      </c>
      <c r="Z353" s="462">
        <f xml:space="preserve"> 0.03492* Z352 - 0.05092 * Y316- 0.06897 * Z316 - 0.00289 * (Z316 * Z352) + 'DDGS Calculator'!$G$9</f>
        <v>73.519635495324664</v>
      </c>
      <c r="AA353" s="462">
        <f xml:space="preserve"> 0.03492* AA352 - 0.05092 * Z316- 0.06897 * AA316 - 0.00289 * (AA316 * AA352) + 'DDGS Calculator'!$G$9</f>
        <v>73.514292556668451</v>
      </c>
      <c r="AB353" s="462">
        <f xml:space="preserve"> 0.03492* AB352 - 0.05092 * AA316- 0.06897 * AB316 - 0.00289 * (AB316 * AB352) + 'DDGS Calculator'!$G$9</f>
        <v>73.51119878228171</v>
      </c>
      <c r="AC353" s="7"/>
      <c r="AD353" s="462">
        <f xml:space="preserve"> 0.03492* AD352 - 0.05092 * AD316 - 0.06897 * AD316 - 0.00289 * (AD316 * AD352) + 'DDGS Calculator'!$G$9</f>
        <v>73.394710737703804</v>
      </c>
      <c r="AE353" s="462">
        <f xml:space="preserve"> 0.03492* AE352 - 0.05092 * AD316- 0.06897 * AE316 - 0.00289 * (AE316 * AE352) + 'DDGS Calculator'!$G$9</f>
        <v>73.389942088275788</v>
      </c>
      <c r="AF353" s="462">
        <f xml:space="preserve"> 0.03492* AF352 - 0.05092 * AE316- 0.06897 * AF316 - 0.00289 * (AF316 * AF352) + 'DDGS Calculator'!$G$9</f>
        <v>73.382125449893522</v>
      </c>
      <c r="AG353" s="462">
        <f xml:space="preserve"> 0.03492* AG352 - 0.05092 * AF316- 0.06897 * AG316 - 0.00289 * (AG316 * AG352) + 'DDGS Calculator'!$G$9</f>
        <v>73.375489067781572</v>
      </c>
      <c r="AH353" s="462">
        <f xml:space="preserve"> 0.03492* AH352 - 0.05092 * AG316- 0.06897 * AH316 - 0.00289 * (AH316 * AH352) + 'DDGS Calculator'!$G$9</f>
        <v>73.370648209025447</v>
      </c>
      <c r="AI353" s="462">
        <f xml:space="preserve"> 0.03492* AI352 - 0.05092 * AH316- 0.06897 * AI316 - 0.00289 * (AI316 * AI352) + 'DDGS Calculator'!$G$9</f>
        <v>73.368016767774179</v>
      </c>
      <c r="AJ353" s="7"/>
      <c r="AK353" s="462">
        <f xml:space="preserve"> 0.03492* AK352 - 0.05092 * AK316 - 0.06897 * AK316 - 0.00289 * (AK316 * AK352) + 'DDGS Calculator'!$G$9</f>
        <v>73.250352416994545</v>
      </c>
      <c r="AL353" s="462">
        <f xml:space="preserve"> 0.03492* AL352 - 0.05092 * AK316- 0.06897 * AL316 - 0.00289 * (AL316 * AL352) + 'DDGS Calculator'!$G$9</f>
        <v>73.245559424968391</v>
      </c>
      <c r="AM353" s="462">
        <f xml:space="preserve"> 0.03492* AM352 - 0.05092 * AL316- 0.06897 * AM316 - 0.00289 * (AM316 * AM352) + 'DDGS Calculator'!$G$9</f>
        <v>73.237843470397252</v>
      </c>
      <c r="AN353" s="462">
        <f xml:space="preserve"> 0.03492* AN352 - 0.05092 * AM316- 0.06897 * AN316 - 0.00289 * (AN316 * AN352) + 'DDGS Calculator'!$G$9</f>
        <v>73.231688746506677</v>
      </c>
      <c r="AO353" s="462">
        <f xml:space="preserve"> 0.03492* AO352 - 0.05092 * AN316- 0.06897 * AO316 - 0.00289 * (AO316 * AO352) + 'DDGS Calculator'!$G$9</f>
        <v>73.227380642912948</v>
      </c>
      <c r="AP353" s="462">
        <f xml:space="preserve"> 0.03492* AP352 - 0.05092 * AO316- 0.06897 * AP316 - 0.00289 * (AP316 * AP352) + 'DDGS Calculator'!$G$9</f>
        <v>73.224936261185206</v>
      </c>
      <c r="AQ353" s="7"/>
      <c r="AR353" s="462">
        <f xml:space="preserve"> 0.03492* AR352 - 0.05092 * AR316 - 0.06897 * AR316 - 0.00289 * (AR316 * AR352) + 'DDGS Calculator'!$G$9</f>
        <v>73.106094390504623</v>
      </c>
      <c r="AS353" s="462">
        <f xml:space="preserve"> 0.03492* AS352 - 0.05092 * AR316- 0.06897 * AS316 - 0.00289 * (AS316 * AS352) + 'DDGS Calculator'!$G$9</f>
        <v>73.101272427249754</v>
      </c>
      <c r="AT353" s="462">
        <f xml:space="preserve"> 0.03492* AT352 - 0.05092 * AS316- 0.06897 * AT316 - 0.00289 * (AT316 * AT352) + 'DDGS Calculator'!$G$9</f>
        <v>73.093658387754516</v>
      </c>
      <c r="AU353" s="462">
        <f xml:space="preserve"> 0.03492* AU352 - 0.05092 * AT316- 0.06897 * AU316 - 0.00289 * (AU316 * AU352) + 'DDGS Calculator'!$G$9</f>
        <v>73.088165166049109</v>
      </c>
      <c r="AV353" s="462">
        <f xml:space="preserve"> 0.03492* AV352 - 0.05092 * AU316- 0.06897 * AV316 - 0.00289 * (AV316 * AV352) + 'DDGS Calculator'!$G$9</f>
        <v>73.084286128513853</v>
      </c>
      <c r="AW353" s="462">
        <f xml:space="preserve"> 0.03492* AW352 - 0.05092 * AV316- 0.06897 * AW316 - 0.00289 * (AW316 * AW352) + 'DDGS Calculator'!$G$9</f>
        <v>73.081855984592409</v>
      </c>
      <c r="AX353" s="7"/>
    </row>
    <row r="354" spans="1:57" x14ac:dyDescent="0.25">
      <c r="A354" s="71"/>
      <c r="B354" s="33"/>
      <c r="C354" s="33"/>
      <c r="D354" s="33"/>
      <c r="E354" s="33"/>
      <c r="F354" s="33"/>
      <c r="G354" s="33"/>
      <c r="I354" s="33"/>
      <c r="J354" s="33"/>
      <c r="K354" s="33"/>
      <c r="L354" s="33"/>
      <c r="M354" s="33"/>
      <c r="N354" s="33"/>
      <c r="P354" s="33"/>
      <c r="Q354" s="33"/>
      <c r="R354" s="33"/>
      <c r="S354" s="33"/>
      <c r="T354" s="33"/>
      <c r="U354" s="33"/>
      <c r="W354" s="33"/>
      <c r="X354" s="33"/>
      <c r="Y354" s="33"/>
      <c r="Z354" s="33"/>
      <c r="AA354" s="33"/>
      <c r="AB354" s="33"/>
      <c r="AD354" s="33"/>
      <c r="AE354" s="33"/>
      <c r="AF354" s="33"/>
      <c r="AG354" s="33"/>
      <c r="AH354" s="33"/>
      <c r="AI354" s="33"/>
      <c r="AK354" s="33"/>
      <c r="AL354" s="33"/>
      <c r="AM354" s="33"/>
      <c r="AN354" s="33"/>
      <c r="AO354" s="33"/>
      <c r="AP354" s="33"/>
      <c r="AR354" s="33"/>
      <c r="AS354" s="33"/>
      <c r="AT354" s="33"/>
      <c r="AU354" s="33"/>
      <c r="AV354" s="33"/>
      <c r="AW354" s="33"/>
    </row>
    <row r="355" spans="1:57" x14ac:dyDescent="0.25">
      <c r="I355" s="7"/>
      <c r="J355" s="7"/>
      <c r="K355" s="7"/>
      <c r="L355" s="7"/>
      <c r="M355" s="7"/>
      <c r="N355" s="7"/>
      <c r="P355" s="7"/>
      <c r="Q355" s="7"/>
      <c r="R355" s="7"/>
      <c r="S355" s="7"/>
      <c r="T355" s="7"/>
      <c r="U355" s="7"/>
      <c r="W355" s="7"/>
      <c r="X355" s="7"/>
      <c r="Y355" s="7"/>
      <c r="Z355" s="7"/>
      <c r="AA355" s="7"/>
      <c r="AB355" s="7"/>
      <c r="AC355" s="6"/>
      <c r="AD355" s="7"/>
      <c r="AE355" s="7"/>
      <c r="AF355" s="7"/>
      <c r="AG355" s="7"/>
      <c r="AH355" s="7"/>
      <c r="AI355" s="7"/>
      <c r="AK355" s="7"/>
      <c r="AL355" s="7"/>
      <c r="AM355" s="7"/>
      <c r="AN355" s="7"/>
      <c r="AO355" s="7"/>
      <c r="AP355" s="7"/>
      <c r="AR355" s="7"/>
      <c r="AS355" s="7"/>
      <c r="AT355" s="7"/>
      <c r="AU355" s="7"/>
      <c r="AV355" s="7"/>
      <c r="AW355" s="7"/>
      <c r="AX355" s="6"/>
      <c r="AZ355" s="7"/>
      <c r="BA355" s="7"/>
      <c r="BB355" s="7"/>
      <c r="BC355" s="7"/>
      <c r="BD355" s="7"/>
      <c r="BE355" s="7"/>
    </row>
    <row r="356" spans="1:57" x14ac:dyDescent="0.25">
      <c r="A356" s="71"/>
      <c r="B356" s="7"/>
      <c r="C356" s="7"/>
      <c r="D356" s="7"/>
      <c r="E356" s="7"/>
      <c r="F356" s="7"/>
      <c r="G356" s="7"/>
      <c r="I356" s="7"/>
      <c r="J356" s="7"/>
      <c r="K356" s="7"/>
      <c r="L356" s="7"/>
      <c r="M356" s="7"/>
      <c r="N356" s="7"/>
      <c r="P356" s="7"/>
      <c r="Q356" s="7"/>
      <c r="R356" s="7"/>
      <c r="S356" s="7"/>
      <c r="T356" s="7"/>
      <c r="U356" s="7"/>
      <c r="W356" s="7"/>
      <c r="X356" s="7"/>
      <c r="Y356" s="7"/>
      <c r="Z356" s="7"/>
      <c r="AA356" s="7"/>
      <c r="AB356" s="7"/>
      <c r="AC356" s="6"/>
      <c r="AD356" s="7"/>
      <c r="AE356" s="7"/>
      <c r="AF356" s="7"/>
      <c r="AG356" s="7"/>
      <c r="AH356" s="7"/>
      <c r="AI356" s="7"/>
      <c r="AK356" s="7"/>
      <c r="AL356" s="7"/>
      <c r="AM356" s="7"/>
      <c r="AN356" s="7"/>
      <c r="AO356" s="7"/>
      <c r="AP356" s="7"/>
      <c r="AR356" s="7"/>
      <c r="AS356" s="7"/>
      <c r="AT356" s="7"/>
      <c r="AU356" s="7"/>
      <c r="AV356" s="7"/>
      <c r="AW356" s="7"/>
      <c r="AX356" s="6"/>
      <c r="AZ356" s="7"/>
      <c r="BA356" s="7"/>
      <c r="BB356" s="7"/>
      <c r="BC356" s="7"/>
      <c r="BD356" s="7"/>
      <c r="BE356" s="7"/>
    </row>
    <row r="357" spans="1:57" x14ac:dyDescent="0.25">
      <c r="A357" s="71"/>
      <c r="B357" s="7"/>
      <c r="C357" s="7"/>
      <c r="D357" s="7"/>
      <c r="E357" s="7"/>
      <c r="F357" s="7"/>
      <c r="G357" s="7"/>
      <c r="I357" s="7"/>
      <c r="J357" s="7"/>
      <c r="K357" s="7"/>
      <c r="L357" s="7"/>
      <c r="M357" s="7"/>
      <c r="N357" s="7"/>
      <c r="P357" s="7"/>
      <c r="Q357" s="7"/>
      <c r="R357" s="7"/>
      <c r="S357" s="7"/>
      <c r="T357" s="7"/>
      <c r="U357" s="7"/>
      <c r="W357" s="7"/>
      <c r="X357" s="7"/>
      <c r="Y357" s="7"/>
      <c r="Z357" s="7"/>
      <c r="AA357" s="7"/>
      <c r="AB357" s="7"/>
      <c r="AC357" s="6"/>
      <c r="AD357" s="7"/>
      <c r="AE357" s="7"/>
      <c r="AF357" s="7"/>
      <c r="AG357" s="7"/>
      <c r="AH357" s="7"/>
      <c r="AI357" s="7"/>
      <c r="AK357" s="7"/>
      <c r="AL357" s="7"/>
      <c r="AM357" s="7"/>
      <c r="AN357" s="7"/>
      <c r="AO357" s="7"/>
      <c r="AP357" s="7"/>
      <c r="AR357" s="7"/>
      <c r="AS357" s="7"/>
      <c r="AT357" s="7"/>
      <c r="AU357" s="7"/>
      <c r="AV357" s="7"/>
      <c r="AW357" s="7"/>
      <c r="AX357" s="6"/>
      <c r="AZ357" s="7"/>
      <c r="BA357" s="7"/>
      <c r="BB357" s="7"/>
      <c r="BC357" s="7"/>
      <c r="BD357" s="7"/>
      <c r="BE357" s="7"/>
    </row>
    <row r="358" spans="1:57" x14ac:dyDescent="0.25">
      <c r="A358" s="34"/>
      <c r="B358" s="7"/>
      <c r="C358" s="7"/>
      <c r="D358" s="7"/>
      <c r="E358" s="7"/>
      <c r="F358" s="7"/>
      <c r="G358" s="7"/>
      <c r="I358" s="7"/>
      <c r="J358" s="7"/>
      <c r="K358" s="7"/>
      <c r="L358" s="7"/>
      <c r="M358" s="7"/>
      <c r="N358" s="7"/>
      <c r="P358" s="7"/>
      <c r="Q358" s="7"/>
      <c r="R358" s="7"/>
      <c r="S358" s="7"/>
      <c r="T358" s="7"/>
      <c r="U358" s="7"/>
      <c r="W358" s="7"/>
      <c r="X358" s="7"/>
      <c r="Y358" s="7"/>
      <c r="Z358" s="7"/>
      <c r="AA358" s="7"/>
      <c r="AB358" s="7"/>
      <c r="AC358" s="6"/>
      <c r="AD358" s="7"/>
      <c r="AE358" s="7"/>
      <c r="AF358" s="7"/>
      <c r="AG358" s="7"/>
      <c r="AH358" s="7"/>
      <c r="AI358" s="7"/>
      <c r="AK358" s="7"/>
      <c r="AL358" s="7"/>
      <c r="AM358" s="7"/>
      <c r="AN358" s="7"/>
      <c r="AO358" s="7"/>
      <c r="AP358" s="7"/>
      <c r="AR358" s="7"/>
      <c r="AS358" s="7"/>
      <c r="AT358" s="7"/>
      <c r="AU358" s="7"/>
      <c r="AV358" s="7"/>
      <c r="AW358" s="7"/>
      <c r="AX358" s="6"/>
      <c r="AZ358" s="7"/>
      <c r="BA358" s="7"/>
      <c r="BB358" s="7"/>
      <c r="BC358" s="7"/>
      <c r="BD358" s="7"/>
      <c r="BE358" s="7"/>
    </row>
    <row r="359" spans="1:57" x14ac:dyDescent="0.25">
      <c r="A359" s="71"/>
      <c r="B359" s="7"/>
      <c r="C359" s="7"/>
      <c r="D359" s="7"/>
      <c r="E359" s="7"/>
      <c r="F359" s="7"/>
      <c r="G359" s="7"/>
      <c r="I359" s="7"/>
      <c r="J359" s="7"/>
      <c r="K359" s="7"/>
      <c r="L359" s="7"/>
      <c r="M359" s="7"/>
      <c r="N359" s="7"/>
      <c r="P359" s="7"/>
      <c r="Q359" s="7"/>
      <c r="R359" s="7"/>
      <c r="S359" s="7"/>
      <c r="T359" s="7"/>
      <c r="U359" s="7"/>
      <c r="W359" s="7"/>
      <c r="X359" s="7"/>
      <c r="Y359" s="7"/>
      <c r="Z359" s="7"/>
      <c r="AA359" s="7"/>
      <c r="AB359" s="7"/>
      <c r="AC359" s="6"/>
      <c r="AD359" s="7"/>
      <c r="AE359" s="7"/>
      <c r="AF359" s="7"/>
      <c r="AG359" s="7"/>
      <c r="AH359" s="7"/>
      <c r="AI359" s="7"/>
      <c r="AK359" s="7"/>
      <c r="AL359" s="7"/>
      <c r="AM359" s="7"/>
      <c r="AN359" s="7"/>
      <c r="AO359" s="7"/>
      <c r="AP359" s="7"/>
      <c r="AR359" s="7"/>
      <c r="AS359" s="7"/>
      <c r="AT359" s="7"/>
      <c r="AU359" s="7"/>
      <c r="AV359" s="7"/>
      <c r="AW359" s="7"/>
      <c r="AX359" s="6"/>
      <c r="AZ359" s="7"/>
      <c r="BA359" s="7"/>
      <c r="BB359" s="7"/>
      <c r="BC359" s="7"/>
      <c r="BD359" s="7"/>
      <c r="BE359" s="7"/>
    </row>
    <row r="360" spans="1:57" x14ac:dyDescent="0.25">
      <c r="A360" s="71"/>
      <c r="B360" s="7"/>
      <c r="C360" s="7"/>
      <c r="D360" s="7"/>
      <c r="E360" s="7"/>
      <c r="F360" s="7"/>
      <c r="G360" s="7"/>
      <c r="I360" s="7"/>
      <c r="J360" s="7"/>
      <c r="K360" s="7"/>
      <c r="L360" s="7"/>
      <c r="M360" s="7"/>
      <c r="N360" s="7"/>
      <c r="P360" s="7"/>
      <c r="Q360" s="7"/>
      <c r="R360" s="7"/>
      <c r="S360" s="7"/>
      <c r="T360" s="7"/>
      <c r="U360" s="7"/>
      <c r="W360" s="7"/>
      <c r="X360" s="7"/>
      <c r="Y360" s="7"/>
      <c r="Z360" s="7"/>
      <c r="AA360" s="7"/>
      <c r="AB360" s="7"/>
      <c r="AD360" s="7"/>
      <c r="AE360" s="7"/>
      <c r="AF360" s="7"/>
      <c r="AG360" s="7"/>
      <c r="AH360" s="7"/>
      <c r="AI360" s="7"/>
      <c r="AK360" s="7"/>
      <c r="AL360" s="7"/>
      <c r="AM360" s="7"/>
      <c r="AN360" s="7"/>
      <c r="AO360" s="7"/>
      <c r="AP360" s="7"/>
      <c r="AR360" s="7"/>
      <c r="AS360" s="7"/>
      <c r="AT360" s="7"/>
      <c r="AU360" s="7"/>
      <c r="AV360" s="7"/>
      <c r="AW360" s="7"/>
      <c r="AX360" s="6"/>
      <c r="AZ360" s="7"/>
      <c r="BA360" s="7"/>
      <c r="BB360" s="7"/>
      <c r="BC360" s="7"/>
      <c r="BD360" s="7"/>
      <c r="BE360" s="7"/>
    </row>
    <row r="361" spans="1:57" x14ac:dyDescent="0.25">
      <c r="A361" s="34"/>
      <c r="B361" s="7"/>
      <c r="C361" s="7"/>
      <c r="D361" s="7"/>
      <c r="E361" s="7"/>
      <c r="F361" s="7"/>
      <c r="G361" s="7"/>
      <c r="I361" s="7"/>
      <c r="J361" s="7"/>
      <c r="K361" s="7"/>
      <c r="L361" s="7"/>
      <c r="M361" s="7"/>
      <c r="N361" s="7"/>
      <c r="P361" s="7"/>
      <c r="Q361" s="7"/>
      <c r="R361" s="7"/>
      <c r="S361" s="7"/>
      <c r="T361" s="7"/>
      <c r="U361" s="7"/>
      <c r="W361" s="7"/>
      <c r="X361" s="7"/>
      <c r="Y361" s="7"/>
      <c r="Z361" s="7"/>
      <c r="AA361" s="7"/>
      <c r="AB361" s="7"/>
      <c r="AD361" s="7"/>
      <c r="AE361" s="7"/>
      <c r="AF361" s="7"/>
      <c r="AG361" s="7"/>
      <c r="AH361" s="7"/>
      <c r="AI361" s="7"/>
      <c r="AK361" s="7"/>
      <c r="AL361" s="7"/>
      <c r="AM361" s="7"/>
      <c r="AN361" s="7"/>
      <c r="AO361" s="7"/>
      <c r="AP361" s="7"/>
      <c r="AR361" s="7"/>
      <c r="AS361" s="7"/>
      <c r="AT361" s="7"/>
      <c r="AU361" s="7"/>
      <c r="AV361" s="7"/>
      <c r="AW361" s="7"/>
      <c r="AX361" s="6"/>
      <c r="AZ361" s="7"/>
      <c r="BA361" s="7"/>
      <c r="BB361" s="7"/>
      <c r="BC361" s="7"/>
      <c r="BD361" s="7"/>
      <c r="BE361" s="7"/>
    </row>
    <row r="362" spans="1:57" x14ac:dyDescent="0.25">
      <c r="A362" s="71"/>
      <c r="B362" s="7"/>
      <c r="C362" s="7"/>
      <c r="D362" s="7"/>
      <c r="E362" s="7"/>
      <c r="F362" s="7"/>
      <c r="G362" s="7"/>
      <c r="I362" s="7"/>
      <c r="J362" s="7"/>
      <c r="K362" s="7"/>
      <c r="L362" s="7"/>
      <c r="M362" s="7"/>
      <c r="N362" s="7"/>
      <c r="P362" s="7"/>
      <c r="Q362" s="7"/>
      <c r="R362" s="7"/>
      <c r="S362" s="7"/>
      <c r="T362" s="7"/>
      <c r="U362" s="7"/>
      <c r="W362" s="7"/>
      <c r="X362" s="7"/>
      <c r="Y362" s="7"/>
      <c r="Z362" s="7"/>
      <c r="AA362" s="7"/>
      <c r="AB362" s="7"/>
      <c r="AD362" s="7"/>
      <c r="AE362" s="7"/>
      <c r="AF362" s="7"/>
      <c r="AG362" s="7"/>
      <c r="AH362" s="7"/>
      <c r="AI362" s="7"/>
      <c r="AK362" s="7"/>
      <c r="AL362" s="7"/>
      <c r="AM362" s="7"/>
      <c r="AN362" s="7"/>
      <c r="AO362" s="7"/>
      <c r="AP362" s="7"/>
      <c r="AR362" s="7"/>
      <c r="AS362" s="7"/>
      <c r="AT362" s="7"/>
      <c r="AU362" s="7"/>
      <c r="AV362" s="7"/>
      <c r="AW362" s="7"/>
    </row>
    <row r="363" spans="1:57" x14ac:dyDescent="0.25">
      <c r="B363" s="7"/>
      <c r="C363" s="7"/>
      <c r="D363" s="7"/>
      <c r="E363" s="7"/>
      <c r="F363" s="7"/>
      <c r="G363" s="7"/>
      <c r="I363" s="7"/>
      <c r="J363" s="7"/>
      <c r="K363" s="7"/>
      <c r="L363" s="7"/>
      <c r="M363" s="7"/>
      <c r="N363" s="7"/>
      <c r="P363" s="7"/>
      <c r="Q363" s="7"/>
      <c r="R363" s="7"/>
      <c r="S363" s="7"/>
      <c r="T363" s="7"/>
      <c r="U363" s="7"/>
      <c r="W363" s="7"/>
      <c r="X363" s="7"/>
      <c r="Y363" s="7"/>
      <c r="Z363" s="7"/>
      <c r="AA363" s="7"/>
      <c r="AB363" s="7"/>
      <c r="AD363" s="7"/>
      <c r="AE363" s="7"/>
      <c r="AF363" s="7"/>
      <c r="AG363" s="7"/>
      <c r="AH363" s="7"/>
      <c r="AI363" s="7"/>
      <c r="AK363" s="7"/>
      <c r="AL363" s="7"/>
      <c r="AM363" s="7"/>
      <c r="AN363" s="7"/>
      <c r="AO363" s="7"/>
      <c r="AP363" s="7"/>
      <c r="AR363" s="7"/>
      <c r="AS363" s="7"/>
      <c r="AT363" s="7"/>
      <c r="AU363" s="7"/>
      <c r="AV363" s="7"/>
      <c r="AW363" s="7"/>
    </row>
    <row r="364" spans="1:57" x14ac:dyDescent="0.25">
      <c r="A364" s="71"/>
      <c r="I364" s="380"/>
      <c r="J364" s="380"/>
      <c r="K364" s="380"/>
      <c r="L364" s="380"/>
      <c r="M364" s="380"/>
      <c r="N364" s="380"/>
      <c r="P364" s="380"/>
      <c r="Q364" s="380"/>
      <c r="R364" s="380"/>
      <c r="S364" s="380"/>
      <c r="T364" s="380"/>
      <c r="U364" s="380"/>
      <c r="W364" s="380"/>
      <c r="X364" s="380"/>
      <c r="Y364" s="380"/>
      <c r="Z364" s="380"/>
      <c r="AA364" s="380"/>
      <c r="AB364" s="380"/>
      <c r="AD364" s="380"/>
      <c r="AE364" s="380"/>
      <c r="AF364" s="380"/>
      <c r="AG364" s="380"/>
      <c r="AH364" s="380"/>
      <c r="AI364" s="380"/>
      <c r="AK364" s="380"/>
      <c r="AL364" s="380"/>
      <c r="AM364" s="380"/>
      <c r="AN364" s="380"/>
      <c r="AO364" s="380"/>
      <c r="AP364" s="380"/>
      <c r="AR364" s="380"/>
      <c r="AS364" s="380"/>
      <c r="AT364" s="380"/>
      <c r="AU364" s="380"/>
      <c r="AV364" s="380"/>
      <c r="AW364" s="380"/>
    </row>
    <row r="365" spans="1:57" x14ac:dyDescent="0.25">
      <c r="A365" s="71"/>
      <c r="B365" s="416"/>
      <c r="C365" s="416"/>
      <c r="D365" s="416"/>
      <c r="E365" s="416"/>
      <c r="F365" s="416"/>
      <c r="G365" s="416"/>
      <c r="I365" s="7"/>
      <c r="J365" s="7"/>
      <c r="K365" s="7"/>
      <c r="L365" s="7"/>
      <c r="M365" s="7"/>
      <c r="N365" s="7"/>
      <c r="P365" s="7"/>
      <c r="Q365" s="7"/>
      <c r="R365" s="7"/>
      <c r="S365" s="7"/>
      <c r="T365" s="7"/>
      <c r="U365" s="7"/>
      <c r="W365" s="7"/>
      <c r="X365" s="7"/>
      <c r="Y365" s="7"/>
      <c r="Z365" s="7"/>
      <c r="AA365" s="7"/>
      <c r="AB365" s="7"/>
      <c r="AD365" s="7"/>
      <c r="AE365" s="7"/>
      <c r="AF365" s="7"/>
      <c r="AG365" s="7"/>
      <c r="AH365" s="7"/>
      <c r="AI365" s="7"/>
      <c r="AK365" s="7"/>
      <c r="AL365" s="7"/>
      <c r="AM365" s="7"/>
      <c r="AN365" s="7"/>
      <c r="AO365" s="7"/>
      <c r="AP365" s="7"/>
      <c r="AR365" s="7"/>
      <c r="AS365" s="7"/>
      <c r="AT365" s="7"/>
      <c r="AU365" s="7"/>
      <c r="AV365" s="7"/>
      <c r="AW365" s="7"/>
    </row>
    <row r="366" spans="1:57" x14ac:dyDescent="0.25">
      <c r="A366" s="34"/>
      <c r="B366" s="416"/>
      <c r="C366" s="416"/>
      <c r="D366" s="416"/>
      <c r="E366" s="416"/>
      <c r="F366" s="416"/>
      <c r="G366" s="416"/>
      <c r="I366" s="7"/>
      <c r="J366" s="7"/>
      <c r="K366" s="7"/>
      <c r="L366" s="7"/>
      <c r="M366" s="7"/>
      <c r="N366" s="7"/>
      <c r="P366" s="7"/>
      <c r="Q366" s="7"/>
      <c r="R366" s="7"/>
      <c r="S366" s="7"/>
      <c r="T366" s="7"/>
      <c r="U366" s="7"/>
      <c r="W366" s="7"/>
      <c r="X366" s="7"/>
      <c r="Y366" s="7"/>
      <c r="Z366" s="7"/>
      <c r="AA366" s="7"/>
      <c r="AB366" s="7"/>
      <c r="AD366" s="7"/>
      <c r="AE366" s="7"/>
      <c r="AF366" s="7"/>
      <c r="AG366" s="7"/>
      <c r="AH366" s="7"/>
      <c r="AI366" s="7"/>
      <c r="AK366" s="7"/>
      <c r="AL366" s="7"/>
      <c r="AM366" s="7"/>
      <c r="AN366" s="7"/>
      <c r="AO366" s="7"/>
      <c r="AP366" s="7"/>
      <c r="AR366" s="7"/>
      <c r="AS366" s="7"/>
      <c r="AT366" s="7"/>
      <c r="AU366" s="7"/>
      <c r="AV366" s="7"/>
      <c r="AW366" s="7"/>
    </row>
    <row r="367" spans="1:57" x14ac:dyDescent="0.25">
      <c r="A367" s="71"/>
      <c r="B367" s="416"/>
      <c r="C367" s="416"/>
      <c r="D367" s="416"/>
      <c r="E367" s="416"/>
      <c r="F367" s="416"/>
      <c r="G367" s="416"/>
      <c r="I367" s="7"/>
      <c r="J367" s="7"/>
      <c r="K367" s="7"/>
      <c r="L367" s="7"/>
      <c r="M367" s="7"/>
      <c r="N367" s="7"/>
      <c r="O367" s="7"/>
      <c r="AR367" s="117"/>
      <c r="AS367" s="117"/>
      <c r="AT367" s="117"/>
      <c r="AU367" s="117"/>
      <c r="AV367" s="117"/>
      <c r="AW367" s="117"/>
    </row>
    <row r="368" spans="1:57" x14ac:dyDescent="0.25">
      <c r="A368" s="71"/>
      <c r="B368" s="416"/>
      <c r="C368" s="416"/>
      <c r="D368" s="416"/>
      <c r="E368" s="416"/>
      <c r="F368" s="416"/>
      <c r="G368" s="416"/>
      <c r="I368" s="7"/>
      <c r="J368" s="7"/>
      <c r="K368" s="7"/>
      <c r="L368" s="7"/>
      <c r="M368" s="7"/>
      <c r="N368" s="7"/>
      <c r="O368" s="7"/>
    </row>
    <row r="369" spans="1:15" x14ac:dyDescent="0.25">
      <c r="A369" s="34"/>
      <c r="B369" s="416"/>
      <c r="C369" s="416"/>
      <c r="D369" s="416"/>
      <c r="E369" s="416"/>
      <c r="F369" s="416"/>
      <c r="G369" s="416"/>
      <c r="I369" s="7"/>
      <c r="J369" s="7"/>
      <c r="K369" s="7"/>
      <c r="L369" s="7"/>
      <c r="M369" s="7"/>
      <c r="N369" s="7"/>
      <c r="O369" s="7"/>
    </row>
    <row r="370" spans="1:15" x14ac:dyDescent="0.25">
      <c r="A370" s="71"/>
      <c r="B370" s="416"/>
      <c r="C370" s="416"/>
      <c r="D370" s="416"/>
      <c r="E370" s="416"/>
      <c r="F370" s="416"/>
      <c r="G370" s="416"/>
      <c r="I370" s="7"/>
      <c r="J370" s="7"/>
      <c r="K370" s="7"/>
      <c r="L370" s="7"/>
      <c r="M370" s="7"/>
      <c r="N370" s="7"/>
      <c r="O370" s="7"/>
    </row>
    <row r="371" spans="1:15" x14ac:dyDescent="0.25">
      <c r="J371" s="7"/>
      <c r="K371" s="7"/>
      <c r="L371" s="7"/>
      <c r="M371" s="7"/>
      <c r="N371" s="7"/>
      <c r="O371" s="7"/>
    </row>
    <row r="372" spans="1:15" x14ac:dyDescent="0.25">
      <c r="J372" s="7"/>
      <c r="K372" s="7"/>
      <c r="L372" s="7"/>
      <c r="M372" s="7"/>
      <c r="N372" s="7"/>
      <c r="O372" s="7"/>
    </row>
    <row r="373" spans="1:15" x14ac:dyDescent="0.25">
      <c r="B373" s="416"/>
      <c r="C373" s="416"/>
      <c r="D373" s="416"/>
      <c r="E373" s="416"/>
      <c r="F373" s="416"/>
      <c r="G373" s="416"/>
      <c r="J373" s="7"/>
      <c r="K373" s="7"/>
      <c r="L373" s="7"/>
      <c r="M373" s="7"/>
      <c r="N373" s="7"/>
      <c r="O373" s="7"/>
    </row>
    <row r="374" spans="1:15" x14ac:dyDescent="0.25">
      <c r="B374" s="416"/>
      <c r="C374" s="416"/>
      <c r="D374" s="416"/>
      <c r="E374" s="416"/>
      <c r="F374" s="416"/>
      <c r="G374" s="416"/>
      <c r="J374" s="7"/>
      <c r="K374" s="7"/>
      <c r="L374" s="7"/>
      <c r="M374" s="7"/>
      <c r="N374" s="7"/>
      <c r="O374" s="7"/>
    </row>
    <row r="375" spans="1:15" x14ac:dyDescent="0.25">
      <c r="B375" s="416"/>
      <c r="C375" s="416"/>
      <c r="D375" s="416"/>
      <c r="E375" s="416"/>
      <c r="F375" s="416"/>
      <c r="G375" s="416"/>
      <c r="J375" s="7"/>
      <c r="K375" s="7"/>
      <c r="L375" s="7"/>
      <c r="M375" s="7"/>
      <c r="N375" s="7"/>
      <c r="O375" s="7"/>
    </row>
    <row r="376" spans="1:15" x14ac:dyDescent="0.25">
      <c r="B376" s="416"/>
      <c r="C376" s="416"/>
      <c r="D376" s="416"/>
      <c r="E376" s="416"/>
      <c r="F376" s="416"/>
      <c r="G376" s="416"/>
    </row>
    <row r="377" spans="1:15" x14ac:dyDescent="0.25">
      <c r="B377" s="416"/>
      <c r="C377" s="416"/>
      <c r="D377" s="416"/>
      <c r="E377" s="416"/>
      <c r="F377" s="416"/>
      <c r="G377" s="416"/>
    </row>
    <row r="378" spans="1:15" x14ac:dyDescent="0.25">
      <c r="B378" s="416"/>
      <c r="C378" s="416"/>
      <c r="D378" s="416"/>
      <c r="E378" s="416"/>
      <c r="F378" s="416"/>
      <c r="G378" s="416"/>
    </row>
  </sheetData>
  <dataConsolidate link="1"/>
  <mergeCells count="7">
    <mergeCell ref="AK4:AO4"/>
    <mergeCell ref="AR4:AV4"/>
    <mergeCell ref="B4:F4"/>
    <mergeCell ref="I4:M4"/>
    <mergeCell ref="P4:T4"/>
    <mergeCell ref="W4:AA4"/>
    <mergeCell ref="AD4:AH4"/>
  </mergeCells>
  <phoneticPr fontId="27" type="noConversion"/>
  <conditionalFormatting sqref="B273:N280 P273:U280 W273:AB280 AD273:AI280 AK273:AP280 AR273:AW280 O274:O281">
    <cfRule type="cellIs" dxfId="185" priority="48" stopIfTrue="1" operator="greaterThan">
      <formula>B237/100</formula>
    </cfRule>
  </conditionalFormatting>
  <conditionalFormatting sqref="B281:N281 P281:U281 O282">
    <cfRule type="cellIs" dxfId="184" priority="47" stopIfTrue="1" operator="greaterThan">
      <formula>B258</formula>
    </cfRule>
  </conditionalFormatting>
  <conditionalFormatting sqref="B283:N283 P283:U283 O284">
    <cfRule type="cellIs" dxfId="183" priority="46" stopIfTrue="1" operator="greaterThan">
      <formula>B257</formula>
    </cfRule>
  </conditionalFormatting>
  <conditionalFormatting sqref="B284:N284 P284:U284 O285">
    <cfRule type="cellIs" dxfId="182" priority="42" stopIfTrue="1" operator="greaterThan">
      <formula>B254</formula>
    </cfRule>
  </conditionalFormatting>
  <conditionalFormatting sqref="B285:N285 P285:U285 O286">
    <cfRule type="cellIs" dxfId="181" priority="45" stopIfTrue="1" operator="greaterThan">
      <formula>B254/B255</formula>
    </cfRule>
  </conditionalFormatting>
  <conditionalFormatting sqref="B286:N286 P286:U286 O287">
    <cfRule type="cellIs" dxfId="180" priority="44" stopIfTrue="1" operator="lessThan">
      <formula>B254/B255</formula>
    </cfRule>
  </conditionalFormatting>
  <conditionalFormatting sqref="B290:N290 P290:U290 O291">
    <cfRule type="cellIs" dxfId="179" priority="43" stopIfTrue="1" operator="lessThan">
      <formula>B300</formula>
    </cfRule>
  </conditionalFormatting>
  <conditionalFormatting sqref="W281:AB281">
    <cfRule type="cellIs" dxfId="178" priority="23" stopIfTrue="1" operator="greaterThan">
      <formula>W258</formula>
    </cfRule>
  </conditionalFormatting>
  <conditionalFormatting sqref="W283:AB283">
    <cfRule type="cellIs" dxfId="177" priority="22" stopIfTrue="1" operator="greaterThan">
      <formula>W257</formula>
    </cfRule>
  </conditionalFormatting>
  <conditionalFormatting sqref="W284:AB284">
    <cfRule type="cellIs" dxfId="176" priority="19" stopIfTrue="1" operator="greaterThan">
      <formula>W254</formula>
    </cfRule>
  </conditionalFormatting>
  <conditionalFormatting sqref="W285:AB285">
    <cfRule type="cellIs" dxfId="175" priority="21" stopIfTrue="1" operator="greaterThan">
      <formula>W254/W255</formula>
    </cfRule>
  </conditionalFormatting>
  <conditionalFormatting sqref="W286:AB286">
    <cfRule type="cellIs" dxfId="174" priority="20" stopIfTrue="1" operator="lessThan">
      <formula>W254/W255</formula>
    </cfRule>
  </conditionalFormatting>
  <conditionalFormatting sqref="W290:AB290">
    <cfRule type="cellIs" dxfId="173" priority="37" stopIfTrue="1" operator="lessThan">
      <formula>W300</formula>
    </cfRule>
  </conditionalFormatting>
  <conditionalFormatting sqref="AD281:AI281">
    <cfRule type="cellIs" dxfId="172" priority="17" stopIfTrue="1" operator="greaterThan">
      <formula>AD258</formula>
    </cfRule>
  </conditionalFormatting>
  <conditionalFormatting sqref="AD283:AI283">
    <cfRule type="cellIs" dxfId="171" priority="16" stopIfTrue="1" operator="greaterThan">
      <formula>AD257</formula>
    </cfRule>
  </conditionalFormatting>
  <conditionalFormatting sqref="AD284:AI284">
    <cfRule type="cellIs" dxfId="170" priority="13" stopIfTrue="1" operator="greaterThan">
      <formula>AD254</formula>
    </cfRule>
  </conditionalFormatting>
  <conditionalFormatting sqref="AD285:AI285">
    <cfRule type="cellIs" dxfId="169" priority="15" stopIfTrue="1" operator="greaterThan">
      <formula>AD254/AD255</formula>
    </cfRule>
  </conditionalFormatting>
  <conditionalFormatting sqref="AD286:AI286">
    <cfRule type="cellIs" dxfId="168" priority="14" stopIfTrue="1" operator="lessThan">
      <formula>AD254/AD255</formula>
    </cfRule>
  </conditionalFormatting>
  <conditionalFormatting sqref="AD290:AI290">
    <cfRule type="cellIs" dxfId="167" priority="18" stopIfTrue="1" operator="lessThan">
      <formula>AD300</formula>
    </cfRule>
  </conditionalFormatting>
  <conditionalFormatting sqref="AK281:AP281">
    <cfRule type="cellIs" dxfId="166" priority="11" stopIfTrue="1" operator="greaterThan">
      <formula>AK258</formula>
    </cfRule>
  </conditionalFormatting>
  <conditionalFormatting sqref="AK283:AP283">
    <cfRule type="cellIs" dxfId="165" priority="10" stopIfTrue="1" operator="greaterThan">
      <formula>AK257</formula>
    </cfRule>
  </conditionalFormatting>
  <conditionalFormatting sqref="AK284:AP284">
    <cfRule type="cellIs" dxfId="164" priority="7" stopIfTrue="1" operator="greaterThan">
      <formula>AK254</formula>
    </cfRule>
  </conditionalFormatting>
  <conditionalFormatting sqref="AK285:AP285">
    <cfRule type="cellIs" dxfId="163" priority="9" stopIfTrue="1" operator="greaterThan">
      <formula>AK254/AK255</formula>
    </cfRule>
  </conditionalFormatting>
  <conditionalFormatting sqref="AK286:AP286">
    <cfRule type="cellIs" dxfId="162" priority="8" stopIfTrue="1" operator="lessThan">
      <formula>AK254/AK255</formula>
    </cfRule>
  </conditionalFormatting>
  <conditionalFormatting sqref="AK290:AP290">
    <cfRule type="cellIs" dxfId="161" priority="12" stopIfTrue="1" operator="lessThan">
      <formula>AK300</formula>
    </cfRule>
  </conditionalFormatting>
  <conditionalFormatting sqref="AR281:AW281">
    <cfRule type="cellIs" dxfId="160" priority="5" stopIfTrue="1" operator="greaterThan">
      <formula>AR258</formula>
    </cfRule>
  </conditionalFormatting>
  <conditionalFormatting sqref="AR283:AW283">
    <cfRule type="cellIs" dxfId="159" priority="4" stopIfTrue="1" operator="greaterThan">
      <formula>AR257</formula>
    </cfRule>
  </conditionalFormatting>
  <conditionalFormatting sqref="AR284:AW284">
    <cfRule type="cellIs" dxfId="158" priority="1" stopIfTrue="1" operator="greaterThan">
      <formula>AR254</formula>
    </cfRule>
  </conditionalFormatting>
  <conditionalFormatting sqref="AR285:AW285">
    <cfRule type="cellIs" dxfId="157" priority="3" stopIfTrue="1" operator="greaterThan">
      <formula>AR254/AR255</formula>
    </cfRule>
  </conditionalFormatting>
  <conditionalFormatting sqref="AR286:AW286">
    <cfRule type="cellIs" dxfId="156" priority="2" stopIfTrue="1" operator="lessThan">
      <formula>AR254/AR255</formula>
    </cfRule>
  </conditionalFormatting>
  <conditionalFormatting sqref="AR290:AW290">
    <cfRule type="cellIs" dxfId="155" priority="6" stopIfTrue="1" operator="lessThan">
      <formula>AR300</formula>
    </cfRule>
  </conditionalFormatting>
  <dataValidations count="2">
    <dataValidation type="list" allowBlank="1" showInputMessage="1" showErrorMessage="1" sqref="A8" xr:uid="{0FD8A42E-6EFA-4F14-8024-5811EC275449}">
      <formula1>$A$78:$A$80</formula1>
    </dataValidation>
    <dataValidation type="list" allowBlank="1" showInputMessage="1" showErrorMessage="1" sqref="A7" xr:uid="{8FAD1FE6-249A-49E3-90A2-35E4368DA1C4}">
      <formula1>$A$9:$A$10</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0CC44-FA33-5E46-BC7A-B6703E9240A6}">
  <sheetPr codeName="Sheet4">
    <tabColor theme="5" tint="0.79998168889431442"/>
  </sheetPr>
  <dimension ref="A1:BL378"/>
  <sheetViews>
    <sheetView zoomScale="108" workbookViewId="0">
      <pane xSplit="1" ySplit="6" topLeftCell="B7" activePane="bottomRight" state="frozen"/>
      <selection activeCell="B2" sqref="B1:B1048576"/>
      <selection pane="topRight" activeCell="B2" sqref="B1:B1048576"/>
      <selection pane="bottomLeft" activeCell="B2" sqref="B1:B1048576"/>
      <selection pane="bottomRight" activeCell="A355" sqref="A355:XFD378"/>
    </sheetView>
  </sheetViews>
  <sheetFormatPr defaultColWidth="8.77734375" defaultRowHeight="13.2" x14ac:dyDescent="0.25"/>
  <cols>
    <col min="1" max="1" width="41.21875" bestFit="1" customWidth="1"/>
    <col min="2" max="14" width="10.109375" style="6" customWidth="1"/>
    <col min="15" max="15" width="10.109375" customWidth="1"/>
    <col min="16" max="21" width="10.109375" style="6" customWidth="1"/>
    <col min="23" max="28" width="10.109375" style="6" customWidth="1"/>
    <col min="30" max="35" width="10.109375" style="6" customWidth="1"/>
    <col min="37" max="42" width="10.109375" style="6" customWidth="1"/>
    <col min="44" max="49" width="10.109375" style="6" customWidth="1"/>
  </cols>
  <sheetData>
    <row r="1" spans="1:49" x14ac:dyDescent="0.25">
      <c r="A1" t="s">
        <v>1</v>
      </c>
      <c r="I1" s="8">
        <f>B7-I7</f>
        <v>82.36576274423237</v>
      </c>
      <c r="J1" s="8">
        <f t="shared" ref="J1:N2" si="0">C7-J7</f>
        <v>82.701965234004547</v>
      </c>
      <c r="K1" s="8">
        <f t="shared" si="0"/>
        <v>82.528955754677099</v>
      </c>
      <c r="L1" s="8">
        <f t="shared" si="0"/>
        <v>82.674559526328949</v>
      </c>
      <c r="M1" s="8">
        <f t="shared" si="0"/>
        <v>82.675336185561036</v>
      </c>
      <c r="N1" s="8">
        <f t="shared" si="0"/>
        <v>82.739950017385809</v>
      </c>
      <c r="P1" s="8">
        <f>I7-P7</f>
        <v>82.581472590025896</v>
      </c>
      <c r="Q1" s="8">
        <f t="shared" ref="Q1:U2" si="1">J7-Q7</f>
        <v>82.666285192887244</v>
      </c>
      <c r="R1" s="8">
        <f t="shared" si="1"/>
        <v>82.753503782033704</v>
      </c>
      <c r="S1" s="8">
        <f t="shared" si="1"/>
        <v>82.729318604659966</v>
      </c>
      <c r="T1" s="8">
        <f t="shared" si="1"/>
        <v>82.674444951338046</v>
      </c>
      <c r="U1" s="8">
        <f t="shared" si="1"/>
        <v>82.697766013459386</v>
      </c>
      <c r="W1" s="8">
        <f>P7-W7</f>
        <v>82.506008568100015</v>
      </c>
      <c r="X1" s="8">
        <f t="shared" ref="X1:AB2" si="2">Q7-X7</f>
        <v>82.642780463570944</v>
      </c>
      <c r="Y1" s="8">
        <f t="shared" si="2"/>
        <v>82.618962361468448</v>
      </c>
      <c r="Z1" s="8">
        <f t="shared" si="2"/>
        <v>82.773112757807667</v>
      </c>
      <c r="AA1" s="8">
        <f t="shared" si="2"/>
        <v>82.927615308699615</v>
      </c>
      <c r="AB1" s="8">
        <f t="shared" si="2"/>
        <v>83.742826594127791</v>
      </c>
      <c r="AD1" s="8">
        <f>W7-AD7</f>
        <v>82.636095451643087</v>
      </c>
      <c r="AE1" s="8">
        <f t="shared" ref="AE1:AI2" si="3">X7-AE7</f>
        <v>82.581907933398043</v>
      </c>
      <c r="AF1" s="8">
        <f t="shared" si="3"/>
        <v>82.771225361127563</v>
      </c>
      <c r="AG1" s="8">
        <f t="shared" si="3"/>
        <v>82.850233769434453</v>
      </c>
      <c r="AH1" s="8">
        <f t="shared" si="3"/>
        <v>85.510406908593268</v>
      </c>
      <c r="AI1" s="8">
        <f t="shared" si="3"/>
        <v>86.231030545737212</v>
      </c>
      <c r="AK1" s="8">
        <f>AD7-AK7</f>
        <v>82.729118692952738</v>
      </c>
      <c r="AL1" s="8">
        <f t="shared" ref="AL1:AP2" si="4">AE7-AL7</f>
        <v>82.772825041090982</v>
      </c>
      <c r="AM1" s="8">
        <f t="shared" si="4"/>
        <v>82.708854609684067</v>
      </c>
      <c r="AN1" s="8">
        <f t="shared" si="4"/>
        <v>85.12970777509986</v>
      </c>
      <c r="AO1" s="8">
        <f t="shared" si="4"/>
        <v>86.217084550415166</v>
      </c>
      <c r="AP1" s="8">
        <f t="shared" si="4"/>
        <v>86.236014998638666</v>
      </c>
      <c r="AR1" s="8">
        <f>AK7-AR7</f>
        <v>82.901579466484463</v>
      </c>
      <c r="AS1" s="8">
        <f t="shared" ref="AS1:AW2" si="5">AL7-AS7</f>
        <v>82.798681375446108</v>
      </c>
      <c r="AT1" s="8">
        <f t="shared" si="5"/>
        <v>83.149937937093682</v>
      </c>
      <c r="AU1" s="8">
        <f t="shared" si="5"/>
        <v>86.213049764250172</v>
      </c>
      <c r="AV1" s="8">
        <f t="shared" si="5"/>
        <v>86.217580774798762</v>
      </c>
      <c r="AW1" s="8">
        <f t="shared" si="5"/>
        <v>86.236260703439484</v>
      </c>
    </row>
    <row r="2" spans="1:49" x14ac:dyDescent="0.25">
      <c r="A2" t="s">
        <v>569</v>
      </c>
      <c r="I2" s="8">
        <f>B8-I8</f>
        <v>26.611878944851469</v>
      </c>
      <c r="J2" s="8">
        <f t="shared" si="0"/>
        <v>26.588269219446147</v>
      </c>
      <c r="K2" s="8">
        <f t="shared" si="0"/>
        <v>26.600418761533547</v>
      </c>
      <c r="L2" s="8">
        <f t="shared" si="0"/>
        <v>26.590193777569539</v>
      </c>
      <c r="M2" s="8">
        <f t="shared" si="0"/>
        <v>26.590139236893037</v>
      </c>
      <c r="N2" s="8">
        <f t="shared" si="0"/>
        <v>26.585601748703311</v>
      </c>
      <c r="P2" s="8">
        <f>I8-P8</f>
        <v>26.596730781523092</v>
      </c>
      <c r="Q2" s="8">
        <f t="shared" si="1"/>
        <v>26.590774840311497</v>
      </c>
      <c r="R2" s="8">
        <f t="shared" si="1"/>
        <v>26.584649939388328</v>
      </c>
      <c r="S2" s="8">
        <f t="shared" si="1"/>
        <v>26.586348336675428</v>
      </c>
      <c r="T2" s="8">
        <f t="shared" si="1"/>
        <v>26.590201823566076</v>
      </c>
      <c r="U2" s="8">
        <f t="shared" si="1"/>
        <v>26.588564108529454</v>
      </c>
      <c r="W2" s="8">
        <f>P8-W8</f>
        <v>26.602030221265295</v>
      </c>
      <c r="X2" s="8">
        <f t="shared" si="2"/>
        <v>26.59242545332495</v>
      </c>
      <c r="Y2" s="8">
        <f t="shared" si="2"/>
        <v>26.594098072854422</v>
      </c>
      <c r="Z2" s="8">
        <f t="shared" si="2"/>
        <v>26.583272904572368</v>
      </c>
      <c r="AA2" s="8">
        <f t="shared" si="2"/>
        <v>26.572423006335839</v>
      </c>
      <c r="AB2" s="8">
        <f t="shared" si="2"/>
        <v>26.515175022808307</v>
      </c>
      <c r="AD2" s="8">
        <f>W8-AD8</f>
        <v>26.592894906410038</v>
      </c>
      <c r="AE2" s="8">
        <f t="shared" si="3"/>
        <v>26.596700209657229</v>
      </c>
      <c r="AF2" s="8">
        <f t="shared" si="3"/>
        <v>26.583405446473989</v>
      </c>
      <c r="AG2" s="8">
        <f t="shared" si="3"/>
        <v>26.577857103194219</v>
      </c>
      <c r="AH2" s="8">
        <f t="shared" si="3"/>
        <v>26.391047191736334</v>
      </c>
      <c r="AI2" s="8">
        <f t="shared" si="3"/>
        <v>26.340441599240421</v>
      </c>
      <c r="AK2" s="8">
        <f>AD8-AK8</f>
        <v>26.586362375419071</v>
      </c>
      <c r="AL2" s="8">
        <f t="shared" si="4"/>
        <v>26.583293109398028</v>
      </c>
      <c r="AM2" s="8">
        <f t="shared" si="4"/>
        <v>26.587785414974633</v>
      </c>
      <c r="AN2" s="8">
        <f t="shared" si="4"/>
        <v>26.417781681447877</v>
      </c>
      <c r="AO2" s="8">
        <f t="shared" si="4"/>
        <v>26.341420952844146</v>
      </c>
      <c r="AP2" s="8">
        <f t="shared" si="4"/>
        <v>26.340091567435366</v>
      </c>
      <c r="AR2" s="8">
        <f>AK8-AR8</f>
        <v>26.574251366041608</v>
      </c>
      <c r="AS2" s="8">
        <f t="shared" si="5"/>
        <v>26.581477355580887</v>
      </c>
      <c r="AT2" s="8">
        <f t="shared" si="5"/>
        <v>26.556810462206613</v>
      </c>
      <c r="AU2" s="8">
        <f t="shared" si="5"/>
        <v>26.341704294569354</v>
      </c>
      <c r="AV2" s="8">
        <f t="shared" si="5"/>
        <v>26.341386105626498</v>
      </c>
      <c r="AW2" s="8">
        <f t="shared" si="5"/>
        <v>26.340074312884781</v>
      </c>
    </row>
    <row r="3" spans="1:49" ht="15.6" x14ac:dyDescent="0.3">
      <c r="A3" s="4"/>
      <c r="B3" s="196" t="s">
        <v>37</v>
      </c>
      <c r="C3" s="196" t="s">
        <v>38</v>
      </c>
      <c r="D3" s="196" t="s">
        <v>39</v>
      </c>
      <c r="E3" s="196" t="s">
        <v>40</v>
      </c>
      <c r="F3" s="196" t="s">
        <v>41</v>
      </c>
      <c r="G3" s="196" t="s">
        <v>141</v>
      </c>
      <c r="H3" s="196"/>
      <c r="I3" s="196" t="s">
        <v>37</v>
      </c>
      <c r="J3" s="196" t="s">
        <v>38</v>
      </c>
      <c r="K3" s="196" t="s">
        <v>39</v>
      </c>
      <c r="L3" s="196" t="s">
        <v>40</v>
      </c>
      <c r="M3" s="196" t="s">
        <v>41</v>
      </c>
      <c r="N3" s="196" t="s">
        <v>141</v>
      </c>
      <c r="O3" s="196"/>
      <c r="P3" s="196" t="s">
        <v>37</v>
      </c>
      <c r="Q3" s="196" t="s">
        <v>38</v>
      </c>
      <c r="R3" s="196" t="s">
        <v>39</v>
      </c>
      <c r="S3" s="196" t="s">
        <v>40</v>
      </c>
      <c r="T3" s="196" t="s">
        <v>41</v>
      </c>
      <c r="U3" s="196" t="s">
        <v>141</v>
      </c>
      <c r="W3" s="196" t="s">
        <v>37</v>
      </c>
      <c r="X3" s="196" t="s">
        <v>38</v>
      </c>
      <c r="Y3" s="196" t="s">
        <v>39</v>
      </c>
      <c r="Z3" s="196" t="s">
        <v>40</v>
      </c>
      <c r="AA3" s="196" t="s">
        <v>41</v>
      </c>
      <c r="AB3" s="196" t="s">
        <v>141</v>
      </c>
      <c r="AD3" s="196" t="s">
        <v>37</v>
      </c>
      <c r="AE3" s="196" t="s">
        <v>38</v>
      </c>
      <c r="AF3" s="196" t="s">
        <v>39</v>
      </c>
      <c r="AG3" s="196" t="s">
        <v>40</v>
      </c>
      <c r="AH3" s="196" t="s">
        <v>41</v>
      </c>
      <c r="AI3" s="196" t="s">
        <v>141</v>
      </c>
      <c r="AK3" s="196" t="s">
        <v>37</v>
      </c>
      <c r="AL3" s="196" t="s">
        <v>38</v>
      </c>
      <c r="AM3" s="196" t="s">
        <v>39</v>
      </c>
      <c r="AN3" s="196" t="s">
        <v>40</v>
      </c>
      <c r="AO3" s="196" t="s">
        <v>41</v>
      </c>
      <c r="AP3" s="196" t="s">
        <v>141</v>
      </c>
      <c r="AR3" s="196" t="s">
        <v>37</v>
      </c>
      <c r="AS3" s="196" t="s">
        <v>38</v>
      </c>
      <c r="AT3" s="196" t="s">
        <v>39</v>
      </c>
      <c r="AU3" s="196" t="s">
        <v>40</v>
      </c>
      <c r="AV3" s="196" t="s">
        <v>41</v>
      </c>
      <c r="AW3" s="196" t="s">
        <v>141</v>
      </c>
    </row>
    <row r="4" spans="1:49" ht="12.75" customHeight="1" x14ac:dyDescent="0.25">
      <c r="B4" s="565" t="s">
        <v>72</v>
      </c>
      <c r="C4" s="565"/>
      <c r="D4" s="565"/>
      <c r="E4" s="565"/>
      <c r="F4" s="565"/>
      <c r="G4" s="75"/>
      <c r="I4" s="565" t="s">
        <v>72</v>
      </c>
      <c r="J4" s="565"/>
      <c r="K4" s="565"/>
      <c r="L4" s="565"/>
      <c r="M4" s="565"/>
      <c r="N4" s="75"/>
      <c r="O4" s="6"/>
      <c r="P4" s="565" t="s">
        <v>72</v>
      </c>
      <c r="Q4" s="565"/>
      <c r="R4" s="565"/>
      <c r="S4" s="565"/>
      <c r="T4" s="565"/>
      <c r="U4" s="75"/>
      <c r="W4" s="565" t="s">
        <v>72</v>
      </c>
      <c r="X4" s="565"/>
      <c r="Y4" s="565"/>
      <c r="Z4" s="565"/>
      <c r="AA4" s="565"/>
      <c r="AB4" s="75"/>
      <c r="AD4" s="565" t="s">
        <v>72</v>
      </c>
      <c r="AE4" s="565"/>
      <c r="AF4" s="565"/>
      <c r="AG4" s="565"/>
      <c r="AH4" s="565"/>
      <c r="AI4" s="75"/>
      <c r="AK4" s="565" t="s">
        <v>72</v>
      </c>
      <c r="AL4" s="565"/>
      <c r="AM4" s="565"/>
      <c r="AN4" s="565"/>
      <c r="AO4" s="565"/>
      <c r="AP4" s="75"/>
      <c r="AR4" s="565" t="s">
        <v>72</v>
      </c>
      <c r="AS4" s="565"/>
      <c r="AT4" s="565"/>
      <c r="AU4" s="565"/>
      <c r="AV4" s="565"/>
      <c r="AW4" s="75"/>
    </row>
    <row r="5" spans="1:49" x14ac:dyDescent="0.25">
      <c r="B5" s="376">
        <v>50</v>
      </c>
      <c r="C5" s="376">
        <v>85</v>
      </c>
      <c r="D5" s="376">
        <v>120</v>
      </c>
      <c r="E5" s="376">
        <v>160</v>
      </c>
      <c r="F5" s="376">
        <v>200</v>
      </c>
      <c r="G5" s="376">
        <v>240</v>
      </c>
      <c r="H5" s="99"/>
      <c r="I5" s="376">
        <v>50</v>
      </c>
      <c r="J5" s="376">
        <v>85</v>
      </c>
      <c r="K5" s="376">
        <v>120</v>
      </c>
      <c r="L5" s="376">
        <v>160</v>
      </c>
      <c r="M5" s="376">
        <v>200</v>
      </c>
      <c r="N5" s="376">
        <v>240</v>
      </c>
      <c r="O5" s="99"/>
      <c r="P5" s="376">
        <v>50</v>
      </c>
      <c r="Q5" s="376">
        <v>85</v>
      </c>
      <c r="R5" s="376">
        <v>120</v>
      </c>
      <c r="S5" s="376">
        <v>160</v>
      </c>
      <c r="T5" s="376">
        <v>200</v>
      </c>
      <c r="U5" s="376">
        <v>240</v>
      </c>
      <c r="W5" s="376">
        <v>50</v>
      </c>
      <c r="X5" s="376">
        <v>85</v>
      </c>
      <c r="Y5" s="376">
        <v>120</v>
      </c>
      <c r="Z5" s="376">
        <v>160</v>
      </c>
      <c r="AA5" s="376">
        <v>200</v>
      </c>
      <c r="AB5" s="376">
        <v>240</v>
      </c>
      <c r="AD5" s="376">
        <v>50</v>
      </c>
      <c r="AE5" s="376">
        <v>85</v>
      </c>
      <c r="AF5" s="376">
        <v>120</v>
      </c>
      <c r="AG5" s="376">
        <v>160</v>
      </c>
      <c r="AH5" s="376">
        <v>200</v>
      </c>
      <c r="AI5" s="376">
        <v>240</v>
      </c>
      <c r="AK5" s="376">
        <v>50</v>
      </c>
      <c r="AL5" s="376">
        <v>85</v>
      </c>
      <c r="AM5" s="376">
        <v>120</v>
      </c>
      <c r="AN5" s="376">
        <v>160</v>
      </c>
      <c r="AO5" s="376">
        <v>200</v>
      </c>
      <c r="AP5" s="376">
        <v>240</v>
      </c>
      <c r="AR5" s="376">
        <v>50</v>
      </c>
      <c r="AS5" s="376">
        <v>85</v>
      </c>
      <c r="AT5" s="376">
        <v>120</v>
      </c>
      <c r="AU5" s="376">
        <v>160</v>
      </c>
      <c r="AV5" s="376">
        <v>200</v>
      </c>
      <c r="AW5" s="376">
        <v>240</v>
      </c>
    </row>
    <row r="6" spans="1:49" ht="13.8" thickBot="1" x14ac:dyDescent="0.3">
      <c r="A6" s="306" t="s">
        <v>15</v>
      </c>
      <c r="B6" s="11">
        <v>85</v>
      </c>
      <c r="C6" s="11">
        <v>120</v>
      </c>
      <c r="D6" s="11">
        <v>160</v>
      </c>
      <c r="E6" s="11">
        <v>200</v>
      </c>
      <c r="F6" s="11">
        <v>240</v>
      </c>
      <c r="G6" s="11">
        <v>285</v>
      </c>
      <c r="H6" s="222"/>
      <c r="I6" s="11">
        <v>85</v>
      </c>
      <c r="J6" s="11">
        <v>120</v>
      </c>
      <c r="K6" s="11">
        <v>160</v>
      </c>
      <c r="L6" s="11">
        <v>200</v>
      </c>
      <c r="M6" s="11">
        <v>240</v>
      </c>
      <c r="N6" s="11">
        <v>285</v>
      </c>
      <c r="O6" s="94"/>
      <c r="P6" s="11">
        <v>85</v>
      </c>
      <c r="Q6" s="11">
        <v>120</v>
      </c>
      <c r="R6" s="11">
        <v>160</v>
      </c>
      <c r="S6" s="11">
        <v>200</v>
      </c>
      <c r="T6" s="11">
        <v>240</v>
      </c>
      <c r="U6" s="11">
        <v>285</v>
      </c>
      <c r="W6" s="11">
        <v>85</v>
      </c>
      <c r="X6" s="11">
        <v>120</v>
      </c>
      <c r="Y6" s="11">
        <v>160</v>
      </c>
      <c r="Z6" s="11">
        <v>200</v>
      </c>
      <c r="AA6" s="11">
        <v>240</v>
      </c>
      <c r="AB6" s="11">
        <v>285</v>
      </c>
      <c r="AD6" s="11">
        <v>85</v>
      </c>
      <c r="AE6" s="11">
        <v>120</v>
      </c>
      <c r="AF6" s="11">
        <v>160</v>
      </c>
      <c r="AG6" s="11">
        <v>200</v>
      </c>
      <c r="AH6" s="11">
        <v>240</v>
      </c>
      <c r="AI6" s="11">
        <v>285</v>
      </c>
      <c r="AK6" s="11">
        <v>85</v>
      </c>
      <c r="AL6" s="11">
        <v>120</v>
      </c>
      <c r="AM6" s="11">
        <v>160</v>
      </c>
      <c r="AN6" s="11">
        <v>200</v>
      </c>
      <c r="AO6" s="11">
        <v>240</v>
      </c>
      <c r="AP6" s="11">
        <v>285</v>
      </c>
      <c r="AR6" s="11">
        <v>85</v>
      </c>
      <c r="AS6" s="11">
        <v>120</v>
      </c>
      <c r="AT6" s="11">
        <v>160</v>
      </c>
      <c r="AU6" s="11">
        <v>200</v>
      </c>
      <c r="AV6" s="11">
        <v>240</v>
      </c>
      <c r="AW6" s="11">
        <v>285</v>
      </c>
    </row>
    <row r="7" spans="1:49" x14ac:dyDescent="0.25">
      <c r="A7" t="s">
        <v>1</v>
      </c>
      <c r="B7" s="291">
        <f>IF(B5="","",((((B236-B297)*2000)+((SUM(B9:B229)-2000)*((IF($A8=Nutrients!$B$79,Nutrients!$DA$79,(IF($A8=Nutrients!$B$77,Nutrients!$DA$77,Nutrients!$DA$78)))))))/((IF($A7=Nutrients!$B$8,Nutrients!$DA$8,Nutrients!$DA$9))-((IF($A8=Nutrients!$B$79,Nutrients!$DA$79,(IF($A8=Nutrients!$B$77,Nutrients!$DA$77,Nutrients!$DA$78))))))))</f>
        <v>1401.204118179855</v>
      </c>
      <c r="C7" s="291">
        <f>IF(C5="","",((((C236-C297)*2000)+((SUM(C9:C229)-2000)*((IF($A8=Nutrients!$B$79,Nutrients!$DA$79,(IF($A8=Nutrients!$B$77,Nutrients!$DA$77,Nutrients!$DA$78)))))))/((IF($A7=Nutrients!$B$8,Nutrients!$DA$8,Nutrients!$DA$9))-((IF($A8=Nutrients!$B$79,Nutrients!$DA$79,(IF($A8=Nutrients!$B$77,Nutrients!$DA$77,Nutrients!$DA$78))))))))</f>
        <v>1489.6346777263973</v>
      </c>
      <c r="D7" s="291">
        <f>IF(D5="","",((((D236-D297)*2000)+((SUM(D9:D229)-2000)*((IF($A8=Nutrients!$B$79,Nutrients!$DA$79,(IF($A8=Nutrients!$B$77,Nutrients!$DA$77,Nutrients!$DA$78)))))))/((IF($A7=Nutrients!$B$8,Nutrients!$DA$8,Nutrients!$DA$9))-((IF($A8=Nutrients!$B$79,Nutrients!$DA$79,(IF($A8=Nutrients!$B$77,Nutrients!$DA$77,Nutrients!$DA$78))))))))</f>
        <v>1564.8539711032211</v>
      </c>
      <c r="E7" s="291">
        <f>IF(E5="","",((((E236-E297)*2000)+((SUM(E9:E229)-2000)*((IF($A8=Nutrients!$B$79,Nutrients!$DA$79,(IF($A8=Nutrients!$B$77,Nutrients!$DA$77,Nutrients!$DA$78)))))))/((IF($A7=Nutrients!$B$8,Nutrients!$DA$8,Nutrients!$DA$9))-((IF($A8=Nutrients!$B$79,Nutrients!$DA$79,(IF($A8=Nutrients!$B$77,Nutrients!$DA$77,Nutrients!$DA$78))))))))</f>
        <v>1637.2122226458096</v>
      </c>
      <c r="F7" s="291">
        <f>IF(F5="","",((((F236-F297)*2000)+((SUM(F9:F229)-2000)*((IF($A8=Nutrients!$B$79,Nutrients!$DA$79,(IF($A8=Nutrients!$B$77,Nutrients!$DA$77,Nutrients!$DA$78)))))))/((IF($A7=Nutrients!$B$8,Nutrients!$DA$8,Nutrients!$DA$9))-((IF($A8=Nutrients!$B$79,Nutrients!$DA$79,(IF($A8=Nutrients!$B$77,Nutrients!$DA$77,Nutrients!$DA$78))))))))</f>
        <v>1697.3820399240099</v>
      </c>
      <c r="G7" s="291">
        <f>IF(G5="","",((((G236-G297)*2000)+((SUM(G9:G229)-2000)*((IF($A8=Nutrients!$B$79,Nutrients!$DA$79,(IF($A8=Nutrients!$B$77,Nutrients!$DA$77,Nutrients!$DA$78)))))))/((IF($A7=Nutrients!$B$8,Nutrients!$DA$8,Nutrients!$DA$9))-((IF($A8=Nutrients!$B$79,Nutrients!$DA$79,(IF($A8=Nutrients!$B$77,Nutrients!$DA$77,Nutrients!$DA$78))))))))</f>
        <v>1729.7239606988965</v>
      </c>
      <c r="H7" s="291"/>
      <c r="I7" s="291">
        <f>IF(I5="","",((((I236-I297)*2000)+((SUM(I9:I229)-2000)*((IF($A8=Nutrients!$B$79,Nutrients!$DA$79,(IF($A8=Nutrients!$B$77,Nutrients!$DA$77,Nutrients!$DA$78)))))))/((IF($A7=Nutrients!$B$8,Nutrients!$DA$8,Nutrients!$DA$9))-((IF($A8=Nutrients!$B$79,Nutrients!$DA$79,(IF($A8=Nutrients!$B$77,Nutrients!$DA$77,Nutrients!$DA$78))))))))</f>
        <v>1318.8383554356226</v>
      </c>
      <c r="J7" s="291">
        <f>IF(J5="","",((((J236-J297)*2000)+((SUM(J9:J229)-2000)*((IF($A8=Nutrients!$B$79,Nutrients!$DA$79,(IF($A8=Nutrients!$B$77,Nutrients!$DA$77,Nutrients!$DA$78)))))))/((IF($A7=Nutrients!$B$8,Nutrients!$DA$8,Nutrients!$DA$9))-((IF($A8=Nutrients!$B$79,Nutrients!$DA$79,(IF($A8=Nutrients!$B$77,Nutrients!$DA$77,Nutrients!$DA$78))))))))</f>
        <v>1406.9327124923927</v>
      </c>
      <c r="K7" s="291">
        <f>IF(K5="","",((((K236-K297)*2000)+((SUM(K9:K229)-2000)*((IF($A8=Nutrients!$B$79,Nutrients!$DA$79,(IF($A8=Nutrients!$B$77,Nutrients!$DA$77,Nutrients!$DA$78)))))))/((IF($A7=Nutrients!$B$8,Nutrients!$DA$8,Nutrients!$DA$9))-((IF($A8=Nutrients!$B$79,Nutrients!$DA$79,(IF($A8=Nutrients!$B$77,Nutrients!$DA$77,Nutrients!$DA$78))))))))</f>
        <v>1482.325015348544</v>
      </c>
      <c r="L7" s="291">
        <f>IF(L5="","",((((L236-L297)*2000)+((SUM(L9:L229)-2000)*((IF($A8=Nutrients!$B$79,Nutrients!$DA$79,(IF($A8=Nutrients!$B$77,Nutrients!$DA$77,Nutrients!$DA$78)))))))/((IF($A7=Nutrients!$B$8,Nutrients!$DA$8,Nutrients!$DA$9))-((IF($A8=Nutrients!$B$79,Nutrients!$DA$79,(IF($A8=Nutrients!$B$77,Nutrients!$DA$77,Nutrients!$DA$78))))))))</f>
        <v>1554.5376631194806</v>
      </c>
      <c r="M7" s="291">
        <f>IF(M5="","",((((M236-M297)*2000)+((SUM(M9:M229)-2000)*((IF($A8=Nutrients!$B$79,Nutrients!$DA$79,(IF($A8=Nutrients!$B$77,Nutrients!$DA$77,Nutrients!$DA$78)))))))/((IF($A7=Nutrients!$B$8,Nutrients!$DA$8,Nutrients!$DA$9))-((IF($A8=Nutrients!$B$79,Nutrients!$DA$79,(IF($A8=Nutrients!$B$77,Nutrients!$DA$77,Nutrients!$DA$78))))))))</f>
        <v>1614.7067037384488</v>
      </c>
      <c r="N7" s="291">
        <f>IF(N5="","",((((N236-N297)*2000)+((SUM(N9:N229)-2000)*((IF($A8=Nutrients!$B$79,Nutrients!$DA$79,(IF($A8=Nutrients!$B$77,Nutrients!$DA$77,Nutrients!$DA$78)))))))/((IF($A7=Nutrients!$B$8,Nutrients!$DA$8,Nutrients!$DA$9))-((IF($A8=Nutrients!$B$79,Nutrients!$DA$79,(IF($A8=Nutrients!$B$77,Nutrients!$DA$77,Nutrients!$DA$78))))))))</f>
        <v>1646.9840106815107</v>
      </c>
      <c r="O7" s="30"/>
      <c r="P7" s="291">
        <f>IF(P5="","",((((P236-P297)*2000)+((SUM(P9:P229)-2000)*((IF($A8=Nutrients!$B$79,Nutrients!$DA$79,(IF($A8=Nutrients!$B$77,Nutrients!$DA$77,Nutrients!$DA$78)))))))/((IF($A7=Nutrients!$B$8,Nutrients!$DA$8,Nutrients!$DA$9))-((IF($A8=Nutrients!$B$79,Nutrients!$DA$79,(IF($A8=Nutrients!$B$77,Nutrients!$DA$77,Nutrients!$DA$78))))))))</f>
        <v>1236.2568828455967</v>
      </c>
      <c r="Q7" s="291">
        <f>IF(Q5="","",((((Q236-Q297)*2000)+((SUM(Q9:Q229)-2000)*((IF($A8=Nutrients!$B$79,Nutrients!$DA$79,(IF($A8=Nutrients!$B$77,Nutrients!$DA$77,Nutrients!$DA$78)))))))/((IF($A7=Nutrients!$B$8,Nutrients!$DA$8,Nutrients!$DA$9))-((IF($A8=Nutrients!$B$79,Nutrients!$DA$79,(IF($A8=Nutrients!$B$77,Nutrients!$DA$77,Nutrients!$DA$78))))))))</f>
        <v>1324.2664272995055</v>
      </c>
      <c r="R7" s="291">
        <f>IF(R5="","",((((R236-R297)*2000)+((SUM(R9:R229)-2000)*((IF($A8=Nutrients!$B$79,Nutrients!$DA$79,(IF($A8=Nutrients!$B$77,Nutrients!$DA$77,Nutrients!$DA$78)))))))/((IF($A7=Nutrients!$B$8,Nutrients!$DA$8,Nutrients!$DA$9))-((IF($A8=Nutrients!$B$79,Nutrients!$DA$79,(IF($A8=Nutrients!$B$77,Nutrients!$DA$77,Nutrients!$DA$78))))))))</f>
        <v>1399.5715115665103</v>
      </c>
      <c r="S7" s="291">
        <f>IF(S5="","",((((S236-S297)*2000)+((SUM(S9:S229)-2000)*((IF($A8=Nutrients!$B$79,Nutrients!$DA$79,(IF($A8=Nutrients!$B$77,Nutrients!$DA$77,Nutrients!$DA$78)))))))/((IF($A7=Nutrients!$B$8,Nutrients!$DA$8,Nutrients!$DA$9))-((IF($A8=Nutrients!$B$79,Nutrients!$DA$79,(IF($A8=Nutrients!$B$77,Nutrients!$DA$77,Nutrients!$DA$78))))))))</f>
        <v>1471.8083445148206</v>
      </c>
      <c r="T7" s="291">
        <f>IF(T5="","",((((T236-T297)*2000)+((SUM(T9:T229)-2000)*((IF($A8=Nutrients!$B$79,Nutrients!$DA$79,(IF($A8=Nutrients!$B$77,Nutrients!$DA$77,Nutrients!$DA$78)))))))/((IF($A7=Nutrients!$B$8,Nutrients!$DA$8,Nutrients!$DA$9))-((IF($A8=Nutrients!$B$79,Nutrients!$DA$79,(IF($A8=Nutrients!$B$77,Nutrients!$DA$77,Nutrients!$DA$78))))))))</f>
        <v>1532.0322587871108</v>
      </c>
      <c r="U7" s="291">
        <f>IF(U5="","",((((U236-U297)*2000)+((SUM(U9:U229)-2000)*((IF($A8=Nutrients!$B$79,Nutrients!$DA$79,(IF($A8=Nutrients!$B$77,Nutrients!$DA$77,Nutrients!$DA$78)))))))/((IF($A7=Nutrients!$B$8,Nutrients!$DA$8,Nutrients!$DA$9))-((IF($A8=Nutrients!$B$79,Nutrients!$DA$79,(IF($A8=Nutrients!$B$77,Nutrients!$DA$77,Nutrients!$DA$78))))))))</f>
        <v>1564.2862446680513</v>
      </c>
      <c r="W7" s="291">
        <f>IF(W5="","",((((W236-W297)*2000)+((SUM(W9:W229)-2000)*((IF($A8=Nutrients!$B$79,Nutrients!$DA$79,(IF($A8=Nutrients!$B$77,Nutrients!$DA$77,Nutrients!$DA$78)))))))/((IF($A7=Nutrients!$B$8,Nutrients!$DA$8,Nutrients!$DA$9))-((IF($A8=Nutrients!$B$79,Nutrients!$DA$79,(IF($A8=Nutrients!$B$77,Nutrients!$DA$77,Nutrients!$DA$78))))))))</f>
        <v>1153.7508742774967</v>
      </c>
      <c r="X7" s="291">
        <f>IF(X5="","",((((X236-X297)*2000)+((SUM(X9:X229)-2000)*((IF($A8=Nutrients!$B$79,Nutrients!$DA$79,(IF($A8=Nutrients!$B$77,Nutrients!$DA$77,Nutrients!$DA$78)))))))/((IF($A7=Nutrients!$B$8,Nutrients!$DA$8,Nutrients!$DA$9))-((IF($A8=Nutrients!$B$79,Nutrients!$DA$79,(IF($A8=Nutrients!$B$77,Nutrients!$DA$77,Nutrients!$DA$78))))))))</f>
        <v>1241.6236468359346</v>
      </c>
      <c r="Y7" s="291">
        <f>IF(Y5="","",((((Y236-Y297)*2000)+((SUM(Y9:Y229)-2000)*((IF($A8=Nutrients!$B$79,Nutrients!$DA$79,(IF($A8=Nutrients!$B$77,Nutrients!$DA$77,Nutrients!$DA$78)))))))/((IF($A7=Nutrients!$B$8,Nutrients!$DA$8,Nutrients!$DA$9))-((IF($A8=Nutrients!$B$79,Nutrients!$DA$79,(IF($A8=Nutrients!$B$77,Nutrients!$DA$77,Nutrients!$DA$78))))))))</f>
        <v>1316.9525492050418</v>
      </c>
      <c r="Z7" s="291">
        <f>IF(Z5="","",((((Z236-Z297)*2000)+((SUM(Z9:Z229)-2000)*((IF($A8=Nutrients!$B$79,Nutrients!$DA$79,(IF($A8=Nutrients!$B$77,Nutrients!$DA$77,Nutrients!$DA$78)))))))/((IF($A7=Nutrients!$B$8,Nutrients!$DA$8,Nutrients!$DA$9))-((IF($A8=Nutrients!$B$79,Nutrients!$DA$79,(IF($A8=Nutrients!$B$77,Nutrients!$DA$77,Nutrients!$DA$78))))))))</f>
        <v>1389.035231757013</v>
      </c>
      <c r="AA7" s="291">
        <f>IF(AA5="","",((((AA236-AA297)*2000)+((SUM(AA9:AA229)-2000)*((IF($A8=Nutrients!$B$79,Nutrients!$DA$79,(IF($A8=Nutrients!$B$77,Nutrients!$DA$77,Nutrients!$DA$78)))))))/((IF($A7=Nutrients!$B$8,Nutrients!$DA$8,Nutrients!$DA$9))-((IF($A8=Nutrients!$B$79,Nutrients!$DA$79,(IF($A8=Nutrients!$B$77,Nutrients!$DA$77,Nutrients!$DA$78))))))))</f>
        <v>1449.1046434784112</v>
      </c>
      <c r="AB7" s="291">
        <f>IF(AB5="","",((((AB236-AB297)*2000)+((SUM(AB9:AB229)-2000)*((IF($A8=Nutrients!$B$79,Nutrients!$DA$79,(IF($A8=Nutrients!$B$77,Nutrients!$DA$77,Nutrients!$DA$78)))))))/((IF($A7=Nutrients!$B$8,Nutrients!$DA$8,Nutrients!$DA$9))-((IF($A8=Nutrients!$B$79,Nutrients!$DA$79,(IF($A8=Nutrients!$B$77,Nutrients!$DA$77,Nutrients!$DA$78))))))))</f>
        <v>1480.5434180739235</v>
      </c>
      <c r="AD7" s="291">
        <f>IF(AD5="","",((((AD236-AD297)*2000)+((SUM(AD9:AD229)-2000)*((IF($A8=Nutrients!$B$79,Nutrients!$DA$79,(IF($A8=Nutrients!$B$77,Nutrients!$DA$77,Nutrients!$DA$78)))))))/((IF($A7=Nutrients!$B$8,Nutrients!$DA$8,Nutrients!$DA$9))-((IF($A8=Nutrients!$B$79,Nutrients!$DA$79,(IF($A8=Nutrients!$B$77,Nutrients!$DA$77,Nutrients!$DA$78))))))))</f>
        <v>1071.1147788258536</v>
      </c>
      <c r="AE7" s="291">
        <f>IF(AE5="","",((((AE236-AE297)*2000)+((SUM(AE9:AE229)-2000)*((IF($A8=Nutrients!$B$79,Nutrients!$DA$79,(IF($A8=Nutrients!$B$77,Nutrients!$DA$77,Nutrients!$DA$78)))))))/((IF($A7=Nutrients!$B$8,Nutrients!$DA$8,Nutrients!$DA$9))-((IF($A8=Nutrients!$B$79,Nutrients!$DA$79,(IF($A8=Nutrients!$B$77,Nutrients!$DA$77,Nutrients!$DA$78))))))))</f>
        <v>1159.0417389025365</v>
      </c>
      <c r="AF7" s="291">
        <f>IF(AF5="","",((((AF236-AF297)*2000)+((SUM(AF9:AF229)-2000)*((IF($A8=Nutrients!$B$79,Nutrients!$DA$79,(IF($A8=Nutrients!$B$77,Nutrients!$DA$77,Nutrients!$DA$78)))))))/((IF($A7=Nutrients!$B$8,Nutrients!$DA$8,Nutrients!$DA$9))-((IF($A8=Nutrients!$B$79,Nutrients!$DA$79,(IF($A8=Nutrients!$B$77,Nutrients!$DA$77,Nutrients!$DA$78))))))))</f>
        <v>1234.1813238439142</v>
      </c>
      <c r="AG7" s="291">
        <f>IF(AG5="","",((((AG236-AG297)*2000)+((SUM(AG9:AG229)-2000)*((IF($A8=Nutrients!$B$79,Nutrients!$DA$79,(IF($A8=Nutrients!$B$77,Nutrients!$DA$77,Nutrients!$DA$78)))))))/((IF($A7=Nutrients!$B$8,Nutrients!$DA$8,Nutrients!$DA$9))-((IF($A8=Nutrients!$B$79,Nutrients!$DA$79,(IF($A8=Nutrients!$B$77,Nutrients!$DA$77,Nutrients!$DA$78))))))))</f>
        <v>1306.1849979875785</v>
      </c>
      <c r="AH7" s="291">
        <f>IF(AH5="","",((((AH236-AH297)*2000)+((SUM(AH9:AH229)-2000)*((IF($A8=Nutrients!$B$79,Nutrients!$DA$79,(IF($A8=Nutrients!$B$77,Nutrients!$DA$77,Nutrients!$DA$78)))))))/((IF($A7=Nutrients!$B$8,Nutrients!$DA$8,Nutrients!$DA$9))-((IF($A8=Nutrients!$B$79,Nutrients!$DA$79,(IF($A8=Nutrients!$B$77,Nutrients!$DA$77,Nutrients!$DA$78))))))))</f>
        <v>1363.5942365698179</v>
      </c>
      <c r="AI7" s="291">
        <f>IF(AI5="","",((((AI236-AI297)*2000)+((SUM(AI9:AI229)-2000)*((IF($A8=Nutrients!$B$79,Nutrients!$DA$79,(IF($A8=Nutrients!$B$77,Nutrients!$DA$77,Nutrients!$DA$78)))))))/((IF($A7=Nutrients!$B$8,Nutrients!$DA$8,Nutrients!$DA$9))-((IF($A8=Nutrients!$B$79,Nutrients!$DA$79,(IF($A8=Nutrients!$B$77,Nutrients!$DA$77,Nutrients!$DA$78))))))))</f>
        <v>1394.3123875281863</v>
      </c>
      <c r="AK7" s="291">
        <f>IF(AK5="","",((((AK236-AK297)*2000)+((SUM(AK9:AK229)-2000)*((IF($A8=Nutrients!$B$79,Nutrients!$DA$79,(IF($A8=Nutrients!$B$77,Nutrients!$DA$77,Nutrients!$DA$78)))))))/((IF($A7=Nutrients!$B$8,Nutrients!$DA$8,Nutrients!$DA$9))-((IF($A8=Nutrients!$B$79,Nutrients!$DA$79,(IF($A8=Nutrients!$B$77,Nutrients!$DA$77,Nutrients!$DA$78))))))))</f>
        <v>988.38566013290085</v>
      </c>
      <c r="AL7" s="291">
        <f>IF(AL5="","",((((AL236-AL297)*2000)+((SUM(AL9:AL229)-2000)*((IF($A8=Nutrients!$B$79,Nutrients!$DA$79,(IF($A8=Nutrients!$B$77,Nutrients!$DA$77,Nutrients!$DA$78)))))))/((IF($A7=Nutrients!$B$8,Nutrients!$DA$8,Nutrients!$DA$9))-((IF($A8=Nutrients!$B$79,Nutrients!$DA$79,(IF($A8=Nutrients!$B$77,Nutrients!$DA$77,Nutrients!$DA$78))))))))</f>
        <v>1076.2689138614455</v>
      </c>
      <c r="AM7" s="291">
        <f>IF(AM5="","",((((AM236-AM297)*2000)+((SUM(AM9:AM229)-2000)*((IF($A8=Nutrients!$B$79,Nutrients!$DA$79,(IF($A8=Nutrients!$B$77,Nutrients!$DA$77,Nutrients!$DA$78)))))))/((IF($A7=Nutrients!$B$8,Nutrients!$DA$8,Nutrients!$DA$9))-((IF($A8=Nutrients!$B$79,Nutrients!$DA$79,(IF($A8=Nutrients!$B$77,Nutrients!$DA$77,Nutrients!$DA$78))))))))</f>
        <v>1151.4724692342302</v>
      </c>
      <c r="AN7" s="291">
        <f>IF(AN5="","",((((AN236-AN297)*2000)+((SUM(AN9:AN229)-2000)*((IF($A8=Nutrients!$B$79,Nutrients!$DA$79,(IF($A8=Nutrients!$B$77,Nutrients!$DA$77,Nutrients!$DA$78)))))))/((IF($A7=Nutrients!$B$8,Nutrients!$DA$8,Nutrients!$DA$9))-((IF($A8=Nutrients!$B$79,Nutrients!$DA$79,(IF($A8=Nutrients!$B$77,Nutrients!$DA$77,Nutrients!$DA$78))))))))</f>
        <v>1221.0552902124787</v>
      </c>
      <c r="AO7" s="291">
        <f>IF(AO5="","",((((AO236-AO297)*2000)+((SUM(AO9:AO229)-2000)*((IF($A8=Nutrients!$B$79,Nutrients!$DA$79,(IF($A8=Nutrients!$B$77,Nutrients!$DA$77,Nutrients!$DA$78)))))))/((IF($A7=Nutrients!$B$8,Nutrients!$DA$8,Nutrients!$DA$9))-((IF($A8=Nutrients!$B$79,Nutrients!$DA$79,(IF($A8=Nutrients!$B$77,Nutrients!$DA$77,Nutrients!$DA$78))))))))</f>
        <v>1277.3771520194027</v>
      </c>
      <c r="AP7" s="291">
        <f>IF(AP5="","",((((AP236-AP297)*2000)+((SUM(AP9:AP229)-2000)*((IF($A8=Nutrients!$B$79,Nutrients!$DA$79,(IF($A8=Nutrients!$B$77,Nutrients!$DA$77,Nutrients!$DA$78)))))))/((IF($A7=Nutrients!$B$8,Nutrients!$DA$8,Nutrients!$DA$9))-((IF($A8=Nutrients!$B$79,Nutrients!$DA$79,(IF($A8=Nutrients!$B$77,Nutrients!$DA$77,Nutrients!$DA$78))))))))</f>
        <v>1308.0763725295476</v>
      </c>
      <c r="AR7" s="291">
        <f>IF(AR5="","",((((AR236-AR297)*2000)+((SUM(AR9:AR229)-2000)*((IF($A8=Nutrients!$B$79,Nutrients!$DA$79,(IF($A8=Nutrients!$B$77,Nutrients!$DA$77,Nutrients!$DA$78)))))))/((IF($A7=Nutrients!$B$8,Nutrients!$DA$8,Nutrients!$DA$9))-((IF($A8=Nutrients!$B$79,Nutrients!$DA$79,(IF($A8=Nutrients!$B$77,Nutrients!$DA$77,Nutrients!$DA$78))))))))</f>
        <v>905.48408066641639</v>
      </c>
      <c r="AS7" s="291">
        <f>IF(AS5="","",((((AS236-AS297)*2000)+((SUM(AS9:AS229)-2000)*((IF($A8=Nutrients!$B$79,Nutrients!$DA$79,(IF($A8=Nutrients!$B$77,Nutrients!$DA$77,Nutrients!$DA$78)))))))/((IF($A7=Nutrients!$B$8,Nutrients!$DA$8,Nutrients!$DA$9))-((IF($A8=Nutrients!$B$79,Nutrients!$DA$79,(IF($A8=Nutrients!$B$77,Nutrients!$DA$77,Nutrients!$DA$78))))))))</f>
        <v>993.47023248599942</v>
      </c>
      <c r="AT7" s="291">
        <f>IF(AT5="","",((((AT236-AT297)*2000)+((SUM(AT9:AT229)-2000)*((IF($A8=Nutrients!$B$79,Nutrients!$DA$79,(IF($A8=Nutrients!$B$77,Nutrients!$DA$77,Nutrients!$DA$78)))))))/((IF($A7=Nutrients!$B$8,Nutrients!$DA$8,Nutrients!$DA$9))-((IF($A8=Nutrients!$B$79,Nutrients!$DA$79,(IF($A8=Nutrients!$B$77,Nutrients!$DA$77,Nutrients!$DA$78))))))))</f>
        <v>1068.3225312971365</v>
      </c>
      <c r="AU7" s="291">
        <f>IF(AU5="","",((((AU236-AU297)*2000)+((SUM(AU9:AU229)-2000)*((IF($A8=Nutrients!$B$79,Nutrients!$DA$79,(IF($A8=Nutrients!$B$77,Nutrients!$DA$77,Nutrients!$DA$78)))))))/((IF($A7=Nutrients!$B$8,Nutrients!$DA$8,Nutrients!$DA$9))-((IF($A8=Nutrients!$B$79,Nutrients!$DA$79,(IF($A8=Nutrients!$B$77,Nutrients!$DA$77,Nutrients!$DA$78))))))))</f>
        <v>1134.8422404482285</v>
      </c>
      <c r="AV7" s="291">
        <f>IF(AV5="","",((((AV236-AV297)*2000)+((SUM(AV9:AV229)-2000)*((IF($A8=Nutrients!$B$79,Nutrients!$DA$79,(IF($A8=Nutrients!$B$77,Nutrients!$DA$77,Nutrients!$DA$78)))))))/((IF($A7=Nutrients!$B$8,Nutrients!$DA$8,Nutrients!$DA$9))-((IF($A8=Nutrients!$B$79,Nutrients!$DA$79,(IF($A8=Nutrients!$B$77,Nutrients!$DA$77,Nutrients!$DA$78))))))))</f>
        <v>1191.159571244604</v>
      </c>
      <c r="AW7" s="291">
        <f>IF(AW5="","",((((AW236-AW297)*2000)+((SUM(AW9:AW229)-2000)*((IF($A8=Nutrients!$B$79,Nutrients!$DA$79,(IF($A8=Nutrients!$B$77,Nutrients!$DA$77,Nutrients!$DA$78)))))))/((IF($A7=Nutrients!$B$8,Nutrients!$DA$8,Nutrients!$DA$9))-((IF($A8=Nutrients!$B$79,Nutrients!$DA$79,(IF($A8=Nutrients!$B$77,Nutrients!$DA$77,Nutrients!$DA$78))))))))</f>
        <v>1221.8401118261081</v>
      </c>
    </row>
    <row r="8" spans="1:49" x14ac:dyDescent="0.25">
      <c r="A8" t="s">
        <v>295</v>
      </c>
      <c r="B8" s="291">
        <f t="shared" ref="B8:G8" si="6">IF(B5="","",2000-SUM(B9:B218)-B7)</f>
        <v>532.87319453405121</v>
      </c>
      <c r="C8" s="291">
        <f t="shared" si="6"/>
        <v>452.27140406672561</v>
      </c>
      <c r="D8" s="291">
        <f t="shared" si="6"/>
        <v>384.4341908979336</v>
      </c>
      <c r="E8" s="291">
        <f t="shared" si="6"/>
        <v>317.11390951924227</v>
      </c>
      <c r="F8" s="291">
        <f t="shared" si="6"/>
        <v>260.24813699960987</v>
      </c>
      <c r="G8" s="291">
        <f t="shared" si="6"/>
        <v>228.872010022209</v>
      </c>
      <c r="H8" s="291"/>
      <c r="I8" s="291">
        <f t="shared" ref="I8:N8" si="7">IF(I5="","",2000-SUM(I9:I220)-I7)</f>
        <v>506.26131558919974</v>
      </c>
      <c r="J8" s="291">
        <f t="shared" si="7"/>
        <v>425.68313484727946</v>
      </c>
      <c r="K8" s="291">
        <f t="shared" si="7"/>
        <v>357.83377213640006</v>
      </c>
      <c r="L8" s="291">
        <f t="shared" si="7"/>
        <v>290.52371574167273</v>
      </c>
      <c r="M8" s="291">
        <f t="shared" si="7"/>
        <v>233.65799776271683</v>
      </c>
      <c r="N8" s="291">
        <f t="shared" si="7"/>
        <v>202.28640827350569</v>
      </c>
      <c r="O8" s="30"/>
      <c r="P8" s="291">
        <f t="shared" ref="P8:U8" si="8">IF(P5="","",2000-SUM(P9:P220)-P7)</f>
        <v>479.66458480767665</v>
      </c>
      <c r="Q8" s="291">
        <f t="shared" si="8"/>
        <v>399.09236000696797</v>
      </c>
      <c r="R8" s="291">
        <f t="shared" si="8"/>
        <v>331.24912219701173</v>
      </c>
      <c r="S8" s="291">
        <f t="shared" si="8"/>
        <v>263.9373674049973</v>
      </c>
      <c r="T8" s="291">
        <f t="shared" si="8"/>
        <v>207.06779593915076</v>
      </c>
      <c r="U8" s="291">
        <f t="shared" si="8"/>
        <v>175.69784416497623</v>
      </c>
      <c r="W8" s="291">
        <f t="shared" ref="W8:AB8" si="9">IF(W5="","",2000-SUM(W9:W220)-W7)</f>
        <v>453.06255458641135</v>
      </c>
      <c r="X8" s="291">
        <f t="shared" si="9"/>
        <v>372.49993455364302</v>
      </c>
      <c r="Y8" s="291">
        <f t="shared" si="9"/>
        <v>304.65502412415731</v>
      </c>
      <c r="Z8" s="291">
        <f t="shared" si="9"/>
        <v>237.35409450042494</v>
      </c>
      <c r="AA8" s="291">
        <f t="shared" si="9"/>
        <v>180.49537293281492</v>
      </c>
      <c r="AB8" s="291">
        <f t="shared" si="9"/>
        <v>149.18266914216792</v>
      </c>
      <c r="AD8" s="291">
        <f t="shared" ref="AD8:AI8" si="10">IF(AD5="","",2000-SUM(AD9:AD220)-AD7)</f>
        <v>426.46965968000131</v>
      </c>
      <c r="AE8" s="291">
        <f t="shared" si="10"/>
        <v>345.90323434398579</v>
      </c>
      <c r="AF8" s="291">
        <f t="shared" si="10"/>
        <v>278.07161867768332</v>
      </c>
      <c r="AG8" s="291">
        <f t="shared" si="10"/>
        <v>210.77623739723072</v>
      </c>
      <c r="AH8" s="291">
        <f t="shared" si="10"/>
        <v>154.10432574107858</v>
      </c>
      <c r="AI8" s="291">
        <f t="shared" si="10"/>
        <v>122.8422275429275</v>
      </c>
      <c r="AK8" s="291">
        <f t="shared" ref="AK8:AP8" si="11">IF(AK5="","",2000-SUM(AK9:AK220)-AK7)</f>
        <v>399.88329730458224</v>
      </c>
      <c r="AL8" s="291">
        <f t="shared" si="11"/>
        <v>319.31994123458776</v>
      </c>
      <c r="AM8" s="291">
        <f t="shared" si="11"/>
        <v>251.48383326270869</v>
      </c>
      <c r="AN8" s="291">
        <f t="shared" si="11"/>
        <v>184.35845571578284</v>
      </c>
      <c r="AO8" s="291">
        <f t="shared" si="11"/>
        <v>127.76290478823444</v>
      </c>
      <c r="AP8" s="291">
        <f t="shared" si="11"/>
        <v>96.502135975492138</v>
      </c>
      <c r="AR8" s="291">
        <f t="shared" ref="AR8:AW8" si="12">IF(AR5="","",2000-SUM(AR9:AR220)-AR7)</f>
        <v>373.30904593854063</v>
      </c>
      <c r="AS8" s="291">
        <f t="shared" si="12"/>
        <v>292.73846387900687</v>
      </c>
      <c r="AT8" s="291">
        <f t="shared" si="12"/>
        <v>224.92702280050207</v>
      </c>
      <c r="AU8" s="291">
        <f t="shared" si="12"/>
        <v>158.01675142121348</v>
      </c>
      <c r="AV8" s="291">
        <f t="shared" si="12"/>
        <v>101.42151868260794</v>
      </c>
      <c r="AW8" s="291">
        <f t="shared" si="12"/>
        <v>70.162061662607357</v>
      </c>
    </row>
    <row r="9" spans="1:49" ht="13.05" hidden="1" customHeight="1" x14ac:dyDescent="0.25">
      <c r="A9" t="str">
        <f>Nutrients!B8</f>
        <v>Corn</v>
      </c>
      <c r="B9" s="99"/>
      <c r="C9" s="99"/>
      <c r="D9" s="99"/>
      <c r="E9" s="99"/>
      <c r="F9" s="99"/>
      <c r="G9" s="99"/>
      <c r="H9" s="99"/>
      <c r="I9" s="99"/>
      <c r="J9" s="99"/>
      <c r="K9" s="99"/>
      <c r="L9" s="99"/>
      <c r="M9" s="99"/>
      <c r="N9" s="99"/>
      <c r="O9" s="10"/>
      <c r="P9" s="99"/>
      <c r="Q9" s="99"/>
      <c r="R9" s="99"/>
      <c r="S9" s="99"/>
      <c r="T9" s="99"/>
      <c r="U9" s="99"/>
      <c r="W9" s="99"/>
      <c r="X9" s="99"/>
      <c r="Y9" s="99"/>
      <c r="Z9" s="99"/>
      <c r="AA9" s="99"/>
      <c r="AB9" s="99"/>
      <c r="AD9" s="99"/>
      <c r="AE9" s="99"/>
      <c r="AF9" s="99"/>
      <c r="AG9" s="99"/>
      <c r="AH9" s="99"/>
      <c r="AI9" s="99"/>
      <c r="AK9" s="99"/>
      <c r="AL9" s="99"/>
      <c r="AM9" s="99"/>
      <c r="AN9" s="99"/>
      <c r="AO9" s="99"/>
      <c r="AP9" s="99"/>
      <c r="AR9" s="99"/>
      <c r="AS9" s="99"/>
      <c r="AT9" s="99"/>
      <c r="AU9" s="99"/>
      <c r="AV9" s="99"/>
      <c r="AW9" s="99"/>
    </row>
    <row r="10" spans="1:49" ht="13.05" hidden="1" customHeight="1" x14ac:dyDescent="0.25">
      <c r="A10" t="str">
        <f>Nutrients!B9</f>
        <v>Milo</v>
      </c>
      <c r="B10" s="99"/>
      <c r="C10" s="99"/>
      <c r="D10" s="99"/>
      <c r="E10" s="99"/>
      <c r="F10" s="99"/>
      <c r="G10" s="99"/>
      <c r="H10" s="99"/>
      <c r="I10" s="99"/>
      <c r="J10" s="99"/>
      <c r="K10" s="99"/>
      <c r="L10" s="99"/>
      <c r="M10" s="99"/>
      <c r="N10" s="99"/>
      <c r="O10" s="10"/>
      <c r="P10" s="99"/>
      <c r="Q10" s="99"/>
      <c r="R10" s="99"/>
      <c r="S10" s="99"/>
      <c r="T10" s="99"/>
      <c r="U10" s="99"/>
      <c r="W10" s="99"/>
      <c r="X10" s="99"/>
      <c r="Y10" s="99"/>
      <c r="Z10" s="99"/>
      <c r="AA10" s="99"/>
      <c r="AB10" s="99"/>
      <c r="AD10" s="99"/>
      <c r="AE10" s="99"/>
      <c r="AF10" s="99"/>
      <c r="AG10" s="99"/>
      <c r="AH10" s="99"/>
      <c r="AI10" s="99"/>
      <c r="AK10" s="99"/>
      <c r="AL10" s="99"/>
      <c r="AM10" s="99"/>
      <c r="AN10" s="99"/>
      <c r="AO10" s="99"/>
      <c r="AP10" s="99"/>
      <c r="AR10" s="99"/>
      <c r="AS10" s="99"/>
      <c r="AT10" s="99"/>
      <c r="AU10" s="99"/>
      <c r="AV10" s="99"/>
      <c r="AW10" s="99"/>
    </row>
    <row r="11" spans="1:49" ht="13.05" hidden="1" customHeight="1" x14ac:dyDescent="0.25">
      <c r="A11" t="str">
        <f>Nutrients!B10</f>
        <v>Alfalfa Meal</v>
      </c>
      <c r="B11" s="106"/>
      <c r="C11" s="106"/>
      <c r="D11" s="106"/>
      <c r="E11" s="106"/>
      <c r="F11" s="106"/>
      <c r="G11" s="106"/>
      <c r="H11" s="106"/>
      <c r="I11" s="106"/>
      <c r="J11" s="106"/>
      <c r="K11" s="106"/>
      <c r="L11" s="106"/>
      <c r="M11" s="106"/>
      <c r="N11" s="106"/>
      <c r="O11" s="29"/>
      <c r="P11" s="106"/>
      <c r="Q11" s="106"/>
      <c r="R11" s="106"/>
      <c r="S11" s="106"/>
      <c r="T11" s="106"/>
      <c r="U11" s="106"/>
      <c r="W11" s="106"/>
      <c r="X11" s="106"/>
      <c r="Y11" s="106"/>
      <c r="Z11" s="106"/>
      <c r="AA11" s="106"/>
      <c r="AB11" s="106"/>
      <c r="AD11" s="106"/>
      <c r="AE11" s="106"/>
      <c r="AF11" s="106"/>
      <c r="AG11" s="106"/>
      <c r="AH11" s="106"/>
      <c r="AI11" s="106"/>
      <c r="AK11" s="106"/>
      <c r="AL11" s="106"/>
      <c r="AM11" s="106"/>
      <c r="AN11" s="106"/>
      <c r="AO11" s="106"/>
      <c r="AP11" s="106"/>
      <c r="AR11" s="106"/>
      <c r="AS11" s="106"/>
      <c r="AT11" s="106"/>
      <c r="AU11" s="106"/>
      <c r="AV11" s="106"/>
      <c r="AW11" s="106"/>
    </row>
    <row r="12" spans="1:49" ht="13.05" hidden="1" customHeight="1" x14ac:dyDescent="0.25">
      <c r="A12" t="str">
        <f>Nutrients!B11</f>
        <v>Bakery Meal</v>
      </c>
      <c r="B12" s="106"/>
      <c r="C12" s="106"/>
      <c r="D12" s="106"/>
      <c r="E12" s="106"/>
      <c r="F12" s="106"/>
      <c r="G12" s="106"/>
      <c r="H12" s="106"/>
      <c r="I12" s="106"/>
      <c r="J12" s="106"/>
      <c r="K12" s="106"/>
      <c r="L12" s="106"/>
      <c r="M12" s="106"/>
      <c r="N12" s="106"/>
      <c r="O12" s="29"/>
      <c r="P12" s="106"/>
      <c r="Q12" s="106"/>
      <c r="R12" s="106"/>
      <c r="S12" s="106"/>
      <c r="T12" s="106"/>
      <c r="U12" s="106"/>
      <c r="W12" s="106"/>
      <c r="X12" s="106"/>
      <c r="Y12" s="106"/>
      <c r="Z12" s="106"/>
      <c r="AA12" s="106"/>
      <c r="AB12" s="106"/>
      <c r="AD12" s="106"/>
      <c r="AE12" s="106"/>
      <c r="AF12" s="106"/>
      <c r="AG12" s="106"/>
      <c r="AH12" s="106"/>
      <c r="AI12" s="106"/>
      <c r="AK12" s="106"/>
      <c r="AL12" s="106"/>
      <c r="AM12" s="106"/>
      <c r="AN12" s="106"/>
      <c r="AO12" s="106"/>
      <c r="AP12" s="106"/>
      <c r="AR12" s="106"/>
      <c r="AS12" s="106"/>
      <c r="AT12" s="106"/>
      <c r="AU12" s="106"/>
      <c r="AV12" s="106"/>
      <c r="AW12" s="106"/>
    </row>
    <row r="13" spans="1:49" ht="13.05" hidden="1" customHeight="1" x14ac:dyDescent="0.25">
      <c r="A13" t="str">
        <f>Nutrients!B12</f>
        <v>Barley</v>
      </c>
      <c r="B13" s="99"/>
      <c r="C13" s="99"/>
      <c r="D13" s="99"/>
      <c r="E13" s="99"/>
      <c r="F13" s="99"/>
      <c r="G13" s="99"/>
      <c r="H13" s="99"/>
      <c r="I13" s="99"/>
      <c r="J13" s="99"/>
      <c r="K13" s="99"/>
      <c r="L13" s="99"/>
      <c r="M13" s="99"/>
      <c r="N13" s="99"/>
      <c r="O13" s="10"/>
      <c r="P13" s="99"/>
      <c r="Q13" s="99"/>
      <c r="R13" s="99"/>
      <c r="S13" s="99"/>
      <c r="T13" s="99"/>
      <c r="U13" s="99"/>
      <c r="W13" s="99"/>
      <c r="X13" s="99"/>
      <c r="Y13" s="99"/>
      <c r="Z13" s="99"/>
      <c r="AA13" s="99"/>
      <c r="AB13" s="99"/>
      <c r="AD13" s="99"/>
      <c r="AE13" s="99"/>
      <c r="AF13" s="99"/>
      <c r="AG13" s="99"/>
      <c r="AH13" s="99"/>
      <c r="AI13" s="99"/>
      <c r="AK13" s="99"/>
      <c r="AL13" s="99"/>
      <c r="AM13" s="99"/>
      <c r="AN13" s="99"/>
      <c r="AO13" s="99"/>
      <c r="AP13" s="99"/>
      <c r="AR13" s="99"/>
      <c r="AS13" s="99"/>
      <c r="AT13" s="99"/>
      <c r="AU13" s="99"/>
      <c r="AV13" s="99"/>
      <c r="AW13" s="99"/>
    </row>
    <row r="14" spans="1:49" ht="13.05" hidden="1" customHeight="1" x14ac:dyDescent="0.25">
      <c r="A14" t="str">
        <f>Nutrients!B13</f>
        <v>Barley, Hulless</v>
      </c>
      <c r="B14" s="99"/>
      <c r="C14" s="99"/>
      <c r="D14" s="99"/>
      <c r="E14" s="99"/>
      <c r="F14" s="99"/>
      <c r="G14" s="99"/>
      <c r="H14" s="99"/>
      <c r="I14" s="99"/>
      <c r="J14" s="99"/>
      <c r="K14" s="99"/>
      <c r="L14" s="99"/>
      <c r="M14" s="99"/>
      <c r="N14" s="99"/>
      <c r="O14" s="10"/>
      <c r="P14" s="99"/>
      <c r="Q14" s="99"/>
      <c r="R14" s="99"/>
      <c r="S14" s="99"/>
      <c r="T14" s="99"/>
      <c r="U14" s="99"/>
      <c r="W14" s="99"/>
      <c r="X14" s="99"/>
      <c r="Y14" s="99"/>
      <c r="Z14" s="99"/>
      <c r="AA14" s="99"/>
      <c r="AB14" s="99"/>
      <c r="AD14" s="99"/>
      <c r="AE14" s="99"/>
      <c r="AF14" s="99"/>
      <c r="AG14" s="99"/>
      <c r="AH14" s="99"/>
      <c r="AI14" s="99"/>
      <c r="AK14" s="99"/>
      <c r="AL14" s="99"/>
      <c r="AM14" s="99"/>
      <c r="AN14" s="99"/>
      <c r="AO14" s="99"/>
      <c r="AP14" s="99"/>
      <c r="AR14" s="99"/>
      <c r="AS14" s="99"/>
      <c r="AT14" s="99"/>
      <c r="AU14" s="99"/>
      <c r="AV14" s="99"/>
      <c r="AW14" s="99"/>
    </row>
    <row r="15" spans="1:49" ht="13.05" hidden="1" customHeight="1" x14ac:dyDescent="0.25">
      <c r="A15" t="str">
        <f>Nutrients!B14</f>
        <v>Beans, Faba</v>
      </c>
      <c r="B15" s="99"/>
      <c r="C15" s="99"/>
      <c r="D15" s="99"/>
      <c r="E15" s="99"/>
      <c r="F15" s="99"/>
      <c r="G15" s="99"/>
      <c r="H15" s="99"/>
      <c r="I15" s="99"/>
      <c r="J15" s="99"/>
      <c r="K15" s="99"/>
      <c r="L15" s="99"/>
      <c r="M15" s="99"/>
      <c r="N15" s="99"/>
      <c r="O15" s="10"/>
      <c r="P15" s="99"/>
      <c r="Q15" s="99"/>
      <c r="R15" s="99"/>
      <c r="S15" s="99"/>
      <c r="T15" s="99"/>
      <c r="U15" s="99"/>
      <c r="W15" s="99"/>
      <c r="X15" s="99"/>
      <c r="Y15" s="99"/>
      <c r="Z15" s="99"/>
      <c r="AA15" s="99"/>
      <c r="AB15" s="99"/>
      <c r="AD15" s="99"/>
      <c r="AE15" s="99"/>
      <c r="AF15" s="99"/>
      <c r="AG15" s="99"/>
      <c r="AH15" s="99"/>
      <c r="AI15" s="99"/>
      <c r="AK15" s="99"/>
      <c r="AL15" s="99"/>
      <c r="AM15" s="99"/>
      <c r="AN15" s="99"/>
      <c r="AO15" s="99"/>
      <c r="AP15" s="99"/>
      <c r="AR15" s="99"/>
      <c r="AS15" s="99"/>
      <c r="AT15" s="99"/>
      <c r="AU15" s="99"/>
      <c r="AV15" s="99"/>
      <c r="AW15" s="99"/>
    </row>
    <row r="16" spans="1:49" ht="13.05" hidden="1" customHeight="1" x14ac:dyDescent="0.25">
      <c r="A16" t="str">
        <f>Nutrients!B15</f>
        <v>Blood Meal</v>
      </c>
      <c r="B16" s="99"/>
      <c r="C16" s="99"/>
      <c r="D16" s="99"/>
      <c r="E16" s="99"/>
      <c r="F16" s="99"/>
      <c r="G16" s="99"/>
      <c r="H16" s="99"/>
      <c r="I16" s="99"/>
      <c r="J16" s="99"/>
      <c r="K16" s="99"/>
      <c r="L16" s="99"/>
      <c r="M16" s="99"/>
      <c r="N16" s="99"/>
      <c r="O16" s="10"/>
      <c r="P16" s="99"/>
      <c r="Q16" s="99"/>
      <c r="R16" s="99"/>
      <c r="S16" s="99"/>
      <c r="T16" s="99"/>
      <c r="U16" s="99"/>
      <c r="W16" s="99"/>
      <c r="X16" s="99"/>
      <c r="Y16" s="99"/>
      <c r="Z16" s="99"/>
      <c r="AA16" s="99"/>
      <c r="AB16" s="99"/>
      <c r="AD16" s="99"/>
      <c r="AE16" s="99"/>
      <c r="AF16" s="99"/>
      <c r="AG16" s="99"/>
      <c r="AH16" s="99"/>
      <c r="AI16" s="99"/>
      <c r="AK16" s="99"/>
      <c r="AL16" s="99"/>
      <c r="AM16" s="99"/>
      <c r="AN16" s="99"/>
      <c r="AO16" s="99"/>
      <c r="AP16" s="99"/>
      <c r="AR16" s="99"/>
      <c r="AS16" s="99"/>
      <c r="AT16" s="99"/>
      <c r="AU16" s="99"/>
      <c r="AV16" s="99"/>
      <c r="AW16" s="99"/>
    </row>
    <row r="17" spans="1:49" ht="13.05" hidden="1" customHeight="1" x14ac:dyDescent="0.25">
      <c r="A17" t="str">
        <f>Nutrients!B16</f>
        <v>Blood Plasma</v>
      </c>
      <c r="B17" s="99"/>
      <c r="C17" s="99"/>
      <c r="D17" s="99"/>
      <c r="E17" s="99"/>
      <c r="F17" s="99"/>
      <c r="G17" s="99"/>
      <c r="H17" s="99"/>
      <c r="I17" s="99"/>
      <c r="J17" s="99"/>
      <c r="K17" s="99"/>
      <c r="L17" s="99"/>
      <c r="M17" s="99"/>
      <c r="N17" s="99"/>
      <c r="O17" s="10"/>
      <c r="P17" s="99"/>
      <c r="Q17" s="99"/>
      <c r="R17" s="99"/>
      <c r="S17" s="99"/>
      <c r="T17" s="99"/>
      <c r="U17" s="99"/>
      <c r="W17" s="99"/>
      <c r="X17" s="99"/>
      <c r="Y17" s="99"/>
      <c r="Z17" s="99"/>
      <c r="AA17" s="99"/>
      <c r="AB17" s="99"/>
      <c r="AD17" s="99"/>
      <c r="AE17" s="99"/>
      <c r="AF17" s="99"/>
      <c r="AG17" s="99"/>
      <c r="AH17" s="99"/>
      <c r="AI17" s="99"/>
      <c r="AK17" s="99"/>
      <c r="AL17" s="99"/>
      <c r="AM17" s="99"/>
      <c r="AN17" s="99"/>
      <c r="AO17" s="99"/>
      <c r="AP17" s="99"/>
      <c r="AR17" s="99"/>
      <c r="AS17" s="99"/>
      <c r="AT17" s="99"/>
      <c r="AU17" s="99"/>
      <c r="AV17" s="99"/>
      <c r="AW17" s="99"/>
    </row>
    <row r="18" spans="1:49" ht="13.05" hidden="1" customHeight="1" x14ac:dyDescent="0.25">
      <c r="A18" t="str">
        <f>Nutrients!B17</f>
        <v>Brewers Grain</v>
      </c>
      <c r="B18" s="99"/>
      <c r="C18" s="99"/>
      <c r="D18" s="99"/>
      <c r="E18" s="99"/>
      <c r="F18" s="99"/>
      <c r="G18" s="99"/>
      <c r="H18" s="99"/>
      <c r="I18" s="99"/>
      <c r="J18" s="99"/>
      <c r="K18" s="99"/>
      <c r="L18" s="99"/>
      <c r="M18" s="99"/>
      <c r="N18" s="99"/>
      <c r="O18" s="10"/>
      <c r="P18" s="99"/>
      <c r="Q18" s="99"/>
      <c r="R18" s="99"/>
      <c r="S18" s="99"/>
      <c r="T18" s="99"/>
      <c r="U18" s="99"/>
      <c r="W18" s="99"/>
      <c r="X18" s="99"/>
      <c r="Y18" s="99"/>
      <c r="Z18" s="99"/>
      <c r="AA18" s="99"/>
      <c r="AB18" s="99"/>
      <c r="AD18" s="99"/>
      <c r="AE18" s="99"/>
      <c r="AF18" s="99"/>
      <c r="AG18" s="99"/>
      <c r="AH18" s="99"/>
      <c r="AI18" s="99"/>
      <c r="AK18" s="99"/>
      <c r="AL18" s="99"/>
      <c r="AM18" s="99"/>
      <c r="AN18" s="99"/>
      <c r="AO18" s="99"/>
      <c r="AP18" s="99"/>
      <c r="AR18" s="99"/>
      <c r="AS18" s="99"/>
      <c r="AT18" s="99"/>
      <c r="AU18" s="99"/>
      <c r="AV18" s="99"/>
      <c r="AW18" s="99"/>
    </row>
    <row r="19" spans="1:49" ht="13.05" hidden="1" customHeight="1" x14ac:dyDescent="0.25">
      <c r="A19" t="str">
        <f>Nutrients!B18</f>
        <v>Canola, Full Fat</v>
      </c>
      <c r="B19" s="99"/>
      <c r="C19" s="99"/>
      <c r="D19" s="99"/>
      <c r="E19" s="99"/>
      <c r="F19" s="99"/>
      <c r="G19" s="99"/>
      <c r="H19" s="99"/>
      <c r="I19" s="99"/>
      <c r="J19" s="99"/>
      <c r="K19" s="99"/>
      <c r="L19" s="99"/>
      <c r="M19" s="99"/>
      <c r="N19" s="99"/>
      <c r="O19" s="10"/>
      <c r="P19" s="99"/>
      <c r="Q19" s="99"/>
      <c r="R19" s="99"/>
      <c r="S19" s="99"/>
      <c r="T19" s="99"/>
      <c r="U19" s="99"/>
      <c r="W19" s="99"/>
      <c r="X19" s="99"/>
      <c r="Y19" s="99"/>
      <c r="Z19" s="99"/>
      <c r="AA19" s="99"/>
      <c r="AB19" s="99"/>
      <c r="AD19" s="99"/>
      <c r="AE19" s="99"/>
      <c r="AF19" s="99"/>
      <c r="AG19" s="99"/>
      <c r="AH19" s="99"/>
      <c r="AI19" s="99"/>
      <c r="AK19" s="99"/>
      <c r="AL19" s="99"/>
      <c r="AM19" s="99"/>
      <c r="AN19" s="99"/>
      <c r="AO19" s="99"/>
      <c r="AP19" s="99"/>
      <c r="AR19" s="99"/>
      <c r="AS19" s="99"/>
      <c r="AT19" s="99"/>
      <c r="AU19" s="99"/>
      <c r="AV19" s="99"/>
      <c r="AW19" s="99"/>
    </row>
    <row r="20" spans="1:49" ht="13.05" hidden="1" customHeight="1" x14ac:dyDescent="0.25">
      <c r="A20" t="str">
        <f>Nutrients!B19</f>
        <v>Canola Meal, Expelled</v>
      </c>
      <c r="B20" s="99"/>
      <c r="C20" s="99"/>
      <c r="D20" s="99"/>
      <c r="E20" s="99"/>
      <c r="F20" s="99"/>
      <c r="G20" s="99"/>
      <c r="H20" s="99"/>
      <c r="I20" s="99"/>
      <c r="J20" s="99"/>
      <c r="K20" s="99"/>
      <c r="L20" s="99"/>
      <c r="M20" s="99"/>
      <c r="N20" s="99"/>
      <c r="O20" s="10"/>
      <c r="P20" s="99"/>
      <c r="Q20" s="99"/>
      <c r="R20" s="99"/>
      <c r="S20" s="99"/>
      <c r="T20" s="99"/>
      <c r="U20" s="99"/>
      <c r="W20" s="99"/>
      <c r="X20" s="99"/>
      <c r="Y20" s="99"/>
      <c r="Z20" s="99"/>
      <c r="AA20" s="99"/>
      <c r="AB20" s="99"/>
      <c r="AD20" s="99"/>
      <c r="AE20" s="99"/>
      <c r="AF20" s="99"/>
      <c r="AG20" s="99"/>
      <c r="AH20" s="99"/>
      <c r="AI20" s="99"/>
      <c r="AK20" s="99"/>
      <c r="AL20" s="99"/>
      <c r="AM20" s="99"/>
      <c r="AN20" s="99"/>
      <c r="AO20" s="99"/>
      <c r="AP20" s="99"/>
      <c r="AR20" s="99"/>
      <c r="AS20" s="99"/>
      <c r="AT20" s="99"/>
      <c r="AU20" s="99"/>
      <c r="AV20" s="99"/>
      <c r="AW20" s="99"/>
    </row>
    <row r="21" spans="1:49" ht="13.05" hidden="1" customHeight="1" x14ac:dyDescent="0.25">
      <c r="A21" t="str">
        <f>Nutrients!B20</f>
        <v>Canola Meal, Solvent Extracted</v>
      </c>
      <c r="B21" s="99"/>
      <c r="C21" s="99"/>
      <c r="D21" s="99"/>
      <c r="E21" s="99"/>
      <c r="F21" s="99"/>
      <c r="G21" s="99"/>
      <c r="H21" s="99"/>
      <c r="I21" s="99"/>
      <c r="J21" s="99"/>
      <c r="K21" s="99"/>
      <c r="L21" s="99"/>
      <c r="M21" s="99"/>
      <c r="N21" s="99"/>
      <c r="O21" s="10"/>
      <c r="P21" s="99"/>
      <c r="Q21" s="99"/>
      <c r="R21" s="99"/>
      <c r="S21" s="99"/>
      <c r="T21" s="99"/>
      <c r="U21" s="99"/>
      <c r="W21" s="99"/>
      <c r="X21" s="99"/>
      <c r="Y21" s="99"/>
      <c r="Z21" s="99"/>
      <c r="AA21" s="99"/>
      <c r="AB21" s="99"/>
      <c r="AD21" s="99"/>
      <c r="AE21" s="99"/>
      <c r="AF21" s="99"/>
      <c r="AG21" s="99"/>
      <c r="AH21" s="99"/>
      <c r="AI21" s="99"/>
      <c r="AK21" s="99"/>
      <c r="AL21" s="99"/>
      <c r="AM21" s="99"/>
      <c r="AN21" s="99"/>
      <c r="AO21" s="99"/>
      <c r="AP21" s="99"/>
      <c r="AR21" s="99"/>
      <c r="AS21" s="99"/>
      <c r="AT21" s="99"/>
      <c r="AU21" s="99"/>
      <c r="AV21" s="99"/>
      <c r="AW21" s="99"/>
    </row>
    <row r="22" spans="1:49" ht="13.05" hidden="1" customHeight="1" x14ac:dyDescent="0.25">
      <c r="A22" t="str">
        <f>Nutrients!B21</f>
        <v>Casava Meal</v>
      </c>
      <c r="B22" s="99"/>
      <c r="C22" s="99"/>
      <c r="D22" s="99"/>
      <c r="E22" s="99"/>
      <c r="F22" s="99"/>
      <c r="G22" s="99"/>
      <c r="H22" s="99"/>
      <c r="I22" s="99"/>
      <c r="J22" s="99"/>
      <c r="K22" s="99"/>
      <c r="L22" s="99"/>
      <c r="M22" s="99"/>
      <c r="N22" s="99"/>
      <c r="O22" s="10"/>
      <c r="P22" s="99"/>
      <c r="Q22" s="99"/>
      <c r="R22" s="99"/>
      <c r="S22" s="99"/>
      <c r="T22" s="99"/>
      <c r="U22" s="99"/>
      <c r="W22" s="99"/>
      <c r="X22" s="99"/>
      <c r="Y22" s="99"/>
      <c r="Z22" s="99"/>
      <c r="AA22" s="99"/>
      <c r="AB22" s="99"/>
      <c r="AD22" s="99"/>
      <c r="AE22" s="99"/>
      <c r="AF22" s="99"/>
      <c r="AG22" s="99"/>
      <c r="AH22" s="99"/>
      <c r="AI22" s="99"/>
      <c r="AK22" s="99"/>
      <c r="AL22" s="99"/>
      <c r="AM22" s="99"/>
      <c r="AN22" s="99"/>
      <c r="AO22" s="99"/>
      <c r="AP22" s="99"/>
      <c r="AR22" s="99"/>
      <c r="AS22" s="99"/>
      <c r="AT22" s="99"/>
      <c r="AU22" s="99"/>
      <c r="AV22" s="99"/>
      <c r="AW22" s="99"/>
    </row>
    <row r="23" spans="1:49" ht="13.05" hidden="1" customHeight="1" x14ac:dyDescent="0.25">
      <c r="A23" t="str">
        <f>Nutrients!B22</f>
        <v>Citrus Pulp</v>
      </c>
      <c r="B23" s="99"/>
      <c r="C23" s="99"/>
      <c r="D23" s="99"/>
      <c r="E23" s="99"/>
      <c r="F23" s="99"/>
      <c r="G23" s="99"/>
      <c r="H23" s="99"/>
      <c r="I23" s="99"/>
      <c r="J23" s="99"/>
      <c r="K23" s="99"/>
      <c r="L23" s="99"/>
      <c r="M23" s="99"/>
      <c r="N23" s="99"/>
      <c r="O23" s="10"/>
      <c r="P23" s="99"/>
      <c r="Q23" s="99"/>
      <c r="R23" s="99"/>
      <c r="S23" s="99"/>
      <c r="T23" s="99"/>
      <c r="U23" s="99"/>
      <c r="W23" s="99"/>
      <c r="X23" s="99"/>
      <c r="Y23" s="99"/>
      <c r="Z23" s="99"/>
      <c r="AA23" s="99"/>
      <c r="AB23" s="99"/>
      <c r="AD23" s="99"/>
      <c r="AE23" s="99"/>
      <c r="AF23" s="99"/>
      <c r="AG23" s="99"/>
      <c r="AH23" s="99"/>
      <c r="AI23" s="99"/>
      <c r="AK23" s="99"/>
      <c r="AL23" s="99"/>
      <c r="AM23" s="99"/>
      <c r="AN23" s="99"/>
      <c r="AO23" s="99"/>
      <c r="AP23" s="99"/>
      <c r="AR23" s="99"/>
      <c r="AS23" s="99"/>
      <c r="AT23" s="99"/>
      <c r="AU23" s="99"/>
      <c r="AV23" s="99"/>
      <c r="AW23" s="99"/>
    </row>
    <row r="24" spans="1:49" ht="13.05" hidden="1" customHeight="1" x14ac:dyDescent="0.25">
      <c r="A24" t="str">
        <f>Nutrients!B23</f>
        <v>Copra Meal</v>
      </c>
      <c r="B24" s="99"/>
      <c r="C24" s="99"/>
      <c r="D24" s="99"/>
      <c r="E24" s="99"/>
      <c r="F24" s="99"/>
      <c r="G24" s="99"/>
      <c r="H24" s="99"/>
      <c r="I24" s="99"/>
      <c r="J24" s="99"/>
      <c r="K24" s="99"/>
      <c r="L24" s="99"/>
      <c r="M24" s="99"/>
      <c r="N24" s="99"/>
      <c r="O24" s="10"/>
      <c r="P24" s="99"/>
      <c r="Q24" s="99"/>
      <c r="R24" s="99"/>
      <c r="S24" s="99"/>
      <c r="T24" s="99"/>
      <c r="U24" s="99"/>
      <c r="W24" s="99"/>
      <c r="X24" s="99"/>
      <c r="Y24" s="99"/>
      <c r="Z24" s="99"/>
      <c r="AA24" s="99"/>
      <c r="AB24" s="99"/>
      <c r="AD24" s="99"/>
      <c r="AE24" s="99"/>
      <c r="AF24" s="99"/>
      <c r="AG24" s="99"/>
      <c r="AH24" s="99"/>
      <c r="AI24" s="99"/>
      <c r="AK24" s="99"/>
      <c r="AL24" s="99"/>
      <c r="AM24" s="99"/>
      <c r="AN24" s="99"/>
      <c r="AO24" s="99"/>
      <c r="AP24" s="99"/>
      <c r="AR24" s="99"/>
      <c r="AS24" s="99"/>
      <c r="AT24" s="99"/>
      <c r="AU24" s="99"/>
      <c r="AV24" s="99"/>
      <c r="AW24" s="99"/>
    </row>
    <row r="25" spans="1:49" ht="13.05" hidden="1" customHeight="1" x14ac:dyDescent="0.25">
      <c r="A25" t="str">
        <f>Nutrients!B24</f>
        <v>Corn, Yellow Dent</v>
      </c>
      <c r="B25" s="99"/>
      <c r="C25" s="99"/>
      <c r="D25" s="99"/>
      <c r="E25" s="99"/>
      <c r="F25" s="99"/>
      <c r="G25" s="99"/>
      <c r="H25" s="99"/>
      <c r="I25" s="99"/>
      <c r="J25" s="99"/>
      <c r="K25" s="99"/>
      <c r="L25" s="99"/>
      <c r="M25" s="99"/>
      <c r="N25" s="99"/>
      <c r="O25" s="10"/>
      <c r="P25" s="99"/>
      <c r="Q25" s="99"/>
      <c r="R25" s="99"/>
      <c r="S25" s="99"/>
      <c r="T25" s="99"/>
      <c r="U25" s="99"/>
      <c r="W25" s="99"/>
      <c r="X25" s="99"/>
      <c r="Y25" s="99"/>
      <c r="Z25" s="99"/>
      <c r="AA25" s="99"/>
      <c r="AB25" s="99"/>
      <c r="AD25" s="99"/>
      <c r="AE25" s="99"/>
      <c r="AF25" s="99"/>
      <c r="AG25" s="99"/>
      <c r="AH25" s="99"/>
      <c r="AI25" s="99"/>
      <c r="AK25" s="99"/>
      <c r="AL25" s="99"/>
      <c r="AM25" s="99"/>
      <c r="AN25" s="99"/>
      <c r="AO25" s="99"/>
      <c r="AP25" s="99"/>
      <c r="AR25" s="99"/>
      <c r="AS25" s="99"/>
      <c r="AT25" s="99"/>
      <c r="AU25" s="99"/>
      <c r="AV25" s="99"/>
      <c r="AW25" s="99"/>
    </row>
    <row r="26" spans="1:49" ht="13.05" hidden="1" customHeight="1" x14ac:dyDescent="0.25">
      <c r="A26" t="str">
        <f>Nutrients!B25</f>
        <v>Corn, Nutridense</v>
      </c>
      <c r="B26" s="99"/>
      <c r="C26" s="99"/>
      <c r="D26" s="99"/>
      <c r="E26" s="99"/>
      <c r="F26" s="99"/>
      <c r="G26" s="99"/>
      <c r="H26" s="99"/>
      <c r="I26" s="99"/>
      <c r="J26" s="99"/>
      <c r="K26" s="99"/>
      <c r="L26" s="99"/>
      <c r="M26" s="99"/>
      <c r="N26" s="99"/>
      <c r="O26" s="10"/>
      <c r="P26" s="99"/>
      <c r="Q26" s="99"/>
      <c r="R26" s="99"/>
      <c r="S26" s="99"/>
      <c r="T26" s="99"/>
      <c r="U26" s="99"/>
      <c r="W26" s="99"/>
      <c r="X26" s="99"/>
      <c r="Y26" s="99"/>
      <c r="Z26" s="99"/>
      <c r="AA26" s="99"/>
      <c r="AB26" s="99"/>
      <c r="AD26" s="99"/>
      <c r="AE26" s="99"/>
      <c r="AF26" s="99"/>
      <c r="AG26" s="99"/>
      <c r="AH26" s="99"/>
      <c r="AI26" s="99"/>
      <c r="AK26" s="99"/>
      <c r="AL26" s="99"/>
      <c r="AM26" s="99"/>
      <c r="AN26" s="99"/>
      <c r="AO26" s="99"/>
      <c r="AP26" s="99"/>
      <c r="AR26" s="99"/>
      <c r="AS26" s="99"/>
      <c r="AT26" s="99"/>
      <c r="AU26" s="99"/>
      <c r="AV26" s="99"/>
      <c r="AW26" s="99"/>
    </row>
    <row r="27" spans="1:49" ht="13.05" hidden="1" customHeight="1" x14ac:dyDescent="0.25">
      <c r="A27" t="str">
        <f>Nutrients!B26</f>
        <v>Corn Bran</v>
      </c>
      <c r="B27" s="99"/>
      <c r="C27" s="99"/>
      <c r="D27" s="99"/>
      <c r="E27" s="99"/>
      <c r="F27" s="99"/>
      <c r="G27" s="99"/>
      <c r="H27" s="99"/>
      <c r="I27" s="99"/>
      <c r="J27" s="99"/>
      <c r="K27" s="99"/>
      <c r="L27" s="99"/>
      <c r="M27" s="99"/>
      <c r="N27" s="99"/>
      <c r="O27" s="10"/>
      <c r="P27" s="99"/>
      <c r="Q27" s="99"/>
      <c r="R27" s="99"/>
      <c r="S27" s="99"/>
      <c r="T27" s="99"/>
      <c r="U27" s="99"/>
      <c r="W27" s="99"/>
      <c r="X27" s="99"/>
      <c r="Y27" s="99"/>
      <c r="Z27" s="99"/>
      <c r="AA27" s="99"/>
      <c r="AB27" s="99"/>
      <c r="AD27" s="99"/>
      <c r="AE27" s="99"/>
      <c r="AF27" s="99"/>
      <c r="AG27" s="99"/>
      <c r="AH27" s="99"/>
      <c r="AI27" s="99"/>
      <c r="AK27" s="99"/>
      <c r="AL27" s="99"/>
      <c r="AM27" s="99"/>
      <c r="AN27" s="99"/>
      <c r="AO27" s="99"/>
      <c r="AP27" s="99"/>
      <c r="AR27" s="99"/>
      <c r="AS27" s="99"/>
      <c r="AT27" s="99"/>
      <c r="AU27" s="99"/>
      <c r="AV27" s="99"/>
      <c r="AW27" s="99"/>
    </row>
    <row r="28" spans="1:49" ht="13.05" hidden="1" customHeight="1" x14ac:dyDescent="0.25">
      <c r="A28" t="str">
        <f>Nutrients!B27</f>
        <v>Corn DDG</v>
      </c>
      <c r="B28" s="99"/>
      <c r="C28" s="99"/>
      <c r="D28" s="99"/>
      <c r="E28" s="99"/>
      <c r="F28" s="99"/>
      <c r="G28" s="99"/>
      <c r="H28" s="99"/>
      <c r="I28" s="99"/>
      <c r="J28" s="99"/>
      <c r="K28" s="99"/>
      <c r="L28" s="99"/>
      <c r="M28" s="99"/>
      <c r="N28" s="99"/>
      <c r="O28" s="10"/>
      <c r="P28" s="99"/>
      <c r="Q28" s="99"/>
      <c r="R28" s="99"/>
      <c r="S28" s="99"/>
      <c r="T28" s="99"/>
      <c r="U28" s="99"/>
      <c r="W28" s="99"/>
      <c r="X28" s="99"/>
      <c r="Y28" s="99"/>
      <c r="Z28" s="99"/>
      <c r="AA28" s="99"/>
      <c r="AB28" s="99"/>
      <c r="AD28" s="99"/>
      <c r="AE28" s="99"/>
      <c r="AF28" s="99"/>
      <c r="AG28" s="99"/>
      <c r="AH28" s="99"/>
      <c r="AI28" s="99"/>
      <c r="AK28" s="99"/>
      <c r="AL28" s="99"/>
      <c r="AM28" s="99"/>
      <c r="AN28" s="99"/>
      <c r="AO28" s="99"/>
      <c r="AP28" s="99"/>
      <c r="AR28" s="99"/>
      <c r="AS28" s="99"/>
      <c r="AT28" s="99"/>
      <c r="AU28" s="99"/>
      <c r="AV28" s="99"/>
      <c r="AW28" s="99"/>
    </row>
    <row r="29" spans="1:49" ht="13.05" hidden="1" customHeight="1" x14ac:dyDescent="0.25">
      <c r="A29" t="str">
        <f>Nutrients!B28</f>
        <v>Corn DDGS, &gt;10% Oil</v>
      </c>
      <c r="B29" s="99"/>
      <c r="C29" s="99"/>
      <c r="D29" s="99"/>
      <c r="E29" s="99"/>
      <c r="F29" s="99"/>
      <c r="G29" s="99"/>
      <c r="H29" s="99"/>
      <c r="I29" s="99"/>
      <c r="J29" s="99"/>
      <c r="K29" s="99"/>
      <c r="L29" s="99"/>
      <c r="M29" s="99"/>
      <c r="N29" s="99"/>
      <c r="O29" s="10"/>
      <c r="P29" s="99"/>
      <c r="Q29" s="99"/>
      <c r="R29" s="99"/>
      <c r="S29" s="99"/>
      <c r="T29" s="99"/>
      <c r="U29" s="99"/>
      <c r="W29" s="99"/>
      <c r="X29" s="99"/>
      <c r="Y29" s="99"/>
      <c r="Z29" s="99"/>
      <c r="AA29" s="99"/>
      <c r="AB29" s="99"/>
      <c r="AD29" s="99"/>
      <c r="AE29" s="99"/>
      <c r="AF29" s="99"/>
      <c r="AG29" s="99"/>
      <c r="AH29" s="99"/>
      <c r="AI29" s="99"/>
      <c r="AK29" s="99"/>
      <c r="AL29" s="99"/>
      <c r="AM29" s="99"/>
      <c r="AN29" s="99"/>
      <c r="AO29" s="99"/>
      <c r="AP29" s="99"/>
      <c r="AR29" s="99"/>
      <c r="AS29" s="99"/>
      <c r="AT29" s="99"/>
      <c r="AU29" s="99"/>
      <c r="AV29" s="99"/>
      <c r="AW29" s="99"/>
    </row>
    <row r="30" spans="1:49" ht="13.05" hidden="1" customHeight="1" x14ac:dyDescent="0.25">
      <c r="A30" t="str">
        <f>Nutrients!B29</f>
        <v>Corn DDGS, &gt;6 and &lt;9% Oil</v>
      </c>
      <c r="B30" s="99"/>
      <c r="C30" s="99"/>
      <c r="D30" s="99"/>
      <c r="E30" s="99"/>
      <c r="F30" s="99"/>
      <c r="G30" s="99"/>
      <c r="H30" s="99"/>
      <c r="I30" s="99"/>
      <c r="J30" s="99"/>
      <c r="K30" s="99"/>
      <c r="L30" s="99"/>
      <c r="M30" s="99"/>
      <c r="N30" s="99"/>
      <c r="O30" s="10"/>
      <c r="P30" s="99"/>
      <c r="Q30" s="99"/>
      <c r="R30" s="99"/>
      <c r="S30" s="99"/>
      <c r="T30" s="99"/>
      <c r="U30" s="99"/>
      <c r="W30" s="99"/>
      <c r="X30" s="99"/>
      <c r="Y30" s="99"/>
      <c r="Z30" s="99"/>
      <c r="AA30" s="99"/>
      <c r="AB30" s="99"/>
      <c r="AD30" s="99"/>
      <c r="AE30" s="99"/>
      <c r="AF30" s="99"/>
      <c r="AG30" s="99"/>
      <c r="AH30" s="99"/>
      <c r="AI30" s="99"/>
      <c r="AK30" s="99"/>
      <c r="AL30" s="99"/>
      <c r="AM30" s="99"/>
      <c r="AN30" s="99"/>
      <c r="AO30" s="99"/>
      <c r="AP30" s="99"/>
      <c r="AR30" s="99"/>
      <c r="AS30" s="99"/>
      <c r="AT30" s="99"/>
      <c r="AU30" s="99"/>
      <c r="AV30" s="99"/>
      <c r="AW30" s="99"/>
    </row>
    <row r="31" spans="1:49" ht="13.05" hidden="1" customHeight="1" x14ac:dyDescent="0.25">
      <c r="A31" t="str">
        <f>Nutrients!B30</f>
        <v>Corn DDGS, &lt;4% Oil</v>
      </c>
      <c r="B31" s="99"/>
      <c r="C31" s="99"/>
      <c r="D31" s="99"/>
      <c r="E31" s="99"/>
      <c r="F31" s="99"/>
      <c r="G31" s="99"/>
      <c r="H31" s="99"/>
      <c r="I31" s="99"/>
      <c r="J31" s="99"/>
      <c r="K31" s="99"/>
      <c r="L31" s="99"/>
      <c r="M31" s="99"/>
      <c r="N31" s="99"/>
      <c r="O31" s="10"/>
      <c r="P31" s="99"/>
      <c r="Q31" s="99"/>
      <c r="R31" s="99"/>
      <c r="S31" s="99"/>
      <c r="T31" s="99"/>
      <c r="U31" s="99"/>
      <c r="W31" s="99"/>
      <c r="X31" s="99"/>
      <c r="Y31" s="99"/>
      <c r="Z31" s="99"/>
      <c r="AA31" s="99"/>
      <c r="AB31" s="99"/>
      <c r="AD31" s="99"/>
      <c r="AE31" s="99"/>
      <c r="AF31" s="99"/>
      <c r="AG31" s="99"/>
      <c r="AH31" s="99"/>
      <c r="AI31" s="99"/>
      <c r="AK31" s="99"/>
      <c r="AL31" s="99"/>
      <c r="AM31" s="99"/>
      <c r="AN31" s="99"/>
      <c r="AO31" s="99"/>
      <c r="AP31" s="99"/>
      <c r="AR31" s="99"/>
      <c r="AS31" s="99"/>
      <c r="AT31" s="99"/>
      <c r="AU31" s="99"/>
      <c r="AV31" s="99"/>
      <c r="AW31" s="99"/>
    </row>
    <row r="32" spans="1:49" ht="13.05" hidden="1" customHeight="1" x14ac:dyDescent="0.25">
      <c r="A32" t="str">
        <f>Nutrients!B31</f>
        <v>Corn HP DDG</v>
      </c>
      <c r="B32" s="99"/>
      <c r="C32" s="99"/>
      <c r="D32" s="99"/>
      <c r="E32" s="99"/>
      <c r="F32" s="99"/>
      <c r="G32" s="99"/>
      <c r="H32" s="99"/>
      <c r="I32" s="99"/>
      <c r="J32" s="99"/>
      <c r="K32" s="99"/>
      <c r="L32" s="99"/>
      <c r="M32" s="99"/>
      <c r="N32" s="99"/>
      <c r="O32" s="10"/>
      <c r="P32" s="99"/>
      <c r="Q32" s="99"/>
      <c r="R32" s="99"/>
      <c r="S32" s="99"/>
      <c r="T32" s="99"/>
      <c r="U32" s="99"/>
      <c r="W32" s="99"/>
      <c r="X32" s="99"/>
      <c r="Y32" s="99"/>
      <c r="Z32" s="99"/>
      <c r="AA32" s="99"/>
      <c r="AB32" s="99"/>
      <c r="AD32" s="99"/>
      <c r="AE32" s="99"/>
      <c r="AF32" s="99"/>
      <c r="AG32" s="99"/>
      <c r="AH32" s="99"/>
      <c r="AI32" s="99"/>
      <c r="AK32" s="99"/>
      <c r="AL32" s="99"/>
      <c r="AM32" s="99"/>
      <c r="AN32" s="99"/>
      <c r="AO32" s="99"/>
      <c r="AP32" s="99"/>
      <c r="AR32" s="99"/>
      <c r="AS32" s="99"/>
      <c r="AT32" s="99"/>
      <c r="AU32" s="99"/>
      <c r="AV32" s="99"/>
      <c r="AW32" s="99"/>
    </row>
    <row r="33" spans="1:49" ht="13.05" hidden="1" customHeight="1" x14ac:dyDescent="0.25">
      <c r="A33" t="str">
        <f>Nutrients!B32</f>
        <v>Corn Germ</v>
      </c>
      <c r="B33" s="99"/>
      <c r="C33" s="99"/>
      <c r="D33" s="99"/>
      <c r="E33" s="99"/>
      <c r="F33" s="99"/>
      <c r="G33" s="99"/>
      <c r="H33" s="99"/>
      <c r="I33" s="99"/>
      <c r="J33" s="99"/>
      <c r="K33" s="99"/>
      <c r="L33" s="99"/>
      <c r="M33" s="99"/>
      <c r="N33" s="99"/>
      <c r="O33" s="10"/>
      <c r="P33" s="99"/>
      <c r="Q33" s="99"/>
      <c r="R33" s="99"/>
      <c r="S33" s="99"/>
      <c r="T33" s="99"/>
      <c r="U33" s="99"/>
      <c r="W33" s="99"/>
      <c r="X33" s="99"/>
      <c r="Y33" s="99"/>
      <c r="Z33" s="99"/>
      <c r="AA33" s="99"/>
      <c r="AB33" s="99"/>
      <c r="AD33" s="99"/>
      <c r="AE33" s="99"/>
      <c r="AF33" s="99"/>
      <c r="AG33" s="99"/>
      <c r="AH33" s="99"/>
      <c r="AI33" s="99"/>
      <c r="AK33" s="99"/>
      <c r="AL33" s="99"/>
      <c r="AM33" s="99"/>
      <c r="AN33" s="99"/>
      <c r="AO33" s="99"/>
      <c r="AP33" s="99"/>
      <c r="AR33" s="99"/>
      <c r="AS33" s="99"/>
      <c r="AT33" s="99"/>
      <c r="AU33" s="99"/>
      <c r="AV33" s="99"/>
      <c r="AW33" s="99"/>
    </row>
    <row r="34" spans="1:49" ht="13.05" hidden="1" customHeight="1" x14ac:dyDescent="0.25">
      <c r="A34" t="str">
        <f>Nutrients!B33</f>
        <v>Corn Germ Meal</v>
      </c>
      <c r="B34" s="99"/>
      <c r="C34" s="99"/>
      <c r="D34" s="99"/>
      <c r="E34" s="99"/>
      <c r="F34" s="99"/>
      <c r="G34" s="99"/>
      <c r="H34" s="99"/>
      <c r="I34" s="99"/>
      <c r="J34" s="99"/>
      <c r="K34" s="99"/>
      <c r="L34" s="99"/>
      <c r="M34" s="99"/>
      <c r="N34" s="99"/>
      <c r="O34" s="10"/>
      <c r="P34" s="99"/>
      <c r="Q34" s="99"/>
      <c r="R34" s="99"/>
      <c r="S34" s="99"/>
      <c r="T34" s="99"/>
      <c r="U34" s="99"/>
      <c r="W34" s="99"/>
      <c r="X34" s="99"/>
      <c r="Y34" s="99"/>
      <c r="Z34" s="99"/>
      <c r="AA34" s="99"/>
      <c r="AB34" s="99"/>
      <c r="AD34" s="99"/>
      <c r="AE34" s="99"/>
      <c r="AF34" s="99"/>
      <c r="AG34" s="99"/>
      <c r="AH34" s="99"/>
      <c r="AI34" s="99"/>
      <c r="AK34" s="99"/>
      <c r="AL34" s="99"/>
      <c r="AM34" s="99"/>
      <c r="AN34" s="99"/>
      <c r="AO34" s="99"/>
      <c r="AP34" s="99"/>
      <c r="AR34" s="99"/>
      <c r="AS34" s="99"/>
      <c r="AT34" s="99"/>
      <c r="AU34" s="99"/>
      <c r="AV34" s="99"/>
      <c r="AW34" s="99"/>
    </row>
    <row r="35" spans="1:49" ht="13.05" hidden="1" customHeight="1" x14ac:dyDescent="0.25">
      <c r="A35" t="str">
        <f>Nutrients!B34</f>
        <v>Corn Gluten Feed</v>
      </c>
      <c r="B35" s="99"/>
      <c r="C35" s="99"/>
      <c r="D35" s="99"/>
      <c r="E35" s="99"/>
      <c r="F35" s="99"/>
      <c r="G35" s="99"/>
      <c r="H35" s="99"/>
      <c r="I35" s="99"/>
      <c r="J35" s="99"/>
      <c r="K35" s="99"/>
      <c r="L35" s="99"/>
      <c r="M35" s="99"/>
      <c r="N35" s="99"/>
      <c r="O35" s="10"/>
      <c r="P35" s="99"/>
      <c r="Q35" s="99"/>
      <c r="R35" s="99"/>
      <c r="S35" s="99"/>
      <c r="T35" s="99"/>
      <c r="U35" s="99"/>
      <c r="W35" s="99"/>
      <c r="X35" s="99"/>
      <c r="Y35" s="99"/>
      <c r="Z35" s="99"/>
      <c r="AA35" s="99"/>
      <c r="AB35" s="99"/>
      <c r="AD35" s="99"/>
      <c r="AE35" s="99"/>
      <c r="AF35" s="99"/>
      <c r="AG35" s="99"/>
      <c r="AH35" s="99"/>
      <c r="AI35" s="99"/>
      <c r="AK35" s="99"/>
      <c r="AL35" s="99"/>
      <c r="AM35" s="99"/>
      <c r="AN35" s="99"/>
      <c r="AO35" s="99"/>
      <c r="AP35" s="99"/>
      <c r="AR35" s="99"/>
      <c r="AS35" s="99"/>
      <c r="AT35" s="99"/>
      <c r="AU35" s="99"/>
      <c r="AV35" s="99"/>
      <c r="AW35" s="99"/>
    </row>
    <row r="36" spans="1:49" ht="13.05" hidden="1" customHeight="1" x14ac:dyDescent="0.25">
      <c r="A36" t="str">
        <f>Nutrients!B35</f>
        <v>Corn Gluten Meal</v>
      </c>
      <c r="B36" s="99"/>
      <c r="C36" s="99"/>
      <c r="D36" s="99"/>
      <c r="E36" s="99"/>
      <c r="F36" s="99"/>
      <c r="G36" s="99"/>
      <c r="H36" s="99"/>
      <c r="I36" s="99"/>
      <c r="J36" s="99"/>
      <c r="K36" s="99"/>
      <c r="L36" s="99"/>
      <c r="M36" s="99"/>
      <c r="N36" s="99"/>
      <c r="O36" s="10"/>
      <c r="P36" s="99"/>
      <c r="Q36" s="99"/>
      <c r="R36" s="99"/>
      <c r="S36" s="99"/>
      <c r="T36" s="99"/>
      <c r="U36" s="99"/>
      <c r="W36" s="99"/>
      <c r="X36" s="99"/>
      <c r="Y36" s="99"/>
      <c r="Z36" s="99"/>
      <c r="AA36" s="99"/>
      <c r="AB36" s="99"/>
      <c r="AD36" s="99"/>
      <c r="AE36" s="99"/>
      <c r="AF36" s="99"/>
      <c r="AG36" s="99"/>
      <c r="AH36" s="99"/>
      <c r="AI36" s="99"/>
      <c r="AK36" s="99"/>
      <c r="AL36" s="99"/>
      <c r="AM36" s="99"/>
      <c r="AN36" s="99"/>
      <c r="AO36" s="99"/>
      <c r="AP36" s="99"/>
      <c r="AR36" s="99"/>
      <c r="AS36" s="99"/>
      <c r="AT36" s="99"/>
      <c r="AU36" s="99"/>
      <c r="AV36" s="99"/>
      <c r="AW36" s="99"/>
    </row>
    <row r="37" spans="1:49" ht="13.05" hidden="1" customHeight="1" x14ac:dyDescent="0.25">
      <c r="A37" t="str">
        <f>Nutrients!B36</f>
        <v>Corn Grits, Hominy Feed</v>
      </c>
      <c r="B37" s="99"/>
      <c r="C37" s="99"/>
      <c r="D37" s="99"/>
      <c r="E37" s="99"/>
      <c r="F37" s="99"/>
      <c r="G37" s="99"/>
      <c r="H37" s="99"/>
      <c r="I37" s="99"/>
      <c r="J37" s="99"/>
      <c r="K37" s="99"/>
      <c r="L37" s="99"/>
      <c r="M37" s="99"/>
      <c r="N37" s="99"/>
      <c r="O37" s="10"/>
      <c r="P37" s="99"/>
      <c r="Q37" s="99"/>
      <c r="R37" s="99"/>
      <c r="S37" s="99"/>
      <c r="T37" s="99"/>
      <c r="U37" s="99"/>
      <c r="W37" s="99"/>
      <c r="X37" s="99"/>
      <c r="Y37" s="99"/>
      <c r="Z37" s="99"/>
      <c r="AA37" s="99"/>
      <c r="AB37" s="99"/>
      <c r="AD37" s="99"/>
      <c r="AE37" s="99"/>
      <c r="AF37" s="99"/>
      <c r="AG37" s="99"/>
      <c r="AH37" s="99"/>
      <c r="AI37" s="99"/>
      <c r="AK37" s="99"/>
      <c r="AL37" s="99"/>
      <c r="AM37" s="99"/>
      <c r="AN37" s="99"/>
      <c r="AO37" s="99"/>
      <c r="AP37" s="99"/>
      <c r="AR37" s="99"/>
      <c r="AS37" s="99"/>
      <c r="AT37" s="99"/>
      <c r="AU37" s="99"/>
      <c r="AV37" s="99"/>
      <c r="AW37" s="99"/>
    </row>
    <row r="38" spans="1:49" ht="13.05" hidden="1" customHeight="1" x14ac:dyDescent="0.25">
      <c r="A38" t="str">
        <f>Nutrients!B37</f>
        <v>Cotton Seeds, Fullfat</v>
      </c>
      <c r="B38" s="99"/>
      <c r="C38" s="99"/>
      <c r="D38" s="99"/>
      <c r="E38" s="99"/>
      <c r="F38" s="99"/>
      <c r="G38" s="99"/>
      <c r="H38" s="99"/>
      <c r="I38" s="99"/>
      <c r="J38" s="99"/>
      <c r="K38" s="99"/>
      <c r="L38" s="99"/>
      <c r="M38" s="99"/>
      <c r="N38" s="99"/>
      <c r="O38" s="10"/>
      <c r="P38" s="99"/>
      <c r="Q38" s="99"/>
      <c r="R38" s="99"/>
      <c r="S38" s="99"/>
      <c r="T38" s="99"/>
      <c r="U38" s="99"/>
      <c r="W38" s="99"/>
      <c r="X38" s="99"/>
      <c r="Y38" s="99"/>
      <c r="Z38" s="99"/>
      <c r="AA38" s="99"/>
      <c r="AB38" s="99"/>
      <c r="AD38" s="99"/>
      <c r="AE38" s="99"/>
      <c r="AF38" s="99"/>
      <c r="AG38" s="99"/>
      <c r="AH38" s="99"/>
      <c r="AI38" s="99"/>
      <c r="AK38" s="99"/>
      <c r="AL38" s="99"/>
      <c r="AM38" s="99"/>
      <c r="AN38" s="99"/>
      <c r="AO38" s="99"/>
      <c r="AP38" s="99"/>
      <c r="AR38" s="99"/>
      <c r="AS38" s="99"/>
      <c r="AT38" s="99"/>
      <c r="AU38" s="99"/>
      <c r="AV38" s="99"/>
      <c r="AW38" s="99"/>
    </row>
    <row r="39" spans="1:49" ht="13.05" hidden="1" customHeight="1" x14ac:dyDescent="0.25">
      <c r="A39" t="str">
        <f>Nutrients!B38</f>
        <v>Cotton Seed Meal</v>
      </c>
      <c r="B39" s="99"/>
      <c r="C39" s="99"/>
      <c r="D39" s="99"/>
      <c r="E39" s="99"/>
      <c r="F39" s="99"/>
      <c r="G39" s="99"/>
      <c r="H39" s="99"/>
      <c r="I39" s="99"/>
      <c r="J39" s="99"/>
      <c r="K39" s="99"/>
      <c r="L39" s="99"/>
      <c r="M39" s="99"/>
      <c r="N39" s="99"/>
      <c r="O39" s="10"/>
      <c r="P39" s="99"/>
      <c r="Q39" s="99"/>
      <c r="R39" s="99"/>
      <c r="S39" s="99"/>
      <c r="T39" s="99"/>
      <c r="U39" s="99"/>
      <c r="W39" s="99"/>
      <c r="X39" s="99"/>
      <c r="Y39" s="99"/>
      <c r="Z39" s="99"/>
      <c r="AA39" s="99"/>
      <c r="AB39" s="99"/>
      <c r="AD39" s="99"/>
      <c r="AE39" s="99"/>
      <c r="AF39" s="99"/>
      <c r="AG39" s="99"/>
      <c r="AH39" s="99"/>
      <c r="AI39" s="99"/>
      <c r="AK39" s="99"/>
      <c r="AL39" s="99"/>
      <c r="AM39" s="99"/>
      <c r="AN39" s="99"/>
      <c r="AO39" s="99"/>
      <c r="AP39" s="99"/>
      <c r="AR39" s="99"/>
      <c r="AS39" s="99"/>
      <c r="AT39" s="99"/>
      <c r="AU39" s="99"/>
      <c r="AV39" s="99"/>
      <c r="AW39" s="99"/>
    </row>
    <row r="40" spans="1:49" ht="13.05" hidden="1" customHeight="1" x14ac:dyDescent="0.25">
      <c r="A40" t="str">
        <f>Nutrients!B39</f>
        <v>Feather Meal</v>
      </c>
      <c r="B40" s="99"/>
      <c r="C40" s="99"/>
      <c r="D40" s="99"/>
      <c r="E40" s="99"/>
      <c r="F40" s="99"/>
      <c r="G40" s="99"/>
      <c r="H40" s="99"/>
      <c r="I40" s="99"/>
      <c r="J40" s="99"/>
      <c r="K40" s="99"/>
      <c r="L40" s="99"/>
      <c r="M40" s="99"/>
      <c r="N40" s="99"/>
      <c r="O40" s="10"/>
      <c r="P40" s="99"/>
      <c r="Q40" s="99"/>
      <c r="R40" s="99"/>
      <c r="S40" s="99"/>
      <c r="T40" s="99"/>
      <c r="U40" s="99"/>
      <c r="W40" s="99"/>
      <c r="X40" s="99"/>
      <c r="Y40" s="99"/>
      <c r="Z40" s="99"/>
      <c r="AA40" s="99"/>
      <c r="AB40" s="99"/>
      <c r="AD40" s="99"/>
      <c r="AE40" s="99"/>
      <c r="AF40" s="99"/>
      <c r="AG40" s="99"/>
      <c r="AH40" s="99"/>
      <c r="AI40" s="99"/>
      <c r="AK40" s="99"/>
      <c r="AL40" s="99"/>
      <c r="AM40" s="99"/>
      <c r="AN40" s="99"/>
      <c r="AO40" s="99"/>
      <c r="AP40" s="99"/>
      <c r="AR40" s="99"/>
      <c r="AS40" s="99"/>
      <c r="AT40" s="99"/>
      <c r="AU40" s="99"/>
      <c r="AV40" s="99"/>
      <c r="AW40" s="99"/>
    </row>
    <row r="41" spans="1:49" ht="13.05" hidden="1" customHeight="1" x14ac:dyDescent="0.25">
      <c r="A41" t="str">
        <f>Nutrients!B40</f>
        <v>Fish Meal Combined</v>
      </c>
      <c r="B41" s="99"/>
      <c r="C41" s="99"/>
      <c r="D41" s="99"/>
      <c r="E41" s="99"/>
      <c r="F41" s="99"/>
      <c r="G41" s="99"/>
      <c r="H41" s="99"/>
      <c r="I41" s="99"/>
      <c r="J41" s="99"/>
      <c r="K41" s="99"/>
      <c r="L41" s="99"/>
      <c r="M41" s="99"/>
      <c r="N41" s="99"/>
      <c r="O41" s="10"/>
      <c r="P41" s="99"/>
      <c r="Q41" s="99"/>
      <c r="R41" s="99"/>
      <c r="S41" s="99"/>
      <c r="T41" s="99"/>
      <c r="U41" s="99"/>
      <c r="W41" s="99"/>
      <c r="X41" s="99"/>
      <c r="Y41" s="99"/>
      <c r="Z41" s="99"/>
      <c r="AA41" s="99"/>
      <c r="AB41" s="99"/>
      <c r="AD41" s="99"/>
      <c r="AE41" s="99"/>
      <c r="AF41" s="99"/>
      <c r="AG41" s="99"/>
      <c r="AH41" s="99"/>
      <c r="AI41" s="99"/>
      <c r="AK41" s="99"/>
      <c r="AL41" s="99"/>
      <c r="AM41" s="99"/>
      <c r="AN41" s="99"/>
      <c r="AO41" s="99"/>
      <c r="AP41" s="99"/>
      <c r="AR41" s="99"/>
      <c r="AS41" s="99"/>
      <c r="AT41" s="99"/>
      <c r="AU41" s="99"/>
      <c r="AV41" s="99"/>
      <c r="AW41" s="99"/>
    </row>
    <row r="42" spans="1:49" ht="13.05" hidden="1" customHeight="1" x14ac:dyDescent="0.25">
      <c r="A42" t="str">
        <f>Nutrients!B41</f>
        <v>Flaxseed</v>
      </c>
      <c r="B42" s="99"/>
      <c r="C42" s="99"/>
      <c r="D42" s="99"/>
      <c r="E42" s="99"/>
      <c r="F42" s="99"/>
      <c r="G42" s="99"/>
      <c r="H42" s="99"/>
      <c r="I42" s="99"/>
      <c r="J42" s="99"/>
      <c r="K42" s="99"/>
      <c r="L42" s="99"/>
      <c r="M42" s="99"/>
      <c r="N42" s="99"/>
      <c r="O42" s="10"/>
      <c r="P42" s="99"/>
      <c r="Q42" s="99"/>
      <c r="R42" s="99"/>
      <c r="S42" s="99"/>
      <c r="T42" s="99"/>
      <c r="U42" s="99"/>
      <c r="W42" s="99"/>
      <c r="X42" s="99"/>
      <c r="Y42" s="99"/>
      <c r="Z42" s="99"/>
      <c r="AA42" s="99"/>
      <c r="AB42" s="99"/>
      <c r="AD42" s="99"/>
      <c r="AE42" s="99"/>
      <c r="AF42" s="99"/>
      <c r="AG42" s="99"/>
      <c r="AH42" s="99"/>
      <c r="AI42" s="99"/>
      <c r="AK42" s="99"/>
      <c r="AL42" s="99"/>
      <c r="AM42" s="99"/>
      <c r="AN42" s="99"/>
      <c r="AO42" s="99"/>
      <c r="AP42" s="99"/>
      <c r="AR42" s="99"/>
      <c r="AS42" s="99"/>
      <c r="AT42" s="99"/>
      <c r="AU42" s="99"/>
      <c r="AV42" s="99"/>
      <c r="AW42" s="99"/>
    </row>
    <row r="43" spans="1:49" ht="13.05" hidden="1" customHeight="1" x14ac:dyDescent="0.25">
      <c r="A43" t="str">
        <f>Nutrients!B42</f>
        <v>Flaxseed Meal</v>
      </c>
      <c r="B43" s="99"/>
      <c r="C43" s="99"/>
      <c r="D43" s="99"/>
      <c r="E43" s="99"/>
      <c r="F43" s="99"/>
      <c r="G43" s="99"/>
      <c r="H43" s="99"/>
      <c r="I43" s="99"/>
      <c r="J43" s="99"/>
      <c r="K43" s="99"/>
      <c r="L43" s="99"/>
      <c r="M43" s="99"/>
      <c r="N43" s="99"/>
      <c r="O43" s="10"/>
      <c r="P43" s="99"/>
      <c r="Q43" s="99"/>
      <c r="R43" s="99"/>
      <c r="S43" s="99"/>
      <c r="T43" s="99"/>
      <c r="U43" s="99"/>
      <c r="W43" s="99"/>
      <c r="X43" s="99"/>
      <c r="Y43" s="99"/>
      <c r="Z43" s="99"/>
      <c r="AA43" s="99"/>
      <c r="AB43" s="99"/>
      <c r="AD43" s="99"/>
      <c r="AE43" s="99"/>
      <c r="AF43" s="99"/>
      <c r="AG43" s="99"/>
      <c r="AH43" s="99"/>
      <c r="AI43" s="99"/>
      <c r="AK43" s="99"/>
      <c r="AL43" s="99"/>
      <c r="AM43" s="99"/>
      <c r="AN43" s="99"/>
      <c r="AO43" s="99"/>
      <c r="AP43" s="99"/>
      <c r="AR43" s="99"/>
      <c r="AS43" s="99"/>
      <c r="AT43" s="99"/>
      <c r="AU43" s="99"/>
      <c r="AV43" s="99"/>
      <c r="AW43" s="99"/>
    </row>
    <row r="44" spans="1:49" ht="13.05" hidden="1" customHeight="1" x14ac:dyDescent="0.25">
      <c r="A44" t="str">
        <f>Nutrients!B43</f>
        <v>Lupins</v>
      </c>
      <c r="B44" s="99"/>
      <c r="C44" s="99"/>
      <c r="D44" s="99"/>
      <c r="E44" s="99"/>
      <c r="F44" s="99"/>
      <c r="G44" s="99"/>
      <c r="H44" s="99"/>
      <c r="I44" s="99"/>
      <c r="J44" s="99"/>
      <c r="K44" s="99"/>
      <c r="L44" s="99"/>
      <c r="M44" s="99"/>
      <c r="N44" s="99"/>
      <c r="O44" s="10"/>
      <c r="P44" s="99"/>
      <c r="Q44" s="99"/>
      <c r="R44" s="99"/>
      <c r="S44" s="99"/>
      <c r="T44" s="99"/>
      <c r="U44" s="99"/>
      <c r="W44" s="99"/>
      <c r="X44" s="99"/>
      <c r="Y44" s="99"/>
      <c r="Z44" s="99"/>
      <c r="AA44" s="99"/>
      <c r="AB44" s="99"/>
      <c r="AD44" s="99"/>
      <c r="AE44" s="99"/>
      <c r="AF44" s="99"/>
      <c r="AG44" s="99"/>
      <c r="AH44" s="99"/>
      <c r="AI44" s="99"/>
      <c r="AK44" s="99"/>
      <c r="AL44" s="99"/>
      <c r="AM44" s="99"/>
      <c r="AN44" s="99"/>
      <c r="AO44" s="99"/>
      <c r="AP44" s="99"/>
      <c r="AR44" s="99"/>
      <c r="AS44" s="99"/>
      <c r="AT44" s="99"/>
      <c r="AU44" s="99"/>
      <c r="AV44" s="99"/>
      <c r="AW44" s="99"/>
    </row>
    <row r="45" spans="1:49" ht="13.05" hidden="1" customHeight="1" x14ac:dyDescent="0.25">
      <c r="A45" t="str">
        <f>Nutrients!B44</f>
        <v>Meat Meal</v>
      </c>
      <c r="B45" s="99"/>
      <c r="C45" s="99"/>
      <c r="D45" s="99"/>
      <c r="E45" s="99"/>
      <c r="F45" s="99"/>
      <c r="G45" s="99"/>
      <c r="H45" s="99"/>
      <c r="I45" s="99"/>
      <c r="J45" s="99"/>
      <c r="K45" s="99"/>
      <c r="L45" s="99"/>
      <c r="M45" s="99"/>
      <c r="N45" s="99"/>
      <c r="O45" s="10"/>
      <c r="P45" s="99"/>
      <c r="Q45" s="99"/>
      <c r="R45" s="99"/>
      <c r="S45" s="99"/>
      <c r="T45" s="99"/>
      <c r="U45" s="99"/>
      <c r="W45" s="99"/>
      <c r="X45" s="99"/>
      <c r="Y45" s="99"/>
      <c r="Z45" s="99"/>
      <c r="AA45" s="99"/>
      <c r="AB45" s="99"/>
      <c r="AD45" s="99"/>
      <c r="AE45" s="99"/>
      <c r="AF45" s="99"/>
      <c r="AG45" s="99"/>
      <c r="AH45" s="99"/>
      <c r="AI45" s="99"/>
      <c r="AK45" s="99"/>
      <c r="AL45" s="99"/>
      <c r="AM45" s="99"/>
      <c r="AN45" s="99"/>
      <c r="AO45" s="99"/>
      <c r="AP45" s="99"/>
      <c r="AR45" s="99"/>
      <c r="AS45" s="99"/>
      <c r="AT45" s="99"/>
      <c r="AU45" s="99"/>
      <c r="AV45" s="99"/>
      <c r="AW45" s="99"/>
    </row>
    <row r="46" spans="1:49" ht="13.05" hidden="1" customHeight="1" x14ac:dyDescent="0.25">
      <c r="A46" t="str">
        <f>Nutrients!B45</f>
        <v>Meat and Bone Meal, P &gt;4%</v>
      </c>
      <c r="B46" s="99"/>
      <c r="C46" s="99"/>
      <c r="D46" s="99"/>
      <c r="E46" s="99"/>
      <c r="F46" s="99"/>
      <c r="G46" s="99"/>
      <c r="H46" s="99"/>
      <c r="I46" s="99"/>
      <c r="J46" s="99"/>
      <c r="K46" s="99"/>
      <c r="L46" s="99"/>
      <c r="M46" s="99"/>
      <c r="N46" s="99"/>
      <c r="O46" s="10"/>
      <c r="P46" s="99"/>
      <c r="Q46" s="99"/>
      <c r="R46" s="99"/>
      <c r="S46" s="99"/>
      <c r="T46" s="99"/>
      <c r="U46" s="99"/>
      <c r="W46" s="99"/>
      <c r="X46" s="99"/>
      <c r="Y46" s="99"/>
      <c r="Z46" s="99"/>
      <c r="AA46" s="99"/>
      <c r="AB46" s="99"/>
      <c r="AD46" s="99"/>
      <c r="AE46" s="99"/>
      <c r="AF46" s="99"/>
      <c r="AG46" s="99"/>
      <c r="AH46" s="99"/>
      <c r="AI46" s="99"/>
      <c r="AK46" s="99"/>
      <c r="AL46" s="99"/>
      <c r="AM46" s="99"/>
      <c r="AN46" s="99"/>
      <c r="AO46" s="99"/>
      <c r="AP46" s="99"/>
      <c r="AR46" s="99"/>
      <c r="AS46" s="99"/>
      <c r="AT46" s="99"/>
      <c r="AU46" s="99"/>
      <c r="AV46" s="99"/>
      <c r="AW46" s="99"/>
    </row>
    <row r="47" spans="1:49" ht="13.05" hidden="1" customHeight="1" x14ac:dyDescent="0.25">
      <c r="A47" t="str">
        <f>Nutrients!B46</f>
        <v>Milk, Casein</v>
      </c>
      <c r="B47" s="99"/>
      <c r="C47" s="99"/>
      <c r="D47" s="99"/>
      <c r="E47" s="99"/>
      <c r="F47" s="99"/>
      <c r="G47" s="99"/>
      <c r="H47" s="99"/>
      <c r="I47" s="99"/>
      <c r="J47" s="99"/>
      <c r="K47" s="99"/>
      <c r="L47" s="99"/>
      <c r="M47" s="99"/>
      <c r="N47" s="99"/>
      <c r="O47" s="10"/>
      <c r="P47" s="99"/>
      <c r="Q47" s="99"/>
      <c r="R47" s="99"/>
      <c r="S47" s="99"/>
      <c r="T47" s="99"/>
      <c r="U47" s="99"/>
      <c r="W47" s="99"/>
      <c r="X47" s="99"/>
      <c r="Y47" s="99"/>
      <c r="Z47" s="99"/>
      <c r="AA47" s="99"/>
      <c r="AB47" s="99"/>
      <c r="AD47" s="99"/>
      <c r="AE47" s="99"/>
      <c r="AF47" s="99"/>
      <c r="AG47" s="99"/>
      <c r="AH47" s="99"/>
      <c r="AI47" s="99"/>
      <c r="AK47" s="99"/>
      <c r="AL47" s="99"/>
      <c r="AM47" s="99"/>
      <c r="AN47" s="99"/>
      <c r="AO47" s="99"/>
      <c r="AP47" s="99"/>
      <c r="AR47" s="99"/>
      <c r="AS47" s="99"/>
      <c r="AT47" s="99"/>
      <c r="AU47" s="99"/>
      <c r="AV47" s="99"/>
      <c r="AW47" s="99"/>
    </row>
    <row r="48" spans="1:49" ht="13.05" hidden="1" customHeight="1" x14ac:dyDescent="0.25">
      <c r="A48" t="str">
        <f>Nutrients!B47</f>
        <v>Milk, Lactose</v>
      </c>
      <c r="B48" s="99"/>
      <c r="C48" s="99"/>
      <c r="D48" s="99"/>
      <c r="E48" s="99"/>
      <c r="F48" s="99"/>
      <c r="G48" s="99"/>
      <c r="H48" s="99"/>
      <c r="I48" s="99"/>
      <c r="J48" s="99"/>
      <c r="K48" s="99"/>
      <c r="L48" s="99"/>
      <c r="M48" s="99"/>
      <c r="N48" s="99"/>
      <c r="O48" s="10"/>
      <c r="P48" s="99"/>
      <c r="Q48" s="99"/>
      <c r="R48" s="99"/>
      <c r="S48" s="99"/>
      <c r="T48" s="99"/>
      <c r="U48" s="99"/>
      <c r="W48" s="99"/>
      <c r="X48" s="99"/>
      <c r="Y48" s="99"/>
      <c r="Z48" s="99"/>
      <c r="AA48" s="99"/>
      <c r="AB48" s="99"/>
      <c r="AD48" s="99"/>
      <c r="AE48" s="99"/>
      <c r="AF48" s="99"/>
      <c r="AG48" s="99"/>
      <c r="AH48" s="99"/>
      <c r="AI48" s="99"/>
      <c r="AK48" s="99"/>
      <c r="AL48" s="99"/>
      <c r="AM48" s="99"/>
      <c r="AN48" s="99"/>
      <c r="AO48" s="99"/>
      <c r="AP48" s="99"/>
      <c r="AR48" s="99"/>
      <c r="AS48" s="99"/>
      <c r="AT48" s="99"/>
      <c r="AU48" s="99"/>
      <c r="AV48" s="99"/>
      <c r="AW48" s="99"/>
    </row>
    <row r="49" spans="1:49" ht="13.05" hidden="1" customHeight="1" x14ac:dyDescent="0.25">
      <c r="A49" t="str">
        <f>Nutrients!B48</f>
        <v>Milk, Skim Milk Powder</v>
      </c>
      <c r="B49" s="99"/>
      <c r="C49" s="99"/>
      <c r="D49" s="99"/>
      <c r="E49" s="99"/>
      <c r="F49" s="99"/>
      <c r="G49" s="99"/>
      <c r="H49" s="99"/>
      <c r="I49" s="99"/>
      <c r="J49" s="99"/>
      <c r="K49" s="99"/>
      <c r="L49" s="99"/>
      <c r="M49" s="99"/>
      <c r="N49" s="99"/>
      <c r="O49" s="10"/>
      <c r="P49" s="99"/>
      <c r="Q49" s="99"/>
      <c r="R49" s="99"/>
      <c r="S49" s="99"/>
      <c r="T49" s="99"/>
      <c r="U49" s="99"/>
      <c r="W49" s="99"/>
      <c r="X49" s="99"/>
      <c r="Y49" s="99"/>
      <c r="Z49" s="99"/>
      <c r="AA49" s="99"/>
      <c r="AB49" s="99"/>
      <c r="AD49" s="99"/>
      <c r="AE49" s="99"/>
      <c r="AF49" s="99"/>
      <c r="AG49" s="99"/>
      <c r="AH49" s="99"/>
      <c r="AI49" s="99"/>
      <c r="AK49" s="99"/>
      <c r="AL49" s="99"/>
      <c r="AM49" s="99"/>
      <c r="AN49" s="99"/>
      <c r="AO49" s="99"/>
      <c r="AP49" s="99"/>
      <c r="AR49" s="99"/>
      <c r="AS49" s="99"/>
      <c r="AT49" s="99"/>
      <c r="AU49" s="99"/>
      <c r="AV49" s="99"/>
      <c r="AW49" s="99"/>
    </row>
    <row r="50" spans="1:49" ht="13.05" hidden="1" customHeight="1" x14ac:dyDescent="0.25">
      <c r="A50" t="str">
        <f>Nutrients!B49</f>
        <v>Milk, Whey Powder</v>
      </c>
      <c r="B50" s="99"/>
      <c r="C50" s="99"/>
      <c r="D50" s="99"/>
      <c r="E50" s="99"/>
      <c r="F50" s="99"/>
      <c r="G50" s="99"/>
      <c r="H50" s="99"/>
      <c r="I50" s="99"/>
      <c r="J50" s="99"/>
      <c r="K50" s="99"/>
      <c r="L50" s="99"/>
      <c r="M50" s="99"/>
      <c r="N50" s="99"/>
      <c r="O50" s="10"/>
      <c r="P50" s="99"/>
      <c r="Q50" s="99"/>
      <c r="R50" s="99"/>
      <c r="S50" s="99"/>
      <c r="T50" s="99"/>
      <c r="U50" s="99"/>
      <c r="W50" s="99"/>
      <c r="X50" s="99"/>
      <c r="Y50" s="99"/>
      <c r="Z50" s="99"/>
      <c r="AA50" s="99"/>
      <c r="AB50" s="99"/>
      <c r="AD50" s="99"/>
      <c r="AE50" s="99"/>
      <c r="AF50" s="99"/>
      <c r="AG50" s="99"/>
      <c r="AH50" s="99"/>
      <c r="AI50" s="99"/>
      <c r="AK50" s="99"/>
      <c r="AL50" s="99"/>
      <c r="AM50" s="99"/>
      <c r="AN50" s="99"/>
      <c r="AO50" s="99"/>
      <c r="AP50" s="99"/>
      <c r="AR50" s="99"/>
      <c r="AS50" s="99"/>
      <c r="AT50" s="99"/>
      <c r="AU50" s="99"/>
      <c r="AV50" s="99"/>
      <c r="AW50" s="99"/>
    </row>
    <row r="51" spans="1:49" ht="13.05" hidden="1" customHeight="1" x14ac:dyDescent="0.25">
      <c r="A51" t="str">
        <f>Nutrients!B50</f>
        <v>Milk, Whey Permeate, 80% lactose</v>
      </c>
      <c r="B51" s="99"/>
      <c r="C51" s="99"/>
      <c r="D51" s="99"/>
      <c r="E51" s="99"/>
      <c r="F51" s="99"/>
      <c r="G51" s="99"/>
      <c r="H51" s="99"/>
      <c r="I51" s="99"/>
      <c r="J51" s="99"/>
      <c r="K51" s="99"/>
      <c r="L51" s="99"/>
      <c r="M51" s="99"/>
      <c r="N51" s="99"/>
      <c r="O51" s="10"/>
      <c r="P51" s="99"/>
      <c r="Q51" s="99"/>
      <c r="R51" s="99"/>
      <c r="S51" s="99"/>
      <c r="T51" s="99"/>
      <c r="U51" s="99"/>
      <c r="W51" s="99"/>
      <c r="X51" s="99"/>
      <c r="Y51" s="99"/>
      <c r="Z51" s="99"/>
      <c r="AA51" s="99"/>
      <c r="AB51" s="99"/>
      <c r="AD51" s="99"/>
      <c r="AE51" s="99"/>
      <c r="AF51" s="99"/>
      <c r="AG51" s="99"/>
      <c r="AH51" s="99"/>
      <c r="AI51" s="99"/>
      <c r="AK51" s="99"/>
      <c r="AL51" s="99"/>
      <c r="AM51" s="99"/>
      <c r="AN51" s="99"/>
      <c r="AO51" s="99"/>
      <c r="AP51" s="99"/>
      <c r="AR51" s="99"/>
      <c r="AS51" s="99"/>
      <c r="AT51" s="99"/>
      <c r="AU51" s="99"/>
      <c r="AV51" s="99"/>
      <c r="AW51" s="99"/>
    </row>
    <row r="52" spans="1:49" ht="12.75" hidden="1" customHeight="1" x14ac:dyDescent="0.25">
      <c r="A52" t="str">
        <f>Nutrients!B51</f>
        <v>Milk, Whey Protein Concentrate</v>
      </c>
      <c r="B52" s="99"/>
      <c r="C52" s="99"/>
      <c r="D52" s="99"/>
      <c r="E52" s="99"/>
      <c r="F52" s="99"/>
      <c r="G52" s="99"/>
      <c r="H52" s="99"/>
      <c r="I52" s="99"/>
      <c r="J52" s="99"/>
      <c r="K52" s="99"/>
      <c r="L52" s="99"/>
      <c r="M52" s="99"/>
      <c r="N52" s="99"/>
      <c r="O52" s="10"/>
      <c r="P52" s="99"/>
      <c r="Q52" s="99"/>
      <c r="R52" s="99"/>
      <c r="S52" s="99"/>
      <c r="T52" s="99"/>
      <c r="U52" s="99"/>
      <c r="W52" s="99"/>
      <c r="X52" s="99"/>
      <c r="Y52" s="99"/>
      <c r="Z52" s="99"/>
      <c r="AA52" s="99"/>
      <c r="AB52" s="99"/>
      <c r="AD52" s="99"/>
      <c r="AE52" s="99"/>
      <c r="AF52" s="99"/>
      <c r="AG52" s="99"/>
      <c r="AH52" s="99"/>
      <c r="AI52" s="99"/>
      <c r="AK52" s="99"/>
      <c r="AL52" s="99"/>
      <c r="AM52" s="99"/>
      <c r="AN52" s="99"/>
      <c r="AO52" s="99"/>
      <c r="AP52" s="99"/>
      <c r="AR52" s="99"/>
      <c r="AS52" s="99"/>
      <c r="AT52" s="99"/>
      <c r="AU52" s="99"/>
      <c r="AV52" s="99"/>
      <c r="AW52" s="99"/>
    </row>
    <row r="53" spans="1:49" ht="12.75" hidden="1" customHeight="1" x14ac:dyDescent="0.25">
      <c r="A53" t="str">
        <f>Nutrients!B52</f>
        <v>Millet</v>
      </c>
      <c r="B53" s="99"/>
      <c r="C53" s="99"/>
      <c r="D53" s="99"/>
      <c r="E53" s="99"/>
      <c r="F53" s="99"/>
      <c r="G53" s="99"/>
      <c r="H53" s="99"/>
      <c r="I53" s="99"/>
      <c r="J53" s="99"/>
      <c r="K53" s="99"/>
      <c r="L53" s="99"/>
      <c r="M53" s="99"/>
      <c r="N53" s="99"/>
      <c r="O53" s="10"/>
      <c r="P53" s="99"/>
      <c r="Q53" s="99"/>
      <c r="R53" s="99"/>
      <c r="S53" s="99"/>
      <c r="T53" s="99"/>
      <c r="U53" s="99"/>
      <c r="W53" s="99"/>
      <c r="X53" s="99"/>
      <c r="Y53" s="99"/>
      <c r="Z53" s="99"/>
      <c r="AA53" s="99"/>
      <c r="AB53" s="99"/>
      <c r="AD53" s="99"/>
      <c r="AE53" s="99"/>
      <c r="AF53" s="99"/>
      <c r="AG53" s="99"/>
      <c r="AH53" s="99"/>
      <c r="AI53" s="99"/>
      <c r="AK53" s="99"/>
      <c r="AL53" s="99"/>
      <c r="AM53" s="99"/>
      <c r="AN53" s="99"/>
      <c r="AO53" s="99"/>
      <c r="AP53" s="99"/>
      <c r="AR53" s="99"/>
      <c r="AS53" s="99"/>
      <c r="AT53" s="99"/>
      <c r="AU53" s="99"/>
      <c r="AV53" s="99"/>
      <c r="AW53" s="99"/>
    </row>
    <row r="54" spans="1:49" ht="12.75" hidden="1" customHeight="1" x14ac:dyDescent="0.25">
      <c r="A54" t="str">
        <f>Nutrients!B53</f>
        <v>Molasses, Sugarbeet</v>
      </c>
      <c r="B54" s="99"/>
      <c r="C54" s="99"/>
      <c r="D54" s="99"/>
      <c r="E54" s="99"/>
      <c r="F54" s="99"/>
      <c r="G54" s="99"/>
      <c r="H54" s="99"/>
      <c r="I54" s="99"/>
      <c r="J54" s="99"/>
      <c r="K54" s="99"/>
      <c r="L54" s="99"/>
      <c r="M54" s="99"/>
      <c r="N54" s="99"/>
      <c r="O54" s="10"/>
      <c r="P54" s="99"/>
      <c r="Q54" s="99"/>
      <c r="R54" s="99"/>
      <c r="S54" s="99"/>
      <c r="T54" s="99"/>
      <c r="U54" s="99"/>
      <c r="W54" s="99"/>
      <c r="X54" s="99"/>
      <c r="Y54" s="99"/>
      <c r="Z54" s="99"/>
      <c r="AA54" s="99"/>
      <c r="AB54" s="99"/>
      <c r="AD54" s="99"/>
      <c r="AE54" s="99"/>
      <c r="AF54" s="99"/>
      <c r="AG54" s="99"/>
      <c r="AH54" s="99"/>
      <c r="AI54" s="99"/>
      <c r="AK54" s="99"/>
      <c r="AL54" s="99"/>
      <c r="AM54" s="99"/>
      <c r="AN54" s="99"/>
      <c r="AO54" s="99"/>
      <c r="AP54" s="99"/>
      <c r="AR54" s="99"/>
      <c r="AS54" s="99"/>
      <c r="AT54" s="99"/>
      <c r="AU54" s="99"/>
      <c r="AV54" s="99"/>
      <c r="AW54" s="99"/>
    </row>
    <row r="55" spans="1:49" ht="12.75" hidden="1" customHeight="1" x14ac:dyDescent="0.25">
      <c r="A55" t="str">
        <f>Nutrients!B54</f>
        <v>Molasses, Sugarcane</v>
      </c>
      <c r="B55" s="99"/>
      <c r="C55" s="99"/>
      <c r="D55" s="99"/>
      <c r="E55" s="99"/>
      <c r="F55" s="99"/>
      <c r="G55" s="99"/>
      <c r="H55" s="99"/>
      <c r="I55" s="99"/>
      <c r="J55" s="99"/>
      <c r="K55" s="99"/>
      <c r="L55" s="99"/>
      <c r="M55" s="99"/>
      <c r="N55" s="99"/>
      <c r="O55" s="10"/>
      <c r="P55" s="99"/>
      <c r="Q55" s="99"/>
      <c r="R55" s="99"/>
      <c r="S55" s="99"/>
      <c r="T55" s="99"/>
      <c r="U55" s="99"/>
      <c r="W55" s="99"/>
      <c r="X55" s="99"/>
      <c r="Y55" s="99"/>
      <c r="Z55" s="99"/>
      <c r="AA55" s="99"/>
      <c r="AB55" s="99"/>
      <c r="AD55" s="99"/>
      <c r="AE55" s="99"/>
      <c r="AF55" s="99"/>
      <c r="AG55" s="99"/>
      <c r="AH55" s="99"/>
      <c r="AI55" s="99"/>
      <c r="AK55" s="99"/>
      <c r="AL55" s="99"/>
      <c r="AM55" s="99"/>
      <c r="AN55" s="99"/>
      <c r="AO55" s="99"/>
      <c r="AP55" s="99"/>
      <c r="AR55" s="99"/>
      <c r="AS55" s="99"/>
      <c r="AT55" s="99"/>
      <c r="AU55" s="99"/>
      <c r="AV55" s="99"/>
      <c r="AW55" s="99"/>
    </row>
    <row r="56" spans="1:49" ht="12.75" hidden="1" customHeight="1" x14ac:dyDescent="0.25">
      <c r="A56" t="str">
        <f>Nutrients!B55</f>
        <v>Oats</v>
      </c>
      <c r="B56" s="99"/>
      <c r="C56" s="99"/>
      <c r="D56" s="99"/>
      <c r="E56" s="99"/>
      <c r="F56" s="99"/>
      <c r="G56" s="99"/>
      <c r="H56" s="99"/>
      <c r="I56" s="99"/>
      <c r="J56" s="99"/>
      <c r="K56" s="99"/>
      <c r="L56" s="99"/>
      <c r="M56" s="99"/>
      <c r="N56" s="99"/>
      <c r="O56" s="10"/>
      <c r="P56" s="99"/>
      <c r="Q56" s="99"/>
      <c r="R56" s="99"/>
      <c r="S56" s="99"/>
      <c r="T56" s="99"/>
      <c r="U56" s="99"/>
      <c r="W56" s="99"/>
      <c r="X56" s="99"/>
      <c r="Y56" s="99"/>
      <c r="Z56" s="99"/>
      <c r="AA56" s="99"/>
      <c r="AB56" s="99"/>
      <c r="AD56" s="99"/>
      <c r="AE56" s="99"/>
      <c r="AF56" s="99"/>
      <c r="AG56" s="99"/>
      <c r="AH56" s="99"/>
      <c r="AI56" s="99"/>
      <c r="AK56" s="99"/>
      <c r="AL56" s="99"/>
      <c r="AM56" s="99"/>
      <c r="AN56" s="99"/>
      <c r="AO56" s="99"/>
      <c r="AP56" s="99"/>
      <c r="AR56" s="99"/>
      <c r="AS56" s="99"/>
      <c r="AT56" s="99"/>
      <c r="AU56" s="99"/>
      <c r="AV56" s="99"/>
      <c r="AW56" s="99"/>
    </row>
    <row r="57" spans="1:49" ht="12.75" hidden="1" customHeight="1" x14ac:dyDescent="0.25">
      <c r="A57" t="str">
        <f>Nutrients!B56</f>
        <v>Oats, Naked</v>
      </c>
      <c r="B57" s="99"/>
      <c r="C57" s="99"/>
      <c r="D57" s="99"/>
      <c r="E57" s="99"/>
      <c r="F57" s="99"/>
      <c r="G57" s="99"/>
      <c r="H57" s="99"/>
      <c r="I57" s="99"/>
      <c r="J57" s="99"/>
      <c r="K57" s="99"/>
      <c r="L57" s="99"/>
      <c r="M57" s="99"/>
      <c r="N57" s="99"/>
      <c r="O57" s="10"/>
      <c r="P57" s="99"/>
      <c r="Q57" s="99"/>
      <c r="R57" s="99"/>
      <c r="S57" s="99"/>
      <c r="T57" s="99"/>
      <c r="U57" s="99"/>
      <c r="W57" s="99"/>
      <c r="X57" s="99"/>
      <c r="Y57" s="99"/>
      <c r="Z57" s="99"/>
      <c r="AA57" s="99"/>
      <c r="AB57" s="99"/>
      <c r="AD57" s="99"/>
      <c r="AE57" s="99"/>
      <c r="AF57" s="99"/>
      <c r="AG57" s="99"/>
      <c r="AH57" s="99"/>
      <c r="AI57" s="99"/>
      <c r="AK57" s="99"/>
      <c r="AL57" s="99"/>
      <c r="AM57" s="99"/>
      <c r="AN57" s="99"/>
      <c r="AO57" s="99"/>
      <c r="AP57" s="99"/>
      <c r="AR57" s="99"/>
      <c r="AS57" s="99"/>
      <c r="AT57" s="99"/>
      <c r="AU57" s="99"/>
      <c r="AV57" s="99"/>
      <c r="AW57" s="99"/>
    </row>
    <row r="58" spans="1:49" ht="12.75" hidden="1" customHeight="1" x14ac:dyDescent="0.25">
      <c r="A58" t="str">
        <f>Nutrients!B57</f>
        <v>Oat Groats</v>
      </c>
      <c r="B58" s="99"/>
      <c r="C58" s="99"/>
      <c r="D58" s="99"/>
      <c r="E58" s="99"/>
      <c r="F58" s="99"/>
      <c r="G58" s="99"/>
      <c r="H58" s="99"/>
      <c r="I58" s="99"/>
      <c r="J58" s="99"/>
      <c r="K58" s="99"/>
      <c r="L58" s="99"/>
      <c r="M58" s="99"/>
      <c r="N58" s="99"/>
      <c r="O58" s="10"/>
      <c r="P58" s="99"/>
      <c r="Q58" s="99"/>
      <c r="R58" s="99"/>
      <c r="S58" s="99"/>
      <c r="T58" s="99"/>
      <c r="U58" s="99"/>
      <c r="W58" s="99"/>
      <c r="X58" s="99"/>
      <c r="Y58" s="99"/>
      <c r="Z58" s="99"/>
      <c r="AA58" s="99"/>
      <c r="AB58" s="99"/>
      <c r="AD58" s="99"/>
      <c r="AE58" s="99"/>
      <c r="AF58" s="99"/>
      <c r="AG58" s="99"/>
      <c r="AH58" s="99"/>
      <c r="AI58" s="99"/>
      <c r="AK58" s="99"/>
      <c r="AL58" s="99"/>
      <c r="AM58" s="99"/>
      <c r="AN58" s="99"/>
      <c r="AO58" s="99"/>
      <c r="AP58" s="99"/>
      <c r="AR58" s="99"/>
      <c r="AS58" s="99"/>
      <c r="AT58" s="99"/>
      <c r="AU58" s="99"/>
      <c r="AV58" s="99"/>
      <c r="AW58" s="99"/>
    </row>
    <row r="59" spans="1:49" ht="12.75" hidden="1" customHeight="1" x14ac:dyDescent="0.25">
      <c r="A59" t="str">
        <f>Nutrients!B58</f>
        <v>Peanut Meal, Expelled</v>
      </c>
      <c r="B59" s="99"/>
      <c r="C59" s="99"/>
      <c r="D59" s="99"/>
      <c r="E59" s="99"/>
      <c r="F59" s="99"/>
      <c r="G59" s="99"/>
      <c r="H59" s="99"/>
      <c r="I59" s="99"/>
      <c r="J59" s="99"/>
      <c r="K59" s="99"/>
      <c r="L59" s="99"/>
      <c r="M59" s="99"/>
      <c r="N59" s="99"/>
      <c r="O59" s="10"/>
      <c r="P59" s="99"/>
      <c r="Q59" s="99"/>
      <c r="R59" s="99"/>
      <c r="S59" s="99"/>
      <c r="T59" s="99"/>
      <c r="U59" s="99"/>
      <c r="W59" s="99"/>
      <c r="X59" s="99"/>
      <c r="Y59" s="99"/>
      <c r="Z59" s="99"/>
      <c r="AA59" s="99"/>
      <c r="AB59" s="99"/>
      <c r="AD59" s="99"/>
      <c r="AE59" s="99"/>
      <c r="AF59" s="99"/>
      <c r="AG59" s="99"/>
      <c r="AH59" s="99"/>
      <c r="AI59" s="99"/>
      <c r="AK59" s="99"/>
      <c r="AL59" s="99"/>
      <c r="AM59" s="99"/>
      <c r="AN59" s="99"/>
      <c r="AO59" s="99"/>
      <c r="AP59" s="99"/>
      <c r="AR59" s="99"/>
      <c r="AS59" s="99"/>
      <c r="AT59" s="99"/>
      <c r="AU59" s="99"/>
      <c r="AV59" s="99"/>
      <c r="AW59" s="99"/>
    </row>
    <row r="60" spans="1:49" ht="12.75" hidden="1" customHeight="1" x14ac:dyDescent="0.25">
      <c r="A60" t="str">
        <f>Nutrients!B59</f>
        <v>Peanut Meal, Extracted</v>
      </c>
      <c r="B60" s="99"/>
      <c r="C60" s="99"/>
      <c r="D60" s="99"/>
      <c r="E60" s="99"/>
      <c r="F60" s="99"/>
      <c r="G60" s="99"/>
      <c r="H60" s="99"/>
      <c r="I60" s="99"/>
      <c r="J60" s="99"/>
      <c r="K60" s="99"/>
      <c r="L60" s="99"/>
      <c r="M60" s="99"/>
      <c r="N60" s="99"/>
      <c r="O60" s="10"/>
      <c r="P60" s="99"/>
      <c r="Q60" s="99"/>
      <c r="R60" s="99"/>
      <c r="S60" s="99"/>
      <c r="T60" s="99"/>
      <c r="U60" s="99"/>
      <c r="W60" s="99"/>
      <c r="X60" s="99"/>
      <c r="Y60" s="99"/>
      <c r="Z60" s="99"/>
      <c r="AA60" s="99"/>
      <c r="AB60" s="99"/>
      <c r="AD60" s="99"/>
      <c r="AE60" s="99"/>
      <c r="AF60" s="99"/>
      <c r="AG60" s="99"/>
      <c r="AH60" s="99"/>
      <c r="AI60" s="99"/>
      <c r="AK60" s="99"/>
      <c r="AL60" s="99"/>
      <c r="AM60" s="99"/>
      <c r="AN60" s="99"/>
      <c r="AO60" s="99"/>
      <c r="AP60" s="99"/>
      <c r="AR60" s="99"/>
      <c r="AS60" s="99"/>
      <c r="AT60" s="99"/>
      <c r="AU60" s="99"/>
      <c r="AV60" s="99"/>
      <c r="AW60" s="99"/>
    </row>
    <row r="61" spans="1:49" ht="12.75" hidden="1" customHeight="1" x14ac:dyDescent="0.25">
      <c r="A61" t="str">
        <f>Nutrients!B60</f>
        <v>Peas, Field Peas</v>
      </c>
      <c r="B61" s="99"/>
      <c r="C61" s="99"/>
      <c r="D61" s="99"/>
      <c r="E61" s="99"/>
      <c r="F61" s="99"/>
      <c r="G61" s="99"/>
      <c r="H61" s="99"/>
      <c r="I61" s="99"/>
      <c r="J61" s="99"/>
      <c r="K61" s="99"/>
      <c r="L61" s="99"/>
      <c r="M61" s="99"/>
      <c r="N61" s="99"/>
      <c r="O61" s="10"/>
      <c r="P61" s="99"/>
      <c r="Q61" s="99"/>
      <c r="R61" s="99"/>
      <c r="S61" s="99"/>
      <c r="T61" s="99"/>
      <c r="U61" s="99"/>
      <c r="W61" s="99"/>
      <c r="X61" s="99"/>
      <c r="Y61" s="99"/>
      <c r="Z61" s="99"/>
      <c r="AA61" s="99"/>
      <c r="AB61" s="99"/>
      <c r="AD61" s="99"/>
      <c r="AE61" s="99"/>
      <c r="AF61" s="99"/>
      <c r="AG61" s="99"/>
      <c r="AH61" s="99"/>
      <c r="AI61" s="99"/>
      <c r="AK61" s="99"/>
      <c r="AL61" s="99"/>
      <c r="AM61" s="99"/>
      <c r="AN61" s="99"/>
      <c r="AO61" s="99"/>
      <c r="AP61" s="99"/>
      <c r="AR61" s="99"/>
      <c r="AS61" s="99"/>
      <c r="AT61" s="99"/>
      <c r="AU61" s="99"/>
      <c r="AV61" s="99"/>
      <c r="AW61" s="99"/>
    </row>
    <row r="62" spans="1:49" ht="12.75" hidden="1" customHeight="1" x14ac:dyDescent="0.25">
      <c r="A62" t="str">
        <f>Nutrients!B61</f>
        <v>Pea Protein Concentrate</v>
      </c>
      <c r="B62" s="99"/>
      <c r="C62" s="99"/>
      <c r="D62" s="99"/>
      <c r="E62" s="99"/>
      <c r="F62" s="99"/>
      <c r="G62" s="99"/>
      <c r="H62" s="99"/>
      <c r="I62" s="99"/>
      <c r="J62" s="99"/>
      <c r="K62" s="99"/>
      <c r="L62" s="99"/>
      <c r="M62" s="99"/>
      <c r="N62" s="99"/>
      <c r="O62" s="10"/>
      <c r="P62" s="99"/>
      <c r="Q62" s="99"/>
      <c r="R62" s="99"/>
      <c r="S62" s="99"/>
      <c r="T62" s="99"/>
      <c r="U62" s="99"/>
      <c r="W62" s="99"/>
      <c r="X62" s="99"/>
      <c r="Y62" s="99"/>
      <c r="Z62" s="99"/>
      <c r="AA62" s="99"/>
      <c r="AB62" s="99"/>
      <c r="AD62" s="99"/>
      <c r="AE62" s="99"/>
      <c r="AF62" s="99"/>
      <c r="AG62" s="99"/>
      <c r="AH62" s="99"/>
      <c r="AI62" s="99"/>
      <c r="AK62" s="99"/>
      <c r="AL62" s="99"/>
      <c r="AM62" s="99"/>
      <c r="AN62" s="99"/>
      <c r="AO62" s="99"/>
      <c r="AP62" s="99"/>
      <c r="AR62" s="99"/>
      <c r="AS62" s="99"/>
      <c r="AT62" s="99"/>
      <c r="AU62" s="99"/>
      <c r="AV62" s="99"/>
      <c r="AW62" s="99"/>
    </row>
    <row r="63" spans="1:49" ht="12.75" hidden="1" customHeight="1" x14ac:dyDescent="0.25">
      <c r="A63" t="str">
        <f>Nutrients!B62</f>
        <v>Potato Protein Concentrate</v>
      </c>
      <c r="B63" s="99"/>
      <c r="C63" s="99"/>
      <c r="D63" s="99"/>
      <c r="E63" s="99"/>
      <c r="F63" s="99"/>
      <c r="G63" s="99"/>
      <c r="H63" s="99"/>
      <c r="I63" s="99"/>
      <c r="J63" s="99"/>
      <c r="K63" s="99"/>
      <c r="L63" s="99"/>
      <c r="M63" s="99"/>
      <c r="N63" s="99"/>
      <c r="O63" s="10"/>
      <c r="P63" s="99"/>
      <c r="Q63" s="99"/>
      <c r="R63" s="99"/>
      <c r="S63" s="99"/>
      <c r="T63" s="99"/>
      <c r="U63" s="99"/>
      <c r="W63" s="99"/>
      <c r="X63" s="99"/>
      <c r="Y63" s="99"/>
      <c r="Z63" s="99"/>
      <c r="AA63" s="99"/>
      <c r="AB63" s="99"/>
      <c r="AD63" s="99"/>
      <c r="AE63" s="99"/>
      <c r="AF63" s="99"/>
      <c r="AG63" s="99"/>
      <c r="AH63" s="99"/>
      <c r="AI63" s="99"/>
      <c r="AK63" s="99"/>
      <c r="AL63" s="99"/>
      <c r="AM63" s="99"/>
      <c r="AN63" s="99"/>
      <c r="AO63" s="99"/>
      <c r="AP63" s="99"/>
      <c r="AR63" s="99"/>
      <c r="AS63" s="99"/>
      <c r="AT63" s="99"/>
      <c r="AU63" s="99"/>
      <c r="AV63" s="99"/>
      <c r="AW63" s="99"/>
    </row>
    <row r="64" spans="1:49" ht="12.75" hidden="1" customHeight="1" x14ac:dyDescent="0.25">
      <c r="A64" t="str">
        <f>Nutrients!B63</f>
        <v>Poultry Byproduct</v>
      </c>
      <c r="B64" s="99"/>
      <c r="C64" s="99"/>
      <c r="D64" s="99"/>
      <c r="E64" s="99"/>
      <c r="F64" s="99"/>
      <c r="G64" s="99"/>
      <c r="H64" s="99"/>
      <c r="I64" s="99"/>
      <c r="J64" s="99"/>
      <c r="K64" s="99"/>
      <c r="L64" s="99"/>
      <c r="M64" s="99"/>
      <c r="N64" s="99"/>
      <c r="O64" s="10"/>
      <c r="P64" s="99"/>
      <c r="Q64" s="99"/>
      <c r="R64" s="99"/>
      <c r="S64" s="99"/>
      <c r="T64" s="99"/>
      <c r="U64" s="99"/>
      <c r="W64" s="99"/>
      <c r="X64" s="99"/>
      <c r="Y64" s="99"/>
      <c r="Z64" s="99"/>
      <c r="AA64" s="99"/>
      <c r="AB64" s="99"/>
      <c r="AD64" s="99"/>
      <c r="AE64" s="99"/>
      <c r="AF64" s="99"/>
      <c r="AG64" s="99"/>
      <c r="AH64" s="99"/>
      <c r="AI64" s="99"/>
      <c r="AK64" s="99"/>
      <c r="AL64" s="99"/>
      <c r="AM64" s="99"/>
      <c r="AN64" s="99"/>
      <c r="AO64" s="99"/>
      <c r="AP64" s="99"/>
      <c r="AR64" s="99"/>
      <c r="AS64" s="99"/>
      <c r="AT64" s="99"/>
      <c r="AU64" s="99"/>
      <c r="AV64" s="99"/>
      <c r="AW64" s="99"/>
    </row>
    <row r="65" spans="1:49" ht="12.75" hidden="1" customHeight="1" x14ac:dyDescent="0.25">
      <c r="A65" t="str">
        <f>Nutrients!B64</f>
        <v>Rice</v>
      </c>
      <c r="B65" s="99"/>
      <c r="C65" s="99"/>
      <c r="D65" s="99"/>
      <c r="E65" s="99"/>
      <c r="F65" s="99"/>
      <c r="G65" s="99"/>
      <c r="H65" s="99"/>
      <c r="I65" s="99"/>
      <c r="J65" s="99"/>
      <c r="K65" s="99"/>
      <c r="L65" s="99"/>
      <c r="M65" s="99"/>
      <c r="N65" s="99"/>
      <c r="O65" s="10"/>
      <c r="P65" s="99"/>
      <c r="Q65" s="99"/>
      <c r="R65" s="99"/>
      <c r="S65" s="99"/>
      <c r="T65" s="99"/>
      <c r="U65" s="99"/>
      <c r="W65" s="99"/>
      <c r="X65" s="99"/>
      <c r="Y65" s="99"/>
      <c r="Z65" s="99"/>
      <c r="AA65" s="99"/>
      <c r="AB65" s="99"/>
      <c r="AD65" s="99"/>
      <c r="AE65" s="99"/>
      <c r="AF65" s="99"/>
      <c r="AG65" s="99"/>
      <c r="AH65" s="99"/>
      <c r="AI65" s="99"/>
      <c r="AK65" s="99"/>
      <c r="AL65" s="99"/>
      <c r="AM65" s="99"/>
      <c r="AN65" s="99"/>
      <c r="AO65" s="99"/>
      <c r="AP65" s="99"/>
      <c r="AR65" s="99"/>
      <c r="AS65" s="99"/>
      <c r="AT65" s="99"/>
      <c r="AU65" s="99"/>
      <c r="AV65" s="99"/>
      <c r="AW65" s="99"/>
    </row>
    <row r="66" spans="1:49" ht="12.75" hidden="1" customHeight="1" x14ac:dyDescent="0.25">
      <c r="A66" t="str">
        <f>Nutrients!B65</f>
        <v>Rice Bran</v>
      </c>
      <c r="B66" s="99"/>
      <c r="C66" s="99"/>
      <c r="D66" s="99"/>
      <c r="E66" s="99"/>
      <c r="F66" s="99"/>
      <c r="G66" s="99"/>
      <c r="H66" s="99"/>
      <c r="I66" s="99"/>
      <c r="J66" s="99"/>
      <c r="K66" s="99"/>
      <c r="L66" s="99"/>
      <c r="M66" s="99"/>
      <c r="N66" s="99"/>
      <c r="O66" s="10"/>
      <c r="P66" s="99"/>
      <c r="Q66" s="99"/>
      <c r="R66" s="99"/>
      <c r="S66" s="99"/>
      <c r="T66" s="99"/>
      <c r="U66" s="99"/>
      <c r="W66" s="99"/>
      <c r="X66" s="99"/>
      <c r="Y66" s="99"/>
      <c r="Z66" s="99"/>
      <c r="AA66" s="99"/>
      <c r="AB66" s="99"/>
      <c r="AD66" s="99"/>
      <c r="AE66" s="99"/>
      <c r="AF66" s="99"/>
      <c r="AG66" s="99"/>
      <c r="AH66" s="99"/>
      <c r="AI66" s="99"/>
      <c r="AK66" s="99"/>
      <c r="AL66" s="99"/>
      <c r="AM66" s="99"/>
      <c r="AN66" s="99"/>
      <c r="AO66" s="99"/>
      <c r="AP66" s="99"/>
      <c r="AR66" s="99"/>
      <c r="AS66" s="99"/>
      <c r="AT66" s="99"/>
      <c r="AU66" s="99"/>
      <c r="AV66" s="99"/>
      <c r="AW66" s="99"/>
    </row>
    <row r="67" spans="1:49" ht="12.75" hidden="1" customHeight="1" x14ac:dyDescent="0.25">
      <c r="A67" t="str">
        <f>Nutrients!B66</f>
        <v>Rice Bran, Defatted</v>
      </c>
      <c r="B67" s="99"/>
      <c r="C67" s="99"/>
      <c r="D67" s="99"/>
      <c r="E67" s="99"/>
      <c r="F67" s="99"/>
      <c r="G67" s="99"/>
      <c r="H67" s="99"/>
      <c r="I67" s="99"/>
      <c r="J67" s="99"/>
      <c r="K67" s="99"/>
      <c r="L67" s="99"/>
      <c r="M67" s="99"/>
      <c r="N67" s="99"/>
      <c r="O67" s="10"/>
      <c r="P67" s="99"/>
      <c r="Q67" s="99"/>
      <c r="R67" s="99"/>
      <c r="S67" s="99"/>
      <c r="T67" s="99"/>
      <c r="U67" s="99"/>
      <c r="W67" s="99"/>
      <c r="X67" s="99"/>
      <c r="Y67" s="99"/>
      <c r="Z67" s="99"/>
      <c r="AA67" s="99"/>
      <c r="AB67" s="99"/>
      <c r="AD67" s="99"/>
      <c r="AE67" s="99"/>
      <c r="AF67" s="99"/>
      <c r="AG67" s="99"/>
      <c r="AH67" s="99"/>
      <c r="AI67" s="99"/>
      <c r="AK67" s="99"/>
      <c r="AL67" s="99"/>
      <c r="AM67" s="99"/>
      <c r="AN67" s="99"/>
      <c r="AO67" s="99"/>
      <c r="AP67" s="99"/>
      <c r="AR67" s="99"/>
      <c r="AS67" s="99"/>
      <c r="AT67" s="99"/>
      <c r="AU67" s="99"/>
      <c r="AV67" s="99"/>
      <c r="AW67" s="99"/>
    </row>
    <row r="68" spans="1:49" ht="12.75" hidden="1" customHeight="1" x14ac:dyDescent="0.25">
      <c r="A68" t="str">
        <f>Nutrients!B67</f>
        <v>Rice, Broken</v>
      </c>
      <c r="B68" s="99"/>
      <c r="C68" s="99"/>
      <c r="D68" s="99"/>
      <c r="E68" s="99"/>
      <c r="F68" s="99"/>
      <c r="G68" s="99"/>
      <c r="H68" s="99"/>
      <c r="I68" s="99"/>
      <c r="J68" s="99"/>
      <c r="K68" s="99"/>
      <c r="L68" s="99"/>
      <c r="M68" s="99"/>
      <c r="N68" s="99"/>
      <c r="O68" s="10"/>
      <c r="P68" s="99"/>
      <c r="Q68" s="99"/>
      <c r="R68" s="99"/>
      <c r="S68" s="99"/>
      <c r="T68" s="99"/>
      <c r="U68" s="99"/>
      <c r="W68" s="99"/>
      <c r="X68" s="99"/>
      <c r="Y68" s="99"/>
      <c r="Z68" s="99"/>
      <c r="AA68" s="99"/>
      <c r="AB68" s="99"/>
      <c r="AD68" s="99"/>
      <c r="AE68" s="99"/>
      <c r="AF68" s="99"/>
      <c r="AG68" s="99"/>
      <c r="AH68" s="99"/>
      <c r="AI68" s="99"/>
      <c r="AK68" s="99"/>
      <c r="AL68" s="99"/>
      <c r="AM68" s="99"/>
      <c r="AN68" s="99"/>
      <c r="AO68" s="99"/>
      <c r="AP68" s="99"/>
      <c r="AR68" s="99"/>
      <c r="AS68" s="99"/>
      <c r="AT68" s="99"/>
      <c r="AU68" s="99"/>
      <c r="AV68" s="99"/>
      <c r="AW68" s="99"/>
    </row>
    <row r="69" spans="1:49" ht="12.75" hidden="1" customHeight="1" x14ac:dyDescent="0.25">
      <c r="A69" t="str">
        <f>Nutrients!B68</f>
        <v>Rye</v>
      </c>
      <c r="B69" s="99"/>
      <c r="C69" s="99"/>
      <c r="D69" s="99"/>
      <c r="E69" s="99"/>
      <c r="F69" s="99"/>
      <c r="G69" s="99"/>
      <c r="H69" s="99"/>
      <c r="I69" s="99"/>
      <c r="J69" s="99"/>
      <c r="K69" s="99"/>
      <c r="L69" s="99"/>
      <c r="M69" s="99"/>
      <c r="N69" s="99"/>
      <c r="O69" s="10"/>
      <c r="P69" s="99"/>
      <c r="Q69" s="99"/>
      <c r="R69" s="99"/>
      <c r="S69" s="99"/>
      <c r="T69" s="99"/>
      <c r="U69" s="99"/>
      <c r="W69" s="99"/>
      <c r="X69" s="99"/>
      <c r="Y69" s="99"/>
      <c r="Z69" s="99"/>
      <c r="AA69" s="99"/>
      <c r="AB69" s="99"/>
      <c r="AD69" s="99"/>
      <c r="AE69" s="99"/>
      <c r="AF69" s="99"/>
      <c r="AG69" s="99"/>
      <c r="AH69" s="99"/>
      <c r="AI69" s="99"/>
      <c r="AK69" s="99"/>
      <c r="AL69" s="99"/>
      <c r="AM69" s="99"/>
      <c r="AN69" s="99"/>
      <c r="AO69" s="99"/>
      <c r="AP69" s="99"/>
      <c r="AR69" s="99"/>
      <c r="AS69" s="99"/>
      <c r="AT69" s="99"/>
      <c r="AU69" s="99"/>
      <c r="AV69" s="99"/>
      <c r="AW69" s="99"/>
    </row>
    <row r="70" spans="1:49" ht="12.75" hidden="1" customHeight="1" x14ac:dyDescent="0.25">
      <c r="A70" t="str">
        <f>Nutrients!B69</f>
        <v>Sesame Meal</v>
      </c>
      <c r="B70" s="99"/>
      <c r="C70" s="99"/>
      <c r="D70" s="99"/>
      <c r="E70" s="99"/>
      <c r="F70" s="99"/>
      <c r="G70" s="99"/>
      <c r="H70" s="99"/>
      <c r="I70" s="99"/>
      <c r="J70" s="99"/>
      <c r="K70" s="99"/>
      <c r="L70" s="99"/>
      <c r="M70" s="99"/>
      <c r="N70" s="99"/>
      <c r="O70" s="10"/>
      <c r="P70" s="99"/>
      <c r="Q70" s="99"/>
      <c r="R70" s="99"/>
      <c r="S70" s="99"/>
      <c r="T70" s="99"/>
      <c r="U70" s="99"/>
      <c r="W70" s="99"/>
      <c r="X70" s="99"/>
      <c r="Y70" s="99"/>
      <c r="Z70" s="99"/>
      <c r="AA70" s="99"/>
      <c r="AB70" s="99"/>
      <c r="AD70" s="99"/>
      <c r="AE70" s="99"/>
      <c r="AF70" s="99"/>
      <c r="AG70" s="99"/>
      <c r="AH70" s="99"/>
      <c r="AI70" s="99"/>
      <c r="AK70" s="99"/>
      <c r="AL70" s="99"/>
      <c r="AM70" s="99"/>
      <c r="AN70" s="99"/>
      <c r="AO70" s="99"/>
      <c r="AP70" s="99"/>
      <c r="AR70" s="99"/>
      <c r="AS70" s="99"/>
      <c r="AT70" s="99"/>
      <c r="AU70" s="99"/>
      <c r="AV70" s="99"/>
      <c r="AW70" s="99"/>
    </row>
    <row r="71" spans="1:49" ht="12.75" hidden="1" customHeight="1" x14ac:dyDescent="0.25">
      <c r="A71" t="str">
        <f>Nutrients!B70</f>
        <v>Sorghum</v>
      </c>
      <c r="B71" s="99"/>
      <c r="C71" s="99"/>
      <c r="D71" s="99"/>
      <c r="E71" s="99"/>
      <c r="F71" s="99"/>
      <c r="G71" s="99"/>
      <c r="H71" s="99"/>
      <c r="I71" s="99"/>
      <c r="J71" s="99"/>
      <c r="K71" s="99"/>
      <c r="L71" s="99"/>
      <c r="M71" s="99"/>
      <c r="N71" s="99"/>
      <c r="O71" s="10"/>
      <c r="P71" s="99"/>
      <c r="Q71" s="99"/>
      <c r="R71" s="99"/>
      <c r="S71" s="99"/>
      <c r="T71" s="99"/>
      <c r="U71" s="99"/>
      <c r="W71" s="99"/>
      <c r="X71" s="99"/>
      <c r="Y71" s="99"/>
      <c r="Z71" s="99"/>
      <c r="AA71" s="99"/>
      <c r="AB71" s="99"/>
      <c r="AD71" s="99"/>
      <c r="AE71" s="99"/>
      <c r="AF71" s="99"/>
      <c r="AG71" s="99"/>
      <c r="AH71" s="99"/>
      <c r="AI71" s="99"/>
      <c r="AK71" s="99"/>
      <c r="AL71" s="99"/>
      <c r="AM71" s="99"/>
      <c r="AN71" s="99"/>
      <c r="AO71" s="99"/>
      <c r="AP71" s="99"/>
      <c r="AR71" s="99"/>
      <c r="AS71" s="99"/>
      <c r="AT71" s="99"/>
      <c r="AU71" s="99"/>
      <c r="AV71" s="99"/>
      <c r="AW71" s="99"/>
    </row>
    <row r="72" spans="1:49" ht="12.75" hidden="1" customHeight="1" x14ac:dyDescent="0.25">
      <c r="A72" t="str">
        <f>Nutrients!B71</f>
        <v>Soybeans, Full Fat</v>
      </c>
      <c r="B72" s="99"/>
      <c r="C72" s="99"/>
      <c r="D72" s="99"/>
      <c r="E72" s="99"/>
      <c r="F72" s="99"/>
      <c r="G72" s="99"/>
      <c r="H72" s="99"/>
      <c r="I72" s="99"/>
      <c r="J72" s="99"/>
      <c r="K72" s="99"/>
      <c r="L72" s="99"/>
      <c r="M72" s="99"/>
      <c r="N72" s="99"/>
      <c r="O72" s="10"/>
      <c r="P72" s="99"/>
      <c r="Q72" s="99"/>
      <c r="R72" s="99"/>
      <c r="S72" s="99"/>
      <c r="T72" s="99"/>
      <c r="U72" s="99"/>
      <c r="W72" s="99"/>
      <c r="X72" s="99"/>
      <c r="Y72" s="99"/>
      <c r="Z72" s="99"/>
      <c r="AA72" s="99"/>
      <c r="AB72" s="99"/>
      <c r="AD72" s="99"/>
      <c r="AE72" s="99"/>
      <c r="AF72" s="99"/>
      <c r="AG72" s="99"/>
      <c r="AH72" s="99"/>
      <c r="AI72" s="99"/>
      <c r="AK72" s="99"/>
      <c r="AL72" s="99"/>
      <c r="AM72" s="99"/>
      <c r="AN72" s="99"/>
      <c r="AO72" s="99"/>
      <c r="AP72" s="99"/>
      <c r="AR72" s="99"/>
      <c r="AS72" s="99"/>
      <c r="AT72" s="99"/>
      <c r="AU72" s="99"/>
      <c r="AV72" s="99"/>
      <c r="AW72" s="99"/>
    </row>
    <row r="73" spans="1:49" ht="12.75" hidden="1" customHeight="1" x14ac:dyDescent="0.25">
      <c r="A73" t="str">
        <f>Nutrients!B72</f>
        <v>Soybeans, High Protein, Full Fat</v>
      </c>
      <c r="B73" s="99"/>
      <c r="C73" s="99"/>
      <c r="D73" s="99"/>
      <c r="E73" s="99"/>
      <c r="F73" s="99"/>
      <c r="G73" s="99"/>
      <c r="H73" s="99"/>
      <c r="I73" s="99"/>
      <c r="J73" s="99"/>
      <c r="K73" s="99"/>
      <c r="L73" s="99"/>
      <c r="M73" s="99"/>
      <c r="N73" s="99"/>
      <c r="O73" s="10"/>
      <c r="P73" s="99"/>
      <c r="Q73" s="99"/>
      <c r="R73" s="99"/>
      <c r="S73" s="99"/>
      <c r="T73" s="99"/>
      <c r="U73" s="99"/>
      <c r="W73" s="99"/>
      <c r="X73" s="99"/>
      <c r="Y73" s="99"/>
      <c r="Z73" s="99"/>
      <c r="AA73" s="99"/>
      <c r="AB73" s="99"/>
      <c r="AD73" s="99"/>
      <c r="AE73" s="99"/>
      <c r="AF73" s="99"/>
      <c r="AG73" s="99"/>
      <c r="AH73" s="99"/>
      <c r="AI73" s="99"/>
      <c r="AK73" s="99"/>
      <c r="AL73" s="99"/>
      <c r="AM73" s="99"/>
      <c r="AN73" s="99"/>
      <c r="AO73" s="99"/>
      <c r="AP73" s="99"/>
      <c r="AR73" s="99"/>
      <c r="AS73" s="99"/>
      <c r="AT73" s="99"/>
      <c r="AU73" s="99"/>
      <c r="AV73" s="99"/>
      <c r="AW73" s="99"/>
    </row>
    <row r="74" spans="1:49" ht="12.75" hidden="1" customHeight="1" x14ac:dyDescent="0.25">
      <c r="A74" t="str">
        <f>Nutrients!B73</f>
        <v>Soybeans, Low Oligosaccharide, Full Fat</v>
      </c>
      <c r="B74" s="99"/>
      <c r="C74" s="99"/>
      <c r="D74" s="99"/>
      <c r="E74" s="99"/>
      <c r="F74" s="99"/>
      <c r="G74" s="99"/>
      <c r="H74" s="99"/>
      <c r="I74" s="99"/>
      <c r="J74" s="99"/>
      <c r="K74" s="99"/>
      <c r="L74" s="99"/>
      <c r="M74" s="99"/>
      <c r="N74" s="99"/>
      <c r="O74" s="10"/>
      <c r="P74" s="99"/>
      <c r="Q74" s="99"/>
      <c r="R74" s="99"/>
      <c r="S74" s="99"/>
      <c r="T74" s="99"/>
      <c r="U74" s="99"/>
      <c r="W74" s="99"/>
      <c r="X74" s="99"/>
      <c r="Y74" s="99"/>
      <c r="Z74" s="99"/>
      <c r="AA74" s="99"/>
      <c r="AB74" s="99"/>
      <c r="AD74" s="99"/>
      <c r="AE74" s="99"/>
      <c r="AF74" s="99"/>
      <c r="AG74" s="99"/>
      <c r="AH74" s="99"/>
      <c r="AI74" s="99"/>
      <c r="AK74" s="99"/>
      <c r="AL74" s="99"/>
      <c r="AM74" s="99"/>
      <c r="AN74" s="99"/>
      <c r="AO74" s="99"/>
      <c r="AP74" s="99"/>
      <c r="AR74" s="99"/>
      <c r="AS74" s="99"/>
      <c r="AT74" s="99"/>
      <c r="AU74" s="99"/>
      <c r="AV74" s="99"/>
      <c r="AW74" s="99"/>
    </row>
    <row r="75" spans="1:49" ht="12.75" hidden="1" customHeight="1" x14ac:dyDescent="0.25">
      <c r="A75" t="str">
        <f>Nutrients!B74</f>
        <v>Soybean Meal, High Protein, Expelled</v>
      </c>
      <c r="B75" s="99"/>
      <c r="C75" s="99"/>
      <c r="D75" s="99"/>
      <c r="E75" s="99"/>
      <c r="F75" s="99"/>
      <c r="G75" s="99"/>
      <c r="H75" s="99"/>
      <c r="I75" s="99"/>
      <c r="J75" s="99"/>
      <c r="K75" s="99"/>
      <c r="L75" s="99"/>
      <c r="M75" s="99"/>
      <c r="N75" s="99"/>
      <c r="O75" s="10"/>
      <c r="P75" s="99"/>
      <c r="Q75" s="99"/>
      <c r="R75" s="99"/>
      <c r="S75" s="99"/>
      <c r="T75" s="99"/>
      <c r="U75" s="99"/>
      <c r="W75" s="99"/>
      <c r="X75" s="99"/>
      <c r="Y75" s="99"/>
      <c r="Z75" s="99"/>
      <c r="AA75" s="99"/>
      <c r="AB75" s="99"/>
      <c r="AD75" s="99"/>
      <c r="AE75" s="99"/>
      <c r="AF75" s="99"/>
      <c r="AG75" s="99"/>
      <c r="AH75" s="99"/>
      <c r="AI75" s="99"/>
      <c r="AK75" s="99"/>
      <c r="AL75" s="99"/>
      <c r="AM75" s="99"/>
      <c r="AN75" s="99"/>
      <c r="AO75" s="99"/>
      <c r="AP75" s="99"/>
      <c r="AR75" s="99"/>
      <c r="AS75" s="99"/>
      <c r="AT75" s="99"/>
      <c r="AU75" s="99"/>
      <c r="AV75" s="99"/>
      <c r="AW75" s="99"/>
    </row>
    <row r="76" spans="1:49" ht="12.75" hidden="1" customHeight="1" x14ac:dyDescent="0.25">
      <c r="A76" t="str">
        <f>Nutrients!B75</f>
        <v>Soybean Meal, Low Oligosacch, Expell</v>
      </c>
      <c r="B76" s="99"/>
      <c r="C76" s="99"/>
      <c r="D76" s="99"/>
      <c r="E76" s="99"/>
      <c r="F76" s="99"/>
      <c r="G76" s="99"/>
      <c r="H76" s="99"/>
      <c r="I76" s="99"/>
      <c r="J76" s="99"/>
      <c r="K76" s="99"/>
      <c r="L76" s="99"/>
      <c r="M76" s="99"/>
      <c r="N76" s="99"/>
      <c r="O76" s="10"/>
      <c r="P76" s="99"/>
      <c r="Q76" s="99"/>
      <c r="R76" s="99"/>
      <c r="S76" s="99"/>
      <c r="T76" s="99"/>
      <c r="U76" s="99"/>
      <c r="W76" s="99"/>
      <c r="X76" s="99"/>
      <c r="Y76" s="99"/>
      <c r="Z76" s="99"/>
      <c r="AA76" s="99"/>
      <c r="AB76" s="99"/>
      <c r="AD76" s="99"/>
      <c r="AE76" s="99"/>
      <c r="AF76" s="99"/>
      <c r="AG76" s="99"/>
      <c r="AH76" s="99"/>
      <c r="AI76" s="99"/>
      <c r="AK76" s="99"/>
      <c r="AL76" s="99"/>
      <c r="AM76" s="99"/>
      <c r="AN76" s="99"/>
      <c r="AO76" s="99"/>
      <c r="AP76" s="99"/>
      <c r="AR76" s="99"/>
      <c r="AS76" s="99"/>
      <c r="AT76" s="99"/>
      <c r="AU76" s="99"/>
      <c r="AV76" s="99"/>
      <c r="AW76" s="99"/>
    </row>
    <row r="77" spans="1:49" ht="12.75" hidden="1" customHeight="1" x14ac:dyDescent="0.25">
      <c r="A77" t="str">
        <f>Nutrients!B76</f>
        <v>Soybean Meal, Expelled</v>
      </c>
      <c r="B77" s="99"/>
      <c r="C77" s="99"/>
      <c r="D77" s="99"/>
      <c r="E77" s="99"/>
      <c r="F77" s="99"/>
      <c r="G77" s="99"/>
      <c r="H77" s="99"/>
      <c r="I77" s="99"/>
      <c r="J77" s="99"/>
      <c r="K77" s="99"/>
      <c r="L77" s="99"/>
      <c r="M77" s="99"/>
      <c r="N77" s="99"/>
      <c r="O77" s="10"/>
      <c r="P77" s="99"/>
      <c r="Q77" s="99"/>
      <c r="R77" s="99"/>
      <c r="S77" s="99"/>
      <c r="T77" s="99"/>
      <c r="U77" s="99"/>
      <c r="W77" s="99"/>
      <c r="X77" s="99"/>
      <c r="Y77" s="99"/>
      <c r="Z77" s="99"/>
      <c r="AA77" s="99"/>
      <c r="AB77" s="99"/>
      <c r="AD77" s="99"/>
      <c r="AE77" s="99"/>
      <c r="AF77" s="99"/>
      <c r="AG77" s="99"/>
      <c r="AH77" s="99"/>
      <c r="AI77" s="99"/>
      <c r="AK77" s="99"/>
      <c r="AL77" s="99"/>
      <c r="AM77" s="99"/>
      <c r="AN77" s="99"/>
      <c r="AO77" s="99"/>
      <c r="AP77" s="99"/>
      <c r="AR77" s="99"/>
      <c r="AS77" s="99"/>
      <c r="AT77" s="99"/>
      <c r="AU77" s="99"/>
      <c r="AV77" s="99"/>
      <c r="AW77" s="99"/>
    </row>
    <row r="78" spans="1:49" ht="12.75" hidden="1" customHeight="1" x14ac:dyDescent="0.25">
      <c r="A78" t="str">
        <f>Nutrients!B77</f>
        <v>Soybean Meal, Dehulled, Expelled</v>
      </c>
      <c r="B78" s="99"/>
      <c r="C78" s="99"/>
      <c r="D78" s="99"/>
      <c r="E78" s="99"/>
      <c r="F78" s="99"/>
      <c r="G78" s="99"/>
      <c r="H78" s="99"/>
      <c r="I78" s="99"/>
      <c r="J78" s="99"/>
      <c r="K78" s="99"/>
      <c r="L78" s="99"/>
      <c r="M78" s="99"/>
      <c r="N78" s="99"/>
      <c r="O78" s="10"/>
      <c r="P78" s="99"/>
      <c r="Q78" s="99"/>
      <c r="R78" s="99"/>
      <c r="S78" s="99"/>
      <c r="T78" s="99"/>
      <c r="U78" s="99"/>
      <c r="W78" s="99"/>
      <c r="X78" s="99"/>
      <c r="Y78" s="99"/>
      <c r="Z78" s="99"/>
      <c r="AA78" s="99"/>
      <c r="AB78" s="99"/>
      <c r="AD78" s="99"/>
      <c r="AE78" s="99"/>
      <c r="AF78" s="99"/>
      <c r="AG78" s="99"/>
      <c r="AH78" s="99"/>
      <c r="AI78" s="99"/>
      <c r="AK78" s="99"/>
      <c r="AL78" s="99"/>
      <c r="AM78" s="99"/>
      <c r="AN78" s="99"/>
      <c r="AO78" s="99"/>
      <c r="AP78" s="99"/>
      <c r="AR78" s="99"/>
      <c r="AS78" s="99"/>
      <c r="AT78" s="99"/>
      <c r="AU78" s="99"/>
      <c r="AV78" s="99"/>
      <c r="AW78" s="99"/>
    </row>
    <row r="79" spans="1:49" ht="12.75" hidden="1" customHeight="1" x14ac:dyDescent="0.25">
      <c r="A79" t="str">
        <f>Nutrients!B78</f>
        <v>Soybean Meal, Solvent Extracted</v>
      </c>
      <c r="B79" s="99"/>
      <c r="C79" s="99"/>
      <c r="D79" s="99"/>
      <c r="E79" s="99"/>
      <c r="F79" s="99"/>
      <c r="G79" s="99"/>
      <c r="H79" s="99"/>
      <c r="I79" s="99"/>
      <c r="J79" s="99"/>
      <c r="K79" s="99"/>
      <c r="L79" s="99"/>
      <c r="M79" s="99"/>
      <c r="N79" s="99"/>
      <c r="O79" s="10"/>
      <c r="P79" s="99"/>
      <c r="Q79" s="99"/>
      <c r="R79" s="99"/>
      <c r="S79" s="99"/>
      <c r="T79" s="99"/>
      <c r="U79" s="99"/>
      <c r="W79" s="99"/>
      <c r="X79" s="99"/>
      <c r="Y79" s="99"/>
      <c r="Z79" s="99"/>
      <c r="AA79" s="99"/>
      <c r="AB79" s="99"/>
      <c r="AD79" s="99"/>
      <c r="AE79" s="99"/>
      <c r="AF79" s="99"/>
      <c r="AG79" s="99"/>
      <c r="AH79" s="99"/>
      <c r="AI79" s="99"/>
      <c r="AK79" s="99"/>
      <c r="AL79" s="99"/>
      <c r="AM79" s="99"/>
      <c r="AN79" s="99"/>
      <c r="AO79" s="99"/>
      <c r="AP79" s="99"/>
      <c r="AR79" s="99"/>
      <c r="AS79" s="99"/>
      <c r="AT79" s="99"/>
      <c r="AU79" s="99"/>
      <c r="AV79" s="99"/>
      <c r="AW79" s="99"/>
    </row>
    <row r="80" spans="1:49" ht="12.75" hidden="1" customHeight="1" x14ac:dyDescent="0.25">
      <c r="A80" t="str">
        <f>Nutrients!B79</f>
        <v>Soybean Meal, Dehull, Sol Extr</v>
      </c>
      <c r="B80" s="99"/>
      <c r="C80" s="99"/>
      <c r="D80" s="99"/>
      <c r="E80" s="99"/>
      <c r="F80" s="99"/>
      <c r="G80" s="99"/>
      <c r="H80" s="99"/>
      <c r="I80" s="99"/>
      <c r="J80" s="99"/>
      <c r="K80" s="99"/>
      <c r="L80" s="99"/>
      <c r="M80" s="99"/>
      <c r="N80" s="99"/>
      <c r="O80" s="10"/>
      <c r="P80" s="99"/>
      <c r="Q80" s="99"/>
      <c r="R80" s="99"/>
      <c r="S80" s="99"/>
      <c r="T80" s="99"/>
      <c r="U80" s="99"/>
      <c r="W80" s="99"/>
      <c r="X80" s="99"/>
      <c r="Y80" s="99"/>
      <c r="Z80" s="99"/>
      <c r="AA80" s="99"/>
      <c r="AB80" s="99"/>
      <c r="AD80" s="99"/>
      <c r="AE80" s="99"/>
      <c r="AF80" s="99"/>
      <c r="AG80" s="99"/>
      <c r="AH80" s="99"/>
      <c r="AI80" s="99"/>
      <c r="AK80" s="99"/>
      <c r="AL80" s="99"/>
      <c r="AM80" s="99"/>
      <c r="AN80" s="99"/>
      <c r="AO80" s="99"/>
      <c r="AP80" s="99"/>
      <c r="AR80" s="99"/>
      <c r="AS80" s="99"/>
      <c r="AT80" s="99"/>
      <c r="AU80" s="99"/>
      <c r="AV80" s="99"/>
      <c r="AW80" s="99"/>
    </row>
    <row r="81" spans="1:49" ht="12.75" hidden="1" customHeight="1" x14ac:dyDescent="0.25">
      <c r="A81" t="str">
        <f>Nutrients!B80</f>
        <v>Soybean Meal, High Prot, Dehull, Solv Extr</v>
      </c>
      <c r="B81" s="99"/>
      <c r="C81" s="99"/>
      <c r="D81" s="99"/>
      <c r="E81" s="99"/>
      <c r="F81" s="99"/>
      <c r="G81" s="99"/>
      <c r="H81" s="99"/>
      <c r="I81" s="99"/>
      <c r="J81" s="99"/>
      <c r="K81" s="99"/>
      <c r="L81" s="99"/>
      <c r="M81" s="99"/>
      <c r="N81" s="99"/>
      <c r="O81" s="10"/>
      <c r="P81" s="99"/>
      <c r="Q81" s="99"/>
      <c r="R81" s="99"/>
      <c r="S81" s="99"/>
      <c r="T81" s="99"/>
      <c r="U81" s="99"/>
      <c r="W81" s="99"/>
      <c r="X81" s="99"/>
      <c r="Y81" s="99"/>
      <c r="Z81" s="99"/>
      <c r="AA81" s="99"/>
      <c r="AB81" s="99"/>
      <c r="AD81" s="99"/>
      <c r="AE81" s="99"/>
      <c r="AF81" s="99"/>
      <c r="AG81" s="99"/>
      <c r="AH81" s="99"/>
      <c r="AI81" s="99"/>
      <c r="AK81" s="99"/>
      <c r="AL81" s="99"/>
      <c r="AM81" s="99"/>
      <c r="AN81" s="99"/>
      <c r="AO81" s="99"/>
      <c r="AP81" s="99"/>
      <c r="AR81" s="99"/>
      <c r="AS81" s="99"/>
      <c r="AT81" s="99"/>
      <c r="AU81" s="99"/>
      <c r="AV81" s="99"/>
      <c r="AW81" s="99"/>
    </row>
    <row r="82" spans="1:49" ht="12.75" hidden="1" customHeight="1" x14ac:dyDescent="0.25">
      <c r="A82" t="str">
        <f>Nutrients!B81</f>
        <v>Soybean Meal, Enzyme Treated</v>
      </c>
      <c r="B82" s="99"/>
      <c r="C82" s="99"/>
      <c r="D82" s="99"/>
      <c r="E82" s="99"/>
      <c r="F82" s="99"/>
      <c r="G82" s="99"/>
      <c r="H82" s="99"/>
      <c r="I82" s="99"/>
      <c r="J82" s="99"/>
      <c r="K82" s="99"/>
      <c r="L82" s="99"/>
      <c r="M82" s="99"/>
      <c r="N82" s="99"/>
      <c r="O82" s="10"/>
      <c r="P82" s="99"/>
      <c r="Q82" s="99"/>
      <c r="R82" s="99"/>
      <c r="S82" s="99"/>
      <c r="T82" s="99"/>
      <c r="U82" s="99"/>
      <c r="W82" s="99"/>
      <c r="X82" s="99"/>
      <c r="Y82" s="99"/>
      <c r="Z82" s="99"/>
      <c r="AA82" s="99"/>
      <c r="AB82" s="99"/>
      <c r="AD82" s="99"/>
      <c r="AE82" s="99"/>
      <c r="AF82" s="99"/>
      <c r="AG82" s="99"/>
      <c r="AH82" s="99"/>
      <c r="AI82" s="99"/>
      <c r="AK82" s="99"/>
      <c r="AL82" s="99"/>
      <c r="AM82" s="99"/>
      <c r="AN82" s="99"/>
      <c r="AO82" s="99"/>
      <c r="AP82" s="99"/>
      <c r="AR82" s="99"/>
      <c r="AS82" s="99"/>
      <c r="AT82" s="99"/>
      <c r="AU82" s="99"/>
      <c r="AV82" s="99"/>
      <c r="AW82" s="99"/>
    </row>
    <row r="83" spans="1:49" ht="12.75" hidden="1" customHeight="1" x14ac:dyDescent="0.25">
      <c r="A83" t="str">
        <f>Nutrients!B82</f>
        <v>Soybean Meal, Fermented</v>
      </c>
      <c r="B83" s="99"/>
      <c r="C83" s="99"/>
      <c r="D83" s="99"/>
      <c r="E83" s="99"/>
      <c r="F83" s="99"/>
      <c r="G83" s="99"/>
      <c r="H83" s="99"/>
      <c r="I83" s="99"/>
      <c r="J83" s="99"/>
      <c r="K83" s="99"/>
      <c r="L83" s="99"/>
      <c r="M83" s="99"/>
      <c r="N83" s="99"/>
      <c r="O83" s="10"/>
      <c r="P83" s="99"/>
      <c r="Q83" s="99"/>
      <c r="R83" s="99"/>
      <c r="S83" s="99"/>
      <c r="T83" s="99"/>
      <c r="U83" s="99"/>
      <c r="W83" s="99"/>
      <c r="X83" s="99"/>
      <c r="Y83" s="99"/>
      <c r="Z83" s="99"/>
      <c r="AA83" s="99"/>
      <c r="AB83" s="99"/>
      <c r="AD83" s="99"/>
      <c r="AE83" s="99"/>
      <c r="AF83" s="99"/>
      <c r="AG83" s="99"/>
      <c r="AH83" s="99"/>
      <c r="AI83" s="99"/>
      <c r="AK83" s="99"/>
      <c r="AL83" s="99"/>
      <c r="AM83" s="99"/>
      <c r="AN83" s="99"/>
      <c r="AO83" s="99"/>
      <c r="AP83" s="99"/>
      <c r="AR83" s="99"/>
      <c r="AS83" s="99"/>
      <c r="AT83" s="99"/>
      <c r="AU83" s="99"/>
      <c r="AV83" s="99"/>
      <c r="AW83" s="99"/>
    </row>
    <row r="84" spans="1:49" ht="12.75" hidden="1" customHeight="1" x14ac:dyDescent="0.25">
      <c r="A84" t="str">
        <f>Nutrients!B83</f>
        <v>Soybean Hulls</v>
      </c>
      <c r="B84" s="99"/>
      <c r="C84" s="99"/>
      <c r="D84" s="99"/>
      <c r="E84" s="99"/>
      <c r="F84" s="99"/>
      <c r="G84" s="99"/>
      <c r="H84" s="99"/>
      <c r="I84" s="99"/>
      <c r="J84" s="99"/>
      <c r="K84" s="99"/>
      <c r="L84" s="99"/>
      <c r="M84" s="99"/>
      <c r="N84" s="99"/>
      <c r="O84" s="10"/>
      <c r="P84" s="99"/>
      <c r="Q84" s="99"/>
      <c r="R84" s="99"/>
      <c r="S84" s="99"/>
      <c r="T84" s="99"/>
      <c r="U84" s="99"/>
      <c r="W84" s="99"/>
      <c r="X84" s="99"/>
      <c r="Y84" s="99"/>
      <c r="Z84" s="99"/>
      <c r="AA84" s="99"/>
      <c r="AB84" s="99"/>
      <c r="AD84" s="99"/>
      <c r="AE84" s="99"/>
      <c r="AF84" s="99"/>
      <c r="AG84" s="99"/>
      <c r="AH84" s="99"/>
      <c r="AI84" s="99"/>
      <c r="AK84" s="99"/>
      <c r="AL84" s="99"/>
      <c r="AM84" s="99"/>
      <c r="AN84" s="99"/>
      <c r="AO84" s="99"/>
      <c r="AP84" s="99"/>
      <c r="AR84" s="99"/>
      <c r="AS84" s="99"/>
      <c r="AT84" s="99"/>
      <c r="AU84" s="99"/>
      <c r="AV84" s="99"/>
      <c r="AW84" s="99"/>
    </row>
    <row r="85" spans="1:49" ht="12.75" hidden="1" customHeight="1" x14ac:dyDescent="0.25">
      <c r="A85" t="str">
        <f>Nutrients!B84</f>
        <v>Soy Protein Concentrate</v>
      </c>
      <c r="B85" s="99"/>
      <c r="C85" s="99"/>
      <c r="D85" s="99"/>
      <c r="E85" s="99"/>
      <c r="F85" s="99"/>
      <c r="G85" s="99"/>
      <c r="H85" s="99"/>
      <c r="I85" s="99"/>
      <c r="J85" s="99"/>
      <c r="K85" s="99"/>
      <c r="L85" s="99"/>
      <c r="M85" s="99"/>
      <c r="N85" s="99"/>
      <c r="O85" s="10"/>
      <c r="P85" s="99"/>
      <c r="Q85" s="99"/>
      <c r="R85" s="99"/>
      <c r="S85" s="99"/>
      <c r="T85" s="99"/>
      <c r="U85" s="99"/>
      <c r="W85" s="99"/>
      <c r="X85" s="99"/>
      <c r="Y85" s="99"/>
      <c r="Z85" s="99"/>
      <c r="AA85" s="99"/>
      <c r="AB85" s="99"/>
      <c r="AD85" s="99"/>
      <c r="AE85" s="99"/>
      <c r="AF85" s="99"/>
      <c r="AG85" s="99"/>
      <c r="AH85" s="99"/>
      <c r="AI85" s="99"/>
      <c r="AK85" s="99"/>
      <c r="AL85" s="99"/>
      <c r="AM85" s="99"/>
      <c r="AN85" s="99"/>
      <c r="AO85" s="99"/>
      <c r="AP85" s="99"/>
      <c r="AR85" s="99"/>
      <c r="AS85" s="99"/>
      <c r="AT85" s="99"/>
      <c r="AU85" s="99"/>
      <c r="AV85" s="99"/>
      <c r="AW85" s="99"/>
    </row>
    <row r="86" spans="1:49" ht="12.75" hidden="1" customHeight="1" x14ac:dyDescent="0.25">
      <c r="A86" t="str">
        <f>Nutrients!B85</f>
        <v>Soy Protein Isolate</v>
      </c>
      <c r="B86" s="99"/>
      <c r="C86" s="99"/>
      <c r="D86" s="99"/>
      <c r="E86" s="99"/>
      <c r="F86" s="99"/>
      <c r="G86" s="99"/>
      <c r="H86" s="99"/>
      <c r="I86" s="99"/>
      <c r="J86" s="99"/>
      <c r="K86" s="99"/>
      <c r="L86" s="99"/>
      <c r="M86" s="99"/>
      <c r="N86" s="99"/>
      <c r="O86" s="10"/>
      <c r="P86" s="99"/>
      <c r="Q86" s="99"/>
      <c r="R86" s="99"/>
      <c r="S86" s="99"/>
      <c r="T86" s="99"/>
      <c r="U86" s="99"/>
      <c r="W86" s="99"/>
      <c r="X86" s="99"/>
      <c r="Y86" s="99"/>
      <c r="Z86" s="99"/>
      <c r="AA86" s="99"/>
      <c r="AB86" s="99"/>
      <c r="AD86" s="99"/>
      <c r="AE86" s="99"/>
      <c r="AF86" s="99"/>
      <c r="AG86" s="99"/>
      <c r="AH86" s="99"/>
      <c r="AI86" s="99"/>
      <c r="AK86" s="99"/>
      <c r="AL86" s="99"/>
      <c r="AM86" s="99"/>
      <c r="AN86" s="99"/>
      <c r="AO86" s="99"/>
      <c r="AP86" s="99"/>
      <c r="AR86" s="99"/>
      <c r="AS86" s="99"/>
      <c r="AT86" s="99"/>
      <c r="AU86" s="99"/>
      <c r="AV86" s="99"/>
      <c r="AW86" s="99"/>
    </row>
    <row r="87" spans="1:49" ht="12.75" hidden="1" customHeight="1" x14ac:dyDescent="0.25">
      <c r="A87" t="str">
        <f>Nutrients!B86</f>
        <v>Sugar Beet Pulp</v>
      </c>
      <c r="B87" s="99"/>
      <c r="C87" s="99"/>
      <c r="D87" s="99"/>
      <c r="E87" s="99"/>
      <c r="F87" s="99"/>
      <c r="G87" s="99"/>
      <c r="H87" s="99"/>
      <c r="I87" s="99"/>
      <c r="J87" s="99"/>
      <c r="K87" s="99"/>
      <c r="L87" s="99"/>
      <c r="M87" s="99"/>
      <c r="N87" s="99"/>
      <c r="O87" s="10"/>
      <c r="P87" s="99"/>
      <c r="Q87" s="99"/>
      <c r="R87" s="99"/>
      <c r="S87" s="99"/>
      <c r="T87" s="99"/>
      <c r="U87" s="99"/>
      <c r="W87" s="99"/>
      <c r="X87" s="99"/>
      <c r="Y87" s="99"/>
      <c r="Z87" s="99"/>
      <c r="AA87" s="99"/>
      <c r="AB87" s="99"/>
      <c r="AD87" s="99"/>
      <c r="AE87" s="99"/>
      <c r="AF87" s="99"/>
      <c r="AG87" s="99"/>
      <c r="AH87" s="99"/>
      <c r="AI87" s="99"/>
      <c r="AK87" s="99"/>
      <c r="AL87" s="99"/>
      <c r="AM87" s="99"/>
      <c r="AN87" s="99"/>
      <c r="AO87" s="99"/>
      <c r="AP87" s="99"/>
      <c r="AR87" s="99"/>
      <c r="AS87" s="99"/>
      <c r="AT87" s="99"/>
      <c r="AU87" s="99"/>
      <c r="AV87" s="99"/>
      <c r="AW87" s="99"/>
    </row>
    <row r="88" spans="1:49" ht="12.75" hidden="1" customHeight="1" x14ac:dyDescent="0.25">
      <c r="A88" t="str">
        <f>Nutrients!B87</f>
        <v>Sunflower, Full Fat</v>
      </c>
      <c r="B88" s="99"/>
      <c r="C88" s="99"/>
      <c r="D88" s="99"/>
      <c r="E88" s="99"/>
      <c r="F88" s="99"/>
      <c r="G88" s="99"/>
      <c r="H88" s="99"/>
      <c r="I88" s="99"/>
      <c r="J88" s="99"/>
      <c r="K88" s="99"/>
      <c r="L88" s="99"/>
      <c r="M88" s="99"/>
      <c r="N88" s="99"/>
      <c r="O88" s="10"/>
      <c r="P88" s="99"/>
      <c r="Q88" s="99"/>
      <c r="R88" s="99"/>
      <c r="S88" s="99"/>
      <c r="T88" s="99"/>
      <c r="U88" s="99"/>
      <c r="W88" s="99"/>
      <c r="X88" s="99"/>
      <c r="Y88" s="99"/>
      <c r="Z88" s="99"/>
      <c r="AA88" s="99"/>
      <c r="AB88" s="99"/>
      <c r="AD88" s="99"/>
      <c r="AE88" s="99"/>
      <c r="AF88" s="99"/>
      <c r="AG88" s="99"/>
      <c r="AH88" s="99"/>
      <c r="AI88" s="99"/>
      <c r="AK88" s="99"/>
      <c r="AL88" s="99"/>
      <c r="AM88" s="99"/>
      <c r="AN88" s="99"/>
      <c r="AO88" s="99"/>
      <c r="AP88" s="99"/>
      <c r="AR88" s="99"/>
      <c r="AS88" s="99"/>
      <c r="AT88" s="99"/>
      <c r="AU88" s="99"/>
      <c r="AV88" s="99"/>
      <c r="AW88" s="99"/>
    </row>
    <row r="89" spans="1:49" ht="12.75" hidden="1" customHeight="1" x14ac:dyDescent="0.25">
      <c r="A89" t="str">
        <f>Nutrients!B88</f>
        <v>Sunflower Meal, Solvent Extracted</v>
      </c>
      <c r="B89" s="99"/>
      <c r="C89" s="99"/>
      <c r="D89" s="99"/>
      <c r="E89" s="99"/>
      <c r="F89" s="99"/>
      <c r="G89" s="99"/>
      <c r="H89" s="99"/>
      <c r="I89" s="99"/>
      <c r="J89" s="99"/>
      <c r="K89" s="99"/>
      <c r="L89" s="99"/>
      <c r="M89" s="99"/>
      <c r="N89" s="99"/>
      <c r="O89" s="10"/>
      <c r="P89" s="99"/>
      <c r="Q89" s="99"/>
      <c r="R89" s="99"/>
      <c r="S89" s="99"/>
      <c r="T89" s="99"/>
      <c r="U89" s="99"/>
      <c r="W89" s="99"/>
      <c r="X89" s="99"/>
      <c r="Y89" s="99"/>
      <c r="Z89" s="99"/>
      <c r="AA89" s="99"/>
      <c r="AB89" s="99"/>
      <c r="AD89" s="99"/>
      <c r="AE89" s="99"/>
      <c r="AF89" s="99"/>
      <c r="AG89" s="99"/>
      <c r="AH89" s="99"/>
      <c r="AI89" s="99"/>
      <c r="AK89" s="99"/>
      <c r="AL89" s="99"/>
      <c r="AM89" s="99"/>
      <c r="AN89" s="99"/>
      <c r="AO89" s="99"/>
      <c r="AP89" s="99"/>
      <c r="AR89" s="99"/>
      <c r="AS89" s="99"/>
      <c r="AT89" s="99"/>
      <c r="AU89" s="99"/>
      <c r="AV89" s="99"/>
      <c r="AW89" s="99"/>
    </row>
    <row r="90" spans="1:49" ht="12.75" hidden="1" customHeight="1" x14ac:dyDescent="0.25">
      <c r="A90" t="str">
        <f>Nutrients!B89</f>
        <v>Sunflower Meal, Dehulled, Solvent Extr</v>
      </c>
      <c r="B90" s="99"/>
      <c r="C90" s="99"/>
      <c r="D90" s="99"/>
      <c r="E90" s="99"/>
      <c r="F90" s="99"/>
      <c r="G90" s="99"/>
      <c r="H90" s="99"/>
      <c r="I90" s="99"/>
      <c r="J90" s="99"/>
      <c r="K90" s="99"/>
      <c r="L90" s="99"/>
      <c r="M90" s="99"/>
      <c r="N90" s="99"/>
      <c r="O90" s="10"/>
      <c r="P90" s="99"/>
      <c r="Q90" s="99"/>
      <c r="R90" s="99"/>
      <c r="S90" s="99"/>
      <c r="T90" s="99"/>
      <c r="U90" s="99"/>
      <c r="W90" s="99"/>
      <c r="X90" s="99"/>
      <c r="Y90" s="99"/>
      <c r="Z90" s="99"/>
      <c r="AA90" s="99"/>
      <c r="AB90" s="99"/>
      <c r="AD90" s="99"/>
      <c r="AE90" s="99"/>
      <c r="AF90" s="99"/>
      <c r="AG90" s="99"/>
      <c r="AH90" s="99"/>
      <c r="AI90" s="99"/>
      <c r="AK90" s="99"/>
      <c r="AL90" s="99"/>
      <c r="AM90" s="99"/>
      <c r="AN90" s="99"/>
      <c r="AO90" s="99"/>
      <c r="AP90" s="99"/>
      <c r="AR90" s="99"/>
      <c r="AS90" s="99"/>
      <c r="AT90" s="99"/>
      <c r="AU90" s="99"/>
      <c r="AV90" s="99"/>
      <c r="AW90" s="99"/>
    </row>
    <row r="91" spans="1:49" ht="12.75" hidden="1" customHeight="1" x14ac:dyDescent="0.25">
      <c r="A91" t="str">
        <f>Nutrients!B90</f>
        <v>Triticale</v>
      </c>
      <c r="B91" s="99"/>
      <c r="C91" s="99"/>
      <c r="D91" s="99"/>
      <c r="E91" s="99"/>
      <c r="F91" s="99"/>
      <c r="G91" s="99"/>
      <c r="H91" s="99"/>
      <c r="I91" s="99"/>
      <c r="J91" s="99"/>
      <c r="K91" s="99"/>
      <c r="L91" s="99"/>
      <c r="M91" s="99"/>
      <c r="N91" s="99"/>
      <c r="O91" s="10"/>
      <c r="P91" s="99"/>
      <c r="Q91" s="99"/>
      <c r="R91" s="99"/>
      <c r="S91" s="99"/>
      <c r="T91" s="99"/>
      <c r="U91" s="99"/>
      <c r="W91" s="99"/>
      <c r="X91" s="99"/>
      <c r="Y91" s="99"/>
      <c r="Z91" s="99"/>
      <c r="AA91" s="99"/>
      <c r="AB91" s="99"/>
      <c r="AD91" s="99"/>
      <c r="AE91" s="99"/>
      <c r="AF91" s="99"/>
      <c r="AG91" s="99"/>
      <c r="AH91" s="99"/>
      <c r="AI91" s="99"/>
      <c r="AK91" s="99"/>
      <c r="AL91" s="99"/>
      <c r="AM91" s="99"/>
      <c r="AN91" s="99"/>
      <c r="AO91" s="99"/>
      <c r="AP91" s="99"/>
      <c r="AR91" s="99"/>
      <c r="AS91" s="99"/>
      <c r="AT91" s="99"/>
      <c r="AU91" s="99"/>
      <c r="AV91" s="99"/>
      <c r="AW91" s="99"/>
    </row>
    <row r="92" spans="1:49" ht="12.75" hidden="1" customHeight="1" x14ac:dyDescent="0.25">
      <c r="A92" t="str">
        <f>Nutrients!B91</f>
        <v>Wheat, Hard Red</v>
      </c>
      <c r="B92" s="99"/>
      <c r="C92" s="99"/>
      <c r="D92" s="99"/>
      <c r="E92" s="99"/>
      <c r="F92" s="99"/>
      <c r="G92" s="99"/>
      <c r="H92" s="99"/>
      <c r="I92" s="99"/>
      <c r="J92" s="99"/>
      <c r="K92" s="99"/>
      <c r="L92" s="99"/>
      <c r="M92" s="99"/>
      <c r="N92" s="99"/>
      <c r="O92" s="10"/>
      <c r="P92" s="99"/>
      <c r="Q92" s="99"/>
      <c r="R92" s="99"/>
      <c r="S92" s="99"/>
      <c r="T92" s="99"/>
      <c r="U92" s="99"/>
      <c r="W92" s="99"/>
      <c r="X92" s="99"/>
      <c r="Y92" s="99"/>
      <c r="Z92" s="99"/>
      <c r="AA92" s="99"/>
      <c r="AB92" s="99"/>
      <c r="AD92" s="99"/>
      <c r="AE92" s="99"/>
      <c r="AF92" s="99"/>
      <c r="AG92" s="99"/>
      <c r="AH92" s="99"/>
      <c r="AI92" s="99"/>
      <c r="AK92" s="99"/>
      <c r="AL92" s="99"/>
      <c r="AM92" s="99"/>
      <c r="AN92" s="99"/>
      <c r="AO92" s="99"/>
      <c r="AP92" s="99"/>
      <c r="AR92" s="99"/>
      <c r="AS92" s="99"/>
      <c r="AT92" s="99"/>
      <c r="AU92" s="99"/>
      <c r="AV92" s="99"/>
      <c r="AW92" s="99"/>
    </row>
    <row r="93" spans="1:49" ht="12.75" hidden="1" customHeight="1" x14ac:dyDescent="0.25">
      <c r="A93" t="str">
        <f>Nutrients!B92</f>
        <v>Wheat, Soft Red</v>
      </c>
      <c r="B93" s="99"/>
      <c r="C93" s="99"/>
      <c r="D93" s="99"/>
      <c r="E93" s="99"/>
      <c r="F93" s="99"/>
      <c r="G93" s="99"/>
      <c r="H93" s="99"/>
      <c r="I93" s="99"/>
      <c r="J93" s="99"/>
      <c r="K93" s="99"/>
      <c r="L93" s="99"/>
      <c r="M93" s="99"/>
      <c r="N93" s="99"/>
      <c r="O93" s="10"/>
      <c r="P93" s="99"/>
      <c r="Q93" s="99"/>
      <c r="R93" s="99"/>
      <c r="S93" s="99"/>
      <c r="T93" s="99"/>
      <c r="U93" s="99"/>
      <c r="W93" s="99"/>
      <c r="X93" s="99"/>
      <c r="Y93" s="99"/>
      <c r="Z93" s="99"/>
      <c r="AA93" s="99"/>
      <c r="AB93" s="99"/>
      <c r="AD93" s="99"/>
      <c r="AE93" s="99"/>
      <c r="AF93" s="99"/>
      <c r="AG93" s="99"/>
      <c r="AH93" s="99"/>
      <c r="AI93" s="99"/>
      <c r="AK93" s="99"/>
      <c r="AL93" s="99"/>
      <c r="AM93" s="99"/>
      <c r="AN93" s="99"/>
      <c r="AO93" s="99"/>
      <c r="AP93" s="99"/>
      <c r="AR93" s="99"/>
      <c r="AS93" s="99"/>
      <c r="AT93" s="99"/>
      <c r="AU93" s="99"/>
      <c r="AV93" s="99"/>
      <c r="AW93" s="99"/>
    </row>
    <row r="94" spans="1:49" ht="12.75" hidden="1" customHeight="1" x14ac:dyDescent="0.25">
      <c r="A94" t="str">
        <f>Nutrients!B93</f>
        <v>Wheat Bran</v>
      </c>
      <c r="B94" s="99"/>
      <c r="C94" s="99"/>
      <c r="D94" s="99"/>
      <c r="E94" s="99"/>
      <c r="F94" s="99"/>
      <c r="G94" s="99"/>
      <c r="H94" s="99"/>
      <c r="I94" s="99"/>
      <c r="J94" s="99"/>
      <c r="K94" s="99"/>
      <c r="L94" s="99"/>
      <c r="M94" s="99"/>
      <c r="N94" s="99"/>
      <c r="O94" s="10"/>
      <c r="P94" s="99"/>
      <c r="Q94" s="99"/>
      <c r="R94" s="99"/>
      <c r="S94" s="99"/>
      <c r="T94" s="99"/>
      <c r="U94" s="99"/>
      <c r="W94" s="99"/>
      <c r="X94" s="99"/>
      <c r="Y94" s="99"/>
      <c r="Z94" s="99"/>
      <c r="AA94" s="99"/>
      <c r="AB94" s="99"/>
      <c r="AD94" s="99"/>
      <c r="AE94" s="99"/>
      <c r="AF94" s="99"/>
      <c r="AG94" s="99"/>
      <c r="AH94" s="99"/>
      <c r="AI94" s="99"/>
      <c r="AK94" s="99"/>
      <c r="AL94" s="99"/>
      <c r="AM94" s="99"/>
      <c r="AN94" s="99"/>
      <c r="AO94" s="99"/>
      <c r="AP94" s="99"/>
      <c r="AR94" s="99"/>
      <c r="AS94" s="99"/>
      <c r="AT94" s="99"/>
      <c r="AU94" s="99"/>
      <c r="AV94" s="99"/>
      <c r="AW94" s="99"/>
    </row>
    <row r="95" spans="1:49" ht="12.75" hidden="1" customHeight="1" x14ac:dyDescent="0.25">
      <c r="A95" t="str">
        <f>Nutrients!B94</f>
        <v>Wheat Middlings</v>
      </c>
      <c r="B95" s="99"/>
      <c r="C95" s="99"/>
      <c r="D95" s="99"/>
      <c r="E95" s="99"/>
      <c r="F95" s="99"/>
      <c r="G95" s="99"/>
      <c r="H95" s="99"/>
      <c r="I95" s="99"/>
      <c r="J95" s="99"/>
      <c r="K95" s="99"/>
      <c r="L95" s="99"/>
      <c r="M95" s="99"/>
      <c r="N95" s="99"/>
      <c r="O95" s="10"/>
      <c r="P95" s="99"/>
      <c r="Q95" s="99"/>
      <c r="R95" s="99"/>
      <c r="S95" s="99"/>
      <c r="T95" s="99"/>
      <c r="U95" s="99"/>
      <c r="W95" s="99"/>
      <c r="X95" s="99"/>
      <c r="Y95" s="99"/>
      <c r="Z95" s="99"/>
      <c r="AA95" s="99"/>
      <c r="AB95" s="99"/>
      <c r="AD95" s="99"/>
      <c r="AE95" s="99"/>
      <c r="AF95" s="99"/>
      <c r="AG95" s="99"/>
      <c r="AH95" s="99"/>
      <c r="AI95" s="99"/>
      <c r="AK95" s="99"/>
      <c r="AL95" s="99"/>
      <c r="AM95" s="99"/>
      <c r="AN95" s="99"/>
      <c r="AO95" s="99"/>
      <c r="AP95" s="99"/>
      <c r="AR95" s="99"/>
      <c r="AS95" s="99"/>
      <c r="AT95" s="99"/>
      <c r="AU95" s="99"/>
      <c r="AV95" s="99"/>
      <c r="AW95" s="99"/>
    </row>
    <row r="96" spans="1:49" ht="12.75" hidden="1" customHeight="1" x14ac:dyDescent="0.25">
      <c r="A96" t="str">
        <f>Nutrients!B95</f>
        <v>Wheat Shorts</v>
      </c>
      <c r="B96" s="99"/>
      <c r="C96" s="99"/>
      <c r="D96" s="99"/>
      <c r="E96" s="99"/>
      <c r="F96" s="99"/>
      <c r="G96" s="99"/>
      <c r="H96" s="99"/>
      <c r="I96" s="99"/>
      <c r="J96" s="99"/>
      <c r="K96" s="99"/>
      <c r="L96" s="99"/>
      <c r="M96" s="99"/>
      <c r="N96" s="99"/>
      <c r="O96" s="10"/>
      <c r="P96" s="99"/>
      <c r="Q96" s="99"/>
      <c r="R96" s="99"/>
      <c r="S96" s="99"/>
      <c r="T96" s="99"/>
      <c r="U96" s="99"/>
      <c r="W96" s="99"/>
      <c r="X96" s="99"/>
      <c r="Y96" s="99"/>
      <c r="Z96" s="99"/>
      <c r="AA96" s="99"/>
      <c r="AB96" s="99"/>
      <c r="AD96" s="99"/>
      <c r="AE96" s="99"/>
      <c r="AF96" s="99"/>
      <c r="AG96" s="99"/>
      <c r="AH96" s="99"/>
      <c r="AI96" s="99"/>
      <c r="AK96" s="99"/>
      <c r="AL96" s="99"/>
      <c r="AM96" s="99"/>
      <c r="AN96" s="99"/>
      <c r="AO96" s="99"/>
      <c r="AP96" s="99"/>
      <c r="AR96" s="99"/>
      <c r="AS96" s="99"/>
      <c r="AT96" s="99"/>
      <c r="AU96" s="99"/>
      <c r="AV96" s="99"/>
      <c r="AW96" s="99"/>
    </row>
    <row r="97" spans="1:50" ht="12.75" hidden="1" customHeight="1" x14ac:dyDescent="0.25">
      <c r="A97" t="str">
        <f>Nutrients!B96</f>
        <v>Wheat DDGS</v>
      </c>
      <c r="B97" s="99"/>
      <c r="C97" s="99"/>
      <c r="D97" s="99"/>
      <c r="E97" s="99"/>
      <c r="F97" s="99"/>
      <c r="G97" s="99"/>
      <c r="H97" s="99"/>
      <c r="I97" s="99"/>
      <c r="J97" s="99"/>
      <c r="K97" s="99"/>
      <c r="L97" s="99"/>
      <c r="M97" s="99"/>
      <c r="N97" s="99"/>
      <c r="O97" s="10"/>
      <c r="P97" s="99"/>
      <c r="Q97" s="99"/>
      <c r="R97" s="99"/>
      <c r="S97" s="99"/>
      <c r="T97" s="99"/>
      <c r="U97" s="99"/>
      <c r="W97" s="99"/>
      <c r="X97" s="99"/>
      <c r="Y97" s="99"/>
      <c r="Z97" s="99"/>
      <c r="AA97" s="99"/>
      <c r="AB97" s="99"/>
      <c r="AD97" s="99"/>
      <c r="AE97" s="99"/>
      <c r="AF97" s="99"/>
      <c r="AG97" s="99"/>
      <c r="AH97" s="99"/>
      <c r="AI97" s="99"/>
      <c r="AK97" s="99"/>
      <c r="AL97" s="99"/>
      <c r="AM97" s="99"/>
      <c r="AN97" s="99"/>
      <c r="AO97" s="99"/>
      <c r="AP97" s="99"/>
      <c r="AR97" s="99"/>
      <c r="AS97" s="99"/>
      <c r="AT97" s="99"/>
      <c r="AU97" s="99"/>
      <c r="AV97" s="99"/>
      <c r="AW97" s="99"/>
    </row>
    <row r="98" spans="1:50" ht="12.75" hidden="1" customHeight="1" x14ac:dyDescent="0.25">
      <c r="A98" t="str">
        <f>Nutrients!B97</f>
        <v>Yeast, Brewers' Yeast</v>
      </c>
      <c r="B98" s="99"/>
      <c r="C98" s="99"/>
      <c r="D98" s="99"/>
      <c r="E98" s="99"/>
      <c r="F98" s="99"/>
      <c r="G98" s="99"/>
      <c r="H98" s="99"/>
      <c r="I98" s="99"/>
      <c r="J98" s="99"/>
      <c r="K98" s="99"/>
      <c r="L98" s="99"/>
      <c r="M98" s="99"/>
      <c r="N98" s="99"/>
      <c r="O98" s="10"/>
      <c r="P98" s="99"/>
      <c r="Q98" s="99"/>
      <c r="R98" s="99"/>
      <c r="S98" s="99"/>
      <c r="T98" s="99"/>
      <c r="U98" s="99"/>
      <c r="W98" s="99"/>
      <c r="X98" s="99"/>
      <c r="Y98" s="99"/>
      <c r="Z98" s="99"/>
      <c r="AA98" s="99"/>
      <c r="AB98" s="99"/>
      <c r="AD98" s="99"/>
      <c r="AE98" s="99"/>
      <c r="AF98" s="99"/>
      <c r="AG98" s="99"/>
      <c r="AH98" s="99"/>
      <c r="AI98" s="99"/>
      <c r="AK98" s="99"/>
      <c r="AL98" s="99"/>
      <c r="AM98" s="99"/>
      <c r="AN98" s="99"/>
      <c r="AO98" s="99"/>
      <c r="AP98" s="99"/>
      <c r="AR98" s="99"/>
      <c r="AS98" s="99"/>
      <c r="AT98" s="99"/>
      <c r="AU98" s="99"/>
      <c r="AV98" s="99"/>
      <c r="AW98" s="99"/>
    </row>
    <row r="99" spans="1:50" ht="12.75" hidden="1" customHeight="1" x14ac:dyDescent="0.25">
      <c r="A99" t="str">
        <f>Nutrients!B98</f>
        <v>Yeast, Single Cell Protein</v>
      </c>
      <c r="B99" s="99"/>
      <c r="C99" s="99"/>
      <c r="D99" s="99"/>
      <c r="E99" s="99"/>
      <c r="F99" s="99"/>
      <c r="G99" s="99"/>
      <c r="H99" s="99"/>
      <c r="I99" s="99"/>
      <c r="J99" s="99"/>
      <c r="K99" s="99"/>
      <c r="L99" s="99"/>
      <c r="M99" s="99"/>
      <c r="N99" s="99"/>
      <c r="O99" s="10"/>
      <c r="P99" s="99"/>
      <c r="Q99" s="99"/>
      <c r="R99" s="99"/>
      <c r="S99" s="99"/>
      <c r="T99" s="99"/>
      <c r="U99" s="99"/>
      <c r="W99" s="99"/>
      <c r="X99" s="99"/>
      <c r="Y99" s="99"/>
      <c r="Z99" s="99"/>
      <c r="AA99" s="99"/>
      <c r="AB99" s="99"/>
      <c r="AD99" s="99"/>
      <c r="AE99" s="99"/>
      <c r="AF99" s="99"/>
      <c r="AG99" s="99"/>
      <c r="AH99" s="99"/>
      <c r="AI99" s="99"/>
      <c r="AK99" s="99"/>
      <c r="AL99" s="99"/>
      <c r="AM99" s="99"/>
      <c r="AN99" s="99"/>
      <c r="AO99" s="99"/>
      <c r="AP99" s="99"/>
      <c r="AR99" s="99"/>
      <c r="AS99" s="99"/>
      <c r="AT99" s="99"/>
      <c r="AU99" s="99"/>
      <c r="AV99" s="99"/>
      <c r="AW99" s="99"/>
    </row>
    <row r="100" spans="1:50" ht="12.75" hidden="1" customHeight="1" x14ac:dyDescent="0.25">
      <c r="A100" t="str">
        <f>Nutrients!B99</f>
        <v>Beef Tallow</v>
      </c>
      <c r="B100" s="99"/>
      <c r="C100" s="99"/>
      <c r="D100" s="99"/>
      <c r="E100" s="99"/>
      <c r="F100" s="99"/>
      <c r="G100" s="99"/>
      <c r="H100" s="99"/>
      <c r="I100" s="99"/>
      <c r="J100" s="99"/>
      <c r="K100" s="99"/>
      <c r="L100" s="99"/>
      <c r="M100" s="99"/>
      <c r="N100" s="99"/>
      <c r="O100" s="10"/>
      <c r="P100" s="99"/>
      <c r="Q100" s="99"/>
      <c r="R100" s="99"/>
      <c r="S100" s="99"/>
      <c r="T100" s="99"/>
      <c r="U100" s="99"/>
      <c r="W100" s="99"/>
      <c r="X100" s="99"/>
      <c r="Y100" s="99"/>
      <c r="Z100" s="99"/>
      <c r="AA100" s="99"/>
      <c r="AB100" s="99"/>
      <c r="AD100" s="99"/>
      <c r="AE100" s="99"/>
      <c r="AF100" s="99"/>
      <c r="AG100" s="99"/>
      <c r="AH100" s="99"/>
      <c r="AI100" s="99"/>
      <c r="AK100" s="99"/>
      <c r="AL100" s="99"/>
      <c r="AM100" s="99"/>
      <c r="AN100" s="99"/>
      <c r="AO100" s="99"/>
      <c r="AP100" s="99"/>
      <c r="AR100" s="99"/>
      <c r="AS100" s="99"/>
      <c r="AT100" s="99"/>
      <c r="AU100" s="99"/>
      <c r="AV100" s="99"/>
      <c r="AW100" s="99"/>
    </row>
    <row r="101" spans="1:50" x14ac:dyDescent="0.25">
      <c r="A101" t="str">
        <f>Nutrients!B100</f>
        <v>Choice White Grease</v>
      </c>
      <c r="B101" s="99"/>
      <c r="C101" s="99"/>
      <c r="D101" s="99"/>
      <c r="E101" s="99"/>
      <c r="F101" s="99"/>
      <c r="G101" s="99"/>
      <c r="H101" s="99"/>
      <c r="I101" s="106">
        <f>IF('GF diets L-Val'!B250-'GF diets L-Val'!I250&lt;0,0,'GF diets L-Val'!B250-'GF diets L-Val'!I250+0.1)</f>
        <v>9.7931214372002611</v>
      </c>
      <c r="J101" s="106">
        <f>IF('GF diets L-Val'!C250-'GF diets L-Val'!J250&lt;0,0,'GF diets L-Val'!C250-'GF diets L-Val'!J250+0.1)</f>
        <v>9.9232229986606395</v>
      </c>
      <c r="K101" s="106">
        <f>IF('GF diets L-Val'!D250-'GF diets L-Val'!K250&lt;0,0,'GF diets L-Val'!D250-'GF diets L-Val'!K250+0.1)</f>
        <v>9.8166484110832695</v>
      </c>
      <c r="L101" s="106">
        <f>IF('GF diets L-Val'!E250-'GF diets L-Val'!L250&lt;0,0,'GF diets L-Val'!E250-'GF diets L-Val'!L250+0.1)</f>
        <v>9.930073706054463</v>
      </c>
      <c r="M101" s="106">
        <f>IF('GF diets L-Val'!F250-'GF diets L-Val'!M250&lt;0,0,'GF diets L-Val'!F250-'GF diets L-Val'!M250+0.1)</f>
        <v>9.9613107670880705</v>
      </c>
      <c r="N101" s="106">
        <f>IF('GF diets L-Val'!G250-'GF diets L-Val'!N250&lt;0,0,'GF diets L-Val'!G250-'GF diets L-Val'!N250+0.1)</f>
        <v>9.9276289355565037</v>
      </c>
      <c r="O101" s="29"/>
      <c r="P101" s="106">
        <f>IF('GF diets L-Val'!B250-'GF diets L-Val'!P250&lt;0,0,'GF diets L-Val'!B250-'GF diets L-Val'!P250+0.2)</f>
        <v>19.676063474449574</v>
      </c>
      <c r="Q101" s="106">
        <f>IF('GF diets L-Val'!C250-'GF diets L-Val'!Q250&lt;0,0,'GF diets L-Val'!C250-'GF diets L-Val'!Q250+0.2)</f>
        <v>19.812912493306339</v>
      </c>
      <c r="R101" s="106">
        <f>IF('GF diets L-Val'!D250-'GF diets L-Val'!R250&lt;0,0,'GF diets L-Val'!D250-'GF diets L-Val'!R250+0.2)</f>
        <v>19.743739128708466</v>
      </c>
      <c r="S101" s="106">
        <f>IF('GF diets L-Val'!E250-'GF diets L-Val'!S250&lt;0,0,'GF diets L-Val'!E250-'GF diets L-Val'!S250+0.2)</f>
        <v>19.817220605906368</v>
      </c>
      <c r="T101" s="106">
        <f>IF('GF diets L-Val'!F250-'GF diets L-Val'!T250&lt;0,0,'GF diets L-Val'!F250-'GF diets L-Val'!T250+0.2)</f>
        <v>19.881008753777405</v>
      </c>
      <c r="U101" s="106">
        <f>IF('GF diets L-Val'!G250-'GF diets L-Val'!U250&lt;0,0,'GF diets L-Val'!G250-'GF diets L-Val'!U250+0.2)</f>
        <v>19.869735858301009</v>
      </c>
      <c r="V101" s="9"/>
      <c r="W101" s="106">
        <f>IF('GF diets L-Val'!B250-'GF diets L-Val'!W250&lt;0,0,'GF diets L-Val'!B250-'GF diets L-Val'!W250+0.35)</f>
        <v>29.588252394116218</v>
      </c>
      <c r="X101" s="106">
        <f>IF('GF diets L-Val'!C250-'GF diets L-Val'!X250&lt;0,0,'GF diets L-Val'!C250-'GF diets L-Val'!X250+0.35)</f>
        <v>29.75197310251415</v>
      </c>
      <c r="Y101" s="106">
        <f>IF('GF diets L-Val'!D250-'GF diets L-Val'!Y250&lt;0,0,'GF diets L-Val'!D250-'GF diets L-Val'!Y250+0.35)</f>
        <v>29.632628229339709</v>
      </c>
      <c r="Z101" s="106">
        <f>IF('GF diets L-Val'!E250-'GF diets L-Val'!Z250&lt;0,0,'GF diets L-Val'!E250-'GF diets L-Val'!Z250+0.35)</f>
        <v>29.733606268286486</v>
      </c>
      <c r="AA101" s="106">
        <f>IF('GF diets L-Val'!F250-'GF diets L-Val'!AA250&lt;0,0,'GF diets L-Val'!F250-'GF diets L-Val'!AA250+0.35)</f>
        <v>29.741047068812897</v>
      </c>
      <c r="AB101" s="106">
        <f>IF('GF diets L-Val'!G250-'GF diets L-Val'!AB250&lt;0,0,'GF diets L-Val'!G250-'GF diets L-Val'!AB250+0.35)</f>
        <v>29.981295742242629</v>
      </c>
      <c r="AC101" s="9"/>
      <c r="AD101" s="106">
        <f>IF('GF diets L-Val'!B250-'GF diets L-Val'!AD250&lt;0,0,'GF diets L-Val'!B250-'GF diets L-Val'!AD250+0.55)</f>
        <v>39.517097562367141</v>
      </c>
      <c r="AE101" s="106">
        <f>IF('GF diets L-Val'!C250-'GF diets L-Val'!AE250&lt;0,0,'GF diets L-Val'!C250-'GF diets L-Val'!AE250+0.55)</f>
        <v>39.650164915573939</v>
      </c>
      <c r="AF101" s="106">
        <f>IF('GF diets L-Val'!D250-'GF diets L-Val'!AF250&lt;0,0,'GF diets L-Val'!D250-'GF diets L-Val'!AF250+0.55)</f>
        <v>39.547259036941156</v>
      </c>
      <c r="AG101" s="106">
        <f>IF('GF diets L-Val'!E250-'GF diets L-Val'!AG250&lt;0,0,'GF diets L-Val'!E250-'GF diets L-Val'!AG250+0.55)</f>
        <v>39.626383127292499</v>
      </c>
      <c r="AH101" s="106">
        <f>IF('GF diets L-Val'!F250-'GF diets L-Val'!AH250&lt;0,0,'GF diets L-Val'!F250-'GF diets L-Val'!AH250+0.55)</f>
        <v>40.447832691307255</v>
      </c>
      <c r="AI101" s="106">
        <f>IF('GF diets L-Val'!G250-'GF diets L-Val'!AI250&lt;0,0,'GF diets L-Val'!G250-'GF diets L-Val'!AI250+0.55)</f>
        <v>40.98464853014643</v>
      </c>
      <c r="AJ101" s="9"/>
      <c r="AK101" s="106">
        <f>IF('GF diets L-Val'!B250-'GF diets L-Val'!AK250&lt;0,0,'GF diets L-Val'!B250-'GF diets L-Val'!AK250+0.75)</f>
        <v>49.456529162836432</v>
      </c>
      <c r="AL101" s="106">
        <f>IF('GF diets L-Val'!C250-'GF diets L-Val'!AL250&lt;0,0,'GF diets L-Val'!C250-'GF diets L-Val'!AL250+0.75)</f>
        <v>49.592547889423258</v>
      </c>
      <c r="AM101" s="106">
        <f>IF('GF diets L-Val'!D250-'GF diets L-Val'!AM250&lt;0,0,'GF diets L-Val'!D250-'GF diets L-Val'!AM250+0.75)</f>
        <v>49.435978150108895</v>
      </c>
      <c r="AN101" s="106">
        <f>IF('GF diets L-Val'!E250-'GF diets L-Val'!AN250&lt;0,0,'GF diets L-Val'!E250-'GF diets L-Val'!AN250+0.75)</f>
        <v>50.150990452713131</v>
      </c>
      <c r="AO101" s="106">
        <f>IF('GF diets L-Val'!F250-'GF diets L-Val'!AO250&lt;0,0,'GF diets L-Val'!F250-'GF diets L-Val'!AO250+0.75)</f>
        <v>51.439108126026667</v>
      </c>
      <c r="AP101" s="106">
        <f>IF('GF diets L-Val'!G250-'GF diets L-Val'!AP250&lt;0,0,'GF diets L-Val'!G250-'GF diets L-Val'!AP250+0.75)</f>
        <v>51.99255363591783</v>
      </c>
      <c r="AQ101" s="9"/>
      <c r="AR101" s="106">
        <f>IF('GF diets L-Val'!B250-'GF diets L-Val'!AR250&lt;0,0,'GF diets L-Val'!B250-'GF diets L-Val'!AR250+0.95)</f>
        <v>59.535635140486377</v>
      </c>
      <c r="AS101" s="106">
        <f>IF('GF diets L-Val'!C250-'GF diets L-Val'!AS250&lt;0,0,'GF diets L-Val'!C250-'GF diets L-Val'!AS250+0.95)</f>
        <v>59.473453069968357</v>
      </c>
      <c r="AT101" s="106">
        <f>IF('GF diets L-Val'!D250-'GF diets L-Val'!AT250&lt;0,0,'GF diets L-Val'!D250-'GF diets L-Val'!AT250+0.95)</f>
        <v>59.311672629704347</v>
      </c>
      <c r="AU101" s="106">
        <f>IF('GF diets L-Val'!E250-'GF diets L-Val'!AU250&lt;0,0,'GF diets L-Val'!E250-'GF diets L-Val'!AU250+0.95)</f>
        <v>61.127150621477725</v>
      </c>
      <c r="AV101" s="106">
        <f>IF('GF diets L-Val'!F250-'GF diets L-Val'!AV250&lt;0,0,'GF diets L-Val'!F250-'GF diets L-Val'!AV250+0.95)</f>
        <v>62.430766121845139</v>
      </c>
      <c r="AW101" s="106">
        <f>IF('GF diets L-Val'!G250-'GF diets L-Val'!AW250&lt;0,0,'GF diets L-Val'!G250-'GF diets L-Val'!AW250+0.95)</f>
        <v>63.000624485266556</v>
      </c>
      <c r="AX101" s="9"/>
    </row>
    <row r="102" spans="1:50" ht="13.05" hidden="1" customHeight="1" x14ac:dyDescent="0.25">
      <c r="A102" t="str">
        <f>Nutrients!B101</f>
        <v>Poultry Fat</v>
      </c>
      <c r="B102" s="99"/>
      <c r="C102" s="99"/>
      <c r="D102" s="99"/>
      <c r="E102" s="99"/>
      <c r="F102" s="99"/>
      <c r="G102" s="99"/>
      <c r="H102" s="99"/>
      <c r="I102" s="99"/>
      <c r="J102" s="99"/>
      <c r="K102" s="99"/>
      <c r="L102" s="99"/>
      <c r="M102" s="99"/>
      <c r="N102" s="99"/>
      <c r="O102" s="10"/>
      <c r="P102" s="99"/>
      <c r="Q102" s="99"/>
      <c r="R102" s="99"/>
      <c r="S102" s="99"/>
      <c r="T102" s="99"/>
      <c r="U102" s="99"/>
      <c r="W102" s="99"/>
      <c r="X102" s="99"/>
      <c r="Y102" s="99"/>
      <c r="Z102" s="99"/>
      <c r="AA102" s="99"/>
      <c r="AB102" s="99"/>
      <c r="AD102" s="99"/>
      <c r="AE102" s="99"/>
      <c r="AF102" s="99"/>
      <c r="AG102" s="99"/>
      <c r="AH102" s="99"/>
      <c r="AI102" s="99"/>
      <c r="AK102" s="99"/>
      <c r="AL102" s="99"/>
      <c r="AM102" s="99"/>
      <c r="AN102" s="99"/>
      <c r="AO102" s="99"/>
      <c r="AP102" s="99"/>
      <c r="AR102" s="99"/>
      <c r="AS102" s="99"/>
      <c r="AT102" s="99"/>
      <c r="AU102" s="99"/>
      <c r="AV102" s="99"/>
      <c r="AW102" s="99"/>
    </row>
    <row r="103" spans="1:50" ht="13.05" hidden="1" customHeight="1" x14ac:dyDescent="0.25">
      <c r="A103" t="str">
        <f>Nutrients!B102</f>
        <v>Lard</v>
      </c>
      <c r="B103" s="99"/>
      <c r="C103" s="99"/>
      <c r="D103" s="99"/>
      <c r="E103" s="99"/>
      <c r="F103" s="99"/>
      <c r="G103" s="99"/>
      <c r="H103" s="99"/>
      <c r="I103" s="99"/>
      <c r="J103" s="99"/>
      <c r="K103" s="99"/>
      <c r="L103" s="99"/>
      <c r="M103" s="99"/>
      <c r="N103" s="99"/>
      <c r="O103" s="10"/>
      <c r="P103" s="99"/>
      <c r="Q103" s="99"/>
      <c r="R103" s="99"/>
      <c r="S103" s="99"/>
      <c r="T103" s="99"/>
      <c r="U103" s="99"/>
      <c r="W103" s="99"/>
      <c r="X103" s="99"/>
      <c r="Y103" s="99"/>
      <c r="Z103" s="99"/>
      <c r="AA103" s="99"/>
      <c r="AB103" s="99"/>
      <c r="AD103" s="99"/>
      <c r="AE103" s="99"/>
      <c r="AF103" s="99"/>
      <c r="AG103" s="99"/>
      <c r="AH103" s="99"/>
      <c r="AI103" s="99"/>
      <c r="AK103" s="99"/>
      <c r="AL103" s="99"/>
      <c r="AM103" s="99"/>
      <c r="AN103" s="99"/>
      <c r="AO103" s="99"/>
      <c r="AP103" s="99"/>
      <c r="AR103" s="99"/>
      <c r="AS103" s="99"/>
      <c r="AT103" s="99"/>
      <c r="AU103" s="99"/>
      <c r="AV103" s="99"/>
      <c r="AW103" s="99"/>
    </row>
    <row r="104" spans="1:50" ht="13.05" hidden="1" customHeight="1" x14ac:dyDescent="0.25">
      <c r="A104" t="str">
        <f>Nutrients!B103</f>
        <v>Restaurant Grease</v>
      </c>
      <c r="B104" s="99"/>
      <c r="C104" s="99"/>
      <c r="D104" s="99"/>
      <c r="E104" s="99"/>
      <c r="F104" s="99"/>
      <c r="G104" s="99"/>
      <c r="H104" s="99"/>
      <c r="I104" s="99"/>
      <c r="J104" s="99"/>
      <c r="K104" s="99"/>
      <c r="L104" s="99"/>
      <c r="M104" s="99"/>
      <c r="N104" s="99"/>
      <c r="O104" s="10"/>
      <c r="P104" s="99"/>
      <c r="Q104" s="99"/>
      <c r="R104" s="99"/>
      <c r="S104" s="99"/>
      <c r="T104" s="99"/>
      <c r="U104" s="99"/>
      <c r="W104" s="99"/>
      <c r="X104" s="99"/>
      <c r="Y104" s="99"/>
      <c r="Z104" s="99"/>
      <c r="AA104" s="99"/>
      <c r="AB104" s="99"/>
      <c r="AD104" s="99"/>
      <c r="AE104" s="99"/>
      <c r="AF104" s="99"/>
      <c r="AG104" s="99"/>
      <c r="AH104" s="99"/>
      <c r="AI104" s="99"/>
      <c r="AK104" s="99"/>
      <c r="AL104" s="99"/>
      <c r="AM104" s="99"/>
      <c r="AN104" s="99"/>
      <c r="AO104" s="99"/>
      <c r="AP104" s="99"/>
      <c r="AR104" s="99"/>
      <c r="AS104" s="99"/>
      <c r="AT104" s="99"/>
      <c r="AU104" s="99"/>
      <c r="AV104" s="99"/>
      <c r="AW104" s="99"/>
    </row>
    <row r="105" spans="1:50" ht="13.05" hidden="1" customHeight="1" x14ac:dyDescent="0.25">
      <c r="A105" t="str">
        <f>Nutrients!B104</f>
        <v>Canola oil</v>
      </c>
      <c r="B105" s="99"/>
      <c r="C105" s="99"/>
      <c r="D105" s="99"/>
      <c r="E105" s="99"/>
      <c r="F105" s="99"/>
      <c r="G105" s="99"/>
      <c r="H105" s="99"/>
      <c r="I105" s="99"/>
      <c r="J105" s="99"/>
      <c r="K105" s="99"/>
      <c r="L105" s="99"/>
      <c r="M105" s="99"/>
      <c r="N105" s="99"/>
      <c r="O105" s="10"/>
      <c r="P105" s="99"/>
      <c r="Q105" s="99"/>
      <c r="R105" s="99"/>
      <c r="S105" s="99"/>
      <c r="T105" s="99"/>
      <c r="U105" s="99"/>
      <c r="W105" s="99"/>
      <c r="X105" s="99"/>
      <c r="Y105" s="99"/>
      <c r="Z105" s="99"/>
      <c r="AA105" s="99"/>
      <c r="AB105" s="99"/>
      <c r="AD105" s="99"/>
      <c r="AE105" s="99"/>
      <c r="AF105" s="99"/>
      <c r="AG105" s="99"/>
      <c r="AH105" s="99"/>
      <c r="AI105" s="99"/>
      <c r="AK105" s="99"/>
      <c r="AL105" s="99"/>
      <c r="AM105" s="99"/>
      <c r="AN105" s="99"/>
      <c r="AO105" s="99"/>
      <c r="AP105" s="99"/>
      <c r="AR105" s="99"/>
      <c r="AS105" s="99"/>
      <c r="AT105" s="99"/>
      <c r="AU105" s="99"/>
      <c r="AV105" s="99"/>
      <c r="AW105" s="99"/>
    </row>
    <row r="106" spans="1:50" ht="13.05" hidden="1" customHeight="1" x14ac:dyDescent="0.25">
      <c r="A106" t="str">
        <f>Nutrients!B105</f>
        <v>Coconut oil</v>
      </c>
      <c r="B106" s="99"/>
      <c r="C106" s="99"/>
      <c r="D106" s="99"/>
      <c r="E106" s="99"/>
      <c r="F106" s="99"/>
      <c r="G106" s="99"/>
      <c r="H106" s="99"/>
      <c r="I106" s="99"/>
      <c r="J106" s="99"/>
      <c r="K106" s="99"/>
      <c r="L106" s="99"/>
      <c r="M106" s="99"/>
      <c r="N106" s="99"/>
      <c r="O106" s="10"/>
      <c r="P106" s="99"/>
      <c r="Q106" s="99"/>
      <c r="R106" s="99"/>
      <c r="S106" s="99"/>
      <c r="T106" s="99"/>
      <c r="U106" s="99"/>
      <c r="W106" s="99"/>
      <c r="X106" s="99"/>
      <c r="Y106" s="99"/>
      <c r="Z106" s="99"/>
      <c r="AA106" s="99"/>
      <c r="AB106" s="99"/>
      <c r="AD106" s="99"/>
      <c r="AE106" s="99"/>
      <c r="AF106" s="99"/>
      <c r="AG106" s="99"/>
      <c r="AH106" s="99"/>
      <c r="AI106" s="99"/>
      <c r="AK106" s="99"/>
      <c r="AL106" s="99"/>
      <c r="AM106" s="99"/>
      <c r="AN106" s="99"/>
      <c r="AO106" s="99"/>
      <c r="AP106" s="99"/>
      <c r="AR106" s="99"/>
      <c r="AS106" s="99"/>
      <c r="AT106" s="99"/>
      <c r="AU106" s="99"/>
      <c r="AV106" s="99"/>
      <c r="AW106" s="99"/>
    </row>
    <row r="107" spans="1:50" ht="13.05" hidden="1" customHeight="1" x14ac:dyDescent="0.25">
      <c r="A107" t="str">
        <f>Nutrients!B106</f>
        <v>Corn oil</v>
      </c>
      <c r="B107" s="99"/>
      <c r="C107" s="99"/>
      <c r="D107" s="99"/>
      <c r="E107" s="99"/>
      <c r="F107" s="99"/>
      <c r="G107" s="99"/>
      <c r="H107" s="99"/>
      <c r="I107" s="99"/>
      <c r="J107" s="99"/>
      <c r="K107" s="99"/>
      <c r="L107" s="99"/>
      <c r="M107" s="99"/>
      <c r="N107" s="99"/>
      <c r="O107" s="10"/>
      <c r="P107" s="99"/>
      <c r="Q107" s="99"/>
      <c r="R107" s="99"/>
      <c r="S107" s="99"/>
      <c r="T107" s="99"/>
      <c r="U107" s="99"/>
      <c r="W107" s="99"/>
      <c r="X107" s="99"/>
      <c r="Y107" s="99"/>
      <c r="Z107" s="99"/>
      <c r="AA107" s="99"/>
      <c r="AB107" s="99"/>
      <c r="AD107" s="99"/>
      <c r="AE107" s="99"/>
      <c r="AF107" s="99"/>
      <c r="AG107" s="99"/>
      <c r="AH107" s="99"/>
      <c r="AI107" s="99"/>
      <c r="AK107" s="99"/>
      <c r="AL107" s="99"/>
      <c r="AM107" s="99"/>
      <c r="AN107" s="99"/>
      <c r="AO107" s="99"/>
      <c r="AP107" s="99"/>
      <c r="AR107" s="99"/>
      <c r="AS107" s="99"/>
      <c r="AT107" s="99"/>
      <c r="AU107" s="99"/>
      <c r="AV107" s="99"/>
      <c r="AW107" s="99"/>
    </row>
    <row r="108" spans="1:50" ht="13.05" hidden="1" customHeight="1" x14ac:dyDescent="0.25">
      <c r="A108" t="str">
        <f>Nutrients!B107</f>
        <v>Palm Kernel oil</v>
      </c>
      <c r="B108" s="99"/>
      <c r="C108" s="99"/>
      <c r="D108" s="99"/>
      <c r="E108" s="99"/>
      <c r="F108" s="99"/>
      <c r="G108" s="99"/>
      <c r="H108" s="99"/>
      <c r="I108" s="99"/>
      <c r="J108" s="99"/>
      <c r="K108" s="99"/>
      <c r="L108" s="99"/>
      <c r="M108" s="99"/>
      <c r="N108" s="99"/>
      <c r="O108" s="10"/>
      <c r="P108" s="99"/>
      <c r="Q108" s="99"/>
      <c r="R108" s="99"/>
      <c r="S108" s="99"/>
      <c r="T108" s="99"/>
      <c r="U108" s="99"/>
      <c r="W108" s="99"/>
      <c r="X108" s="99"/>
      <c r="Y108" s="99"/>
      <c r="Z108" s="99"/>
      <c r="AA108" s="99"/>
      <c r="AB108" s="99"/>
      <c r="AD108" s="99"/>
      <c r="AE108" s="99"/>
      <c r="AF108" s="99"/>
      <c r="AG108" s="99"/>
      <c r="AH108" s="99"/>
      <c r="AI108" s="99"/>
      <c r="AK108" s="99"/>
      <c r="AL108" s="99"/>
      <c r="AM108" s="99"/>
      <c r="AN108" s="99"/>
      <c r="AO108" s="99"/>
      <c r="AP108" s="99"/>
      <c r="AR108" s="99"/>
      <c r="AS108" s="99"/>
      <c r="AT108" s="99"/>
      <c r="AU108" s="99"/>
      <c r="AV108" s="99"/>
      <c r="AW108" s="99"/>
    </row>
    <row r="109" spans="1:50" ht="13.05" hidden="1" customHeight="1" x14ac:dyDescent="0.25">
      <c r="A109" t="str">
        <f>Nutrients!B108</f>
        <v>Soybean oil</v>
      </c>
      <c r="B109" s="99"/>
      <c r="C109" s="99"/>
      <c r="D109" s="99"/>
      <c r="E109" s="99"/>
      <c r="F109" s="99"/>
      <c r="G109" s="99"/>
      <c r="H109" s="99"/>
      <c r="I109" s="99"/>
      <c r="J109" s="99"/>
      <c r="K109" s="99"/>
      <c r="L109" s="99"/>
      <c r="M109" s="99"/>
      <c r="N109" s="99"/>
      <c r="O109" s="10"/>
      <c r="P109" s="99"/>
      <c r="Q109" s="99"/>
      <c r="R109" s="99"/>
      <c r="S109" s="99"/>
      <c r="T109" s="99"/>
      <c r="U109" s="99"/>
      <c r="W109" s="99"/>
      <c r="X109" s="99"/>
      <c r="Y109" s="99"/>
      <c r="Z109" s="99"/>
      <c r="AA109" s="99"/>
      <c r="AB109" s="99"/>
      <c r="AD109" s="99"/>
      <c r="AE109" s="99"/>
      <c r="AF109" s="99"/>
      <c r="AG109" s="99"/>
      <c r="AH109" s="99"/>
      <c r="AI109" s="99"/>
      <c r="AK109" s="99"/>
      <c r="AL109" s="99"/>
      <c r="AM109" s="99"/>
      <c r="AN109" s="99"/>
      <c r="AO109" s="99"/>
      <c r="AP109" s="99"/>
      <c r="AR109" s="99"/>
      <c r="AS109" s="99"/>
      <c r="AT109" s="99"/>
      <c r="AU109" s="99"/>
      <c r="AV109" s="99"/>
      <c r="AW109" s="99"/>
    </row>
    <row r="110" spans="1:50" ht="13.05" hidden="1" customHeight="1" x14ac:dyDescent="0.25">
      <c r="A110" t="str">
        <f>Nutrients!B109</f>
        <v>Soybean Lecithin</v>
      </c>
      <c r="B110" s="99"/>
      <c r="C110" s="99"/>
      <c r="D110" s="99"/>
      <c r="E110" s="99"/>
      <c r="F110" s="99"/>
      <c r="G110" s="99"/>
      <c r="H110" s="99"/>
      <c r="I110" s="99"/>
      <c r="J110" s="99"/>
      <c r="K110" s="99"/>
      <c r="L110" s="99"/>
      <c r="M110" s="99"/>
      <c r="N110" s="99"/>
      <c r="O110" s="10"/>
      <c r="P110" s="99"/>
      <c r="Q110" s="99"/>
      <c r="R110" s="99"/>
      <c r="S110" s="99"/>
      <c r="T110" s="99"/>
      <c r="U110" s="99"/>
      <c r="W110" s="99"/>
      <c r="X110" s="99"/>
      <c r="Y110" s="99"/>
      <c r="Z110" s="99"/>
      <c r="AA110" s="99"/>
      <c r="AB110" s="99"/>
      <c r="AD110" s="99"/>
      <c r="AE110" s="99"/>
      <c r="AF110" s="99"/>
      <c r="AG110" s="99"/>
      <c r="AH110" s="99"/>
      <c r="AI110" s="99"/>
      <c r="AK110" s="99"/>
      <c r="AL110" s="99"/>
      <c r="AM110" s="99"/>
      <c r="AN110" s="99"/>
      <c r="AO110" s="99"/>
      <c r="AP110" s="99"/>
      <c r="AR110" s="99"/>
      <c r="AS110" s="99"/>
      <c r="AT110" s="99"/>
      <c r="AU110" s="99"/>
      <c r="AV110" s="99"/>
      <c r="AW110" s="99"/>
    </row>
    <row r="111" spans="1:50" ht="13.05" hidden="1" customHeight="1" x14ac:dyDescent="0.25">
      <c r="A111" t="str">
        <f>Nutrients!B110</f>
        <v>Sunflower oil</v>
      </c>
      <c r="B111" s="99"/>
      <c r="C111" s="99"/>
      <c r="D111" s="99"/>
      <c r="E111" s="99"/>
      <c r="F111" s="99"/>
      <c r="G111" s="99"/>
      <c r="H111" s="99"/>
      <c r="I111" s="99"/>
      <c r="J111" s="99"/>
      <c r="K111" s="99"/>
      <c r="L111" s="99"/>
      <c r="M111" s="99"/>
      <c r="N111" s="99"/>
      <c r="O111" s="10"/>
      <c r="P111" s="99"/>
      <c r="Q111" s="99"/>
      <c r="R111" s="99"/>
      <c r="S111" s="99"/>
      <c r="T111" s="99"/>
      <c r="U111" s="99"/>
      <c r="W111" s="99"/>
      <c r="X111" s="99"/>
      <c r="Y111" s="99"/>
      <c r="Z111" s="99"/>
      <c r="AA111" s="99"/>
      <c r="AB111" s="99"/>
      <c r="AD111" s="99"/>
      <c r="AE111" s="99"/>
      <c r="AF111" s="99"/>
      <c r="AG111" s="99"/>
      <c r="AH111" s="99"/>
      <c r="AI111" s="99"/>
      <c r="AK111" s="99"/>
      <c r="AL111" s="99"/>
      <c r="AM111" s="99"/>
      <c r="AN111" s="99"/>
      <c r="AO111" s="99"/>
      <c r="AP111" s="99"/>
      <c r="AR111" s="99"/>
      <c r="AS111" s="99"/>
      <c r="AT111" s="99"/>
      <c r="AU111" s="99"/>
      <c r="AV111" s="99"/>
      <c r="AW111" s="99"/>
    </row>
    <row r="112" spans="1:50" ht="13.05" hidden="1" customHeight="1" x14ac:dyDescent="0.25">
      <c r="A112" t="str">
        <f>Nutrients!B111</f>
        <v>Fat, A/V blend</v>
      </c>
      <c r="B112" s="99"/>
      <c r="C112" s="99"/>
      <c r="D112" s="99"/>
      <c r="E112" s="99"/>
      <c r="F112" s="99"/>
      <c r="G112" s="99"/>
      <c r="H112" s="99"/>
      <c r="I112" s="99"/>
      <c r="J112" s="99"/>
      <c r="K112" s="99"/>
      <c r="L112" s="99"/>
      <c r="M112" s="99"/>
      <c r="N112" s="99"/>
      <c r="O112" s="10"/>
      <c r="P112" s="99"/>
      <c r="Q112" s="99"/>
      <c r="R112" s="99"/>
      <c r="S112" s="99"/>
      <c r="T112" s="99"/>
      <c r="U112" s="99"/>
      <c r="W112" s="99"/>
      <c r="X112" s="99"/>
      <c r="Y112" s="99"/>
      <c r="Z112" s="99"/>
      <c r="AA112" s="99"/>
      <c r="AB112" s="99"/>
      <c r="AD112" s="99"/>
      <c r="AE112" s="99"/>
      <c r="AF112" s="99"/>
      <c r="AG112" s="99"/>
      <c r="AH112" s="99"/>
      <c r="AI112" s="99"/>
      <c r="AK112" s="99"/>
      <c r="AL112" s="99"/>
      <c r="AM112" s="99"/>
      <c r="AN112" s="99"/>
      <c r="AO112" s="99"/>
      <c r="AP112" s="99"/>
      <c r="AR112" s="99"/>
      <c r="AS112" s="99"/>
      <c r="AT112" s="99"/>
      <c r="AU112" s="99"/>
      <c r="AV112" s="99"/>
      <c r="AW112" s="99"/>
    </row>
    <row r="113" spans="1:64" x14ac:dyDescent="0.25">
      <c r="A113" t="s">
        <v>327</v>
      </c>
      <c r="B113" s="106">
        <v>20.784768068928035</v>
      </c>
      <c r="C113" s="106">
        <v>19.294892849162764</v>
      </c>
      <c r="D113" s="106">
        <v>19.202445555729952</v>
      </c>
      <c r="E113" s="106">
        <v>18.570305542378705</v>
      </c>
      <c r="F113" s="106">
        <v>18</v>
      </c>
      <c r="G113" s="106">
        <v>17.663512601760306</v>
      </c>
      <c r="H113" s="106"/>
      <c r="I113" s="106">
        <v>21.444409694945055</v>
      </c>
      <c r="J113" s="106">
        <v>19.98553862860571</v>
      </c>
      <c r="K113" s="106">
        <v>19.840873680160215</v>
      </c>
      <c r="L113" s="106">
        <v>19.236124633910652</v>
      </c>
      <c r="M113" s="106">
        <v>18.688958388234227</v>
      </c>
      <c r="N113" s="106">
        <v>18.326770533828554</v>
      </c>
      <c r="O113" s="29"/>
      <c r="P113" s="106">
        <v>22.108119813047963</v>
      </c>
      <c r="Q113" s="106">
        <v>20.660220383685797</v>
      </c>
      <c r="R113" s="106">
        <v>20.500873680160215</v>
      </c>
      <c r="S113" s="106">
        <v>19.896124633910652</v>
      </c>
      <c r="T113" s="106">
        <v>19.348958388234227</v>
      </c>
      <c r="U113" s="106">
        <v>18.986770533828555</v>
      </c>
      <c r="V113" s="9"/>
      <c r="W113" s="106">
        <v>22.768119813047964</v>
      </c>
      <c r="X113" s="106">
        <v>21.320220383685797</v>
      </c>
      <c r="Y113" s="106">
        <v>21.160873680160215</v>
      </c>
      <c r="Z113" s="106">
        <v>20.556124633910652</v>
      </c>
      <c r="AA113" s="106">
        <v>20.008958388234227</v>
      </c>
      <c r="AB113" s="106">
        <v>19.776948503520693</v>
      </c>
      <c r="AC113" s="9"/>
      <c r="AD113" s="106">
        <v>23.428119813047964</v>
      </c>
      <c r="AE113" s="106">
        <v>21.980220383685797</v>
      </c>
      <c r="AF113" s="106">
        <v>21.820873680160215</v>
      </c>
      <c r="AG113" s="106">
        <v>21.243448046973779</v>
      </c>
      <c r="AH113" s="106">
        <v>21.073538708709563</v>
      </c>
      <c r="AI113" s="106">
        <v>20.965067860594516</v>
      </c>
      <c r="AJ113" s="9"/>
      <c r="AK113" s="106">
        <v>24.088119813047964</v>
      </c>
      <c r="AL113" s="106">
        <v>22.640220383685797</v>
      </c>
      <c r="AM113" s="106">
        <v>22.480873680160215</v>
      </c>
      <c r="AN113" s="106">
        <v>22.222553735248766</v>
      </c>
      <c r="AO113" s="106">
        <v>22.260768777249535</v>
      </c>
      <c r="AP113" s="106">
        <v>22.153269320897163</v>
      </c>
      <c r="AQ113" s="9"/>
      <c r="AR113" s="106">
        <v>24.748119813047964</v>
      </c>
      <c r="AS113" s="106">
        <v>23.300220383685797</v>
      </c>
      <c r="AT113" s="106">
        <v>23.169584881524777</v>
      </c>
      <c r="AU113" s="106">
        <v>23.421147625303597</v>
      </c>
      <c r="AV113" s="106">
        <v>23.448077661856235</v>
      </c>
      <c r="AW113" s="106">
        <v>23.341533487872475</v>
      </c>
      <c r="AX113" s="9"/>
      <c r="AY113" s="106"/>
      <c r="AZ113" s="117"/>
      <c r="BA113" s="106"/>
      <c r="BB113" s="117"/>
      <c r="BC113" s="117"/>
      <c r="BD113" s="117"/>
      <c r="BE113" s="117"/>
      <c r="BG113" s="447"/>
      <c r="BH113" s="447"/>
      <c r="BI113" s="447"/>
      <c r="BJ113" s="447"/>
      <c r="BK113" s="447"/>
      <c r="BL113" s="447"/>
    </row>
    <row r="114" spans="1:64" ht="13.05" hidden="1" customHeight="1" x14ac:dyDescent="0.25">
      <c r="A114" t="str">
        <f>Nutrients!B113</f>
        <v>Calcium phosphate (tricalcium)</v>
      </c>
      <c r="B114" s="106"/>
      <c r="C114" s="106"/>
      <c r="D114" s="106"/>
      <c r="E114" s="106"/>
      <c r="F114" s="106"/>
      <c r="G114" s="106"/>
      <c r="H114" s="106"/>
      <c r="I114" s="106"/>
      <c r="J114" s="106"/>
      <c r="K114" s="106"/>
      <c r="L114" s="106"/>
      <c r="M114" s="106"/>
      <c r="N114" s="106"/>
      <c r="O114" s="29"/>
      <c r="P114" s="106"/>
      <c r="Q114" s="106"/>
      <c r="R114" s="106"/>
      <c r="S114" s="106"/>
      <c r="T114" s="106"/>
      <c r="U114" s="106"/>
      <c r="V114" s="9"/>
      <c r="W114" s="106"/>
      <c r="X114" s="106"/>
      <c r="Y114" s="106"/>
      <c r="Z114" s="106"/>
      <c r="AA114" s="106"/>
      <c r="AB114" s="106"/>
      <c r="AC114" s="9"/>
      <c r="AD114" s="106"/>
      <c r="AE114" s="106"/>
      <c r="AF114" s="106"/>
      <c r="AG114" s="106"/>
      <c r="AH114" s="106"/>
      <c r="AI114" s="106"/>
      <c r="AJ114" s="9"/>
      <c r="AK114" s="106"/>
      <c r="AL114" s="106"/>
      <c r="AM114" s="106"/>
      <c r="AN114" s="106"/>
      <c r="AO114" s="106"/>
      <c r="AP114" s="106"/>
      <c r="AQ114" s="9"/>
      <c r="AR114" s="106"/>
      <c r="AS114" s="106"/>
      <c r="AT114" s="106"/>
      <c r="AU114" s="106"/>
      <c r="AV114" s="106"/>
      <c r="AW114" s="106"/>
      <c r="AX114" s="9"/>
    </row>
    <row r="115" spans="1:64" hidden="1" x14ac:dyDescent="0.25">
      <c r="A115" t="str">
        <f>Nutrients!B114</f>
        <v>Calcium phosphate (dicalcium)</v>
      </c>
      <c r="B115" s="106"/>
      <c r="C115" s="106"/>
      <c r="D115" s="106"/>
      <c r="E115" s="106"/>
      <c r="F115" s="106"/>
      <c r="G115" s="106"/>
      <c r="H115" s="106"/>
      <c r="I115" s="106"/>
      <c r="J115" s="106"/>
      <c r="K115" s="106"/>
      <c r="L115" s="106"/>
      <c r="M115" s="106"/>
      <c r="N115" s="106"/>
      <c r="O115" s="29"/>
      <c r="P115" s="106"/>
      <c r="Q115" s="106"/>
      <c r="R115" s="106"/>
      <c r="S115" s="106"/>
      <c r="T115" s="106"/>
      <c r="U115" s="106"/>
      <c r="V115" s="9"/>
      <c r="W115" s="106"/>
      <c r="X115" s="106"/>
      <c r="Y115" s="106"/>
      <c r="Z115" s="106"/>
      <c r="AA115" s="106"/>
      <c r="AB115" s="106"/>
      <c r="AC115" s="9"/>
      <c r="AD115" s="106"/>
      <c r="AE115" s="106"/>
      <c r="AF115" s="106"/>
      <c r="AG115" s="106"/>
      <c r="AH115" s="106"/>
      <c r="AI115" s="106"/>
      <c r="AJ115" s="9"/>
      <c r="AK115" s="106"/>
      <c r="AL115" s="106"/>
      <c r="AM115" s="106"/>
      <c r="AN115" s="106"/>
      <c r="AO115" s="106"/>
      <c r="AP115" s="106"/>
      <c r="AQ115" s="9"/>
      <c r="AR115" s="106"/>
      <c r="AS115" s="106"/>
      <c r="AT115" s="106"/>
      <c r="AU115" s="106"/>
      <c r="AV115" s="106"/>
      <c r="AW115" s="106"/>
      <c r="AX115" s="9"/>
    </row>
    <row r="116" spans="1:64" x14ac:dyDescent="0.25">
      <c r="A116" t="s">
        <v>330</v>
      </c>
      <c r="B116" s="106">
        <v>14.460830899366599</v>
      </c>
      <c r="C116" s="106">
        <v>11.269382271474324</v>
      </c>
      <c r="D116" s="106">
        <v>7.9992000000000001</v>
      </c>
      <c r="E116" s="106">
        <v>5.7362235571478868</v>
      </c>
      <c r="F116" s="106">
        <v>4.249911842640179</v>
      </c>
      <c r="G116" s="106">
        <v>3.6237362366975527</v>
      </c>
      <c r="H116" s="106"/>
      <c r="I116" s="106">
        <v>13.135843328864507</v>
      </c>
      <c r="J116" s="106">
        <v>10.032841615499999</v>
      </c>
      <c r="K116" s="106">
        <v>6.6376572816597772</v>
      </c>
      <c r="L116" s="106">
        <v>4.436223557147887</v>
      </c>
      <c r="M116" s="106">
        <v>2.9499118426401791</v>
      </c>
      <c r="N116" s="106">
        <v>2.3237362366975525</v>
      </c>
      <c r="O116" s="29"/>
      <c r="P116" s="106">
        <v>11.835843328864506</v>
      </c>
      <c r="Q116" s="106">
        <v>8.7328416154999982</v>
      </c>
      <c r="R116" s="106">
        <v>5.3376572816597774</v>
      </c>
      <c r="S116" s="106">
        <v>3.1362235571478871</v>
      </c>
      <c r="T116" s="106">
        <v>1.6499118426401791</v>
      </c>
      <c r="U116" s="106">
        <v>1.0237362366975524</v>
      </c>
      <c r="V116" s="9"/>
      <c r="W116" s="106">
        <v>10.435843328864506</v>
      </c>
      <c r="X116" s="106">
        <v>7.3328416154999978</v>
      </c>
      <c r="Y116" s="106">
        <v>3.9376572816597775</v>
      </c>
      <c r="Z116" s="106">
        <v>1.7362235571478872</v>
      </c>
      <c r="AA116" s="106">
        <v>0.24991184264017918</v>
      </c>
      <c r="AB116" s="106"/>
      <c r="AC116" s="9"/>
      <c r="AD116" s="106">
        <v>9.0358433288645053</v>
      </c>
      <c r="AE116" s="106">
        <v>5.9328416154999974</v>
      </c>
      <c r="AF116" s="106">
        <v>2.5376572816597776</v>
      </c>
      <c r="AG116" s="106">
        <v>0.33622355714788732</v>
      </c>
      <c r="AH116" s="106"/>
      <c r="AI116" s="106"/>
      <c r="AJ116" s="9"/>
      <c r="AK116" s="106">
        <v>7.7358433288645054</v>
      </c>
      <c r="AL116" s="106">
        <v>4.6328416154999976</v>
      </c>
      <c r="AM116" s="106">
        <v>1.2376572816597775</v>
      </c>
      <c r="AN116" s="106"/>
      <c r="AO116" s="106"/>
      <c r="AP116" s="106"/>
      <c r="AQ116" s="9"/>
      <c r="AR116" s="106">
        <v>6.4358433288645056</v>
      </c>
      <c r="AS116" s="106">
        <v>3.3328416154999978</v>
      </c>
      <c r="AT116" s="106"/>
      <c r="AU116" s="106"/>
      <c r="AV116" s="106"/>
      <c r="AW116" s="106"/>
      <c r="AX116" s="9"/>
      <c r="AY116" s="106"/>
      <c r="AZ116" s="117"/>
      <c r="BA116" s="117"/>
      <c r="BB116" s="117"/>
      <c r="BC116" s="117"/>
      <c r="BD116" s="117"/>
      <c r="BE116" s="117"/>
      <c r="BG116" s="446"/>
      <c r="BH116" s="446"/>
      <c r="BI116" s="446"/>
      <c r="BJ116" s="446"/>
      <c r="BK116" s="446"/>
      <c r="BL116" s="446"/>
    </row>
    <row r="117" spans="1:64" ht="13.05" hidden="1" customHeight="1" x14ac:dyDescent="0.25">
      <c r="A117" t="str">
        <f>Nutrients!B116</f>
        <v>Calcium sulfate, dihydrate</v>
      </c>
      <c r="B117" s="106"/>
      <c r="C117" s="106"/>
      <c r="D117" s="106"/>
      <c r="E117" s="106"/>
      <c r="F117" s="106"/>
      <c r="G117" s="106"/>
      <c r="H117" s="106"/>
      <c r="I117" s="106"/>
      <c r="J117" s="106"/>
      <c r="K117" s="106"/>
      <c r="L117" s="106"/>
      <c r="M117" s="106"/>
      <c r="N117" s="106"/>
      <c r="O117" s="29"/>
      <c r="P117" s="106"/>
      <c r="Q117" s="106"/>
      <c r="R117" s="106"/>
      <c r="S117" s="106"/>
      <c r="T117" s="106"/>
      <c r="U117" s="106"/>
      <c r="V117" s="9"/>
      <c r="W117" s="106"/>
      <c r="X117" s="106"/>
      <c r="Y117" s="106"/>
      <c r="Z117" s="106"/>
      <c r="AA117" s="106"/>
      <c r="AB117" s="106"/>
      <c r="AC117" s="9"/>
      <c r="AD117" s="106"/>
      <c r="AE117" s="106"/>
      <c r="AF117" s="106"/>
      <c r="AG117" s="106"/>
      <c r="AH117" s="106"/>
      <c r="AI117" s="106"/>
      <c r="AJ117" s="9"/>
      <c r="AK117" s="106"/>
      <c r="AL117" s="106"/>
      <c r="AM117" s="106"/>
      <c r="AN117" s="106"/>
      <c r="AO117" s="106"/>
      <c r="AP117" s="106"/>
      <c r="AQ117" s="9"/>
      <c r="AR117" s="106"/>
      <c r="AS117" s="106"/>
      <c r="AT117" s="106"/>
      <c r="AU117" s="106"/>
      <c r="AV117" s="106"/>
      <c r="AW117" s="106"/>
      <c r="AX117" s="9"/>
    </row>
    <row r="118" spans="1:64" ht="13.05" hidden="1" customHeight="1" x14ac:dyDescent="0.25">
      <c r="A118" t="str">
        <f>Nutrients!B117</f>
        <v>Limestone, ground</v>
      </c>
      <c r="B118" s="106"/>
      <c r="C118" s="106"/>
      <c r="D118" s="106"/>
      <c r="E118" s="106"/>
      <c r="F118" s="106"/>
      <c r="G118" s="106"/>
      <c r="H118" s="106"/>
      <c r="I118" s="106"/>
      <c r="J118" s="106"/>
      <c r="K118" s="106"/>
      <c r="L118" s="106"/>
      <c r="M118" s="106"/>
      <c r="N118" s="106"/>
      <c r="O118" s="29"/>
      <c r="P118" s="106"/>
      <c r="Q118" s="106"/>
      <c r="R118" s="106"/>
      <c r="S118" s="106"/>
      <c r="T118" s="106"/>
      <c r="U118" s="106"/>
      <c r="V118" s="9"/>
      <c r="W118" s="106"/>
      <c r="X118" s="106"/>
      <c r="Y118" s="106"/>
      <c r="Z118" s="106"/>
      <c r="AA118" s="106"/>
      <c r="AB118" s="106"/>
      <c r="AC118" s="9"/>
      <c r="AD118" s="106"/>
      <c r="AE118" s="106"/>
      <c r="AF118" s="106"/>
      <c r="AG118" s="106"/>
      <c r="AH118" s="106"/>
      <c r="AI118" s="106"/>
      <c r="AJ118" s="9"/>
      <c r="AK118" s="106"/>
      <c r="AL118" s="106"/>
      <c r="AM118" s="106"/>
      <c r="AN118" s="106"/>
      <c r="AO118" s="106"/>
      <c r="AP118" s="106"/>
      <c r="AQ118" s="9"/>
      <c r="AR118" s="106"/>
      <c r="AS118" s="106"/>
      <c r="AT118" s="106"/>
      <c r="AU118" s="106"/>
      <c r="AV118" s="106"/>
      <c r="AW118" s="106"/>
      <c r="AX118" s="9"/>
    </row>
    <row r="119" spans="1:64" ht="13.05" hidden="1" customHeight="1" x14ac:dyDescent="0.25">
      <c r="A119" t="str">
        <f>Nutrients!B118</f>
        <v>Magnesium phosphate</v>
      </c>
      <c r="B119" s="106"/>
      <c r="C119" s="106"/>
      <c r="D119" s="106"/>
      <c r="E119" s="106"/>
      <c r="F119" s="106"/>
      <c r="G119" s="106"/>
      <c r="H119" s="106"/>
      <c r="I119" s="106"/>
      <c r="J119" s="106"/>
      <c r="K119" s="106"/>
      <c r="L119" s="106"/>
      <c r="M119" s="106"/>
      <c r="N119" s="106"/>
      <c r="O119" s="29"/>
      <c r="P119" s="106"/>
      <c r="Q119" s="106"/>
      <c r="R119" s="106"/>
      <c r="S119" s="106"/>
      <c r="T119" s="106"/>
      <c r="U119" s="106"/>
      <c r="V119" s="9"/>
      <c r="W119" s="106"/>
      <c r="X119" s="106"/>
      <c r="Y119" s="106"/>
      <c r="Z119" s="106"/>
      <c r="AA119" s="106"/>
      <c r="AB119" s="106"/>
      <c r="AC119" s="9"/>
      <c r="AD119" s="106"/>
      <c r="AE119" s="106"/>
      <c r="AF119" s="106"/>
      <c r="AG119" s="106"/>
      <c r="AH119" s="106"/>
      <c r="AI119" s="106"/>
      <c r="AJ119" s="9"/>
      <c r="AK119" s="106"/>
      <c r="AL119" s="106"/>
      <c r="AM119" s="106"/>
      <c r="AN119" s="106"/>
      <c r="AO119" s="106"/>
      <c r="AP119" s="106"/>
      <c r="AQ119" s="9"/>
      <c r="AR119" s="106"/>
      <c r="AS119" s="106"/>
      <c r="AT119" s="106"/>
      <c r="AU119" s="106"/>
      <c r="AV119" s="106"/>
      <c r="AW119" s="106"/>
      <c r="AX119" s="9"/>
    </row>
    <row r="120" spans="1:64" ht="13.05" hidden="1" customHeight="1" x14ac:dyDescent="0.25">
      <c r="A120" t="str">
        <f>Nutrients!B119</f>
        <v>Sodium carbonate</v>
      </c>
      <c r="B120" s="106"/>
      <c r="C120" s="106"/>
      <c r="D120" s="106"/>
      <c r="E120" s="106"/>
      <c r="F120" s="106"/>
      <c r="G120" s="106"/>
      <c r="H120" s="106"/>
      <c r="I120" s="106"/>
      <c r="J120" s="106"/>
      <c r="K120" s="106"/>
      <c r="L120" s="106"/>
      <c r="M120" s="106"/>
      <c r="N120" s="106"/>
      <c r="O120" s="29"/>
      <c r="P120" s="106"/>
      <c r="Q120" s="106"/>
      <c r="R120" s="106"/>
      <c r="S120" s="106"/>
      <c r="T120" s="106"/>
      <c r="U120" s="106"/>
      <c r="V120" s="9"/>
      <c r="W120" s="106"/>
      <c r="X120" s="106"/>
      <c r="Y120" s="106"/>
      <c r="Z120" s="106"/>
      <c r="AA120" s="106"/>
      <c r="AB120" s="106"/>
      <c r="AC120" s="9"/>
      <c r="AD120" s="106"/>
      <c r="AE120" s="106"/>
      <c r="AF120" s="106"/>
      <c r="AG120" s="106"/>
      <c r="AH120" s="106"/>
      <c r="AI120" s="106"/>
      <c r="AJ120" s="9"/>
      <c r="AK120" s="106"/>
      <c r="AL120" s="106"/>
      <c r="AM120" s="106"/>
      <c r="AN120" s="106"/>
      <c r="AO120" s="106"/>
      <c r="AP120" s="106"/>
      <c r="AQ120" s="9"/>
      <c r="AR120" s="106"/>
      <c r="AS120" s="106"/>
      <c r="AT120" s="106"/>
      <c r="AU120" s="106"/>
      <c r="AV120" s="106"/>
      <c r="AW120" s="106"/>
      <c r="AX120" s="9"/>
    </row>
    <row r="121" spans="1:64" ht="13.05" hidden="1" customHeight="1" x14ac:dyDescent="0.25">
      <c r="A121" t="str">
        <f>Nutrients!B120</f>
        <v>Sodium bicarbonate</v>
      </c>
      <c r="B121" s="106"/>
      <c r="C121" s="106"/>
      <c r="D121" s="106"/>
      <c r="E121" s="106"/>
      <c r="F121" s="106"/>
      <c r="G121" s="106"/>
      <c r="H121" s="106"/>
      <c r="I121" s="106"/>
      <c r="J121" s="106"/>
      <c r="K121" s="106"/>
      <c r="L121" s="106"/>
      <c r="M121" s="106"/>
      <c r="N121" s="106"/>
      <c r="O121" s="29"/>
      <c r="P121" s="106"/>
      <c r="Q121" s="106"/>
      <c r="R121" s="106"/>
      <c r="S121" s="106"/>
      <c r="T121" s="106"/>
      <c r="U121" s="106"/>
      <c r="V121" s="9"/>
      <c r="W121" s="106"/>
      <c r="X121" s="106"/>
      <c r="Y121" s="106"/>
      <c r="Z121" s="106"/>
      <c r="AA121" s="106"/>
      <c r="AB121" s="106"/>
      <c r="AC121" s="9"/>
      <c r="AD121" s="106"/>
      <c r="AE121" s="106"/>
      <c r="AF121" s="106"/>
      <c r="AG121" s="106"/>
      <c r="AH121" s="106"/>
      <c r="AI121" s="106"/>
      <c r="AJ121" s="9"/>
      <c r="AK121" s="106"/>
      <c r="AL121" s="106"/>
      <c r="AM121" s="106"/>
      <c r="AN121" s="106"/>
      <c r="AO121" s="106"/>
      <c r="AP121" s="106"/>
      <c r="AQ121" s="9"/>
      <c r="AR121" s="106"/>
      <c r="AS121" s="106"/>
      <c r="AT121" s="106"/>
      <c r="AU121" s="106"/>
      <c r="AV121" s="106"/>
      <c r="AW121" s="106"/>
      <c r="AX121" s="9"/>
    </row>
    <row r="122" spans="1:64" x14ac:dyDescent="0.25">
      <c r="A122" t="str">
        <f>Nutrients!B121</f>
        <v>Sodium chloride</v>
      </c>
      <c r="B122" s="106">
        <v>7</v>
      </c>
      <c r="C122" s="106">
        <v>7</v>
      </c>
      <c r="D122" s="106">
        <v>7</v>
      </c>
      <c r="E122" s="106">
        <v>7</v>
      </c>
      <c r="F122" s="106">
        <v>7</v>
      </c>
      <c r="G122" s="106">
        <v>7</v>
      </c>
      <c r="H122" s="106"/>
      <c r="I122" s="106">
        <v>7</v>
      </c>
      <c r="J122" s="106">
        <v>7</v>
      </c>
      <c r="K122" s="106">
        <v>7</v>
      </c>
      <c r="L122" s="106">
        <v>7</v>
      </c>
      <c r="M122" s="106">
        <v>7</v>
      </c>
      <c r="N122" s="106">
        <v>7</v>
      </c>
      <c r="O122" s="29"/>
      <c r="P122" s="106">
        <v>7</v>
      </c>
      <c r="Q122" s="106">
        <v>7</v>
      </c>
      <c r="R122" s="106">
        <v>7</v>
      </c>
      <c r="S122" s="106">
        <v>7</v>
      </c>
      <c r="T122" s="106">
        <v>7</v>
      </c>
      <c r="U122" s="106">
        <v>7</v>
      </c>
      <c r="V122" s="9"/>
      <c r="W122" s="106">
        <v>7</v>
      </c>
      <c r="X122" s="106">
        <v>7</v>
      </c>
      <c r="Y122" s="106">
        <v>7</v>
      </c>
      <c r="Z122" s="106">
        <v>7</v>
      </c>
      <c r="AA122" s="106">
        <v>7</v>
      </c>
      <c r="AB122" s="106">
        <v>7</v>
      </c>
      <c r="AC122" s="9"/>
      <c r="AD122" s="106">
        <v>7</v>
      </c>
      <c r="AE122" s="106">
        <v>7</v>
      </c>
      <c r="AF122" s="106">
        <v>7</v>
      </c>
      <c r="AG122" s="106">
        <v>7</v>
      </c>
      <c r="AH122" s="106">
        <v>7</v>
      </c>
      <c r="AI122" s="106">
        <v>7</v>
      </c>
      <c r="AJ122" s="9"/>
      <c r="AK122" s="106">
        <v>7</v>
      </c>
      <c r="AL122" s="106">
        <v>7</v>
      </c>
      <c r="AM122" s="106">
        <v>7</v>
      </c>
      <c r="AN122" s="106">
        <v>7</v>
      </c>
      <c r="AO122" s="106">
        <v>7</v>
      </c>
      <c r="AP122" s="106">
        <v>7</v>
      </c>
      <c r="AQ122" s="9"/>
      <c r="AR122" s="106">
        <v>7</v>
      </c>
      <c r="AS122" s="106">
        <v>7</v>
      </c>
      <c r="AT122" s="106">
        <v>7</v>
      </c>
      <c r="AU122" s="106">
        <v>7</v>
      </c>
      <c r="AV122" s="106">
        <v>7</v>
      </c>
      <c r="AW122" s="106">
        <v>7</v>
      </c>
      <c r="AX122" s="9"/>
    </row>
    <row r="123" spans="1:64" ht="13.05" hidden="1" customHeight="1" x14ac:dyDescent="0.25">
      <c r="A123" t="str">
        <f>Nutrients!B122</f>
        <v>Sodium phosphate, monobasic</v>
      </c>
      <c r="B123" s="106"/>
      <c r="C123" s="106"/>
      <c r="D123" s="106"/>
      <c r="E123" s="106"/>
      <c r="F123" s="106"/>
      <c r="G123" s="106"/>
      <c r="H123" s="106"/>
      <c r="I123" s="106"/>
      <c r="J123" s="106"/>
      <c r="K123" s="106"/>
      <c r="L123" s="106"/>
      <c r="M123" s="106"/>
      <c r="N123" s="106"/>
      <c r="O123" s="29"/>
      <c r="P123" s="106"/>
      <c r="Q123" s="106"/>
      <c r="R123" s="106"/>
      <c r="S123" s="106"/>
      <c r="T123" s="106"/>
      <c r="U123" s="106"/>
      <c r="V123" s="9"/>
      <c r="W123" s="106"/>
      <c r="X123" s="106"/>
      <c r="Y123" s="106"/>
      <c r="Z123" s="106"/>
      <c r="AA123" s="106"/>
      <c r="AB123" s="106"/>
      <c r="AC123" s="9"/>
      <c r="AD123" s="106"/>
      <c r="AE123" s="106"/>
      <c r="AF123" s="106"/>
      <c r="AG123" s="106"/>
      <c r="AH123" s="106"/>
      <c r="AI123" s="106"/>
      <c r="AJ123" s="9"/>
      <c r="AK123" s="106"/>
      <c r="AL123" s="106"/>
      <c r="AM123" s="106"/>
      <c r="AN123" s="106"/>
      <c r="AO123" s="106"/>
      <c r="AP123" s="106"/>
      <c r="AQ123" s="9"/>
      <c r="AR123" s="106"/>
      <c r="AS123" s="106"/>
      <c r="AT123" s="106"/>
      <c r="AU123" s="106"/>
      <c r="AV123" s="106"/>
      <c r="AW123" s="106"/>
      <c r="AX123" s="9"/>
    </row>
    <row r="124" spans="1:64" ht="13.05" hidden="1" customHeight="1" x14ac:dyDescent="0.25">
      <c r="A124" t="str">
        <f>Nutrients!B123</f>
        <v>Sodium sulfate, decahydrate</v>
      </c>
      <c r="B124" s="106"/>
      <c r="C124" s="106"/>
      <c r="D124" s="106"/>
      <c r="E124" s="106"/>
      <c r="F124" s="106"/>
      <c r="G124" s="106"/>
      <c r="H124" s="106"/>
      <c r="I124" s="106"/>
      <c r="J124" s="106"/>
      <c r="K124" s="106"/>
      <c r="L124" s="106"/>
      <c r="M124" s="106"/>
      <c r="N124" s="106"/>
      <c r="O124" s="29"/>
      <c r="P124" s="106"/>
      <c r="Q124" s="106"/>
      <c r="R124" s="106"/>
      <c r="S124" s="106"/>
      <c r="T124" s="106"/>
      <c r="U124" s="106"/>
      <c r="V124" s="9"/>
      <c r="W124" s="106"/>
      <c r="X124" s="106"/>
      <c r="Y124" s="106"/>
      <c r="Z124" s="106"/>
      <c r="AA124" s="106"/>
      <c r="AB124" s="106"/>
      <c r="AC124" s="9"/>
      <c r="AD124" s="106"/>
      <c r="AE124" s="106"/>
      <c r="AF124" s="106"/>
      <c r="AG124" s="106"/>
      <c r="AH124" s="106"/>
      <c r="AI124" s="106"/>
      <c r="AJ124" s="9"/>
      <c r="AK124" s="106"/>
      <c r="AL124" s="106"/>
      <c r="AM124" s="106"/>
      <c r="AN124" s="106"/>
      <c r="AO124" s="106"/>
      <c r="AP124" s="106"/>
      <c r="AQ124" s="9"/>
      <c r="AR124" s="106"/>
      <c r="AS124" s="106"/>
      <c r="AT124" s="106"/>
      <c r="AU124" s="106"/>
      <c r="AV124" s="106"/>
      <c r="AW124" s="106"/>
      <c r="AX124" s="9"/>
    </row>
    <row r="125" spans="1:64" x14ac:dyDescent="0.25">
      <c r="A125" t="s">
        <v>377</v>
      </c>
      <c r="B125" s="106">
        <v>9</v>
      </c>
      <c r="C125" s="106">
        <v>8</v>
      </c>
      <c r="D125" s="106">
        <v>7</v>
      </c>
      <c r="E125" s="106">
        <v>6.5209098242968704</v>
      </c>
      <c r="F125" s="106">
        <v>6.5209098242968704</v>
      </c>
      <c r="G125" s="106">
        <v>6.5209098242968704</v>
      </c>
      <c r="H125" s="106"/>
      <c r="I125" s="106">
        <v>9.43</v>
      </c>
      <c r="J125" s="106">
        <v>8.43</v>
      </c>
      <c r="K125" s="106">
        <v>7.43</v>
      </c>
      <c r="L125" s="106">
        <v>6.9509098242968701</v>
      </c>
      <c r="M125" s="106">
        <v>6.9509098242968701</v>
      </c>
      <c r="N125" s="106">
        <v>6.9509098242968701</v>
      </c>
      <c r="O125" s="106"/>
      <c r="P125" s="106">
        <v>9.86</v>
      </c>
      <c r="Q125" s="106">
        <v>8.86</v>
      </c>
      <c r="R125" s="106">
        <v>7.8599999999999994</v>
      </c>
      <c r="S125" s="106">
        <v>7.3809098242968698</v>
      </c>
      <c r="T125" s="106">
        <v>7.3809098242968698</v>
      </c>
      <c r="U125" s="106">
        <v>7.3809098242968698</v>
      </c>
      <c r="V125" s="106"/>
      <c r="W125" s="106">
        <v>10.29</v>
      </c>
      <c r="X125" s="106">
        <v>9.2899999999999991</v>
      </c>
      <c r="Y125" s="106">
        <v>8.2899999999999991</v>
      </c>
      <c r="Z125" s="106">
        <v>7.8109098242968695</v>
      </c>
      <c r="AA125" s="106">
        <v>7.8109098242968695</v>
      </c>
      <c r="AB125" s="106">
        <v>7.8109098242968695</v>
      </c>
      <c r="AC125" s="106"/>
      <c r="AD125" s="106">
        <v>10.719999999999999</v>
      </c>
      <c r="AE125" s="106">
        <v>9.7199999999999989</v>
      </c>
      <c r="AF125" s="106">
        <v>8.7199999999999989</v>
      </c>
      <c r="AG125" s="106">
        <v>8.2409098242968692</v>
      </c>
      <c r="AH125" s="106">
        <v>8.2409098242968692</v>
      </c>
      <c r="AI125" s="106">
        <v>8.2409098242968692</v>
      </c>
      <c r="AJ125" s="106"/>
      <c r="AK125" s="106">
        <v>11.149999999999999</v>
      </c>
      <c r="AL125" s="106">
        <v>10.149999999999999</v>
      </c>
      <c r="AM125" s="106">
        <v>9.1499999999999986</v>
      </c>
      <c r="AN125" s="106">
        <v>8.670909824296869</v>
      </c>
      <c r="AO125" s="106">
        <v>8.670909824296869</v>
      </c>
      <c r="AP125" s="106">
        <v>8.670909824296869</v>
      </c>
      <c r="AQ125" s="106"/>
      <c r="AR125" s="106">
        <v>11.579999999999998</v>
      </c>
      <c r="AS125" s="106">
        <v>10.579999999999998</v>
      </c>
      <c r="AT125" s="106">
        <v>9.5799999999999983</v>
      </c>
      <c r="AU125" s="106">
        <v>9.1009098242968687</v>
      </c>
      <c r="AV125" s="106">
        <v>9.1009098242968687</v>
      </c>
      <c r="AW125" s="106">
        <v>9.1009098242968687</v>
      </c>
      <c r="AX125" s="9"/>
      <c r="AY125" s="106"/>
      <c r="AZ125" s="117"/>
      <c r="BA125" s="106"/>
      <c r="BB125" s="117"/>
      <c r="BC125" s="117"/>
      <c r="BD125" s="117"/>
      <c r="BE125" s="117"/>
      <c r="BG125" s="447"/>
      <c r="BH125" s="447"/>
      <c r="BI125" s="447"/>
      <c r="BJ125" s="447"/>
      <c r="BK125" s="447"/>
      <c r="BL125" s="447"/>
    </row>
    <row r="126" spans="1:64" x14ac:dyDescent="0.25">
      <c r="A126" t="s">
        <v>338</v>
      </c>
      <c r="B126" s="106">
        <v>2.7899868108851815</v>
      </c>
      <c r="C126" s="106">
        <v>1.9290679550175049</v>
      </c>
      <c r="D126" s="106">
        <v>1.13207908850893</v>
      </c>
      <c r="E126" s="106">
        <v>0.75200939944039891</v>
      </c>
      <c r="F126" s="106">
        <v>0.4642187503637718</v>
      </c>
      <c r="G126" s="106">
        <v>0.41815988679019511</v>
      </c>
      <c r="H126" s="106"/>
      <c r="I126" s="106">
        <v>2.5882973865483634</v>
      </c>
      <c r="J126" s="106">
        <v>1.7277975810719512</v>
      </c>
      <c r="K126" s="106">
        <v>0.93207908850893006</v>
      </c>
      <c r="L126" s="106">
        <v>0.53200939944039893</v>
      </c>
      <c r="M126" s="106">
        <v>0.2442187503637718</v>
      </c>
      <c r="N126" s="106">
        <v>0.2181598867901951</v>
      </c>
      <c r="O126" s="29"/>
      <c r="P126" s="106">
        <v>2.3882973865483632</v>
      </c>
      <c r="Q126" s="106">
        <v>1.5277975810719513</v>
      </c>
      <c r="R126" s="106">
        <v>0.73207908850893011</v>
      </c>
      <c r="S126" s="106">
        <v>0.33200939944039892</v>
      </c>
      <c r="T126" s="106"/>
      <c r="U126" s="106"/>
      <c r="V126" s="9"/>
      <c r="W126" s="106">
        <v>2.188297386548363</v>
      </c>
      <c r="X126" s="106">
        <v>1.3277975810719513</v>
      </c>
      <c r="Y126" s="106">
        <v>0.53207908850893015</v>
      </c>
      <c r="Z126" s="106">
        <v>0.13200939944039891</v>
      </c>
      <c r="AA126" s="106"/>
      <c r="AB126" s="106"/>
      <c r="AC126" s="9"/>
      <c r="AD126" s="106">
        <v>1.9882973865483631</v>
      </c>
      <c r="AE126" s="106">
        <v>1.1277975810719514</v>
      </c>
      <c r="AF126" s="106">
        <v>0.33207908850893014</v>
      </c>
      <c r="AG126" s="106"/>
      <c r="AH126" s="106"/>
      <c r="AI126" s="106"/>
      <c r="AJ126" s="9"/>
      <c r="AK126" s="106">
        <v>1.7882973865483631</v>
      </c>
      <c r="AL126" s="106">
        <v>0.92779758107195143</v>
      </c>
      <c r="AM126" s="106"/>
      <c r="AN126" s="106"/>
      <c r="AO126" s="106"/>
      <c r="AP126" s="106"/>
      <c r="AQ126" s="9"/>
      <c r="AR126" s="106">
        <v>1.5882973865483632</v>
      </c>
      <c r="AS126" s="106">
        <v>0.72779758107195147</v>
      </c>
      <c r="AT126" s="106"/>
      <c r="AU126" s="106"/>
      <c r="AV126" s="106"/>
      <c r="AW126" s="106"/>
      <c r="AX126" s="9"/>
      <c r="AY126" s="106"/>
      <c r="AZ126" s="117"/>
      <c r="BA126" s="117"/>
      <c r="BB126" s="117"/>
      <c r="BC126" s="117"/>
      <c r="BD126" s="117"/>
      <c r="BE126" s="117"/>
      <c r="BG126" s="446"/>
      <c r="BH126" s="446"/>
      <c r="BI126" s="446"/>
      <c r="BJ126" s="446"/>
      <c r="BK126" s="446"/>
      <c r="BL126" s="446"/>
    </row>
    <row r="127" spans="1:64" x14ac:dyDescent="0.25">
      <c r="A127" t="s">
        <v>339</v>
      </c>
      <c r="B127" s="106">
        <v>3.311714981497218</v>
      </c>
      <c r="C127" s="106">
        <v>2.6822978939662598</v>
      </c>
      <c r="D127" s="106">
        <v>2.0730406828281205</v>
      </c>
      <c r="E127" s="106">
        <v>1.9101926587313733</v>
      </c>
      <c r="F127" s="106">
        <v>1.8273540665098165</v>
      </c>
      <c r="G127" s="106">
        <v>1.8754623140236151</v>
      </c>
      <c r="H127" s="106"/>
      <c r="I127" s="106">
        <v>3.1917149814972179</v>
      </c>
      <c r="J127" s="106">
        <v>2.5622978939662597</v>
      </c>
      <c r="K127" s="106">
        <v>1.9530406828281204</v>
      </c>
      <c r="L127" s="106">
        <v>1.7801926587313734</v>
      </c>
      <c r="M127" s="106">
        <v>1.6773540665098166</v>
      </c>
      <c r="N127" s="106">
        <v>1.7554623140236152</v>
      </c>
      <c r="O127" s="29"/>
      <c r="P127" s="106">
        <v>3.0717149814972178</v>
      </c>
      <c r="Q127" s="106">
        <v>2.4522978939662599</v>
      </c>
      <c r="R127" s="106">
        <v>1.8430406828281203</v>
      </c>
      <c r="S127" s="106">
        <v>1.6601926587313733</v>
      </c>
      <c r="T127" s="106">
        <v>1.5573540665098164</v>
      </c>
      <c r="U127" s="106">
        <v>1.6454623140236151</v>
      </c>
      <c r="V127" s="9"/>
      <c r="W127" s="106">
        <v>2.9617149814972179</v>
      </c>
      <c r="X127" s="106">
        <v>2.34229789396626</v>
      </c>
      <c r="Y127" s="106">
        <v>1.7330406828281202</v>
      </c>
      <c r="Z127" s="106">
        <v>1.5501926587313732</v>
      </c>
      <c r="AA127" s="106">
        <v>1.4473540665098164</v>
      </c>
      <c r="AB127" s="106">
        <v>1.535462314023615</v>
      </c>
      <c r="AC127" s="9"/>
      <c r="AD127" s="106">
        <v>2.851714981497218</v>
      </c>
      <c r="AE127" s="106">
        <v>2.2322978939662601</v>
      </c>
      <c r="AF127" s="106">
        <v>1.6230406828281201</v>
      </c>
      <c r="AG127" s="106">
        <v>1.4401926587313731</v>
      </c>
      <c r="AH127" s="106">
        <v>1.3373540665098163</v>
      </c>
      <c r="AI127" s="106">
        <v>1.4254623140236149</v>
      </c>
      <c r="AJ127" s="9"/>
      <c r="AK127" s="106">
        <v>2.7417149814972182</v>
      </c>
      <c r="AL127" s="106">
        <v>2.1222978939662602</v>
      </c>
      <c r="AM127" s="106">
        <v>1.51304068282812</v>
      </c>
      <c r="AN127" s="106">
        <v>1.330192658731373</v>
      </c>
      <c r="AO127" s="106">
        <v>1.2273540665098162</v>
      </c>
      <c r="AP127" s="106">
        <v>1.3154623140236148</v>
      </c>
      <c r="AQ127" s="9"/>
      <c r="AR127" s="106">
        <v>2.6317149814972183</v>
      </c>
      <c r="AS127" s="106">
        <v>2.0122978939662604</v>
      </c>
      <c r="AT127" s="106">
        <v>1.4030406828281199</v>
      </c>
      <c r="AU127" s="106">
        <v>1.2201926587313729</v>
      </c>
      <c r="AV127" s="106">
        <v>1.1173540665098161</v>
      </c>
      <c r="AW127" s="106">
        <v>1.2054623140236147</v>
      </c>
      <c r="AX127" s="9"/>
      <c r="AY127" s="106"/>
      <c r="AZ127" s="117"/>
      <c r="BA127" s="106"/>
      <c r="BB127" s="117"/>
      <c r="BC127" s="117"/>
      <c r="BD127" s="117"/>
      <c r="BE127" s="117"/>
      <c r="BG127" s="447"/>
      <c r="BH127" s="447"/>
      <c r="BI127" s="447"/>
      <c r="BJ127" s="447"/>
      <c r="BK127" s="447"/>
      <c r="BL127" s="447"/>
    </row>
    <row r="128" spans="1:64" x14ac:dyDescent="0.25">
      <c r="A128" t="s">
        <v>340</v>
      </c>
      <c r="B128" s="106">
        <v>0.64715411983197724</v>
      </c>
      <c r="C128" s="106">
        <v>0.56508100549263673</v>
      </c>
      <c r="D128" s="106">
        <v>0.47170370784158877</v>
      </c>
      <c r="E128" s="106">
        <v>0.46467722263870981</v>
      </c>
      <c r="F128" s="106">
        <v>0.5242318057378007</v>
      </c>
      <c r="G128" s="106">
        <v>0.53625865021646124</v>
      </c>
      <c r="H128" s="106"/>
      <c r="I128" s="106">
        <v>0.71347901910320866</v>
      </c>
      <c r="J128" s="106">
        <v>0.6303749007613858</v>
      </c>
      <c r="K128" s="106">
        <v>0.53614770830416902</v>
      </c>
      <c r="L128" s="106">
        <v>0.52160740074835188</v>
      </c>
      <c r="M128" s="106">
        <v>0.57180239827998214</v>
      </c>
      <c r="N128" s="106">
        <v>0.59929639982485594</v>
      </c>
      <c r="O128" s="29"/>
      <c r="P128" s="106">
        <v>0.77844506115054912</v>
      </c>
      <c r="Q128" s="106">
        <v>0.69469309080141695</v>
      </c>
      <c r="R128" s="106">
        <v>0.59614770830416908</v>
      </c>
      <c r="S128" s="106">
        <v>0.58160740074835182</v>
      </c>
      <c r="T128" s="106">
        <v>0.63180239827998208</v>
      </c>
      <c r="U128" s="106">
        <v>0.65929639982485599</v>
      </c>
      <c r="V128" s="9"/>
      <c r="W128" s="106">
        <v>0.83844506115054918</v>
      </c>
      <c r="X128" s="106">
        <v>0.75469309080141689</v>
      </c>
      <c r="Y128" s="106">
        <v>0.65614770830416913</v>
      </c>
      <c r="Z128" s="106">
        <v>0.64160740074835187</v>
      </c>
      <c r="AA128" s="106">
        <v>0.69180239827998213</v>
      </c>
      <c r="AB128" s="106">
        <v>0.71929639982485605</v>
      </c>
      <c r="AC128" s="9"/>
      <c r="AD128" s="106">
        <v>0.87844506115054921</v>
      </c>
      <c r="AE128" s="106">
        <v>0.79469309080141692</v>
      </c>
      <c r="AF128" s="106">
        <v>0.71614770830416918</v>
      </c>
      <c r="AG128" s="106">
        <v>0.70160740074835193</v>
      </c>
      <c r="AH128" s="106">
        <v>0.75180239827998219</v>
      </c>
      <c r="AI128" s="106">
        <v>0.7792963998248561</v>
      </c>
      <c r="AJ128" s="9"/>
      <c r="AK128" s="106">
        <v>0.93844506115054926</v>
      </c>
      <c r="AL128" s="106">
        <v>0.85469309080141698</v>
      </c>
      <c r="AM128" s="106">
        <v>0.77614770830416924</v>
      </c>
      <c r="AN128" s="106">
        <v>0.76160740074835198</v>
      </c>
      <c r="AO128" s="106">
        <v>0.81180239827998224</v>
      </c>
      <c r="AP128" s="106">
        <v>0.83929639982485615</v>
      </c>
      <c r="AQ128" s="9"/>
      <c r="AR128" s="106">
        <v>0.99844506115054932</v>
      </c>
      <c r="AS128" s="106">
        <v>0.91469309080141703</v>
      </c>
      <c r="AT128" s="106">
        <v>0.83614770830416929</v>
      </c>
      <c r="AU128" s="106">
        <v>0.82160740074835203</v>
      </c>
      <c r="AV128" s="106">
        <v>0.87180239827998229</v>
      </c>
      <c r="AW128" s="106">
        <v>0.89929639982485621</v>
      </c>
      <c r="AX128" s="9"/>
      <c r="AY128" s="106"/>
      <c r="AZ128" s="117"/>
      <c r="BA128" s="117"/>
      <c r="BB128" s="117"/>
      <c r="BC128" s="117"/>
      <c r="BD128" s="117"/>
      <c r="BE128" s="117"/>
      <c r="BG128" s="447"/>
      <c r="BH128" s="447"/>
      <c r="BI128" s="447"/>
      <c r="BJ128" s="447"/>
      <c r="BK128" s="447"/>
      <c r="BL128" s="447"/>
    </row>
    <row r="129" spans="1:64" x14ac:dyDescent="0.25">
      <c r="A129" t="s">
        <v>341</v>
      </c>
      <c r="B129" s="106">
        <v>1.4782324055847444</v>
      </c>
      <c r="C129" s="106">
        <v>0.90319623176357955</v>
      </c>
      <c r="D129" s="106">
        <v>0.3833689639367559</v>
      </c>
      <c r="E129" s="106">
        <v>0.26954963031428469</v>
      </c>
      <c r="F129" s="106">
        <v>0.33319678683181891</v>
      </c>
      <c r="G129" s="106">
        <v>0.31598976510963955</v>
      </c>
      <c r="H129" s="106"/>
      <c r="I129" s="106">
        <v>1.1534631270189402</v>
      </c>
      <c r="J129" s="106">
        <v>0.64207904176193298</v>
      </c>
      <c r="K129" s="106">
        <v>0.24476566251149814</v>
      </c>
      <c r="L129" s="106">
        <v>0.10147995851664067</v>
      </c>
      <c r="M129" s="91">
        <v>0.14083246142135958</v>
      </c>
      <c r="N129" s="106">
        <v>0.17761691396538071</v>
      </c>
      <c r="O129" s="29"/>
      <c r="P129" s="106">
        <v>0.91004830116844904</v>
      </c>
      <c r="Q129" s="106">
        <v>0.45044963519489228</v>
      </c>
      <c r="R129" s="106">
        <v>0.11582866630828675</v>
      </c>
      <c r="S129" s="106"/>
      <c r="T129" s="106"/>
      <c r="U129" s="106"/>
      <c r="V129" s="9"/>
      <c r="W129" s="106">
        <v>0.66589817086726644</v>
      </c>
      <c r="X129" s="106">
        <v>0.30659494288285954</v>
      </c>
      <c r="Y129" s="106"/>
      <c r="Z129" s="106"/>
      <c r="AA129" s="106"/>
      <c r="AB129" s="106"/>
      <c r="AC129" s="9"/>
      <c r="AD129" s="106">
        <v>0.5460433606692181</v>
      </c>
      <c r="AE129" s="106">
        <v>0.16701127287845019</v>
      </c>
      <c r="AF129" s="106"/>
      <c r="AG129" s="106"/>
      <c r="AH129" s="106"/>
      <c r="AI129" s="106"/>
      <c r="AJ129" s="9"/>
      <c r="AK129" s="106">
        <v>0.38209282857183691</v>
      </c>
      <c r="AL129" s="106">
        <v>4.0746449517981703E-2</v>
      </c>
      <c r="AM129" s="106"/>
      <c r="AN129" s="106"/>
      <c r="AO129" s="106"/>
      <c r="AP129" s="106"/>
      <c r="AQ129" s="9"/>
      <c r="AR129" s="106">
        <v>0.23881768344794968</v>
      </c>
      <c r="AS129" s="106"/>
      <c r="AT129" s="106"/>
      <c r="AU129" s="106"/>
      <c r="AV129" s="106"/>
      <c r="AW129" s="106"/>
      <c r="AX129" s="9"/>
      <c r="AY129" s="106"/>
      <c r="AZ129" s="117"/>
      <c r="BA129" s="117"/>
      <c r="BB129" s="117"/>
      <c r="BC129" s="117"/>
      <c r="BD129" s="117"/>
      <c r="BE129" s="117"/>
      <c r="BG129" s="446"/>
      <c r="BH129" s="446"/>
      <c r="BI129" s="446"/>
      <c r="BJ129" s="446"/>
      <c r="BK129" s="446"/>
      <c r="BL129" s="446"/>
    </row>
    <row r="130" spans="1:64" ht="13.05" hidden="1" customHeight="1" x14ac:dyDescent="0.25">
      <c r="A130" t="str">
        <f>Nutrients!B129</f>
        <v>L-Ile</v>
      </c>
      <c r="B130" s="106"/>
      <c r="C130" s="106"/>
      <c r="D130" s="106"/>
      <c r="E130" s="106"/>
      <c r="F130" s="106"/>
      <c r="G130" s="106"/>
      <c r="H130" s="106"/>
      <c r="I130" s="106"/>
      <c r="J130" s="106"/>
      <c r="K130" s="106"/>
      <c r="L130" s="106"/>
      <c r="M130" s="106"/>
      <c r="N130" s="106"/>
      <c r="O130" s="29"/>
      <c r="P130" s="106"/>
      <c r="Q130" s="106"/>
      <c r="R130" s="106"/>
      <c r="S130" s="106"/>
      <c r="T130" s="106"/>
      <c r="U130" s="106"/>
      <c r="V130" s="9"/>
      <c r="W130" s="106"/>
      <c r="X130" s="106"/>
      <c r="Y130" s="106"/>
      <c r="Z130" s="106"/>
      <c r="AA130" s="106"/>
      <c r="AB130" s="106"/>
      <c r="AC130" s="9"/>
      <c r="AD130" s="106"/>
      <c r="AE130" s="106"/>
      <c r="AF130" s="106"/>
      <c r="AG130" s="106"/>
      <c r="AH130" s="106"/>
      <c r="AI130" s="106"/>
      <c r="AJ130" s="9"/>
      <c r="AK130" s="106"/>
      <c r="AL130" s="106"/>
      <c r="AM130" s="106"/>
      <c r="AN130" s="106"/>
      <c r="AO130" s="106"/>
      <c r="AP130" s="106"/>
      <c r="AQ130" s="9"/>
      <c r="AR130" s="106"/>
      <c r="AS130" s="106"/>
      <c r="AT130" s="106"/>
      <c r="AU130" s="106"/>
      <c r="AV130" s="106"/>
      <c r="AW130" s="106"/>
      <c r="AX130" s="9"/>
    </row>
    <row r="131" spans="1:64" ht="13.05" hidden="1" customHeight="1" x14ac:dyDescent="0.25">
      <c r="A131" t="str">
        <f>Nutrients!B130</f>
        <v>Methionine hydroxy analog</v>
      </c>
      <c r="B131" s="106"/>
      <c r="C131" s="106"/>
      <c r="D131" s="106"/>
      <c r="E131" s="106"/>
      <c r="F131" s="106"/>
      <c r="G131" s="106"/>
      <c r="H131" s="106"/>
      <c r="I131" s="106"/>
      <c r="J131" s="106"/>
      <c r="K131" s="106"/>
      <c r="L131" s="106"/>
      <c r="M131" s="106"/>
      <c r="N131" s="106"/>
      <c r="O131" s="29"/>
      <c r="P131" s="106"/>
      <c r="Q131" s="106"/>
      <c r="R131" s="106"/>
      <c r="S131" s="106"/>
      <c r="T131" s="106"/>
      <c r="U131" s="106"/>
      <c r="V131" s="9"/>
      <c r="W131" s="106"/>
      <c r="X131" s="106"/>
      <c r="Y131" s="106"/>
      <c r="Z131" s="106"/>
      <c r="AA131" s="106"/>
      <c r="AB131" s="106"/>
      <c r="AC131" s="9"/>
      <c r="AD131" s="106"/>
      <c r="AE131" s="106"/>
      <c r="AF131" s="106"/>
      <c r="AG131" s="106"/>
      <c r="AH131" s="106"/>
      <c r="AI131" s="106"/>
      <c r="AJ131" s="9"/>
      <c r="AK131" s="106"/>
      <c r="AL131" s="106"/>
      <c r="AM131" s="106"/>
      <c r="AN131" s="106"/>
      <c r="AO131" s="106"/>
      <c r="AP131" s="106"/>
      <c r="AQ131" s="9"/>
      <c r="AR131" s="106"/>
      <c r="AS131" s="106"/>
      <c r="AT131" s="106"/>
      <c r="AU131" s="106"/>
      <c r="AV131" s="106"/>
      <c r="AW131" s="106"/>
      <c r="AX131" s="9"/>
    </row>
    <row r="132" spans="1:64" ht="13.05" hidden="1" customHeight="1" x14ac:dyDescent="0.25">
      <c r="A132" t="str">
        <f>Nutrients!B131</f>
        <v>Glutamine</v>
      </c>
      <c r="B132" s="106"/>
      <c r="C132" s="106"/>
      <c r="D132" s="106"/>
      <c r="E132" s="106"/>
      <c r="F132" s="106"/>
      <c r="G132" s="106"/>
      <c r="H132" s="106"/>
      <c r="I132" s="106"/>
      <c r="J132" s="106"/>
      <c r="K132" s="106"/>
      <c r="L132" s="106"/>
      <c r="M132" s="106"/>
      <c r="N132" s="106"/>
      <c r="O132" s="29"/>
      <c r="P132" s="106"/>
      <c r="Q132" s="106"/>
      <c r="R132" s="106"/>
      <c r="S132" s="106"/>
      <c r="T132" s="106"/>
      <c r="U132" s="106"/>
      <c r="V132" s="9"/>
      <c r="W132" s="106"/>
      <c r="X132" s="106"/>
      <c r="Y132" s="106"/>
      <c r="Z132" s="106"/>
      <c r="AA132" s="106"/>
      <c r="AB132" s="106"/>
      <c r="AC132" s="9"/>
      <c r="AD132" s="106"/>
      <c r="AE132" s="106"/>
      <c r="AF132" s="106"/>
      <c r="AG132" s="106"/>
      <c r="AH132" s="106"/>
      <c r="AI132" s="106"/>
      <c r="AJ132" s="9"/>
      <c r="AK132" s="106"/>
      <c r="AL132" s="106"/>
      <c r="AM132" s="106"/>
      <c r="AN132" s="106"/>
      <c r="AO132" s="106"/>
      <c r="AP132" s="106"/>
      <c r="AQ132" s="9"/>
      <c r="AR132" s="106"/>
      <c r="AS132" s="106"/>
      <c r="AT132" s="106"/>
      <c r="AU132" s="106"/>
      <c r="AV132" s="106"/>
      <c r="AW132" s="106"/>
      <c r="AX132" s="9"/>
    </row>
    <row r="133" spans="1:64" ht="13.05" hidden="1" customHeight="1" x14ac:dyDescent="0.25">
      <c r="A133" t="str">
        <f>Nutrients!B132</f>
        <v>Glutamic acid</v>
      </c>
      <c r="B133" s="106"/>
      <c r="C133" s="106"/>
      <c r="D133" s="106"/>
      <c r="E133" s="106"/>
      <c r="F133" s="106"/>
      <c r="G133" s="106"/>
      <c r="H133" s="106"/>
      <c r="I133" s="106"/>
      <c r="J133" s="106"/>
      <c r="K133" s="106"/>
      <c r="L133" s="106"/>
      <c r="M133" s="106"/>
      <c r="N133" s="106"/>
      <c r="O133" s="29"/>
      <c r="P133" s="106"/>
      <c r="Q133" s="106"/>
      <c r="R133" s="106"/>
      <c r="S133" s="106"/>
      <c r="T133" s="106"/>
      <c r="U133" s="106"/>
      <c r="V133" s="9"/>
      <c r="W133" s="106"/>
      <c r="X133" s="106"/>
      <c r="Y133" s="106"/>
      <c r="Z133" s="106"/>
      <c r="AA133" s="106"/>
      <c r="AB133" s="106"/>
      <c r="AC133" s="9"/>
      <c r="AD133" s="106"/>
      <c r="AE133" s="106"/>
      <c r="AF133" s="106"/>
      <c r="AG133" s="106"/>
      <c r="AH133" s="106"/>
      <c r="AI133" s="106"/>
      <c r="AJ133" s="9"/>
      <c r="AK133" s="106"/>
      <c r="AL133" s="106"/>
      <c r="AM133" s="106"/>
      <c r="AN133" s="106"/>
      <c r="AO133" s="106"/>
      <c r="AP133" s="106"/>
      <c r="AQ133" s="9"/>
      <c r="AR133" s="106"/>
      <c r="AS133" s="106"/>
      <c r="AT133" s="106"/>
      <c r="AU133" s="106"/>
      <c r="AV133" s="106"/>
      <c r="AW133" s="106"/>
      <c r="AX133" s="9"/>
    </row>
    <row r="134" spans="1:64" ht="13.05" hidden="1" customHeight="1" x14ac:dyDescent="0.25">
      <c r="A134" t="str">
        <f>Nutrients!B133</f>
        <v>Biolys</v>
      </c>
      <c r="B134" s="106"/>
      <c r="C134" s="106"/>
      <c r="D134" s="106"/>
      <c r="E134" s="106"/>
      <c r="F134" s="106"/>
      <c r="G134" s="106"/>
      <c r="H134" s="106"/>
      <c r="I134" s="106"/>
      <c r="J134" s="106"/>
      <c r="K134" s="106"/>
      <c r="L134" s="106"/>
      <c r="M134" s="106"/>
      <c r="N134" s="106"/>
      <c r="O134" s="29"/>
      <c r="P134" s="106"/>
      <c r="Q134" s="106"/>
      <c r="R134" s="106"/>
      <c r="S134" s="106"/>
      <c r="T134" s="106"/>
      <c r="U134" s="106"/>
      <c r="V134" s="9"/>
      <c r="W134" s="106"/>
      <c r="X134" s="106"/>
      <c r="Y134" s="106"/>
      <c r="Z134" s="106"/>
      <c r="AA134" s="106"/>
      <c r="AB134" s="106"/>
      <c r="AC134" s="9"/>
      <c r="AD134" s="106"/>
      <c r="AE134" s="106"/>
      <c r="AF134" s="106"/>
      <c r="AG134" s="106"/>
      <c r="AH134" s="106"/>
      <c r="AI134" s="106"/>
      <c r="AJ134" s="9"/>
      <c r="AK134" s="106"/>
      <c r="AL134" s="106"/>
      <c r="AM134" s="106"/>
      <c r="AN134" s="106"/>
      <c r="AO134" s="106"/>
      <c r="AP134" s="106"/>
      <c r="AQ134" s="9"/>
      <c r="AR134" s="106"/>
      <c r="AS134" s="106"/>
      <c r="AT134" s="106"/>
      <c r="AU134" s="106"/>
      <c r="AV134" s="106"/>
      <c r="AW134" s="106"/>
      <c r="AX134" s="9"/>
    </row>
    <row r="135" spans="1:64" ht="13.05" hidden="1" customHeight="1" x14ac:dyDescent="0.25">
      <c r="A135" t="str">
        <f>Nutrients!B134</f>
        <v>Liquid lysine 60%</v>
      </c>
      <c r="B135" s="106"/>
      <c r="C135" s="106"/>
      <c r="D135" s="106"/>
      <c r="E135" s="106"/>
      <c r="F135" s="106"/>
      <c r="G135" s="106"/>
      <c r="H135" s="106"/>
      <c r="I135" s="106"/>
      <c r="J135" s="106"/>
      <c r="K135" s="106"/>
      <c r="L135" s="106"/>
      <c r="M135" s="106"/>
      <c r="N135" s="106"/>
      <c r="O135" s="29"/>
      <c r="P135" s="106"/>
      <c r="Q135" s="106"/>
      <c r="R135" s="106"/>
      <c r="S135" s="106"/>
      <c r="T135" s="106"/>
      <c r="U135" s="106"/>
      <c r="V135" s="9"/>
      <c r="W135" s="106"/>
      <c r="X135" s="106"/>
      <c r="Y135" s="106"/>
      <c r="Z135" s="106"/>
      <c r="AA135" s="106"/>
      <c r="AB135" s="106"/>
      <c r="AC135" s="9"/>
      <c r="AD135" s="106"/>
      <c r="AE135" s="106"/>
      <c r="AF135" s="106"/>
      <c r="AG135" s="106"/>
      <c r="AH135" s="106"/>
      <c r="AI135" s="106"/>
      <c r="AJ135" s="9"/>
      <c r="AK135" s="106"/>
      <c r="AL135" s="106"/>
      <c r="AM135" s="106"/>
      <c r="AN135" s="106"/>
      <c r="AO135" s="106"/>
      <c r="AP135" s="106"/>
      <c r="AQ135" s="9"/>
      <c r="AR135" s="106"/>
      <c r="AS135" s="106"/>
      <c r="AT135" s="106"/>
      <c r="AU135" s="106"/>
      <c r="AV135" s="106"/>
      <c r="AW135" s="106"/>
      <c r="AX135" s="9"/>
    </row>
    <row r="136" spans="1:64" ht="13.05" hidden="1" customHeight="1" x14ac:dyDescent="0.25">
      <c r="A136" t="str">
        <f>Nutrients!B135</f>
        <v>MHA dry</v>
      </c>
      <c r="B136" s="106"/>
      <c r="C136" s="106"/>
      <c r="D136" s="106"/>
      <c r="E136" s="106"/>
      <c r="F136" s="106"/>
      <c r="G136" s="106"/>
      <c r="H136" s="106"/>
      <c r="I136" s="106"/>
      <c r="J136" s="106"/>
      <c r="K136" s="106"/>
      <c r="L136" s="106"/>
      <c r="M136" s="106"/>
      <c r="N136" s="106"/>
      <c r="O136" s="29"/>
      <c r="P136" s="106"/>
      <c r="Q136" s="106"/>
      <c r="R136" s="106"/>
      <c r="S136" s="106"/>
      <c r="T136" s="106"/>
      <c r="U136" s="106"/>
      <c r="V136" s="9"/>
      <c r="W136" s="106"/>
      <c r="X136" s="106"/>
      <c r="Y136" s="106"/>
      <c r="Z136" s="106"/>
      <c r="AA136" s="106"/>
      <c r="AB136" s="106"/>
      <c r="AC136" s="9"/>
      <c r="AD136" s="106"/>
      <c r="AE136" s="106"/>
      <c r="AF136" s="106"/>
      <c r="AG136" s="106"/>
      <c r="AH136" s="106"/>
      <c r="AI136" s="106"/>
      <c r="AJ136" s="9"/>
      <c r="AK136" s="106"/>
      <c r="AL136" s="106"/>
      <c r="AM136" s="106"/>
      <c r="AN136" s="106"/>
      <c r="AO136" s="106"/>
      <c r="AP136" s="106"/>
      <c r="AQ136" s="9"/>
      <c r="AR136" s="106"/>
      <c r="AS136" s="106"/>
      <c r="AT136" s="106"/>
      <c r="AU136" s="106"/>
      <c r="AV136" s="106"/>
      <c r="AW136" s="106"/>
      <c r="AX136" s="9"/>
    </row>
    <row r="137" spans="1:64" ht="13.05" hidden="1" customHeight="1" x14ac:dyDescent="0.25">
      <c r="A137" t="str">
        <f>Nutrients!B136</f>
        <v>Paylean, 9 g/lb</v>
      </c>
      <c r="B137" s="106"/>
      <c r="C137" s="106"/>
      <c r="D137" s="106"/>
      <c r="E137" s="106"/>
      <c r="F137" s="106"/>
      <c r="G137" s="106"/>
      <c r="H137" s="106"/>
      <c r="I137" s="106"/>
      <c r="J137" s="106"/>
      <c r="K137" s="106"/>
      <c r="L137" s="106"/>
      <c r="M137" s="106"/>
      <c r="N137" s="106"/>
      <c r="O137" s="29"/>
      <c r="P137" s="106"/>
      <c r="Q137" s="106"/>
      <c r="R137" s="106"/>
      <c r="S137" s="106"/>
      <c r="T137" s="106"/>
      <c r="U137" s="106"/>
      <c r="V137" s="9"/>
      <c r="W137" s="106"/>
      <c r="X137" s="106"/>
      <c r="Y137" s="106"/>
      <c r="Z137" s="106"/>
      <c r="AA137" s="106"/>
      <c r="AB137" s="106"/>
      <c r="AC137" s="9"/>
      <c r="AD137" s="106"/>
      <c r="AE137" s="106"/>
      <c r="AF137" s="106"/>
      <c r="AG137" s="106"/>
      <c r="AH137" s="106"/>
      <c r="AI137" s="106"/>
      <c r="AJ137" s="9"/>
      <c r="AK137" s="106"/>
      <c r="AL137" s="106"/>
      <c r="AM137" s="106"/>
      <c r="AN137" s="106"/>
      <c r="AO137" s="106"/>
      <c r="AP137" s="106"/>
      <c r="AQ137" s="9"/>
      <c r="AR137" s="106"/>
      <c r="AS137" s="106"/>
      <c r="AT137" s="106"/>
      <c r="AU137" s="106"/>
      <c r="AV137" s="106"/>
      <c r="AW137" s="106"/>
      <c r="AX137" s="9"/>
    </row>
    <row r="138" spans="1:64" ht="13.05" hidden="1" customHeight="1" x14ac:dyDescent="0.25">
      <c r="A138" t="str">
        <f>Nutrients!B137</f>
        <v>Tribasic copper chloride</v>
      </c>
      <c r="B138" s="106"/>
      <c r="C138" s="106"/>
      <c r="D138" s="106"/>
      <c r="E138" s="106"/>
      <c r="F138" s="106"/>
      <c r="G138" s="106"/>
      <c r="H138" s="106"/>
      <c r="I138" s="106"/>
      <c r="J138" s="106"/>
      <c r="K138" s="106"/>
      <c r="L138" s="106"/>
      <c r="M138" s="106"/>
      <c r="N138" s="106"/>
      <c r="O138" s="29"/>
      <c r="P138" s="106"/>
      <c r="Q138" s="106"/>
      <c r="R138" s="106"/>
      <c r="S138" s="106"/>
      <c r="T138" s="106"/>
      <c r="U138" s="106"/>
      <c r="V138" s="9"/>
      <c r="W138" s="106"/>
      <c r="X138" s="106"/>
      <c r="Y138" s="106"/>
      <c r="Z138" s="106"/>
      <c r="AA138" s="106"/>
      <c r="AB138" s="106"/>
      <c r="AC138" s="9"/>
      <c r="AD138" s="106"/>
      <c r="AE138" s="106"/>
      <c r="AF138" s="106"/>
      <c r="AG138" s="106"/>
      <c r="AH138" s="106"/>
      <c r="AI138" s="106"/>
      <c r="AJ138" s="9"/>
      <c r="AK138" s="106"/>
      <c r="AL138" s="106"/>
      <c r="AM138" s="106"/>
      <c r="AN138" s="106"/>
      <c r="AO138" s="106"/>
      <c r="AP138" s="106"/>
      <c r="AQ138" s="9"/>
      <c r="AR138" s="106"/>
      <c r="AS138" s="106"/>
      <c r="AT138" s="106"/>
      <c r="AU138" s="106"/>
      <c r="AV138" s="106"/>
      <c r="AW138" s="106"/>
      <c r="AX138" s="9"/>
    </row>
    <row r="139" spans="1:64" ht="13.05" hidden="1" customHeight="1" x14ac:dyDescent="0.25">
      <c r="A139" t="str">
        <f>Nutrients!B138</f>
        <v>2018 Starter base mix</v>
      </c>
      <c r="B139" s="106"/>
      <c r="C139" s="106"/>
      <c r="D139" s="106"/>
      <c r="E139" s="106"/>
      <c r="F139" s="106"/>
      <c r="G139" s="106"/>
      <c r="H139" s="106"/>
      <c r="I139" s="106"/>
      <c r="J139" s="106"/>
      <c r="K139" s="106"/>
      <c r="L139" s="106"/>
      <c r="M139" s="106"/>
      <c r="N139" s="106"/>
      <c r="O139" s="29"/>
      <c r="P139" s="106"/>
      <c r="Q139" s="106"/>
      <c r="R139" s="106"/>
      <c r="S139" s="106"/>
      <c r="T139" s="106"/>
      <c r="U139" s="106"/>
      <c r="V139" s="9"/>
      <c r="W139" s="106"/>
      <c r="X139" s="106"/>
      <c r="Y139" s="106"/>
      <c r="Z139" s="106"/>
      <c r="AA139" s="106"/>
      <c r="AB139" s="106"/>
      <c r="AC139" s="9"/>
      <c r="AD139" s="106"/>
      <c r="AE139" s="106"/>
      <c r="AF139" s="106"/>
      <c r="AG139" s="106"/>
      <c r="AH139" s="106"/>
      <c r="AI139" s="106"/>
      <c r="AJ139" s="9"/>
      <c r="AK139" s="106"/>
      <c r="AL139" s="106"/>
      <c r="AM139" s="106"/>
      <c r="AN139" s="106"/>
      <c r="AO139" s="106"/>
      <c r="AP139" s="106"/>
      <c r="AQ139" s="9"/>
      <c r="AR139" s="106"/>
      <c r="AS139" s="106"/>
      <c r="AT139" s="106"/>
      <c r="AU139" s="106"/>
      <c r="AV139" s="106"/>
      <c r="AW139" s="106"/>
      <c r="AX139" s="9"/>
    </row>
    <row r="140" spans="1:64" ht="13.05" hidden="1" customHeight="1" x14ac:dyDescent="0.25">
      <c r="A140" t="str">
        <f>Nutrients!B139</f>
        <v>2018 Grow-finish base mix</v>
      </c>
      <c r="B140" s="106"/>
      <c r="C140" s="106"/>
      <c r="D140" s="106"/>
      <c r="E140" s="106"/>
      <c r="F140" s="106"/>
      <c r="G140" s="106"/>
      <c r="H140" s="106"/>
      <c r="I140" s="106"/>
      <c r="J140" s="106"/>
      <c r="K140" s="106"/>
      <c r="L140" s="106"/>
      <c r="M140" s="106"/>
      <c r="N140" s="106"/>
      <c r="O140" s="29"/>
      <c r="P140" s="106"/>
      <c r="Q140" s="106"/>
      <c r="R140" s="106"/>
      <c r="S140" s="106"/>
      <c r="T140" s="106"/>
      <c r="U140" s="106"/>
      <c r="V140" s="9"/>
      <c r="W140" s="106"/>
      <c r="X140" s="106"/>
      <c r="Y140" s="106"/>
      <c r="Z140" s="106"/>
      <c r="AA140" s="106"/>
      <c r="AB140" s="106"/>
      <c r="AC140" s="9"/>
      <c r="AD140" s="106"/>
      <c r="AE140" s="106"/>
      <c r="AF140" s="106"/>
      <c r="AG140" s="106"/>
      <c r="AH140" s="106"/>
      <c r="AI140" s="106"/>
      <c r="AJ140" s="9"/>
      <c r="AK140" s="106"/>
      <c r="AL140" s="106"/>
      <c r="AM140" s="106"/>
      <c r="AN140" s="106"/>
      <c r="AO140" s="106"/>
      <c r="AP140" s="106"/>
      <c r="AQ140" s="9"/>
      <c r="AR140" s="106"/>
      <c r="AS140" s="106"/>
      <c r="AT140" s="106"/>
      <c r="AU140" s="106"/>
      <c r="AV140" s="106"/>
      <c r="AW140" s="106"/>
      <c r="AX140" s="9"/>
    </row>
    <row r="141" spans="1:64" ht="13.05" hidden="1" customHeight="1" x14ac:dyDescent="0.25">
      <c r="A141" t="str">
        <f>Nutrients!B140</f>
        <v>Developer base mix</v>
      </c>
      <c r="B141" s="106"/>
      <c r="C141" s="106"/>
      <c r="D141" s="106"/>
      <c r="E141" s="106"/>
      <c r="F141" s="106"/>
      <c r="G141" s="106"/>
      <c r="H141" s="106"/>
      <c r="I141" s="106"/>
      <c r="J141" s="106"/>
      <c r="K141" s="106"/>
      <c r="L141" s="106"/>
      <c r="M141" s="106"/>
      <c r="N141" s="106"/>
      <c r="O141" s="29"/>
      <c r="P141" s="106"/>
      <c r="Q141" s="106"/>
      <c r="R141" s="106"/>
      <c r="S141" s="106"/>
      <c r="T141" s="106"/>
      <c r="U141" s="106"/>
      <c r="V141" s="9"/>
      <c r="W141" s="106"/>
      <c r="X141" s="106"/>
      <c r="Y141" s="106"/>
      <c r="Z141" s="106"/>
      <c r="AA141" s="106"/>
      <c r="AB141" s="106"/>
      <c r="AC141" s="9"/>
      <c r="AD141" s="106"/>
      <c r="AE141" s="106"/>
      <c r="AF141" s="106"/>
      <c r="AG141" s="106"/>
      <c r="AH141" s="106"/>
      <c r="AI141" s="106"/>
      <c r="AJ141" s="9"/>
      <c r="AK141" s="106"/>
      <c r="AL141" s="106"/>
      <c r="AM141" s="106"/>
      <c r="AN141" s="106"/>
      <c r="AO141" s="106"/>
      <c r="AP141" s="106"/>
      <c r="AQ141" s="9"/>
      <c r="AR141" s="106"/>
      <c r="AS141" s="106"/>
      <c r="AT141" s="106"/>
      <c r="AU141" s="106"/>
      <c r="AV141" s="106"/>
      <c r="AW141" s="106"/>
      <c r="AX141" s="9"/>
    </row>
    <row r="142" spans="1:64" ht="13.05" hidden="1" customHeight="1" x14ac:dyDescent="0.25">
      <c r="A142" t="str">
        <f>Nutrients!B141</f>
        <v>2018 Sow base mix</v>
      </c>
      <c r="B142" s="106"/>
      <c r="C142" s="106"/>
      <c r="D142" s="106"/>
      <c r="E142" s="106"/>
      <c r="F142" s="106"/>
      <c r="G142" s="106"/>
      <c r="H142" s="106"/>
      <c r="I142" s="106"/>
      <c r="J142" s="106"/>
      <c r="K142" s="106"/>
      <c r="L142" s="106"/>
      <c r="M142" s="106"/>
      <c r="N142" s="106"/>
      <c r="O142" s="29"/>
      <c r="P142" s="106"/>
      <c r="Q142" s="106"/>
      <c r="R142" s="106"/>
      <c r="S142" s="106"/>
      <c r="T142" s="106"/>
      <c r="U142" s="106"/>
      <c r="V142" s="9"/>
      <c r="W142" s="106"/>
      <c r="X142" s="106"/>
      <c r="Y142" s="106"/>
      <c r="Z142" s="106"/>
      <c r="AA142" s="106"/>
      <c r="AB142" s="106"/>
      <c r="AC142" s="9"/>
      <c r="AD142" s="106"/>
      <c r="AE142" s="106"/>
      <c r="AF142" s="106"/>
      <c r="AG142" s="106"/>
      <c r="AH142" s="106"/>
      <c r="AI142" s="106"/>
      <c r="AJ142" s="9"/>
      <c r="AK142" s="106"/>
      <c r="AL142" s="106"/>
      <c r="AM142" s="106"/>
      <c r="AN142" s="106"/>
      <c r="AO142" s="106"/>
      <c r="AP142" s="106"/>
      <c r="AQ142" s="9"/>
      <c r="AR142" s="106"/>
      <c r="AS142" s="106"/>
      <c r="AT142" s="106"/>
      <c r="AU142" s="106"/>
      <c r="AV142" s="106"/>
      <c r="AW142" s="106"/>
      <c r="AX142" s="9"/>
    </row>
    <row r="143" spans="1:64" hidden="1" x14ac:dyDescent="0.25">
      <c r="A143" t="str">
        <f>Nutrients!B142</f>
        <v>Vitamin premix with phytase</v>
      </c>
      <c r="B143" s="106"/>
      <c r="C143" s="106"/>
      <c r="D143" s="106"/>
      <c r="E143" s="106"/>
      <c r="F143" s="106"/>
      <c r="G143" s="106"/>
      <c r="H143" s="106"/>
      <c r="I143" s="106"/>
      <c r="J143" s="106"/>
      <c r="K143" s="106"/>
      <c r="L143" s="106"/>
      <c r="M143" s="106"/>
      <c r="N143" s="106"/>
      <c r="O143" s="29"/>
      <c r="P143" s="106"/>
      <c r="Q143" s="106"/>
      <c r="R143" s="106"/>
      <c r="S143" s="106"/>
      <c r="T143" s="106"/>
      <c r="U143" s="106"/>
      <c r="V143" s="9"/>
      <c r="W143" s="106"/>
      <c r="X143" s="106"/>
      <c r="Y143" s="106"/>
      <c r="Z143" s="106"/>
      <c r="AA143" s="106"/>
      <c r="AB143" s="106"/>
      <c r="AC143" s="9"/>
      <c r="AD143" s="106"/>
      <c r="AE143" s="106"/>
      <c r="AF143" s="106"/>
      <c r="AG143" s="106"/>
      <c r="AH143" s="106"/>
      <c r="AI143" s="106"/>
      <c r="AJ143" s="9"/>
      <c r="AK143" s="106"/>
      <c r="AL143" s="106"/>
      <c r="AM143" s="106"/>
      <c r="AN143" s="106"/>
      <c r="AO143" s="106"/>
      <c r="AP143" s="106"/>
      <c r="AQ143" s="9"/>
      <c r="AR143" s="106"/>
      <c r="AS143" s="106"/>
      <c r="AT143" s="106"/>
      <c r="AU143" s="106"/>
      <c r="AV143" s="106"/>
      <c r="AW143" s="106"/>
      <c r="AX143" s="9"/>
    </row>
    <row r="144" spans="1:64" x14ac:dyDescent="0.25">
      <c r="A144" t="str">
        <f>Nutrients!B143</f>
        <v>Trace mineral premix</v>
      </c>
      <c r="B144" s="106">
        <v>3</v>
      </c>
      <c r="C144" s="106">
        <v>3</v>
      </c>
      <c r="D144" s="106">
        <v>2.5</v>
      </c>
      <c r="E144" s="106">
        <v>2</v>
      </c>
      <c r="F144" s="106">
        <v>1.5</v>
      </c>
      <c r="G144" s="106">
        <v>1.5</v>
      </c>
      <c r="H144" s="106"/>
      <c r="I144" s="106">
        <v>3</v>
      </c>
      <c r="J144" s="106">
        <v>3</v>
      </c>
      <c r="K144" s="106">
        <v>2.5</v>
      </c>
      <c r="L144" s="106">
        <v>2</v>
      </c>
      <c r="M144" s="106">
        <v>1.5</v>
      </c>
      <c r="N144" s="106">
        <v>1.5</v>
      </c>
      <c r="O144" s="29"/>
      <c r="P144" s="106">
        <v>3</v>
      </c>
      <c r="Q144" s="106">
        <v>3</v>
      </c>
      <c r="R144" s="106">
        <v>2.5</v>
      </c>
      <c r="S144" s="106">
        <v>2</v>
      </c>
      <c r="T144" s="106">
        <v>1.5</v>
      </c>
      <c r="U144" s="106">
        <v>1.5</v>
      </c>
      <c r="V144" s="9"/>
      <c r="W144" s="106">
        <v>3</v>
      </c>
      <c r="X144" s="106">
        <v>3</v>
      </c>
      <c r="Y144" s="106">
        <v>2.5</v>
      </c>
      <c r="Z144" s="106">
        <v>2</v>
      </c>
      <c r="AA144" s="106">
        <v>1.5</v>
      </c>
      <c r="AB144" s="106">
        <v>1.5</v>
      </c>
      <c r="AC144" s="9"/>
      <c r="AD144" s="106">
        <v>3</v>
      </c>
      <c r="AE144" s="106">
        <v>3</v>
      </c>
      <c r="AF144" s="106">
        <v>2.5</v>
      </c>
      <c r="AG144" s="106">
        <v>2</v>
      </c>
      <c r="AH144" s="106">
        <v>1.5</v>
      </c>
      <c r="AI144" s="106">
        <v>1.5</v>
      </c>
      <c r="AJ144" s="9"/>
      <c r="AK144" s="106">
        <v>3</v>
      </c>
      <c r="AL144" s="106">
        <v>3</v>
      </c>
      <c r="AM144" s="106">
        <v>2.5</v>
      </c>
      <c r="AN144" s="106">
        <v>2</v>
      </c>
      <c r="AO144" s="106">
        <v>1.5</v>
      </c>
      <c r="AP144" s="106">
        <v>1.5</v>
      </c>
      <c r="AQ144" s="9"/>
      <c r="AR144" s="106">
        <v>3</v>
      </c>
      <c r="AS144" s="106">
        <v>3</v>
      </c>
      <c r="AT144" s="106">
        <v>2.5</v>
      </c>
      <c r="AU144" s="106">
        <v>2</v>
      </c>
      <c r="AV144" s="106">
        <v>1.5</v>
      </c>
      <c r="AW144" s="106">
        <v>1.5</v>
      </c>
      <c r="AX144" s="9"/>
    </row>
    <row r="145" spans="1:50" ht="13.05" hidden="1" customHeight="1" x14ac:dyDescent="0.25">
      <c r="A145" t="str">
        <f>Nutrients!B144</f>
        <v>Sow add pack</v>
      </c>
      <c r="B145" s="106"/>
      <c r="C145" s="106"/>
      <c r="D145" s="106"/>
      <c r="E145" s="106"/>
      <c r="F145" s="106"/>
      <c r="G145" s="106"/>
      <c r="H145" s="106"/>
      <c r="I145" s="106"/>
      <c r="J145" s="106"/>
      <c r="K145" s="106"/>
      <c r="L145" s="106"/>
      <c r="M145" s="106"/>
      <c r="N145" s="106"/>
      <c r="O145" s="29"/>
      <c r="P145" s="106"/>
      <c r="Q145" s="106"/>
      <c r="R145" s="106"/>
      <c r="S145" s="106"/>
      <c r="T145" s="106"/>
      <c r="U145" s="106"/>
      <c r="V145" s="9"/>
      <c r="W145" s="106"/>
      <c r="X145" s="106"/>
      <c r="Y145" s="106"/>
      <c r="Z145" s="106"/>
      <c r="AA145" s="106"/>
      <c r="AB145" s="106"/>
      <c r="AC145" s="9"/>
      <c r="AD145" s="106"/>
      <c r="AE145" s="106"/>
      <c r="AF145" s="106"/>
      <c r="AG145" s="106"/>
      <c r="AH145" s="106"/>
      <c r="AI145" s="106"/>
      <c r="AJ145" s="9"/>
      <c r="AK145" s="106"/>
      <c r="AL145" s="106"/>
      <c r="AM145" s="106"/>
      <c r="AN145" s="106"/>
      <c r="AO145" s="106"/>
      <c r="AP145" s="106"/>
      <c r="AQ145" s="9"/>
      <c r="AR145" s="106"/>
      <c r="AS145" s="106"/>
      <c r="AT145" s="106"/>
      <c r="AU145" s="106"/>
      <c r="AV145" s="106"/>
      <c r="AW145" s="106"/>
      <c r="AX145" s="9"/>
    </row>
    <row r="146" spans="1:50" x14ac:dyDescent="0.25">
      <c r="A146" t="str">
        <f>Nutrients!B145</f>
        <v>Vitamin premix without phytase</v>
      </c>
      <c r="B146" s="106">
        <v>3</v>
      </c>
      <c r="C146" s="106">
        <v>3</v>
      </c>
      <c r="D146" s="106">
        <v>2.5</v>
      </c>
      <c r="E146" s="106">
        <v>2</v>
      </c>
      <c r="F146" s="106">
        <v>1.5</v>
      </c>
      <c r="G146" s="106">
        <v>1.5</v>
      </c>
      <c r="H146" s="106"/>
      <c r="I146" s="106">
        <v>3</v>
      </c>
      <c r="J146" s="106">
        <v>3</v>
      </c>
      <c r="K146" s="106">
        <v>2.5</v>
      </c>
      <c r="L146" s="106">
        <v>2</v>
      </c>
      <c r="M146" s="106">
        <v>1.5</v>
      </c>
      <c r="N146" s="106">
        <v>1.5</v>
      </c>
      <c r="O146" s="29"/>
      <c r="P146" s="106">
        <v>3</v>
      </c>
      <c r="Q146" s="106">
        <v>3</v>
      </c>
      <c r="R146" s="106">
        <v>2.5</v>
      </c>
      <c r="S146" s="106">
        <v>2</v>
      </c>
      <c r="T146" s="106">
        <v>1.5</v>
      </c>
      <c r="U146" s="106">
        <v>1.5</v>
      </c>
      <c r="V146" s="9"/>
      <c r="W146" s="106">
        <v>3</v>
      </c>
      <c r="X146" s="106">
        <v>3</v>
      </c>
      <c r="Y146" s="106">
        <v>2.5</v>
      </c>
      <c r="Z146" s="106">
        <v>2</v>
      </c>
      <c r="AA146" s="106">
        <v>1.5</v>
      </c>
      <c r="AB146" s="106">
        <v>1.5</v>
      </c>
      <c r="AC146" s="9"/>
      <c r="AD146" s="106">
        <v>3</v>
      </c>
      <c r="AE146" s="106">
        <v>3</v>
      </c>
      <c r="AF146" s="106">
        <v>2.5</v>
      </c>
      <c r="AG146" s="106">
        <v>2</v>
      </c>
      <c r="AH146" s="106">
        <v>1.5</v>
      </c>
      <c r="AI146" s="106">
        <v>1.5</v>
      </c>
      <c r="AJ146" s="9"/>
      <c r="AK146" s="106">
        <v>3</v>
      </c>
      <c r="AL146" s="106">
        <v>3</v>
      </c>
      <c r="AM146" s="106">
        <v>2.5</v>
      </c>
      <c r="AN146" s="106">
        <v>2</v>
      </c>
      <c r="AO146" s="106">
        <v>1.5</v>
      </c>
      <c r="AP146" s="106">
        <v>1.5</v>
      </c>
      <c r="AQ146" s="9"/>
      <c r="AR146" s="106">
        <v>3</v>
      </c>
      <c r="AS146" s="106">
        <v>3</v>
      </c>
      <c r="AT146" s="106">
        <v>2.5</v>
      </c>
      <c r="AU146" s="106">
        <v>2</v>
      </c>
      <c r="AV146" s="106">
        <v>1.5</v>
      </c>
      <c r="AW146" s="106">
        <v>1.5</v>
      </c>
      <c r="AX146" s="9"/>
    </row>
    <row r="147" spans="1:50" ht="13.05" hidden="1" customHeight="1" x14ac:dyDescent="0.25">
      <c r="A147" t="str">
        <f>Nutrients!B146</f>
        <v>GF DDGS Base Mix</v>
      </c>
      <c r="B147" s="106"/>
      <c r="C147" s="106"/>
      <c r="D147" s="106"/>
      <c r="E147" s="106"/>
      <c r="F147" s="106"/>
      <c r="G147" s="106"/>
      <c r="H147" s="106"/>
      <c r="I147" s="106"/>
      <c r="J147" s="106"/>
      <c r="K147" s="106"/>
      <c r="L147" s="106"/>
      <c r="M147" s="106"/>
      <c r="N147" s="106"/>
      <c r="O147" s="29"/>
      <c r="P147" s="106"/>
      <c r="Q147" s="106"/>
      <c r="R147" s="106"/>
      <c r="S147" s="106"/>
      <c r="T147" s="106"/>
      <c r="U147" s="106"/>
      <c r="V147" s="9"/>
      <c r="W147" s="106"/>
      <c r="X147" s="106"/>
      <c r="Y147" s="106"/>
      <c r="Z147" s="106"/>
      <c r="AA147" s="106"/>
      <c r="AB147" s="106"/>
      <c r="AC147" s="9"/>
      <c r="AD147" s="106"/>
      <c r="AE147" s="106"/>
      <c r="AF147" s="106"/>
      <c r="AG147" s="106"/>
      <c r="AH147" s="106"/>
      <c r="AI147" s="106"/>
      <c r="AJ147" s="9"/>
      <c r="AK147" s="106"/>
      <c r="AL147" s="106"/>
      <c r="AM147" s="106"/>
      <c r="AN147" s="106"/>
      <c r="AO147" s="106"/>
      <c r="AP147" s="106"/>
      <c r="AQ147" s="9"/>
      <c r="AR147" s="106"/>
      <c r="AS147" s="106"/>
      <c r="AT147" s="106"/>
      <c r="AU147" s="106"/>
      <c r="AV147" s="106"/>
      <c r="AW147" s="106"/>
      <c r="AX147" s="9"/>
    </row>
    <row r="148" spans="1:50" ht="13.05" hidden="1" customHeight="1" x14ac:dyDescent="0.25">
      <c r="A148" t="str">
        <f>Nutrients!B147</f>
        <v>GF synthetics Base Mix</v>
      </c>
      <c r="B148" s="106"/>
      <c r="C148" s="106"/>
      <c r="D148" s="106"/>
      <c r="E148" s="106"/>
      <c r="F148" s="106"/>
      <c r="G148" s="106"/>
      <c r="H148" s="106"/>
      <c r="I148" s="106"/>
      <c r="J148" s="106"/>
      <c r="K148" s="106"/>
      <c r="L148" s="106"/>
      <c r="M148" s="106"/>
      <c r="N148" s="106"/>
      <c r="O148" s="29"/>
      <c r="P148" s="106"/>
      <c r="Q148" s="106"/>
      <c r="R148" s="106"/>
      <c r="S148" s="106"/>
      <c r="T148" s="106"/>
      <c r="U148" s="106"/>
      <c r="V148" s="9"/>
      <c r="W148" s="106"/>
      <c r="X148" s="106"/>
      <c r="Y148" s="106"/>
      <c r="Z148" s="106"/>
      <c r="AA148" s="106"/>
      <c r="AB148" s="106"/>
      <c r="AC148" s="9"/>
      <c r="AD148" s="106"/>
      <c r="AE148" s="106"/>
      <c r="AF148" s="106"/>
      <c r="AG148" s="106"/>
      <c r="AH148" s="106"/>
      <c r="AI148" s="106"/>
      <c r="AJ148" s="9"/>
      <c r="AK148" s="106"/>
      <c r="AL148" s="106"/>
      <c r="AM148" s="106"/>
      <c r="AN148" s="106"/>
      <c r="AO148" s="106"/>
      <c r="AP148" s="106"/>
      <c r="AQ148" s="9"/>
      <c r="AR148" s="106"/>
      <c r="AS148" s="106"/>
      <c r="AT148" s="106"/>
      <c r="AU148" s="106"/>
      <c r="AV148" s="106"/>
      <c r="AW148" s="106"/>
      <c r="AX148" s="9"/>
    </row>
    <row r="149" spans="1:50" ht="13.05" hidden="1" customHeight="1" x14ac:dyDescent="0.25">
      <c r="A149" t="str">
        <f>Nutrients!B148</f>
        <v>Choline chloride 60%</v>
      </c>
      <c r="B149" s="106"/>
      <c r="C149" s="106"/>
      <c r="D149" s="106"/>
      <c r="E149" s="106"/>
      <c r="F149" s="106"/>
      <c r="G149" s="106"/>
      <c r="H149" s="106"/>
      <c r="I149" s="106"/>
      <c r="J149" s="106"/>
      <c r="K149" s="106"/>
      <c r="L149" s="106"/>
      <c r="M149" s="106"/>
      <c r="N149" s="106"/>
      <c r="O149" s="29"/>
      <c r="P149" s="106"/>
      <c r="Q149" s="106"/>
      <c r="R149" s="106"/>
      <c r="S149" s="106"/>
      <c r="T149" s="106"/>
      <c r="U149" s="106"/>
      <c r="V149" s="9"/>
      <c r="W149" s="106"/>
      <c r="X149" s="106"/>
      <c r="Y149" s="106"/>
      <c r="Z149" s="106"/>
      <c r="AA149" s="106"/>
      <c r="AB149" s="106"/>
      <c r="AC149" s="9"/>
      <c r="AD149" s="106"/>
      <c r="AE149" s="106"/>
      <c r="AF149" s="106"/>
      <c r="AG149" s="106"/>
      <c r="AH149" s="106"/>
      <c r="AI149" s="106"/>
      <c r="AJ149" s="9"/>
      <c r="AK149" s="106"/>
      <c r="AL149" s="106"/>
      <c r="AM149" s="106"/>
      <c r="AN149" s="106"/>
      <c r="AO149" s="106"/>
      <c r="AP149" s="106"/>
      <c r="AQ149" s="9"/>
      <c r="AR149" s="106"/>
      <c r="AS149" s="106"/>
      <c r="AT149" s="106"/>
      <c r="AU149" s="106"/>
      <c r="AV149" s="106"/>
      <c r="AW149" s="106"/>
      <c r="AX149" s="9"/>
    </row>
    <row r="150" spans="1:50" ht="13.05" hidden="1" customHeight="1" x14ac:dyDescent="0.25">
      <c r="A150" t="str">
        <f>Nutrients!B149</f>
        <v>Natuphos 600</v>
      </c>
      <c r="B150" s="106"/>
      <c r="C150" s="106"/>
      <c r="D150" s="106"/>
      <c r="E150" s="106"/>
      <c r="F150" s="106"/>
      <c r="G150" s="106"/>
      <c r="H150" s="106"/>
      <c r="I150" s="106"/>
      <c r="J150" s="106"/>
      <c r="K150" s="106"/>
      <c r="L150" s="106"/>
      <c r="M150" s="106"/>
      <c r="N150" s="106"/>
      <c r="O150" s="29"/>
      <c r="P150" s="106"/>
      <c r="Q150" s="106"/>
      <c r="R150" s="106"/>
      <c r="S150" s="106"/>
      <c r="T150" s="106"/>
      <c r="U150" s="106"/>
      <c r="V150" s="9"/>
      <c r="W150" s="106"/>
      <c r="X150" s="106"/>
      <c r="Y150" s="106"/>
      <c r="Z150" s="106"/>
      <c r="AA150" s="106"/>
      <c r="AB150" s="106"/>
      <c r="AC150" s="9"/>
      <c r="AD150" s="106"/>
      <c r="AE150" s="106"/>
      <c r="AF150" s="106"/>
      <c r="AG150" s="106"/>
      <c r="AH150" s="106"/>
      <c r="AI150" s="106"/>
      <c r="AJ150" s="9"/>
      <c r="AK150" s="106"/>
      <c r="AL150" s="106"/>
      <c r="AM150" s="106"/>
      <c r="AN150" s="106"/>
      <c r="AO150" s="106"/>
      <c r="AP150" s="106"/>
      <c r="AQ150" s="9"/>
      <c r="AR150" s="106"/>
      <c r="AS150" s="106"/>
      <c r="AT150" s="106"/>
      <c r="AU150" s="106"/>
      <c r="AV150" s="106"/>
      <c r="AW150" s="106"/>
      <c r="AX150" s="9"/>
    </row>
    <row r="151" spans="1:50" ht="13.05" hidden="1" customHeight="1" x14ac:dyDescent="0.25">
      <c r="A151" t="str">
        <f>Nutrients!B150</f>
        <v>Natuphos 1200</v>
      </c>
      <c r="B151" s="106"/>
      <c r="C151" s="106"/>
      <c r="D151" s="106"/>
      <c r="E151" s="106"/>
      <c r="F151" s="106"/>
      <c r="G151" s="106"/>
      <c r="H151" s="106"/>
      <c r="I151" s="106"/>
      <c r="J151" s="106"/>
      <c r="K151" s="106"/>
      <c r="L151" s="106"/>
      <c r="M151" s="106"/>
      <c r="N151" s="106"/>
      <c r="O151" s="29"/>
      <c r="P151" s="106"/>
      <c r="Q151" s="106"/>
      <c r="R151" s="106"/>
      <c r="S151" s="106"/>
      <c r="T151" s="106"/>
      <c r="U151" s="106"/>
      <c r="V151" s="9"/>
      <c r="W151" s="106"/>
      <c r="X151" s="106"/>
      <c r="Y151" s="106"/>
      <c r="Z151" s="106"/>
      <c r="AA151" s="106"/>
      <c r="AB151" s="106"/>
      <c r="AC151" s="9"/>
      <c r="AD151" s="106"/>
      <c r="AE151" s="106"/>
      <c r="AF151" s="106"/>
      <c r="AG151" s="106"/>
      <c r="AH151" s="106"/>
      <c r="AI151" s="106"/>
      <c r="AJ151" s="9"/>
      <c r="AK151" s="106"/>
      <c r="AL151" s="106"/>
      <c r="AM151" s="106"/>
      <c r="AN151" s="106"/>
      <c r="AO151" s="106"/>
      <c r="AP151" s="106"/>
      <c r="AQ151" s="9"/>
      <c r="AR151" s="106"/>
      <c r="AS151" s="106"/>
      <c r="AT151" s="106"/>
      <c r="AU151" s="106"/>
      <c r="AV151" s="106"/>
      <c r="AW151" s="106"/>
      <c r="AX151" s="9"/>
    </row>
    <row r="152" spans="1:50" ht="13.05" hidden="1" customHeight="1" x14ac:dyDescent="0.25">
      <c r="A152" t="str">
        <f>Nutrients!B151</f>
        <v>Optiphos 2000</v>
      </c>
      <c r="B152" s="106"/>
      <c r="C152" s="106"/>
      <c r="D152" s="106"/>
      <c r="E152" s="106"/>
      <c r="F152" s="106"/>
      <c r="G152" s="106"/>
      <c r="H152" s="106"/>
      <c r="I152" s="106"/>
      <c r="J152" s="106"/>
      <c r="K152" s="106"/>
      <c r="L152" s="106"/>
      <c r="M152" s="106"/>
      <c r="N152" s="106"/>
      <c r="O152" s="29"/>
      <c r="P152" s="106"/>
      <c r="Q152" s="106"/>
      <c r="R152" s="106"/>
      <c r="S152" s="106"/>
      <c r="T152" s="106"/>
      <c r="U152" s="106"/>
      <c r="V152" s="9"/>
      <c r="W152" s="106"/>
      <c r="X152" s="106"/>
      <c r="Y152" s="106"/>
      <c r="Z152" s="106"/>
      <c r="AA152" s="106"/>
      <c r="AB152" s="106"/>
      <c r="AC152" s="9"/>
      <c r="AD152" s="106"/>
      <c r="AE152" s="106"/>
      <c r="AF152" s="106"/>
      <c r="AG152" s="106"/>
      <c r="AH152" s="106"/>
      <c r="AI152" s="106"/>
      <c r="AJ152" s="9"/>
      <c r="AK152" s="106"/>
      <c r="AL152" s="106"/>
      <c r="AM152" s="106"/>
      <c r="AN152" s="106"/>
      <c r="AO152" s="106"/>
      <c r="AP152" s="106"/>
      <c r="AQ152" s="9"/>
      <c r="AR152" s="106"/>
      <c r="AS152" s="106"/>
      <c r="AT152" s="106"/>
      <c r="AU152" s="106"/>
      <c r="AV152" s="106"/>
      <c r="AW152" s="106"/>
      <c r="AX152" s="9"/>
    </row>
    <row r="153" spans="1:50" ht="13.05" hidden="1" customHeight="1" x14ac:dyDescent="0.25">
      <c r="A153" t="str">
        <f>Nutrients!B152</f>
        <v>Phyzyme 1200</v>
      </c>
      <c r="B153" s="106"/>
      <c r="C153" s="106"/>
      <c r="D153" s="106"/>
      <c r="E153" s="106"/>
      <c r="F153" s="106"/>
      <c r="G153" s="106"/>
      <c r="H153" s="106"/>
      <c r="I153" s="106"/>
      <c r="J153" s="106"/>
      <c r="K153" s="106"/>
      <c r="L153" s="106"/>
      <c r="M153" s="106"/>
      <c r="N153" s="106"/>
      <c r="O153" s="29"/>
      <c r="P153" s="106"/>
      <c r="Q153" s="106"/>
      <c r="R153" s="106"/>
      <c r="S153" s="106"/>
      <c r="T153" s="106"/>
      <c r="U153" s="106"/>
      <c r="V153" s="9"/>
      <c r="W153" s="106"/>
      <c r="X153" s="106"/>
      <c r="Y153" s="106"/>
      <c r="Z153" s="106"/>
      <c r="AA153" s="106"/>
      <c r="AB153" s="106"/>
      <c r="AC153" s="9"/>
      <c r="AD153" s="106"/>
      <c r="AE153" s="106"/>
      <c r="AF153" s="106"/>
      <c r="AG153" s="106"/>
      <c r="AH153" s="106"/>
      <c r="AI153" s="106"/>
      <c r="AJ153" s="9"/>
      <c r="AK153" s="106"/>
      <c r="AL153" s="106"/>
      <c r="AM153" s="106"/>
      <c r="AN153" s="106"/>
      <c r="AO153" s="106"/>
      <c r="AP153" s="106"/>
      <c r="AQ153" s="9"/>
      <c r="AR153" s="106"/>
      <c r="AS153" s="106"/>
      <c r="AT153" s="106"/>
      <c r="AU153" s="106"/>
      <c r="AV153" s="106"/>
      <c r="AW153" s="106"/>
      <c r="AX153" s="9"/>
    </row>
    <row r="154" spans="1:50" ht="13.05" hidden="1" customHeight="1" x14ac:dyDescent="0.25">
      <c r="A154" t="str">
        <f>Nutrients!B153</f>
        <v>Phyzyme 5000</v>
      </c>
      <c r="B154" s="106"/>
      <c r="C154" s="106"/>
      <c r="D154" s="106"/>
      <c r="E154" s="106"/>
      <c r="F154" s="106"/>
      <c r="G154" s="106"/>
      <c r="H154" s="106"/>
      <c r="I154" s="106"/>
      <c r="J154" s="106"/>
      <c r="K154" s="106"/>
      <c r="L154" s="106"/>
      <c r="M154" s="106"/>
      <c r="N154" s="106"/>
      <c r="O154" s="29"/>
      <c r="P154" s="106"/>
      <c r="Q154" s="106"/>
      <c r="R154" s="106"/>
      <c r="S154" s="106"/>
      <c r="T154" s="106"/>
      <c r="U154" s="106"/>
      <c r="V154" s="9"/>
      <c r="W154" s="106"/>
      <c r="X154" s="106"/>
      <c r="Y154" s="106"/>
      <c r="Z154" s="106"/>
      <c r="AA154" s="106"/>
      <c r="AB154" s="106"/>
      <c r="AC154" s="9"/>
      <c r="AD154" s="106"/>
      <c r="AE154" s="106"/>
      <c r="AF154" s="106"/>
      <c r="AG154" s="106"/>
      <c r="AH154" s="106"/>
      <c r="AI154" s="106"/>
      <c r="AJ154" s="9"/>
      <c r="AK154" s="106"/>
      <c r="AL154" s="106"/>
      <c r="AM154" s="106"/>
      <c r="AN154" s="106"/>
      <c r="AO154" s="106"/>
      <c r="AP154" s="106"/>
      <c r="AQ154" s="9"/>
      <c r="AR154" s="106"/>
      <c r="AS154" s="106"/>
      <c r="AT154" s="106"/>
      <c r="AU154" s="106"/>
      <c r="AV154" s="106"/>
      <c r="AW154" s="106"/>
      <c r="AX154" s="9"/>
    </row>
    <row r="155" spans="1:50" ht="13.05" hidden="1" customHeight="1" x14ac:dyDescent="0.25">
      <c r="A155" t="str">
        <f>Nutrients!B154</f>
        <v>Ronozyme Hiphos GT (10,000)</v>
      </c>
      <c r="B155" s="106"/>
      <c r="C155" s="106"/>
      <c r="D155" s="106"/>
      <c r="E155" s="106"/>
      <c r="F155" s="106"/>
      <c r="G155" s="106"/>
      <c r="H155" s="106"/>
      <c r="I155" s="106"/>
      <c r="J155" s="106"/>
      <c r="K155" s="106"/>
      <c r="L155" s="106"/>
      <c r="M155" s="106"/>
      <c r="N155" s="106"/>
      <c r="O155" s="29"/>
      <c r="P155" s="106"/>
      <c r="Q155" s="106"/>
      <c r="R155" s="106"/>
      <c r="S155" s="106"/>
      <c r="T155" s="106"/>
      <c r="U155" s="106"/>
      <c r="V155" s="9"/>
      <c r="W155" s="106"/>
      <c r="X155" s="106"/>
      <c r="Y155" s="106"/>
      <c r="Z155" s="106"/>
      <c r="AA155" s="106"/>
      <c r="AB155" s="106"/>
      <c r="AC155" s="9"/>
      <c r="AD155" s="106"/>
      <c r="AE155" s="106"/>
      <c r="AF155" s="106"/>
      <c r="AG155" s="106"/>
      <c r="AH155" s="106"/>
      <c r="AI155" s="106"/>
      <c r="AJ155" s="9"/>
      <c r="AK155" s="106"/>
      <c r="AL155" s="106"/>
      <c r="AM155" s="106"/>
      <c r="AN155" s="106"/>
      <c r="AO155" s="106"/>
      <c r="AP155" s="106"/>
      <c r="AQ155" s="9"/>
      <c r="AR155" s="106"/>
      <c r="AS155" s="106"/>
      <c r="AT155" s="106"/>
      <c r="AU155" s="106"/>
      <c r="AV155" s="106"/>
      <c r="AW155" s="106"/>
      <c r="AX155" s="9"/>
    </row>
    <row r="156" spans="1:50" ht="13.05" hidden="1" customHeight="1" x14ac:dyDescent="0.25">
      <c r="A156" t="str">
        <f>Nutrients!B155</f>
        <v>Ronozyme Hiphos M (50,000)</v>
      </c>
      <c r="B156" s="106"/>
      <c r="C156" s="106"/>
      <c r="D156" s="106"/>
      <c r="E156" s="106"/>
      <c r="F156" s="106"/>
      <c r="G156" s="106"/>
      <c r="H156" s="106"/>
      <c r="I156" s="106"/>
      <c r="J156" s="106"/>
      <c r="K156" s="106"/>
      <c r="L156" s="106"/>
      <c r="M156" s="106"/>
      <c r="N156" s="106"/>
      <c r="O156" s="29"/>
      <c r="P156" s="106"/>
      <c r="Q156" s="106"/>
      <c r="R156" s="106"/>
      <c r="S156" s="106"/>
      <c r="T156" s="106"/>
      <c r="U156" s="106"/>
      <c r="V156" s="9"/>
      <c r="W156" s="106"/>
      <c r="X156" s="106"/>
      <c r="Y156" s="106"/>
      <c r="Z156" s="106"/>
      <c r="AA156" s="106"/>
      <c r="AB156" s="106"/>
      <c r="AC156" s="9"/>
      <c r="AD156" s="106"/>
      <c r="AE156" s="106"/>
      <c r="AF156" s="106"/>
      <c r="AG156" s="106"/>
      <c r="AH156" s="106"/>
      <c r="AI156" s="106"/>
      <c r="AJ156" s="9"/>
      <c r="AK156" s="106"/>
      <c r="AL156" s="106"/>
      <c r="AM156" s="106"/>
      <c r="AN156" s="106"/>
      <c r="AO156" s="106"/>
      <c r="AP156" s="106"/>
      <c r="AQ156" s="9"/>
      <c r="AR156" s="106"/>
      <c r="AS156" s="106"/>
      <c r="AT156" s="106"/>
      <c r="AU156" s="106"/>
      <c r="AV156" s="106"/>
      <c r="AW156" s="106"/>
      <c r="AX156" s="9"/>
    </row>
    <row r="157" spans="1:50" ht="13.05" customHeight="1" x14ac:dyDescent="0.25">
      <c r="A157" t="str">
        <f>Nutrients!B156</f>
        <v>Ronozyme HiPhos 2700</v>
      </c>
      <c r="B157" s="106">
        <v>0.45</v>
      </c>
      <c r="C157" s="106">
        <v>0.45</v>
      </c>
      <c r="D157" s="106">
        <v>0.45</v>
      </c>
      <c r="E157" s="106">
        <v>0.45</v>
      </c>
      <c r="F157" s="106">
        <v>0.45</v>
      </c>
      <c r="G157" s="106">
        <v>0.45</v>
      </c>
      <c r="H157" s="106"/>
      <c r="I157" s="106">
        <v>0.45</v>
      </c>
      <c r="J157" s="106">
        <v>0.45</v>
      </c>
      <c r="K157" s="106">
        <v>0.45</v>
      </c>
      <c r="L157" s="106">
        <v>0.45</v>
      </c>
      <c r="M157" s="106">
        <v>0.45</v>
      </c>
      <c r="N157" s="106">
        <v>0.45</v>
      </c>
      <c r="O157" s="29"/>
      <c r="P157" s="106">
        <v>0.45</v>
      </c>
      <c r="Q157" s="106">
        <v>0.45</v>
      </c>
      <c r="R157" s="106">
        <v>0.45</v>
      </c>
      <c r="S157" s="106">
        <v>0.45</v>
      </c>
      <c r="T157" s="106">
        <v>0.45</v>
      </c>
      <c r="U157" s="106">
        <v>0.45</v>
      </c>
      <c r="V157" s="9"/>
      <c r="W157" s="106">
        <v>0.45</v>
      </c>
      <c r="X157" s="106">
        <v>0.45</v>
      </c>
      <c r="Y157" s="106">
        <v>0.45</v>
      </c>
      <c r="Z157" s="106">
        <v>0.45</v>
      </c>
      <c r="AA157" s="106">
        <v>0.45</v>
      </c>
      <c r="AB157" s="106">
        <v>0.45</v>
      </c>
      <c r="AC157" s="9"/>
      <c r="AD157" s="106">
        <v>0.45</v>
      </c>
      <c r="AE157" s="106">
        <v>0.45</v>
      </c>
      <c r="AF157" s="106">
        <v>0.45</v>
      </c>
      <c r="AG157" s="106">
        <v>0.45</v>
      </c>
      <c r="AH157" s="106">
        <v>0.45</v>
      </c>
      <c r="AI157" s="106">
        <v>0.45</v>
      </c>
      <c r="AJ157" s="9"/>
      <c r="AK157" s="106">
        <v>0.45</v>
      </c>
      <c r="AL157" s="106">
        <v>0.45</v>
      </c>
      <c r="AM157" s="106">
        <v>0.45</v>
      </c>
      <c r="AN157" s="106">
        <v>0.45</v>
      </c>
      <c r="AO157" s="106">
        <v>0.45</v>
      </c>
      <c r="AP157" s="106">
        <v>0.45</v>
      </c>
      <c r="AQ157" s="9"/>
      <c r="AR157" s="106">
        <v>0.45</v>
      </c>
      <c r="AS157" s="106">
        <v>0.45</v>
      </c>
      <c r="AT157" s="106">
        <v>0.45</v>
      </c>
      <c r="AU157" s="106">
        <v>0.45</v>
      </c>
      <c r="AV157" s="106">
        <v>0.45</v>
      </c>
      <c r="AW157" s="106">
        <v>0.45</v>
      </c>
      <c r="AX157" s="9"/>
    </row>
    <row r="158" spans="1:50" ht="13.05" hidden="1" customHeight="1" x14ac:dyDescent="0.25">
      <c r="A158" t="str">
        <f>Nutrients!B157</f>
        <v>Zinc oxide</v>
      </c>
      <c r="B158" s="106"/>
      <c r="C158" s="106"/>
      <c r="D158" s="106"/>
      <c r="E158" s="106"/>
      <c r="F158" s="106"/>
      <c r="G158" s="106"/>
      <c r="H158" s="106"/>
      <c r="I158" s="106"/>
      <c r="J158" s="106"/>
      <c r="K158" s="106"/>
      <c r="L158" s="106"/>
      <c r="M158" s="106"/>
      <c r="N158" s="106"/>
      <c r="O158" s="29"/>
      <c r="P158" s="106"/>
      <c r="Q158" s="106"/>
      <c r="R158" s="106"/>
      <c r="S158" s="106"/>
      <c r="T158" s="106"/>
      <c r="U158" s="106"/>
      <c r="V158" s="9"/>
      <c r="W158" s="106"/>
      <c r="X158" s="106"/>
      <c r="Y158" s="106"/>
      <c r="Z158" s="106"/>
      <c r="AA158" s="106"/>
      <c r="AB158" s="106"/>
      <c r="AC158" s="9"/>
      <c r="AD158" s="106"/>
      <c r="AE158" s="106"/>
      <c r="AF158" s="106"/>
      <c r="AG158" s="106"/>
      <c r="AH158" s="106"/>
      <c r="AI158" s="106"/>
      <c r="AJ158" s="9"/>
      <c r="AK158" s="106"/>
      <c r="AL158" s="106"/>
      <c r="AM158" s="106"/>
      <c r="AN158" s="106"/>
      <c r="AO158" s="106"/>
      <c r="AP158" s="106"/>
      <c r="AQ158" s="9"/>
      <c r="AR158" s="106"/>
      <c r="AS158" s="106"/>
      <c r="AT158" s="106"/>
      <c r="AU158" s="106"/>
      <c r="AV158" s="106"/>
      <c r="AW158" s="106"/>
      <c r="AX158" s="9"/>
    </row>
    <row r="159" spans="1:50" ht="13.05" hidden="1" customHeight="1" x14ac:dyDescent="0.25">
      <c r="A159" t="str">
        <f>Nutrients!B158</f>
        <v>Copper sulfate</v>
      </c>
      <c r="B159" s="106"/>
      <c r="C159" s="106"/>
      <c r="D159" s="106"/>
      <c r="E159" s="106"/>
      <c r="F159" s="106"/>
      <c r="G159" s="106"/>
      <c r="H159" s="106"/>
      <c r="I159" s="106"/>
      <c r="J159" s="106"/>
      <c r="K159" s="106"/>
      <c r="L159" s="106"/>
      <c r="M159" s="106"/>
      <c r="N159" s="106"/>
      <c r="O159" s="29"/>
      <c r="P159" s="106"/>
      <c r="Q159" s="106"/>
      <c r="R159" s="106"/>
      <c r="S159" s="106"/>
      <c r="T159" s="106"/>
      <c r="U159" s="106"/>
      <c r="V159" s="9"/>
      <c r="W159" s="106"/>
      <c r="X159" s="106"/>
      <c r="Y159" s="106"/>
      <c r="Z159" s="106"/>
      <c r="AA159" s="106"/>
      <c r="AB159" s="106"/>
      <c r="AC159" s="9"/>
      <c r="AD159" s="106"/>
      <c r="AE159" s="106"/>
      <c r="AF159" s="106"/>
      <c r="AG159" s="106"/>
      <c r="AH159" s="106"/>
      <c r="AI159" s="106"/>
      <c r="AJ159" s="9"/>
      <c r="AK159" s="106"/>
      <c r="AL159" s="106"/>
      <c r="AM159" s="106"/>
      <c r="AN159" s="106"/>
      <c r="AO159" s="106"/>
      <c r="AP159" s="106"/>
      <c r="AQ159" s="9"/>
      <c r="AR159" s="106"/>
      <c r="AS159" s="106"/>
      <c r="AT159" s="106"/>
      <c r="AU159" s="106"/>
      <c r="AV159" s="106"/>
      <c r="AW159" s="106"/>
      <c r="AX159" s="9"/>
    </row>
    <row r="160" spans="1:50" ht="13.05" hidden="1" customHeight="1" x14ac:dyDescent="0.25">
      <c r="A160" t="str">
        <f>Nutrients!B159</f>
        <v>Potassium chloride</v>
      </c>
      <c r="B160" s="106"/>
      <c r="C160" s="106"/>
      <c r="D160" s="106"/>
      <c r="E160" s="106"/>
      <c r="F160" s="106"/>
      <c r="G160" s="106"/>
      <c r="H160" s="106"/>
      <c r="I160" s="106"/>
      <c r="J160" s="106"/>
      <c r="K160" s="106"/>
      <c r="L160" s="106"/>
      <c r="M160" s="106"/>
      <c r="N160" s="106"/>
      <c r="O160" s="29"/>
      <c r="P160" s="106"/>
      <c r="Q160" s="106"/>
      <c r="R160" s="106"/>
      <c r="S160" s="106"/>
      <c r="T160" s="106"/>
      <c r="U160" s="106"/>
      <c r="V160" s="9"/>
      <c r="W160" s="106"/>
      <c r="X160" s="106"/>
      <c r="Y160" s="106"/>
      <c r="Z160" s="106"/>
      <c r="AA160" s="106"/>
      <c r="AB160" s="106"/>
      <c r="AC160" s="9"/>
      <c r="AD160" s="106"/>
      <c r="AE160" s="106"/>
      <c r="AF160" s="106"/>
      <c r="AG160" s="106"/>
      <c r="AH160" s="106"/>
      <c r="AI160" s="106"/>
      <c r="AJ160" s="9"/>
      <c r="AK160" s="106"/>
      <c r="AL160" s="106"/>
      <c r="AM160" s="106"/>
      <c r="AN160" s="106"/>
      <c r="AO160" s="106"/>
      <c r="AP160" s="106"/>
      <c r="AQ160" s="9"/>
      <c r="AR160" s="106"/>
      <c r="AS160" s="106"/>
      <c r="AT160" s="106"/>
      <c r="AU160" s="106"/>
      <c r="AV160" s="106"/>
      <c r="AW160" s="106"/>
      <c r="AX160" s="9"/>
    </row>
    <row r="161" spans="1:50" ht="13.05" hidden="1" customHeight="1" x14ac:dyDescent="0.25">
      <c r="A161" t="str">
        <f>Nutrients!B160</f>
        <v>Calcium chloride</v>
      </c>
      <c r="B161" s="106"/>
      <c r="C161" s="106"/>
      <c r="D161" s="106"/>
      <c r="E161" s="106"/>
      <c r="F161" s="106"/>
      <c r="G161" s="106"/>
      <c r="H161" s="106"/>
      <c r="I161" s="106"/>
      <c r="J161" s="106"/>
      <c r="K161" s="106"/>
      <c r="L161" s="106"/>
      <c r="M161" s="106"/>
      <c r="N161" s="106"/>
      <c r="O161" s="29"/>
      <c r="P161" s="106"/>
      <c r="Q161" s="106"/>
      <c r="R161" s="106"/>
      <c r="S161" s="106"/>
      <c r="T161" s="106"/>
      <c r="U161" s="106"/>
      <c r="V161" s="9"/>
      <c r="W161" s="106"/>
      <c r="X161" s="106"/>
      <c r="Y161" s="106"/>
      <c r="Z161" s="106"/>
      <c r="AA161" s="106"/>
      <c r="AB161" s="106"/>
      <c r="AC161" s="9"/>
      <c r="AD161" s="106"/>
      <c r="AE161" s="106"/>
      <c r="AF161" s="106"/>
      <c r="AG161" s="106"/>
      <c r="AH161" s="106"/>
      <c r="AI161" s="106"/>
      <c r="AJ161" s="9"/>
      <c r="AK161" s="106"/>
      <c r="AL161" s="106"/>
      <c r="AM161" s="106"/>
      <c r="AN161" s="106"/>
      <c r="AO161" s="106"/>
      <c r="AP161" s="106"/>
      <c r="AQ161" s="9"/>
      <c r="AR161" s="106"/>
      <c r="AS161" s="106"/>
      <c r="AT161" s="106"/>
      <c r="AU161" s="106"/>
      <c r="AV161" s="106"/>
      <c r="AW161" s="106"/>
      <c r="AX161" s="9"/>
    </row>
    <row r="162" spans="1:50" ht="13.05" hidden="1" customHeight="1" x14ac:dyDescent="0.25">
      <c r="A162" t="str">
        <f>Nutrients!B161</f>
        <v>Acidifier</v>
      </c>
      <c r="B162" s="106"/>
      <c r="C162" s="106"/>
      <c r="D162" s="106"/>
      <c r="E162" s="106"/>
      <c r="F162" s="106"/>
      <c r="G162" s="106"/>
      <c r="H162" s="106"/>
      <c r="I162" s="106"/>
      <c r="J162" s="106"/>
      <c r="K162" s="106"/>
      <c r="L162" s="106"/>
      <c r="M162" s="106"/>
      <c r="N162" s="106"/>
      <c r="O162" s="29"/>
      <c r="P162" s="106"/>
      <c r="Q162" s="106"/>
      <c r="R162" s="106"/>
      <c r="S162" s="106"/>
      <c r="T162" s="106"/>
      <c r="U162" s="106"/>
      <c r="V162" s="9"/>
      <c r="W162" s="106"/>
      <c r="X162" s="106"/>
      <c r="Y162" s="106"/>
      <c r="Z162" s="106"/>
      <c r="AA162" s="106"/>
      <c r="AB162" s="106"/>
      <c r="AC162" s="9"/>
      <c r="AD162" s="106"/>
      <c r="AE162" s="106"/>
      <c r="AF162" s="106"/>
      <c r="AG162" s="106"/>
      <c r="AH162" s="106"/>
      <c r="AI162" s="106"/>
      <c r="AJ162" s="9"/>
      <c r="AK162" s="106"/>
      <c r="AL162" s="106"/>
      <c r="AM162" s="106"/>
      <c r="AN162" s="106"/>
      <c r="AO162" s="106"/>
      <c r="AP162" s="106"/>
      <c r="AQ162" s="9"/>
      <c r="AR162" s="106"/>
      <c r="AS162" s="106"/>
      <c r="AT162" s="106"/>
      <c r="AU162" s="106"/>
      <c r="AV162" s="106"/>
      <c r="AW162" s="106"/>
      <c r="AX162" s="9"/>
    </row>
    <row r="163" spans="1:50" ht="13.05" hidden="1" customHeight="1" x14ac:dyDescent="0.25">
      <c r="A163" t="str">
        <f>Nutrients!B162</f>
        <v>Vitamin E, 20,000 IU</v>
      </c>
      <c r="B163" s="106"/>
      <c r="C163" s="106"/>
      <c r="D163" s="106"/>
      <c r="E163" s="106"/>
      <c r="F163" s="106"/>
      <c r="G163" s="106"/>
      <c r="H163" s="106"/>
      <c r="I163" s="106"/>
      <c r="J163" s="106"/>
      <c r="K163" s="106"/>
      <c r="L163" s="106"/>
      <c r="M163" s="106"/>
      <c r="N163" s="106"/>
      <c r="O163" s="29"/>
      <c r="P163" s="106"/>
      <c r="Q163" s="106"/>
      <c r="R163" s="106"/>
      <c r="S163" s="106"/>
      <c r="T163" s="106"/>
      <c r="U163" s="106"/>
      <c r="V163" s="9"/>
      <c r="W163" s="106"/>
      <c r="X163" s="106"/>
      <c r="Y163" s="106"/>
      <c r="Z163" s="106"/>
      <c r="AA163" s="106"/>
      <c r="AB163" s="106"/>
      <c r="AC163" s="9"/>
      <c r="AD163" s="106"/>
      <c r="AE163" s="106"/>
      <c r="AF163" s="106"/>
      <c r="AG163" s="106"/>
      <c r="AH163" s="106"/>
      <c r="AI163" s="106"/>
      <c r="AJ163" s="9"/>
      <c r="AK163" s="106"/>
      <c r="AL163" s="106"/>
      <c r="AM163" s="106"/>
      <c r="AN163" s="106"/>
      <c r="AO163" s="106"/>
      <c r="AP163" s="106"/>
      <c r="AQ163" s="9"/>
      <c r="AR163" s="106"/>
      <c r="AS163" s="106"/>
      <c r="AT163" s="106"/>
      <c r="AU163" s="106"/>
      <c r="AV163" s="106"/>
      <c r="AW163" s="106"/>
      <c r="AX163" s="9"/>
    </row>
    <row r="164" spans="1:50" ht="13.05" hidden="1" customHeight="1" x14ac:dyDescent="0.25">
      <c r="A164" t="str">
        <f>Nutrients!B163</f>
        <v>Other ingredient</v>
      </c>
      <c r="B164" s="106"/>
      <c r="C164" s="106"/>
      <c r="D164" s="106"/>
      <c r="E164" s="106"/>
      <c r="F164" s="106"/>
      <c r="G164" s="106"/>
      <c r="H164" s="106"/>
      <c r="I164" s="106"/>
      <c r="J164" s="106"/>
      <c r="K164" s="106"/>
      <c r="L164" s="106"/>
      <c r="M164" s="106"/>
      <c r="N164" s="106"/>
      <c r="O164" s="29"/>
      <c r="P164" s="106"/>
      <c r="Q164" s="106"/>
      <c r="R164" s="106"/>
      <c r="S164" s="106"/>
      <c r="T164" s="106"/>
      <c r="U164" s="106"/>
      <c r="V164" s="9"/>
      <c r="W164" s="106"/>
      <c r="X164" s="106"/>
      <c r="Y164" s="106"/>
      <c r="Z164" s="106"/>
      <c r="AA164" s="106"/>
      <c r="AB164" s="106"/>
      <c r="AC164" s="9"/>
      <c r="AD164" s="106"/>
      <c r="AE164" s="106"/>
      <c r="AF164" s="106"/>
      <c r="AG164" s="106"/>
      <c r="AH164" s="106"/>
      <c r="AI164" s="106"/>
      <c r="AJ164" s="9"/>
      <c r="AK164" s="106"/>
      <c r="AL164" s="106"/>
      <c r="AM164" s="106"/>
      <c r="AN164" s="106"/>
      <c r="AO164" s="106"/>
      <c r="AP164" s="106"/>
      <c r="AQ164" s="9"/>
      <c r="AR164" s="106"/>
      <c r="AS164" s="106"/>
      <c r="AT164" s="106"/>
      <c r="AU164" s="106"/>
      <c r="AV164" s="106"/>
      <c r="AW164" s="106"/>
      <c r="AX164" s="9"/>
    </row>
    <row r="165" spans="1:50" ht="13.05" hidden="1" customHeight="1" x14ac:dyDescent="0.25">
      <c r="A165" t="str">
        <f>Nutrients!B164</f>
        <v>DPS 50</v>
      </c>
      <c r="B165" s="106"/>
      <c r="C165" s="106"/>
      <c r="D165" s="106"/>
      <c r="E165" s="106"/>
      <c r="F165" s="106"/>
      <c r="G165" s="106"/>
      <c r="H165" s="106"/>
      <c r="I165" s="106"/>
      <c r="J165" s="106"/>
      <c r="K165" s="106"/>
      <c r="L165" s="106"/>
      <c r="M165" s="106"/>
      <c r="N165" s="106"/>
      <c r="O165" s="29"/>
      <c r="P165" s="106"/>
      <c r="Q165" s="106"/>
      <c r="R165" s="106"/>
      <c r="S165" s="106"/>
      <c r="T165" s="106"/>
      <c r="U165" s="106"/>
      <c r="V165" s="9"/>
      <c r="W165" s="106"/>
      <c r="X165" s="106"/>
      <c r="Y165" s="106"/>
      <c r="Z165" s="106"/>
      <c r="AA165" s="106"/>
      <c r="AB165" s="106"/>
      <c r="AC165" s="9"/>
      <c r="AD165" s="106"/>
      <c r="AE165" s="106"/>
      <c r="AF165" s="106"/>
      <c r="AG165" s="106"/>
      <c r="AH165" s="106"/>
      <c r="AI165" s="106"/>
      <c r="AJ165" s="9"/>
      <c r="AK165" s="106"/>
      <c r="AL165" s="106"/>
      <c r="AM165" s="106"/>
      <c r="AN165" s="106"/>
      <c r="AO165" s="106"/>
      <c r="AP165" s="106"/>
      <c r="AQ165" s="9"/>
      <c r="AR165" s="106"/>
      <c r="AS165" s="106"/>
      <c r="AT165" s="106"/>
      <c r="AU165" s="106"/>
      <c r="AV165" s="106"/>
      <c r="AW165" s="106"/>
      <c r="AX165" s="9"/>
    </row>
    <row r="166" spans="1:50" ht="13.05" hidden="1" customHeight="1" x14ac:dyDescent="0.25">
      <c r="A166" t="str">
        <f>Nutrients!B165</f>
        <v>PEP2+</v>
      </c>
      <c r="B166" s="106"/>
      <c r="C166" s="106"/>
      <c r="D166" s="106"/>
      <c r="E166" s="106"/>
      <c r="F166" s="106"/>
      <c r="G166" s="106"/>
      <c r="H166" s="106"/>
      <c r="I166" s="106"/>
      <c r="J166" s="106"/>
      <c r="K166" s="106"/>
      <c r="L166" s="106"/>
      <c r="M166" s="106"/>
      <c r="N166" s="106"/>
      <c r="O166" s="29"/>
      <c r="P166" s="106"/>
      <c r="Q166" s="106"/>
      <c r="R166" s="106"/>
      <c r="S166" s="106"/>
      <c r="T166" s="106"/>
      <c r="U166" s="106"/>
      <c r="V166" s="9"/>
      <c r="W166" s="106"/>
      <c r="X166" s="106"/>
      <c r="Y166" s="106"/>
      <c r="Z166" s="106"/>
      <c r="AA166" s="106"/>
      <c r="AB166" s="106"/>
      <c r="AC166" s="9"/>
      <c r="AD166" s="106"/>
      <c r="AE166" s="106"/>
      <c r="AF166" s="106"/>
      <c r="AG166" s="106"/>
      <c r="AH166" s="106"/>
      <c r="AI166" s="106"/>
      <c r="AJ166" s="9"/>
      <c r="AK166" s="106"/>
      <c r="AL166" s="106"/>
      <c r="AM166" s="106"/>
      <c r="AN166" s="106"/>
      <c r="AO166" s="106"/>
      <c r="AP166" s="106"/>
      <c r="AQ166" s="9"/>
      <c r="AR166" s="106"/>
      <c r="AS166" s="106"/>
      <c r="AT166" s="106"/>
      <c r="AU166" s="106"/>
      <c r="AV166" s="106"/>
      <c r="AW166" s="106"/>
      <c r="AX166" s="9"/>
    </row>
    <row r="167" spans="1:50" ht="13.05" hidden="1" customHeight="1" x14ac:dyDescent="0.25">
      <c r="A167" t="str">
        <f>Nutrients!B166</f>
        <v>PEP NS</v>
      </c>
      <c r="B167" s="106"/>
      <c r="C167" s="106"/>
      <c r="D167" s="106"/>
      <c r="E167" s="106"/>
      <c r="F167" s="106"/>
      <c r="G167" s="106"/>
      <c r="H167" s="106"/>
      <c r="I167" s="106"/>
      <c r="J167" s="106"/>
      <c r="K167" s="106"/>
      <c r="L167" s="106"/>
      <c r="M167" s="106"/>
      <c r="N167" s="106"/>
      <c r="O167" s="29"/>
      <c r="P167" s="106"/>
      <c r="Q167" s="106"/>
      <c r="R167" s="106"/>
      <c r="S167" s="106"/>
      <c r="T167" s="106"/>
      <c r="U167" s="106"/>
      <c r="V167" s="9"/>
      <c r="W167" s="106"/>
      <c r="X167" s="106"/>
      <c r="Y167" s="106"/>
      <c r="Z167" s="106"/>
      <c r="AA167" s="106"/>
      <c r="AB167" s="106"/>
      <c r="AC167" s="9"/>
      <c r="AD167" s="106"/>
      <c r="AE167" s="106"/>
      <c r="AF167" s="106"/>
      <c r="AG167" s="106"/>
      <c r="AH167" s="106"/>
      <c r="AI167" s="106"/>
      <c r="AJ167" s="9"/>
      <c r="AK167" s="106"/>
      <c r="AL167" s="106"/>
      <c r="AM167" s="106"/>
      <c r="AN167" s="106"/>
      <c r="AO167" s="106"/>
      <c r="AP167" s="106"/>
      <c r="AQ167" s="9"/>
      <c r="AR167" s="106"/>
      <c r="AS167" s="106"/>
      <c r="AT167" s="106"/>
      <c r="AU167" s="106"/>
      <c r="AV167" s="106"/>
      <c r="AW167" s="106"/>
      <c r="AX167" s="9"/>
    </row>
    <row r="168" spans="1:50" ht="13.05" hidden="1" customHeight="1" x14ac:dyDescent="0.25">
      <c r="A168" t="str">
        <f>Nutrients!B167</f>
        <v>Vitamin premix (2x) with phytase</v>
      </c>
      <c r="B168" s="106"/>
      <c r="C168" s="106"/>
      <c r="D168" s="106"/>
      <c r="E168" s="106"/>
      <c r="F168" s="106"/>
      <c r="G168" s="106"/>
      <c r="H168" s="106"/>
      <c r="I168" s="106"/>
      <c r="J168" s="106"/>
      <c r="K168" s="106"/>
      <c r="L168" s="106"/>
      <c r="M168" s="106"/>
      <c r="N168" s="106"/>
      <c r="O168" s="29"/>
      <c r="P168" s="106"/>
      <c r="Q168" s="106"/>
      <c r="R168" s="106"/>
      <c r="S168" s="106"/>
      <c r="T168" s="106"/>
      <c r="U168" s="106"/>
      <c r="V168" s="9"/>
      <c r="W168" s="106"/>
      <c r="X168" s="106"/>
      <c r="Y168" s="106"/>
      <c r="Z168" s="106"/>
      <c r="AA168" s="106"/>
      <c r="AB168" s="106"/>
      <c r="AC168" s="9"/>
      <c r="AD168" s="106"/>
      <c r="AE168" s="106"/>
      <c r="AF168" s="106"/>
      <c r="AG168" s="106"/>
      <c r="AH168" s="106"/>
      <c r="AI168" s="106"/>
      <c r="AJ168" s="9"/>
      <c r="AK168" s="106"/>
      <c r="AL168" s="106"/>
      <c r="AM168" s="106"/>
      <c r="AN168" s="106"/>
      <c r="AO168" s="106"/>
      <c r="AP168" s="106"/>
      <c r="AQ168" s="9"/>
      <c r="AR168" s="106"/>
      <c r="AS168" s="106"/>
      <c r="AT168" s="106"/>
      <c r="AU168" s="106"/>
      <c r="AV168" s="106"/>
      <c r="AW168" s="106"/>
      <c r="AX168" s="9"/>
    </row>
    <row r="169" spans="1:50" ht="13.05" hidden="1" customHeight="1" x14ac:dyDescent="0.25">
      <c r="A169" t="str">
        <f>Nutrients!B168</f>
        <v>Vitamin premix (2x) without phytase</v>
      </c>
      <c r="B169" s="106"/>
      <c r="C169" s="106"/>
      <c r="D169" s="106"/>
      <c r="E169" s="106"/>
      <c r="F169" s="106"/>
      <c r="G169" s="106"/>
      <c r="H169" s="106"/>
      <c r="I169" s="106"/>
      <c r="J169" s="106"/>
      <c r="K169" s="106"/>
      <c r="L169" s="106"/>
      <c r="M169" s="106"/>
      <c r="N169" s="106"/>
      <c r="O169" s="29"/>
      <c r="P169" s="106"/>
      <c r="Q169" s="106"/>
      <c r="R169" s="106"/>
      <c r="S169" s="106"/>
      <c r="T169" s="106"/>
      <c r="U169" s="106"/>
      <c r="V169" s="9"/>
      <c r="W169" s="106"/>
      <c r="X169" s="106"/>
      <c r="Y169" s="106"/>
      <c r="Z169" s="106"/>
      <c r="AA169" s="106"/>
      <c r="AB169" s="106"/>
      <c r="AC169" s="9"/>
      <c r="AD169" s="106"/>
      <c r="AE169" s="106"/>
      <c r="AF169" s="106"/>
      <c r="AG169" s="106"/>
      <c r="AH169" s="106"/>
      <c r="AI169" s="106"/>
      <c r="AJ169" s="9"/>
      <c r="AK169" s="106"/>
      <c r="AL169" s="106"/>
      <c r="AM169" s="106"/>
      <c r="AN169" s="106"/>
      <c r="AO169" s="106"/>
      <c r="AP169" s="106"/>
      <c r="AQ169" s="9"/>
      <c r="AR169" s="106"/>
      <c r="AS169" s="106"/>
      <c r="AT169" s="106"/>
      <c r="AU169" s="106"/>
      <c r="AV169" s="106"/>
      <c r="AW169" s="106"/>
      <c r="AX169" s="9"/>
    </row>
    <row r="170" spans="1:50" hidden="1" x14ac:dyDescent="0.25">
      <c r="A170" t="str">
        <f>Nutrients!B169</f>
        <v>Corn DDGS, 10.5% Oil</v>
      </c>
      <c r="B170" s="106"/>
      <c r="C170" s="106"/>
      <c r="D170" s="106"/>
      <c r="E170" s="106"/>
      <c r="F170" s="106"/>
      <c r="G170" s="106"/>
      <c r="H170" s="106"/>
      <c r="I170" s="106"/>
      <c r="J170" s="106"/>
      <c r="K170" s="106"/>
      <c r="L170" s="106"/>
      <c r="M170" s="106"/>
      <c r="N170" s="106"/>
      <c r="O170" s="29"/>
      <c r="P170" s="106"/>
      <c r="Q170" s="106"/>
      <c r="R170" s="106"/>
      <c r="S170" s="106"/>
      <c r="T170" s="106"/>
      <c r="U170" s="106"/>
      <c r="V170" s="9"/>
      <c r="W170" s="106"/>
      <c r="X170" s="106"/>
      <c r="Y170" s="106"/>
      <c r="Z170" s="106"/>
      <c r="AA170" s="106"/>
      <c r="AB170" s="106"/>
      <c r="AC170" s="9"/>
      <c r="AD170" s="106"/>
      <c r="AE170" s="106"/>
      <c r="AF170" s="106"/>
      <c r="AG170" s="106"/>
      <c r="AH170" s="106"/>
      <c r="AI170" s="106"/>
      <c r="AJ170" s="9"/>
      <c r="AK170" s="106"/>
      <c r="AL170" s="106"/>
      <c r="AM170" s="106"/>
      <c r="AN170" s="106"/>
      <c r="AO170" s="106"/>
      <c r="AP170" s="106"/>
      <c r="AQ170" s="9"/>
      <c r="AR170" s="106"/>
      <c r="AS170" s="106"/>
      <c r="AT170" s="106"/>
      <c r="AU170" s="106"/>
      <c r="AV170" s="106"/>
      <c r="AW170" s="106"/>
      <c r="AX170" s="9"/>
    </row>
    <row r="171" spans="1:50" hidden="1" x14ac:dyDescent="0.25">
      <c r="A171" t="str">
        <f>Nutrients!B170</f>
        <v>Corn DDGS, 7.5% Oil</v>
      </c>
      <c r="B171" s="106"/>
      <c r="C171" s="106"/>
      <c r="D171" s="106"/>
      <c r="E171" s="106"/>
      <c r="F171" s="106"/>
      <c r="G171" s="106"/>
      <c r="H171" s="106"/>
      <c r="I171" s="106"/>
      <c r="J171" s="106"/>
      <c r="K171" s="106"/>
      <c r="L171" s="106"/>
      <c r="M171" s="106"/>
      <c r="N171" s="106"/>
      <c r="O171" s="29"/>
      <c r="P171" s="106"/>
      <c r="Q171" s="106"/>
      <c r="R171" s="106"/>
      <c r="S171" s="106"/>
      <c r="T171" s="106"/>
      <c r="U171" s="106"/>
      <c r="V171" s="9"/>
      <c r="W171" s="106"/>
      <c r="X171" s="106"/>
      <c r="Y171" s="106"/>
      <c r="Z171" s="106"/>
      <c r="AA171" s="106"/>
      <c r="AB171" s="106"/>
      <c r="AC171" s="9"/>
      <c r="AD171" s="106"/>
      <c r="AE171" s="106"/>
      <c r="AF171" s="106"/>
      <c r="AG171" s="106"/>
      <c r="AH171" s="106"/>
      <c r="AI171" s="106"/>
      <c r="AJ171" s="9"/>
      <c r="AK171" s="106"/>
      <c r="AL171" s="106"/>
      <c r="AM171" s="106"/>
      <c r="AN171" s="106"/>
      <c r="AO171" s="106"/>
      <c r="AP171" s="106"/>
      <c r="AQ171" s="9"/>
      <c r="AR171" s="106"/>
      <c r="AS171" s="106"/>
      <c r="AT171" s="106"/>
      <c r="AU171" s="106"/>
      <c r="AV171" s="106"/>
      <c r="AW171" s="106"/>
      <c r="AX171" s="9"/>
    </row>
    <row r="172" spans="1:50" ht="12.75" hidden="1" customHeight="1" x14ac:dyDescent="0.25">
      <c r="A172" t="str">
        <f>Nutrients!B171</f>
        <v>Corn DDGS, 4.5% Oil</v>
      </c>
      <c r="B172" s="106"/>
      <c r="C172" s="106"/>
      <c r="D172" s="106"/>
      <c r="E172" s="106"/>
      <c r="F172" s="106"/>
      <c r="G172" s="106"/>
      <c r="H172" s="106"/>
      <c r="I172" s="106"/>
      <c r="J172" s="106"/>
      <c r="K172" s="106"/>
      <c r="L172" s="106"/>
      <c r="M172" s="106"/>
      <c r="N172" s="106"/>
      <c r="O172" s="29"/>
      <c r="P172" s="106"/>
      <c r="Q172" s="106"/>
      <c r="R172" s="106"/>
      <c r="S172" s="106"/>
      <c r="T172" s="106"/>
      <c r="U172" s="106"/>
      <c r="V172" s="9"/>
      <c r="W172" s="106"/>
      <c r="X172" s="106"/>
      <c r="Y172" s="106"/>
      <c r="Z172" s="106"/>
      <c r="AA172" s="106"/>
      <c r="AB172" s="106"/>
      <c r="AC172" s="9"/>
      <c r="AD172" s="106"/>
      <c r="AE172" s="106"/>
      <c r="AF172" s="106"/>
      <c r="AG172" s="106"/>
      <c r="AH172" s="106"/>
      <c r="AI172" s="106"/>
      <c r="AJ172" s="9"/>
      <c r="AK172" s="106"/>
      <c r="AL172" s="106"/>
      <c r="AM172" s="106"/>
      <c r="AN172" s="106"/>
      <c r="AO172" s="106"/>
      <c r="AP172" s="106"/>
      <c r="AQ172" s="9"/>
      <c r="AR172" s="106"/>
      <c r="AS172" s="106"/>
      <c r="AT172" s="106"/>
      <c r="AU172" s="106"/>
      <c r="AV172" s="106"/>
      <c r="AW172" s="106"/>
      <c r="AX172" s="9"/>
    </row>
    <row r="173" spans="1:50" ht="13.05" hidden="1" customHeight="1" x14ac:dyDescent="0.25">
      <c r="A173" t="str">
        <f>Nutrients!B172</f>
        <v>MEPRO Hubbard</v>
      </c>
      <c r="B173" s="106"/>
      <c r="C173" s="106"/>
      <c r="D173" s="106"/>
      <c r="E173" s="106"/>
      <c r="F173" s="106"/>
      <c r="G173" s="106"/>
      <c r="H173" s="106"/>
      <c r="I173" s="106"/>
      <c r="J173" s="106"/>
      <c r="K173" s="106"/>
      <c r="L173" s="106"/>
      <c r="M173" s="106"/>
      <c r="N173" s="106"/>
      <c r="O173" s="29"/>
      <c r="P173" s="106"/>
      <c r="Q173" s="106"/>
      <c r="R173" s="106"/>
      <c r="S173" s="106"/>
      <c r="T173" s="106"/>
      <c r="U173" s="106"/>
      <c r="V173" s="9"/>
      <c r="W173" s="106"/>
      <c r="X173" s="106"/>
      <c r="Y173" s="106"/>
      <c r="Z173" s="106"/>
      <c r="AA173" s="106"/>
      <c r="AB173" s="106"/>
      <c r="AC173" s="9"/>
      <c r="AD173" s="106"/>
      <c r="AE173" s="106"/>
      <c r="AF173" s="106"/>
      <c r="AG173" s="106"/>
      <c r="AH173" s="106"/>
      <c r="AI173" s="106"/>
      <c r="AJ173" s="9"/>
      <c r="AK173" s="106"/>
      <c r="AL173" s="106"/>
      <c r="AM173" s="106"/>
      <c r="AN173" s="106"/>
      <c r="AO173" s="106"/>
      <c r="AP173" s="106"/>
      <c r="AQ173" s="9"/>
      <c r="AR173" s="106"/>
      <c r="AS173" s="106"/>
      <c r="AT173" s="106"/>
      <c r="AU173" s="106"/>
      <c r="AV173" s="106"/>
      <c r="AW173" s="106"/>
      <c r="AX173" s="9"/>
    </row>
    <row r="174" spans="1:50" ht="13.05" hidden="1" customHeight="1" x14ac:dyDescent="0.25">
      <c r="A174" t="str">
        <f>Nutrients!B173</f>
        <v>HP 300 Apr 2022 loadings</v>
      </c>
      <c r="B174" s="106"/>
      <c r="C174" s="106"/>
      <c r="D174" s="106"/>
      <c r="E174" s="106"/>
      <c r="F174" s="106"/>
      <c r="G174" s="106"/>
      <c r="H174" s="106"/>
      <c r="I174" s="106"/>
      <c r="J174" s="106"/>
      <c r="K174" s="106"/>
      <c r="L174" s="106"/>
      <c r="M174" s="106"/>
      <c r="N174" s="106"/>
      <c r="O174" s="29"/>
      <c r="P174" s="106"/>
      <c r="Q174" s="106"/>
      <c r="R174" s="106"/>
      <c r="S174" s="106"/>
      <c r="T174" s="106"/>
      <c r="U174" s="106"/>
      <c r="V174" s="9"/>
      <c r="W174" s="106"/>
      <c r="X174" s="106"/>
      <c r="Y174" s="106"/>
      <c r="Z174" s="106"/>
      <c r="AA174" s="106"/>
      <c r="AB174" s="106"/>
      <c r="AC174" s="9"/>
      <c r="AD174" s="106"/>
      <c r="AE174" s="106"/>
      <c r="AF174" s="106"/>
      <c r="AG174" s="106"/>
      <c r="AH174" s="106"/>
      <c r="AI174" s="106"/>
      <c r="AJ174" s="9"/>
      <c r="AK174" s="106"/>
      <c r="AL174" s="106"/>
      <c r="AM174" s="106"/>
      <c r="AN174" s="106"/>
      <c r="AO174" s="106"/>
      <c r="AP174" s="106"/>
      <c r="AQ174" s="9"/>
      <c r="AR174" s="106"/>
      <c r="AS174" s="106"/>
      <c r="AT174" s="106"/>
      <c r="AU174" s="106"/>
      <c r="AV174" s="106"/>
      <c r="AW174" s="106"/>
      <c r="AX174" s="9"/>
    </row>
    <row r="175" spans="1:50" ht="13.05" hidden="1" customHeight="1" x14ac:dyDescent="0.25">
      <c r="A175" t="str">
        <f>Nutrients!B174</f>
        <v>Glycine</v>
      </c>
      <c r="B175" s="106"/>
      <c r="C175" s="106"/>
      <c r="D175" s="106"/>
      <c r="E175" s="106"/>
      <c r="F175" s="106"/>
      <c r="G175" s="106"/>
      <c r="H175" s="106"/>
      <c r="I175" s="106"/>
      <c r="J175" s="106"/>
      <c r="K175" s="106"/>
      <c r="L175" s="106"/>
      <c r="M175" s="106"/>
      <c r="N175" s="106"/>
      <c r="O175" s="29"/>
      <c r="P175" s="106"/>
      <c r="Q175" s="106"/>
      <c r="R175" s="106"/>
      <c r="S175" s="106"/>
      <c r="T175" s="106"/>
      <c r="U175" s="106"/>
      <c r="V175" s="9"/>
      <c r="W175" s="106"/>
      <c r="X175" s="106"/>
      <c r="Y175" s="106"/>
      <c r="Z175" s="106"/>
      <c r="AA175" s="106"/>
      <c r="AB175" s="106"/>
      <c r="AC175" s="9"/>
      <c r="AD175" s="106"/>
      <c r="AE175" s="106"/>
      <c r="AF175" s="106"/>
      <c r="AG175" s="106"/>
      <c r="AH175" s="106"/>
      <c r="AI175" s="106"/>
      <c r="AJ175" s="9"/>
      <c r="AK175" s="106"/>
      <c r="AL175" s="106"/>
      <c r="AM175" s="106"/>
      <c r="AN175" s="106"/>
      <c r="AO175" s="106"/>
      <c r="AP175" s="106"/>
      <c r="AQ175" s="9"/>
      <c r="AR175" s="106"/>
      <c r="AS175" s="106"/>
      <c r="AT175" s="106"/>
      <c r="AU175" s="106"/>
      <c r="AV175" s="106"/>
      <c r="AW175" s="106"/>
      <c r="AX175" s="9"/>
    </row>
    <row r="176" spans="1:50" ht="13.05" hidden="1" customHeight="1" x14ac:dyDescent="0.25">
      <c r="A176" t="str">
        <f>Nutrients!B175</f>
        <v>Phase 2 supplement 2018</v>
      </c>
      <c r="B176" s="106"/>
      <c r="C176" s="106"/>
      <c r="D176" s="106"/>
      <c r="E176" s="106"/>
      <c r="F176" s="106"/>
      <c r="G176" s="106"/>
      <c r="H176" s="106"/>
      <c r="I176" s="106"/>
      <c r="J176" s="106"/>
      <c r="K176" s="106"/>
      <c r="L176" s="106"/>
      <c r="M176" s="106"/>
      <c r="N176" s="106"/>
      <c r="O176" s="29"/>
      <c r="P176" s="106"/>
      <c r="Q176" s="106"/>
      <c r="R176" s="106"/>
      <c r="S176" s="106"/>
      <c r="T176" s="106"/>
      <c r="U176" s="106"/>
      <c r="V176" s="9"/>
      <c r="W176" s="106"/>
      <c r="X176" s="106"/>
      <c r="Y176" s="106"/>
      <c r="Z176" s="106"/>
      <c r="AA176" s="106"/>
      <c r="AB176" s="106"/>
      <c r="AC176" s="9"/>
      <c r="AD176" s="106"/>
      <c r="AE176" s="106"/>
      <c r="AF176" s="106"/>
      <c r="AG176" s="106"/>
      <c r="AH176" s="106"/>
      <c r="AI176" s="106"/>
      <c r="AJ176" s="9"/>
      <c r="AK176" s="106"/>
      <c r="AL176" s="106"/>
      <c r="AM176" s="106"/>
      <c r="AN176" s="106"/>
      <c r="AO176" s="106"/>
      <c r="AP176" s="106"/>
      <c r="AQ176" s="9"/>
      <c r="AR176" s="106"/>
      <c r="AS176" s="106"/>
      <c r="AT176" s="106"/>
      <c r="AU176" s="106"/>
      <c r="AV176" s="106"/>
      <c r="AW176" s="106"/>
      <c r="AX176" s="9"/>
    </row>
    <row r="177" spans="1:50" ht="13.05" hidden="1" customHeight="1" x14ac:dyDescent="0.25">
      <c r="A177" t="str">
        <f>Nutrients!B176</f>
        <v>Fermex 200</v>
      </c>
      <c r="B177" s="106"/>
      <c r="C177" s="106"/>
      <c r="D177" s="106"/>
      <c r="E177" s="106"/>
      <c r="F177" s="106"/>
      <c r="G177" s="106"/>
      <c r="H177" s="106"/>
      <c r="I177" s="106"/>
      <c r="J177" s="106"/>
      <c r="K177" s="106"/>
      <c r="L177" s="106"/>
      <c r="M177" s="106"/>
      <c r="N177" s="106"/>
      <c r="O177" s="29"/>
      <c r="P177" s="106"/>
      <c r="Q177" s="106"/>
      <c r="R177" s="106"/>
      <c r="S177" s="106"/>
      <c r="T177" s="106"/>
      <c r="U177" s="106"/>
      <c r="V177" s="9"/>
      <c r="W177" s="106"/>
      <c r="X177" s="106"/>
      <c r="Y177" s="106"/>
      <c r="Z177" s="106"/>
      <c r="AA177" s="106"/>
      <c r="AB177" s="106"/>
      <c r="AC177" s="9"/>
      <c r="AD177" s="106"/>
      <c r="AE177" s="106"/>
      <c r="AF177" s="106"/>
      <c r="AG177" s="106"/>
      <c r="AH177" s="106"/>
      <c r="AI177" s="106"/>
      <c r="AJ177" s="9"/>
      <c r="AK177" s="106"/>
      <c r="AL177" s="106"/>
      <c r="AM177" s="106"/>
      <c r="AN177" s="106"/>
      <c r="AO177" s="106"/>
      <c r="AP177" s="106"/>
      <c r="AQ177" s="9"/>
      <c r="AR177" s="106"/>
      <c r="AS177" s="106"/>
      <c r="AT177" s="106"/>
      <c r="AU177" s="106"/>
      <c r="AV177" s="106"/>
      <c r="AW177" s="106"/>
      <c r="AX177" s="9"/>
    </row>
    <row r="178" spans="1:50" ht="13.05" hidden="1" customHeight="1" x14ac:dyDescent="0.25">
      <c r="A178" t="str">
        <f>Nutrients!B177</f>
        <v>Soybean meal with 88% NE of corn</v>
      </c>
      <c r="B178" s="106"/>
      <c r="C178" s="106"/>
      <c r="D178" s="106"/>
      <c r="E178" s="106"/>
      <c r="F178" s="106"/>
      <c r="G178" s="106"/>
      <c r="H178" s="106"/>
      <c r="I178" s="106"/>
      <c r="J178" s="106"/>
      <c r="K178" s="106"/>
      <c r="L178" s="106"/>
      <c r="M178" s="106"/>
      <c r="N178" s="106"/>
      <c r="O178" s="29"/>
      <c r="P178" s="106"/>
      <c r="Q178" s="106"/>
      <c r="R178" s="106"/>
      <c r="S178" s="106"/>
      <c r="T178" s="106"/>
      <c r="U178" s="106"/>
      <c r="V178" s="9"/>
      <c r="W178" s="106"/>
      <c r="X178" s="106"/>
      <c r="Y178" s="106"/>
      <c r="Z178" s="106"/>
      <c r="AA178" s="106"/>
      <c r="AB178" s="106"/>
      <c r="AC178" s="9"/>
      <c r="AD178" s="106"/>
      <c r="AE178" s="106"/>
      <c r="AF178" s="106"/>
      <c r="AG178" s="106"/>
      <c r="AH178" s="106"/>
      <c r="AI178" s="106"/>
      <c r="AJ178" s="9"/>
      <c r="AK178" s="106"/>
      <c r="AL178" s="106"/>
      <c r="AM178" s="106"/>
      <c r="AN178" s="106"/>
      <c r="AO178" s="106"/>
      <c r="AP178" s="106"/>
      <c r="AQ178" s="9"/>
      <c r="AR178" s="106"/>
      <c r="AS178" s="106"/>
      <c r="AT178" s="106"/>
      <c r="AU178" s="106"/>
      <c r="AV178" s="106"/>
      <c r="AW178" s="106"/>
      <c r="AX178" s="9"/>
    </row>
    <row r="179" spans="1:50" ht="13.05" hidden="1" customHeight="1" x14ac:dyDescent="0.25">
      <c r="A179" t="str">
        <f>Nutrients!B178</f>
        <v>Blue Dye NFP</v>
      </c>
      <c r="B179" s="106"/>
      <c r="C179" s="106"/>
      <c r="D179" s="106"/>
      <c r="E179" s="106"/>
      <c r="F179" s="106"/>
      <c r="G179" s="106"/>
      <c r="H179" s="106"/>
      <c r="I179" s="106"/>
      <c r="J179" s="106"/>
      <c r="K179" s="106"/>
      <c r="L179" s="106"/>
      <c r="M179" s="106"/>
      <c r="N179" s="106"/>
      <c r="O179" s="29"/>
      <c r="P179" s="106"/>
      <c r="Q179" s="106"/>
      <c r="R179" s="106"/>
      <c r="S179" s="106"/>
      <c r="T179" s="106"/>
      <c r="U179" s="106"/>
      <c r="V179" s="9"/>
      <c r="W179" s="106"/>
      <c r="X179" s="106"/>
      <c r="Y179" s="106"/>
      <c r="Z179" s="106"/>
      <c r="AA179" s="106"/>
      <c r="AB179" s="106"/>
      <c r="AC179" s="9"/>
      <c r="AD179" s="106"/>
      <c r="AE179" s="106"/>
      <c r="AF179" s="106"/>
      <c r="AG179" s="106"/>
      <c r="AH179" s="106"/>
      <c r="AI179" s="106"/>
      <c r="AJ179" s="9"/>
      <c r="AK179" s="106"/>
      <c r="AL179" s="106"/>
      <c r="AM179" s="106"/>
      <c r="AN179" s="106"/>
      <c r="AO179" s="106"/>
      <c r="AP179" s="106"/>
      <c r="AQ179" s="9"/>
      <c r="AR179" s="106"/>
      <c r="AS179" s="106"/>
      <c r="AT179" s="106"/>
      <c r="AU179" s="106"/>
      <c r="AV179" s="106"/>
      <c r="AW179" s="106"/>
      <c r="AX179" s="9"/>
    </row>
    <row r="180" spans="1:50" ht="13.05" hidden="1" customHeight="1" x14ac:dyDescent="0.25">
      <c r="A180" t="str">
        <f>Nutrients!B179</f>
        <v>HP 300 2022 NFP</v>
      </c>
      <c r="B180" s="106"/>
      <c r="C180" s="106"/>
      <c r="D180" s="106"/>
      <c r="E180" s="106"/>
      <c r="F180" s="106"/>
      <c r="G180" s="106"/>
      <c r="H180" s="106"/>
      <c r="I180" s="106"/>
      <c r="J180" s="106"/>
      <c r="K180" s="106"/>
      <c r="L180" s="106"/>
      <c r="M180" s="106"/>
      <c r="N180" s="106"/>
      <c r="O180" s="29"/>
      <c r="P180" s="106"/>
      <c r="Q180" s="106"/>
      <c r="R180" s="106"/>
      <c r="S180" s="106"/>
      <c r="T180" s="106"/>
      <c r="U180" s="106"/>
      <c r="V180" s="9"/>
      <c r="W180" s="106"/>
      <c r="X180" s="106"/>
      <c r="Y180" s="106"/>
      <c r="Z180" s="106"/>
      <c r="AA180" s="106"/>
      <c r="AB180" s="106"/>
      <c r="AC180" s="9"/>
      <c r="AD180" s="106"/>
      <c r="AE180" s="106"/>
      <c r="AF180" s="106"/>
      <c r="AG180" s="106"/>
      <c r="AH180" s="106"/>
      <c r="AI180" s="106"/>
      <c r="AJ180" s="9"/>
      <c r="AK180" s="106"/>
      <c r="AL180" s="106"/>
      <c r="AM180" s="106"/>
      <c r="AN180" s="106"/>
      <c r="AO180" s="106"/>
      <c r="AP180" s="106"/>
      <c r="AQ180" s="9"/>
      <c r="AR180" s="106"/>
      <c r="AS180" s="106"/>
      <c r="AT180" s="106"/>
      <c r="AU180" s="106"/>
      <c r="AV180" s="106"/>
      <c r="AW180" s="106"/>
      <c r="AX180" s="9"/>
    </row>
    <row r="181" spans="1:50" ht="13.05" hidden="1" customHeight="1" x14ac:dyDescent="0.25">
      <c r="A181" t="str">
        <f>Nutrients!B180</f>
        <v>AX3 Digest NFP</v>
      </c>
      <c r="B181" s="106"/>
      <c r="C181" s="106"/>
      <c r="D181" s="106"/>
      <c r="E181" s="106"/>
      <c r="F181" s="106"/>
      <c r="G181" s="106"/>
      <c r="H181" s="106"/>
      <c r="I181" s="106"/>
      <c r="J181" s="106"/>
      <c r="K181" s="106"/>
      <c r="L181" s="106"/>
      <c r="M181" s="106"/>
      <c r="N181" s="106"/>
      <c r="O181" s="29"/>
      <c r="P181" s="106"/>
      <c r="Q181" s="106"/>
      <c r="R181" s="106"/>
      <c r="S181" s="106"/>
      <c r="T181" s="106"/>
      <c r="U181" s="106"/>
      <c r="V181" s="9"/>
      <c r="W181" s="106"/>
      <c r="X181" s="106"/>
      <c r="Y181" s="106"/>
      <c r="Z181" s="106"/>
      <c r="AA181" s="106"/>
      <c r="AB181" s="106"/>
      <c r="AC181" s="9"/>
      <c r="AD181" s="106"/>
      <c r="AE181" s="106"/>
      <c r="AF181" s="106"/>
      <c r="AG181" s="106"/>
      <c r="AH181" s="106"/>
      <c r="AI181" s="106"/>
      <c r="AJ181" s="9"/>
      <c r="AK181" s="106"/>
      <c r="AL181" s="106"/>
      <c r="AM181" s="106"/>
      <c r="AN181" s="106"/>
      <c r="AO181" s="106"/>
      <c r="AP181" s="106"/>
      <c r="AQ181" s="9"/>
      <c r="AR181" s="106"/>
      <c r="AS181" s="106"/>
      <c r="AT181" s="106"/>
      <c r="AU181" s="106"/>
      <c r="AV181" s="106"/>
      <c r="AW181" s="106"/>
      <c r="AX181" s="9"/>
    </row>
    <row r="182" spans="1:50" ht="13.05" hidden="1" customHeight="1" x14ac:dyDescent="0.25">
      <c r="A182" t="str">
        <f>Nutrients!B181</f>
        <v>Phase 2 supplement 2018 NFP</v>
      </c>
      <c r="B182" s="106"/>
      <c r="C182" s="106"/>
      <c r="D182" s="106"/>
      <c r="E182" s="106"/>
      <c r="F182" s="106"/>
      <c r="G182" s="106"/>
      <c r="H182" s="106"/>
      <c r="I182" s="106"/>
      <c r="J182" s="106"/>
      <c r="K182" s="106"/>
      <c r="L182" s="106"/>
      <c r="M182" s="106"/>
      <c r="N182" s="106"/>
      <c r="O182" s="29"/>
      <c r="P182" s="106"/>
      <c r="Q182" s="106"/>
      <c r="R182" s="106"/>
      <c r="S182" s="106"/>
      <c r="T182" s="106"/>
      <c r="U182" s="106"/>
      <c r="V182" s="9"/>
      <c r="W182" s="106"/>
      <c r="X182" s="106"/>
      <c r="Y182" s="106"/>
      <c r="Z182" s="106"/>
      <c r="AA182" s="106"/>
      <c r="AB182" s="106"/>
      <c r="AC182" s="9"/>
      <c r="AD182" s="106"/>
      <c r="AE182" s="106"/>
      <c r="AF182" s="106"/>
      <c r="AG182" s="106"/>
      <c r="AH182" s="106"/>
      <c r="AI182" s="106"/>
      <c r="AJ182" s="9"/>
      <c r="AK182" s="106"/>
      <c r="AL182" s="106"/>
      <c r="AM182" s="106"/>
      <c r="AN182" s="106"/>
      <c r="AO182" s="106"/>
      <c r="AP182" s="106"/>
      <c r="AQ182" s="9"/>
      <c r="AR182" s="106"/>
      <c r="AS182" s="106"/>
      <c r="AT182" s="106"/>
      <c r="AU182" s="106"/>
      <c r="AV182" s="106"/>
      <c r="AW182" s="106"/>
      <c r="AX182" s="9"/>
    </row>
    <row r="183" spans="1:50" ht="13.05" hidden="1" customHeight="1" x14ac:dyDescent="0.25">
      <c r="A183" t="str">
        <f>Nutrients!B182</f>
        <v>Femex 200 NFP</v>
      </c>
      <c r="B183" s="106"/>
      <c r="C183" s="106"/>
      <c r="D183" s="106"/>
      <c r="E183" s="106"/>
      <c r="F183" s="106"/>
      <c r="G183" s="106"/>
      <c r="H183" s="106"/>
      <c r="I183" s="106"/>
      <c r="J183" s="106"/>
      <c r="K183" s="106"/>
      <c r="L183" s="106"/>
      <c r="M183" s="106"/>
      <c r="N183" s="106"/>
      <c r="O183" s="29"/>
      <c r="P183" s="106"/>
      <c r="Q183" s="106"/>
      <c r="R183" s="106"/>
      <c r="S183" s="106"/>
      <c r="T183" s="106"/>
      <c r="U183" s="106"/>
      <c r="V183" s="9"/>
      <c r="W183" s="106"/>
      <c r="X183" s="106"/>
      <c r="Y183" s="106"/>
      <c r="Z183" s="106"/>
      <c r="AA183" s="106"/>
      <c r="AB183" s="106"/>
      <c r="AC183" s="9"/>
      <c r="AD183" s="106"/>
      <c r="AE183" s="106"/>
      <c r="AF183" s="106"/>
      <c r="AG183" s="106"/>
      <c r="AH183" s="106"/>
      <c r="AI183" s="106"/>
      <c r="AJ183" s="9"/>
      <c r="AK183" s="106"/>
      <c r="AL183" s="106"/>
      <c r="AM183" s="106"/>
      <c r="AN183" s="106"/>
      <c r="AO183" s="106"/>
      <c r="AP183" s="106"/>
      <c r="AQ183" s="9"/>
      <c r="AR183" s="106"/>
      <c r="AS183" s="106"/>
      <c r="AT183" s="106"/>
      <c r="AU183" s="106"/>
      <c r="AV183" s="106"/>
      <c r="AW183" s="106"/>
      <c r="AX183" s="9"/>
    </row>
    <row r="184" spans="1:50" ht="13.05" hidden="1" customHeight="1" x14ac:dyDescent="0.25">
      <c r="A184" t="str">
        <f>Nutrients!B183</f>
        <v xml:space="preserve">NFP Soybean meal w/88% NE of corn </v>
      </c>
      <c r="B184" s="106"/>
      <c r="C184" s="106"/>
      <c r="D184" s="106"/>
      <c r="E184" s="106"/>
      <c r="F184" s="106"/>
      <c r="G184" s="106"/>
      <c r="H184" s="106"/>
      <c r="I184" s="106"/>
      <c r="J184" s="106"/>
      <c r="K184" s="106"/>
      <c r="L184" s="106"/>
      <c r="M184" s="106"/>
      <c r="N184" s="106"/>
      <c r="O184" s="29"/>
      <c r="P184" s="106"/>
      <c r="Q184" s="106"/>
      <c r="R184" s="106"/>
      <c r="S184" s="106"/>
      <c r="T184" s="106"/>
      <c r="U184" s="106"/>
      <c r="V184" s="9"/>
      <c r="W184" s="106"/>
      <c r="X184" s="106"/>
      <c r="Y184" s="106"/>
      <c r="Z184" s="106"/>
      <c r="AA184" s="106"/>
      <c r="AB184" s="106"/>
      <c r="AC184" s="9"/>
      <c r="AD184" s="106"/>
      <c r="AE184" s="106"/>
      <c r="AF184" s="106"/>
      <c r="AG184" s="106"/>
      <c r="AH184" s="106"/>
      <c r="AI184" s="106"/>
      <c r="AJ184" s="9"/>
      <c r="AK184" s="106"/>
      <c r="AL184" s="106"/>
      <c r="AM184" s="106"/>
      <c r="AN184" s="106"/>
      <c r="AO184" s="106"/>
      <c r="AP184" s="106"/>
      <c r="AQ184" s="9"/>
      <c r="AR184" s="106"/>
      <c r="AS184" s="106"/>
      <c r="AT184" s="106"/>
      <c r="AU184" s="106"/>
      <c r="AV184" s="106"/>
      <c r="AW184" s="106"/>
      <c r="AX184" s="9"/>
    </row>
    <row r="185" spans="1:50" ht="13.05" hidden="1" customHeight="1" x14ac:dyDescent="0.25">
      <c r="A185" t="str">
        <f>Nutrients!B184</f>
        <v>AV-E Digest NFP</v>
      </c>
      <c r="B185" s="106"/>
      <c r="C185" s="106"/>
      <c r="D185" s="106"/>
      <c r="E185" s="106"/>
      <c r="F185" s="106"/>
      <c r="G185" s="106"/>
      <c r="H185" s="106"/>
      <c r="I185" s="106"/>
      <c r="J185" s="106"/>
      <c r="K185" s="106"/>
      <c r="L185" s="106"/>
      <c r="M185" s="106"/>
      <c r="N185" s="106"/>
      <c r="O185" s="29"/>
      <c r="P185" s="106"/>
      <c r="Q185" s="106"/>
      <c r="R185" s="106"/>
      <c r="S185" s="106"/>
      <c r="T185" s="106"/>
      <c r="U185" s="106"/>
      <c r="V185" s="9"/>
      <c r="W185" s="106"/>
      <c r="X185" s="106"/>
      <c r="Y185" s="106"/>
      <c r="Z185" s="106"/>
      <c r="AA185" s="106"/>
      <c r="AB185" s="106"/>
      <c r="AC185" s="9"/>
      <c r="AD185" s="106"/>
      <c r="AE185" s="106"/>
      <c r="AF185" s="106"/>
      <c r="AG185" s="106"/>
      <c r="AH185" s="106"/>
      <c r="AI185" s="106"/>
      <c r="AJ185" s="9"/>
      <c r="AK185" s="106"/>
      <c r="AL185" s="106"/>
      <c r="AM185" s="106"/>
      <c r="AN185" s="106"/>
      <c r="AO185" s="106"/>
      <c r="AP185" s="106"/>
      <c r="AQ185" s="9"/>
      <c r="AR185" s="106"/>
      <c r="AS185" s="106"/>
      <c r="AT185" s="106"/>
      <c r="AU185" s="106"/>
      <c r="AV185" s="106"/>
      <c r="AW185" s="106"/>
      <c r="AX185" s="9"/>
    </row>
    <row r="186" spans="1:50" ht="13.05" hidden="1" customHeight="1" x14ac:dyDescent="0.25">
      <c r="A186" t="str">
        <f>Nutrients!B185</f>
        <v>QFP Cereal Blend NFP</v>
      </c>
      <c r="B186" s="106"/>
      <c r="C186" s="106"/>
      <c r="D186" s="106"/>
      <c r="E186" s="106"/>
      <c r="F186" s="106"/>
      <c r="G186" s="106"/>
      <c r="H186" s="106"/>
      <c r="I186" s="106"/>
      <c r="J186" s="106"/>
      <c r="K186" s="106"/>
      <c r="L186" s="106"/>
      <c r="M186" s="106"/>
      <c r="N186" s="106"/>
      <c r="O186" s="29"/>
      <c r="P186" s="106"/>
      <c r="Q186" s="106"/>
      <c r="R186" s="106"/>
      <c r="S186" s="106"/>
      <c r="T186" s="106"/>
      <c r="U186" s="106"/>
      <c r="V186" s="9"/>
      <c r="W186" s="106"/>
      <c r="X186" s="106"/>
      <c r="Y186" s="106"/>
      <c r="Z186" s="106"/>
      <c r="AA186" s="106"/>
      <c r="AB186" s="106"/>
      <c r="AC186" s="9"/>
      <c r="AD186" s="106"/>
      <c r="AE186" s="106"/>
      <c r="AF186" s="106"/>
      <c r="AG186" s="106"/>
      <c r="AH186" s="106"/>
      <c r="AI186" s="106"/>
      <c r="AJ186" s="9"/>
      <c r="AK186" s="106"/>
      <c r="AL186" s="106"/>
      <c r="AM186" s="106"/>
      <c r="AN186" s="106"/>
      <c r="AO186" s="106"/>
      <c r="AP186" s="106"/>
      <c r="AQ186" s="9"/>
      <c r="AR186" s="106"/>
      <c r="AS186" s="106"/>
      <c r="AT186" s="106"/>
      <c r="AU186" s="106"/>
      <c r="AV186" s="106"/>
      <c r="AW186" s="106"/>
      <c r="AX186" s="9"/>
    </row>
    <row r="187" spans="1:50" ht="13.05" hidden="1" customHeight="1" x14ac:dyDescent="0.25">
      <c r="A187" t="str">
        <f>Nutrients!B186</f>
        <v>FXP Ani-Tek NFP</v>
      </c>
      <c r="B187" s="106"/>
      <c r="C187" s="106"/>
      <c r="D187" s="106"/>
      <c r="E187" s="106"/>
      <c r="F187" s="106"/>
      <c r="G187" s="106"/>
      <c r="H187" s="106"/>
      <c r="I187" s="106"/>
      <c r="J187" s="106"/>
      <c r="K187" s="106"/>
      <c r="L187" s="106"/>
      <c r="M187" s="106"/>
      <c r="N187" s="106"/>
      <c r="O187" s="29"/>
      <c r="P187" s="106"/>
      <c r="Q187" s="106"/>
      <c r="R187" s="106"/>
      <c r="S187" s="106"/>
      <c r="T187" s="106"/>
      <c r="U187" s="106"/>
      <c r="V187" s="9"/>
      <c r="W187" s="106"/>
      <c r="X187" s="106"/>
      <c r="Y187" s="106"/>
      <c r="Z187" s="106"/>
      <c r="AA187" s="106"/>
      <c r="AB187" s="106"/>
      <c r="AC187" s="9"/>
      <c r="AD187" s="106"/>
      <c r="AE187" s="106"/>
      <c r="AF187" s="106"/>
      <c r="AG187" s="106"/>
      <c r="AH187" s="106"/>
      <c r="AI187" s="106"/>
      <c r="AJ187" s="9"/>
      <c r="AK187" s="106"/>
      <c r="AL187" s="106"/>
      <c r="AM187" s="106"/>
      <c r="AN187" s="106"/>
      <c r="AO187" s="106"/>
      <c r="AP187" s="106"/>
      <c r="AQ187" s="9"/>
      <c r="AR187" s="106"/>
      <c r="AS187" s="106"/>
      <c r="AT187" s="106"/>
      <c r="AU187" s="106"/>
      <c r="AV187" s="106"/>
      <c r="AW187" s="106"/>
      <c r="AX187" s="9"/>
    </row>
    <row r="188" spans="1:50" ht="13.05" hidden="1" customHeight="1" x14ac:dyDescent="0.25">
      <c r="A188" t="str">
        <f>Nutrients!B187</f>
        <v>NFP VTM Grower (2021)</v>
      </c>
      <c r="B188" s="106"/>
      <c r="C188" s="106"/>
      <c r="D188" s="106"/>
      <c r="E188" s="106"/>
      <c r="F188" s="106"/>
      <c r="G188" s="106"/>
      <c r="H188" s="106"/>
      <c r="I188" s="106"/>
      <c r="J188" s="106"/>
      <c r="K188" s="106"/>
      <c r="L188" s="106"/>
      <c r="M188" s="106"/>
      <c r="N188" s="106"/>
      <c r="O188" s="29"/>
      <c r="P188" s="106"/>
      <c r="Q188" s="106"/>
      <c r="R188" s="106"/>
      <c r="S188" s="106"/>
      <c r="T188" s="106"/>
      <c r="U188" s="106"/>
      <c r="V188" s="9"/>
      <c r="W188" s="106"/>
      <c r="X188" s="106"/>
      <c r="Y188" s="106"/>
      <c r="Z188" s="106"/>
      <c r="AA188" s="106"/>
      <c r="AB188" s="106"/>
      <c r="AC188" s="9"/>
      <c r="AD188" s="106"/>
      <c r="AE188" s="106"/>
      <c r="AF188" s="106"/>
      <c r="AG188" s="106"/>
      <c r="AH188" s="106"/>
      <c r="AI188" s="106"/>
      <c r="AJ188" s="9"/>
      <c r="AK188" s="106"/>
      <c r="AL188" s="106"/>
      <c r="AM188" s="106"/>
      <c r="AN188" s="106"/>
      <c r="AO188" s="106"/>
      <c r="AP188" s="106"/>
      <c r="AQ188" s="9"/>
      <c r="AR188" s="106"/>
      <c r="AS188" s="106"/>
      <c r="AT188" s="106"/>
      <c r="AU188" s="106"/>
      <c r="AV188" s="106"/>
      <c r="AW188" s="106"/>
      <c r="AX188" s="9"/>
    </row>
    <row r="189" spans="1:50" ht="13.05" hidden="1" customHeight="1" x14ac:dyDescent="0.25">
      <c r="A189" t="str">
        <f>Nutrients!B188</f>
        <v>NFP VTM Sow (2021)</v>
      </c>
      <c r="B189" s="106"/>
      <c r="C189" s="106"/>
      <c r="D189" s="106"/>
      <c r="E189" s="106"/>
      <c r="F189" s="106"/>
      <c r="G189" s="106"/>
      <c r="H189" s="106"/>
      <c r="I189" s="106"/>
      <c r="J189" s="106"/>
      <c r="K189" s="106"/>
      <c r="L189" s="106"/>
      <c r="M189" s="106"/>
      <c r="N189" s="106"/>
      <c r="O189" s="29"/>
      <c r="P189" s="106"/>
      <c r="Q189" s="106"/>
      <c r="R189" s="106"/>
      <c r="S189" s="106"/>
      <c r="T189" s="106"/>
      <c r="U189" s="106"/>
      <c r="V189" s="9"/>
      <c r="W189" s="106"/>
      <c r="X189" s="106"/>
      <c r="Y189" s="106"/>
      <c r="Z189" s="106"/>
      <c r="AA189" s="106"/>
      <c r="AB189" s="106"/>
      <c r="AC189" s="9"/>
      <c r="AD189" s="106"/>
      <c r="AE189" s="106"/>
      <c r="AF189" s="106"/>
      <c r="AG189" s="106"/>
      <c r="AH189" s="106"/>
      <c r="AI189" s="106"/>
      <c r="AJ189" s="9"/>
      <c r="AK189" s="106"/>
      <c r="AL189" s="106"/>
      <c r="AM189" s="106"/>
      <c r="AN189" s="106"/>
      <c r="AO189" s="106"/>
      <c r="AP189" s="106"/>
      <c r="AQ189" s="9"/>
      <c r="AR189" s="106"/>
      <c r="AS189" s="106"/>
      <c r="AT189" s="106"/>
      <c r="AU189" s="106"/>
      <c r="AV189" s="106"/>
      <c r="AW189" s="106"/>
      <c r="AX189" s="9"/>
    </row>
    <row r="190" spans="1:50" ht="13.05" hidden="1" customHeight="1" x14ac:dyDescent="0.25">
      <c r="A190" t="str">
        <f>Nutrients!B189</f>
        <v>VevoVitall NFP</v>
      </c>
      <c r="B190" s="106"/>
      <c r="C190" s="106"/>
      <c r="D190" s="106"/>
      <c r="E190" s="106"/>
      <c r="F190" s="106"/>
      <c r="G190" s="106"/>
      <c r="H190" s="106"/>
      <c r="I190" s="106"/>
      <c r="J190" s="106"/>
      <c r="K190" s="106"/>
      <c r="L190" s="106"/>
      <c r="M190" s="106"/>
      <c r="N190" s="106"/>
      <c r="O190" s="29"/>
      <c r="P190" s="106"/>
      <c r="Q190" s="106"/>
      <c r="R190" s="106"/>
      <c r="S190" s="106"/>
      <c r="T190" s="106"/>
      <c r="U190" s="106"/>
      <c r="V190" s="9"/>
      <c r="W190" s="106"/>
      <c r="X190" s="106"/>
      <c r="Y190" s="106"/>
      <c r="Z190" s="106"/>
      <c r="AA190" s="106"/>
      <c r="AB190" s="106"/>
      <c r="AC190" s="9"/>
      <c r="AD190" s="106"/>
      <c r="AE190" s="106"/>
      <c r="AF190" s="106"/>
      <c r="AG190" s="106"/>
      <c r="AH190" s="106"/>
      <c r="AI190" s="106"/>
      <c r="AJ190" s="9"/>
      <c r="AK190" s="106"/>
      <c r="AL190" s="106"/>
      <c r="AM190" s="106"/>
      <c r="AN190" s="106"/>
      <c r="AO190" s="106"/>
      <c r="AP190" s="106"/>
      <c r="AQ190" s="9"/>
      <c r="AR190" s="106"/>
      <c r="AS190" s="106"/>
      <c r="AT190" s="106"/>
      <c r="AU190" s="106"/>
      <c r="AV190" s="106"/>
      <c r="AW190" s="106"/>
      <c r="AX190" s="9"/>
    </row>
    <row r="191" spans="1:50" ht="13.05" hidden="1" customHeight="1" x14ac:dyDescent="0.25">
      <c r="A191" t="str">
        <f>Nutrients!B190</f>
        <v>MEPRO NFP</v>
      </c>
      <c r="B191" s="106"/>
      <c r="C191" s="106"/>
      <c r="D191" s="106"/>
      <c r="E191" s="106"/>
      <c r="F191" s="106"/>
      <c r="G191" s="106"/>
      <c r="H191" s="106"/>
      <c r="I191" s="106"/>
      <c r="J191" s="106"/>
      <c r="K191" s="106"/>
      <c r="L191" s="106"/>
      <c r="M191" s="106"/>
      <c r="N191" s="106"/>
      <c r="O191" s="29"/>
      <c r="P191" s="106"/>
      <c r="Q191" s="106"/>
      <c r="R191" s="106"/>
      <c r="S191" s="106"/>
      <c r="T191" s="106"/>
      <c r="U191" s="106"/>
      <c r="V191" s="9"/>
      <c r="W191" s="106"/>
      <c r="X191" s="106"/>
      <c r="Y191" s="106"/>
      <c r="Z191" s="106"/>
      <c r="AA191" s="106"/>
      <c r="AB191" s="106"/>
      <c r="AC191" s="9"/>
      <c r="AD191" s="106"/>
      <c r="AE191" s="106"/>
      <c r="AF191" s="106"/>
      <c r="AG191" s="106"/>
      <c r="AH191" s="106"/>
      <c r="AI191" s="106"/>
      <c r="AJ191" s="9"/>
      <c r="AK191" s="106"/>
      <c r="AL191" s="106"/>
      <c r="AM191" s="106"/>
      <c r="AN191" s="106"/>
      <c r="AO191" s="106"/>
      <c r="AP191" s="106"/>
      <c r="AQ191" s="9"/>
      <c r="AR191" s="106"/>
      <c r="AS191" s="106"/>
      <c r="AT191" s="106"/>
      <c r="AU191" s="106"/>
      <c r="AV191" s="106"/>
      <c r="AW191" s="106"/>
      <c r="AX191" s="9"/>
    </row>
    <row r="192" spans="1:50" ht="13.05" hidden="1" customHeight="1" x14ac:dyDescent="0.25">
      <c r="A192" t="str">
        <f>Nutrients!B191</f>
        <v>AlphaGal 280 P NFP</v>
      </c>
      <c r="B192" s="106"/>
      <c r="C192" s="106"/>
      <c r="D192" s="106"/>
      <c r="E192" s="106"/>
      <c r="F192" s="106"/>
      <c r="G192" s="106"/>
      <c r="H192" s="106"/>
      <c r="I192" s="106"/>
      <c r="J192" s="106"/>
      <c r="K192" s="106"/>
      <c r="L192" s="106"/>
      <c r="M192" s="106"/>
      <c r="N192" s="106"/>
      <c r="O192" s="29"/>
      <c r="P192" s="106"/>
      <c r="Q192" s="106"/>
      <c r="R192" s="106"/>
      <c r="S192" s="106"/>
      <c r="T192" s="106"/>
      <c r="U192" s="106"/>
      <c r="V192" s="9"/>
      <c r="W192" s="106"/>
      <c r="X192" s="106"/>
      <c r="Y192" s="106"/>
      <c r="Z192" s="106"/>
      <c r="AA192" s="106"/>
      <c r="AB192" s="106"/>
      <c r="AC192" s="9"/>
      <c r="AD192" s="106"/>
      <c r="AE192" s="106"/>
      <c r="AF192" s="106"/>
      <c r="AG192" s="106"/>
      <c r="AH192" s="106"/>
      <c r="AI192" s="106"/>
      <c r="AJ192" s="9"/>
      <c r="AK192" s="106"/>
      <c r="AL192" s="106"/>
      <c r="AM192" s="106"/>
      <c r="AN192" s="106"/>
      <c r="AO192" s="106"/>
      <c r="AP192" s="106"/>
      <c r="AQ192" s="9"/>
      <c r="AR192" s="106"/>
      <c r="AS192" s="106"/>
      <c r="AT192" s="106"/>
      <c r="AU192" s="106"/>
      <c r="AV192" s="106"/>
      <c r="AW192" s="106"/>
      <c r="AX192" s="9"/>
    </row>
    <row r="193" spans="1:50" ht="13.05" hidden="1" customHeight="1" x14ac:dyDescent="0.25">
      <c r="A193" t="str">
        <f>Nutrients!B192</f>
        <v xml:space="preserve">NFP Custom Manganese </v>
      </c>
      <c r="B193" s="106"/>
      <c r="C193" s="106"/>
      <c r="D193" s="106"/>
      <c r="E193" s="106"/>
      <c r="F193" s="106"/>
      <c r="G193" s="106"/>
      <c r="H193" s="106"/>
      <c r="I193" s="106"/>
      <c r="J193" s="106"/>
      <c r="K193" s="106"/>
      <c r="L193" s="106"/>
      <c r="M193" s="106"/>
      <c r="N193" s="106"/>
      <c r="O193" s="29"/>
      <c r="P193" s="106"/>
      <c r="Q193" s="106"/>
      <c r="R193" s="106"/>
      <c r="S193" s="106"/>
      <c r="T193" s="106"/>
      <c r="U193" s="106"/>
      <c r="V193" s="9"/>
      <c r="W193" s="106"/>
      <c r="X193" s="106"/>
      <c r="Y193" s="106"/>
      <c r="Z193" s="106"/>
      <c r="AA193" s="106"/>
      <c r="AB193" s="106"/>
      <c r="AC193" s="9"/>
      <c r="AD193" s="106"/>
      <c r="AE193" s="106"/>
      <c r="AF193" s="106"/>
      <c r="AG193" s="106"/>
      <c r="AH193" s="106"/>
      <c r="AI193" s="106"/>
      <c r="AJ193" s="9"/>
      <c r="AK193" s="106"/>
      <c r="AL193" s="106"/>
      <c r="AM193" s="106"/>
      <c r="AN193" s="106"/>
      <c r="AO193" s="106"/>
      <c r="AP193" s="106"/>
      <c r="AQ193" s="9"/>
      <c r="AR193" s="106"/>
      <c r="AS193" s="106"/>
      <c r="AT193" s="106"/>
      <c r="AU193" s="106"/>
      <c r="AV193" s="106"/>
      <c r="AW193" s="106"/>
      <c r="AX193" s="9"/>
    </row>
    <row r="194" spans="1:50" ht="13.05" hidden="1" customHeight="1" x14ac:dyDescent="0.25">
      <c r="A194" t="str">
        <f>Nutrients!B193</f>
        <v>Fat Build R2 All Veg 4000 NFP</v>
      </c>
      <c r="B194" s="106"/>
      <c r="C194" s="106"/>
      <c r="D194" s="106"/>
      <c r="E194" s="106"/>
      <c r="F194" s="106"/>
      <c r="G194" s="106"/>
      <c r="H194" s="106"/>
      <c r="I194" s="106"/>
      <c r="J194" s="106"/>
      <c r="K194" s="106"/>
      <c r="L194" s="106"/>
      <c r="M194" s="106"/>
      <c r="N194" s="106"/>
      <c r="O194" s="29"/>
      <c r="P194" s="106"/>
      <c r="Q194" s="106"/>
      <c r="R194" s="106"/>
      <c r="S194" s="106"/>
      <c r="T194" s="106"/>
      <c r="U194" s="106"/>
      <c r="V194" s="9"/>
      <c r="W194" s="106"/>
      <c r="X194" s="106"/>
      <c r="Y194" s="106"/>
      <c r="Z194" s="106"/>
      <c r="AA194" s="106"/>
      <c r="AB194" s="106"/>
      <c r="AC194" s="9"/>
      <c r="AD194" s="106"/>
      <c r="AE194" s="106"/>
      <c r="AF194" s="106"/>
      <c r="AG194" s="106"/>
      <c r="AH194" s="106"/>
      <c r="AI194" s="106"/>
      <c r="AJ194" s="9"/>
      <c r="AK194" s="106"/>
      <c r="AL194" s="106"/>
      <c r="AM194" s="106"/>
      <c r="AN194" s="106"/>
      <c r="AO194" s="106"/>
      <c r="AP194" s="106"/>
      <c r="AQ194" s="9"/>
      <c r="AR194" s="106"/>
      <c r="AS194" s="106"/>
      <c r="AT194" s="106"/>
      <c r="AU194" s="106"/>
      <c r="AV194" s="106"/>
      <c r="AW194" s="106"/>
      <c r="AX194" s="9"/>
    </row>
    <row r="195" spans="1:50" ht="13.05" hidden="1" customHeight="1" x14ac:dyDescent="0.25">
      <c r="A195" t="str">
        <f>Nutrients!B194</f>
        <v>LipoVital GL 90 NFP</v>
      </c>
      <c r="B195" s="106"/>
      <c r="C195" s="106"/>
      <c r="D195" s="106"/>
      <c r="E195" s="106"/>
      <c r="F195" s="106"/>
      <c r="G195" s="106"/>
      <c r="H195" s="106"/>
      <c r="I195" s="106"/>
      <c r="J195" s="106"/>
      <c r="K195" s="106"/>
      <c r="L195" s="106"/>
      <c r="M195" s="106"/>
      <c r="N195" s="106"/>
      <c r="O195" s="29"/>
      <c r="P195" s="106"/>
      <c r="Q195" s="106"/>
      <c r="R195" s="106"/>
      <c r="S195" s="106"/>
      <c r="T195" s="106"/>
      <c r="U195" s="106"/>
      <c r="V195" s="9"/>
      <c r="W195" s="106"/>
      <c r="X195" s="106"/>
      <c r="Y195" s="106"/>
      <c r="Z195" s="106"/>
      <c r="AA195" s="106"/>
      <c r="AB195" s="106"/>
      <c r="AC195" s="9"/>
      <c r="AD195" s="106"/>
      <c r="AE195" s="106"/>
      <c r="AF195" s="106"/>
      <c r="AG195" s="106"/>
      <c r="AH195" s="106"/>
      <c r="AI195" s="106"/>
      <c r="AJ195" s="9"/>
      <c r="AK195" s="106"/>
      <c r="AL195" s="106"/>
      <c r="AM195" s="106"/>
      <c r="AN195" s="106"/>
      <c r="AO195" s="106"/>
      <c r="AP195" s="106"/>
      <c r="AQ195" s="9"/>
      <c r="AR195" s="106"/>
      <c r="AS195" s="106"/>
      <c r="AT195" s="106"/>
      <c r="AU195" s="106"/>
      <c r="AV195" s="106"/>
      <c r="AW195" s="106"/>
      <c r="AX195" s="9"/>
    </row>
    <row r="196" spans="1:50" ht="13.05" hidden="1" customHeight="1" x14ac:dyDescent="0.25">
      <c r="A196" t="str">
        <f>Nutrients!B195</f>
        <v>NFP Custom Zinc</v>
      </c>
      <c r="B196" s="106"/>
      <c r="C196" s="106"/>
      <c r="D196" s="106"/>
      <c r="E196" s="106"/>
      <c r="F196" s="106"/>
      <c r="G196" s="106"/>
      <c r="H196" s="106"/>
      <c r="I196" s="106"/>
      <c r="J196" s="106"/>
      <c r="K196" s="106"/>
      <c r="L196" s="106"/>
      <c r="M196" s="106"/>
      <c r="N196" s="106"/>
      <c r="O196" s="29"/>
      <c r="P196" s="106"/>
      <c r="Q196" s="106"/>
      <c r="R196" s="106"/>
      <c r="S196" s="106"/>
      <c r="T196" s="106"/>
      <c r="U196" s="106"/>
      <c r="V196" s="9"/>
      <c r="W196" s="106"/>
      <c r="X196" s="106"/>
      <c r="Y196" s="106"/>
      <c r="Z196" s="106"/>
      <c r="AA196" s="106"/>
      <c r="AB196" s="106"/>
      <c r="AC196" s="9"/>
      <c r="AD196" s="106"/>
      <c r="AE196" s="106"/>
      <c r="AF196" s="106"/>
      <c r="AG196" s="106"/>
      <c r="AH196" s="106"/>
      <c r="AI196" s="106"/>
      <c r="AJ196" s="9"/>
      <c r="AK196" s="106"/>
      <c r="AL196" s="106"/>
      <c r="AM196" s="106"/>
      <c r="AN196" s="106"/>
      <c r="AO196" s="106"/>
      <c r="AP196" s="106"/>
      <c r="AQ196" s="9"/>
      <c r="AR196" s="106"/>
      <c r="AS196" s="106"/>
      <c r="AT196" s="106"/>
      <c r="AU196" s="106"/>
      <c r="AV196" s="106"/>
      <c r="AW196" s="106"/>
      <c r="AX196" s="9"/>
    </row>
    <row r="197" spans="1:50" ht="13.05" hidden="1" customHeight="1" x14ac:dyDescent="0.25">
      <c r="A197" t="str">
        <f>Nutrients!B196</f>
        <v>THRPRO-L Threonine 80% NFP</v>
      </c>
      <c r="B197" s="106"/>
      <c r="C197" s="106"/>
      <c r="D197" s="106"/>
      <c r="E197" s="106"/>
      <c r="F197" s="106"/>
      <c r="G197" s="106"/>
      <c r="H197" s="106"/>
      <c r="I197" s="106"/>
      <c r="J197" s="106"/>
      <c r="K197" s="106"/>
      <c r="L197" s="106"/>
      <c r="M197" s="106"/>
      <c r="N197" s="106"/>
      <c r="O197" s="29"/>
      <c r="P197" s="106"/>
      <c r="Q197" s="106"/>
      <c r="R197" s="106"/>
      <c r="S197" s="106"/>
      <c r="T197" s="106"/>
      <c r="U197" s="106"/>
      <c r="V197" s="9"/>
      <c r="W197" s="106"/>
      <c r="X197" s="106"/>
      <c r="Y197" s="106"/>
      <c r="Z197" s="106"/>
      <c r="AA197" s="106"/>
      <c r="AB197" s="106"/>
      <c r="AC197" s="9"/>
      <c r="AD197" s="106"/>
      <c r="AE197" s="106"/>
      <c r="AF197" s="106"/>
      <c r="AG197" s="106"/>
      <c r="AH197" s="106"/>
      <c r="AI197" s="106"/>
      <c r="AJ197" s="9"/>
      <c r="AK197" s="106"/>
      <c r="AL197" s="106"/>
      <c r="AM197" s="106"/>
      <c r="AN197" s="106"/>
      <c r="AO197" s="106"/>
      <c r="AP197" s="106"/>
      <c r="AQ197" s="9"/>
      <c r="AR197" s="106"/>
      <c r="AS197" s="106"/>
      <c r="AT197" s="106"/>
      <c r="AU197" s="106"/>
      <c r="AV197" s="106"/>
      <c r="AW197" s="106"/>
      <c r="AX197" s="9"/>
    </row>
    <row r="198" spans="1:50" ht="13.05" hidden="1" customHeight="1" x14ac:dyDescent="0.25">
      <c r="A198" t="str">
        <f>Nutrients!B197</f>
        <v>Copper Chloride Intellibond TBCC NFP</v>
      </c>
      <c r="B198" s="106"/>
      <c r="C198" s="106"/>
      <c r="D198" s="106"/>
      <c r="E198" s="106"/>
      <c r="F198" s="106"/>
      <c r="G198" s="106"/>
      <c r="H198" s="106"/>
      <c r="I198" s="106"/>
      <c r="J198" s="106"/>
      <c r="K198" s="106"/>
      <c r="L198" s="106"/>
      <c r="M198" s="106"/>
      <c r="N198" s="106"/>
      <c r="O198" s="29"/>
      <c r="P198" s="106"/>
      <c r="Q198" s="106"/>
      <c r="R198" s="106"/>
      <c r="S198" s="106"/>
      <c r="T198" s="106"/>
      <c r="U198" s="106"/>
      <c r="V198" s="9"/>
      <c r="W198" s="106"/>
      <c r="X198" s="106"/>
      <c r="Y198" s="106"/>
      <c r="Z198" s="106"/>
      <c r="AA198" s="106"/>
      <c r="AB198" s="106"/>
      <c r="AC198" s="9"/>
      <c r="AD198" s="106"/>
      <c r="AE198" s="106"/>
      <c r="AF198" s="106"/>
      <c r="AG198" s="106"/>
      <c r="AH198" s="106"/>
      <c r="AI198" s="106"/>
      <c r="AJ198" s="9"/>
      <c r="AK198" s="106"/>
      <c r="AL198" s="106"/>
      <c r="AM198" s="106"/>
      <c r="AN198" s="106"/>
      <c r="AO198" s="106"/>
      <c r="AP198" s="106"/>
      <c r="AQ198" s="9"/>
      <c r="AR198" s="106"/>
      <c r="AS198" s="106"/>
      <c r="AT198" s="106"/>
      <c r="AU198" s="106"/>
      <c r="AV198" s="106"/>
      <c r="AW198" s="106"/>
      <c r="AX198" s="9"/>
    </row>
    <row r="199" spans="1:50" ht="13.05" hidden="1" customHeight="1" x14ac:dyDescent="0.25">
      <c r="A199" t="str">
        <f>Nutrients!B198</f>
        <v>DDGS 7.5% Oil Green Plains NFP</v>
      </c>
      <c r="B199" s="106"/>
      <c r="C199" s="106"/>
      <c r="D199" s="106"/>
      <c r="E199" s="106"/>
      <c r="F199" s="106"/>
      <c r="G199" s="106"/>
      <c r="H199" s="106"/>
      <c r="I199" s="106"/>
      <c r="J199" s="106"/>
      <c r="K199" s="106"/>
      <c r="L199" s="106"/>
      <c r="M199" s="106"/>
      <c r="N199" s="106"/>
      <c r="O199" s="29"/>
      <c r="P199" s="106"/>
      <c r="Q199" s="106"/>
      <c r="R199" s="106"/>
      <c r="S199" s="106"/>
      <c r="T199" s="106"/>
      <c r="U199" s="106"/>
      <c r="V199" s="9"/>
      <c r="W199" s="106"/>
      <c r="X199" s="106"/>
      <c r="Y199" s="106"/>
      <c r="Z199" s="106"/>
      <c r="AA199" s="106"/>
      <c r="AB199" s="106"/>
      <c r="AC199" s="9"/>
      <c r="AD199" s="106"/>
      <c r="AE199" s="106"/>
      <c r="AF199" s="106"/>
      <c r="AG199" s="106"/>
      <c r="AH199" s="106"/>
      <c r="AI199" s="106"/>
      <c r="AJ199" s="9"/>
      <c r="AK199" s="106"/>
      <c r="AL199" s="106"/>
      <c r="AM199" s="106"/>
      <c r="AN199" s="106"/>
      <c r="AO199" s="106"/>
      <c r="AP199" s="106"/>
      <c r="AQ199" s="9"/>
      <c r="AR199" s="106"/>
      <c r="AS199" s="106"/>
      <c r="AT199" s="106"/>
      <c r="AU199" s="106"/>
      <c r="AV199" s="106"/>
      <c r="AW199" s="106"/>
      <c r="AX199" s="9"/>
    </row>
    <row r="200" spans="1:50" ht="13.05" hidden="1" customHeight="1" x14ac:dyDescent="0.25">
      <c r="A200" t="str">
        <f>Nutrients!B199</f>
        <v>NHF GF VTM 2#</v>
      </c>
      <c r="B200" s="106"/>
      <c r="C200" s="106"/>
      <c r="D200" s="106"/>
      <c r="E200" s="106"/>
      <c r="F200" s="106"/>
      <c r="G200" s="106"/>
      <c r="H200" s="106"/>
      <c r="I200" s="106"/>
      <c r="J200" s="106"/>
      <c r="K200" s="106"/>
      <c r="L200" s="106"/>
      <c r="M200" s="106"/>
      <c r="N200" s="106"/>
      <c r="O200" s="29"/>
      <c r="P200" s="106"/>
      <c r="Q200" s="106"/>
      <c r="R200" s="106"/>
      <c r="S200" s="106"/>
      <c r="T200" s="106"/>
      <c r="U200" s="106"/>
      <c r="V200" s="9"/>
      <c r="W200" s="106"/>
      <c r="X200" s="106"/>
      <c r="Y200" s="106"/>
      <c r="Z200" s="106"/>
      <c r="AA200" s="106"/>
      <c r="AB200" s="106"/>
      <c r="AC200" s="9"/>
      <c r="AD200" s="106"/>
      <c r="AE200" s="106"/>
      <c r="AF200" s="106"/>
      <c r="AG200" s="106"/>
      <c r="AH200" s="106"/>
      <c r="AI200" s="106"/>
      <c r="AJ200" s="9"/>
      <c r="AK200" s="106"/>
      <c r="AL200" s="106"/>
      <c r="AM200" s="106"/>
      <c r="AN200" s="106"/>
      <c r="AO200" s="106"/>
      <c r="AP200" s="106"/>
      <c r="AQ200" s="9"/>
      <c r="AR200" s="106"/>
      <c r="AS200" s="106"/>
      <c r="AT200" s="106"/>
      <c r="AU200" s="106"/>
      <c r="AV200" s="106"/>
      <c r="AW200" s="106"/>
      <c r="AX200" s="9"/>
    </row>
    <row r="201" spans="1:50" ht="13.05" hidden="1" customHeight="1" x14ac:dyDescent="0.25">
      <c r="A201" t="str">
        <f>Nutrients!B200</f>
        <v xml:space="preserve">Hubbard Vit Premix </v>
      </c>
      <c r="B201" s="106"/>
      <c r="C201" s="106"/>
      <c r="D201" s="106"/>
      <c r="E201" s="106"/>
      <c r="F201" s="106"/>
      <c r="G201" s="106"/>
      <c r="H201" s="106"/>
      <c r="I201" s="106"/>
      <c r="J201" s="106"/>
      <c r="K201" s="106"/>
      <c r="L201" s="106"/>
      <c r="M201" s="106"/>
      <c r="N201" s="106"/>
      <c r="O201" s="29"/>
      <c r="P201" s="106"/>
      <c r="Q201" s="106"/>
      <c r="R201" s="106"/>
      <c r="S201" s="106"/>
      <c r="T201" s="106"/>
      <c r="U201" s="106"/>
      <c r="V201" s="9"/>
      <c r="W201" s="106"/>
      <c r="X201" s="106"/>
      <c r="Y201" s="106"/>
      <c r="Z201" s="106"/>
      <c r="AA201" s="106"/>
      <c r="AB201" s="106"/>
      <c r="AC201" s="9"/>
      <c r="AD201" s="106"/>
      <c r="AE201" s="106"/>
      <c r="AF201" s="106"/>
      <c r="AG201" s="106"/>
      <c r="AH201" s="106"/>
      <c r="AI201" s="106"/>
      <c r="AJ201" s="9"/>
      <c r="AK201" s="106"/>
      <c r="AL201" s="106"/>
      <c r="AM201" s="106"/>
      <c r="AN201" s="106"/>
      <c r="AO201" s="106"/>
      <c r="AP201" s="106"/>
      <c r="AQ201" s="9"/>
      <c r="AR201" s="106"/>
      <c r="AS201" s="106"/>
      <c r="AT201" s="106"/>
      <c r="AU201" s="106"/>
      <c r="AV201" s="106"/>
      <c r="AW201" s="106"/>
      <c r="AX201" s="9"/>
    </row>
    <row r="202" spans="1:50" ht="13.05" hidden="1" customHeight="1" x14ac:dyDescent="0.25">
      <c r="A202" t="str">
        <f>Nutrients!B201</f>
        <v>Hubbard TMP</v>
      </c>
      <c r="B202" s="106"/>
      <c r="C202" s="106"/>
      <c r="D202" s="106"/>
      <c r="E202" s="106"/>
      <c r="F202" s="106"/>
      <c r="G202" s="106"/>
      <c r="H202" s="106"/>
      <c r="I202" s="106"/>
      <c r="J202" s="106"/>
      <c r="K202" s="106"/>
      <c r="L202" s="106"/>
      <c r="M202" s="106"/>
      <c r="N202" s="106"/>
      <c r="O202" s="29"/>
      <c r="P202" s="106"/>
      <c r="Q202" s="106"/>
      <c r="R202" s="106"/>
      <c r="S202" s="106"/>
      <c r="T202" s="106"/>
      <c r="U202" s="106"/>
      <c r="V202" s="9"/>
      <c r="W202" s="106"/>
      <c r="X202" s="106"/>
      <c r="Y202" s="106"/>
      <c r="Z202" s="106"/>
      <c r="AA202" s="106"/>
      <c r="AB202" s="106"/>
      <c r="AC202" s="9"/>
      <c r="AD202" s="106"/>
      <c r="AE202" s="106"/>
      <c r="AF202" s="106"/>
      <c r="AG202" s="106"/>
      <c r="AH202" s="106"/>
      <c r="AI202" s="106"/>
      <c r="AJ202" s="9"/>
      <c r="AK202" s="106"/>
      <c r="AL202" s="106"/>
      <c r="AM202" s="106"/>
      <c r="AN202" s="106"/>
      <c r="AO202" s="106"/>
      <c r="AP202" s="106"/>
      <c r="AQ202" s="9"/>
      <c r="AR202" s="106"/>
      <c r="AS202" s="106"/>
      <c r="AT202" s="106"/>
      <c r="AU202" s="106"/>
      <c r="AV202" s="106"/>
      <c r="AW202" s="106"/>
      <c r="AX202" s="9"/>
    </row>
    <row r="203" spans="1:50" ht="13.05" hidden="1" customHeight="1" x14ac:dyDescent="0.25">
      <c r="A203" t="str">
        <f>Nutrients!B202</f>
        <v>Inorganic Se 600 ppm Hubbard</v>
      </c>
      <c r="B203" s="106"/>
      <c r="C203" s="106"/>
      <c r="D203" s="106"/>
      <c r="E203" s="106"/>
      <c r="F203" s="106"/>
      <c r="G203" s="106"/>
      <c r="H203" s="106"/>
      <c r="I203" s="106"/>
      <c r="J203" s="106"/>
      <c r="K203" s="106"/>
      <c r="L203" s="106"/>
      <c r="M203" s="106"/>
      <c r="N203" s="106"/>
      <c r="O203" s="29"/>
      <c r="P203" s="106"/>
      <c r="Q203" s="106"/>
      <c r="R203" s="106"/>
      <c r="S203" s="106"/>
      <c r="T203" s="106"/>
      <c r="U203" s="106"/>
      <c r="V203" s="9"/>
      <c r="W203" s="106"/>
      <c r="X203" s="106"/>
      <c r="Y203" s="106"/>
      <c r="Z203" s="106"/>
      <c r="AA203" s="106"/>
      <c r="AB203" s="106"/>
      <c r="AC203" s="9"/>
      <c r="AD203" s="106"/>
      <c r="AE203" s="106"/>
      <c r="AF203" s="106"/>
      <c r="AG203" s="106"/>
      <c r="AH203" s="106"/>
      <c r="AI203" s="106"/>
      <c r="AJ203" s="9"/>
      <c r="AK203" s="106"/>
      <c r="AL203" s="106"/>
      <c r="AM203" s="106"/>
      <c r="AN203" s="106"/>
      <c r="AO203" s="106"/>
      <c r="AP203" s="106"/>
      <c r="AQ203" s="9"/>
      <c r="AR203" s="106"/>
      <c r="AS203" s="106"/>
      <c r="AT203" s="106"/>
      <c r="AU203" s="106"/>
      <c r="AV203" s="106"/>
      <c r="AW203" s="106"/>
      <c r="AX203" s="9"/>
    </row>
    <row r="204" spans="1:50" ht="13.05" hidden="1" customHeight="1" x14ac:dyDescent="0.25">
      <c r="A204" t="str">
        <f>Nutrients!B203</f>
        <v>Quantum Blue  5G Hubbard</v>
      </c>
      <c r="B204" s="106"/>
      <c r="C204" s="106"/>
      <c r="D204" s="106"/>
      <c r="E204" s="106"/>
      <c r="F204" s="106"/>
      <c r="G204" s="106"/>
      <c r="H204" s="106"/>
      <c r="I204" s="106"/>
      <c r="J204" s="106"/>
      <c r="K204" s="106"/>
      <c r="L204" s="106"/>
      <c r="M204" s="106"/>
      <c r="N204" s="106"/>
      <c r="O204" s="29"/>
      <c r="P204" s="106"/>
      <c r="Q204" s="106"/>
      <c r="R204" s="106"/>
      <c r="S204" s="106"/>
      <c r="T204" s="106"/>
      <c r="U204" s="106"/>
      <c r="V204" s="9"/>
      <c r="W204" s="106"/>
      <c r="X204" s="106"/>
      <c r="Y204" s="106"/>
      <c r="Z204" s="106"/>
      <c r="AA204" s="106"/>
      <c r="AB204" s="106"/>
      <c r="AC204" s="9"/>
      <c r="AD204" s="106"/>
      <c r="AE204" s="106"/>
      <c r="AF204" s="106"/>
      <c r="AG204" s="106"/>
      <c r="AH204" s="106"/>
      <c r="AI204" s="106"/>
      <c r="AJ204" s="9"/>
      <c r="AK204" s="106"/>
      <c r="AL204" s="106"/>
      <c r="AM204" s="106"/>
      <c r="AN204" s="106"/>
      <c r="AO204" s="106"/>
      <c r="AP204" s="106"/>
      <c r="AQ204" s="9"/>
      <c r="AR204" s="106"/>
      <c r="AS204" s="106"/>
      <c r="AT204" s="106"/>
      <c r="AU204" s="106"/>
      <c r="AV204" s="106"/>
      <c r="AW204" s="106"/>
      <c r="AX204" s="9"/>
    </row>
    <row r="205" spans="1:50" ht="13.05" hidden="1" customHeight="1" x14ac:dyDescent="0.25">
      <c r="A205" t="str">
        <f>Nutrients!B204</f>
        <v>TASA Prime meal Hubbard</v>
      </c>
      <c r="B205" s="106"/>
      <c r="C205" s="106"/>
      <c r="D205" s="106"/>
      <c r="E205" s="106"/>
      <c r="F205" s="106"/>
      <c r="G205" s="106"/>
      <c r="H205" s="106"/>
      <c r="I205" s="106"/>
      <c r="J205" s="106"/>
      <c r="K205" s="106"/>
      <c r="L205" s="106"/>
      <c r="M205" s="106"/>
      <c r="N205" s="106"/>
      <c r="O205" s="29"/>
      <c r="P205" s="106"/>
      <c r="Q205" s="106"/>
      <c r="R205" s="106"/>
      <c r="S205" s="106"/>
      <c r="T205" s="106"/>
      <c r="U205" s="106"/>
      <c r="V205" s="9"/>
      <c r="W205" s="106"/>
      <c r="X205" s="106"/>
      <c r="Y205" s="106"/>
      <c r="Z205" s="106"/>
      <c r="AA205" s="106"/>
      <c r="AB205" s="106"/>
      <c r="AC205" s="9"/>
      <c r="AD205" s="106"/>
      <c r="AE205" s="106"/>
      <c r="AF205" s="106"/>
      <c r="AG205" s="106"/>
      <c r="AH205" s="106"/>
      <c r="AI205" s="106"/>
      <c r="AJ205" s="9"/>
      <c r="AK205" s="106"/>
      <c r="AL205" s="106"/>
      <c r="AM205" s="106"/>
      <c r="AN205" s="106"/>
      <c r="AO205" s="106"/>
      <c r="AP205" s="106"/>
      <c r="AQ205" s="9"/>
      <c r="AR205" s="106"/>
      <c r="AS205" s="106"/>
      <c r="AT205" s="106"/>
      <c r="AU205" s="106"/>
      <c r="AV205" s="106"/>
      <c r="AW205" s="106"/>
      <c r="AX205" s="9"/>
    </row>
    <row r="206" spans="1:50" ht="13.05" hidden="1" customHeight="1" x14ac:dyDescent="0.25">
      <c r="A206" t="str">
        <f>Nutrients!B205</f>
        <v>TASA Swine Hubbard</v>
      </c>
      <c r="B206" s="106"/>
      <c r="C206" s="106"/>
      <c r="D206" s="106"/>
      <c r="E206" s="106"/>
      <c r="F206" s="106"/>
      <c r="G206" s="106"/>
      <c r="H206" s="106"/>
      <c r="I206" s="106"/>
      <c r="J206" s="106"/>
      <c r="K206" s="106"/>
      <c r="L206" s="106"/>
      <c r="M206" s="106"/>
      <c r="N206" s="106"/>
      <c r="O206" s="29"/>
      <c r="P206" s="106"/>
      <c r="Q206" s="106"/>
      <c r="R206" s="106"/>
      <c r="S206" s="106"/>
      <c r="T206" s="106"/>
      <c r="U206" s="106"/>
      <c r="V206" s="9"/>
      <c r="W206" s="106"/>
      <c r="X206" s="106"/>
      <c r="Y206" s="106"/>
      <c r="Z206" s="106"/>
      <c r="AA206" s="106"/>
      <c r="AB206" s="106"/>
      <c r="AC206" s="9"/>
      <c r="AD206" s="106"/>
      <c r="AE206" s="106"/>
      <c r="AF206" s="106"/>
      <c r="AG206" s="106"/>
      <c r="AH206" s="106"/>
      <c r="AI206" s="106"/>
      <c r="AJ206" s="9"/>
      <c r="AK206" s="106"/>
      <c r="AL206" s="106"/>
      <c r="AM206" s="106"/>
      <c r="AN206" s="106"/>
      <c r="AO206" s="106"/>
      <c r="AP206" s="106"/>
      <c r="AQ206" s="9"/>
      <c r="AR206" s="106"/>
      <c r="AS206" s="106"/>
      <c r="AT206" s="106"/>
      <c r="AU206" s="106"/>
      <c r="AV206" s="106"/>
      <c r="AW206" s="106"/>
      <c r="AX206" s="9"/>
    </row>
    <row r="207" spans="1:50" ht="13.05" hidden="1" customHeight="1" x14ac:dyDescent="0.25">
      <c r="A207" t="str">
        <f>Nutrients!B206</f>
        <v>TASA fish solubles Hubbard</v>
      </c>
      <c r="B207" s="106"/>
      <c r="C207" s="106"/>
      <c r="D207" s="106"/>
      <c r="E207" s="106"/>
      <c r="F207" s="106"/>
      <c r="G207" s="106"/>
      <c r="H207" s="106"/>
      <c r="I207" s="106"/>
      <c r="J207" s="106"/>
      <c r="K207" s="106"/>
      <c r="L207" s="106"/>
      <c r="M207" s="106"/>
      <c r="N207" s="106"/>
      <c r="O207" s="29"/>
      <c r="P207" s="106"/>
      <c r="Q207" s="106"/>
      <c r="R207" s="106"/>
      <c r="S207" s="106"/>
      <c r="T207" s="106"/>
      <c r="U207" s="106"/>
      <c r="V207" s="9"/>
      <c r="W207" s="106"/>
      <c r="X207" s="106"/>
      <c r="Y207" s="106"/>
      <c r="Z207" s="106"/>
      <c r="AA207" s="106"/>
      <c r="AB207" s="106"/>
      <c r="AC207" s="9"/>
      <c r="AD207" s="106"/>
      <c r="AE207" s="106"/>
      <c r="AF207" s="106"/>
      <c r="AG207" s="106"/>
      <c r="AH207" s="106"/>
      <c r="AI207" s="106"/>
      <c r="AJ207" s="9"/>
      <c r="AK207" s="106"/>
      <c r="AL207" s="106"/>
      <c r="AM207" s="106"/>
      <c r="AN207" s="106"/>
      <c r="AO207" s="106"/>
      <c r="AP207" s="106"/>
      <c r="AQ207" s="9"/>
      <c r="AR207" s="106"/>
      <c r="AS207" s="106"/>
      <c r="AT207" s="106"/>
      <c r="AU207" s="106"/>
      <c r="AV207" s="106"/>
      <c r="AW207" s="106"/>
      <c r="AX207" s="9"/>
    </row>
    <row r="208" spans="1:50" ht="13.05" hidden="1" customHeight="1" x14ac:dyDescent="0.25">
      <c r="A208" t="str">
        <f>Nutrients!B207</f>
        <v>Mepro + TASA additive Hubbard</v>
      </c>
      <c r="B208" s="106"/>
      <c r="C208" s="106"/>
      <c r="D208" s="106"/>
      <c r="E208" s="106"/>
      <c r="F208" s="106"/>
      <c r="G208" s="106"/>
      <c r="H208" s="106"/>
      <c r="I208" s="106"/>
      <c r="J208" s="106"/>
      <c r="K208" s="106"/>
      <c r="L208" s="106"/>
      <c r="M208" s="106"/>
      <c r="N208" s="106"/>
      <c r="O208" s="29"/>
      <c r="P208" s="106"/>
      <c r="Q208" s="106"/>
      <c r="R208" s="106"/>
      <c r="S208" s="106"/>
      <c r="T208" s="106"/>
      <c r="U208" s="106"/>
      <c r="V208" s="9"/>
      <c r="W208" s="106"/>
      <c r="X208" s="106"/>
      <c r="Y208" s="106"/>
      <c r="Z208" s="106"/>
      <c r="AA208" s="106"/>
      <c r="AB208" s="106"/>
      <c r="AC208" s="9"/>
      <c r="AD208" s="106"/>
      <c r="AE208" s="106"/>
      <c r="AF208" s="106"/>
      <c r="AG208" s="106"/>
      <c r="AH208" s="106"/>
      <c r="AI208" s="106"/>
      <c r="AJ208" s="9"/>
      <c r="AK208" s="106"/>
      <c r="AL208" s="106"/>
      <c r="AM208" s="106"/>
      <c r="AN208" s="106"/>
      <c r="AO208" s="106"/>
      <c r="AP208" s="106"/>
      <c r="AQ208" s="9"/>
      <c r="AR208" s="106"/>
      <c r="AS208" s="106"/>
      <c r="AT208" s="106"/>
      <c r="AU208" s="106"/>
      <c r="AV208" s="106"/>
      <c r="AW208" s="106"/>
      <c r="AX208" s="9"/>
    </row>
    <row r="209" spans="1:50" ht="13.05" hidden="1" customHeight="1" x14ac:dyDescent="0.25">
      <c r="A209" t="str">
        <f>Nutrients!B208</f>
        <v>TASA Prime + TASA additive Hubbard</v>
      </c>
      <c r="B209" s="106"/>
      <c r="C209" s="106"/>
      <c r="D209" s="106"/>
      <c r="E209" s="106"/>
      <c r="F209" s="106"/>
      <c r="G209" s="106"/>
      <c r="H209" s="106"/>
      <c r="I209" s="106"/>
      <c r="J209" s="106"/>
      <c r="K209" s="106"/>
      <c r="L209" s="106"/>
      <c r="M209" s="106"/>
      <c r="N209" s="106"/>
      <c r="O209" s="29"/>
      <c r="P209" s="106"/>
      <c r="Q209" s="106"/>
      <c r="R209" s="106"/>
      <c r="S209" s="106"/>
      <c r="T209" s="106"/>
      <c r="U209" s="106"/>
      <c r="V209" s="9"/>
      <c r="W209" s="106"/>
      <c r="X209" s="106"/>
      <c r="Y209" s="106"/>
      <c r="Z209" s="106"/>
      <c r="AA209" s="106"/>
      <c r="AB209" s="106"/>
      <c r="AC209" s="9"/>
      <c r="AD209" s="106"/>
      <c r="AE209" s="106"/>
      <c r="AF209" s="106"/>
      <c r="AG209" s="106"/>
      <c r="AH209" s="106"/>
      <c r="AI209" s="106"/>
      <c r="AJ209" s="9"/>
      <c r="AK209" s="106"/>
      <c r="AL209" s="106"/>
      <c r="AM209" s="106"/>
      <c r="AN209" s="106"/>
      <c r="AO209" s="106"/>
      <c r="AP209" s="106"/>
      <c r="AQ209" s="9"/>
      <c r="AR209" s="106"/>
      <c r="AS209" s="106"/>
      <c r="AT209" s="106"/>
      <c r="AU209" s="106"/>
      <c r="AV209" s="106"/>
      <c r="AW209" s="106"/>
      <c r="AX209" s="9"/>
    </row>
    <row r="210" spans="1:50" ht="13.05" hidden="1" customHeight="1" x14ac:dyDescent="0.25">
      <c r="A210" t="str">
        <f>Nutrients!B209</f>
        <v>NHF SOW VTM 4# 2022</v>
      </c>
      <c r="B210" s="106"/>
      <c r="C210" s="106"/>
      <c r="D210" s="106"/>
      <c r="E210" s="106"/>
      <c r="F210" s="106"/>
      <c r="G210" s="106"/>
      <c r="H210" s="106"/>
      <c r="I210" s="106"/>
      <c r="J210" s="106"/>
      <c r="K210" s="106"/>
      <c r="L210" s="106"/>
      <c r="M210" s="106"/>
      <c r="N210" s="106"/>
      <c r="O210" s="29"/>
      <c r="P210" s="106"/>
      <c r="Q210" s="106"/>
      <c r="R210" s="106"/>
      <c r="S210" s="106"/>
      <c r="T210" s="106"/>
      <c r="U210" s="106"/>
      <c r="V210" s="9"/>
      <c r="W210" s="106"/>
      <c r="X210" s="106"/>
      <c r="Y210" s="106"/>
      <c r="Z210" s="106"/>
      <c r="AA210" s="106"/>
      <c r="AB210" s="106"/>
      <c r="AC210" s="9"/>
      <c r="AD210" s="106"/>
      <c r="AE210" s="106"/>
      <c r="AF210" s="106"/>
      <c r="AG210" s="106"/>
      <c r="AH210" s="106"/>
      <c r="AI210" s="106"/>
      <c r="AJ210" s="9"/>
      <c r="AK210" s="106"/>
      <c r="AL210" s="106"/>
      <c r="AM210" s="106"/>
      <c r="AN210" s="106"/>
      <c r="AO210" s="106"/>
      <c r="AP210" s="106"/>
      <c r="AQ210" s="9"/>
      <c r="AR210" s="106"/>
      <c r="AS210" s="106"/>
      <c r="AT210" s="106"/>
      <c r="AU210" s="106"/>
      <c r="AV210" s="106"/>
      <c r="AW210" s="106"/>
      <c r="AX210" s="9"/>
    </row>
    <row r="211" spans="1:50" ht="13.05" hidden="1" customHeight="1" x14ac:dyDescent="0.25">
      <c r="A211" t="str">
        <f>Nutrients!B210</f>
        <v xml:space="preserve">ThrPro </v>
      </c>
      <c r="B211" s="106"/>
      <c r="C211" s="106"/>
      <c r="D211" s="106"/>
      <c r="E211" s="106"/>
      <c r="F211" s="106"/>
      <c r="G211" s="106"/>
      <c r="H211" s="106"/>
      <c r="I211" s="106"/>
      <c r="J211" s="106"/>
      <c r="K211" s="106"/>
      <c r="L211" s="106"/>
      <c r="M211" s="106"/>
      <c r="N211" s="106"/>
      <c r="O211" s="29"/>
      <c r="P211" s="106"/>
      <c r="Q211" s="106"/>
      <c r="R211" s="106"/>
      <c r="S211" s="106"/>
      <c r="T211" s="106"/>
      <c r="U211" s="106"/>
      <c r="V211" s="9"/>
      <c r="W211" s="106"/>
      <c r="X211" s="106"/>
      <c r="Y211" s="106"/>
      <c r="Z211" s="106"/>
      <c r="AA211" s="106"/>
      <c r="AB211" s="106"/>
      <c r="AC211" s="9"/>
      <c r="AD211" s="106"/>
      <c r="AE211" s="106"/>
      <c r="AF211" s="106"/>
      <c r="AG211" s="106"/>
      <c r="AH211" s="106"/>
      <c r="AI211" s="106"/>
      <c r="AJ211" s="9"/>
      <c r="AK211" s="106"/>
      <c r="AL211" s="106"/>
      <c r="AM211" s="106"/>
      <c r="AN211" s="106"/>
      <c r="AO211" s="106"/>
      <c r="AP211" s="106"/>
      <c r="AQ211" s="9"/>
      <c r="AR211" s="106"/>
      <c r="AS211" s="106"/>
      <c r="AT211" s="106"/>
      <c r="AU211" s="106"/>
      <c r="AV211" s="106"/>
      <c r="AW211" s="106"/>
      <c r="AX211" s="9"/>
    </row>
    <row r="212" spans="1:50" ht="13.05" hidden="1" customHeight="1" x14ac:dyDescent="0.25">
      <c r="A212" t="str">
        <f>Nutrients!B211</f>
        <v>NHF Optiphos Plus 2500 G</v>
      </c>
      <c r="B212" s="106"/>
      <c r="C212" s="106"/>
      <c r="D212" s="106"/>
      <c r="E212" s="106"/>
      <c r="F212" s="106"/>
      <c r="G212" s="106"/>
      <c r="H212" s="106"/>
      <c r="I212" s="106"/>
      <c r="J212" s="106"/>
      <c r="K212" s="106"/>
      <c r="L212" s="106"/>
      <c r="M212" s="106"/>
      <c r="N212" s="106"/>
      <c r="O212" s="29"/>
      <c r="P212" s="106"/>
      <c r="Q212" s="106"/>
      <c r="R212" s="106"/>
      <c r="S212" s="106"/>
      <c r="T212" s="106"/>
      <c r="U212" s="106"/>
      <c r="V212" s="9"/>
      <c r="W212" s="106"/>
      <c r="X212" s="106"/>
      <c r="Y212" s="106"/>
      <c r="Z212" s="106"/>
      <c r="AA212" s="106"/>
      <c r="AB212" s="106"/>
      <c r="AC212" s="9"/>
      <c r="AD212" s="106"/>
      <c r="AE212" s="106"/>
      <c r="AF212" s="106"/>
      <c r="AG212" s="106"/>
      <c r="AH212" s="106"/>
      <c r="AI212" s="106"/>
      <c r="AJ212" s="9"/>
      <c r="AK212" s="106"/>
      <c r="AL212" s="106"/>
      <c r="AM212" s="106"/>
      <c r="AN212" s="106"/>
      <c r="AO212" s="106"/>
      <c r="AP212" s="106"/>
      <c r="AQ212" s="9"/>
      <c r="AR212" s="106"/>
      <c r="AS212" s="106"/>
      <c r="AT212" s="106"/>
      <c r="AU212" s="106"/>
      <c r="AV212" s="106"/>
      <c r="AW212" s="106"/>
      <c r="AX212" s="9"/>
    </row>
    <row r="213" spans="1:50" ht="13.05" hidden="1" customHeight="1" x14ac:dyDescent="0.25">
      <c r="A213" t="str">
        <f>Nutrients!B212</f>
        <v>NHF Corn DDGS, Valero, Aurora</v>
      </c>
      <c r="B213" s="106"/>
      <c r="C213" s="106"/>
      <c r="D213" s="106"/>
      <c r="E213" s="106"/>
      <c r="F213" s="106"/>
      <c r="G213" s="106"/>
      <c r="H213" s="106"/>
      <c r="I213" s="106"/>
      <c r="J213" s="106"/>
      <c r="K213" s="106"/>
      <c r="L213" s="106"/>
      <c r="M213" s="106"/>
      <c r="N213" s="106"/>
      <c r="O213" s="29"/>
      <c r="P213" s="106"/>
      <c r="Q213" s="106"/>
      <c r="R213" s="106"/>
      <c r="S213" s="106"/>
      <c r="T213" s="106"/>
      <c r="U213" s="106"/>
      <c r="V213" s="9"/>
      <c r="W213" s="106"/>
      <c r="X213" s="106"/>
      <c r="Y213" s="106"/>
      <c r="Z213" s="106"/>
      <c r="AA213" s="106"/>
      <c r="AB213" s="106"/>
      <c r="AC213" s="9"/>
      <c r="AD213" s="106"/>
      <c r="AE213" s="106"/>
      <c r="AF213" s="106"/>
      <c r="AG213" s="106"/>
      <c r="AH213" s="106"/>
      <c r="AI213" s="106"/>
      <c r="AJ213" s="9"/>
      <c r="AK213" s="106"/>
      <c r="AL213" s="106"/>
      <c r="AM213" s="106"/>
      <c r="AN213" s="106"/>
      <c r="AO213" s="106"/>
      <c r="AP213" s="106"/>
      <c r="AQ213" s="9"/>
      <c r="AR213" s="106"/>
      <c r="AS213" s="106"/>
      <c r="AT213" s="106"/>
      <c r="AU213" s="106"/>
      <c r="AV213" s="106"/>
      <c r="AW213" s="106"/>
      <c r="AX213" s="9"/>
    </row>
    <row r="214" spans="1:50" ht="13.05" hidden="1" customHeight="1" x14ac:dyDescent="0.25">
      <c r="A214" t="str">
        <f>Nutrients!B213</f>
        <v>HP 300 Hubbard</v>
      </c>
      <c r="B214" s="106"/>
      <c r="C214" s="106"/>
      <c r="D214" s="106"/>
      <c r="E214" s="106"/>
      <c r="F214" s="106"/>
      <c r="G214" s="106"/>
      <c r="H214" s="106"/>
      <c r="I214" s="106"/>
      <c r="J214" s="106"/>
      <c r="K214" s="106"/>
      <c r="L214" s="106"/>
      <c r="M214" s="106"/>
      <c r="N214" s="106"/>
      <c r="O214" s="29"/>
      <c r="P214" s="106"/>
      <c r="Q214" s="106"/>
      <c r="R214" s="106"/>
      <c r="S214" s="106"/>
      <c r="T214" s="106"/>
      <c r="U214" s="106"/>
      <c r="V214" s="9"/>
      <c r="W214" s="106"/>
      <c r="X214" s="106"/>
      <c r="Y214" s="106"/>
      <c r="Z214" s="106"/>
      <c r="AA214" s="106"/>
      <c r="AB214" s="106"/>
      <c r="AC214" s="9"/>
      <c r="AD214" s="106"/>
      <c r="AE214" s="106"/>
      <c r="AF214" s="106"/>
      <c r="AG214" s="106"/>
      <c r="AH214" s="106"/>
      <c r="AI214" s="106"/>
      <c r="AJ214" s="9"/>
      <c r="AK214" s="106"/>
      <c r="AL214" s="106"/>
      <c r="AM214" s="106"/>
      <c r="AN214" s="106"/>
      <c r="AO214" s="106"/>
      <c r="AP214" s="106"/>
      <c r="AQ214" s="9"/>
      <c r="AR214" s="106"/>
      <c r="AS214" s="106"/>
      <c r="AT214" s="106"/>
      <c r="AU214" s="106"/>
      <c r="AV214" s="106"/>
      <c r="AW214" s="106"/>
      <c r="AX214" s="9"/>
    </row>
    <row r="215" spans="1:50" ht="13.05" hidden="1" customHeight="1" x14ac:dyDescent="0.25">
      <c r="A215" t="str">
        <f>Nutrients!B214</f>
        <v>NHF Corn DDGS, Illuminate for Aurora</v>
      </c>
      <c r="B215" s="106"/>
      <c r="C215" s="106"/>
      <c r="D215" s="106"/>
      <c r="E215" s="106"/>
      <c r="F215" s="106"/>
      <c r="G215" s="106"/>
      <c r="H215" s="106"/>
      <c r="I215" s="106"/>
      <c r="J215" s="106"/>
      <c r="K215" s="106"/>
      <c r="L215" s="106"/>
      <c r="M215" s="106"/>
      <c r="N215" s="106"/>
      <c r="O215" s="29"/>
      <c r="P215" s="106"/>
      <c r="Q215" s="106"/>
      <c r="R215" s="106"/>
      <c r="S215" s="106"/>
      <c r="T215" s="106"/>
      <c r="U215" s="106"/>
      <c r="V215" s="9"/>
      <c r="W215" s="106"/>
      <c r="X215" s="106"/>
      <c r="Y215" s="106"/>
      <c r="Z215" s="106"/>
      <c r="AA215" s="106"/>
      <c r="AB215" s="106"/>
      <c r="AC215" s="9"/>
      <c r="AD215" s="106"/>
      <c r="AE215" s="106"/>
      <c r="AF215" s="106"/>
      <c r="AG215" s="106"/>
      <c r="AH215" s="106"/>
      <c r="AI215" s="106"/>
      <c r="AJ215" s="9"/>
      <c r="AK215" s="106"/>
      <c r="AL215" s="106"/>
      <c r="AM215" s="106"/>
      <c r="AN215" s="106"/>
      <c r="AO215" s="106"/>
      <c r="AP215" s="106"/>
      <c r="AQ215" s="9"/>
      <c r="AR215" s="106"/>
      <c r="AS215" s="106"/>
      <c r="AT215" s="106"/>
      <c r="AU215" s="106"/>
      <c r="AV215" s="106"/>
      <c r="AW215" s="106"/>
      <c r="AX215" s="9"/>
    </row>
    <row r="216" spans="1:50" ht="13.05" hidden="1" customHeight="1" x14ac:dyDescent="0.25">
      <c r="A216" t="str">
        <f>Nutrients!B215</f>
        <v>NFP Corn DDGS, MO analysis</v>
      </c>
      <c r="B216" s="106"/>
      <c r="C216" s="106"/>
      <c r="D216" s="106"/>
      <c r="E216" s="106"/>
      <c r="F216" s="106"/>
      <c r="G216" s="106"/>
      <c r="H216" s="106"/>
      <c r="I216" s="106"/>
      <c r="J216" s="106"/>
      <c r="K216" s="106"/>
      <c r="L216" s="106"/>
      <c r="M216" s="106"/>
      <c r="N216" s="106"/>
      <c r="O216" s="29"/>
      <c r="P216" s="106"/>
      <c r="Q216" s="106"/>
      <c r="R216" s="106"/>
      <c r="S216" s="106"/>
      <c r="T216" s="106"/>
      <c r="U216" s="106"/>
      <c r="V216" s="9"/>
      <c r="W216" s="106"/>
      <c r="X216" s="106"/>
      <c r="Y216" s="106"/>
      <c r="Z216" s="106"/>
      <c r="AA216" s="106"/>
      <c r="AB216" s="106"/>
      <c r="AC216" s="9"/>
      <c r="AD216" s="106"/>
      <c r="AE216" s="106"/>
      <c r="AF216" s="106"/>
      <c r="AG216" s="106"/>
      <c r="AH216" s="106"/>
      <c r="AI216" s="106"/>
      <c r="AJ216" s="9"/>
      <c r="AK216" s="106"/>
      <c r="AL216" s="106"/>
      <c r="AM216" s="106"/>
      <c r="AN216" s="106"/>
      <c r="AO216" s="106"/>
      <c r="AP216" s="106"/>
      <c r="AQ216" s="9"/>
      <c r="AR216" s="106"/>
      <c r="AS216" s="106"/>
      <c r="AT216" s="106"/>
      <c r="AU216" s="106"/>
      <c r="AV216" s="106"/>
      <c r="AW216" s="106"/>
      <c r="AX216" s="9"/>
    </row>
    <row r="217" spans="1:50" ht="13.05" hidden="1" customHeight="1" x14ac:dyDescent="0.25">
      <c r="A217" t="str">
        <f>Nutrients!B216</f>
        <v>NFP Smizyme 2500</v>
      </c>
      <c r="B217" s="106"/>
      <c r="C217" s="106"/>
      <c r="D217" s="106"/>
      <c r="E217" s="106"/>
      <c r="F217" s="106"/>
      <c r="G217" s="106"/>
      <c r="H217" s="106"/>
      <c r="I217" s="106"/>
      <c r="J217" s="106"/>
      <c r="K217" s="106"/>
      <c r="L217" s="106"/>
      <c r="M217" s="106"/>
      <c r="N217" s="106"/>
      <c r="O217" s="29"/>
      <c r="P217" s="106"/>
      <c r="Q217" s="106"/>
      <c r="R217" s="106"/>
      <c r="S217" s="106"/>
      <c r="T217" s="106"/>
      <c r="U217" s="106"/>
      <c r="V217" s="9"/>
      <c r="W217" s="106"/>
      <c r="X217" s="106"/>
      <c r="Y217" s="106"/>
      <c r="Z217" s="106"/>
      <c r="AA217" s="106"/>
      <c r="AB217" s="106"/>
      <c r="AC217" s="9"/>
      <c r="AD217" s="106"/>
      <c r="AE217" s="106"/>
      <c r="AF217" s="106"/>
      <c r="AG217" s="106"/>
      <c r="AH217" s="106"/>
      <c r="AI217" s="106"/>
      <c r="AJ217" s="9"/>
      <c r="AK217" s="106"/>
      <c r="AL217" s="106"/>
      <c r="AM217" s="106"/>
      <c r="AN217" s="106"/>
      <c r="AO217" s="106"/>
      <c r="AP217" s="106"/>
      <c r="AQ217" s="9"/>
      <c r="AR217" s="106"/>
      <c r="AS217" s="106"/>
      <c r="AT217" s="106"/>
      <c r="AU217" s="106"/>
      <c r="AV217" s="106"/>
      <c r="AW217" s="106"/>
      <c r="AX217" s="9"/>
    </row>
    <row r="218" spans="1:50" ht="13.05" hidden="1" customHeight="1" x14ac:dyDescent="0.25">
      <c r="A218" t="str">
        <f>Nutrients!B217</f>
        <v>NHF HP300 2022 loadings</v>
      </c>
      <c r="B218" s="106"/>
      <c r="C218" s="106"/>
      <c r="D218" s="106"/>
      <c r="E218" s="106"/>
      <c r="F218" s="106"/>
      <c r="G218" s="106"/>
      <c r="H218" s="106"/>
      <c r="I218" s="106"/>
      <c r="J218" s="106"/>
      <c r="K218" s="106"/>
      <c r="L218" s="106"/>
      <c r="M218" s="106"/>
      <c r="N218" s="106"/>
      <c r="O218" s="29"/>
      <c r="P218" s="106"/>
      <c r="Q218" s="106"/>
      <c r="R218" s="106"/>
      <c r="S218" s="106"/>
      <c r="T218" s="106"/>
      <c r="U218" s="106"/>
      <c r="V218" s="9"/>
      <c r="W218" s="106"/>
      <c r="X218" s="106"/>
      <c r="Y218" s="106"/>
      <c r="Z218" s="106"/>
      <c r="AA218" s="106"/>
      <c r="AB218" s="106"/>
      <c r="AC218" s="9"/>
      <c r="AD218" s="106"/>
      <c r="AE218" s="106"/>
      <c r="AF218" s="106"/>
      <c r="AG218" s="106"/>
      <c r="AH218" s="106"/>
      <c r="AI218" s="106"/>
      <c r="AJ218" s="9"/>
      <c r="AK218" s="106"/>
      <c r="AL218" s="106"/>
      <c r="AM218" s="106"/>
      <c r="AN218" s="106"/>
      <c r="AO218" s="106"/>
      <c r="AP218" s="106"/>
      <c r="AQ218" s="9"/>
      <c r="AR218" s="106"/>
      <c r="AS218" s="106"/>
      <c r="AT218" s="106"/>
      <c r="AU218" s="106"/>
      <c r="AV218" s="106"/>
      <c r="AW218" s="106"/>
      <c r="AX218" s="9"/>
    </row>
    <row r="219" spans="1:50" ht="13.05" hidden="1" customHeight="1" x14ac:dyDescent="0.25">
      <c r="A219" t="str">
        <f>Nutrients!B218</f>
        <v>NHF Liquid Lys 55%</v>
      </c>
      <c r="B219" s="106"/>
      <c r="C219" s="106"/>
      <c r="D219" s="106"/>
      <c r="E219" s="106"/>
      <c r="F219" s="106"/>
      <c r="G219" s="106"/>
      <c r="H219" s="106"/>
      <c r="I219" s="106"/>
      <c r="J219" s="106"/>
      <c r="K219" s="106"/>
      <c r="L219" s="106"/>
      <c r="M219" s="106"/>
      <c r="N219" s="106"/>
      <c r="O219" s="29"/>
      <c r="P219" s="106"/>
      <c r="Q219" s="106"/>
      <c r="R219" s="106"/>
      <c r="S219" s="106"/>
      <c r="T219" s="106"/>
      <c r="U219" s="106"/>
      <c r="V219" s="9"/>
      <c r="W219" s="106"/>
      <c r="X219" s="106"/>
      <c r="Y219" s="106"/>
      <c r="Z219" s="106"/>
      <c r="AA219" s="106"/>
      <c r="AB219" s="106"/>
      <c r="AC219" s="9"/>
      <c r="AD219" s="106"/>
      <c r="AE219" s="106"/>
      <c r="AF219" s="106"/>
      <c r="AG219" s="106"/>
      <c r="AH219" s="106"/>
      <c r="AI219" s="106"/>
      <c r="AJ219" s="9"/>
      <c r="AK219" s="106"/>
      <c r="AL219" s="106"/>
      <c r="AM219" s="106"/>
      <c r="AN219" s="106"/>
      <c r="AO219" s="106"/>
      <c r="AP219" s="106"/>
      <c r="AQ219" s="9"/>
      <c r="AR219" s="106"/>
      <c r="AS219" s="106"/>
      <c r="AT219" s="106"/>
      <c r="AU219" s="106"/>
      <c r="AV219" s="106"/>
      <c r="AW219" s="106"/>
      <c r="AX219" s="9"/>
    </row>
    <row r="220" spans="1:50" ht="13.8" thickBot="1" x14ac:dyDescent="0.3">
      <c r="A220" t="str">
        <f>Nutrients!B219</f>
        <v>Corn DDGS with varying energy</v>
      </c>
      <c r="B220" s="106"/>
      <c r="C220" s="106"/>
      <c r="D220" s="106"/>
      <c r="E220" s="106"/>
      <c r="F220" s="106"/>
      <c r="G220" s="106"/>
      <c r="H220" s="106"/>
      <c r="I220" s="106">
        <v>100</v>
      </c>
      <c r="J220" s="106">
        <v>100</v>
      </c>
      <c r="K220" s="106">
        <v>100</v>
      </c>
      <c r="L220" s="106">
        <v>100</v>
      </c>
      <c r="M220" s="106">
        <v>100</v>
      </c>
      <c r="N220" s="106">
        <v>100</v>
      </c>
      <c r="O220" s="29"/>
      <c r="P220" s="106">
        <v>200</v>
      </c>
      <c r="Q220" s="106">
        <v>200</v>
      </c>
      <c r="R220" s="106">
        <v>200</v>
      </c>
      <c r="S220" s="106">
        <v>200</v>
      </c>
      <c r="T220" s="106">
        <v>200</v>
      </c>
      <c r="U220" s="106">
        <v>200</v>
      </c>
      <c r="V220" s="9"/>
      <c r="W220" s="106">
        <v>300</v>
      </c>
      <c r="X220" s="106">
        <v>300</v>
      </c>
      <c r="Y220" s="106">
        <v>300</v>
      </c>
      <c r="Z220" s="106">
        <v>300</v>
      </c>
      <c r="AA220" s="106">
        <v>300</v>
      </c>
      <c r="AB220" s="106">
        <v>300</v>
      </c>
      <c r="AC220" s="9"/>
      <c r="AD220" s="106">
        <v>400</v>
      </c>
      <c r="AE220" s="106">
        <v>400</v>
      </c>
      <c r="AF220" s="106">
        <v>400</v>
      </c>
      <c r="AG220" s="106">
        <v>400</v>
      </c>
      <c r="AH220" s="106">
        <v>400</v>
      </c>
      <c r="AI220" s="106">
        <v>400</v>
      </c>
      <c r="AJ220" s="9"/>
      <c r="AK220" s="106">
        <v>500</v>
      </c>
      <c r="AL220" s="106">
        <v>500</v>
      </c>
      <c r="AM220" s="106">
        <v>500</v>
      </c>
      <c r="AN220" s="106">
        <v>500</v>
      </c>
      <c r="AO220" s="106">
        <v>500</v>
      </c>
      <c r="AP220" s="106">
        <v>500</v>
      </c>
      <c r="AQ220" s="9"/>
      <c r="AR220" s="106">
        <v>600</v>
      </c>
      <c r="AS220" s="106">
        <v>600</v>
      </c>
      <c r="AT220" s="106">
        <v>600</v>
      </c>
      <c r="AU220" s="106">
        <v>600</v>
      </c>
      <c r="AV220" s="106">
        <v>600</v>
      </c>
      <c r="AW220" s="106">
        <v>600</v>
      </c>
      <c r="AX220" s="9"/>
    </row>
    <row r="221" spans="1:50" ht="13.05" hidden="1" customHeight="1" x14ac:dyDescent="0.25">
      <c r="A221" t="str">
        <f>Nutrients!B220</f>
        <v>Other ingredient</v>
      </c>
      <c r="B221" s="99"/>
      <c r="C221" s="99"/>
      <c r="D221" s="99"/>
      <c r="E221" s="99"/>
      <c r="F221" s="99"/>
      <c r="G221" s="99"/>
      <c r="H221" s="99"/>
      <c r="I221" s="99"/>
      <c r="J221" s="99"/>
      <c r="K221" s="99"/>
      <c r="L221" s="99"/>
      <c r="M221" s="99"/>
      <c r="N221" s="99"/>
      <c r="O221" s="10"/>
      <c r="P221" s="99"/>
      <c r="Q221" s="99"/>
      <c r="R221" s="99"/>
      <c r="S221" s="99"/>
      <c r="T221" s="99"/>
      <c r="U221" s="99"/>
      <c r="W221" s="99"/>
      <c r="X221" s="99"/>
      <c r="Y221" s="99"/>
      <c r="Z221" s="99"/>
      <c r="AA221" s="99"/>
      <c r="AB221" s="99"/>
      <c r="AD221" s="99"/>
      <c r="AE221" s="99"/>
      <c r="AF221" s="99"/>
      <c r="AG221" s="99"/>
      <c r="AH221" s="99"/>
      <c r="AI221" s="99"/>
      <c r="AK221" s="99"/>
      <c r="AL221" s="99"/>
      <c r="AM221" s="99"/>
      <c r="AN221" s="99"/>
      <c r="AO221" s="99"/>
      <c r="AP221" s="99"/>
      <c r="AR221" s="99"/>
      <c r="AS221" s="99"/>
      <c r="AT221" s="99"/>
      <c r="AU221" s="99"/>
      <c r="AV221" s="99"/>
      <c r="AW221" s="99"/>
    </row>
    <row r="222" spans="1:50" ht="13.05" hidden="1" customHeight="1" x14ac:dyDescent="0.25">
      <c r="A222" t="str">
        <f>Nutrients!B221</f>
        <v>Other ingredient</v>
      </c>
      <c r="B222" s="99"/>
      <c r="C222" s="99"/>
      <c r="D222" s="99"/>
      <c r="E222" s="99"/>
      <c r="F222" s="99"/>
      <c r="G222" s="99"/>
      <c r="H222" s="99"/>
      <c r="I222" s="99"/>
      <c r="J222" s="99"/>
      <c r="K222" s="99"/>
      <c r="L222" s="99"/>
      <c r="M222" s="99"/>
      <c r="N222" s="99"/>
      <c r="O222" s="10"/>
      <c r="P222" s="99"/>
      <c r="Q222" s="99"/>
      <c r="R222" s="99"/>
      <c r="S222" s="99"/>
      <c r="T222" s="99"/>
      <c r="U222" s="99"/>
      <c r="W222" s="99"/>
      <c r="X222" s="99"/>
      <c r="Y222" s="99"/>
      <c r="Z222" s="99"/>
      <c r="AA222" s="99"/>
      <c r="AB222" s="99"/>
      <c r="AD222" s="99"/>
      <c r="AE222" s="99"/>
      <c r="AF222" s="99"/>
      <c r="AG222" s="99"/>
      <c r="AH222" s="99"/>
      <c r="AI222" s="99"/>
      <c r="AK222" s="99"/>
      <c r="AL222" s="99"/>
      <c r="AM222" s="99"/>
      <c r="AN222" s="99"/>
      <c r="AO222" s="99"/>
      <c r="AP222" s="99"/>
      <c r="AR222" s="99"/>
      <c r="AS222" s="99"/>
      <c r="AT222" s="99"/>
      <c r="AU222" s="99"/>
      <c r="AV222" s="99"/>
      <c r="AW222" s="99"/>
    </row>
    <row r="223" spans="1:50" ht="13.05" hidden="1" customHeight="1" x14ac:dyDescent="0.25">
      <c r="A223" t="str">
        <f>Nutrients!B222</f>
        <v>Other ingredient</v>
      </c>
      <c r="B223" s="99"/>
      <c r="C223" s="99"/>
      <c r="D223" s="99"/>
      <c r="E223" s="99"/>
      <c r="F223" s="99"/>
      <c r="G223" s="99"/>
      <c r="H223" s="99"/>
      <c r="I223" s="99"/>
      <c r="J223" s="99"/>
      <c r="K223" s="99"/>
      <c r="L223" s="99"/>
      <c r="M223" s="99"/>
      <c r="N223" s="99"/>
      <c r="O223" s="10"/>
      <c r="P223" s="99"/>
      <c r="Q223" s="99"/>
      <c r="R223" s="99"/>
      <c r="S223" s="99"/>
      <c r="T223" s="99"/>
      <c r="U223" s="99"/>
      <c r="W223" s="99"/>
      <c r="X223" s="99"/>
      <c r="Y223" s="99"/>
      <c r="Z223" s="99"/>
      <c r="AA223" s="99"/>
      <c r="AB223" s="99"/>
      <c r="AD223" s="99"/>
      <c r="AE223" s="99"/>
      <c r="AF223" s="99"/>
      <c r="AG223" s="99"/>
      <c r="AH223" s="99"/>
      <c r="AI223" s="99"/>
      <c r="AK223" s="99"/>
      <c r="AL223" s="99"/>
      <c r="AM223" s="99"/>
      <c r="AN223" s="99"/>
      <c r="AO223" s="99"/>
      <c r="AP223" s="99"/>
      <c r="AR223" s="99"/>
      <c r="AS223" s="99"/>
      <c r="AT223" s="99"/>
      <c r="AU223" s="99"/>
      <c r="AV223" s="99"/>
      <c r="AW223" s="99"/>
    </row>
    <row r="224" spans="1:50" ht="13.05" hidden="1" customHeight="1" x14ac:dyDescent="0.25">
      <c r="A224" t="str">
        <f>Nutrients!B223</f>
        <v>Other ingredient</v>
      </c>
      <c r="B224" s="99"/>
      <c r="C224" s="99"/>
      <c r="D224" s="99"/>
      <c r="E224" s="99"/>
      <c r="F224" s="99"/>
      <c r="G224" s="99"/>
      <c r="H224" s="99"/>
      <c r="I224" s="99"/>
      <c r="J224" s="99"/>
      <c r="K224" s="99"/>
      <c r="L224" s="99"/>
      <c r="M224" s="99"/>
      <c r="N224" s="99"/>
      <c r="O224" s="10"/>
      <c r="P224" s="99"/>
      <c r="Q224" s="99"/>
      <c r="R224" s="99"/>
      <c r="S224" s="99"/>
      <c r="T224" s="99"/>
      <c r="U224" s="99"/>
      <c r="W224" s="99"/>
      <c r="X224" s="99"/>
      <c r="Y224" s="99"/>
      <c r="Z224" s="99"/>
      <c r="AA224" s="99"/>
      <c r="AB224" s="99"/>
      <c r="AD224" s="99"/>
      <c r="AE224" s="99"/>
      <c r="AF224" s="99"/>
      <c r="AG224" s="99"/>
      <c r="AH224" s="99"/>
      <c r="AI224" s="99"/>
      <c r="AK224" s="99"/>
      <c r="AL224" s="99"/>
      <c r="AM224" s="99"/>
      <c r="AN224" s="99"/>
      <c r="AO224" s="99"/>
      <c r="AP224" s="99"/>
      <c r="AR224" s="99"/>
      <c r="AS224" s="99"/>
      <c r="AT224" s="99"/>
      <c r="AU224" s="99"/>
      <c r="AV224" s="99"/>
      <c r="AW224" s="99"/>
    </row>
    <row r="225" spans="1:50" ht="13.05" hidden="1" customHeight="1" x14ac:dyDescent="0.25">
      <c r="A225" t="str">
        <f>Nutrients!B224</f>
        <v>Other ingredient</v>
      </c>
      <c r="B225" s="99"/>
      <c r="C225" s="99"/>
      <c r="D225" s="99"/>
      <c r="E225" s="99"/>
      <c r="F225" s="99"/>
      <c r="G225" s="99"/>
      <c r="H225" s="99"/>
      <c r="I225" s="99"/>
      <c r="J225" s="99"/>
      <c r="K225" s="99"/>
      <c r="L225" s="99"/>
      <c r="M225" s="99"/>
      <c r="N225" s="99"/>
      <c r="O225" s="10"/>
      <c r="P225" s="99"/>
      <c r="Q225" s="99"/>
      <c r="R225" s="99"/>
      <c r="S225" s="99"/>
      <c r="T225" s="99"/>
      <c r="U225" s="99"/>
      <c r="W225" s="99"/>
      <c r="X225" s="99"/>
      <c r="Y225" s="99"/>
      <c r="Z225" s="99"/>
      <c r="AA225" s="99"/>
      <c r="AB225" s="99"/>
      <c r="AD225" s="99"/>
      <c r="AE225" s="99"/>
      <c r="AF225" s="99"/>
      <c r="AG225" s="99"/>
      <c r="AH225" s="99"/>
      <c r="AI225" s="99"/>
      <c r="AK225" s="99"/>
      <c r="AL225" s="99"/>
      <c r="AM225" s="99"/>
      <c r="AN225" s="99"/>
      <c r="AO225" s="99"/>
      <c r="AP225" s="99"/>
      <c r="AR225" s="99"/>
      <c r="AS225" s="99"/>
      <c r="AT225" s="99"/>
      <c r="AU225" s="99"/>
      <c r="AV225" s="99"/>
      <c r="AW225" s="99"/>
    </row>
    <row r="226" spans="1:50" ht="13.05" hidden="1" customHeight="1" x14ac:dyDescent="0.25">
      <c r="A226" t="str">
        <f>Nutrients!B225</f>
        <v>Other ingredient</v>
      </c>
      <c r="B226" s="99"/>
      <c r="C226" s="99"/>
      <c r="D226" s="99"/>
      <c r="E226" s="99"/>
      <c r="F226" s="99"/>
      <c r="G226" s="99"/>
      <c r="H226" s="99"/>
      <c r="I226" s="99"/>
      <c r="J226" s="99"/>
      <c r="K226" s="99"/>
      <c r="L226" s="99"/>
      <c r="M226" s="99"/>
      <c r="N226" s="99"/>
      <c r="O226" s="10"/>
      <c r="P226" s="99"/>
      <c r="Q226" s="99"/>
      <c r="R226" s="99"/>
      <c r="S226" s="99"/>
      <c r="T226" s="99"/>
      <c r="U226" s="99"/>
      <c r="W226" s="99"/>
      <c r="X226" s="99"/>
      <c r="Y226" s="99"/>
      <c r="Z226" s="99"/>
      <c r="AA226" s="99"/>
      <c r="AB226" s="99"/>
      <c r="AD226" s="99"/>
      <c r="AE226" s="99"/>
      <c r="AF226" s="99"/>
      <c r="AG226" s="99"/>
      <c r="AH226" s="99"/>
      <c r="AI226" s="99"/>
      <c r="AK226" s="99"/>
      <c r="AL226" s="99"/>
      <c r="AM226" s="99"/>
      <c r="AN226" s="99"/>
      <c r="AO226" s="99"/>
      <c r="AP226" s="99"/>
      <c r="AR226" s="99"/>
      <c r="AS226" s="99"/>
      <c r="AT226" s="99"/>
      <c r="AU226" s="99"/>
      <c r="AV226" s="99"/>
      <c r="AW226" s="99"/>
    </row>
    <row r="227" spans="1:50" ht="13.05" hidden="1" customHeight="1" x14ac:dyDescent="0.25">
      <c r="A227" t="str">
        <f>Nutrients!B226</f>
        <v>Other ingredient</v>
      </c>
      <c r="B227" s="99"/>
      <c r="C227" s="99"/>
      <c r="D227" s="99"/>
      <c r="E227" s="99"/>
      <c r="F227" s="99"/>
      <c r="G227" s="99"/>
      <c r="H227" s="99"/>
      <c r="I227" s="99"/>
      <c r="J227" s="99"/>
      <c r="K227" s="99"/>
      <c r="L227" s="99"/>
      <c r="M227" s="99"/>
      <c r="N227" s="99"/>
      <c r="O227" s="10"/>
      <c r="P227" s="99"/>
      <c r="Q227" s="99"/>
      <c r="R227" s="99"/>
      <c r="S227" s="99"/>
      <c r="T227" s="99"/>
      <c r="U227" s="99"/>
      <c r="W227" s="99"/>
      <c r="X227" s="99"/>
      <c r="Y227" s="99"/>
      <c r="Z227" s="99"/>
      <c r="AA227" s="99"/>
      <c r="AB227" s="99"/>
      <c r="AD227" s="99"/>
      <c r="AE227" s="99"/>
      <c r="AF227" s="99"/>
      <c r="AG227" s="99"/>
      <c r="AH227" s="99"/>
      <c r="AI227" s="99"/>
      <c r="AK227" s="99"/>
      <c r="AL227" s="99"/>
      <c r="AM227" s="99"/>
      <c r="AN227" s="99"/>
      <c r="AO227" s="99"/>
      <c r="AP227" s="99"/>
      <c r="AR227" s="99"/>
      <c r="AS227" s="99"/>
      <c r="AT227" s="99"/>
      <c r="AU227" s="99"/>
      <c r="AV227" s="99"/>
      <c r="AW227" s="99"/>
    </row>
    <row r="228" spans="1:50" ht="13.05" hidden="1" customHeight="1" x14ac:dyDescent="0.25">
      <c r="A228" t="str">
        <f>Nutrients!B227</f>
        <v>Other ingredient</v>
      </c>
      <c r="B228" s="99"/>
      <c r="C228" s="99"/>
      <c r="D228" s="99"/>
      <c r="E228" s="99"/>
      <c r="F228" s="99"/>
      <c r="G228" s="99"/>
      <c r="H228" s="99"/>
      <c r="I228" s="99"/>
      <c r="J228" s="99"/>
      <c r="K228" s="99"/>
      <c r="L228" s="99"/>
      <c r="M228" s="99"/>
      <c r="N228" s="99"/>
      <c r="O228" s="10"/>
      <c r="P228" s="99"/>
      <c r="Q228" s="99"/>
      <c r="R228" s="99"/>
      <c r="S228" s="99"/>
      <c r="T228" s="99"/>
      <c r="U228" s="99"/>
      <c r="W228" s="99"/>
      <c r="X228" s="99"/>
      <c r="Y228" s="99"/>
      <c r="Z228" s="99"/>
      <c r="AA228" s="99"/>
      <c r="AB228" s="99"/>
      <c r="AD228" s="99"/>
      <c r="AE228" s="99"/>
      <c r="AF228" s="99"/>
      <c r="AG228" s="99"/>
      <c r="AH228" s="99"/>
      <c r="AI228" s="99"/>
      <c r="AK228" s="99"/>
      <c r="AL228" s="99"/>
      <c r="AM228" s="99"/>
      <c r="AN228" s="99"/>
      <c r="AO228" s="99"/>
      <c r="AP228" s="99"/>
      <c r="AR228" s="99"/>
      <c r="AS228" s="99"/>
      <c r="AT228" s="99"/>
      <c r="AU228" s="99"/>
      <c r="AV228" s="99"/>
      <c r="AW228" s="99"/>
    </row>
    <row r="229" spans="1:50" ht="13.95" hidden="1" customHeight="1" x14ac:dyDescent="0.25">
      <c r="A229" t="str">
        <f>Nutrients!B228</f>
        <v>Other ingredient</v>
      </c>
      <c r="B229" s="99"/>
      <c r="C229" s="99"/>
      <c r="D229" s="99"/>
      <c r="E229" s="99"/>
      <c r="F229" s="99"/>
      <c r="G229" s="99"/>
      <c r="H229" s="99"/>
      <c r="I229" s="99"/>
      <c r="J229" s="99"/>
      <c r="K229" s="99"/>
      <c r="L229" s="99"/>
      <c r="M229" s="99"/>
      <c r="N229" s="99"/>
      <c r="O229" s="10"/>
      <c r="P229" s="99"/>
      <c r="Q229" s="99"/>
      <c r="R229" s="99"/>
      <c r="S229" s="99"/>
      <c r="T229" s="99"/>
      <c r="U229" s="99"/>
      <c r="W229" s="99"/>
      <c r="X229" s="99"/>
      <c r="Y229" s="99"/>
      <c r="Z229" s="99"/>
      <c r="AA229" s="99"/>
      <c r="AB229" s="99"/>
      <c r="AD229" s="99"/>
      <c r="AE229" s="99"/>
      <c r="AF229" s="99"/>
      <c r="AG229" s="99"/>
      <c r="AH229" s="99"/>
      <c r="AI229" s="99"/>
      <c r="AK229" s="99"/>
      <c r="AL229" s="99"/>
      <c r="AM229" s="99"/>
      <c r="AN229" s="99"/>
      <c r="AO229" s="99"/>
      <c r="AP229" s="99"/>
      <c r="AR229" s="99"/>
      <c r="AS229" s="99"/>
      <c r="AT229" s="99"/>
      <c r="AU229" s="99"/>
      <c r="AV229" s="99"/>
      <c r="AW229" s="99"/>
    </row>
    <row r="230" spans="1:50" x14ac:dyDescent="0.25">
      <c r="A230" s="1" t="s">
        <v>17</v>
      </c>
      <c r="B230" s="292">
        <f t="shared" ref="B230:G230" si="13">SUM(B7:B229)</f>
        <v>2000.0000000000002</v>
      </c>
      <c r="C230" s="292">
        <f t="shared" si="13"/>
        <v>2000</v>
      </c>
      <c r="D230" s="292">
        <f t="shared" si="13"/>
        <v>2000.0000000000002</v>
      </c>
      <c r="E230" s="292">
        <f t="shared" si="13"/>
        <v>2000.0000000000002</v>
      </c>
      <c r="F230" s="292">
        <f t="shared" si="13"/>
        <v>2000</v>
      </c>
      <c r="G230" s="292">
        <f t="shared" si="13"/>
        <v>2000.0000000000002</v>
      </c>
      <c r="H230" s="292"/>
      <c r="I230" s="292">
        <f t="shared" ref="I230:N230" si="14">SUM(I7:I229)</f>
        <v>2000</v>
      </c>
      <c r="J230" s="292">
        <f t="shared" si="14"/>
        <v>2000</v>
      </c>
      <c r="K230" s="292">
        <f t="shared" si="14"/>
        <v>2000.0000000000002</v>
      </c>
      <c r="L230" s="292">
        <f t="shared" si="14"/>
        <v>1999.9999999999995</v>
      </c>
      <c r="M230" s="292">
        <f t="shared" si="14"/>
        <v>1999.9999999999998</v>
      </c>
      <c r="N230" s="292">
        <f t="shared" si="14"/>
        <v>1999.9999999999998</v>
      </c>
      <c r="O230" s="9"/>
      <c r="P230" s="292">
        <f t="shared" ref="P230:U230" si="15">SUM(P7:P229)</f>
        <v>2000</v>
      </c>
      <c r="Q230" s="292">
        <f t="shared" si="15"/>
        <v>2000.0000000000002</v>
      </c>
      <c r="R230" s="292">
        <f t="shared" si="15"/>
        <v>2000</v>
      </c>
      <c r="S230" s="292">
        <f t="shared" si="15"/>
        <v>2000</v>
      </c>
      <c r="T230" s="292">
        <f t="shared" si="15"/>
        <v>2000</v>
      </c>
      <c r="U230" s="292">
        <f t="shared" si="15"/>
        <v>2000</v>
      </c>
      <c r="W230" s="292">
        <f t="shared" ref="W230:AB230" si="16">SUM(W7:W229)</f>
        <v>1999.9999999999998</v>
      </c>
      <c r="X230" s="292">
        <f t="shared" si="16"/>
        <v>2000</v>
      </c>
      <c r="Y230" s="292">
        <f t="shared" si="16"/>
        <v>2000</v>
      </c>
      <c r="Z230" s="292">
        <f t="shared" si="16"/>
        <v>2000.0000000000002</v>
      </c>
      <c r="AA230" s="292">
        <f t="shared" si="16"/>
        <v>2000.0000000000002</v>
      </c>
      <c r="AB230" s="292">
        <f t="shared" si="16"/>
        <v>2000</v>
      </c>
      <c r="AD230" s="292">
        <f t="shared" ref="AD230:AI230" si="17">SUM(AD7:AD229)</f>
        <v>2000</v>
      </c>
      <c r="AE230" s="292">
        <f t="shared" si="17"/>
        <v>2000</v>
      </c>
      <c r="AF230" s="292">
        <f t="shared" si="17"/>
        <v>1999.9999999999998</v>
      </c>
      <c r="AG230" s="292">
        <f t="shared" si="17"/>
        <v>2000</v>
      </c>
      <c r="AH230" s="292">
        <f t="shared" si="17"/>
        <v>2000</v>
      </c>
      <c r="AI230" s="292">
        <f t="shared" si="17"/>
        <v>2000.0000000000002</v>
      </c>
      <c r="AK230" s="292">
        <f t="shared" ref="AK230:AP230" si="18">SUM(AK7:AK229)</f>
        <v>2000</v>
      </c>
      <c r="AL230" s="292">
        <f t="shared" si="18"/>
        <v>2000</v>
      </c>
      <c r="AM230" s="292">
        <f t="shared" si="18"/>
        <v>2000.0000000000002</v>
      </c>
      <c r="AN230" s="292">
        <f t="shared" si="18"/>
        <v>2000</v>
      </c>
      <c r="AO230" s="292">
        <f t="shared" si="18"/>
        <v>2000</v>
      </c>
      <c r="AP230" s="292">
        <f t="shared" si="18"/>
        <v>2000</v>
      </c>
      <c r="AR230" s="292">
        <f t="shared" ref="AR230:AW230" si="19">SUM(AR7:AR229)</f>
        <v>1999.9999999999998</v>
      </c>
      <c r="AS230" s="292">
        <f t="shared" si="19"/>
        <v>2000</v>
      </c>
      <c r="AT230" s="292">
        <f t="shared" si="19"/>
        <v>2000</v>
      </c>
      <c r="AU230" s="292">
        <f t="shared" si="19"/>
        <v>2000</v>
      </c>
      <c r="AV230" s="292">
        <f t="shared" si="19"/>
        <v>1999.9999999999998</v>
      </c>
      <c r="AW230" s="292">
        <f t="shared" si="19"/>
        <v>2000</v>
      </c>
    </row>
    <row r="231" spans="1:50" x14ac:dyDescent="0.25">
      <c r="A231" s="9"/>
      <c r="B231" s="7"/>
      <c r="C231" s="7"/>
      <c r="D231" s="7"/>
      <c r="E231" s="7"/>
      <c r="F231" s="7"/>
      <c r="G231" s="7"/>
      <c r="H231" s="7"/>
      <c r="I231" s="7"/>
      <c r="J231" s="7"/>
      <c r="K231" s="7"/>
      <c r="L231" s="7"/>
      <c r="M231" s="7"/>
      <c r="N231" s="7"/>
      <c r="O231" s="7"/>
      <c r="P231" s="7"/>
      <c r="Q231" s="7"/>
      <c r="R231" s="7"/>
      <c r="S231" s="7"/>
      <c r="T231" s="7"/>
      <c r="U231" s="7"/>
      <c r="W231" s="7"/>
      <c r="X231" s="7"/>
      <c r="Y231" s="7"/>
      <c r="Z231" s="7"/>
      <c r="AA231" s="7"/>
      <c r="AB231" s="7"/>
      <c r="AD231" s="7"/>
      <c r="AE231" s="7"/>
      <c r="AF231" s="7"/>
      <c r="AG231" s="7"/>
      <c r="AH231" s="7"/>
      <c r="AI231" s="7"/>
      <c r="AK231" s="7"/>
      <c r="AL231" s="7"/>
      <c r="AM231" s="7"/>
      <c r="AN231" s="7"/>
      <c r="AO231" s="7"/>
      <c r="AP231" s="7"/>
      <c r="AR231" s="7"/>
      <c r="AS231" s="7"/>
      <c r="AT231" s="7"/>
      <c r="AU231" s="7"/>
      <c r="AV231" s="7"/>
      <c r="AW231" s="7"/>
    </row>
    <row r="232" spans="1:50" x14ac:dyDescent="0.25">
      <c r="A232" s="41" t="s">
        <v>348</v>
      </c>
      <c r="B232" s="33">
        <f t="shared" ref="B232:G232" si="20" xml:space="preserve">  0.0000415*((B5+B6)/2)^2 - 0.0236*((B5+B6)/2) + 6.096</f>
        <v>4.6920843750000003</v>
      </c>
      <c r="C232" s="33">
        <f t="shared" si="20"/>
        <v>4.1130093749999999</v>
      </c>
      <c r="D232" s="33">
        <f t="shared" si="20"/>
        <v>3.6054000000000004</v>
      </c>
      <c r="E232" s="33">
        <f t="shared" si="20"/>
        <v>3.1925999999999997</v>
      </c>
      <c r="F232" s="33">
        <f t="shared" si="20"/>
        <v>2.9125999999999999</v>
      </c>
      <c r="G232" s="33">
        <f t="shared" si="20"/>
        <v>2.7606093749999996</v>
      </c>
      <c r="H232" s="33"/>
      <c r="I232" s="33">
        <f t="shared" ref="I232:N232" si="21" xml:space="preserve">  0.0000415*((I5+I6)/2)^2 - 0.0236*((I5+I6)/2) + 6.096</f>
        <v>4.6920843750000003</v>
      </c>
      <c r="J232" s="33">
        <f t="shared" si="21"/>
        <v>4.1130093749999999</v>
      </c>
      <c r="K232" s="33">
        <f t="shared" si="21"/>
        <v>3.6054000000000004</v>
      </c>
      <c r="L232" s="33">
        <f t="shared" si="21"/>
        <v>3.1925999999999997</v>
      </c>
      <c r="M232" s="33">
        <f t="shared" si="21"/>
        <v>2.9125999999999999</v>
      </c>
      <c r="N232" s="33">
        <f t="shared" si="21"/>
        <v>2.7606093749999996</v>
      </c>
      <c r="O232" s="33"/>
      <c r="P232" s="33">
        <f t="shared" ref="P232:U232" si="22" xml:space="preserve">  0.0000415*((P5+P6)/2)^2 - 0.0236*((P5+P6)/2) + 6.096</f>
        <v>4.6920843750000003</v>
      </c>
      <c r="Q232" s="33">
        <f t="shared" si="22"/>
        <v>4.1130093749999999</v>
      </c>
      <c r="R232" s="33">
        <f t="shared" si="22"/>
        <v>3.6054000000000004</v>
      </c>
      <c r="S232" s="33">
        <f t="shared" si="22"/>
        <v>3.1925999999999997</v>
      </c>
      <c r="T232" s="33">
        <f t="shared" si="22"/>
        <v>2.9125999999999999</v>
      </c>
      <c r="U232" s="33">
        <f t="shared" si="22"/>
        <v>2.7606093749999996</v>
      </c>
      <c r="W232" s="33">
        <f t="shared" ref="W232:AB232" si="23" xml:space="preserve">  0.0000415*((W5+W6)/2)^2 - 0.0236*((W5+W6)/2) + 6.096</f>
        <v>4.6920843750000003</v>
      </c>
      <c r="X232" s="33">
        <f t="shared" si="23"/>
        <v>4.1130093749999999</v>
      </c>
      <c r="Y232" s="33">
        <f t="shared" si="23"/>
        <v>3.6054000000000004</v>
      </c>
      <c r="Z232" s="33">
        <f t="shared" si="23"/>
        <v>3.1925999999999997</v>
      </c>
      <c r="AA232" s="33">
        <f t="shared" si="23"/>
        <v>2.9125999999999999</v>
      </c>
      <c r="AB232" s="33">
        <f t="shared" si="23"/>
        <v>2.7606093749999996</v>
      </c>
      <c r="AD232" s="33">
        <f t="shared" ref="AD232:AI232" si="24" xml:space="preserve">  0.0000415*((AD5+AD6)/2)^2 - 0.0236*((AD5+AD6)/2) + 6.096</f>
        <v>4.6920843750000003</v>
      </c>
      <c r="AE232" s="33">
        <f t="shared" si="24"/>
        <v>4.1130093749999999</v>
      </c>
      <c r="AF232" s="33">
        <f t="shared" si="24"/>
        <v>3.6054000000000004</v>
      </c>
      <c r="AG232" s="33">
        <f t="shared" si="24"/>
        <v>3.1925999999999997</v>
      </c>
      <c r="AH232" s="33">
        <f t="shared" si="24"/>
        <v>2.9125999999999999</v>
      </c>
      <c r="AI232" s="33">
        <f t="shared" si="24"/>
        <v>2.7606093749999996</v>
      </c>
      <c r="AK232" s="33">
        <f t="shared" ref="AK232:AP232" si="25" xml:space="preserve">  0.0000415*((AK5+AK6)/2)^2 - 0.0236*((AK5+AK6)/2) + 6.096</f>
        <v>4.6920843750000003</v>
      </c>
      <c r="AL232" s="33">
        <f t="shared" si="25"/>
        <v>4.1130093749999999</v>
      </c>
      <c r="AM232" s="33">
        <f t="shared" si="25"/>
        <v>3.6054000000000004</v>
      </c>
      <c r="AN232" s="33">
        <f t="shared" si="25"/>
        <v>3.1925999999999997</v>
      </c>
      <c r="AO232" s="33">
        <f t="shared" si="25"/>
        <v>2.9125999999999999</v>
      </c>
      <c r="AP232" s="33">
        <f t="shared" si="25"/>
        <v>2.7606093749999996</v>
      </c>
      <c r="AR232" s="33">
        <f t="shared" ref="AR232:AW232" si="26" xml:space="preserve">  0.0000415*((AR5+AR6)/2)^2 - 0.0236*((AR5+AR6)/2) + 6.096</f>
        <v>4.6920843750000003</v>
      </c>
      <c r="AS232" s="33">
        <f t="shared" si="26"/>
        <v>4.1130093749999999</v>
      </c>
      <c r="AT232" s="33">
        <f t="shared" si="26"/>
        <v>3.6054000000000004</v>
      </c>
      <c r="AU232" s="33">
        <f t="shared" si="26"/>
        <v>3.1925999999999997</v>
      </c>
      <c r="AV232" s="33">
        <f t="shared" si="26"/>
        <v>2.9125999999999999</v>
      </c>
      <c r="AW232" s="33">
        <f t="shared" si="26"/>
        <v>2.7606093749999996</v>
      </c>
    </row>
    <row r="233" spans="1:50" x14ac:dyDescent="0.25">
      <c r="A233" s="40" t="s">
        <v>108</v>
      </c>
      <c r="B233" s="26">
        <f t="shared" ref="B233:G233" si="27">IF(B232="","",B250*2.2046*B232/10000)</f>
        <v>1.1933289345334586</v>
      </c>
      <c r="C233" s="26">
        <f t="shared" si="27"/>
        <v>1.0523868858191809</v>
      </c>
      <c r="D233" s="26">
        <f t="shared" si="27"/>
        <v>0.92731901794478477</v>
      </c>
      <c r="E233" s="26">
        <f t="shared" si="27"/>
        <v>0.82549698291879381</v>
      </c>
      <c r="F233" s="26">
        <f t="shared" si="27"/>
        <v>0.75646982136751284</v>
      </c>
      <c r="G233" s="26">
        <f t="shared" si="27"/>
        <v>0.71849863102392231</v>
      </c>
      <c r="H233" s="26"/>
      <c r="I233" s="26">
        <f t="shared" ref="I233:N233" si="28">IF(I232="","",I250*2.2046*I232/10000)</f>
        <v>1.1930633287666585</v>
      </c>
      <c r="J233" s="26">
        <f t="shared" si="28"/>
        <v>1.0522282386472619</v>
      </c>
      <c r="K233" s="26">
        <f t="shared" si="28"/>
        <v>0.92721642757073841</v>
      </c>
      <c r="L233" s="26">
        <f t="shared" si="28"/>
        <v>0.82543342347670134</v>
      </c>
      <c r="M233" s="26">
        <f t="shared" si="28"/>
        <v>0.75641369045533269</v>
      </c>
      <c r="N233" s="26">
        <f t="shared" si="28"/>
        <v>0.71845590192796471</v>
      </c>
      <c r="O233" s="26"/>
      <c r="P233" s="26">
        <f t="shared" ref="P233:U233" si="29">IF(P232="","",P250*2.2046*P232/10000)</f>
        <v>1.1929043761561808</v>
      </c>
      <c r="Q233" s="26">
        <f t="shared" si="29"/>
        <v>1.0521066443036233</v>
      </c>
      <c r="R233" s="26">
        <f t="shared" si="29"/>
        <v>0.92716385395510914</v>
      </c>
      <c r="S233" s="26">
        <f t="shared" si="29"/>
        <v>0.82536521694506593</v>
      </c>
      <c r="T233" s="26">
        <f t="shared" si="29"/>
        <v>0.75635393859604416</v>
      </c>
      <c r="U233" s="26">
        <f t="shared" si="29"/>
        <v>0.71841028986072275</v>
      </c>
      <c r="W233" s="26">
        <f t="shared" ref="W233:AB233" si="30">IF(W232="","",W250*2.2046*W232/10000)</f>
        <v>1.1928393738850456</v>
      </c>
      <c r="X233" s="26">
        <f t="shared" si="30"/>
        <v>1.0521079922946255</v>
      </c>
      <c r="Y233" s="26">
        <f t="shared" si="30"/>
        <v>0.927132980715624</v>
      </c>
      <c r="Z233" s="26">
        <f t="shared" si="30"/>
        <v>0.82538764961017985</v>
      </c>
      <c r="AA233" s="26">
        <f t="shared" si="30"/>
        <v>0.75637985534244878</v>
      </c>
      <c r="AB233" s="26">
        <f t="shared" si="30"/>
        <v>0.71840138911169715</v>
      </c>
      <c r="AD233" s="26">
        <f t="shared" ref="AD233:AI233" si="31">IF(AD232="","",AD250*2.2046*AD232/10000)</f>
        <v>1.1928296334653752</v>
      </c>
      <c r="AE233" s="26">
        <f t="shared" si="31"/>
        <v>1.0520647299454347</v>
      </c>
      <c r="AF233" s="26">
        <f t="shared" si="31"/>
        <v>0.92715690399776762</v>
      </c>
      <c r="AG233" s="26">
        <f t="shared" si="31"/>
        <v>0.82539720306734854</v>
      </c>
      <c r="AH233" s="26">
        <f t="shared" si="31"/>
        <v>0.75634582348552681</v>
      </c>
      <c r="AI233" s="26">
        <f t="shared" si="31"/>
        <v>0.71841279891793297</v>
      </c>
      <c r="AK233" s="26">
        <f t="shared" ref="AK233:AP233" si="32">IF(AK232="","",AK250*2.2046*AK232/10000)</f>
        <v>1.192760696686529</v>
      </c>
      <c r="AL233" s="26">
        <f t="shared" si="32"/>
        <v>1.05201966832369</v>
      </c>
      <c r="AM233" s="26">
        <f t="shared" si="32"/>
        <v>0.92707712371126294</v>
      </c>
      <c r="AN233" s="26">
        <f t="shared" si="32"/>
        <v>0.82530411598327313</v>
      </c>
      <c r="AO233" s="26">
        <f t="shared" si="32"/>
        <v>0.75635037137305416</v>
      </c>
      <c r="AP233" s="26">
        <f t="shared" si="32"/>
        <v>0.71842697869460026</v>
      </c>
      <c r="AR233" s="26">
        <f t="shared" ref="AR233:AW233" si="33">IF(AR232="","",AR250*2.2046*AR232/10000)</f>
        <v>1.1928457267186132</v>
      </c>
      <c r="AS233" s="26">
        <f t="shared" si="33"/>
        <v>1.0519469932197556</v>
      </c>
      <c r="AT233" s="26">
        <f t="shared" si="33"/>
        <v>0.92702906154208287</v>
      </c>
      <c r="AU233" s="26">
        <f t="shared" si="33"/>
        <v>0.82529346380773971</v>
      </c>
      <c r="AV233" s="26">
        <f t="shared" si="33"/>
        <v>0.75635513665971499</v>
      </c>
      <c r="AW233" s="26">
        <f t="shared" si="33"/>
        <v>0.71844123713087704</v>
      </c>
    </row>
    <row r="234" spans="1:50" x14ac:dyDescent="0.25">
      <c r="A234" s="40"/>
      <c r="B234" s="26"/>
      <c r="C234" s="26"/>
      <c r="D234" s="26"/>
      <c r="E234" s="26"/>
      <c r="F234" s="26"/>
      <c r="G234" s="26"/>
      <c r="H234" s="26"/>
      <c r="I234" s="26">
        <f>B127-I127</f>
        <v>0.12000000000000011</v>
      </c>
      <c r="J234" s="26">
        <f>C126-J126</f>
        <v>0.20127037394555369</v>
      </c>
      <c r="K234" s="26"/>
      <c r="L234" s="26"/>
      <c r="M234" s="26"/>
      <c r="N234" s="26"/>
      <c r="O234" s="26"/>
      <c r="P234" s="26"/>
      <c r="Q234" s="26"/>
      <c r="R234" s="26"/>
      <c r="S234" s="26"/>
      <c r="T234" s="26"/>
      <c r="U234" s="26"/>
      <c r="W234" s="26"/>
      <c r="X234" s="26"/>
      <c r="Y234" s="26"/>
      <c r="Z234" s="26"/>
      <c r="AA234" s="26"/>
      <c r="AB234" s="26"/>
      <c r="AD234" s="26"/>
      <c r="AE234" s="26"/>
      <c r="AF234" s="26"/>
      <c r="AG234" s="26"/>
      <c r="AH234" s="26"/>
      <c r="AI234" s="26"/>
      <c r="AK234" s="26"/>
      <c r="AL234" s="26"/>
      <c r="AM234" s="26"/>
      <c r="AN234" s="26"/>
      <c r="AO234" s="26"/>
      <c r="AP234" s="26"/>
      <c r="AR234" s="26"/>
      <c r="AS234" s="26"/>
      <c r="AT234" s="26"/>
      <c r="AU234" s="26"/>
      <c r="AV234" s="26"/>
      <c r="AW234" s="26"/>
    </row>
    <row r="235" spans="1:50" x14ac:dyDescent="0.25">
      <c r="A235" s="44" t="s">
        <v>143</v>
      </c>
      <c r="B235" s="26"/>
      <c r="C235" s="26"/>
      <c r="D235" s="26"/>
      <c r="E235" s="26"/>
      <c r="F235" s="26"/>
      <c r="G235" s="26"/>
      <c r="H235" s="26"/>
      <c r="I235" s="26"/>
      <c r="J235" s="26"/>
      <c r="K235" s="26"/>
      <c r="L235" s="26"/>
      <c r="M235" s="26"/>
      <c r="N235" s="26"/>
      <c r="O235" s="26"/>
      <c r="P235" s="26"/>
      <c r="Q235" s="26"/>
      <c r="R235" s="26"/>
      <c r="S235" s="26"/>
      <c r="T235" s="26"/>
      <c r="U235" s="26"/>
      <c r="W235" s="26"/>
      <c r="X235" s="26"/>
      <c r="Y235" s="26"/>
      <c r="Z235" s="26"/>
      <c r="AA235" s="26"/>
      <c r="AB235" s="26"/>
      <c r="AD235" s="26"/>
      <c r="AE235" s="26"/>
      <c r="AF235" s="26"/>
      <c r="AG235" s="26"/>
      <c r="AH235" s="26"/>
      <c r="AI235" s="26"/>
      <c r="AK235" s="26"/>
      <c r="AL235" s="26"/>
      <c r="AM235" s="26"/>
      <c r="AN235" s="26"/>
      <c r="AO235" s="26"/>
      <c r="AP235" s="26"/>
      <c r="AR235" s="26"/>
      <c r="AS235" s="26"/>
      <c r="AT235" s="26"/>
      <c r="AU235" s="26"/>
      <c r="AV235" s="26"/>
      <c r="AW235" s="26"/>
    </row>
    <row r="236" spans="1:50" x14ac:dyDescent="0.25">
      <c r="A236" s="34" t="s">
        <v>381</v>
      </c>
      <c r="B236" s="27">
        <v>1.1861119527718891</v>
      </c>
      <c r="C236" s="27">
        <v>1.0487231011263827</v>
      </c>
      <c r="D236" s="27">
        <v>0.92692570857780632</v>
      </c>
      <c r="E236" s="27">
        <v>0.82606841929078001</v>
      </c>
      <c r="F236" s="27">
        <v>0.75673053182615369</v>
      </c>
      <c r="G236" s="27">
        <v>0.71839352504319809</v>
      </c>
      <c r="H236" s="223"/>
      <c r="I236" s="27">
        <v>1.1861119527718891</v>
      </c>
      <c r="J236" s="27">
        <v>1.0487231011263827</v>
      </c>
      <c r="K236" s="27">
        <v>0.92692570857780632</v>
      </c>
      <c r="L236" s="27">
        <v>0.82606841929078001</v>
      </c>
      <c r="M236" s="27">
        <v>0.75673053182615369</v>
      </c>
      <c r="N236" s="27">
        <v>0.71839352504319809</v>
      </c>
      <c r="O236" s="7"/>
      <c r="P236" s="27">
        <v>1.1861119527718891</v>
      </c>
      <c r="Q236" s="27">
        <v>1.0487231011263827</v>
      </c>
      <c r="R236" s="27">
        <v>0.92692570857780632</v>
      </c>
      <c r="S236" s="27">
        <v>0.82606841929078001</v>
      </c>
      <c r="T236" s="27">
        <v>0.75673053182615369</v>
      </c>
      <c r="U236" s="27">
        <v>0.71839352504319809</v>
      </c>
      <c r="V236" s="2"/>
      <c r="W236" s="27">
        <v>1.1861119527718891</v>
      </c>
      <c r="X236" s="27">
        <v>1.0487231011263827</v>
      </c>
      <c r="Y236" s="27">
        <v>0.92692570857780632</v>
      </c>
      <c r="Z236" s="27">
        <v>0.82606841929078001</v>
      </c>
      <c r="AA236" s="27">
        <v>0.75673053182615369</v>
      </c>
      <c r="AB236" s="27">
        <v>0.71839352504319809</v>
      </c>
      <c r="AC236" s="223"/>
      <c r="AD236" s="27">
        <v>1.1861119527718891</v>
      </c>
      <c r="AE236" s="27">
        <v>1.0487231011263827</v>
      </c>
      <c r="AF236" s="27">
        <v>0.92692570857780632</v>
      </c>
      <c r="AG236" s="27">
        <v>0.82606841929078001</v>
      </c>
      <c r="AH236" s="27">
        <v>0.75673053182615369</v>
      </c>
      <c r="AI236" s="27">
        <v>0.71839352504319809</v>
      </c>
      <c r="AJ236" s="7"/>
      <c r="AK236" s="27">
        <v>1.1861119527718891</v>
      </c>
      <c r="AL236" s="27">
        <v>1.0487231011263827</v>
      </c>
      <c r="AM236" s="27">
        <v>0.92692570857780632</v>
      </c>
      <c r="AN236" s="27">
        <v>0.82606841929078001</v>
      </c>
      <c r="AO236" s="27">
        <v>0.75673053182615369</v>
      </c>
      <c r="AP236" s="27">
        <v>0.71839352504319809</v>
      </c>
      <c r="AQ236" s="2"/>
      <c r="AR236" s="27">
        <v>1.1861119527718891</v>
      </c>
      <c r="AS236" s="27">
        <v>1.0487231011263827</v>
      </c>
      <c r="AT236" s="27">
        <v>0.92692570857780632</v>
      </c>
      <c r="AU236" s="27">
        <v>0.82606841929078001</v>
      </c>
      <c r="AV236" s="27">
        <v>0.75673053182615369</v>
      </c>
      <c r="AW236" s="27">
        <v>0.71839352504319809</v>
      </c>
      <c r="AX236" s="223"/>
    </row>
    <row r="237" spans="1:50" x14ac:dyDescent="0.25">
      <c r="A237" s="39" t="s">
        <v>382</v>
      </c>
      <c r="B237" s="49">
        <f>(SUMPRODUCT(B$9:B$229,Nutrients!$CY$8:$CY$228)+(IF($A$7=Nutrients!$B$8,Nutrients!$CY$8,Nutrients!$CY$9)*B$7)+(((IF($A$8=Nutrients!$B$79,Nutrients!$CY$79,(IF($A$8=Nutrients!$B$77,Nutrients!$CY$77,Nutrients!$CY$78)))))*B$8))/2000/B$236*100</f>
        <v>56.344881641231822</v>
      </c>
      <c r="C237" s="49">
        <f>(SUMPRODUCT(C$9:C$229,Nutrients!$CY$8:$CY$228)+(IF($A$7=Nutrients!$B$8,Nutrients!$CY$8,Nutrients!$CY$9)*C$7)+(((IF($A$8=Nutrients!$B$79,Nutrients!$CY$79,(IF($A$8=Nutrients!$B$77,Nutrients!$CY$77,Nutrients!$CY$78)))))*C$8))/2000/C$236*100</f>
        <v>57.375308930399996</v>
      </c>
      <c r="D237" s="49">
        <f>(SUMPRODUCT(D$9:D$229,Nutrients!$CY$8:$CY$228)+(IF($A$7=Nutrients!$B$8,Nutrients!$CY$8,Nutrients!$CY$9)*D$7)+(((IF($A$8=Nutrients!$B$79,Nutrients!$CY$79,(IF($A$8=Nutrients!$B$77,Nutrients!$CY$77,Nutrients!$CY$78)))))*D$8))/2000/D$236*100</f>
        <v>58.876554056537131</v>
      </c>
      <c r="E237" s="49">
        <f>(SUMPRODUCT(E$9:E$229,Nutrients!$CY$8:$CY$228)+(IF($A$7=Nutrients!$B$8,Nutrients!$CY$8,Nutrients!$CY$9)*E$7)+(((IF($A$8=Nutrients!$B$79,Nutrients!$CY$79,(IF($A$8=Nutrients!$B$77,Nutrients!$CY$77,Nutrients!$CY$78)))))*E$8))/2000/E$236*100</f>
        <v>59.309801434553123</v>
      </c>
      <c r="F237" s="49">
        <f>(SUMPRODUCT(F$9:F$229,Nutrients!$CY$8:$CY$228)+(IF($A$7=Nutrients!$B$8,Nutrients!$CY$8,Nutrients!$CY$9)*F$7)+(((IF($A$8=Nutrients!$B$79,Nutrients!$CY$79,(IF($A$8=Nutrients!$B$77,Nutrients!$CY$77,Nutrients!$CY$78)))))*F$8))/2000/F$236*100</f>
        <v>58.50084547001024</v>
      </c>
      <c r="G237" s="49">
        <f>(SUMPRODUCT(G$9:G$229,Nutrients!$CY$8:$CY$228)+(IF($A$7=Nutrients!$B$8,Nutrients!$CY$8,Nutrients!$CY$9)*G$7)+(((IF($A$8=Nutrients!$B$79,Nutrients!$CY$79,(IF($A$8=Nutrients!$B$77,Nutrients!$CY$77,Nutrients!$CY$78)))))*G$8))/2000/G$236*100</f>
        <v>57.980356352367814</v>
      </c>
      <c r="H237" s="197"/>
      <c r="I237" s="451">
        <f>(SUMPRODUCT(I$9:I$229,Nutrients!$CY$8:$CY$228)+(IF($A$7=Nutrients!$B$8,Nutrients!$CY$8,Nutrients!$CY$9)*I$7)+(((IF($A$8=Nutrients!$B$79,Nutrients!$CY$79,(IF($A$8=Nutrients!$B$77,Nutrients!$CY$77,Nutrients!$CY$78)))))*I$8))/2000/I$236*100</f>
        <v>56.537268043918964</v>
      </c>
      <c r="J237" s="451">
        <f>(SUMPRODUCT(J$9:J$229,Nutrients!$CY$8:$CY$228)+(IF($A$7=Nutrients!$B$8,Nutrients!$CY$8,Nutrients!$CY$9)*J$7)+(((IF($A$8=Nutrients!$B$79,Nutrients!$CY$79,(IF($A$8=Nutrients!$B$77,Nutrients!$CY$77,Nutrients!$CY$78)))))*J$8))/2000/J$236*100</f>
        <v>57.591362682913314</v>
      </c>
      <c r="K237" s="451">
        <f>(SUMPRODUCT(K$9:K$229,Nutrients!$CY$8:$CY$228)+(IF($A$7=Nutrients!$B$8,Nutrients!$CY$8,Nutrients!$CY$9)*K$7)+(((IF($A$8=Nutrients!$B$79,Nutrients!$CY$79,(IF($A$8=Nutrients!$B$77,Nutrients!$CY$77,Nutrients!$CY$78)))))*K$8))/2000/K$236*100</f>
        <v>59.121891635558853</v>
      </c>
      <c r="L237" s="451">
        <f>(SUMPRODUCT(L$9:L$229,Nutrients!$CY$8:$CY$228)+(IF($A$7=Nutrients!$B$8,Nutrients!$CY$8,Nutrients!$CY$9)*L$7)+(((IF($A$8=Nutrients!$B$79,Nutrients!$CY$79,(IF($A$8=Nutrients!$B$77,Nutrients!$CY$77,Nutrients!$CY$78)))))*L$8))/2000/L$236*100</f>
        <v>59.584248318013991</v>
      </c>
      <c r="M237" s="451">
        <f>(SUMPRODUCT(M$9:M$229,Nutrients!$CY$8:$CY$228)+(IF($A$7=Nutrients!$B$8,Nutrients!$CY$8,Nutrients!$CY$9)*M$7)+(((IF($A$8=Nutrients!$B$79,Nutrients!$CY$79,(IF($A$8=Nutrients!$B$77,Nutrients!$CY$77,Nutrients!$CY$78)))))*M$8))/2000/M$236*100</f>
        <v>58.800434519910652</v>
      </c>
      <c r="N237" s="451">
        <f>(SUMPRODUCT(N$9:N$229,Nutrients!$CY$8:$CY$228)+(IF($A$7=Nutrients!$B$8,Nutrients!$CY$8,Nutrients!$CY$9)*N$7)+(((IF($A$8=Nutrients!$B$79,Nutrients!$CY$79,(IF($A$8=Nutrients!$B$77,Nutrients!$CY$77,Nutrients!$CY$78)))))*N$8))/2000/N$236*100</f>
        <v>58.295501897781499</v>
      </c>
      <c r="O237" s="472"/>
      <c r="P237" s="451">
        <f>(SUMPRODUCT(P$9:P$229,Nutrients!$CY$8:$CY$228)+(IF($A$7=Nutrients!$B$8,Nutrients!$CY$8,Nutrients!$CY$9)*P$7)+(((IF($A$8=Nutrients!$B$79,Nutrients!$CY$79,(IF($A$8=Nutrients!$B$77,Nutrients!$CY$77,Nutrients!$CY$78)))))*P$8))/2000/P$236*100</f>
        <v>56.728782868309025</v>
      </c>
      <c r="Q237" s="451">
        <f>(SUMPRODUCT(Q$9:Q$229,Nutrients!$CY$8:$CY$228)+(IF($A$7=Nutrients!$B$8,Nutrients!$CY$8,Nutrients!$CY$9)*Q$7)+(((IF($A$8=Nutrients!$B$79,Nutrients!$CY$79,(IF($A$8=Nutrients!$B$77,Nutrients!$CY$77,Nutrients!$CY$78)))))*Q$8))/2000/Q$236*100</f>
        <v>57.807579487615392</v>
      </c>
      <c r="R237" s="451">
        <f>(SUMPRODUCT(R$9:R$229,Nutrients!$CY$8:$CY$228)+(IF($A$7=Nutrients!$B$8,Nutrients!$CY$8,Nutrients!$CY$9)*R$7)+(((IF($A$8=Nutrients!$B$79,Nutrients!$CY$79,(IF($A$8=Nutrients!$B$77,Nutrients!$CY$77,Nutrients!$CY$78)))))*R$8))/2000/R$236*100</f>
        <v>59.366068230036483</v>
      </c>
      <c r="S237" s="451">
        <f>(SUMPRODUCT(S$9:S$229,Nutrients!$CY$8:$CY$228)+(IF($A$7=Nutrients!$B$8,Nutrients!$CY$8,Nutrients!$CY$9)*S$7)+(((IF($A$8=Nutrients!$B$79,Nutrients!$CY$79,(IF($A$8=Nutrients!$B$77,Nutrients!$CY$77,Nutrients!$CY$78)))))*S$8))/2000/S$236*100</f>
        <v>59.858377512435098</v>
      </c>
      <c r="T237" s="451">
        <f>(SUMPRODUCT(T$9:T$229,Nutrients!$CY$8:$CY$228)+(IF($A$7=Nutrients!$B$8,Nutrients!$CY$8,Nutrients!$CY$9)*T$7)+(((IF($A$8=Nutrients!$B$79,Nutrients!$CY$79,(IF($A$8=Nutrients!$B$77,Nutrients!$CY$77,Nutrients!$CY$78)))))*T$8))/2000/T$236*100</f>
        <v>59.100029214145252</v>
      </c>
      <c r="U237" s="451">
        <f>(SUMPRODUCT(U$9:U$229,Nutrients!$CY$8:$CY$228)+(IF($A$7=Nutrients!$B$8,Nutrients!$CY$8,Nutrients!$CY$9)*U$7)+(((IF($A$8=Nutrients!$B$79,Nutrients!$CY$79,(IF($A$8=Nutrients!$B$77,Nutrients!$CY$77,Nutrients!$CY$78)))))*U$8))/2000/U$236*100</f>
        <v>58.610928858369149</v>
      </c>
      <c r="V237" s="9"/>
      <c r="W237" s="451">
        <f>(SUMPRODUCT(W$9:W$229,Nutrients!$CY$8:$CY$228)+(IF($A$7=Nutrients!$B$8,Nutrients!$CY$8,Nutrients!$CY$9)*W$7)+(((IF($A$8=Nutrients!$B$79,Nutrients!$CY$79,(IF($A$8=Nutrients!$B$77,Nutrients!$CY$77,Nutrients!$CY$78)))))*W$8))/2000/W$236*100</f>
        <v>56.920602606012039</v>
      </c>
      <c r="X237" s="451">
        <f>(SUMPRODUCT(X$9:X$229,Nutrients!$CY$8:$CY$228)+(IF($A$7=Nutrients!$B$8,Nutrients!$CY$8,Nutrients!$CY$9)*X$7)+(((IF($A$8=Nutrients!$B$79,Nutrients!$CY$79,(IF($A$8=Nutrients!$B$77,Nutrients!$CY$77,Nutrients!$CY$78)))))*X$8))/2000/X$236*100</f>
        <v>58.023903705241949</v>
      </c>
      <c r="Y237" s="451">
        <f>(SUMPRODUCT(Y$9:Y$229,Nutrients!$CY$8:$CY$228)+(IF($A$7=Nutrients!$B$8,Nutrients!$CY$8,Nutrients!$CY$9)*Y$7)+(((IF($A$8=Nutrients!$B$79,Nutrients!$CY$79,(IF($A$8=Nutrients!$B$77,Nutrients!$CY$77,Nutrients!$CY$78)))))*Y$8))/2000/Y$236*100</f>
        <v>59.610940446344607</v>
      </c>
      <c r="Z237" s="451">
        <f>(SUMPRODUCT(Z$9:Z$229,Nutrients!$CY$8:$CY$228)+(IF($A$7=Nutrients!$B$8,Nutrients!$CY$8,Nutrients!$CY$9)*Z$7)+(((IF($A$8=Nutrients!$B$79,Nutrients!$CY$79,(IF($A$8=Nutrients!$B$77,Nutrients!$CY$77,Nutrients!$CY$78)))))*Z$8))/2000/Z$236*100</f>
        <v>60.132252631680281</v>
      </c>
      <c r="AA237" s="451">
        <f>(SUMPRODUCT(AA$9:AA$229,Nutrients!$CY$8:$CY$228)+(IF($A$7=Nutrients!$B$8,Nutrients!$CY$8,Nutrients!$CY$9)*AA$7)+(((IF($A$8=Nutrients!$B$79,Nutrients!$CY$79,(IF($A$8=Nutrients!$B$77,Nutrients!$CY$77,Nutrients!$CY$78)))))*AA$8))/2000/AA$236*100</f>
        <v>59.398020538505577</v>
      </c>
      <c r="AB237" s="451">
        <f>(SUMPRODUCT(AB$9:AB$229,Nutrients!$CY$8:$CY$228)+(IF($A$7=Nutrients!$B$8,Nutrients!$CY$8,Nutrients!$CY$9)*AB$7)+(((IF($A$8=Nutrients!$B$79,Nutrients!$CY$79,(IF($A$8=Nutrients!$B$77,Nutrients!$CY$77,Nutrients!$CY$78)))))*AB$8))/2000/AB$236*100</f>
        <v>58.919384079014478</v>
      </c>
      <c r="AC237" s="9"/>
      <c r="AD237" s="451">
        <f>(SUMPRODUCT(AD$9:AD$229,Nutrients!$CY$8:$CY$228)+(IF($A$7=Nutrients!$B$8,Nutrients!$CY$8,Nutrients!$CY$9)*AD$7)+(((IF($A$8=Nutrients!$B$79,Nutrients!$CY$79,(IF($A$8=Nutrients!$B$77,Nutrients!$CY$77,Nutrients!$CY$78)))))*AD$8))/2000/AD$236*100</f>
        <v>57.111896726054802</v>
      </c>
      <c r="AE237" s="451">
        <f>(SUMPRODUCT(AE$9:AE$229,Nutrients!$CY$8:$CY$228)+(IF($A$7=Nutrients!$B$8,Nutrients!$CY$8,Nutrients!$CY$9)*AE$7)+(((IF($A$8=Nutrients!$B$79,Nutrients!$CY$79,(IF($A$8=Nutrients!$B$77,Nutrients!$CY$77,Nutrients!$CY$78)))))*AE$8))/2000/AE$236*100</f>
        <v>58.240506100778923</v>
      </c>
      <c r="AF237" s="451">
        <f>(SUMPRODUCT(AF$9:AF$229,Nutrients!$CY$8:$CY$228)+(IF($A$7=Nutrients!$B$8,Nutrients!$CY$8,Nutrients!$CY$9)*AF$7)+(((IF($A$8=Nutrients!$B$79,Nutrients!$CY$79,(IF($A$8=Nutrients!$B$77,Nutrients!$CY$77,Nutrients!$CY$78)))))*AF$8))/2000/AF$236*100</f>
        <v>59.855025414635818</v>
      </c>
      <c r="AG237" s="451">
        <f>(SUMPRODUCT(AG$9:AG$229,Nutrients!$CY$8:$CY$228)+(IF($A$7=Nutrients!$B$8,Nutrients!$CY$8,Nutrients!$CY$9)*AG$7)+(((IF($A$8=Nutrients!$B$79,Nutrients!$CY$79,(IF($A$8=Nutrients!$B$77,Nutrients!$CY$77,Nutrients!$CY$78)))))*AG$8))/2000/AG$236*100</f>
        <v>60.405680327395395</v>
      </c>
      <c r="AH237" s="451">
        <f>(SUMPRODUCT(AH$9:AH$229,Nutrients!$CY$8:$CY$228)+(IF($A$7=Nutrients!$B$8,Nutrients!$CY$8,Nutrients!$CY$9)*AH$7)+(((IF($A$8=Nutrients!$B$79,Nutrients!$CY$79,(IF($A$8=Nutrients!$B$77,Nutrients!$CY$77,Nutrients!$CY$78)))))*AH$8))/2000/AH$236*100</f>
        <v>59.679654615177483</v>
      </c>
      <c r="AI237" s="451">
        <f>(SUMPRODUCT(AI$9:AI$229,Nutrients!$CY$8:$CY$228)+(IF($A$7=Nutrients!$B$8,Nutrients!$CY$8,Nutrients!$CY$9)*AI$7)+(((IF($A$8=Nutrients!$B$79,Nutrients!$CY$79,(IF($A$8=Nutrients!$B$77,Nutrients!$CY$77,Nutrients!$CY$78)))))*AI$8))/2000/AI$236*100</f>
        <v>59.2112401558446</v>
      </c>
      <c r="AJ237" s="9"/>
      <c r="AK237" s="451">
        <f>(SUMPRODUCT(AK$9:AK$229,Nutrients!$CY$8:$CY$228)+(IF($A$7=Nutrients!$B$8,Nutrients!$CY$8,Nutrients!$CY$9)*AK$7)+(((IF($A$8=Nutrients!$B$79,Nutrients!$CY$79,(IF($A$8=Nutrients!$B$77,Nutrients!$CY$77,Nutrients!$CY$78)))))*AK$8))/2000/AK$236*100</f>
        <v>57.30281498454174</v>
      </c>
      <c r="AL237" s="451">
        <f>(SUMPRODUCT(AL$9:AL$229,Nutrients!$CY$8:$CY$228)+(IF($A$7=Nutrients!$B$8,Nutrients!$CY$8,Nutrients!$CY$9)*AL$7)+(((IF($A$8=Nutrients!$B$79,Nutrients!$CY$79,(IF($A$8=Nutrients!$B$77,Nutrients!$CY$77,Nutrients!$CY$78)))))*AL$8))/2000/AL$236*100</f>
        <v>58.456236035093625</v>
      </c>
      <c r="AM237" s="451">
        <f>(SUMPRODUCT(AM$9:AM$229,Nutrients!$CY$8:$CY$228)+(IF($A$7=Nutrients!$B$8,Nutrients!$CY$8,Nutrients!$CY$9)*AM$7)+(((IF($A$8=Nutrients!$B$79,Nutrients!$CY$79,(IF($A$8=Nutrients!$B$77,Nutrients!$CY$77,Nutrients!$CY$78)))))*AM$8))/2000/AM$236*100</f>
        <v>60.099432859500403</v>
      </c>
      <c r="AN237" s="451">
        <f>(SUMPRODUCT(AN$9:AN$229,Nutrients!$CY$8:$CY$228)+(IF($A$7=Nutrients!$B$8,Nutrients!$CY$8,Nutrients!$CY$9)*AN$7)+(((IF($A$8=Nutrients!$B$79,Nutrients!$CY$79,(IF($A$8=Nutrients!$B$77,Nutrients!$CY$77,Nutrients!$CY$78)))))*AN$8))/2000/AN$236*100</f>
        <v>60.665883477882751</v>
      </c>
      <c r="AO237" s="451">
        <f>(SUMPRODUCT(AO$9:AO$229,Nutrients!$CY$8:$CY$228)+(IF($A$7=Nutrients!$B$8,Nutrients!$CY$8,Nutrients!$CY$9)*AO$7)+(((IF($A$8=Nutrients!$B$79,Nutrients!$CY$79,(IF($A$8=Nutrients!$B$77,Nutrients!$CY$77,Nutrients!$CY$78)))))*AO$8))/2000/AO$236*100</f>
        <v>59.956813185105595</v>
      </c>
      <c r="AP237" s="451">
        <f>(SUMPRODUCT(AP$9:AP$229,Nutrients!$CY$8:$CY$228)+(IF($A$7=Nutrients!$B$8,Nutrients!$CY$8,Nutrients!$CY$9)*AP$7)+(((IF($A$8=Nutrients!$B$79,Nutrients!$CY$79,(IF($A$8=Nutrients!$B$77,Nutrients!$CY$77,Nutrients!$CY$78)))))*AP$8))/2000/AP$236*100</f>
        <v>59.503062980717857</v>
      </c>
      <c r="AQ237" s="9"/>
      <c r="AR237" s="451">
        <f>(SUMPRODUCT(AR$9:AR$229,Nutrients!$CY$8:$CY$228)+(IF($A$7=Nutrients!$B$8,Nutrients!$CY$8,Nutrients!$CY$9)*AR$7)+(((IF($A$8=Nutrients!$B$79,Nutrients!$CY$79,(IF($A$8=Nutrients!$B$77,Nutrients!$CY$77,Nutrients!$CY$78)))))*AR$8))/2000/AR$236*100</f>
        <v>57.49303641314242</v>
      </c>
      <c r="AS237" s="451">
        <f>(SUMPRODUCT(AS$9:AS$229,Nutrients!$CY$8:$CY$228)+(IF($A$7=Nutrients!$B$8,Nutrients!$CY$8,Nutrients!$CY$9)*AS$7)+(((IF($A$8=Nutrients!$B$79,Nutrients!$CY$79,(IF($A$8=Nutrients!$B$77,Nutrients!$CY$77,Nutrients!$CY$78)))))*AS$8))/2000/AS$236*100</f>
        <v>58.671847810017866</v>
      </c>
      <c r="AT237" s="451">
        <f>(SUMPRODUCT(AT$9:AT$229,Nutrients!$CY$8:$CY$228)+(IF($A$7=Nutrients!$B$8,Nutrients!$CY$8,Nutrients!$CY$9)*AT$7)+(((IF($A$8=Nutrients!$B$79,Nutrients!$CY$79,(IF($A$8=Nutrients!$B$77,Nutrients!$CY$77,Nutrients!$CY$78)))))*AT$8))/2000/AT$236*100</f>
        <v>60.341559763619379</v>
      </c>
      <c r="AU237" s="451">
        <f>(SUMPRODUCT(AU$9:AU$229,Nutrients!$CY$8:$CY$228)+(IF($A$7=Nutrients!$B$8,Nutrients!$CY$8,Nutrients!$CY$9)*AU$7)+(((IF($A$8=Nutrients!$B$79,Nutrients!$CY$79,(IF($A$8=Nutrients!$B$77,Nutrients!$CY$77,Nutrients!$CY$78)))))*AU$8))/2000/AU$236*100</f>
        <v>60.919801535801795</v>
      </c>
      <c r="AV237" s="451">
        <f>(SUMPRODUCT(AV$9:AV$229,Nutrients!$CY$8:$CY$228)+(IF($A$7=Nutrients!$B$8,Nutrients!$CY$8,Nutrients!$CY$9)*AV$7)+(((IF($A$8=Nutrients!$B$79,Nutrients!$CY$79,(IF($A$8=Nutrients!$B$77,Nutrients!$CY$77,Nutrients!$CY$78)))))*AV$8))/2000/AV$236*100</f>
        <v>60.233968612362347</v>
      </c>
      <c r="AW237" s="451">
        <f>(SUMPRODUCT(AW$9:AW$229,Nutrients!$CY$8:$CY$228)+(IF($A$7=Nutrients!$B$8,Nutrients!$CY$8,Nutrients!$CY$9)*AW$7)+(((IF($A$8=Nutrients!$B$79,Nutrients!$CY$79,(IF($A$8=Nutrients!$B$77,Nutrients!$CY$77,Nutrients!$CY$78)))))*AW$8))/2000/AW$236*100</f>
        <v>59.794884166461273</v>
      </c>
      <c r="AX237" s="13"/>
    </row>
    <row r="238" spans="1:50" x14ac:dyDescent="0.25">
      <c r="A238" s="39" t="s">
        <v>383</v>
      </c>
      <c r="B238" s="49">
        <f>(SUMPRODUCT(B$9:B$229,Nutrients!$CZ$8:$CZ$228)+(IF($A$7=Nutrients!$B$8,Nutrients!$CZ$8,Nutrients!$CZ$9)*B$7)+(((IF($A$8=Nutrients!$B$79,Nutrients!$CZ$79,(IF($A$8=Nutrients!$B$77,Nutrients!$CZ$77,Nutrients!$CZ$78)))))*B$8))/2000/B$236*100</f>
        <v>120.89105591211504</v>
      </c>
      <c r="C238" s="49">
        <f>(SUMPRODUCT(C$9:C$229,Nutrients!$CZ$8:$CZ$228)+(IF($A$7=Nutrients!$B$8,Nutrients!$CZ$8,Nutrients!$CZ$9)*C$7)+(((IF($A$8=Nutrients!$B$79,Nutrients!$CZ$79,(IF($A$8=Nutrients!$B$77,Nutrients!$CZ$77,Nutrients!$CZ$78)))))*C$8))/2000/C$236*100</f>
        <v>128.00798727272854</v>
      </c>
      <c r="D238" s="49">
        <f>(SUMPRODUCT(D$9:D$229,Nutrients!$CZ$8:$CZ$228)+(IF($A$7=Nutrients!$B$8,Nutrients!$CZ$8,Nutrients!$CZ$9)*D$7)+(((IF($A$8=Nutrients!$B$79,Nutrients!$CZ$79,(IF($A$8=Nutrients!$B$77,Nutrients!$CZ$77,Nutrients!$CZ$78)))))*D$8))/2000/D$236*100</f>
        <v>136.56000538997691</v>
      </c>
      <c r="E238" s="49">
        <f>(SUMPRODUCT(E$9:E$229,Nutrients!$CZ$8:$CZ$228)+(IF($A$7=Nutrients!$B$8,Nutrients!$CZ$8,Nutrients!$CZ$9)*E$7)+(((IF($A$8=Nutrients!$B$79,Nutrients!$CZ$79,(IF($A$8=Nutrients!$B$77,Nutrients!$CZ$77,Nutrients!$CZ$78)))))*E$8))/2000/E$236*100</f>
        <v>143.9104596541508</v>
      </c>
      <c r="F238" s="49">
        <f>(SUMPRODUCT(F$9:F$229,Nutrients!$CZ$8:$CZ$228)+(IF($A$7=Nutrients!$B$8,Nutrients!$CZ$8,Nutrients!$CZ$9)*F$7)+(((IF($A$8=Nutrients!$B$79,Nutrients!$CZ$79,(IF($A$8=Nutrients!$B$77,Nutrients!$CZ$77,Nutrients!$CZ$78)))))*F$8))/2000/F$236*100</f>
        <v>148.44781930158939</v>
      </c>
      <c r="G238" s="49">
        <f>(SUMPRODUCT(G$9:G$229,Nutrients!$CZ$8:$CZ$228)+(IF($A$7=Nutrients!$B$8,Nutrients!$CZ$8,Nutrients!$CZ$9)*G$7)+(((IF($A$8=Nutrients!$B$79,Nutrients!$CZ$79,(IF($A$8=Nutrients!$B$77,Nutrients!$CZ$77,Nutrients!$CZ$78)))))*G$8))/2000/G$236*100</f>
        <v>151.29313192040226</v>
      </c>
      <c r="H238" s="224"/>
      <c r="I238" s="451">
        <f>(SUMPRODUCT(I$9:I$229,Nutrients!$CZ$8:$CZ$228)+(IF($A$7=Nutrients!$B$8,Nutrients!$CZ$8,Nutrients!$CZ$9)*I$7)+(((IF($A$8=Nutrients!$B$79,Nutrients!$CZ$79,(IF($A$8=Nutrients!$B$77,Nutrients!$CZ$77,Nutrients!$CZ$78)))))*I$8))/2000/I$236*100</f>
        <v>126.15334641924505</v>
      </c>
      <c r="J238" s="451">
        <f>(SUMPRODUCT(J$9:J$229,Nutrients!$CZ$8:$CZ$228)+(IF($A$7=Nutrients!$B$8,Nutrients!$CZ$8,Nutrients!$CZ$9)*J$7)+(((IF($A$8=Nutrients!$B$79,Nutrients!$CZ$79,(IF($A$8=Nutrients!$B$77,Nutrients!$CZ$77,Nutrients!$CZ$78)))))*J$8))/2000/J$236*100</f>
        <v>133.94986688219049</v>
      </c>
      <c r="K238" s="451">
        <f>(SUMPRODUCT(K$9:K$229,Nutrients!$CZ$8:$CZ$228)+(IF($A$7=Nutrients!$B$8,Nutrients!$CZ$8,Nutrients!$CZ$9)*K$7)+(((IF($A$8=Nutrients!$B$79,Nutrients!$CZ$79,(IF($A$8=Nutrients!$B$77,Nutrients!$CZ$77,Nutrients!$CZ$78)))))*K$8))/2000/K$236*100</f>
        <v>143.28835055252139</v>
      </c>
      <c r="L238" s="451">
        <f>(SUMPRODUCT(L$9:L$229,Nutrients!$CZ$8:$CZ$228)+(IF($A$7=Nutrients!$B$8,Nutrients!$CZ$8,Nutrients!$CZ$9)*L$7)+(((IF($A$8=Nutrients!$B$79,Nutrients!$CZ$79,(IF($A$8=Nutrients!$B$77,Nutrients!$CZ$77,Nutrients!$CZ$78)))))*L$8))/2000/L$236*100</f>
        <v>151.45490050644713</v>
      </c>
      <c r="M238" s="451">
        <f>(SUMPRODUCT(M$9:M$229,Nutrients!$CZ$8:$CZ$228)+(IF($A$7=Nutrients!$B$8,Nutrients!$CZ$8,Nutrients!$CZ$9)*M$7)+(((IF($A$8=Nutrients!$B$79,Nutrients!$CZ$79,(IF($A$8=Nutrients!$B$77,Nutrients!$CZ$77,Nutrients!$CZ$78)))))*M$8))/2000/M$236*100</f>
        <v>156.68351261793944</v>
      </c>
      <c r="N238" s="451">
        <f>(SUMPRODUCT(N$9:N$229,Nutrients!$CZ$8:$CZ$228)+(IF($A$7=Nutrients!$B$8,Nutrients!$CZ$8,Nutrients!$CZ$9)*N$7)+(((IF($A$8=Nutrients!$B$79,Nutrients!$CZ$79,(IF($A$8=Nutrients!$B$77,Nutrients!$CZ$77,Nutrients!$CZ$78)))))*N$8))/2000/N$236*100</f>
        <v>159.96557233579415</v>
      </c>
      <c r="O238" s="472"/>
      <c r="P238" s="451">
        <f>(SUMPRODUCT(P$9:P$229,Nutrients!$CZ$8:$CZ$228)+(IF($A$7=Nutrients!$B$8,Nutrients!$CZ$8,Nutrients!$CZ$9)*P$7)+(((IF($A$8=Nutrients!$B$79,Nutrients!$CZ$79,(IF($A$8=Nutrients!$B$77,Nutrients!$CZ$77,Nutrients!$CZ$78)))))*P$8))/2000/P$236*100</f>
        <v>131.41007653750111</v>
      </c>
      <c r="Q238" s="451">
        <f>(SUMPRODUCT(Q$9:Q$229,Nutrients!$CZ$8:$CZ$228)+(IF($A$7=Nutrients!$B$8,Nutrients!$CZ$8,Nutrients!$CZ$9)*Q$7)+(((IF($A$8=Nutrients!$B$79,Nutrients!$CZ$79,(IF($A$8=Nutrients!$B$77,Nutrients!$CZ$77,Nutrients!$CZ$78)))))*Q$8))/2000/Q$236*100</f>
        <v>139.89278671211153</v>
      </c>
      <c r="R238" s="451">
        <f>(SUMPRODUCT(R$9:R$229,Nutrients!$CZ$8:$CZ$228)+(IF($A$7=Nutrients!$B$8,Nutrients!$CZ$8,Nutrients!$CZ$9)*R$7)+(((IF($A$8=Nutrients!$B$79,Nutrients!$CZ$79,(IF($A$8=Nutrients!$B$77,Nutrients!$CZ$77,Nutrients!$CZ$78)))))*R$8))/2000/R$236*100</f>
        <v>150.00928900752982</v>
      </c>
      <c r="S238" s="451">
        <f>(SUMPRODUCT(S$9:S$229,Nutrients!$CZ$8:$CZ$228)+(IF($A$7=Nutrients!$B$8,Nutrients!$CZ$8,Nutrients!$CZ$9)*S$7)+(((IF($A$8=Nutrients!$B$79,Nutrients!$CZ$79,(IF($A$8=Nutrients!$B$77,Nutrients!$CZ$77,Nutrients!$CZ$78)))))*S$8))/2000/S$236*100</f>
        <v>158.99731460497054</v>
      </c>
      <c r="T238" s="451">
        <f>(SUMPRODUCT(T$9:T$229,Nutrients!$CZ$8:$CZ$228)+(IF($A$7=Nutrients!$B$8,Nutrients!$CZ$8,Nutrients!$CZ$9)*T$7)+(((IF($A$8=Nutrients!$B$79,Nutrients!$CZ$79,(IF($A$8=Nutrients!$B$77,Nutrients!$CZ$77,Nutrients!$CZ$78)))))*T$8))/2000/T$236*100</f>
        <v>164.91924194332404</v>
      </c>
      <c r="U238" s="451">
        <f>(SUMPRODUCT(U$9:U$229,Nutrients!$CZ$8:$CZ$228)+(IF($A$7=Nutrients!$B$8,Nutrients!$CZ$8,Nutrients!$CZ$9)*U$7)+(((IF($A$8=Nutrients!$B$79,Nutrients!$CZ$79,(IF($A$8=Nutrients!$B$77,Nutrients!$CZ$77,Nutrients!$CZ$78)))))*U$8))/2000/U$236*100</f>
        <v>168.63980808937592</v>
      </c>
      <c r="V238" s="9"/>
      <c r="W238" s="451">
        <f>(SUMPRODUCT(W$9:W$229,Nutrients!$CZ$8:$CZ$228)+(IF($A$7=Nutrients!$B$8,Nutrients!$CZ$8,Nutrients!$CZ$9)*W$7)+(((IF($A$8=Nutrients!$B$79,Nutrients!$CZ$79,(IF($A$8=Nutrients!$B$77,Nutrients!$CZ$77,Nutrients!$CZ$78)))))*W$8))/2000/W$236*100</f>
        <v>136.66875190450719</v>
      </c>
      <c r="X238" s="451">
        <f>(SUMPRODUCT(X$9:X$229,Nutrients!$CZ$8:$CZ$228)+(IF($A$7=Nutrients!$B$8,Nutrients!$CZ$8,Nutrients!$CZ$9)*X$7)+(((IF($A$8=Nutrients!$B$79,Nutrients!$CZ$79,(IF($A$8=Nutrients!$B$77,Nutrients!$CZ$77,Nutrients!$CZ$78)))))*X$8))/2000/X$236*100</f>
        <v>145.83639180190204</v>
      </c>
      <c r="Y238" s="451">
        <f>(SUMPRODUCT(Y$9:Y$229,Nutrients!$CZ$8:$CZ$228)+(IF($A$7=Nutrients!$B$8,Nutrients!$CZ$8,Nutrients!$CZ$9)*Y$7)+(((IF($A$8=Nutrients!$B$79,Nutrients!$CZ$79,(IF($A$8=Nutrients!$B$77,Nutrients!$CZ$77,Nutrients!$CZ$78)))))*Y$8))/2000/Y$236*100</f>
        <v>156.73466530581547</v>
      </c>
      <c r="Z238" s="451">
        <f>(SUMPRODUCT(Z$9:Z$229,Nutrients!$CZ$8:$CZ$228)+(IF($A$7=Nutrients!$B$8,Nutrients!$CZ$8,Nutrients!$CZ$9)*Z$7)+(((IF($A$8=Nutrients!$B$79,Nutrients!$CZ$79,(IF($A$8=Nutrients!$B$77,Nutrients!$CZ$77,Nutrients!$CZ$78)))))*Z$8))/2000/Z$236*100</f>
        <v>166.53810778568766</v>
      </c>
      <c r="AA238" s="451">
        <f>(SUMPRODUCT(AA$9:AA$229,Nutrients!$CZ$8:$CZ$228)+(IF($A$7=Nutrients!$B$8,Nutrients!$CZ$8,Nutrients!$CZ$9)*AA$7)+(((IF($A$8=Nutrients!$B$79,Nutrients!$CZ$79,(IF($A$8=Nutrients!$B$77,Nutrients!$CZ$77,Nutrients!$CZ$78)))))*AA$8))/2000/AA$236*100</f>
        <v>173.14474228522045</v>
      </c>
      <c r="AB238" s="451">
        <f>(SUMPRODUCT(AB$9:AB$229,Nutrients!$CZ$8:$CZ$228)+(IF($A$7=Nutrients!$B$8,Nutrients!$CZ$8,Nutrients!$CZ$9)*AB$7)+(((IF($A$8=Nutrients!$B$79,Nutrients!$CZ$79,(IF($A$8=Nutrients!$B$77,Nutrients!$CZ$77,Nutrients!$CZ$78)))))*AB$8))/2000/AB$236*100</f>
        <v>177.26956638713284</v>
      </c>
      <c r="AC238" s="9"/>
      <c r="AD238" s="451">
        <f>(SUMPRODUCT(AD$9:AD$229,Nutrients!$CZ$8:$CZ$228)+(IF($A$7=Nutrients!$B$8,Nutrients!$CZ$8,Nutrients!$CZ$9)*AD$7)+(((IF($A$8=Nutrients!$B$79,Nutrients!$CZ$79,(IF($A$8=Nutrients!$B$77,Nutrients!$CZ$77,Nutrients!$CZ$78)))))*AD$8))/2000/AD$236*100</f>
        <v>141.92407400009793</v>
      </c>
      <c r="AE238" s="451">
        <f>(SUMPRODUCT(AE$9:AE$229,Nutrients!$CZ$8:$CZ$228)+(IF($A$7=Nutrients!$B$8,Nutrients!$CZ$8,Nutrients!$CZ$9)*AE$7)+(((IF($A$8=Nutrients!$B$79,Nutrients!$CZ$79,(IF($A$8=Nutrients!$B$77,Nutrients!$CZ$77,Nutrients!$CZ$78)))))*AE$8))/2000/AE$236*100</f>
        <v>151.78177157718335</v>
      </c>
      <c r="AF238" s="451">
        <f>(SUMPRODUCT(AF$9:AF$229,Nutrients!$CZ$8:$CZ$228)+(IF($A$7=Nutrients!$B$8,Nutrients!$CZ$8,Nutrients!$CZ$9)*AF$7)+(((IF($A$8=Nutrients!$B$79,Nutrients!$CZ$79,(IF($A$8=Nutrients!$B$77,Nutrients!$CZ$77,Nutrients!$CZ$78)))))*AF$8))/2000/AF$236*100</f>
        <v>163.4550192152594</v>
      </c>
      <c r="AG238" s="451">
        <f>(SUMPRODUCT(AG$9:AG$229,Nutrients!$CZ$8:$CZ$228)+(IF($A$7=Nutrients!$B$8,Nutrients!$CZ$8,Nutrients!$CZ$9)*AG$7)+(((IF($A$8=Nutrients!$B$79,Nutrients!$CZ$79,(IF($A$8=Nutrients!$B$77,Nutrients!$CZ$77,Nutrients!$CZ$78)))))*AG$8))/2000/AG$236*100</f>
        <v>174.07604654836027</v>
      </c>
      <c r="AH238" s="451">
        <f>(SUMPRODUCT(AH$9:AH$229,Nutrients!$CZ$8:$CZ$228)+(IF($A$7=Nutrients!$B$8,Nutrients!$CZ$8,Nutrients!$CZ$9)*AH$7)+(((IF($A$8=Nutrients!$B$79,Nutrients!$CZ$79,(IF($A$8=Nutrients!$B$77,Nutrients!$CZ$77,Nutrients!$CZ$78)))))*AH$8))/2000/AH$236*100</f>
        <v>181.26588865414911</v>
      </c>
      <c r="AI238" s="451">
        <f>(SUMPRODUCT(AI$9:AI$229,Nutrients!$CZ$8:$CZ$228)+(IF($A$7=Nutrients!$B$8,Nutrients!$CZ$8,Nutrients!$CZ$9)*AI$7)+(((IF($A$8=Nutrients!$B$79,Nutrients!$CZ$79,(IF($A$8=Nutrients!$B$77,Nutrients!$CZ$77,Nutrients!$CZ$78)))))*AI$8))/2000/AI$236*100</f>
        <v>185.79342749252737</v>
      </c>
      <c r="AJ238" s="9"/>
      <c r="AK238" s="451">
        <f>(SUMPRODUCT(AK$9:AK$229,Nutrients!$CZ$8:$CZ$228)+(IF($A$7=Nutrients!$B$8,Nutrients!$CZ$8,Nutrients!$CZ$9)*AK$7)+(((IF($A$8=Nutrients!$B$79,Nutrients!$CZ$79,(IF($A$8=Nutrients!$B$77,Nutrients!$CZ$77,Nutrients!$CZ$78)))))*AK$8))/2000/AK$236*100</f>
        <v>147.1769982199956</v>
      </c>
      <c r="AL238" s="451">
        <f>(SUMPRODUCT(AL$9:AL$229,Nutrients!$CZ$8:$CZ$228)+(IF($A$7=Nutrients!$B$8,Nutrients!$CZ$8,Nutrients!$CZ$9)*AL$7)+(((IF($A$8=Nutrients!$B$79,Nutrients!$CZ$79,(IF($A$8=Nutrients!$B$77,Nutrients!$CZ$77,Nutrients!$CZ$78)))))*AL$8))/2000/AL$236*100</f>
        <v>157.72158533081253</v>
      </c>
      <c r="AM238" s="451">
        <f>(SUMPRODUCT(AM$9:AM$229,Nutrients!$CZ$8:$CZ$228)+(IF($A$7=Nutrients!$B$8,Nutrients!$CZ$8,Nutrients!$CZ$9)*AM$7)+(((IF($A$8=Nutrients!$B$79,Nutrients!$CZ$79,(IF($A$8=Nutrients!$B$77,Nutrients!$CZ$77,Nutrients!$CZ$78)))))*AM$8))/2000/AM$236*100</f>
        <v>170.17743042139909</v>
      </c>
      <c r="AN238" s="451">
        <f>(SUMPRODUCT(AN$9:AN$229,Nutrients!$CZ$8:$CZ$228)+(IF($A$7=Nutrients!$B$8,Nutrients!$CZ$8,Nutrients!$CZ$9)*AN$7)+(((IF($A$8=Nutrients!$B$79,Nutrients!$CZ$79,(IF($A$8=Nutrients!$B$77,Nutrients!$CZ$77,Nutrients!$CZ$78)))))*AN$8))/2000/AN$236*100</f>
        <v>181.52961697098581</v>
      </c>
      <c r="AO238" s="451">
        <f>(SUMPRODUCT(AO$9:AO$229,Nutrients!$CZ$8:$CZ$228)+(IF($A$7=Nutrients!$B$8,Nutrients!$CZ$8,Nutrients!$CZ$9)*AO$7)+(((IF($A$8=Nutrients!$B$79,Nutrients!$CZ$79,(IF($A$8=Nutrients!$B$77,Nutrients!$CZ$77,Nutrients!$CZ$78)))))*AO$8))/2000/AO$236*100</f>
        <v>189.35848273123401</v>
      </c>
      <c r="AP238" s="451">
        <f>(SUMPRODUCT(AP$9:AP$229,Nutrients!$CZ$8:$CZ$228)+(IF($A$7=Nutrients!$B$8,Nutrients!$CZ$8,Nutrients!$CZ$9)*AP$7)+(((IF($A$8=Nutrients!$B$79,Nutrients!$CZ$79,(IF($A$8=Nutrients!$B$77,Nutrients!$CZ$77,Nutrients!$CZ$78)))))*AP$8))/2000/AP$236*100</f>
        <v>194.31707646114458</v>
      </c>
      <c r="AQ238" s="9"/>
      <c r="AR238" s="451">
        <f>(SUMPRODUCT(AR$9:AR$229,Nutrients!$CZ$8:$CZ$228)+(IF($A$7=Nutrients!$B$8,Nutrients!$CZ$8,Nutrients!$CZ$9)*AR$7)+(((IF($A$8=Nutrients!$B$79,Nutrients!$CZ$79,(IF($A$8=Nutrients!$B$77,Nutrients!$CZ$77,Nutrients!$CZ$78)))))*AR$8))/2000/AR$236*100</f>
        <v>152.42547688960877</v>
      </c>
      <c r="AS238" s="451">
        <f>(SUMPRODUCT(AS$9:AS$229,Nutrients!$CZ$8:$CZ$228)+(IF($A$7=Nutrients!$B$8,Nutrients!$CZ$8,Nutrients!$CZ$9)*AS$7)+(((IF($A$8=Nutrients!$B$79,Nutrients!$CZ$79,(IF($A$8=Nutrients!$B$77,Nutrients!$CZ$77,Nutrients!$CZ$78)))))*AS$8))/2000/AS$236*100</f>
        <v>163.66064526557969</v>
      </c>
      <c r="AT238" s="451">
        <f>(SUMPRODUCT(AT$9:AT$229,Nutrients!$CZ$8:$CZ$228)+(IF($A$7=Nutrients!$B$8,Nutrients!$CZ$8,Nutrients!$CZ$9)*AT$7)+(((IF($A$8=Nutrients!$B$79,Nutrients!$CZ$79,(IF($A$8=Nutrients!$B$77,Nutrients!$CZ$77,Nutrients!$CZ$78)))))*AT$8))/2000/AT$236*100</f>
        <v>176.88529251195064</v>
      </c>
      <c r="AU238" s="451">
        <f>(SUMPRODUCT(AU$9:AU$229,Nutrients!$CZ$8:$CZ$228)+(IF($A$7=Nutrients!$B$8,Nutrients!$CZ$8,Nutrients!$CZ$9)*AU$7)+(((IF($A$8=Nutrients!$B$79,Nutrients!$CZ$79,(IF($A$8=Nutrients!$B$77,Nutrients!$CZ$77,Nutrients!$CZ$78)))))*AU$8))/2000/AU$236*100</f>
        <v>188.94309052692159</v>
      </c>
      <c r="AV238" s="451">
        <f>(SUMPRODUCT(AV$9:AV$229,Nutrients!$CZ$8:$CZ$228)+(IF($A$7=Nutrients!$B$8,Nutrients!$CZ$8,Nutrients!$CZ$9)*AV$7)+(((IF($A$8=Nutrients!$B$79,Nutrients!$CZ$79,(IF($A$8=Nutrients!$B$77,Nutrients!$CZ$77,Nutrients!$CZ$78)))))*AV$8))/2000/AV$236*100</f>
        <v>197.45105675908766</v>
      </c>
      <c r="AW238" s="451">
        <f>(SUMPRODUCT(AW$9:AW$229,Nutrients!$CZ$8:$CZ$228)+(IF($A$7=Nutrients!$B$8,Nutrients!$CZ$8,Nutrients!$CZ$9)*AW$7)+(((IF($A$8=Nutrients!$B$79,Nutrients!$CZ$79,(IF($A$8=Nutrients!$B$77,Nutrients!$CZ$77,Nutrients!$CZ$78)))))*AW$8))/2000/AW$236*100</f>
        <v>202.84071497264128</v>
      </c>
      <c r="AX238" s="13"/>
    </row>
    <row r="239" spans="1:50" x14ac:dyDescent="0.25">
      <c r="A239" s="38" t="s">
        <v>384</v>
      </c>
      <c r="B239" s="49">
        <f>(SUMPRODUCT(B$9:B$229,Nutrients!$DB$8:$DB$228)+(IF($A$7=Nutrients!$B$8,Nutrients!$DB$8,Nutrients!$DB$9)*B$7)+(((IF($A$8=Nutrients!$B$79,Nutrients!$DB$79,(IF($A$8=Nutrients!$B$77,Nutrients!$DB$77,Nutrients!$DB$78)))))*B$8))/2000/B$236*100</f>
        <v>33.81111138845354</v>
      </c>
      <c r="C239" s="49">
        <f>(SUMPRODUCT(C$9:C$229,Nutrients!$DB$8:$DB$228)+(IF($A$7=Nutrients!$B$8,Nutrients!$DB$8,Nutrients!$DB$9)*C$7)+(((IF($A$8=Nutrients!$B$79,Nutrients!$DB$79,(IF($A$8=Nutrients!$B$77,Nutrients!$DB$77,Nutrients!$DB$78)))))*C$8))/2000/C$236*100</f>
        <v>32.524236458699015</v>
      </c>
      <c r="D239" s="49">
        <f>(SUMPRODUCT(D$9:D$229,Nutrients!$DB$8:$DB$228)+(IF($A$7=Nutrients!$B$8,Nutrients!$DB$8,Nutrients!$DB$9)*D$7)+(((IF($A$8=Nutrients!$B$79,Nutrients!$DB$79,(IF($A$8=Nutrients!$B$77,Nutrients!$DB$77,Nutrients!$DB$78)))))*D$8))/2000/D$236*100</f>
        <v>30.974376755587524</v>
      </c>
      <c r="E239" s="49">
        <f>(SUMPRODUCT(E$9:E$229,Nutrients!$DB$8:$DB$228)+(IF($A$7=Nutrients!$B$8,Nutrients!$DB$8,Nutrients!$DB$9)*E$7)+(((IF($A$8=Nutrients!$B$79,Nutrients!$DB$79,(IF($A$8=Nutrients!$B$77,Nutrients!$DB$77,Nutrients!$DB$78)))))*E$8))/2000/E$236*100</f>
        <v>30.712595168445802</v>
      </c>
      <c r="F239" s="49">
        <f>(SUMPRODUCT(F$9:F$229,Nutrients!$DB$8:$DB$228)+(IF($A$7=Nutrients!$B$8,Nutrients!$DB$8,Nutrients!$DB$9)*F$7)+(((IF($A$8=Nutrients!$B$79,Nutrients!$DB$79,(IF($A$8=Nutrients!$B$77,Nutrients!$DB$77,Nutrients!$DB$78)))))*F$8))/2000/F$236*100</f>
        <v>30.00631713197205</v>
      </c>
      <c r="G239" s="49">
        <f>(SUMPRODUCT(G$9:G$229,Nutrients!$DB$8:$DB$228)+(IF($A$7=Nutrients!$B$8,Nutrients!$DB$8,Nutrients!$DB$9)*G$7)+(((IF($A$8=Nutrients!$B$79,Nutrients!$DB$79,(IF($A$8=Nutrients!$B$77,Nutrients!$DB$77,Nutrients!$DB$78)))))*G$8))/2000/G$236*100</f>
        <v>30.329377095070086</v>
      </c>
      <c r="H239" s="224"/>
      <c r="I239" s="451">
        <f>(SUMPRODUCT(I$9:I$229,Nutrients!$DB$8:$DB$228)+(IF($A$7=Nutrients!$B$8,Nutrients!$DB$8,Nutrients!$DB$9)*I$7)+(((IF($A$8=Nutrients!$B$79,Nutrients!$DB$79,(IF($A$8=Nutrients!$B$77,Nutrients!$DB$77,Nutrients!$DB$78)))))*I$8))/2000/I$236*100</f>
        <v>33.639114383995413</v>
      </c>
      <c r="J239" s="451">
        <f>(SUMPRODUCT(J$9:J$229,Nutrients!$DB$8:$DB$228)+(IF($A$7=Nutrients!$B$8,Nutrients!$DB$8,Nutrients!$DB$9)*J$7)+(((IF($A$8=Nutrients!$B$79,Nutrients!$DB$79,(IF($A$8=Nutrients!$B$77,Nutrients!$DB$77,Nutrients!$DB$78)))))*J$8))/2000/J$236*100</f>
        <v>32.329958648925178</v>
      </c>
      <c r="K239" s="451">
        <f>(SUMPRODUCT(K$9:K$229,Nutrients!$DB$8:$DB$228)+(IF($A$7=Nutrients!$B$8,Nutrients!$DB$8,Nutrients!$DB$9)*K$7)+(((IF($A$8=Nutrients!$B$79,Nutrients!$DB$79,(IF($A$8=Nutrients!$B$77,Nutrients!$DB$77,Nutrients!$DB$78)))))*K$8))/2000/K$236*100</f>
        <v>30.762360048222149</v>
      </c>
      <c r="L239" s="451">
        <f>(SUMPRODUCT(L$9:L$229,Nutrients!$DB$8:$DB$228)+(IF($A$7=Nutrients!$B$8,Nutrients!$DB$8,Nutrients!$DB$9)*L$7)+(((IF($A$8=Nutrients!$B$79,Nutrients!$DB$79,(IF($A$8=Nutrients!$B$77,Nutrients!$DB$77,Nutrients!$DB$78)))))*L$8))/2000/L$236*100</f>
        <v>30.353898832965641</v>
      </c>
      <c r="M239" s="451">
        <f>(SUMPRODUCT(M$9:M$229,Nutrients!$DB$8:$DB$228)+(IF($A$7=Nutrients!$B$8,Nutrients!$DB$8,Nutrients!$DB$9)*M$7)+(((IF($A$8=Nutrients!$B$79,Nutrients!$DB$79,(IF($A$8=Nutrients!$B$77,Nutrients!$DB$77,Nutrients!$DB$78)))))*M$8))/2000/M$236*100</f>
        <v>29.614748556131985</v>
      </c>
      <c r="N239" s="451">
        <f>(SUMPRODUCT(N$9:N$229,Nutrients!$DB$8:$DB$228)+(IF($A$7=Nutrients!$B$8,Nutrients!$DB$8,Nutrients!$DB$9)*N$7)+(((IF($A$8=Nutrients!$B$79,Nutrients!$DB$79,(IF($A$8=Nutrients!$B$77,Nutrients!$DB$77,Nutrients!$DB$78)))))*N$8))/2000/N$236*100</f>
        <v>30.054235697387703</v>
      </c>
      <c r="O239" s="472"/>
      <c r="P239" s="451">
        <f>(SUMPRODUCT(P$9:P$229,Nutrients!$DB$8:$DB$228)+(IF($A$7=Nutrients!$B$8,Nutrients!$DB$8,Nutrients!$DB$9)*P$7)+(((IF($A$8=Nutrients!$B$79,Nutrients!$DB$79,(IF($A$8=Nutrients!$B$77,Nutrients!$DB$77,Nutrients!$DB$78)))))*P$8))/2000/P$236*100</f>
        <v>33.473188643175746</v>
      </c>
      <c r="Q239" s="451">
        <f>(SUMPRODUCT(Q$9:Q$229,Nutrients!$DB$8:$DB$228)+(IF($A$7=Nutrients!$B$8,Nutrients!$DB$8,Nutrients!$DB$9)*Q$7)+(((IF($A$8=Nutrients!$B$79,Nutrients!$DB$79,(IF($A$8=Nutrients!$B$77,Nutrients!$DB$77,Nutrients!$DB$78)))))*Q$8))/2000/Q$236*100</f>
        <v>32.141860224339851</v>
      </c>
      <c r="R239" s="451">
        <f>(SUMPRODUCT(R$9:R$229,Nutrients!$DB$8:$DB$228)+(IF($A$7=Nutrients!$B$8,Nutrients!$DB$8,Nutrients!$DB$9)*R$7)+(((IF($A$8=Nutrients!$B$79,Nutrients!$DB$79,(IF($A$8=Nutrients!$B$77,Nutrients!$DB$77,Nutrients!$DB$78)))))*R$8))/2000/R$236*100</f>
        <v>30.549038986327115</v>
      </c>
      <c r="S239" s="451">
        <f>(SUMPRODUCT(S$9:S$229,Nutrients!$DB$8:$DB$228)+(IF($A$7=Nutrients!$B$8,Nutrients!$DB$8,Nutrients!$DB$9)*S$7)+(((IF($A$8=Nutrients!$B$79,Nutrients!$DB$79,(IF($A$8=Nutrients!$B$77,Nutrients!$DB$77,Nutrients!$DB$78)))))*S$8))/2000/S$236*100</f>
        <v>30.114690371582114</v>
      </c>
      <c r="T239" s="451">
        <f>(SUMPRODUCT(T$9:T$229,Nutrients!$DB$8:$DB$228)+(IF($A$7=Nutrients!$B$8,Nutrients!$DB$8,Nutrients!$DB$9)*T$7)+(((IF($A$8=Nutrients!$B$79,Nutrients!$DB$79,(IF($A$8=Nutrients!$B$77,Nutrients!$DB$77,Nutrients!$DB$78)))))*T$8))/2000/T$236*100</f>
        <v>29.064764255587484</v>
      </c>
      <c r="U239" s="451">
        <f>(SUMPRODUCT(U$9:U$229,Nutrients!$DB$8:$DB$228)+(IF($A$7=Nutrients!$B$8,Nutrients!$DB$8,Nutrients!$DB$9)*U$7)+(((IF($A$8=Nutrients!$B$79,Nutrients!$DB$79,(IF($A$8=Nutrients!$B$77,Nutrients!$DB$77,Nutrients!$DB$78)))))*U$8))/2000/U$236*100</f>
        <v>29.654282056744773</v>
      </c>
      <c r="V239" s="9"/>
      <c r="W239" s="451">
        <f>(SUMPRODUCT(W$9:W$229,Nutrients!$DB$8:$DB$228)+(IF($A$7=Nutrients!$B$8,Nutrients!$DB$8,Nutrients!$DB$9)*W$7)+(((IF($A$8=Nutrients!$B$79,Nutrients!$DB$79,(IF($A$8=Nutrients!$B$77,Nutrients!$DB$77,Nutrients!$DB$78)))))*W$8))/2000/W$236*100</f>
        <v>33.307605469415201</v>
      </c>
      <c r="X239" s="451">
        <f>(SUMPRODUCT(X$9:X$229,Nutrients!$DB$8:$DB$228)+(IF($A$7=Nutrients!$B$8,Nutrients!$DB$8,Nutrients!$DB$9)*X$7)+(((IF($A$8=Nutrients!$B$79,Nutrients!$DB$79,(IF($A$8=Nutrients!$B$77,Nutrients!$DB$77,Nutrients!$DB$78)))))*X$8))/2000/X$236*100</f>
        <v>31.95388247710143</v>
      </c>
      <c r="Y239" s="451">
        <f>(SUMPRODUCT(Y$9:Y$229,Nutrients!$DB$8:$DB$228)+(IF($A$7=Nutrients!$B$8,Nutrients!$DB$8,Nutrients!$DB$9)*Y$7)+(((IF($A$8=Nutrients!$B$79,Nutrients!$DB$79,(IF($A$8=Nutrients!$B$77,Nutrients!$DB$77,Nutrients!$DB$78)))))*Y$8))/2000/Y$236*100</f>
        <v>30.336499448604915</v>
      </c>
      <c r="Z239" s="451">
        <f>(SUMPRODUCT(Z$9:Z$229,Nutrients!$DB$8:$DB$228)+(IF($A$7=Nutrients!$B$8,Nutrients!$DB$8,Nutrients!$DB$9)*Z$7)+(((IF($A$8=Nutrients!$B$79,Nutrients!$DB$79,(IF($A$8=Nutrients!$B$77,Nutrients!$DB$77,Nutrients!$DB$78)))))*Z$8))/2000/Z$236*100</f>
        <v>29.875196459278243</v>
      </c>
      <c r="AA239" s="451">
        <f>(SUMPRODUCT(AA$9:AA$229,Nutrients!$DB$8:$DB$228)+(IF($A$7=Nutrients!$B$8,Nutrients!$DB$8,Nutrients!$DB$9)*AA$7)+(((IF($A$8=Nutrients!$B$79,Nutrients!$DB$79,(IF($A$8=Nutrients!$B$77,Nutrients!$DB$77,Nutrients!$DB$78)))))*AA$8))/2000/AA$236*100</f>
        <v>30.110486235968249</v>
      </c>
      <c r="AB239" s="451">
        <f>(SUMPRODUCT(AB$9:AB$229,Nutrients!$DB$8:$DB$228)+(IF($A$7=Nutrients!$B$8,Nutrients!$DB$8,Nutrients!$DB$9)*AB$7)+(((IF($A$8=Nutrients!$B$79,Nutrients!$DB$79,(IF($A$8=Nutrients!$B$77,Nutrients!$DB$77,Nutrients!$DB$78)))))*AB$8))/2000/AB$236*100</f>
        <v>30.749698927487231</v>
      </c>
      <c r="AC239" s="9"/>
      <c r="AD239" s="451">
        <f>(SUMPRODUCT(AD$9:AD$229,Nutrients!$DB$8:$DB$228)+(IF($A$7=Nutrients!$B$8,Nutrients!$DB$8,Nutrients!$DB$9)*AD$7)+(((IF($A$8=Nutrients!$B$79,Nutrients!$DB$79,(IF($A$8=Nutrients!$B$77,Nutrients!$DB$77,Nutrients!$DB$78)))))*AD$8))/2000/AD$236*100</f>
        <v>33.141431769467623</v>
      </c>
      <c r="AE239" s="451">
        <f>(SUMPRODUCT(AE$9:AE$229,Nutrients!$DB$8:$DB$228)+(IF($A$7=Nutrients!$B$8,Nutrients!$DB$8,Nutrients!$DB$9)*AE$7)+(((IF($A$8=Nutrients!$B$79,Nutrients!$DB$79,(IF($A$8=Nutrients!$B$77,Nutrients!$DB$77,Nutrients!$DB$78)))))*AE$8))/2000/AE$236*100</f>
        <v>31.766217259964591</v>
      </c>
      <c r="AF239" s="451">
        <f>(SUMPRODUCT(AF$9:AF$229,Nutrients!$DB$8:$DB$228)+(IF($A$7=Nutrients!$B$8,Nutrients!$DB$8,Nutrients!$DB$9)*AF$7)+(((IF($A$8=Nutrients!$B$79,Nutrients!$DB$79,(IF($A$8=Nutrients!$B$77,Nutrients!$DB$77,Nutrients!$DB$78)))))*AF$8))/2000/AF$236*100</f>
        <v>30.123075445605334</v>
      </c>
      <c r="AG239" s="451">
        <f>(SUMPRODUCT(AG$9:AG$229,Nutrients!$DB$8:$DB$228)+(IF($A$7=Nutrients!$B$8,Nutrients!$DB$8,Nutrients!$DB$9)*AG$7)+(((IF($A$8=Nutrients!$B$79,Nutrients!$DB$79,(IF($A$8=Nutrients!$B$77,Nutrients!$DB$77,Nutrients!$DB$78)))))*AG$8))/2000/AG$236*100</f>
        <v>30.042615848904852</v>
      </c>
      <c r="AH239" s="451">
        <f>(SUMPRODUCT(AH$9:AH$229,Nutrients!$DB$8:$DB$228)+(IF($A$7=Nutrients!$B$8,Nutrients!$DB$8,Nutrients!$DB$9)*AH$7)+(((IF($A$8=Nutrients!$B$79,Nutrients!$DB$79,(IF($A$8=Nutrients!$B$77,Nutrients!$DB$77,Nutrients!$DB$78)))))*AH$8))/2000/AH$236*100</f>
        <v>31.137831012083133</v>
      </c>
      <c r="AI239" s="451">
        <f>(SUMPRODUCT(AI$9:AI$229,Nutrients!$DB$8:$DB$228)+(IF($A$7=Nutrients!$B$8,Nutrients!$DB$8,Nutrients!$DB$9)*AI$7)+(((IF($A$8=Nutrients!$B$79,Nutrients!$DB$79,(IF($A$8=Nutrients!$B$77,Nutrients!$DB$77,Nutrients!$DB$78)))))*AI$8))/2000/AI$236*100</f>
        <v>31.826466826083461</v>
      </c>
      <c r="AJ239" s="9"/>
      <c r="AK239" s="451">
        <f>(SUMPRODUCT(AK$9:AK$229,Nutrients!$DB$8:$DB$228)+(IF($A$7=Nutrients!$B$8,Nutrients!$DB$8,Nutrients!$DB$9)*AK$7)+(((IF($A$8=Nutrients!$B$79,Nutrients!$DB$79,(IF($A$8=Nutrients!$B$77,Nutrients!$DB$77,Nutrients!$DB$78)))))*AK$8))/2000/AK$236*100</f>
        <v>32.974835792819277</v>
      </c>
      <c r="AL239" s="451">
        <f>(SUMPRODUCT(AL$9:AL$229,Nutrients!$DB$8:$DB$228)+(IF($A$7=Nutrients!$B$8,Nutrients!$DB$8,Nutrients!$DB$9)*AL$7)+(((IF($A$8=Nutrients!$B$79,Nutrients!$DB$79,(IF($A$8=Nutrients!$B$77,Nutrients!$DB$77,Nutrients!$DB$78)))))*AL$8))/2000/AL$236*100</f>
        <v>31.577571841365927</v>
      </c>
      <c r="AM239" s="451">
        <f>(SUMPRODUCT(AM$9:AM$229,Nutrients!$DB$8:$DB$228)+(IF($A$7=Nutrients!$B$8,Nutrients!$DB$8,Nutrients!$DB$9)*AM$7)+(((IF($A$8=Nutrients!$B$79,Nutrients!$DB$79,(IF($A$8=Nutrients!$B$77,Nutrients!$DB$77,Nutrients!$DB$78)))))*AM$8))/2000/AM$236*100</f>
        <v>29.204680528946447</v>
      </c>
      <c r="AN239" s="451">
        <f>(SUMPRODUCT(AN$9:AN$229,Nutrients!$DB$8:$DB$228)+(IF($A$7=Nutrients!$B$8,Nutrients!$DB$8,Nutrients!$DB$9)*AN$7)+(((IF($A$8=Nutrients!$B$79,Nutrients!$DB$79,(IF($A$8=Nutrients!$B$77,Nutrients!$DB$77,Nutrients!$DB$78)))))*AN$8))/2000/AN$236*100</f>
        <v>30.986209561941617</v>
      </c>
      <c r="AO239" s="451">
        <f>(SUMPRODUCT(AO$9:AO$229,Nutrients!$DB$8:$DB$228)+(IF($A$7=Nutrients!$B$8,Nutrients!$DB$8,Nutrients!$DB$9)*AO$7)+(((IF($A$8=Nutrients!$B$79,Nutrients!$DB$79,(IF($A$8=Nutrients!$B$77,Nutrients!$DB$77,Nutrients!$DB$78)))))*AO$8))/2000/AO$236*100</f>
        <v>32.160147601109905</v>
      </c>
      <c r="AP239" s="451">
        <f>(SUMPRODUCT(AP$9:AP$229,Nutrients!$DB$8:$DB$228)+(IF($A$7=Nutrients!$B$8,Nutrients!$DB$8,Nutrients!$DB$9)*AP$7)+(((IF($A$8=Nutrients!$B$79,Nutrients!$DB$79,(IF($A$8=Nutrients!$B$77,Nutrients!$DB$77,Nutrients!$DB$78)))))*AP$8))/2000/AP$236*100</f>
        <v>32.903197366438519</v>
      </c>
      <c r="AQ239" s="9"/>
      <c r="AR239" s="451">
        <f>(SUMPRODUCT(AR$9:AR$229,Nutrients!$DB$8:$DB$228)+(IF($A$7=Nutrients!$B$8,Nutrients!$DB$8,Nutrients!$DB$9)*AR$7)+(((IF($A$8=Nutrients!$B$79,Nutrients!$DB$79,(IF($A$8=Nutrients!$B$77,Nutrients!$DB$77,Nutrients!$DB$78)))))*AR$8))/2000/AR$236*100</f>
        <v>32.80745693475945</v>
      </c>
      <c r="AS239" s="451">
        <f>(SUMPRODUCT(AS$9:AS$229,Nutrients!$DB$8:$DB$228)+(IF($A$7=Nutrients!$B$8,Nutrients!$DB$8,Nutrients!$DB$9)*AS$7)+(((IF($A$8=Nutrients!$B$79,Nutrients!$DB$79,(IF($A$8=Nutrients!$B$77,Nutrients!$DB$77,Nutrients!$DB$78)))))*AS$8))/2000/AS$236*100</f>
        <v>31.388793671873238</v>
      </c>
      <c r="AT239" s="451">
        <f>(SUMPRODUCT(AT$9:AT$229,Nutrients!$DB$8:$DB$228)+(IF($A$7=Nutrients!$B$8,Nutrients!$DB$8,Nutrients!$DB$9)*AT$7)+(((IF($A$8=Nutrients!$B$79,Nutrients!$DB$79,(IF($A$8=Nutrients!$B$77,Nutrients!$DB$77,Nutrients!$DB$78)))))*AT$8))/2000/AT$236*100</f>
        <v>30.057103420630703</v>
      </c>
      <c r="AU239" s="451">
        <f>(SUMPRODUCT(AU$9:AU$229,Nutrients!$DB$8:$DB$228)+(IF($A$7=Nutrients!$B$8,Nutrients!$DB$8,Nutrients!$DB$9)*AU$7)+(((IF($A$8=Nutrients!$B$79,Nutrients!$DB$79,(IF($A$8=Nutrients!$B$77,Nutrients!$DB$77,Nutrients!$DB$78)))))*AU$8))/2000/AU$236*100</f>
        <v>31.922742036305614</v>
      </c>
      <c r="AV239" s="451">
        <f>(SUMPRODUCT(AV$9:AV$229,Nutrients!$DB$8:$DB$228)+(IF($A$7=Nutrients!$B$8,Nutrients!$DB$8,Nutrients!$DB$9)*AV$7)+(((IF($A$8=Nutrients!$B$79,Nutrients!$DB$79,(IF($A$8=Nutrients!$B$77,Nutrients!$DB$77,Nutrients!$DB$78)))))*AV$8))/2000/AV$236*100</f>
        <v>33.182460659376822</v>
      </c>
      <c r="AW239" s="451">
        <f>(SUMPRODUCT(AW$9:AW$229,Nutrients!$DB$8:$DB$228)+(IF($A$7=Nutrients!$B$8,Nutrients!$DB$8,Nutrients!$DB$9)*AW$7)+(((IF($A$8=Nutrients!$B$79,Nutrients!$DB$79,(IF($A$8=Nutrients!$B$77,Nutrients!$DB$77,Nutrients!$DB$78)))))*AW$8))/2000/AW$236*100</f>
        <v>33.979926065247597</v>
      </c>
      <c r="AX239" s="13"/>
    </row>
    <row r="240" spans="1:50" x14ac:dyDescent="0.25">
      <c r="A240" s="38" t="s">
        <v>385</v>
      </c>
      <c r="B240" s="224">
        <f>(SUMPRODUCT(B$9:B$229,Nutrients!$DC$8:$DC$228)+(IF($A$7=Nutrients!$B$8,Nutrients!$DC$8,Nutrients!$DC$9)*B$7)+(((IF($A$8=Nutrients!$B$79,Nutrients!$DC$79,(IF($A$8=Nutrients!$B$77,Nutrients!$DC$77,Nutrients!$DC$78)))))*B$8))/2000/B$236*100</f>
        <v>55.997569552010205</v>
      </c>
      <c r="C240" s="224">
        <f>(SUMPRODUCT(C$9:C$229,Nutrients!$DC$8:$DC$228)+(IF($A$7=Nutrients!$B$8,Nutrients!$DC$8,Nutrients!$DC$9)*C$7)+(((IF($A$8=Nutrients!$B$79,Nutrients!$DC$79,(IF($A$8=Nutrients!$B$77,Nutrients!$DC$77,Nutrients!$DC$78)))))*C$8))/2000/C$236*100</f>
        <v>55.998500355280811</v>
      </c>
      <c r="D240" s="224">
        <f>(SUMPRODUCT(D$9:D$229,Nutrients!$DC$8:$DC$228)+(IF($A$7=Nutrients!$B$8,Nutrients!$DC$8,Nutrients!$DC$9)*D$7)+(((IF($A$8=Nutrients!$B$79,Nutrients!$DC$79,(IF($A$8=Nutrients!$B$77,Nutrients!$DC$77,Nutrients!$DC$78)))))*D$8))/2000/D$236*100</f>
        <v>55.998232689384523</v>
      </c>
      <c r="E240" s="224">
        <f>(SUMPRODUCT(E$9:E$229,Nutrients!$DC$8:$DC$228)+(IF($A$7=Nutrients!$B$8,Nutrients!$DC$8,Nutrients!$DC$9)*E$7)+(((IF($A$8=Nutrients!$B$79,Nutrients!$DC$79,(IF($A$8=Nutrients!$B$77,Nutrients!$DC$77,Nutrients!$DC$78)))))*E$8))/2000/E$236*100</f>
        <v>57.061456017842524</v>
      </c>
      <c r="F240" s="224">
        <f>(SUMPRODUCT(F$9:F$229,Nutrients!$DC$8:$DC$228)+(IF($A$7=Nutrients!$B$8,Nutrients!$DC$8,Nutrients!$DC$9)*F$7)+(((IF($A$8=Nutrients!$B$79,Nutrients!$DC$79,(IF($A$8=Nutrients!$B$77,Nutrients!$DC$77,Nutrients!$DC$78)))))*F$8))/2000/F$236*100</f>
        <v>57.164463746746605</v>
      </c>
      <c r="G240" s="224">
        <f>(SUMPRODUCT(G$9:G$229,Nutrients!$DC$8:$DC$228)+(IF($A$7=Nutrients!$B$8,Nutrients!$DC$8,Nutrients!$DC$9)*G$7)+(((IF($A$8=Nutrients!$B$79,Nutrients!$DC$79,(IF($A$8=Nutrients!$B$77,Nutrients!$DC$77,Nutrients!$DC$78)))))*G$8))/2000/G$236*100</f>
        <v>57.994909290351856</v>
      </c>
      <c r="H240" s="224"/>
      <c r="I240" s="225">
        <f>(SUMPRODUCT(I$9:I$229,Nutrients!$DC$8:$DC$228)+(IF($A$7=Nutrients!$B$8,Nutrients!$DC$8,Nutrients!$DC$9)*I$7)+(((IF($A$8=Nutrients!$B$79,Nutrients!$DC$79,(IF($A$8=Nutrients!$B$77,Nutrients!$DC$77,Nutrients!$DC$78)))))*I$8))/2000/I$236*100</f>
        <v>55.992193381026787</v>
      </c>
      <c r="J240" s="225">
        <f>(SUMPRODUCT(J$9:J$229,Nutrients!$DC$8:$DC$228)+(IF($A$7=Nutrients!$B$8,Nutrients!$DC$8,Nutrients!$DC$9)*J$7)+(((IF($A$8=Nutrients!$B$79,Nutrients!$DC$79,(IF($A$8=Nutrients!$B$77,Nutrients!$DC$77,Nutrients!$DC$78)))))*J$8))/2000/J$236*100</f>
        <v>55.99089713001797</v>
      </c>
      <c r="K240" s="225">
        <f>(SUMPRODUCT(K$9:K$229,Nutrients!$DC$8:$DC$228)+(IF($A$7=Nutrients!$B$8,Nutrients!$DC$8,Nutrients!$DC$9)*K$7)+(((IF($A$8=Nutrients!$B$79,Nutrients!$DC$79,(IF($A$8=Nutrients!$B$77,Nutrients!$DC$77,Nutrients!$DC$78)))))*K$8))/2000/K$236*100</f>
        <v>55.998452650885746</v>
      </c>
      <c r="L240" s="225">
        <f>(SUMPRODUCT(L$9:L$229,Nutrients!$DC$8:$DC$228)+(IF($A$7=Nutrients!$B$8,Nutrients!$DC$8,Nutrients!$DC$9)*L$7)+(((IF($A$8=Nutrients!$B$79,Nutrients!$DC$79,(IF($A$8=Nutrients!$B$77,Nutrients!$DC$77,Nutrients!$DC$78)))))*L$8))/2000/L$236*100</f>
        <v>56.939933318303517</v>
      </c>
      <c r="M240" s="225">
        <f>(SUMPRODUCT(M$9:M$229,Nutrients!$DC$8:$DC$228)+(IF($A$7=Nutrients!$B$8,Nutrients!$DC$8,Nutrients!$DC$9)*M$7)+(((IF($A$8=Nutrients!$B$79,Nutrients!$DC$79,(IF($A$8=Nutrients!$B$77,Nutrients!$DC$77,Nutrients!$DC$78)))))*M$8))/2000/M$236*100</f>
        <v>57.031794928726917</v>
      </c>
      <c r="N240" s="225">
        <f>(SUMPRODUCT(N$9:N$229,Nutrients!$DC$8:$DC$228)+(IF($A$7=Nutrients!$B$8,Nutrients!$DC$8,Nutrients!$DC$9)*N$7)+(((IF($A$8=Nutrients!$B$79,Nutrients!$DC$79,(IF($A$8=Nutrients!$B$77,Nutrients!$DC$77,Nutrients!$DC$78)))))*N$8))/2000/N$236*100</f>
        <v>57.991985948148503</v>
      </c>
      <c r="O240" s="472"/>
      <c r="P240" s="225">
        <f>(SUMPRODUCT(P$9:P$229,Nutrients!$DC$8:$DC$228)+(IF($A$7=Nutrients!$B$8,Nutrients!$DC$8,Nutrients!$DC$9)*P$7)+(((IF($A$8=Nutrients!$B$79,Nutrients!$DC$79,(IF($A$8=Nutrients!$B$77,Nutrients!$DC$77,Nutrients!$DC$78)))))*P$8))/2000/P$236*100</f>
        <v>55.991881790608325</v>
      </c>
      <c r="Q240" s="225">
        <f>(SUMPRODUCT(Q$9:Q$229,Nutrients!$DC$8:$DC$228)+(IF($A$7=Nutrients!$B$8,Nutrients!$DC$8,Nutrients!$DC$9)*Q$7)+(((IF($A$8=Nutrients!$B$79,Nutrients!$DC$79,(IF($A$8=Nutrients!$B$77,Nutrients!$DC$77,Nutrients!$DC$78)))))*Q$8))/2000/Q$236*100</f>
        <v>55.989661617118692</v>
      </c>
      <c r="R240" s="225">
        <f>(SUMPRODUCT(R$9:R$229,Nutrients!$DC$8:$DC$228)+(IF($A$7=Nutrients!$B$8,Nutrients!$DC$8,Nutrients!$DC$9)*R$7)+(((IF($A$8=Nutrients!$B$79,Nutrients!$DC$79,(IF($A$8=Nutrients!$B$77,Nutrients!$DC$77,Nutrients!$DC$78)))))*R$8))/2000/R$236*100</f>
        <v>55.996027307201459</v>
      </c>
      <c r="S240" s="225">
        <f>(SUMPRODUCT(S$9:S$229,Nutrients!$DC$8:$DC$228)+(IF($A$7=Nutrients!$B$8,Nutrients!$DC$8,Nutrients!$DC$9)*S$7)+(((IF($A$8=Nutrients!$B$79,Nutrients!$DC$79,(IF($A$8=Nutrients!$B$77,Nutrients!$DC$77,Nutrients!$DC$78)))))*S$8))/2000/S$236*100</f>
        <v>56.937531558324061</v>
      </c>
      <c r="T240" s="225">
        <f>(SUMPRODUCT(T$9:T$229,Nutrients!$DC$8:$DC$228)+(IF($A$7=Nutrients!$B$8,Nutrients!$DC$8,Nutrients!$DC$9)*T$7)+(((IF($A$8=Nutrients!$B$79,Nutrients!$DC$79,(IF($A$8=Nutrients!$B$77,Nutrients!$DC$77,Nutrients!$DC$78)))))*T$8))/2000/T$236*100</f>
        <v>56.740716905274446</v>
      </c>
      <c r="U240" s="225">
        <f>(SUMPRODUCT(U$9:U$229,Nutrients!$DC$8:$DC$228)+(IF($A$7=Nutrients!$B$8,Nutrients!$DC$8,Nutrients!$DC$9)*U$7)+(((IF($A$8=Nutrients!$B$79,Nutrients!$DC$79,(IF($A$8=Nutrients!$B$77,Nutrients!$DC$77,Nutrients!$DC$78)))))*U$8))/2000/U$236*100</f>
        <v>57.86457540078468</v>
      </c>
      <c r="V240" s="9"/>
      <c r="W240" s="225">
        <f>(SUMPRODUCT(W$9:W$229,Nutrients!$DC$8:$DC$228)+(IF($A$7=Nutrients!$B$8,Nutrients!$DC$8,Nutrients!$DC$9)*W$7)+(((IF($A$8=Nutrients!$B$79,Nutrients!$DC$79,(IF($A$8=Nutrients!$B$77,Nutrients!$DC$77,Nutrients!$DC$78)))))*W$8))/2000/W$236*100</f>
        <v>55.992264945673</v>
      </c>
      <c r="X240" s="225">
        <f>(SUMPRODUCT(X$9:X$229,Nutrients!$DC$8:$DC$228)+(IF($A$7=Nutrients!$B$8,Nutrients!$DC$8,Nutrients!$DC$9)*X$7)+(((IF($A$8=Nutrients!$B$79,Nutrients!$DC$79,(IF($A$8=Nutrients!$B$77,Nutrients!$DC$77,Nutrients!$DC$78)))))*X$8))/2000/X$236*100</f>
        <v>55.988670844743801</v>
      </c>
      <c r="Y240" s="225">
        <f>(SUMPRODUCT(Y$9:Y$229,Nutrients!$DC$8:$DC$228)+(IF($A$7=Nutrients!$B$8,Nutrients!$DC$8,Nutrients!$DC$9)*Y$7)+(((IF($A$8=Nutrients!$B$79,Nutrients!$DC$79,(IF($A$8=Nutrients!$B$77,Nutrients!$DC$77,Nutrients!$DC$78)))))*Y$8))/2000/Y$236*100</f>
        <v>55.995186938997385</v>
      </c>
      <c r="Z240" s="225">
        <f>(SUMPRODUCT(Z$9:Z$229,Nutrients!$DC$8:$DC$228)+(IF($A$7=Nutrients!$B$8,Nutrients!$DC$8,Nutrients!$DC$9)*Z$7)+(((IF($A$8=Nutrients!$B$79,Nutrients!$DC$79,(IF($A$8=Nutrients!$B$77,Nutrients!$DC$77,Nutrients!$DC$78)))))*Z$8))/2000/Z$236*100</f>
        <v>56.934550887640022</v>
      </c>
      <c r="AA240" s="225">
        <f>(SUMPRODUCT(AA$9:AA$229,Nutrients!$DC$8:$DC$228)+(IF($A$7=Nutrients!$B$8,Nutrients!$DC$8,Nutrients!$DC$9)*AA$7)+(((IF($A$8=Nutrients!$B$79,Nutrients!$DC$79,(IF($A$8=Nutrients!$B$77,Nutrients!$DC$77,Nutrients!$DC$78)))))*AA$8))/2000/AA$236*100</f>
        <v>58.043493251888066</v>
      </c>
      <c r="AB240" s="225">
        <f>(SUMPRODUCT(AB$9:AB$229,Nutrients!$DC$8:$DC$228)+(IF($A$7=Nutrients!$B$8,Nutrients!$DC$8,Nutrients!$DC$9)*AB$7)+(((IF($A$8=Nutrients!$B$79,Nutrients!$DC$79,(IF($A$8=Nutrients!$B$77,Nutrients!$DC$77,Nutrients!$DC$78)))))*AB$8))/2000/AB$236*100</f>
        <v>59.224482924059998</v>
      </c>
      <c r="AC240" s="9"/>
      <c r="AD240" s="225">
        <f>(SUMPRODUCT(AD$9:AD$229,Nutrients!$DC$8:$DC$228)+(IF($A$7=Nutrients!$B$8,Nutrients!$DC$8,Nutrients!$DC$9)*AD$7)+(((IF($A$8=Nutrients!$B$79,Nutrients!$DC$79,(IF($A$8=Nutrients!$B$77,Nutrients!$DC$77,Nutrients!$DC$78)))))*AD$8))/2000/AD$236*100</f>
        <v>55.991450480037741</v>
      </c>
      <c r="AE240" s="225">
        <f>(SUMPRODUCT(AE$9:AE$229,Nutrients!$DC$8:$DC$228)+(IF($A$7=Nutrients!$B$8,Nutrients!$DC$8,Nutrients!$DC$9)*AE$7)+(((IF($A$8=Nutrients!$B$79,Nutrients!$DC$79,(IF($A$8=Nutrients!$B$77,Nutrients!$DC$77,Nutrients!$DC$78)))))*AE$8))/2000/AE$236*100</f>
        <v>55.988313901193443</v>
      </c>
      <c r="AF240" s="225">
        <f>(SUMPRODUCT(AF$9:AF$229,Nutrients!$DC$8:$DC$228)+(IF($A$7=Nutrients!$B$8,Nutrients!$DC$8,Nutrients!$DC$9)*AF$7)+(((IF($A$8=Nutrients!$B$79,Nutrients!$DC$79,(IF($A$8=Nutrients!$B$77,Nutrients!$DC$77,Nutrients!$DC$78)))))*AF$8))/2000/AF$236*100</f>
        <v>55.992552824897182</v>
      </c>
      <c r="AG240" s="225">
        <f>(SUMPRODUCT(AG$9:AG$229,Nutrients!$DC$8:$DC$228)+(IF($A$7=Nutrients!$B$8,Nutrients!$DC$8,Nutrients!$DC$9)*AG$7)+(((IF($A$8=Nutrients!$B$79,Nutrients!$DC$79,(IF($A$8=Nutrients!$B$77,Nutrients!$DC$77,Nutrients!$DC$78)))))*AG$8))/2000/AG$236*100</f>
        <v>57.337966739503713</v>
      </c>
      <c r="AH240" s="225">
        <f>(SUMPRODUCT(AH$9:AH$229,Nutrients!$DC$8:$DC$228)+(IF($A$7=Nutrients!$B$8,Nutrients!$DC$8,Nutrients!$DC$9)*AH$7)+(((IF($A$8=Nutrients!$B$79,Nutrients!$DC$79,(IF($A$8=Nutrients!$B$77,Nutrients!$DC$77,Nutrients!$DC$78)))))*AH$8))/2000/AH$236*100</f>
        <v>59.308999582846958</v>
      </c>
      <c r="AI240" s="225">
        <f>(SUMPRODUCT(AI$9:AI$229,Nutrients!$DC$8:$DC$228)+(IF($A$7=Nutrients!$B$8,Nutrients!$DC$8,Nutrients!$DC$9)*AI$7)+(((IF($A$8=Nutrients!$B$79,Nutrients!$DC$79,(IF($A$8=Nutrients!$B$77,Nutrients!$DC$77,Nutrients!$DC$78)))))*AI$8))/2000/AI$236*100</f>
        <v>60.546569270959516</v>
      </c>
      <c r="AJ240" s="9"/>
      <c r="AK240" s="225">
        <f>(SUMPRODUCT(AK$9:AK$229,Nutrients!$DC$8:$DC$228)+(IF($A$7=Nutrients!$B$8,Nutrients!$DC$8,Nutrients!$DC$9)*AK$7)+(((IF($A$8=Nutrients!$B$79,Nutrients!$DC$79,(IF($A$8=Nutrients!$B$77,Nutrients!$DC$77,Nutrients!$DC$78)))))*AK$8))/2000/AK$236*100</f>
        <v>55.989779613231761</v>
      </c>
      <c r="AL240" s="225">
        <f>(SUMPRODUCT(AL$9:AL$229,Nutrients!$DC$8:$DC$228)+(IF($A$7=Nutrients!$B$8,Nutrients!$DC$8,Nutrients!$DC$9)*AL$7)+(((IF($A$8=Nutrients!$B$79,Nutrients!$DC$79,(IF($A$8=Nutrients!$B$77,Nutrients!$DC$77,Nutrients!$DC$78)))))*AL$8))/2000/AL$236*100</f>
        <v>55.985969053318897</v>
      </c>
      <c r="AM240" s="225">
        <f>(SUMPRODUCT(AM$9:AM$229,Nutrients!$DC$8:$DC$228)+(IF($A$7=Nutrients!$B$8,Nutrients!$DC$8,Nutrients!$DC$9)*AM$7)+(((IF($A$8=Nutrients!$B$79,Nutrients!$DC$79,(IF($A$8=Nutrients!$B$77,Nutrients!$DC$77,Nutrients!$DC$78)))))*AM$8))/2000/AM$236*100</f>
        <v>55.285320261331805</v>
      </c>
      <c r="AN240" s="225">
        <f>(SUMPRODUCT(AN$9:AN$229,Nutrients!$DC$8:$DC$228)+(IF($A$7=Nutrients!$B$8,Nutrients!$DC$8,Nutrients!$DC$9)*AN$7)+(((IF($A$8=Nutrients!$B$79,Nutrients!$DC$79,(IF($A$8=Nutrients!$B$77,Nutrients!$DC$77,Nutrients!$DC$78)))))*AN$8))/2000/AN$236*100</f>
        <v>58.502282411178264</v>
      </c>
      <c r="AO240" s="225">
        <f>(SUMPRODUCT(AO$9:AO$229,Nutrients!$DC$8:$DC$228)+(IF($A$7=Nutrients!$B$8,Nutrients!$DC$8,Nutrients!$DC$9)*AO$7)+(((IF($A$8=Nutrients!$B$79,Nutrients!$DC$79,(IF($A$8=Nutrients!$B$77,Nutrients!$DC$77,Nutrients!$DC$78)))))*AO$8))/2000/AO$236*100</f>
        <v>60.564308464358277</v>
      </c>
      <c r="AP240" s="225">
        <f>(SUMPRODUCT(AP$9:AP$229,Nutrients!$DC$8:$DC$228)+(IF($A$7=Nutrients!$B$8,Nutrients!$DC$8,Nutrients!$DC$9)*AP$7)+(((IF($A$8=Nutrients!$B$79,Nutrients!$DC$79,(IF($A$8=Nutrients!$B$77,Nutrients!$DC$77,Nutrients!$DC$78)))))*AP$8))/2000/AP$236*100</f>
        <v>61.868579853220787</v>
      </c>
      <c r="AQ240" s="9"/>
      <c r="AR240" s="225">
        <f>(SUMPRODUCT(AR$9:AR$229,Nutrients!$DC$8:$DC$228)+(IF($A$7=Nutrients!$B$8,Nutrients!$DC$8,Nutrients!$DC$9)*AR$7)+(((IF($A$8=Nutrients!$B$79,Nutrients!$DC$79,(IF($A$8=Nutrients!$B$77,Nutrients!$DC$77,Nutrients!$DC$78)))))*AR$8))/2000/AR$236*100</f>
        <v>55.986521018388366</v>
      </c>
      <c r="AS240" s="225">
        <f>(SUMPRODUCT(AS$9:AS$229,Nutrients!$DC$8:$DC$228)+(IF($A$7=Nutrients!$B$8,Nutrients!$DC$8,Nutrients!$DC$9)*AS$7)+(((IF($A$8=Nutrients!$B$79,Nutrients!$DC$79,(IF($A$8=Nutrients!$B$77,Nutrients!$DC$77,Nutrients!$DC$78)))))*AS$8))/2000/AS$236*100</f>
        <v>55.9833549790796</v>
      </c>
      <c r="AT240" s="225">
        <f>(SUMPRODUCT(AT$9:AT$229,Nutrients!$DC$8:$DC$228)+(IF($A$7=Nutrients!$B$8,Nutrients!$DC$8,Nutrients!$DC$9)*AT$7)+(((IF($A$8=Nutrients!$B$79,Nutrients!$DC$79,(IF($A$8=Nutrients!$B$77,Nutrients!$DC$77,Nutrients!$DC$78)))))*AT$8))/2000/AT$236*100</f>
        <v>56.346271455015348</v>
      </c>
      <c r="AU240" s="225">
        <f>(SUMPRODUCT(AU$9:AU$229,Nutrients!$DC$8:$DC$228)+(IF($A$7=Nutrients!$B$8,Nutrients!$DC$8,Nutrients!$DC$9)*AU$7)+(((IF($A$8=Nutrients!$B$79,Nutrients!$DC$79,(IF($A$8=Nutrients!$B$77,Nutrients!$DC$77,Nutrients!$DC$78)))))*AU$8))/2000/AU$236*100</f>
        <v>59.652277489139585</v>
      </c>
      <c r="AV240" s="225">
        <f>(SUMPRODUCT(AV$9:AV$229,Nutrients!$DC$8:$DC$228)+(IF($A$7=Nutrients!$B$8,Nutrients!$DC$8,Nutrients!$DC$9)*AV$7)+(((IF($A$8=Nutrients!$B$79,Nutrients!$DC$79,(IF($A$8=Nutrients!$B$77,Nutrients!$DC$77,Nutrients!$DC$78)))))*AV$8))/2000/AV$236*100</f>
        <v>61.819610185287765</v>
      </c>
      <c r="AW240" s="225">
        <f>(SUMPRODUCT(AW$9:AW$229,Nutrients!$DC$8:$DC$228)+(IF($A$7=Nutrients!$B$8,Nutrients!$DC$8,Nutrients!$DC$9)*AW$7)+(((IF($A$8=Nutrients!$B$79,Nutrients!$DC$79,(IF($A$8=Nutrients!$B$77,Nutrients!$DC$77,Nutrients!$DC$78)))))*AW$8))/2000/AW$236*100</f>
        <v>63.190586700722051</v>
      </c>
      <c r="AX240" s="13"/>
    </row>
    <row r="241" spans="1:57" x14ac:dyDescent="0.25">
      <c r="A241" s="38" t="s">
        <v>386</v>
      </c>
      <c r="B241" s="224">
        <f>(SUMPRODUCT(B$9:B$229,Nutrients!$DF$8:$DF$228)+(IF($A$7=Nutrients!$B$8,Nutrients!$DF$8,Nutrients!$DF$9)*B$7)+(((IF($A$8=Nutrients!$B$79,Nutrients!$DF$79,(IF($A$8=Nutrients!$B$77,Nutrients!$DF$77,Nutrients!$DF$78)))))*B$8))/2000/B$236*100</f>
        <v>61.999883344833172</v>
      </c>
      <c r="C241" s="224">
        <f>(SUMPRODUCT(C$9:C$229,Nutrients!$DF$8:$DF$228)+(IF($A$7=Nutrients!$B$8,Nutrients!$DF$8,Nutrients!$DF$9)*C$7)+(((IF($A$8=Nutrients!$B$79,Nutrients!$DF$79,(IF($A$8=Nutrients!$B$77,Nutrients!$DF$77,Nutrients!$DF$78)))))*C$8))/2000/C$236*100</f>
        <v>61.999810412599423</v>
      </c>
      <c r="D241" s="224">
        <f>(SUMPRODUCT(D$9:D$229,Nutrients!$DF$8:$DF$228)+(IF($A$7=Nutrients!$B$8,Nutrients!$DF$8,Nutrients!$DF$9)*D$7)+(((IF($A$8=Nutrients!$B$79,Nutrients!$DF$79,(IF($A$8=Nutrients!$B$77,Nutrients!$DF$77,Nutrients!$DF$78)))))*D$8))/2000/D$236*100</f>
        <v>61.998899620636607</v>
      </c>
      <c r="E241" s="224">
        <f>(SUMPRODUCT(E$9:E$229,Nutrients!$DF$8:$DF$228)+(IF($A$7=Nutrients!$B$8,Nutrients!$DF$8,Nutrients!$DF$9)*E$7)+(((IF($A$8=Nutrients!$B$79,Nutrients!$DF$79,(IF($A$8=Nutrients!$B$77,Nutrients!$DF$77,Nutrients!$DF$78)))))*E$8))/2000/E$236*100</f>
        <v>63.099738392882202</v>
      </c>
      <c r="F241" s="224">
        <f>(SUMPRODUCT(F$9:F$229,Nutrients!$DF$8:$DF$228)+(IF($A$7=Nutrients!$B$8,Nutrients!$DF$8,Nutrients!$DF$9)*F$7)+(((IF($A$8=Nutrients!$B$79,Nutrients!$DF$79,(IF($A$8=Nutrients!$B$77,Nutrients!$DF$77,Nutrients!$DF$78)))))*F$8))/2000/F$236*100</f>
        <v>63.259126445235324</v>
      </c>
      <c r="G241" s="224">
        <f>(SUMPRODUCT(G$9:G$229,Nutrients!$DF$8:$DF$228)+(IF($A$7=Nutrients!$B$8,Nutrients!$DF$8,Nutrients!$DF$9)*G$7)+(((IF($A$8=Nutrients!$B$79,Nutrients!$DF$79,(IF($A$8=Nutrients!$B$77,Nutrients!$DF$77,Nutrients!$DF$78)))))*G$8))/2000/G$236*100</f>
        <v>63.997526400855939</v>
      </c>
      <c r="H241" s="224"/>
      <c r="I241" s="225">
        <f>(SUMPRODUCT(I$9:I$229,Nutrients!$DF$8:$DF$228)+(IF($A$7=Nutrients!$B$8,Nutrients!$DF$8,Nutrients!$DF$9)*I$7)+(((IF($A$8=Nutrients!$B$79,Nutrients!$DF$79,(IF($A$8=Nutrients!$B$77,Nutrients!$DF$77,Nutrients!$DF$78)))))*I$8))/2000/I$236*100</f>
        <v>61.972422233007066</v>
      </c>
      <c r="J241" s="225">
        <f>(SUMPRODUCT(J$9:J$229,Nutrients!$DF$8:$DF$228)+(IF($A$7=Nutrients!$B$8,Nutrients!$DF$8,Nutrients!$DF$9)*J$7)+(((IF($A$8=Nutrients!$B$79,Nutrients!$DF$79,(IF($A$8=Nutrients!$B$77,Nutrients!$DF$77,Nutrients!$DF$78)))))*J$8))/2000/J$236*100</f>
        <v>61.967075492406551</v>
      </c>
      <c r="K241" s="225">
        <f>(SUMPRODUCT(K$9:K$229,Nutrients!$DF$8:$DF$228)+(IF($A$7=Nutrients!$B$8,Nutrients!$DF$8,Nutrients!$DF$9)*K$7)+(((IF($A$8=Nutrients!$B$79,Nutrients!$DF$79,(IF($A$8=Nutrients!$B$77,Nutrients!$DF$77,Nutrients!$DF$78)))))*K$8))/2000/K$236*100</f>
        <v>61.962839291501993</v>
      </c>
      <c r="L241" s="225">
        <f>(SUMPRODUCT(L$9:L$229,Nutrients!$DF$8:$DF$228)+(IF($A$7=Nutrients!$B$8,Nutrients!$DF$8,Nutrients!$DF$9)*L$7)+(((IF($A$8=Nutrients!$B$79,Nutrients!$DF$79,(IF($A$8=Nutrients!$B$77,Nutrients!$DF$77,Nutrients!$DF$78)))))*L$8))/2000/L$236*100</f>
        <v>62.998733962907352</v>
      </c>
      <c r="M241" s="225">
        <f>(SUMPRODUCT(M$9:M$229,Nutrients!$DF$8:$DF$228)+(IF($A$7=Nutrients!$B$8,Nutrients!$DF$8,Nutrients!$DF$9)*M$7)+(((IF($A$8=Nutrients!$B$79,Nutrients!$DF$79,(IF($A$8=Nutrients!$B$77,Nutrients!$DF$77,Nutrients!$DF$78)))))*M$8))/2000/M$236*100</f>
        <v>63.018696565502999</v>
      </c>
      <c r="N241" s="225">
        <f>(SUMPRODUCT(N$9:N$229,Nutrients!$DF$8:$DF$228)+(IF($A$7=Nutrients!$B$8,Nutrients!$DF$8,Nutrients!$DF$9)*N$7)+(((IF($A$8=Nutrients!$B$79,Nutrients!$DF$79,(IF($A$8=Nutrients!$B$77,Nutrients!$DF$77,Nutrients!$DF$78)))))*N$8))/2000/N$236*100</f>
        <v>63.949462939509537</v>
      </c>
      <c r="O241" s="472"/>
      <c r="P241" s="225">
        <f>(SUMPRODUCT(P$9:P$229,Nutrients!$DF$8:$DF$228)+(IF($A$7=Nutrients!$B$8,Nutrients!$DF$8,Nutrients!$DF$9)*P$7)+(((IF($A$8=Nutrients!$B$79,Nutrients!$DF$79,(IF($A$8=Nutrients!$B$77,Nutrients!$DF$77,Nutrients!$DF$78)))))*P$8))/2000/P$236*100</f>
        <v>61.944010207716261</v>
      </c>
      <c r="Q241" s="225">
        <f>(SUMPRODUCT(Q$9:Q$229,Nutrients!$DF$8:$DF$228)+(IF($A$7=Nutrients!$B$8,Nutrients!$DF$8,Nutrients!$DF$9)*Q$7)+(((IF($A$8=Nutrients!$B$79,Nutrients!$DF$79,(IF($A$8=Nutrients!$B$77,Nutrients!$DF$77,Nutrients!$DF$78)))))*Q$8))/2000/Q$236*100</f>
        <v>61.981480338144976</v>
      </c>
      <c r="R241" s="225">
        <f>(SUMPRODUCT(R$9:R$229,Nutrients!$DF$8:$DF$228)+(IF($A$7=Nutrients!$B$8,Nutrients!$DF$8,Nutrients!$DF$9)*R$7)+(((IF($A$8=Nutrients!$B$79,Nutrients!$DF$79,(IF($A$8=Nutrients!$B$77,Nutrients!$DF$77,Nutrients!$DF$78)))))*R$8))/2000/R$236*100</f>
        <v>61.978644928766613</v>
      </c>
      <c r="S241" s="225">
        <f>(SUMPRODUCT(S$9:S$229,Nutrients!$DF$8:$DF$228)+(IF($A$7=Nutrients!$B$8,Nutrients!$DF$8,Nutrients!$DF$9)*S$7)+(((IF($A$8=Nutrients!$B$79,Nutrients!$DF$79,(IF($A$8=Nutrients!$B$77,Nutrients!$DF$77,Nutrients!$DF$78)))))*S$8))/2000/S$236*100</f>
        <v>62.957002685246323</v>
      </c>
      <c r="T241" s="225">
        <f>(SUMPRODUCT(T$9:T$229,Nutrients!$DF$8:$DF$228)+(IF($A$7=Nutrients!$B$8,Nutrients!$DF$8,Nutrients!$DF$9)*T$7)+(((IF($A$8=Nutrients!$B$79,Nutrients!$DF$79,(IF($A$8=Nutrients!$B$77,Nutrients!$DF$77,Nutrients!$DF$78)))))*T$8))/2000/T$236*100</f>
        <v>62.973520681498648</v>
      </c>
      <c r="U241" s="225">
        <f>(SUMPRODUCT(U$9:U$229,Nutrients!$DF$8:$DF$228)+(IF($A$7=Nutrients!$B$8,Nutrients!$DF$8,Nutrients!$DF$9)*U$7)+(((IF($A$8=Nutrients!$B$79,Nutrients!$DF$79,(IF($A$8=Nutrients!$B$77,Nutrients!$DF$77,Nutrients!$DF$78)))))*U$8))/2000/U$236*100</f>
        <v>63.970262249462607</v>
      </c>
      <c r="V241" s="9"/>
      <c r="W241" s="225">
        <f>(SUMPRODUCT(W$9:W$229,Nutrients!$DF$8:$DF$228)+(IF($A$7=Nutrients!$B$8,Nutrients!$DF$8,Nutrients!$DF$9)*W$7)+(((IF($A$8=Nutrients!$B$79,Nutrients!$DF$79,(IF($A$8=Nutrients!$B$77,Nutrients!$DF$77,Nutrients!$DF$78)))))*W$8))/2000/W$236*100</f>
        <v>61.957453069165894</v>
      </c>
      <c r="X241" s="225">
        <f>(SUMPRODUCT(X$9:X$229,Nutrients!$DF$8:$DF$228)+(IF($A$7=Nutrients!$B$8,Nutrients!$DF$8,Nutrients!$DF$9)*X$7)+(((IF($A$8=Nutrients!$B$79,Nutrients!$DF$79,(IF($A$8=Nutrients!$B$77,Nutrients!$DF$77,Nutrients!$DF$78)))))*X$8))/2000/X$236*100</f>
        <v>61.996002374038916</v>
      </c>
      <c r="Y241" s="225">
        <f>(SUMPRODUCT(Y$9:Y$229,Nutrients!$DF$8:$DF$228)+(IF($A$7=Nutrients!$B$8,Nutrients!$DF$8,Nutrients!$DF$9)*Y$7)+(((IF($A$8=Nutrients!$B$79,Nutrients!$DF$79,(IF($A$8=Nutrients!$B$77,Nutrients!$DF$77,Nutrients!$DF$78)))))*Y$8))/2000/Y$236*100</f>
        <v>61.995209506641778</v>
      </c>
      <c r="Z241" s="225">
        <f>(SUMPRODUCT(Z$9:Z$229,Nutrients!$DF$8:$DF$228)+(IF($A$7=Nutrients!$B$8,Nutrients!$DF$8,Nutrients!$DF$9)*Z$7)+(((IF($A$8=Nutrients!$B$79,Nutrients!$DF$79,(IF($A$8=Nutrients!$B$77,Nutrients!$DF$77,Nutrients!$DF$78)))))*Z$8))/2000/Z$236*100</f>
        <v>62.974613964196891</v>
      </c>
      <c r="AA241" s="225">
        <f>(SUMPRODUCT(AA$9:AA$229,Nutrients!$DF$8:$DF$228)+(IF($A$7=Nutrients!$B$8,Nutrients!$DF$8,Nutrients!$DF$9)*AA$7)+(((IF($A$8=Nutrients!$B$79,Nutrients!$DF$79,(IF($A$8=Nutrients!$B$77,Nutrients!$DF$77,Nutrients!$DF$78)))))*AA$8))/2000/AA$236*100</f>
        <v>62.99167809387135</v>
      </c>
      <c r="AB241" s="225">
        <f>(SUMPRODUCT(AB$9:AB$229,Nutrients!$DF$8:$DF$228)+(IF($A$7=Nutrients!$B$8,Nutrients!$DF$8,Nutrients!$DF$9)*AB$7)+(((IF($A$8=Nutrients!$B$79,Nutrients!$DF$79,(IF($A$8=Nutrients!$B$77,Nutrients!$DF$77,Nutrients!$DF$78)))))*AB$8))/2000/AB$236*100</f>
        <v>63.98345521881982</v>
      </c>
      <c r="AC241" s="9"/>
      <c r="AD241" s="225">
        <f>(SUMPRODUCT(AD$9:AD$229,Nutrients!$DF$8:$DF$228)+(IF($A$7=Nutrients!$B$8,Nutrients!$DF$8,Nutrients!$DF$9)*AD$7)+(((IF($A$8=Nutrients!$B$79,Nutrients!$DF$79,(IF($A$8=Nutrients!$B$77,Nutrients!$DF$77,Nutrients!$DF$78)))))*AD$8))/2000/AD$236*100</f>
        <v>61.970322468756635</v>
      </c>
      <c r="AE241" s="225">
        <f>(SUMPRODUCT(AE$9:AE$229,Nutrients!$DF$8:$DF$228)+(IF($A$7=Nutrients!$B$8,Nutrients!$DF$8,Nutrients!$DF$9)*AE$7)+(((IF($A$8=Nutrients!$B$79,Nutrients!$DF$79,(IF($A$8=Nutrients!$B$77,Nutrients!$DF$77,Nutrients!$DF$78)))))*AE$8))/2000/AE$236*100</f>
        <v>62.010827908908773</v>
      </c>
      <c r="AF241" s="225">
        <f>(SUMPRODUCT(AF$9:AF$229,Nutrients!$DF$8:$DF$228)+(IF($A$7=Nutrients!$B$8,Nutrients!$DF$8,Nutrients!$DF$9)*AF$7)+(((IF($A$8=Nutrients!$B$79,Nutrients!$DF$79,(IF($A$8=Nutrients!$B$77,Nutrients!$DF$77,Nutrients!$DF$78)))))*AF$8))/2000/AF$236*100</f>
        <v>62.010915177472292</v>
      </c>
      <c r="AG241" s="225">
        <f>(SUMPRODUCT(AG$9:AG$229,Nutrients!$DF$8:$DF$228)+(IF($A$7=Nutrients!$B$8,Nutrients!$DF$8,Nutrients!$DF$9)*AG$7)+(((IF($A$8=Nutrients!$B$79,Nutrients!$DF$79,(IF($A$8=Nutrients!$B$77,Nutrients!$DF$77,Nutrients!$DF$78)))))*AG$8))/2000/AG$236*100</f>
        <v>62.991737093017306</v>
      </c>
      <c r="AH241" s="225">
        <f>(SUMPRODUCT(AH$9:AH$229,Nutrients!$DF$8:$DF$228)+(IF($A$7=Nutrients!$B$8,Nutrients!$DF$8,Nutrients!$DF$9)*AH$7)+(((IF($A$8=Nutrients!$B$79,Nutrients!$DF$79,(IF($A$8=Nutrients!$B$77,Nutrients!$DF$77,Nutrients!$DF$78)))))*AH$8))/2000/AH$236*100</f>
        <v>62.991989344717858</v>
      </c>
      <c r="AI241" s="225">
        <f>(SUMPRODUCT(AI$9:AI$229,Nutrients!$DF$8:$DF$228)+(IF($A$7=Nutrients!$B$8,Nutrients!$DF$8,Nutrients!$DF$9)*AI$7)+(((IF($A$8=Nutrients!$B$79,Nutrients!$DF$79,(IF($A$8=Nutrients!$B$77,Nutrients!$DF$77,Nutrients!$DF$78)))))*AI$8))/2000/AI$236*100</f>
        <v>63.978538111997615</v>
      </c>
      <c r="AJ241" s="9"/>
      <c r="AK241" s="225">
        <f>(SUMPRODUCT(AK$9:AK$229,Nutrients!$DF$8:$DF$228)+(IF($A$7=Nutrients!$B$8,Nutrients!$DF$8,Nutrients!$DF$9)*AK$7)+(((IF($A$8=Nutrients!$B$79,Nutrients!$DF$79,(IF($A$8=Nutrients!$B$77,Nutrients!$DF$77,Nutrients!$DF$78)))))*AK$8))/2000/AK$236*100</f>
        <v>61.982781794099886</v>
      </c>
      <c r="AL241" s="225">
        <f>(SUMPRODUCT(AL$9:AL$229,Nutrients!$DF$8:$DF$228)+(IF($A$7=Nutrients!$B$8,Nutrients!$DF$8,Nutrients!$DF$9)*AL$7)+(((IF($A$8=Nutrients!$B$79,Nutrients!$DF$79,(IF($A$8=Nutrients!$B$77,Nutrients!$DF$77,Nutrients!$DF$78)))))*AL$8))/2000/AL$236*100</f>
        <v>62.02470156702072</v>
      </c>
      <c r="AM241" s="225">
        <f>(SUMPRODUCT(AM$9:AM$229,Nutrients!$DF$8:$DF$228)+(IF($A$7=Nutrients!$B$8,Nutrients!$DF$8,Nutrients!$DF$9)*AM$7)+(((IF($A$8=Nutrients!$B$79,Nutrients!$DF$79,(IF($A$8=Nutrients!$B$77,Nutrients!$DF$77,Nutrients!$DF$78)))))*AM$8))/2000/AM$236*100</f>
        <v>62.026972678214932</v>
      </c>
      <c r="AN241" s="225">
        <f>(SUMPRODUCT(AN$9:AN$229,Nutrients!$DF$8:$DF$228)+(IF($A$7=Nutrients!$B$8,Nutrients!$DF$8,Nutrients!$DF$9)*AN$7)+(((IF($A$8=Nutrients!$B$79,Nutrients!$DF$79,(IF($A$8=Nutrients!$B$77,Nutrients!$DF$77,Nutrients!$DF$78)))))*AN$8))/2000/AN$236*100</f>
        <v>62.994431916126359</v>
      </c>
      <c r="AO241" s="225">
        <f>(SUMPRODUCT(AO$9:AO$229,Nutrients!$DF$8:$DF$228)+(IF($A$7=Nutrients!$B$8,Nutrients!$DF$8,Nutrients!$DF$9)*AO$7)+(((IF($A$8=Nutrients!$B$79,Nutrients!$DF$79,(IF($A$8=Nutrients!$B$77,Nutrients!$DF$77,Nutrients!$DF$78)))))*AO$8))/2000/AO$236*100</f>
        <v>62.98741770708687</v>
      </c>
      <c r="AP241" s="225">
        <f>(SUMPRODUCT(AP$9:AP$229,Nutrients!$DF$8:$DF$228)+(IF($A$7=Nutrients!$B$8,Nutrients!$DF$8,Nutrients!$DF$9)*AP$7)+(((IF($A$8=Nutrients!$B$79,Nutrients!$DF$79,(IF($A$8=Nutrients!$B$77,Nutrients!$DF$77,Nutrients!$DF$78)))))*AP$8))/2000/AP$236*100</f>
        <v>63.973584726468616</v>
      </c>
      <c r="AQ241" s="9"/>
      <c r="AR241" s="225">
        <f>(SUMPRODUCT(AR$9:AR$229,Nutrients!$DF$8:$DF$228)+(IF($A$7=Nutrients!$B$8,Nutrients!$DF$8,Nutrients!$DF$9)*AR$7)+(((IF($A$8=Nutrients!$B$79,Nutrients!$DF$79,(IF($A$8=Nutrients!$B$77,Nutrients!$DF$77,Nutrients!$DF$78)))))*AR$8))/2000/AR$236*100</f>
        <v>61.994480860813837</v>
      </c>
      <c r="AS241" s="225">
        <f>(SUMPRODUCT(AS$9:AS$229,Nutrients!$DF$8:$DF$228)+(IF($A$7=Nutrients!$B$8,Nutrients!$DF$8,Nutrients!$DF$9)*AS$7)+(((IF($A$8=Nutrients!$B$79,Nutrients!$DF$79,(IF($A$8=Nutrients!$B$77,Nutrients!$DF$77,Nutrients!$DF$78)))))*AS$8))/2000/AS$236*100</f>
        <v>62.038446310317156</v>
      </c>
      <c r="AT241" s="225">
        <f>(SUMPRODUCT(AT$9:AT$229,Nutrients!$DF$8:$DF$228)+(IF($A$7=Nutrients!$B$8,Nutrients!$DF$8,Nutrients!$DF$9)*AT$7)+(((IF($A$8=Nutrients!$B$79,Nutrients!$DF$79,(IF($A$8=Nutrients!$B$77,Nutrients!$DF$77,Nutrients!$DF$78)))))*AT$8))/2000/AT$236*100</f>
        <v>62.040542052636525</v>
      </c>
      <c r="AU241" s="225">
        <f>(SUMPRODUCT(AU$9:AU$229,Nutrients!$DF$8:$DF$228)+(IF($A$7=Nutrients!$B$8,Nutrients!$DF$8,Nutrients!$DF$9)*AU$7)+(((IF($A$8=Nutrients!$B$79,Nutrients!$DF$79,(IF($A$8=Nutrients!$B$77,Nutrients!$DF$77,Nutrients!$DF$78)))))*AU$8))/2000/AU$236*100</f>
        <v>62.990269547896268</v>
      </c>
      <c r="AV241" s="225">
        <f>(SUMPRODUCT(AV$9:AV$229,Nutrients!$DF$8:$DF$228)+(IF($A$7=Nutrients!$B$8,Nutrients!$DF$8,Nutrients!$DF$9)*AV$7)+(((IF($A$8=Nutrients!$B$79,Nutrients!$DF$79,(IF($A$8=Nutrients!$B$77,Nutrients!$DF$77,Nutrients!$DF$78)))))*AV$8))/2000/AV$236*100</f>
        <v>62.982842640723746</v>
      </c>
      <c r="AW241" s="225">
        <f>(SUMPRODUCT(AW$9:AW$229,Nutrients!$DF$8:$DF$228)+(IF($A$7=Nutrients!$B$8,Nutrients!$DF$8,Nutrients!$DF$9)*AW$7)+(((IF($A$8=Nutrients!$B$79,Nutrients!$DF$79,(IF($A$8=Nutrients!$B$77,Nutrients!$DF$77,Nutrients!$DF$78)))))*AW$8))/2000/AW$236*100</f>
        <v>63.968629552608427</v>
      </c>
      <c r="AX241" s="13"/>
    </row>
    <row r="242" spans="1:57" x14ac:dyDescent="0.25">
      <c r="A242" s="38" t="s">
        <v>387</v>
      </c>
      <c r="B242" s="224">
        <f>(SUMPRODUCT(B$9:B$229,Nutrients!$DG$8:$DG$228)+(IF($A$7=Nutrients!$B$8,Nutrients!$DG$8,Nutrients!$DG$9)*B$7)+(((IF($A$8=Nutrients!$B$79,Nutrients!$DG$79,(IF($A$8=Nutrients!$B$77,Nutrients!$DG$77,Nutrients!$DG$78)))))*B$8))/2000/B$236*100</f>
        <v>19.000000000000007</v>
      </c>
      <c r="C242" s="224">
        <f>(SUMPRODUCT(C$9:C$229,Nutrients!$DG$8:$DG$228)+(IF($A$7=Nutrients!$B$8,Nutrients!$DG$8,Nutrients!$DG$9)*C$7)+(((IF($A$8=Nutrients!$B$79,Nutrients!$DG$79,(IF($A$8=Nutrients!$B$77,Nutrients!$DG$77,Nutrients!$DG$78)))))*C$8))/2000/C$236*100</f>
        <v>18.999991891262606</v>
      </c>
      <c r="D242" s="224">
        <f>(SUMPRODUCT(D$9:D$229,Nutrients!$DG$8:$DG$228)+(IF($A$7=Nutrients!$B$8,Nutrients!$DG$8,Nutrients!$DG$9)*D$7)+(((IF($A$8=Nutrients!$B$79,Nutrients!$DG$79,(IF($A$8=Nutrients!$B$77,Nutrients!$DG$77,Nutrients!$DG$78)))))*D$8))/2000/D$236*100</f>
        <v>18.999965465148328</v>
      </c>
      <c r="E242" s="224">
        <f>(SUMPRODUCT(E$9:E$229,Nutrients!$DG$8:$DG$228)+(IF($A$7=Nutrients!$B$8,Nutrients!$DG$8,Nutrients!$DG$9)*E$7)+(((IF($A$8=Nutrients!$B$79,Nutrients!$DG$79,(IF($A$8=Nutrients!$B$77,Nutrients!$DG$77,Nutrients!$DG$78)))))*E$8))/2000/E$236*100</f>
        <v>19.040987478551372</v>
      </c>
      <c r="F242" s="224">
        <f>(SUMPRODUCT(F$9:F$229,Nutrients!$DG$8:$DG$228)+(IF($A$7=Nutrients!$B$8,Nutrients!$DG$8,Nutrients!$DG$9)*F$7)+(((IF($A$8=Nutrients!$B$79,Nutrients!$DG$79,(IF($A$8=Nutrients!$B$77,Nutrients!$DG$77,Nutrients!$DG$78)))))*F$8))/2000/F$236*100</f>
        <v>19.105485625301228</v>
      </c>
      <c r="G242" s="224">
        <f>(SUMPRODUCT(G$9:G$229,Nutrients!$DG$8:$DG$228)+(IF($A$7=Nutrients!$B$8,Nutrients!$DG$8,Nutrients!$DG$9)*G$7)+(((IF($A$8=Nutrients!$B$79,Nutrients!$DG$79,(IF($A$8=Nutrients!$B$77,Nutrients!$DG$77,Nutrients!$DG$78)))))*G$8))/2000/G$236*100</f>
        <v>19.003555679157927</v>
      </c>
      <c r="H242" s="224"/>
      <c r="I242" s="225">
        <f>(SUMPRODUCT(I$9:I$229,Nutrients!$DG$8:$DG$228)+(IF($A$7=Nutrients!$B$8,Nutrients!$DG$8,Nutrients!$DG$9)*I$7)+(((IF($A$8=Nutrients!$B$79,Nutrients!$DG$79,(IF($A$8=Nutrients!$B$77,Nutrients!$DG$77,Nutrients!$DG$78)))))*I$8))/2000/I$236*100</f>
        <v>19.02669178997396</v>
      </c>
      <c r="J242" s="225">
        <f>(SUMPRODUCT(J$9:J$229,Nutrients!$DG$8:$DG$228)+(IF($A$7=Nutrients!$B$8,Nutrients!$DG$8,Nutrients!$DG$9)*J$7)+(((IF($A$8=Nutrients!$B$79,Nutrients!$DG$79,(IF($A$8=Nutrients!$B$77,Nutrients!$DG$77,Nutrients!$DG$78)))))*J$8))/2000/J$236*100</f>
        <v>19.025269913236961</v>
      </c>
      <c r="K242" s="225">
        <f>(SUMPRODUCT(K$9:K$229,Nutrients!$DG$8:$DG$228)+(IF($A$7=Nutrients!$B$8,Nutrients!$DG$8,Nutrients!$DG$9)*K$7)+(((IF($A$8=Nutrients!$B$79,Nutrients!$DG$79,(IF($A$8=Nutrients!$B$77,Nutrients!$DG$77,Nutrients!$DG$78)))))*K$8))/2000/K$236*100</f>
        <v>19.024126552535716</v>
      </c>
      <c r="L242" s="225">
        <f>(SUMPRODUCT(L$9:L$229,Nutrients!$DG$8:$DG$228)+(IF($A$7=Nutrients!$B$8,Nutrients!$DG$8,Nutrients!$DG$9)*L$7)+(((IF($A$8=Nutrients!$B$79,Nutrients!$DG$79,(IF($A$8=Nutrients!$B$77,Nutrients!$DG$77,Nutrients!$DG$78)))))*L$8))/2000/L$236*100</f>
        <v>19.023477319672793</v>
      </c>
      <c r="M242" s="225">
        <f>(SUMPRODUCT(M$9:M$229,Nutrients!$DG$8:$DG$228)+(IF($A$7=Nutrients!$B$8,Nutrients!$DG$8,Nutrients!$DG$9)*M$7)+(((IF($A$8=Nutrients!$B$79,Nutrients!$DG$79,(IF($A$8=Nutrients!$B$77,Nutrients!$DG$77,Nutrients!$DG$78)))))*M$8))/2000/M$236*100</f>
        <v>19.025765325755533</v>
      </c>
      <c r="N242" s="225">
        <f>(SUMPRODUCT(N$9:N$229,Nutrients!$DG$8:$DG$228)+(IF($A$7=Nutrients!$B$8,Nutrients!$DG$8,Nutrients!$DG$9)*N$7)+(((IF($A$8=Nutrients!$B$79,Nutrients!$DG$79,(IF($A$8=Nutrients!$B$77,Nutrients!$DG$77,Nutrients!$DG$78)))))*N$8))/2000/N$236*100</f>
        <v>19.02505291150689</v>
      </c>
      <c r="O242" s="472"/>
      <c r="P242" s="225">
        <f>(SUMPRODUCT(P$9:P$229,Nutrients!$DG$8:$DG$228)+(IF($A$7=Nutrients!$B$8,Nutrients!$DG$8,Nutrients!$DG$9)*P$7)+(((IF($A$8=Nutrients!$B$79,Nutrients!$DG$79,(IF($A$8=Nutrients!$B$77,Nutrients!$DG$77,Nutrients!$DG$78)))))*P$8))/2000/P$236*100</f>
        <v>19.047716994541275</v>
      </c>
      <c r="Q242" s="225">
        <f>(SUMPRODUCT(Q$9:Q$229,Nutrients!$DG$8:$DG$228)+(IF($A$7=Nutrients!$B$8,Nutrients!$DG$8,Nutrients!$DG$9)*Q$7)+(((IF($A$8=Nutrients!$B$79,Nutrients!$DG$79,(IF($A$8=Nutrients!$B$77,Nutrients!$DG$77,Nutrients!$DG$78)))))*Q$8))/2000/Q$236*100</f>
        <v>19.045999005840457</v>
      </c>
      <c r="R242" s="225">
        <f>(SUMPRODUCT(R$9:R$229,Nutrients!$DG$8:$DG$228)+(IF($A$7=Nutrients!$B$8,Nutrients!$DG$8,Nutrients!$DG$9)*R$7)+(((IF($A$8=Nutrients!$B$79,Nutrients!$DG$79,(IF($A$8=Nutrients!$B$77,Nutrients!$DG$77,Nutrients!$DG$78)))))*R$8))/2000/R$236*100</f>
        <v>19.024724824045673</v>
      </c>
      <c r="S242" s="225">
        <f>(SUMPRODUCT(S$9:S$229,Nutrients!$DG$8:$DG$228)+(IF($A$7=Nutrients!$B$8,Nutrients!$DG$8,Nutrients!$DG$9)*S$7)+(((IF($A$8=Nutrients!$B$79,Nutrients!$DG$79,(IF($A$8=Nutrients!$B$77,Nutrients!$DG$77,Nutrients!$DG$78)))))*S$8))/2000/S$236*100</f>
        <v>19.024157160210624</v>
      </c>
      <c r="T242" s="225">
        <f>(SUMPRODUCT(T$9:T$229,Nutrients!$DG$8:$DG$228)+(IF($A$7=Nutrients!$B$8,Nutrients!$DG$8,Nutrients!$DG$9)*T$7)+(((IF($A$8=Nutrients!$B$79,Nutrients!$DG$79,(IF($A$8=Nutrients!$B$77,Nutrients!$DG$77,Nutrients!$DG$78)))))*T$8))/2000/T$236*100</f>
        <v>19.026528571495998</v>
      </c>
      <c r="U242" s="225">
        <f>(SUMPRODUCT(U$9:U$229,Nutrients!$DG$8:$DG$228)+(IF($A$7=Nutrients!$B$8,Nutrients!$DG$8,Nutrients!$DG$9)*U$7)+(((IF($A$8=Nutrients!$B$79,Nutrients!$DG$79,(IF($A$8=Nutrients!$B$77,Nutrients!$DG$77,Nutrients!$DG$78)))))*U$8))/2000/U$236*100</f>
        <v>19.025847436191011</v>
      </c>
      <c r="V242" s="9"/>
      <c r="W242" s="225">
        <f>(SUMPRODUCT(W$9:W$229,Nutrients!$DG$8:$DG$228)+(IF($A$7=Nutrients!$B$8,Nutrients!$DG$8,Nutrients!$DG$9)*W$7)+(((IF($A$8=Nutrients!$B$79,Nutrients!$DG$79,(IF($A$8=Nutrients!$B$77,Nutrients!$DG$77,Nutrients!$DG$78)))))*W$8))/2000/W$236*100</f>
        <v>19.048245285222858</v>
      </c>
      <c r="X242" s="225">
        <f>(SUMPRODUCT(X$9:X$229,Nutrients!$DG$8:$DG$228)+(IF($A$7=Nutrients!$B$8,Nutrients!$DG$8,Nutrients!$DG$9)*X$7)+(((IF($A$8=Nutrients!$B$79,Nutrients!$DG$79,(IF($A$8=Nutrients!$B$77,Nutrients!$DG$77,Nutrients!$DG$78)))))*X$8))/2000/X$236*100</f>
        <v>19.046558534398041</v>
      </c>
      <c r="Y242" s="225">
        <f>(SUMPRODUCT(Y$9:Y$229,Nutrients!$DG$8:$DG$228)+(IF($A$7=Nutrients!$B$8,Nutrients!$DG$8,Nutrients!$DG$9)*Y$7)+(((IF($A$8=Nutrients!$B$79,Nutrients!$DG$79,(IF($A$8=Nutrients!$B$77,Nutrients!$DG$77,Nutrients!$DG$78)))))*Y$8))/2000/Y$236*100</f>
        <v>19.025365355642933</v>
      </c>
      <c r="Z242" s="225">
        <f>(SUMPRODUCT(Z$9:Z$229,Nutrients!$DG$8:$DG$228)+(IF($A$7=Nutrients!$B$8,Nutrients!$DG$8,Nutrients!$DG$9)*Z$7)+(((IF($A$8=Nutrients!$B$79,Nutrients!$DG$79,(IF($A$8=Nutrients!$B$77,Nutrients!$DG$77,Nutrients!$DG$78)))))*Z$8))/2000/Z$236*100</f>
        <v>19.024821565293955</v>
      </c>
      <c r="AA242" s="225">
        <f>(SUMPRODUCT(AA$9:AA$229,Nutrients!$DG$8:$DG$228)+(IF($A$7=Nutrients!$B$8,Nutrients!$DG$8,Nutrients!$DG$9)*AA$7)+(((IF($A$8=Nutrients!$B$79,Nutrients!$DG$79,(IF($A$8=Nutrients!$B$77,Nutrients!$DG$77,Nutrients!$DG$78)))))*AA$8))/2000/AA$236*100</f>
        <v>19.027194410070848</v>
      </c>
      <c r="AB242" s="225">
        <f>(SUMPRODUCT(AB$9:AB$229,Nutrients!$DG$8:$DG$228)+(IF($A$7=Nutrients!$B$8,Nutrients!$DG$8,Nutrients!$DG$9)*AB$7)+(((IF($A$8=Nutrients!$B$79,Nutrients!$DG$79,(IF($A$8=Nutrients!$B$77,Nutrients!$DG$77,Nutrients!$DG$78)))))*AB$8))/2000/AB$236*100</f>
        <v>19.026218417039072</v>
      </c>
      <c r="AC242" s="9"/>
      <c r="AD242" s="225">
        <f>(SUMPRODUCT(AD$9:AD$229,Nutrients!$DG$8:$DG$228)+(IF($A$7=Nutrients!$B$8,Nutrients!$DG$8,Nutrients!$DG$9)*AD$7)+(((IF($A$8=Nutrients!$B$79,Nutrients!$DG$79,(IF($A$8=Nutrients!$B$77,Nutrients!$DG$77,Nutrients!$DG$78)))))*AD$8))/2000/AD$236*100</f>
        <v>18.966118751639087</v>
      </c>
      <c r="AE242" s="225">
        <f>(SUMPRODUCT(AE$9:AE$229,Nutrients!$DG$8:$DG$228)+(IF($A$7=Nutrients!$B$8,Nutrients!$DG$8,Nutrients!$DG$9)*AE$7)+(((IF($A$8=Nutrients!$B$79,Nutrients!$DG$79,(IF($A$8=Nutrients!$B$77,Nutrients!$DG$77,Nutrients!$DG$78)))))*AE$8))/2000/AE$236*100</f>
        <v>18.953687989035252</v>
      </c>
      <c r="AF242" s="225">
        <f>(SUMPRODUCT(AF$9:AF$229,Nutrients!$DG$8:$DG$228)+(IF($A$7=Nutrients!$B$8,Nutrients!$DG$8,Nutrients!$DG$9)*AF$7)+(((IF($A$8=Nutrients!$B$79,Nutrients!$DG$79,(IF($A$8=Nutrients!$B$77,Nutrients!$DG$77,Nutrients!$DG$78)))))*AF$8))/2000/AF$236*100</f>
        <v>19.02595806072231</v>
      </c>
      <c r="AG242" s="225">
        <f>(SUMPRODUCT(AG$9:AG$229,Nutrients!$DG$8:$DG$228)+(IF($A$7=Nutrients!$B$8,Nutrients!$DG$8,Nutrients!$DG$9)*AG$7)+(((IF($A$8=Nutrients!$B$79,Nutrients!$DG$79,(IF($A$8=Nutrients!$B$77,Nutrients!$DG$77,Nutrients!$DG$78)))))*AG$8))/2000/AG$236*100</f>
        <v>19.025458788715333</v>
      </c>
      <c r="AH242" s="225">
        <f>(SUMPRODUCT(AH$9:AH$229,Nutrients!$DG$8:$DG$228)+(IF($A$7=Nutrients!$B$8,Nutrients!$DG$8,Nutrients!$DG$9)*AH$7)+(((IF($A$8=Nutrients!$B$79,Nutrients!$DG$79,(IF($A$8=Nutrients!$B$77,Nutrients!$DG$77,Nutrients!$DG$78)))))*AH$8))/2000/AH$236*100</f>
        <v>19.026866520897581</v>
      </c>
      <c r="AI242" s="225">
        <f>(SUMPRODUCT(AI$9:AI$229,Nutrients!$DG$8:$DG$228)+(IF($A$7=Nutrients!$B$8,Nutrients!$DG$8,Nutrients!$DG$9)*AI$7)+(((IF($A$8=Nutrients!$B$79,Nutrients!$DG$79,(IF($A$8=Nutrients!$B$77,Nutrients!$DG$77,Nutrients!$DG$78)))))*AI$8))/2000/AI$236*100</f>
        <v>19.025580974580315</v>
      </c>
      <c r="AJ242" s="9"/>
      <c r="AK242" s="225">
        <f>(SUMPRODUCT(AK$9:AK$229,Nutrients!$DG$8:$DG$228)+(IF($A$7=Nutrients!$B$8,Nutrients!$DG$8,Nutrients!$DG$9)*AK$7)+(((IF($A$8=Nutrients!$B$79,Nutrients!$DG$79,(IF($A$8=Nutrients!$B$77,Nutrients!$DG$77,Nutrients!$DG$78)))))*AK$8))/2000/AK$236*100</f>
        <v>18.966592276083187</v>
      </c>
      <c r="AL242" s="225">
        <f>(SUMPRODUCT(AL$9:AL$229,Nutrients!$DG$8:$DG$228)+(IF($A$7=Nutrients!$B$8,Nutrients!$DG$8,Nutrients!$DG$9)*AL$7)+(((IF($A$8=Nutrients!$B$79,Nutrients!$DG$79,(IF($A$8=Nutrients!$B$77,Nutrients!$DG$77,Nutrients!$DG$78)))))*AL$8))/2000/AL$236*100</f>
        <v>18.954211413975138</v>
      </c>
      <c r="AM242" s="225">
        <f>(SUMPRODUCT(AM$9:AM$229,Nutrients!$DG$8:$DG$228)+(IF($A$7=Nutrients!$B$8,Nutrients!$DG$8,Nutrients!$DG$9)*AM$7)+(((IF($A$8=Nutrients!$B$79,Nutrients!$DG$79,(IF($A$8=Nutrients!$B$77,Nutrients!$DG$77,Nutrients!$DG$78)))))*AM$8))/2000/AM$236*100</f>
        <v>19.026570356745406</v>
      </c>
      <c r="AN242" s="225">
        <f>(SUMPRODUCT(AN$9:AN$229,Nutrients!$DG$8:$DG$228)+(IF($A$7=Nutrients!$B$8,Nutrients!$DG$8,Nutrients!$DG$9)*AN$7)+(((IF($A$8=Nutrients!$B$79,Nutrients!$DG$79,(IF($A$8=Nutrients!$B$77,Nutrients!$DG$77,Nutrients!$DG$78)))))*AN$8))/2000/AN$236*100</f>
        <v>19.025292600841649</v>
      </c>
      <c r="AO242" s="225">
        <f>(SUMPRODUCT(AO$9:AO$229,Nutrients!$DG$8:$DG$228)+(IF($A$7=Nutrients!$B$8,Nutrients!$DG$8,Nutrients!$DG$9)*AO$7)+(((IF($A$8=Nutrients!$B$79,Nutrients!$DG$79,(IF($A$8=Nutrients!$B$77,Nutrients!$DG$77,Nutrients!$DG$78)))))*AO$8))/2000/AO$236*100</f>
        <v>19.02626673786278</v>
      </c>
      <c r="AP242" s="225">
        <f>(SUMPRODUCT(AP$9:AP$229,Nutrients!$DG$8:$DG$228)+(IF($A$7=Nutrients!$B$8,Nutrients!$DG$8,Nutrients!$DG$9)*AP$7)+(((IF($A$8=Nutrients!$B$79,Nutrients!$DG$79,(IF($A$8=Nutrients!$B$77,Nutrients!$DG$77,Nutrients!$DG$78)))))*AP$8))/2000/AP$236*100</f>
        <v>19.024941512014458</v>
      </c>
      <c r="AQ242" s="9"/>
      <c r="AR242" s="225">
        <f>(SUMPRODUCT(AR$9:AR$229,Nutrients!$DG$8:$DG$228)+(IF($A$7=Nutrients!$B$8,Nutrients!$DG$8,Nutrients!$DG$9)*AR$7)+(((IF($A$8=Nutrients!$B$79,Nutrients!$DG$79,(IF($A$8=Nutrients!$B$77,Nutrients!$DG$77,Nutrients!$DG$78)))))*AR$8))/2000/AR$236*100</f>
        <v>18.967023467048776</v>
      </c>
      <c r="AS242" s="225">
        <f>(SUMPRODUCT(AS$9:AS$229,Nutrients!$DG$8:$DG$228)+(IF($A$7=Nutrients!$B$8,Nutrients!$DG$8,Nutrients!$DG$9)*AS$7)+(((IF($A$8=Nutrients!$B$79,Nutrients!$DG$79,(IF($A$8=Nutrients!$B$77,Nutrients!$DG$77,Nutrients!$DG$78)))))*AS$8))/2000/AS$236*100</f>
        <v>18.954727660551811</v>
      </c>
      <c r="AT242" s="225">
        <f>(SUMPRODUCT(AT$9:AT$229,Nutrients!$DG$8:$DG$228)+(IF($A$7=Nutrients!$B$8,Nutrients!$DG$8,Nutrients!$DG$9)*AT$7)+(((IF($A$8=Nutrients!$B$79,Nutrients!$DG$79,(IF($A$8=Nutrients!$B$77,Nutrients!$DG$77,Nutrients!$DG$78)))))*AT$8))/2000/AT$236*100</f>
        <v>19.027044106439529</v>
      </c>
      <c r="AU242" s="225">
        <f>(SUMPRODUCT(AU$9:AU$229,Nutrients!$DG$8:$DG$228)+(IF($A$7=Nutrients!$B$8,Nutrients!$DG$8,Nutrients!$DG$9)*AU$7)+(((IF($A$8=Nutrients!$B$79,Nutrients!$DG$79,(IF($A$8=Nutrients!$B$77,Nutrients!$DG$77,Nutrients!$DG$78)))))*AU$8))/2000/AU$236*100</f>
        <v>19.024744584007276</v>
      </c>
      <c r="AV242" s="225">
        <f>(SUMPRODUCT(AV$9:AV$229,Nutrients!$DG$8:$DG$228)+(IF($A$7=Nutrients!$B$8,Nutrients!$DG$8,Nutrients!$DG$9)*AV$7)+(((IF($A$8=Nutrients!$B$79,Nutrients!$DG$79,(IF($A$8=Nutrients!$B$77,Nutrients!$DG$77,Nutrients!$DG$78)))))*AV$8))/2000/AV$236*100</f>
        <v>19.025666763905889</v>
      </c>
      <c r="AW242" s="225">
        <f>(SUMPRODUCT(AW$9:AW$229,Nutrients!$DG$8:$DG$228)+(IF($A$7=Nutrients!$B$8,Nutrients!$DG$8,Nutrients!$DG$9)*AW$7)+(((IF($A$8=Nutrients!$B$79,Nutrients!$DG$79,(IF($A$8=Nutrients!$B$77,Nutrients!$DG$77,Nutrients!$DG$78)))))*AW$8))/2000/AW$236*100</f>
        <v>19.024301949868967</v>
      </c>
      <c r="AX242" s="13"/>
    </row>
    <row r="243" spans="1:57" x14ac:dyDescent="0.25">
      <c r="A243" s="38" t="s">
        <v>388</v>
      </c>
      <c r="B243" s="224">
        <f>(SUMPRODUCT(B$9:B$229,Nutrients!$DH$8:$DH$228)+(IF($A$7=Nutrients!$B$8,Nutrients!$DH$8,Nutrients!$DH$9)*B$7)+(((IF($A$8=Nutrients!$B$79,Nutrients!$DH$79,(IF($A$8=Nutrients!$B$77,Nutrients!$DH$77,Nutrients!$DH$78)))))*B$8))/2000/B$236*100</f>
        <v>67.999142547613729</v>
      </c>
      <c r="C243" s="224">
        <f>(SUMPRODUCT(C$9:C$229,Nutrients!$DH$8:$DH$228)+(IF($A$7=Nutrients!$B$8,Nutrients!$DH$8,Nutrients!$DH$9)*C$7)+(((IF($A$8=Nutrients!$B$79,Nutrients!$DH$79,(IF($A$8=Nutrients!$B$77,Nutrients!$DH$77,Nutrients!$DH$78)))))*C$8))/2000/C$236*100</f>
        <v>68.120000000000076</v>
      </c>
      <c r="D243" s="224">
        <f>(SUMPRODUCT(D$9:D$229,Nutrients!$DH$8:$DH$228)+(IF($A$7=Nutrients!$B$8,Nutrients!$DH$8,Nutrients!$DH$9)*D$7)+(((IF($A$8=Nutrients!$B$79,Nutrients!$DH$79,(IF($A$8=Nutrients!$B$77,Nutrients!$DH$77,Nutrients!$DH$78)))))*D$8))/2000/D$236*100</f>
        <v>68.530000000000015</v>
      </c>
      <c r="E243" s="224">
        <f>(SUMPRODUCT(E$9:E$229,Nutrients!$DH$8:$DH$228)+(IF($A$7=Nutrients!$B$8,Nutrients!$DH$8,Nutrients!$DH$9)*E$7)+(((IF($A$8=Nutrients!$B$79,Nutrients!$DH$79,(IF($A$8=Nutrients!$B$77,Nutrients!$DH$77,Nutrients!$DH$78)))))*E$8))/2000/E$236*100</f>
        <v>69.691537460576043</v>
      </c>
      <c r="F243" s="224">
        <f>(SUMPRODUCT(F$9:F$229,Nutrients!$DH$8:$DH$228)+(IF($A$7=Nutrients!$B$8,Nutrients!$DH$8,Nutrients!$DH$9)*F$7)+(((IF($A$8=Nutrients!$B$79,Nutrients!$DH$79,(IF($A$8=Nutrients!$B$77,Nutrients!$DH$77,Nutrients!$DH$78)))))*F$8))/2000/F$236*100</f>
        <v>70.432280668663623</v>
      </c>
      <c r="G243" s="224">
        <f>(SUMPRODUCT(G$9:G$229,Nutrients!$DH$8:$DH$228)+(IF($A$7=Nutrients!$B$8,Nutrients!$DH$8,Nutrients!$DH$9)*G$7)+(((IF($A$8=Nutrients!$B$79,Nutrients!$DH$79,(IF($A$8=Nutrients!$B$77,Nutrients!$DH$77,Nutrients!$DH$78)))))*G$8))/2000/G$236*100</f>
        <v>70.540000000000006</v>
      </c>
      <c r="H243" s="224"/>
      <c r="I243" s="225">
        <f>(SUMPRODUCT(I$9:I$229,Nutrients!$DH$8:$DH$228)+(IF($A$7=Nutrients!$B$8,Nutrients!$DH$8,Nutrients!$DH$9)*I$7)+(((IF($A$8=Nutrients!$B$79,Nutrients!$DH$79,(IF($A$8=Nutrients!$B$77,Nutrients!$DH$77,Nutrients!$DH$78)))))*I$8))/2000/I$236*100</f>
        <v>67.948763096044402</v>
      </c>
      <c r="J243" s="225">
        <f>(SUMPRODUCT(J$9:J$229,Nutrients!$DH$8:$DH$228)+(IF($A$7=Nutrients!$B$8,Nutrients!$DH$8,Nutrients!$DH$9)*J$7)+(((IF($A$8=Nutrients!$B$79,Nutrients!$DH$79,(IF($A$8=Nutrients!$B$77,Nutrients!$DH$77,Nutrients!$DH$78)))))*J$8))/2000/J$236*100</f>
        <v>68.35306236317426</v>
      </c>
      <c r="K243" s="225">
        <f>(SUMPRODUCT(K$9:K$229,Nutrients!$DH$8:$DH$228)+(IF($A$7=Nutrients!$B$8,Nutrients!$DH$8,Nutrients!$DH$9)*K$7)+(((IF($A$8=Nutrients!$B$79,Nutrients!$DH$79,(IF($A$8=Nutrients!$B$77,Nutrients!$DH$77,Nutrients!$DH$78)))))*K$8))/2000/K$236*100</f>
        <v>69.433054376695438</v>
      </c>
      <c r="L243" s="225">
        <f>(SUMPRODUCT(L$9:L$229,Nutrients!$DH$8:$DH$228)+(IF($A$7=Nutrients!$B$8,Nutrients!$DH$8,Nutrients!$DH$9)*L$7)+(((IF($A$8=Nutrients!$B$79,Nutrients!$DH$79,(IF($A$8=Nutrients!$B$77,Nutrients!$DH$77,Nutrients!$DH$78)))))*L$8))/2000/L$236*100</f>
        <v>70.531192424457274</v>
      </c>
      <c r="M243" s="225">
        <f>(SUMPRODUCT(M$9:M$229,Nutrients!$DH$8:$DH$228)+(IF($A$7=Nutrients!$B$8,Nutrients!$DH$8,Nutrients!$DH$9)*M$7)+(((IF($A$8=Nutrients!$B$79,Nutrients!$DH$79,(IF($A$8=Nutrients!$B$77,Nutrients!$DH$77,Nutrients!$DH$78)))))*M$8))/2000/M$236*100</f>
        <v>71.193957264502501</v>
      </c>
      <c r="N243" s="225">
        <f>(SUMPRODUCT(N$9:N$229,Nutrients!$DH$8:$DH$228)+(IF($A$7=Nutrients!$B$8,Nutrients!$DH$8,Nutrients!$DH$9)*N$7)+(((IF($A$8=Nutrients!$B$79,Nutrients!$DH$79,(IF($A$8=Nutrients!$B$77,Nutrients!$DH$77,Nutrients!$DH$78)))))*N$8))/2000/N$236*100</f>
        <v>71.704161765342789</v>
      </c>
      <c r="O243" s="472"/>
      <c r="P243" s="225">
        <f>(SUMPRODUCT(P$9:P$229,Nutrients!$DH$8:$DH$228)+(IF($A$7=Nutrients!$B$8,Nutrients!$DH$8,Nutrients!$DH$9)*P$7)+(((IF($A$8=Nutrients!$B$79,Nutrients!$DH$79,(IF($A$8=Nutrients!$B$77,Nutrients!$DH$77,Nutrients!$DH$78)))))*P$8))/2000/P$236*100</f>
        <v>68.227731916891258</v>
      </c>
      <c r="Q243" s="225">
        <f>(SUMPRODUCT(Q$9:Q$229,Nutrients!$DH$8:$DH$228)+(IF($A$7=Nutrients!$B$8,Nutrients!$DH$8,Nutrients!$DH$9)*Q$7)+(((IF($A$8=Nutrients!$B$79,Nutrients!$DH$79,(IF($A$8=Nutrients!$B$77,Nutrients!$DH$77,Nutrients!$DH$78)))))*Q$8))/2000/Q$236*100</f>
        <v>68.906124726348565</v>
      </c>
      <c r="R243" s="225">
        <f>(SUMPRODUCT(R$9:R$229,Nutrients!$DH$8:$DH$228)+(IF($A$7=Nutrients!$B$8,Nutrients!$DH$8,Nutrients!$DH$9)*R$7)+(((IF($A$8=Nutrients!$B$79,Nutrients!$DH$79,(IF($A$8=Nutrients!$B$77,Nutrients!$DH$77,Nutrients!$DH$78)))))*R$8))/2000/R$236*100</f>
        <v>70.384301525054198</v>
      </c>
      <c r="S243" s="225">
        <f>(SUMPRODUCT(S$9:S$229,Nutrients!$DH$8:$DH$228)+(IF($A$7=Nutrients!$B$8,Nutrients!$DH$8,Nutrients!$DH$9)*S$7)+(((IF($A$8=Nutrients!$B$79,Nutrients!$DH$79,(IF($A$8=Nutrients!$B$77,Nutrients!$DH$77,Nutrients!$DH$78)))))*S$8))/2000/S$236*100</f>
        <v>71.759211402314264</v>
      </c>
      <c r="T243" s="225">
        <f>(SUMPRODUCT(T$9:T$229,Nutrients!$DH$8:$DH$228)+(IF($A$7=Nutrients!$B$8,Nutrients!$DH$8,Nutrients!$DH$9)*T$7)+(((IF($A$8=Nutrients!$B$79,Nutrients!$DH$79,(IF($A$8=Nutrients!$B$77,Nutrients!$DH$77,Nutrients!$DH$78)))))*T$8))/2000/T$236*100</f>
        <v>72.284217216633792</v>
      </c>
      <c r="U243" s="225">
        <f>(SUMPRODUCT(U$9:U$229,Nutrients!$DH$8:$DH$228)+(IF($A$7=Nutrients!$B$8,Nutrients!$DH$8,Nutrients!$DH$9)*U$7)+(((IF($A$8=Nutrients!$B$79,Nutrients!$DH$79,(IF($A$8=Nutrients!$B$77,Nutrients!$DH$77,Nutrients!$DH$78)))))*U$8))/2000/U$236*100</f>
        <v>72.605260552724701</v>
      </c>
      <c r="V243" s="9"/>
      <c r="W243" s="225">
        <f>(SUMPRODUCT(W$9:W$229,Nutrients!$DH$8:$DH$228)+(IF($A$7=Nutrients!$B$8,Nutrients!$DH$8,Nutrients!$DH$9)*W$7)+(((IF($A$8=Nutrients!$B$79,Nutrients!$DH$79,(IF($A$8=Nutrients!$B$77,Nutrients!$DH$77,Nutrients!$DH$78)))))*W$8))/2000/W$236*100</f>
        <v>68.50426742049649</v>
      </c>
      <c r="X243" s="225">
        <f>(SUMPRODUCT(X$9:X$229,Nutrients!$DH$8:$DH$228)+(IF($A$7=Nutrients!$B$8,Nutrients!$DH$8,Nutrients!$DH$9)*X$7)+(((IF($A$8=Nutrients!$B$79,Nutrients!$DH$79,(IF($A$8=Nutrients!$B$77,Nutrients!$DH$77,Nutrients!$DH$78)))))*X$8))/2000/X$236*100</f>
        <v>69.679187089522841</v>
      </c>
      <c r="Y243" s="225">
        <f>(SUMPRODUCT(Y$9:Y$229,Nutrients!$DH$8:$DH$228)+(IF($A$7=Nutrients!$B$8,Nutrients!$DH$8,Nutrients!$DH$9)*Y$7)+(((IF($A$8=Nutrients!$B$79,Nutrients!$DH$79,(IF($A$8=Nutrients!$B$77,Nutrients!$DH$77,Nutrients!$DH$78)))))*Y$8))/2000/Y$236*100</f>
        <v>71.405055140104196</v>
      </c>
      <c r="Z243" s="225">
        <f>(SUMPRODUCT(Z$9:Z$229,Nutrients!$DH$8:$DH$228)+(IF($A$7=Nutrients!$B$8,Nutrients!$DH$8,Nutrients!$DH$9)*Z$7)+(((IF($A$8=Nutrients!$B$79,Nutrients!$DH$79,(IF($A$8=Nutrients!$B$77,Nutrients!$DH$77,Nutrients!$DH$78)))))*Z$8))/2000/Z$236*100</f>
        <v>73.579501925484621</v>
      </c>
      <c r="AA243" s="225">
        <f>(SUMPRODUCT(AA$9:AA$229,Nutrients!$DH$8:$DH$228)+(IF($A$7=Nutrients!$B$8,Nutrients!$DH$8,Nutrients!$DH$9)*AA$7)+(((IF($A$8=Nutrients!$B$79,Nutrients!$DH$79,(IF($A$8=Nutrients!$B$77,Nutrients!$DH$77,Nutrients!$DH$78)))))*AA$8))/2000/AA$236*100</f>
        <v>74.269507616025237</v>
      </c>
      <c r="AB243" s="225">
        <f>(SUMPRODUCT(AB$9:AB$229,Nutrients!$DH$8:$DH$228)+(IF($A$7=Nutrients!$B$8,Nutrients!$DH$8,Nutrients!$DH$9)*AB$7)+(((IF($A$8=Nutrients!$B$79,Nutrients!$DH$79,(IF($A$8=Nutrients!$B$77,Nutrients!$DH$77,Nutrients!$DH$78)))))*AB$8))/2000/AB$236*100</f>
        <v>74.686546305524402</v>
      </c>
      <c r="AC243" s="9"/>
      <c r="AD243" s="225">
        <f>(SUMPRODUCT(AD$9:AD$229,Nutrients!$DH$8:$DH$228)+(IF($A$7=Nutrients!$B$8,Nutrients!$DH$8,Nutrients!$DH$9)*AD$7)+(((IF($A$8=Nutrients!$B$79,Nutrients!$DH$79,(IF($A$8=Nutrients!$B$77,Nutrients!$DH$77,Nutrients!$DH$78)))))*AD$8))/2000/AD$236*100</f>
        <v>69.28546383378287</v>
      </c>
      <c r="AE243" s="225">
        <f>(SUMPRODUCT(AE$9:AE$229,Nutrients!$DH$8:$DH$228)+(IF($A$7=Nutrients!$B$8,Nutrients!$DH$8,Nutrients!$DH$9)*AE$7)+(((IF($A$8=Nutrients!$B$79,Nutrients!$DH$79,(IF($A$8=Nutrients!$B$77,Nutrients!$DH$77,Nutrients!$DH$78)))))*AE$8))/2000/AE$236*100</f>
        <v>70.472408638561959</v>
      </c>
      <c r="AF243" s="225">
        <f>(SUMPRODUCT(AF$9:AF$229,Nutrients!$DH$8:$DH$228)+(IF($A$7=Nutrients!$B$8,Nutrients!$DH$8,Nutrients!$DH$9)*AF$7)+(((IF($A$8=Nutrients!$B$79,Nutrients!$DH$79,(IF($A$8=Nutrients!$B$77,Nutrients!$DH$77,Nutrients!$DH$78)))))*AF$8))/2000/AF$236*100</f>
        <v>73.02730064438046</v>
      </c>
      <c r="AG243" s="225">
        <f>(SUMPRODUCT(AG$9:AG$229,Nutrients!$DH$8:$DH$228)+(IF($A$7=Nutrients!$B$8,Nutrients!$DH$8,Nutrients!$DH$9)*AG$7)+(((IF($A$8=Nutrients!$B$79,Nutrients!$DH$79,(IF($A$8=Nutrients!$B$77,Nutrients!$DH$77,Nutrients!$DH$78)))))*AG$8))/2000/AG$236*100</f>
        <v>75.398973889885895</v>
      </c>
      <c r="AH243" s="225">
        <f>(SUMPRODUCT(AH$9:AH$229,Nutrients!$DH$8:$DH$228)+(IF($A$7=Nutrients!$B$8,Nutrients!$DH$8,Nutrients!$DH$9)*AH$7)+(((IF($A$8=Nutrients!$B$79,Nutrients!$DH$79,(IF($A$8=Nutrients!$B$77,Nutrients!$DH$77,Nutrients!$DH$78)))))*AH$8))/2000/AH$236*100</f>
        <v>76.224872525062196</v>
      </c>
      <c r="AI243" s="225">
        <f>(SUMPRODUCT(AI$9:AI$229,Nutrients!$DH$8:$DH$228)+(IF($A$7=Nutrients!$B$8,Nutrients!$DH$8,Nutrients!$DH$9)*AI$7)+(((IF($A$8=Nutrients!$B$79,Nutrients!$DH$79,(IF($A$8=Nutrients!$B$77,Nutrients!$DH$77,Nutrients!$DH$78)))))*AI$8))/2000/AI$236*100</f>
        <v>76.737464020400125</v>
      </c>
      <c r="AJ243" s="9"/>
      <c r="AK243" s="225">
        <f>(SUMPRODUCT(AK$9:AK$229,Nutrients!$DH$8:$DH$228)+(IF($A$7=Nutrients!$B$8,Nutrients!$DH$8,Nutrients!$DH$9)*AK$7)+(((IF($A$8=Nutrients!$B$79,Nutrients!$DH$79,(IF($A$8=Nutrients!$B$77,Nutrients!$DH$77,Nutrients!$DH$78)))))*AK$8))/2000/AK$236*100</f>
        <v>69.886595058790888</v>
      </c>
      <c r="AL243" s="225">
        <f>(SUMPRODUCT(AL$9:AL$229,Nutrients!$DH$8:$DH$228)+(IF($A$7=Nutrients!$B$8,Nutrients!$DH$8,Nutrients!$DH$9)*AL$7)+(((IF($A$8=Nutrients!$B$79,Nutrients!$DH$79,(IF($A$8=Nutrients!$B$77,Nutrients!$DH$77,Nutrients!$DH$78)))))*AL$8))/2000/AL$236*100</f>
        <v>71.325311815871288</v>
      </c>
      <c r="AM243" s="225">
        <f>(SUMPRODUCT(AM$9:AM$229,Nutrients!$DH$8:$DH$228)+(IF($A$7=Nutrients!$B$8,Nutrients!$DH$8,Nutrients!$DH$9)*AM$7)+(((IF($A$8=Nutrients!$B$79,Nutrients!$DH$79,(IF($A$8=Nutrients!$B$77,Nutrients!$DH$77,Nutrients!$DH$78)))))*AM$8))/2000/AM$236*100</f>
        <v>74.650136117688788</v>
      </c>
      <c r="AN243" s="225">
        <f>(SUMPRODUCT(AN$9:AN$229,Nutrients!$DH$8:$DH$228)+(IF($A$7=Nutrients!$B$8,Nutrients!$DH$8,Nutrients!$DH$9)*AN$7)+(((IF($A$8=Nutrients!$B$79,Nutrients!$DH$79,(IF($A$8=Nutrients!$B$77,Nutrients!$DH$77,Nutrients!$DH$78)))))*AN$8))/2000/AN$236*100</f>
        <v>77.19425162502597</v>
      </c>
      <c r="AO243" s="225">
        <f>(SUMPRODUCT(AO$9:AO$229,Nutrients!$DH$8:$DH$228)+(IF($A$7=Nutrients!$B$8,Nutrients!$DH$8,Nutrients!$DH$9)*AO$7)+(((IF($A$8=Nutrients!$B$79,Nutrients!$DH$79,(IF($A$8=Nutrients!$B$77,Nutrients!$DH$77,Nutrients!$DH$78)))))*AO$8))/2000/AO$236*100</f>
        <v>78.172049520310495</v>
      </c>
      <c r="AP243" s="225">
        <f>(SUMPRODUCT(AP$9:AP$229,Nutrients!$DH$8:$DH$228)+(IF($A$7=Nutrients!$B$8,Nutrients!$DH$8,Nutrients!$DH$9)*AP$7)+(((IF($A$8=Nutrients!$B$79,Nutrients!$DH$79,(IF($A$8=Nutrients!$B$77,Nutrients!$DH$77,Nutrients!$DH$78)))))*AP$8))/2000/AP$236*100</f>
        <v>78.788320901012384</v>
      </c>
      <c r="AQ243" s="9"/>
      <c r="AR243" s="225">
        <f>(SUMPRODUCT(AR$9:AR$229,Nutrients!$DH$8:$DH$228)+(IF($A$7=Nutrients!$B$8,Nutrients!$DH$8,Nutrients!$DH$9)*AR$7)+(((IF($A$8=Nutrients!$B$79,Nutrients!$DH$79,(IF($A$8=Nutrients!$B$77,Nutrients!$DH$77,Nutrients!$DH$78)))))*AR$8))/2000/AR$236*100</f>
        <v>70.570557108941941</v>
      </c>
      <c r="AS243" s="225">
        <f>(SUMPRODUCT(AS$9:AS$229,Nutrients!$DH$8:$DH$228)+(IF($A$7=Nutrients!$B$8,Nutrients!$DH$8,Nutrients!$DH$9)*AS$7)+(((IF($A$8=Nutrients!$B$79,Nutrients!$DH$79,(IF($A$8=Nutrients!$B$77,Nutrients!$DH$77,Nutrients!$DH$78)))))*AS$8))/2000/AS$236*100</f>
        <v>72.571454589845203</v>
      </c>
      <c r="AT243" s="225">
        <f>(SUMPRODUCT(AT$9:AT$229,Nutrients!$DH$8:$DH$228)+(IF($A$7=Nutrients!$B$8,Nutrients!$DH$8,Nutrients!$DH$9)*AT$7)+(((IF($A$8=Nutrients!$B$79,Nutrients!$DH$79,(IF($A$8=Nutrients!$B$77,Nutrients!$DH$77,Nutrients!$DH$78)))))*AT$8))/2000/AT$236*100</f>
        <v>76.268799354849151</v>
      </c>
      <c r="AU243" s="225">
        <f>(SUMPRODUCT(AU$9:AU$229,Nutrients!$DH$8:$DH$228)+(IF($A$7=Nutrients!$B$8,Nutrients!$DH$8,Nutrients!$DH$9)*AU$7)+(((IF($A$8=Nutrients!$B$79,Nutrients!$DH$79,(IF($A$8=Nutrients!$B$77,Nutrients!$DH$77,Nutrients!$DH$78)))))*AU$8))/2000/AU$236*100</f>
        <v>78.978030819542795</v>
      </c>
      <c r="AV243" s="225">
        <f>(SUMPRODUCT(AV$9:AV$229,Nutrients!$DH$8:$DH$228)+(IF($A$7=Nutrients!$B$8,Nutrients!$DH$8,Nutrients!$DH$9)*AV$7)+(((IF($A$8=Nutrients!$B$79,Nutrients!$DH$79,(IF($A$8=Nutrients!$B$77,Nutrients!$DH$77,Nutrients!$DH$78)))))*AV$8))/2000/AV$236*100</f>
        <v>80.119220766059613</v>
      </c>
      <c r="AW243" s="225">
        <f>(SUMPRODUCT(AW$9:AW$229,Nutrients!$DH$8:$DH$228)+(IF($A$7=Nutrients!$B$8,Nutrients!$DH$8,Nutrients!$DH$9)*AW$7)+(((IF($A$8=Nutrients!$B$79,Nutrients!$DH$79,(IF($A$8=Nutrients!$B$77,Nutrients!$DH$77,Nutrients!$DH$78)))))*AW$8))/2000/AW$236*100</f>
        <v>80.839174782846044</v>
      </c>
      <c r="AX243" s="13"/>
    </row>
    <row r="244" spans="1:57" x14ac:dyDescent="0.25">
      <c r="A244" s="38" t="s">
        <v>394</v>
      </c>
      <c r="B244" s="49">
        <f>(SUMPRODUCT(B$9:B$229,Nutrients!$CX$8:$CX$228)+(IF($A$7=Nutrients!$B$8,Nutrients!$CX$8,Nutrients!$CX$9)*B$7)+(((IF($A$8=Nutrients!$B$79,Nutrients!$CX$79,(IF($A$8=Nutrients!$B$77,Nutrients!$CX$77,Nutrients!$CX$78)))))*B$8))/2000/B$236*100</f>
        <v>37.643570590355239</v>
      </c>
      <c r="C244" s="49">
        <f>(SUMPRODUCT(C$9:C$229,Nutrients!$CX$8:$CX$228)+(IF($A$7=Nutrients!$B$8,Nutrients!$CX$8,Nutrients!$CX$9)*C$7)+(((IF($A$8=Nutrients!$B$79,Nutrients!$CX$79,(IF($A$8=Nutrients!$B$77,Nutrients!$CX$77,Nutrients!$CX$78)))))*C$8))/2000/C$236*100</f>
        <v>38.987979019898518</v>
      </c>
      <c r="D244" s="49">
        <f>(SUMPRODUCT(D$9:D$229,Nutrients!$CX$8:$CX$228)+(IF($A$7=Nutrients!$B$8,Nutrients!$CX$8,Nutrients!$CX$9)*D$7)+(((IF($A$8=Nutrients!$B$79,Nutrients!$CX$79,(IF($A$8=Nutrients!$B$77,Nutrients!$CX$77,Nutrients!$CX$78)))))*D$8))/2000/D$236*100</f>
        <v>40.703752845303732</v>
      </c>
      <c r="E244" s="49">
        <f>(SUMPRODUCT(E$9:E$229,Nutrients!$CX$8:$CX$228)+(IF($A$7=Nutrients!$B$8,Nutrients!$CX$8,Nutrients!$CX$9)*E$7)+(((IF($A$8=Nutrients!$B$79,Nutrients!$CX$79,(IF($A$8=Nutrients!$B$77,Nutrients!$CX$77,Nutrients!$CX$78)))))*E$8))/2000/E$236*100</f>
        <v>41.851733002385814</v>
      </c>
      <c r="F244" s="49">
        <f>(SUMPRODUCT(F$9:F$229,Nutrients!$CX$8:$CX$228)+(IF($A$7=Nutrients!$B$8,Nutrients!$CX$8,Nutrients!$CX$9)*F$7)+(((IF($A$8=Nutrients!$B$79,Nutrients!$CX$79,(IF($A$8=Nutrients!$B$77,Nutrients!$CX$77,Nutrients!$CX$78)))))*F$8))/2000/F$236*100</f>
        <v>42.150034216074545</v>
      </c>
      <c r="G244" s="49">
        <f>(SUMPRODUCT(G$9:G$229,Nutrients!$CX$8:$CX$228)+(IF($A$7=Nutrients!$B$8,Nutrients!$CX$8,Nutrients!$CX$9)*G$7)+(((IF($A$8=Nutrients!$B$79,Nutrients!$CX$79,(IF($A$8=Nutrients!$B$77,Nutrients!$CX$77,Nutrients!$CX$78)))))*G$8))/2000/G$236*100</f>
        <v>42.332060863176054</v>
      </c>
      <c r="H244" s="224"/>
      <c r="I244" s="451">
        <f>(SUMPRODUCT(I$9:I$229,Nutrients!$CX$8:$CX$228)+(IF($A$7=Nutrients!$B$8,Nutrients!$CX$8,Nutrients!$CX$9)*I$7)+(((IF($A$8=Nutrients!$B$79,Nutrients!$CX$79,(IF($A$8=Nutrients!$B$77,Nutrients!$CX$77,Nutrients!$CX$78)))))*I$8))/2000/I$236*100</f>
        <v>38.1214283292638</v>
      </c>
      <c r="J244" s="451">
        <f>(SUMPRODUCT(J$9:J$229,Nutrients!$CX$8:$CX$228)+(IF($A$7=Nutrients!$B$8,Nutrients!$CX$8,Nutrients!$CX$9)*J$7)+(((IF($A$8=Nutrients!$B$79,Nutrients!$CX$79,(IF($A$8=Nutrients!$B$77,Nutrients!$CX$77,Nutrients!$CX$78)))))*J$8))/2000/J$236*100</f>
        <v>39.526542648965695</v>
      </c>
      <c r="K244" s="451">
        <f>(SUMPRODUCT(K$9:K$229,Nutrients!$CX$8:$CX$228)+(IF($A$7=Nutrients!$B$8,Nutrients!$CX$8,Nutrients!$CX$9)*K$7)+(((IF($A$8=Nutrients!$B$79,Nutrients!$CX$79,(IF($A$8=Nutrients!$B$77,Nutrients!$CX$77,Nutrients!$CX$78)))))*K$8))/2000/K$236*100</f>
        <v>41.314187397698696</v>
      </c>
      <c r="L244" s="451">
        <f>(SUMPRODUCT(L$9:L$229,Nutrients!$CX$8:$CX$228)+(IF($A$7=Nutrients!$B$8,Nutrients!$CX$8,Nutrients!$CX$9)*L$7)+(((IF($A$8=Nutrients!$B$79,Nutrients!$CX$79,(IF($A$8=Nutrients!$B$77,Nutrients!$CX$77,Nutrients!$CX$78)))))*L$8))/2000/L$236*100</f>
        <v>42.535654832994965</v>
      </c>
      <c r="M244" s="451">
        <f>(SUMPRODUCT(M$9:M$229,Nutrients!$CX$8:$CX$228)+(IF($A$7=Nutrients!$B$8,Nutrients!$CX$8,Nutrients!$CX$9)*M$7)+(((IF($A$8=Nutrients!$B$79,Nutrients!$CX$79,(IF($A$8=Nutrients!$B$77,Nutrients!$CX$77,Nutrients!$CX$78)))))*M$8))/2000/M$236*100</f>
        <v>42.896616530103024</v>
      </c>
      <c r="N244" s="451">
        <f>(SUMPRODUCT(N$9:N$229,Nutrients!$CX$8:$CX$228)+(IF($A$7=Nutrients!$B$8,Nutrients!$CX$8,Nutrients!$CX$9)*N$7)+(((IF($A$8=Nutrients!$B$79,Nutrients!$CX$79,(IF($A$8=Nutrients!$B$77,Nutrients!$CX$77,Nutrients!$CX$78)))))*N$8))/2000/N$236*100</f>
        <v>43.117952463559803</v>
      </c>
      <c r="O244" s="472"/>
      <c r="P244" s="451">
        <f>(SUMPRODUCT(P$9:P$229,Nutrients!$CX$8:$CX$228)+(IF($A$7=Nutrients!$B$8,Nutrients!$CX$8,Nutrients!$CX$9)*P$7)+(((IF($A$8=Nutrients!$B$79,Nutrients!$CX$79,(IF($A$8=Nutrients!$B$77,Nutrients!$CX$77,Nutrients!$CX$78)))))*P$8))/2000/P$236*100</f>
        <v>38.598210338471304</v>
      </c>
      <c r="Q244" s="451">
        <f>(SUMPRODUCT(Q$9:Q$229,Nutrients!$CX$8:$CX$228)+(IF($A$7=Nutrients!$B$8,Nutrients!$CX$8,Nutrients!$CX$9)*Q$7)+(((IF($A$8=Nutrients!$B$79,Nutrients!$CX$79,(IF($A$8=Nutrients!$B$77,Nutrients!$CX$77,Nutrients!$CX$78)))))*Q$8))/2000/Q$236*100</f>
        <v>40.065307522238768</v>
      </c>
      <c r="R244" s="451">
        <f>(SUMPRODUCT(R$9:R$229,Nutrients!$CX$8:$CX$228)+(IF($A$7=Nutrients!$B$8,Nutrients!$CX$8,Nutrients!$CX$9)*R$7)+(((IF($A$8=Nutrients!$B$79,Nutrients!$CX$79,(IF($A$8=Nutrients!$B$77,Nutrients!$CX$77,Nutrients!$CX$78)))))*R$8))/2000/R$236*100</f>
        <v>41.923189025982687</v>
      </c>
      <c r="S244" s="451">
        <f>(SUMPRODUCT(S$9:S$229,Nutrients!$CX$8:$CX$228)+(IF($A$7=Nutrients!$B$8,Nutrients!$CX$8,Nutrients!$CX$9)*S$7)+(((IF($A$8=Nutrients!$B$79,Nutrients!$CX$79,(IF($A$8=Nutrients!$B$77,Nutrients!$CX$77,Nutrients!$CX$78)))))*S$8))/2000/S$236*100</f>
        <v>43.219184561670296</v>
      </c>
      <c r="T244" s="451">
        <f>(SUMPRODUCT(T$9:T$229,Nutrients!$CX$8:$CX$228)+(IF($A$7=Nutrients!$B$8,Nutrients!$CX$8,Nutrients!$CX$9)*T$7)+(((IF($A$8=Nutrients!$B$79,Nutrients!$CX$79,(IF($A$8=Nutrients!$B$77,Nutrients!$CX$77,Nutrients!$CX$78)))))*T$8))/2000/T$236*100</f>
        <v>43.643205810548579</v>
      </c>
      <c r="U244" s="451">
        <f>(SUMPRODUCT(U$9:U$229,Nutrients!$CX$8:$CX$228)+(IF($A$7=Nutrients!$B$8,Nutrients!$CX$8,Nutrients!$CX$9)*U$7)+(((IF($A$8=Nutrients!$B$79,Nutrients!$CX$79,(IF($A$8=Nutrients!$B$77,Nutrients!$CX$77,Nutrients!$CX$78)))))*U$8))/2000/U$236*100</f>
        <v>43.904191395516605</v>
      </c>
      <c r="V244" s="9"/>
      <c r="W244" s="451">
        <f>(SUMPRODUCT(W$9:W$229,Nutrients!$CX$8:$CX$228)+(IF($A$7=Nutrients!$B$8,Nutrients!$CX$8,Nutrients!$CX$9)*W$7)+(((IF($A$8=Nutrients!$B$79,Nutrients!$CX$79,(IF($A$8=Nutrients!$B$77,Nutrients!$CX$77,Nutrients!$CX$78)))))*W$8))/2000/W$236*100</f>
        <v>39.075368681403617</v>
      </c>
      <c r="X244" s="451">
        <f>(SUMPRODUCT(X$9:X$229,Nutrients!$CX$8:$CX$228)+(IF($A$7=Nutrients!$B$8,Nutrients!$CX$8,Nutrients!$CX$9)*X$7)+(((IF($A$8=Nutrients!$B$79,Nutrients!$CX$79,(IF($A$8=Nutrients!$B$77,Nutrients!$CX$77,Nutrients!$CX$78)))))*X$8))/2000/X$236*100</f>
        <v>40.60420496796521</v>
      </c>
      <c r="Y244" s="451">
        <f>(SUMPRODUCT(Y$9:Y$229,Nutrients!$CX$8:$CX$228)+(IF($A$7=Nutrients!$B$8,Nutrients!$CX$8,Nutrients!$CX$9)*Y$7)+(((IF($A$8=Nutrients!$B$79,Nutrients!$CX$79,(IF($A$8=Nutrients!$B$77,Nutrients!$CX$77,Nutrients!$CX$78)))))*Y$8))/2000/Y$236*100</f>
        <v>42.53304921289098</v>
      </c>
      <c r="Z244" s="451">
        <f>(SUMPRODUCT(Z$9:Z$229,Nutrients!$CX$8:$CX$228)+(IF($A$7=Nutrients!$B$8,Nutrients!$CX$8,Nutrients!$CX$9)*Z$7)+(((IF($A$8=Nutrients!$B$79,Nutrients!$CX$79,(IF($A$8=Nutrients!$B$77,Nutrients!$CX$77,Nutrients!$CX$78)))))*Z$8))/2000/Z$236*100</f>
        <v>43.902400702669141</v>
      </c>
      <c r="AA244" s="451">
        <f>(SUMPRODUCT(AA$9:AA$229,Nutrients!$CX$8:$CX$228)+(IF($A$7=Nutrients!$B$8,Nutrients!$CX$8,Nutrients!$CX$9)*AA$7)+(((IF($A$8=Nutrients!$B$79,Nutrients!$CX$79,(IF($A$8=Nutrients!$B$77,Nutrients!$CX$77,Nutrients!$CX$78)))))*AA$8))/2000/AA$236*100</f>
        <v>44.387816160815049</v>
      </c>
      <c r="AB244" s="451">
        <f>(SUMPRODUCT(AB$9:AB$229,Nutrients!$CX$8:$CX$228)+(IF($A$7=Nutrients!$B$8,Nutrients!$CX$8,Nutrients!$CX$9)*AB$7)+(((IF($A$8=Nutrients!$B$79,Nutrients!$CX$79,(IF($A$8=Nutrients!$B$77,Nutrients!$CX$77,Nutrients!$CX$78)))))*AB$8))/2000/AB$236*100</f>
        <v>44.681825583930454</v>
      </c>
      <c r="AC244" s="9"/>
      <c r="AD244" s="451">
        <f>(SUMPRODUCT(AD$9:AD$229,Nutrients!$CX$8:$CX$228)+(IF($A$7=Nutrients!$B$8,Nutrients!$CX$8,Nutrients!$CX$9)*AD$7)+(((IF($A$8=Nutrients!$B$79,Nutrients!$CX$79,(IF($A$8=Nutrients!$B$77,Nutrients!$CX$77,Nutrients!$CX$78)))))*AD$8))/2000/AD$236*100</f>
        <v>39.551878290274509</v>
      </c>
      <c r="AE244" s="451">
        <f>(SUMPRODUCT(AE$9:AE$229,Nutrients!$CX$8:$CX$228)+(IF($A$7=Nutrients!$B$8,Nutrients!$CX$8,Nutrients!$CX$9)*AE$7)+(((IF($A$8=Nutrients!$B$79,Nutrients!$CX$79,(IF($A$8=Nutrients!$B$77,Nutrients!$CX$77,Nutrients!$CX$78)))))*AE$8))/2000/AE$236*100</f>
        <v>41.143445749730873</v>
      </c>
      <c r="AF244" s="451">
        <f>(SUMPRODUCT(AF$9:AF$229,Nutrients!$CX$8:$CX$228)+(IF($A$7=Nutrients!$B$8,Nutrients!$CX$8,Nutrients!$CX$9)*AF$7)+(((IF($A$8=Nutrients!$B$79,Nutrients!$CX$79,(IF($A$8=Nutrients!$B$77,Nutrients!$CX$77,Nutrients!$CX$78)))))*AF$8))/2000/AF$236*100</f>
        <v>43.141937753216638</v>
      </c>
      <c r="AG244" s="451">
        <f>(SUMPRODUCT(AG$9:AG$229,Nutrients!$CX$8:$CX$228)+(IF($A$7=Nutrients!$B$8,Nutrients!$CX$8,Nutrients!$CX$9)*AG$7)+(((IF($A$8=Nutrients!$B$79,Nutrients!$CX$79,(IF($A$8=Nutrients!$B$77,Nutrients!$CX$77,Nutrients!$CX$78)))))*AG$8))/2000/AG$236*100</f>
        <v>44.585064619293149</v>
      </c>
      <c r="AH244" s="451">
        <f>(SUMPRODUCT(AH$9:AH$229,Nutrients!$CX$8:$CX$228)+(IF($A$7=Nutrients!$B$8,Nutrients!$CX$8,Nutrients!$CX$9)*AH$7)+(((IF($A$8=Nutrients!$B$79,Nutrients!$CX$79,(IF($A$8=Nutrients!$B$77,Nutrients!$CX$77,Nutrients!$CX$78)))))*AH$8))/2000/AH$236*100</f>
        <v>45.112237874874204</v>
      </c>
      <c r="AI244" s="451">
        <f>(SUMPRODUCT(AI$9:AI$229,Nutrients!$CX$8:$CX$228)+(IF($A$7=Nutrients!$B$8,Nutrients!$CX$8,Nutrients!$CX$9)*AI$7)+(((IF($A$8=Nutrients!$B$79,Nutrients!$CX$79,(IF($A$8=Nutrients!$B$77,Nutrients!$CX$77,Nutrients!$CX$78)))))*AI$8))/2000/AI$236*100</f>
        <v>45.438972580230981</v>
      </c>
      <c r="AJ244" s="9"/>
      <c r="AK244" s="451">
        <f>(SUMPRODUCT(AK$9:AK$229,Nutrients!$CX$8:$CX$228)+(IF($A$7=Nutrients!$B$8,Nutrients!$CX$8,Nutrients!$CX$9)*AK$7)+(((IF($A$8=Nutrients!$B$79,Nutrients!$CX$79,(IF($A$8=Nutrients!$B$77,Nutrients!$CX$77,Nutrients!$CX$78)))))*AK$8))/2000/AK$236*100</f>
        <v>40.027923998838958</v>
      </c>
      <c r="AL244" s="451">
        <f>(SUMPRODUCT(AL$9:AL$229,Nutrients!$CX$8:$CX$228)+(IF($A$7=Nutrients!$B$8,Nutrients!$CX$8,Nutrients!$CX$9)*AL$7)+(((IF($A$8=Nutrients!$B$79,Nutrients!$CX$79,(IF($A$8=Nutrients!$B$77,Nutrients!$CX$77,Nutrients!$CX$78)))))*AL$8))/2000/AL$236*100</f>
        <v>41.681609712061089</v>
      </c>
      <c r="AM244" s="451">
        <f>(SUMPRODUCT(AM$9:AM$229,Nutrients!$CX$8:$CX$228)+(IF($A$7=Nutrients!$B$8,Nutrients!$CX$8,Nutrients!$CX$9)*AM$7)+(((IF($A$8=Nutrients!$B$79,Nutrients!$CX$79,(IF($A$8=Nutrients!$B$77,Nutrients!$CX$77,Nutrients!$CX$78)))))*AM$8))/2000/AM$236*100</f>
        <v>43.751224304402633</v>
      </c>
      <c r="AN244" s="451">
        <f>(SUMPRODUCT(AN$9:AN$229,Nutrients!$CX$8:$CX$228)+(IF($A$7=Nutrients!$B$8,Nutrients!$CX$8,Nutrients!$CX$9)*AN$7)+(((IF($A$8=Nutrients!$B$79,Nutrients!$CX$79,(IF($A$8=Nutrients!$B$77,Nutrients!$CX$77,Nutrients!$CX$78)))))*AN$8))/2000/AN$236*100</f>
        <v>45.251406380888618</v>
      </c>
      <c r="AO244" s="451">
        <f>(SUMPRODUCT(AO$9:AO$229,Nutrients!$CX$8:$CX$228)+(IF($A$7=Nutrients!$B$8,Nutrients!$CX$8,Nutrients!$CX$9)*AO$7)+(((IF($A$8=Nutrients!$B$79,Nutrients!$CX$79,(IF($A$8=Nutrients!$B$77,Nutrients!$CX$77,Nutrients!$CX$78)))))*AO$8))/2000/AO$236*100</f>
        <v>45.831135775929191</v>
      </c>
      <c r="AP244" s="451">
        <f>(SUMPRODUCT(AP$9:AP$229,Nutrients!$CX$8:$CX$228)+(IF($A$7=Nutrients!$B$8,Nutrients!$CX$8,Nutrients!$CX$9)*AP$7)+(((IF($A$8=Nutrients!$B$79,Nutrients!$CX$79,(IF($A$8=Nutrients!$B$77,Nutrients!$CX$77,Nutrients!$CX$78)))))*AP$8))/2000/AP$236*100</f>
        <v>46.196078535906992</v>
      </c>
      <c r="AQ244" s="9"/>
      <c r="AR244" s="451">
        <f>(SUMPRODUCT(AR$9:AR$229,Nutrients!$CX$8:$CX$228)+(IF($A$7=Nutrients!$B$8,Nutrients!$CX$8,Nutrients!$CX$9)*AR$7)+(((IF($A$8=Nutrients!$B$79,Nutrients!$CX$79,(IF($A$8=Nutrients!$B$77,Nutrients!$CX$77,Nutrients!$CX$78)))))*AR$8))/2000/AR$236*100</f>
        <v>40.503109657758124</v>
      </c>
      <c r="AS244" s="451">
        <f>(SUMPRODUCT(AS$9:AS$229,Nutrients!$CX$8:$CX$228)+(IF($A$7=Nutrients!$B$8,Nutrients!$CX$8,Nutrients!$CX$9)*AS$7)+(((IF($A$8=Nutrients!$B$79,Nutrients!$CX$79,(IF($A$8=Nutrients!$B$77,Nutrients!$CX$77,Nutrients!$CX$78)))))*AS$8))/2000/AS$236*100</f>
        <v>42.219627838307268</v>
      </c>
      <c r="AT244" s="451">
        <f>(SUMPRODUCT(AT$9:AT$229,Nutrients!$CX$8:$CX$228)+(IF($A$7=Nutrients!$B$8,Nutrients!$CX$8,Nutrients!$CX$9)*AT$7)+(((IF($A$8=Nutrients!$B$79,Nutrients!$CX$79,(IF($A$8=Nutrients!$B$77,Nutrients!$CX$77,Nutrients!$CX$78)))))*AT$8))/2000/AT$236*100</f>
        <v>44.357696139546746</v>
      </c>
      <c r="AU244" s="451">
        <f>(SUMPRODUCT(AU$9:AU$229,Nutrients!$CX$8:$CX$228)+(IF($A$7=Nutrients!$B$8,Nutrients!$CX$8,Nutrients!$CX$9)*AU$7)+(((IF($A$8=Nutrients!$B$79,Nutrients!$CX$79,(IF($A$8=Nutrients!$B$77,Nutrients!$CX$77,Nutrients!$CX$78)))))*AU$8))/2000/AU$236*100</f>
        <v>45.909990881005392</v>
      </c>
      <c r="AV244" s="451">
        <f>(SUMPRODUCT(AV$9:AV$229,Nutrients!$CX$8:$CX$228)+(IF($A$7=Nutrients!$B$8,Nutrients!$CX$8,Nutrients!$CX$9)*AV$7)+(((IF($A$8=Nutrients!$B$79,Nutrients!$CX$79,(IF($A$8=Nutrients!$B$77,Nutrients!$CX$77,Nutrients!$CX$78)))))*AV$8))/2000/AV$236*100</f>
        <v>46.550029798199063</v>
      </c>
      <c r="AW244" s="451">
        <f>(SUMPRODUCT(AW$9:AW$229,Nutrients!$CX$8:$CX$228)+(IF($A$7=Nutrients!$B$8,Nutrients!$CX$8,Nutrients!$CX$9)*AW$7)+(((IF($A$8=Nutrients!$B$79,Nutrients!$CX$79,(IF($A$8=Nutrients!$B$77,Nutrients!$CX$77,Nutrients!$CX$78)))))*AW$8))/2000/AW$236*100</f>
        <v>46.953182468516722</v>
      </c>
      <c r="AX244" s="13"/>
    </row>
    <row r="245" spans="1:57" x14ac:dyDescent="0.25">
      <c r="A245" s="5" t="s">
        <v>389</v>
      </c>
      <c r="B245" s="26">
        <f>(SUMPRODUCT(B$9:B$229,Nutrients!$AJ$8:$AJ$228)+(IF($A7=Nutrients!$B$8,Nutrients!$AJ$8,Nutrients!$AJ$9)*B$7)+(((IF($A8=Nutrients!$B$79,Nutrients!$AJ$79,(IF($A8=Nutrients!$B$77,Nutrients!$AJ$77,Nutrients!$AJ$78)))))*B$8))/2000</f>
        <v>1.3184028426828778</v>
      </c>
      <c r="C245" s="26">
        <f>(SUMPRODUCT(C$9:C$229,Nutrients!$AJ$8:$AJ$228)+(IF($A7=Nutrients!$B$8,Nutrients!$AJ$8,Nutrients!$AJ$9)*C$7)+(((IF($A8=Nutrients!$B$79,Nutrients!$AJ$79,(IF($A8=Nutrients!$B$77,Nutrients!$AJ$77,Nutrients!$AJ$78)))))*C$8))/2000</f>
        <v>1.1707660127345534</v>
      </c>
      <c r="D245" s="26">
        <f>(SUMPRODUCT(D$9:D$229,Nutrients!$AJ$8:$AJ$228)+(IF($A7=Nutrients!$B$8,Nutrients!$AJ$8,Nutrients!$AJ$9)*D$7)+(((IF($A8=Nutrients!$B$79,Nutrients!$AJ$79,(IF($A8=Nutrients!$B$77,Nutrients!$AJ$77,Nutrients!$AJ$78)))))*D$8))/2000</f>
        <v>1.0403693489168444</v>
      </c>
      <c r="E245" s="26">
        <f>(SUMPRODUCT(E$9:E$229,Nutrients!$AJ$8:$AJ$228)+(IF($A7=Nutrients!$B$8,Nutrients!$AJ$8,Nutrients!$AJ$9)*E$7)+(((IF($A8=Nutrients!$B$79,Nutrients!$AJ$79,(IF($A8=Nutrients!$B$77,Nutrients!$AJ$77,Nutrients!$AJ$78)))))*E$8))/2000</f>
        <v>0.93090396099650141</v>
      </c>
      <c r="F245" s="26">
        <f>(SUMPRODUCT(F$9:F$229,Nutrients!$AJ$8:$AJ$228)+(IF($A7=Nutrients!$B$8,Nutrients!$AJ$8,Nutrients!$AJ$9)*F$7)+(((IF($A8=Nutrients!$B$79,Nutrients!$AJ$79,(IF($A8=Nutrients!$B$77,Nutrients!$AJ$77,Nutrients!$AJ$78)))))*F$8))/2000</f>
        <v>0.85426384482722051</v>
      </c>
      <c r="G245" s="26">
        <f>(SUMPRODUCT(G$9:G$229,Nutrients!$AJ$8:$AJ$228)+(IF($A7=Nutrients!$B$8,Nutrients!$AJ$8,Nutrients!$AJ$9)*G$7)+(((IF($A8=Nutrients!$B$79,Nutrients!$AJ$79,(IF($A8=Nutrients!$B$77,Nutrients!$AJ$77,Nutrients!$AJ$78)))))*G$8))/2000</f>
        <v>0.81186991699752797</v>
      </c>
      <c r="H245" s="26"/>
      <c r="I245" s="26">
        <f>(SUMPRODUCT(I$9:I$229,Nutrients!$AJ$8:$AJ$228)+(IF($A7=Nutrients!$B$8,Nutrients!$AJ$8,Nutrients!$AJ$9)*I$7)+(((IF($A8=Nutrients!$B$79,Nutrients!$AJ$79,(IF($A8=Nutrients!$B$77,Nutrients!$AJ$77,Nutrients!$AJ$78)))))*I$8))/2000</f>
        <v>1.3271635415014684</v>
      </c>
      <c r="J245" s="26">
        <f>(SUMPRODUCT(J$9:J$229,Nutrients!$AJ$8:$AJ$228)+(IF($A7=Nutrients!$B$8,Nutrients!$AJ$8,Nutrients!$AJ$9)*J$7)+(((IF($A8=Nutrients!$B$79,Nutrients!$AJ$79,(IF($A8=Nutrients!$B$77,Nutrients!$AJ$77,Nutrients!$AJ$78)))))*J$8))/2000</f>
        <v>1.1795196286355227</v>
      </c>
      <c r="K245" s="26">
        <f>(SUMPRODUCT(K$9:K$229,Nutrients!$AJ$8:$AJ$228)+(IF($A7=Nutrients!$B$8,Nutrients!$AJ$8,Nutrients!$AJ$9)*K$7)+(((IF($A8=Nutrients!$B$79,Nutrients!$AJ$79,(IF($A8=Nutrients!$B$77,Nutrients!$AJ$77,Nutrients!$AJ$78)))))*K$8))/2000</f>
        <v>1.0491266096804401</v>
      </c>
      <c r="L245" s="26">
        <f>(SUMPRODUCT(L$9:L$229,Nutrients!$AJ$8:$AJ$228)+(IF($A7=Nutrients!$B$8,Nutrients!$AJ$8,Nutrients!$AJ$9)*L$7)+(((IF($A8=Nutrients!$B$79,Nutrients!$AJ$79,(IF($A8=Nutrients!$B$77,Nutrients!$AJ$77,Nutrients!$AJ$78)))))*L$8))/2000</f>
        <v>0.9396581542649074</v>
      </c>
      <c r="M245" s="26">
        <f>(SUMPRODUCT(M$9:M$229,Nutrients!$AJ$8:$AJ$228)+(IF($A7=Nutrients!$B$8,Nutrients!$AJ$8,Nutrients!$AJ$9)*M$7)+(((IF($A8=Nutrients!$B$79,Nutrients!$AJ$79,(IF($A8=Nutrients!$B$77,Nutrients!$AJ$77,Nutrients!$AJ$78)))))*M$8))/2000</f>
        <v>0.86301802173342368</v>
      </c>
      <c r="N245" s="26">
        <f>(SUMPRODUCT(N$9:N$229,Nutrients!$AJ$8:$AJ$228)+(IF($A7=Nutrients!$B$8,Nutrients!$AJ$8,Nutrients!$AJ$9)*N$7)+(((IF($A8=Nutrients!$B$79,Nutrients!$AJ$79,(IF($A8=Nutrients!$B$77,Nutrients!$AJ$77,Nutrients!$AJ$78)))))*N$8))/2000</f>
        <v>0.82062273265727392</v>
      </c>
      <c r="O245" s="26"/>
      <c r="P245" s="26">
        <f>(SUMPRODUCT(P$9:P$229,Nutrients!$AJ$8:$AJ$228)+(IF($A7=Nutrients!$B$8,Nutrients!$AJ$8,Nutrients!$AJ$9)*P$7)+(((IF($A8=Nutrients!$B$79,Nutrients!$AJ$79,(IF($A8=Nutrients!$B$77,Nutrients!$AJ$77,Nutrients!$AJ$78)))))*P$8))/2000</f>
        <v>1.3359196958710609</v>
      </c>
      <c r="Q245" s="26">
        <f>(SUMPRODUCT(Q$9:Q$229,Nutrients!$AJ$8:$AJ$228)+(IF($A7=Nutrients!$B$8,Nutrients!$AJ$8,Nutrients!$AJ$9)*Q$7)+(((IF($A8=Nutrients!$B$79,Nutrients!$AJ$79,(IF($A8=Nutrients!$B$77,Nutrients!$AJ$77,Nutrients!$AJ$78)))))*Q$8))/2000</f>
        <v>1.1882739962227507</v>
      </c>
      <c r="R245" s="26">
        <f>(SUMPRODUCT(R$9:R$229,Nutrients!$AJ$8:$AJ$228)+(IF($A7=Nutrients!$B$8,Nutrients!$AJ$8,Nutrients!$AJ$9)*R$7)+(((IF($A8=Nutrients!$B$79,Nutrients!$AJ$79,(IF($A8=Nutrients!$B$77,Nutrients!$AJ$77,Nutrients!$AJ$78)))))*R$8))/2000</f>
        <v>1.057879139797391</v>
      </c>
      <c r="S245" s="26">
        <f>(SUMPRODUCT(S$9:S$229,Nutrients!$AJ$8:$AJ$228)+(IF($A7=Nutrients!$B$8,Nutrients!$AJ$8,Nutrients!$AJ$9)*S$7)+(((IF($A8=Nutrients!$B$79,Nutrients!$AJ$79,(IF($A8=Nutrients!$B$77,Nutrients!$AJ$77,Nutrients!$AJ$78)))))*S$8))/2000</f>
        <v>0.94841119390104534</v>
      </c>
      <c r="T245" s="26">
        <f>(SUMPRODUCT(T$9:T$229,Nutrients!$AJ$8:$AJ$228)+(IF($A7=Nutrients!$B$8,Nutrients!$AJ$8,Nutrients!$AJ$9)*T$7)+(((IF($A8=Nutrients!$B$79,Nutrients!$AJ$79,(IF($A8=Nutrients!$B$77,Nutrients!$AJ$77,Nutrients!$AJ$78)))))*T$8))/2000</f>
        <v>0.87177221741562871</v>
      </c>
      <c r="U245" s="26">
        <f>(SUMPRODUCT(U$9:U$229,Nutrients!$AJ$8:$AJ$228)+(IF($A7=Nutrients!$B$8,Nutrients!$AJ$8,Nutrients!$AJ$9)*U$7)+(((IF($A8=Nutrients!$B$79,Nutrients!$AJ$79,(IF($A8=Nutrients!$B$77,Nutrients!$AJ$77,Nutrients!$AJ$78)))))*U$8))/2000</f>
        <v>0.82937643702496799</v>
      </c>
      <c r="W245" s="26">
        <f>(SUMPRODUCT(W$9:W$229,Nutrients!$AJ$8:$AJ$228)+(IF($A7=Nutrients!$B$8,Nutrients!$AJ$8,Nutrients!$AJ$9)*W$7)+(((IF($A8=Nutrients!$B$79,Nutrients!$AJ$79,(IF($A8=Nutrients!$B$77,Nutrients!$AJ$77,Nutrients!$AJ$78)))))*W$8))/2000</f>
        <v>1.3446774400725758</v>
      </c>
      <c r="X245" s="26">
        <f>(SUMPRODUCT(X$9:X$229,Nutrients!$AJ$8:$AJ$228)+(IF($A7=Nutrients!$B$8,Nutrients!$AJ$8,Nutrients!$AJ$9)*X$7)+(((IF($A8=Nutrients!$B$79,Nutrients!$AJ$79,(IF($A8=Nutrients!$B$77,Nutrients!$AJ$77,Nutrients!$AJ$78)))))*X$8))/2000</f>
        <v>1.1970288589938833</v>
      </c>
      <c r="Y245" s="26">
        <f>(SUMPRODUCT(Y$9:Y$229,Nutrients!$AJ$8:$AJ$228)+(IF($A7=Nutrients!$B$8,Nutrients!$AJ$8,Nutrients!$AJ$9)*Y$7)+(((IF($A8=Nutrients!$B$79,Nutrients!$AJ$79,(IF($A8=Nutrients!$B$77,Nutrients!$AJ$77,Nutrients!$AJ$78)))))*Y$8))/2000</f>
        <v>1.066634504354383</v>
      </c>
      <c r="Z245" s="26">
        <f>(SUMPRODUCT(Z$9:Z$229,Nutrients!$AJ$8:$AJ$228)+(IF($A7=Nutrients!$B$8,Nutrients!$AJ$8,Nutrients!$AJ$9)*Z$7)+(((IF($A8=Nutrients!$B$79,Nutrients!$AJ$79,(IF($A8=Nutrients!$B$77,Nutrients!$AJ$77,Nutrients!$AJ$78)))))*Z$8))/2000</f>
        <v>0.95716331090755213</v>
      </c>
      <c r="AA245" s="26">
        <f>(SUMPRODUCT(AA$9:AA$229,Nutrients!$AJ$8:$AJ$228)+(IF($A7=Nutrients!$B$8,Nutrients!$AJ$8,Nutrients!$AJ$9)*AA$7)+(((IF($A8=Nutrients!$B$79,Nutrients!$AJ$79,(IF($A8=Nutrients!$B$77,Nutrients!$AJ$77,Nutrients!$AJ$78)))))*AA$8))/2000</f>
        <v>0.880521079452664</v>
      </c>
      <c r="AB245" s="26">
        <f>(SUMPRODUCT(AB$9:AB$229,Nutrients!$AJ$8:$AJ$228)+(IF($A7=Nutrients!$B$8,Nutrients!$AJ$8,Nutrients!$AJ$9)*AB$7)+(((IF($A8=Nutrients!$B$79,Nutrients!$AJ$79,(IF($A8=Nutrients!$B$77,Nutrients!$AJ$77,Nutrients!$AJ$78)))))*AB$8))/2000</f>
        <v>0.83810812466694551</v>
      </c>
      <c r="AD245" s="26">
        <f>(SUMPRODUCT(AD$9:AD$229,Nutrients!$AJ$8:$AJ$228)+(IF($A7=Nutrients!$B$8,Nutrients!$AJ$8,Nutrients!$AJ$9)*AD$7)+(((IF($A8=Nutrients!$B$79,Nutrients!$AJ$79,(IF($A8=Nutrients!$B$77,Nutrients!$AJ$77,Nutrients!$AJ$78)))))*AD$8))/2000</f>
        <v>1.3534324436796334</v>
      </c>
      <c r="AE245" s="26">
        <f>(SUMPRODUCT(AE$9:AE$229,Nutrients!$AJ$8:$AJ$228)+(IF($A7=Nutrients!$B$8,Nutrients!$AJ$8,Nutrients!$AJ$9)*AE$7)+(((IF($A8=Nutrients!$B$79,Nutrients!$AJ$79,(IF($A8=Nutrients!$B$77,Nutrients!$AJ$77,Nutrients!$AJ$78)))))*AE$8))/2000</f>
        <v>1.205785004191916</v>
      </c>
      <c r="AF245" s="26">
        <f>(SUMPRODUCT(AF$9:AF$229,Nutrients!$AJ$8:$AJ$228)+(IF($A7=Nutrients!$B$8,Nutrients!$AJ$8,Nutrients!$AJ$9)*AF$7)+(((IF($A8=Nutrients!$B$79,Nutrients!$AJ$79,(IF($A8=Nutrients!$B$77,Nutrients!$AJ$77,Nutrients!$AJ$78)))))*AF$8))/2000</f>
        <v>1.0753866611234606</v>
      </c>
      <c r="AG245" s="26">
        <f>(SUMPRODUCT(AG$9:AG$229,Nutrients!$AJ$8:$AJ$228)+(IF($A7=Nutrients!$B$8,Nutrients!$AJ$8,Nutrients!$AJ$9)*AG$7)+(((IF($A8=Nutrients!$B$79,Nutrients!$AJ$79,(IF($A8=Nutrients!$B$77,Nutrients!$AJ$77,Nutrients!$AJ$78)))))*AG$8))/2000</f>
        <v>0.96591380317364539</v>
      </c>
      <c r="AH245" s="26">
        <f>(SUMPRODUCT(AH$9:AH$229,Nutrients!$AJ$8:$AJ$228)+(IF($A7=Nutrients!$B$8,Nutrients!$AJ$8,Nutrients!$AJ$9)*AH$7)+(((IF($A8=Nutrients!$B$79,Nutrients!$AJ$79,(IF($A8=Nutrients!$B$77,Nutrients!$AJ$77,Nutrients!$AJ$78)))))*AH$8))/2000</f>
        <v>0.88921552874532017</v>
      </c>
      <c r="AI245" s="26">
        <f>(SUMPRODUCT(AI$9:AI$229,Nutrients!$AJ$8:$AJ$228)+(IF($A7=Nutrients!$B$8,Nutrients!$AJ$8,Nutrients!$AJ$9)*AI$7)+(((IF($A8=Nutrients!$B$79,Nutrients!$AJ$79,(IF($A8=Nutrients!$B$77,Nutrients!$AJ$77,Nutrients!$AJ$78)))))*AI$8))/2000</f>
        <v>0.84678739228185262</v>
      </c>
      <c r="AK245" s="26">
        <f>(SUMPRODUCT(AK$9:AK$229,Nutrients!$AJ$8:$AJ$228)+(IF($A7=Nutrients!$B$8,Nutrients!$AJ$8,Nutrients!$AJ$9)*AK$7)+(((IF($A8=Nutrients!$B$79,Nutrients!$AJ$79,(IF($A8=Nutrients!$B$77,Nutrients!$AJ$77,Nutrients!$AJ$78)))))*AK$8))/2000</f>
        <v>1.3621854875273944</v>
      </c>
      <c r="AL245" s="26">
        <f>(SUMPRODUCT(AL$9:AL$229,Nutrients!$AJ$8:$AJ$228)+(IF($A7=Nutrients!$B$8,Nutrients!$AJ$8,Nutrients!$AJ$9)*AL$7)+(((IF($A8=Nutrients!$B$79,Nutrients!$AJ$79,(IF($A8=Nutrients!$B$77,Nutrients!$AJ$77,Nutrients!$AJ$78)))))*AL$8))/2000</f>
        <v>1.2145371272598704</v>
      </c>
      <c r="AM245" s="26">
        <f>(SUMPRODUCT(AM$9:AM$229,Nutrients!$AJ$8:$AJ$228)+(IF($A7=Nutrients!$B$8,Nutrients!$AJ$8,Nutrients!$AJ$9)*AM$7)+(((IF($A8=Nutrients!$B$79,Nutrients!$AJ$79,(IF($A8=Nutrients!$B$77,Nutrients!$AJ$77,Nutrients!$AJ$78)))))*AM$8))/2000</f>
        <v>1.0841401318830877</v>
      </c>
      <c r="AN245" s="26">
        <f>(SUMPRODUCT(AN$9:AN$229,Nutrients!$AJ$8:$AJ$228)+(IF($A7=Nutrients!$B$8,Nutrients!$AJ$8,Nutrients!$AJ$9)*AN$7)+(((IF($A8=Nutrients!$B$79,Nutrients!$AJ$79,(IF($A8=Nutrients!$B$77,Nutrients!$AJ$77,Nutrients!$AJ$78)))))*AN$8))/2000</f>
        <v>0.97461627281321506</v>
      </c>
      <c r="AO245" s="26">
        <f>(SUMPRODUCT(AO$9:AO$229,Nutrients!$AJ$8:$AJ$228)+(IF($A7=Nutrients!$B$8,Nutrients!$AJ$8,Nutrients!$AJ$9)*AO$7)+(((IF($A8=Nutrients!$B$79,Nutrients!$AJ$79,(IF($A8=Nutrients!$B$77,Nutrients!$AJ$77,Nutrients!$AJ$78)))))*AO$8))/2000</f>
        <v>0.89789509016630897</v>
      </c>
      <c r="AP245" s="26">
        <f>(SUMPRODUCT(AP$9:AP$229,Nutrients!$AJ$8:$AJ$228)+(IF($A7=Nutrients!$B$8,Nutrients!$AJ$8,Nutrients!$AJ$9)*AP$7)+(((IF($A8=Nutrients!$B$79,Nutrients!$AJ$79,(IF($A8=Nutrients!$B$77,Nutrients!$AJ$77,Nutrients!$AJ$78)))))*AP$8))/2000</f>
        <v>0.85546655488721846</v>
      </c>
      <c r="AR245" s="26">
        <f>(SUMPRODUCT(AR$9:AR$229,Nutrients!$AJ$8:$AJ$228)+(IF($A7=Nutrients!$B$8,Nutrients!$AJ$8,Nutrients!$AJ$9)*AR$7)+(((IF($A8=Nutrients!$B$79,Nutrients!$AJ$79,(IF($A8=Nutrients!$B$77,Nutrients!$AJ$77,Nutrients!$AJ$78)))))*AR$8))/2000</f>
        <v>1.3709348980723421</v>
      </c>
      <c r="AS245" s="26">
        <f>(SUMPRODUCT(AS$9:AS$229,Nutrients!$AJ$8:$AJ$228)+(IF($A7=Nutrients!$B$8,Nutrients!$AJ$8,Nutrients!$AJ$9)*AS$7)+(((IF($A8=Nutrients!$B$79,Nutrients!$AJ$79,(IF($A8=Nutrients!$B$77,Nutrients!$AJ$77,Nutrients!$AJ$78)))))*AS$8))/2000</f>
        <v>1.2232887056016799</v>
      </c>
      <c r="AT245" s="26">
        <f>(SUMPRODUCT(AT$9:AT$229,Nutrients!$AJ$8:$AJ$228)+(IF($A7=Nutrients!$B$8,Nutrients!$AJ$8,Nutrients!$AJ$9)*AT$7)+(((IF($A8=Nutrients!$B$79,Nutrients!$AJ$79,(IF($A8=Nutrients!$B$77,Nutrients!$AJ$77,Nutrients!$AJ$78)))))*AT$8))/2000</f>
        <v>1.092884310156885</v>
      </c>
      <c r="AU245" s="26">
        <f>(SUMPRODUCT(AU$9:AU$229,Nutrients!$AJ$8:$AJ$228)+(IF($A7=Nutrients!$B$8,Nutrients!$AJ$8,Nutrients!$AJ$9)*AU$7)+(((IF($A8=Nutrients!$B$79,Nutrients!$AJ$79,(IF($A8=Nutrients!$B$77,Nutrients!$AJ$77,Nutrients!$AJ$78)))))*AU$8))/2000</f>
        <v>0.98329591923672111</v>
      </c>
      <c r="AV245" s="26">
        <f>(SUMPRODUCT(AV$9:AV$229,Nutrients!$AJ$8:$AJ$228)+(IF($A7=Nutrients!$B$8,Nutrients!$AJ$8,Nutrients!$AJ$9)*AV$7)+(((IF($A8=Nutrients!$B$79,Nutrients!$AJ$79,(IF($A8=Nutrients!$B$77,Nutrients!$AJ$77,Nutrients!$AJ$78)))))*AV$8))/2000</f>
        <v>0.90657464113313202</v>
      </c>
      <c r="AW245" s="26">
        <f>(SUMPRODUCT(AW$9:AW$229,Nutrients!$AJ$8:$AJ$228)+(IF($A7=Nutrients!$B$8,Nutrients!$AJ$8,Nutrients!$AJ$9)*AW$7)+(((IF($A8=Nutrients!$B$79,Nutrients!$AJ$79,(IF($A8=Nutrients!$B$77,Nutrients!$AJ$77,Nutrients!$AJ$78)))))*AW$8))/2000</f>
        <v>0.86414571231621906</v>
      </c>
    </row>
    <row r="246" spans="1:57" x14ac:dyDescent="0.25">
      <c r="A246" s="3" t="s">
        <v>18</v>
      </c>
      <c r="B246" s="21">
        <f>(SUMPRODUCT(B$9:B$229,Nutrients!$E$8:$E$228)+(IF($A$7=Nutrients!$B$8,Nutrients!$E$8,Nutrients!$E$9)*B$7)+(((IF($A$8=Nutrients!$B$79,Nutrients!$E$79,(IF($A$8=Nutrients!$B$77,Nutrients!$E$77,Nutrients!$E$78)))))*B$8))/2000/2.2046</f>
        <v>1494.8752150724465</v>
      </c>
      <c r="C246" s="21">
        <f>(SUMPRODUCT(C$9:C$229,Nutrients!$E$8:$E$228)+(IF($A$7=Nutrients!$B$8,Nutrients!$E$8,Nutrients!$E$9)*C$7)+(((IF($A$8=Nutrients!$B$79,Nutrients!$E$79,(IF($A$8=Nutrients!$B$77,Nutrients!$E$77,Nutrients!$E$78)))))*C$8))/2000/2.2046</f>
        <v>1499.3360353372043</v>
      </c>
      <c r="D246" s="21">
        <f>(SUMPRODUCT(D$9:D$229,Nutrients!$E$8:$E$228)+(IF($A$7=Nutrients!$B$8,Nutrients!$E$8,Nutrients!$E$9)*D$7)+(((IF($A$8=Nutrients!$B$79,Nutrients!$E$79,(IF($A$8=Nutrients!$B$77,Nutrients!$E$77,Nutrients!$E$78)))))*D$8))/2000/2.2046</f>
        <v>1503.3094742023004</v>
      </c>
      <c r="E246" s="21">
        <f>(SUMPRODUCT(E$9:E$229,Nutrients!$E$8:$E$228)+(IF($A$7=Nutrients!$B$8,Nutrients!$E$8,Nutrients!$E$9)*E$7)+(((IF($A$8=Nutrients!$B$79,Nutrients!$E$79,(IF($A$8=Nutrients!$B$77,Nutrients!$E$77,Nutrients!$E$78)))))*E$8))/2000/2.2046</f>
        <v>1507.503198782209</v>
      </c>
      <c r="F246" s="21">
        <f>(SUMPRODUCT(F$9:F$229,Nutrients!$E$8:$E$228)+(IF($A$7=Nutrients!$B$8,Nutrients!$E$8,Nutrients!$E$9)*F$7)+(((IF($A$8=Nutrients!$B$79,Nutrients!$E$79,(IF($A$8=Nutrients!$B$77,Nutrients!$E$77,Nutrients!$E$78)))))*F$8))/2000/2.2046</f>
        <v>1511.0932854222328</v>
      </c>
      <c r="G246" s="21">
        <f>(SUMPRODUCT(G$9:G$229,Nutrients!$E$8:$E$228)+(IF($A$7=Nutrients!$B$8,Nutrients!$E$8,Nutrients!$E$9)*G$7)+(((IF($A$8=Nutrients!$B$79,Nutrients!$E$79,(IF($A$8=Nutrients!$B$77,Nutrients!$E$77,Nutrients!$E$78)))))*G$8))/2000/2.2046</f>
        <v>1512.5359640705287</v>
      </c>
      <c r="H246" s="226"/>
      <c r="I246" s="21">
        <f>(SUMPRODUCT(I$9:I$229,Nutrients!$E$8:$E$228)+(IF($A$7=Nutrients!$B$8,Nutrients!$E$8,Nutrients!$E$9)*I$7)+(((IF($A$8=Nutrients!$B$79,Nutrients!$E$79,(IF($A$8=Nutrients!$B$77,Nutrients!$E$77,Nutrients!$E$78)))))*I$8))/2000/2.2046</f>
        <v>1508.4181494758338</v>
      </c>
      <c r="J246" s="21">
        <f>(SUMPRODUCT(J$9:J$229,Nutrients!$E$8:$E$228)+(IF($A$7=Nutrients!$B$8,Nutrients!$E$8,Nutrients!$E$9)*J$7)+(((IF($A$8=Nutrients!$B$79,Nutrients!$E$79,(IF($A$8=Nutrients!$B$77,Nutrients!$E$77,Nutrients!$E$78)))))*J$8))/2000/2.2046</f>
        <v>1512.9570730580454</v>
      </c>
      <c r="K246" s="21">
        <f>(SUMPRODUCT(K$9:K$229,Nutrients!$E$8:$E$228)+(IF($A$7=Nutrients!$B$8,Nutrients!$E$8,Nutrients!$E$9)*K$7)+(((IF($A$8=Nutrients!$B$79,Nutrients!$E$79,(IF($A$8=Nutrients!$B$77,Nutrients!$E$77,Nutrients!$E$78)))))*K$8))/2000/2.2046</f>
        <v>1517.0136842152094</v>
      </c>
      <c r="L246" s="21">
        <f>(SUMPRODUCT(L$9:L$229,Nutrients!$E$8:$E$228)+(IF($A$7=Nutrients!$B$8,Nutrients!$E$8,Nutrients!$E$9)*L$7)+(((IF($A$8=Nutrients!$B$79,Nutrients!$E$79,(IF($A$8=Nutrients!$B$77,Nutrients!$E$77,Nutrients!$E$78)))))*L$8))/2000/2.2046</f>
        <v>1521.2312749870487</v>
      </c>
      <c r="M246" s="21">
        <f>(SUMPRODUCT(M$9:M$229,Nutrients!$E$8:$E$228)+(IF($A$7=Nutrients!$B$8,Nutrients!$E$8,Nutrients!$E$9)*M$7)+(((IF($A$8=Nutrients!$B$79,Nutrients!$E$79,(IF($A$8=Nutrients!$B$77,Nutrients!$E$77,Nutrients!$E$78)))))*M$8))/2000/2.2046</f>
        <v>1524.8173966018894</v>
      </c>
      <c r="N246" s="21">
        <f>(SUMPRODUCT(N$9:N$229,Nutrients!$E$8:$E$228)+(IF($A$7=Nutrients!$B$8,Nutrients!$E$8,Nutrients!$E$9)*N$7)+(((IF($A$8=Nutrients!$B$79,Nutrients!$E$79,(IF($A$8=Nutrients!$B$77,Nutrients!$E$77,Nutrients!$E$78)))))*N$8))/2000/2.2046</f>
        <v>1526.291589866117</v>
      </c>
      <c r="O246" s="234"/>
      <c r="P246" s="21">
        <f>(SUMPRODUCT(P$9:P$229,Nutrients!$E$8:$E$228)+(IF($A$7=Nutrients!$B$8,Nutrients!$E$8,Nutrients!$E$9)*P$7)+(((IF($A$8=Nutrients!$B$79,Nutrients!$E$79,(IF($A$8=Nutrients!$B$77,Nutrients!$E$77,Nutrients!$E$78)))))*P$8))/2000/2.2046</f>
        <v>1522.0749117819566</v>
      </c>
      <c r="Q246" s="21">
        <f>(SUMPRODUCT(Q$9:Q$229,Nutrients!$E$8:$E$228)+(IF($A$7=Nutrients!$B$8,Nutrients!$E$8,Nutrients!$E$9)*Q$7)+(((IF($A$8=Nutrients!$B$79,Nutrients!$E$79,(IF($A$8=Nutrients!$B$77,Nutrients!$E$77,Nutrients!$E$78)))))*Q$8))/2000/2.2046</f>
        <v>1526.6386072982261</v>
      </c>
      <c r="R246" s="21">
        <f>(SUMPRODUCT(R$9:R$229,Nutrients!$E$8:$E$228)+(IF($A$7=Nutrients!$B$8,Nutrients!$E$8,Nutrients!$E$9)*R$7)+(((IF($A$8=Nutrients!$B$79,Nutrients!$E$79,(IF($A$8=Nutrients!$B$77,Nutrients!$E$77,Nutrients!$E$78)))))*R$8))/2000/2.2046</f>
        <v>1530.7748504836536</v>
      </c>
      <c r="S246" s="21">
        <f>(SUMPRODUCT(S$9:S$229,Nutrients!$E$8:$E$228)+(IF($A$7=Nutrients!$B$8,Nutrients!$E$8,Nutrients!$E$9)*S$7)+(((IF($A$8=Nutrients!$B$79,Nutrients!$E$79,(IF($A$8=Nutrients!$B$77,Nutrients!$E$77,Nutrients!$E$78)))))*S$8))/2000/2.2046</f>
        <v>1534.9623815737409</v>
      </c>
      <c r="T246" s="21">
        <f>(SUMPRODUCT(T$9:T$229,Nutrients!$E$8:$E$228)+(IF($A$7=Nutrients!$B$8,Nutrients!$E$8,Nutrients!$E$9)*T$7)+(((IF($A$8=Nutrients!$B$79,Nutrients!$E$79,(IF($A$8=Nutrients!$B$77,Nutrients!$E$77,Nutrients!$E$78)))))*T$8))/2000/2.2046</f>
        <v>1538.5443558468921</v>
      </c>
      <c r="U246" s="21">
        <f>(SUMPRODUCT(U$9:U$229,Nutrients!$E$8:$E$228)+(IF($A$7=Nutrients!$B$8,Nutrients!$E$8,Nutrients!$E$9)*U$7)+(((IF($A$8=Nutrients!$B$79,Nutrients!$E$79,(IF($A$8=Nutrients!$B$77,Nutrients!$E$77,Nutrients!$E$78)))))*U$8))/2000/2.2046</f>
        <v>1540.0367591570048</v>
      </c>
      <c r="W246" s="21">
        <f>(SUMPRODUCT(W$9:W$229,Nutrients!$E$8:$E$228)+(IF($A$7=Nutrients!$B$8,Nutrients!$E$8,Nutrients!$E$9)*W$7)+(((IF($A$8=Nutrients!$B$79,Nutrients!$E$79,(IF($A$8=Nutrients!$B$77,Nutrients!$E$77,Nutrients!$E$78)))))*W$8))/2000/2.2046</f>
        <v>1535.8403972257431</v>
      </c>
      <c r="X246" s="21">
        <f>(SUMPRODUCT(X$9:X$229,Nutrients!$E$8:$E$228)+(IF($A$7=Nutrients!$B$8,Nutrients!$E$8,Nutrients!$E$9)*X$7)+(((IF($A$8=Nutrients!$B$79,Nutrients!$E$79,(IF($A$8=Nutrients!$B$77,Nutrients!$E$77,Nutrients!$E$78)))))*X$8))/2000/2.2046</f>
        <v>1540.4823953071684</v>
      </c>
      <c r="Y246" s="21">
        <f>(SUMPRODUCT(Y$9:Y$229,Nutrients!$E$8:$E$228)+(IF($A$7=Nutrients!$B$8,Nutrients!$E$8,Nutrients!$E$9)*Y$7)+(((IF($A$8=Nutrients!$B$79,Nutrients!$E$79,(IF($A$8=Nutrients!$B$77,Nutrients!$E$77,Nutrients!$E$78)))))*Y$8))/2000/2.2046</f>
        <v>1544.5787547806597</v>
      </c>
      <c r="Z246" s="21">
        <f>(SUMPRODUCT(Z$9:Z$229,Nutrients!$E$8:$E$228)+(IF($A$7=Nutrients!$B$8,Nutrients!$E$8,Nutrients!$E$9)*Z$7)+(((IF($A$8=Nutrients!$B$79,Nutrients!$E$79,(IF($A$8=Nutrients!$B$77,Nutrients!$E$77,Nutrients!$E$78)))))*Z$8))/2000/2.2046</f>
        <v>1548.8529282399747</v>
      </c>
      <c r="AA246" s="21">
        <f>(SUMPRODUCT(AA$9:AA$229,Nutrients!$E$8:$E$228)+(IF($A$7=Nutrients!$B$8,Nutrients!$E$8,Nutrients!$E$9)*AA$7)+(((IF($A$8=Nutrients!$B$79,Nutrients!$E$79,(IF($A$8=Nutrients!$B$77,Nutrients!$E$77,Nutrients!$E$78)))))*AA$8))/2000/2.2046</f>
        <v>1552.4630794056879</v>
      </c>
      <c r="AB246" s="21">
        <f>(SUMPRODUCT(AB$9:AB$229,Nutrients!$E$8:$E$228)+(IF($A$7=Nutrients!$B$8,Nutrients!$E$8,Nutrients!$E$9)*AB$7)+(((IF($A$8=Nutrients!$B$79,Nutrients!$E$79,(IF($A$8=Nutrients!$B$77,Nutrients!$E$77,Nutrients!$E$78)))))*AB$8))/2000/2.2046</f>
        <v>1553.8339853397474</v>
      </c>
      <c r="AD246" s="21">
        <f>(SUMPRODUCT(AD$9:AD$229,Nutrients!$E$8:$E$228)+(IF($A$7=Nutrients!$B$8,Nutrients!$E$8,Nutrients!$E$9)*AD$7)+(((IF($A$8=Nutrients!$B$79,Nutrients!$E$79,(IF($A$8=Nutrients!$B$77,Nutrients!$E$77,Nutrients!$E$78)))))*AD$8))/2000/2.2046</f>
        <v>1549.67256370173</v>
      </c>
      <c r="AE246" s="21">
        <f>(SUMPRODUCT(AE$9:AE$229,Nutrients!$E$8:$E$228)+(IF($A$7=Nutrients!$B$8,Nutrients!$E$8,Nutrients!$E$9)*AE$7)+(((IF($A$8=Nutrients!$B$79,Nutrients!$E$79,(IF($A$8=Nutrients!$B$77,Nutrients!$E$77,Nutrients!$E$78)))))*AE$8))/2000/2.2046</f>
        <v>1554.271995571655</v>
      </c>
      <c r="AF246" s="21">
        <f>(SUMPRODUCT(AF$9:AF$229,Nutrients!$E$8:$E$228)+(IF($A$7=Nutrients!$B$8,Nutrients!$E$8,Nutrients!$E$9)*AF$7)+(((IF($A$8=Nutrients!$B$79,Nutrients!$E$79,(IF($A$8=Nutrients!$B$77,Nutrients!$E$77,Nutrients!$E$78)))))*AF$8))/2000/2.2046</f>
        <v>1558.4674223483003</v>
      </c>
      <c r="AG246" s="21">
        <f>(SUMPRODUCT(AG$9:AG$229,Nutrients!$E$8:$E$228)+(IF($A$7=Nutrients!$B$8,Nutrients!$E$8,Nutrients!$E$9)*AG$7)+(((IF($A$8=Nutrients!$B$79,Nutrients!$E$79,(IF($A$8=Nutrients!$B$77,Nutrients!$E$77,Nutrients!$E$78)))))*AG$8))/2000/2.2046</f>
        <v>1562.7271992943179</v>
      </c>
      <c r="AH246" s="21">
        <f>(SUMPRODUCT(AH$9:AH$229,Nutrients!$E$8:$E$228)+(IF($A$7=Nutrients!$B$8,Nutrients!$E$8,Nutrients!$E$9)*AH$7)+(((IF($A$8=Nutrients!$B$79,Nutrients!$E$79,(IF($A$8=Nutrients!$B$77,Nutrients!$E$77,Nutrients!$E$78)))))*AH$8))/2000/2.2046</f>
        <v>1566.088745171108</v>
      </c>
      <c r="AI246" s="21">
        <f>(SUMPRODUCT(AI$9:AI$229,Nutrients!$E$8:$E$228)+(IF($A$7=Nutrients!$B$8,Nutrients!$E$8,Nutrients!$E$9)*AI$7)+(((IF($A$8=Nutrients!$B$79,Nutrients!$E$79,(IF($A$8=Nutrients!$B$77,Nutrients!$E$77,Nutrients!$E$78)))))*AI$8))/2000/2.2046</f>
        <v>1567.4890190688263</v>
      </c>
      <c r="AK246" s="21">
        <f>(SUMPRODUCT(AK$9:AK$229,Nutrients!$E$8:$E$228)+(IF($A$7=Nutrients!$B$8,Nutrients!$E$8,Nutrients!$E$9)*AK$7)+(((IF($A$8=Nutrients!$B$79,Nutrients!$E$79,(IF($A$8=Nutrients!$B$77,Nutrients!$E$77,Nutrients!$E$78)))))*AK$8))/2000/2.2046</f>
        <v>1563.4296540414527</v>
      </c>
      <c r="AL246" s="21">
        <f>(SUMPRODUCT(AL$9:AL$229,Nutrients!$E$8:$E$228)+(IF($A$7=Nutrients!$B$8,Nutrients!$E$8,Nutrients!$E$9)*AL$7)+(((IF($A$8=Nutrients!$B$79,Nutrients!$E$79,(IF($A$8=Nutrients!$B$77,Nutrients!$E$77,Nutrients!$E$78)))))*AL$8))/2000/2.2046</f>
        <v>1568.0508563736917</v>
      </c>
      <c r="AM246" s="21">
        <f>(SUMPRODUCT(AM$9:AM$229,Nutrients!$E$8:$E$228)+(IF($A$7=Nutrients!$B$8,Nutrients!$E$8,Nutrients!$E$9)*AM$7)+(((IF($A$8=Nutrients!$B$79,Nutrients!$E$79,(IF($A$8=Nutrients!$B$77,Nutrients!$E$77,Nutrients!$E$78)))))*AM$8))/2000/2.2046</f>
        <v>1572.1927185650052</v>
      </c>
      <c r="AN246" s="21">
        <f>(SUMPRODUCT(AN$9:AN$229,Nutrients!$E$8:$E$228)+(IF($A$7=Nutrients!$B$8,Nutrients!$E$8,Nutrients!$E$9)*AN$7)+(((IF($A$8=Nutrients!$B$79,Nutrients!$E$79,(IF($A$8=Nutrients!$B$77,Nutrients!$E$77,Nutrients!$E$78)))))*AN$8))/2000/2.2046</f>
        <v>1576.2903579527058</v>
      </c>
      <c r="AO246" s="21">
        <f>(SUMPRODUCT(AO$9:AO$229,Nutrients!$E$8:$E$228)+(IF($A$7=Nutrients!$B$8,Nutrients!$E$8,Nutrients!$E$9)*AO$7)+(((IF($A$8=Nutrients!$B$79,Nutrients!$E$79,(IF($A$8=Nutrients!$B$77,Nutrients!$E$77,Nutrients!$E$78)))))*AO$8))/2000/2.2046</f>
        <v>1579.7315327435326</v>
      </c>
      <c r="AP246" s="21">
        <f>(SUMPRODUCT(AP$9:AP$229,Nutrients!$E$8:$E$228)+(IF($A$7=Nutrients!$B$8,Nutrients!$E$8,Nutrients!$E$9)*AP$7)+(((IF($A$8=Nutrients!$B$79,Nutrients!$E$79,(IF($A$8=Nutrients!$B$77,Nutrients!$E$77,Nutrients!$E$78)))))*AP$8))/2000/2.2046</f>
        <v>1581.1488640601572</v>
      </c>
      <c r="AR246" s="21">
        <f>(SUMPRODUCT(AR$9:AR$229,Nutrients!$E$8:$E$228)+(IF($A$7=Nutrients!$B$8,Nutrients!$E$8,Nutrients!$E$9)*AR$7)+(((IF($A$8=Nutrients!$B$79,Nutrients!$E$79,(IF($A$8=Nutrients!$B$77,Nutrients!$E$77,Nutrients!$E$78)))))*AR$8))/2000/2.2046</f>
        <v>1577.3465177274234</v>
      </c>
      <c r="AS246" s="21">
        <f>(SUMPRODUCT(AS$9:AS$229,Nutrients!$E$8:$E$228)+(IF($A$7=Nutrients!$B$8,Nutrients!$E$8,Nutrients!$E$9)*AS$7)+(((IF($A$8=Nutrients!$B$79,Nutrients!$E$79,(IF($A$8=Nutrients!$B$77,Nutrients!$E$77,Nutrients!$E$78)))))*AS$8))/2000/2.2046</f>
        <v>1581.8061178314424</v>
      </c>
      <c r="AT246" s="21">
        <f>(SUMPRODUCT(AT$9:AT$229,Nutrients!$E$8:$E$228)+(IF($A$7=Nutrients!$B$8,Nutrients!$E$8,Nutrients!$E$9)*AT$7)+(((IF($A$8=Nutrients!$B$79,Nutrients!$E$79,(IF($A$8=Nutrients!$B$77,Nutrients!$E$77,Nutrients!$E$78)))))*AT$8))/2000/2.2046</f>
        <v>1585.9807683230772</v>
      </c>
      <c r="AU246" s="21">
        <f>(SUMPRODUCT(AU$9:AU$229,Nutrients!$E$8:$E$228)+(IF($A$7=Nutrients!$B$8,Nutrients!$E$8,Nutrients!$E$9)*AU$7)+(((IF($A$8=Nutrients!$B$79,Nutrients!$E$79,(IF($A$8=Nutrients!$B$77,Nutrients!$E$77,Nutrients!$E$78)))))*AU$8))/2000/2.2046</f>
        <v>1589.9081905107892</v>
      </c>
      <c r="AV246" s="21">
        <f>(SUMPRODUCT(AV$9:AV$229,Nutrients!$E$8:$E$228)+(IF($A$7=Nutrients!$B$8,Nutrients!$E$8,Nutrients!$E$9)*AV$7)+(((IF($A$8=Nutrients!$B$79,Nutrients!$E$79,(IF($A$8=Nutrients!$B$77,Nutrients!$E$77,Nutrients!$E$78)))))*AV$8))/2000/2.2046</f>
        <v>1593.3746691391718</v>
      </c>
      <c r="AW246" s="21">
        <f>(SUMPRODUCT(AW$9:AW$229,Nutrients!$E$8:$E$228)+(IF($A$7=Nutrients!$B$8,Nutrients!$E$8,Nutrients!$E$9)*AW$7)+(((IF($A$8=Nutrients!$B$79,Nutrients!$E$79,(IF($A$8=Nutrients!$B$77,Nutrients!$E$77,Nutrients!$E$78)))))*AW$8))/2000/2.2046</f>
        <v>1594.808838138287</v>
      </c>
    </row>
    <row r="247" spans="1:57" x14ac:dyDescent="0.25">
      <c r="A247" s="5" t="s">
        <v>32</v>
      </c>
      <c r="B247" s="21">
        <f>(SUMPRODUCT(B$9:B$229,Nutrients!$DY$8:$DY$228)+(IF($A$7=Nutrients!$B$8,Nutrients!$DY$8,Nutrients!$DY$9)*B$7)+(((IF($A$8=Nutrients!$B$79,Nutrients!$DY$79,(IF($A$8=Nutrients!$B$77,Nutrients!$DY$77,Nutrients!$DY$78)))))*B$8))/2000/2.2046</f>
        <v>1097.7096913668909</v>
      </c>
      <c r="C247" s="21">
        <f>(SUMPRODUCT(C$9:C$229,Nutrients!$DY$8:$DY$228)+(IF($A$7=Nutrients!$B$8,Nutrients!$DY$8,Nutrients!$DY$9)*C$7)+(((IF($A$8=Nutrients!$B$79,Nutrients!$DY$79,(IF($A$8=Nutrients!$B$77,Nutrients!$DY$77,Nutrients!$DY$78)))))*C$8))/2000/2.2046</f>
        <v>1111.6567624325369</v>
      </c>
      <c r="D247" s="21">
        <f>(SUMPRODUCT(D$9:D$229,Nutrients!$DY$8:$DY$228)+(IF($A$7=Nutrients!$B$8,Nutrients!$DY$8,Nutrients!$DY$9)*D$7)+(((IF($A$8=Nutrients!$B$79,Nutrients!$DY$79,(IF($A$8=Nutrients!$B$77,Nutrients!$DY$77,Nutrients!$DY$78)))))*D$8))/2000/2.2046</f>
        <v>1123.5684729276254</v>
      </c>
      <c r="E247" s="21">
        <f>(SUMPRODUCT(E$9:E$229,Nutrients!$DY$8:$DY$228)+(IF($A$7=Nutrients!$B$8,Nutrients!$DY$8,Nutrients!$DY$9)*E$7)+(((IF($A$8=Nutrients!$B$79,Nutrients!$DY$79,(IF($A$8=Nutrients!$B$77,Nutrients!$DY$77,Nutrients!$DY$78)))))*E$8))/2000/2.2046</f>
        <v>1135.5706715184997</v>
      </c>
      <c r="F247" s="21">
        <f>(SUMPRODUCT(F$9:F$229,Nutrients!$DY$8:$DY$228)+(IF($A$7=Nutrients!$B$8,Nutrients!$DY$8,Nutrients!$DY$9)*F$7)+(((IF($A$8=Nutrients!$B$79,Nutrients!$DY$79,(IF($A$8=Nutrients!$B$77,Nutrients!$DY$77,Nutrients!$DY$78)))))*F$8))/2000/2.2046</f>
        <v>1145.7413873005344</v>
      </c>
      <c r="G247" s="21">
        <f>(SUMPRODUCT(G$9:G$229,Nutrients!$DY$8:$DY$228)+(IF($A$7=Nutrients!$B$8,Nutrients!$DY$8,Nutrients!$DY$9)*G$7)+(((IF($A$8=Nutrients!$B$79,Nutrients!$DY$79,(IF($A$8=Nutrients!$B$77,Nutrients!$DY$77,Nutrients!$DY$78)))))*G$8))/2000/2.2046</f>
        <v>1150.9323531256127</v>
      </c>
      <c r="H247" s="226"/>
      <c r="I247" s="21">
        <f>(SUMPRODUCT(I$9:I$229,Nutrients!$DY$8:$DY$228)+(IF($A$7=Nutrients!$B$8,Nutrients!$DY$8,Nutrients!$DY$9)*I$7)+(((IF($A$8=Nutrients!$B$79,Nutrients!$DY$79,(IF($A$8=Nutrients!$B$77,Nutrients!$DY$77,Nutrients!$DY$78)))))*I$8))/2000/2.2046</f>
        <v>1051.7434963703611</v>
      </c>
      <c r="J247" s="21">
        <f>(SUMPRODUCT(J$9:J$229,Nutrients!$DY$8:$DY$228)+(IF($A$7=Nutrients!$B$8,Nutrients!$DY$8,Nutrients!$DY$9)*J$7)+(((IF($A$8=Nutrients!$B$79,Nutrients!$DY$79,(IF($A$8=Nutrients!$B$77,Nutrients!$DY$77,Nutrients!$DY$78)))))*J$8))/2000/2.2046</f>
        <v>1065.770310996664</v>
      </c>
      <c r="K247" s="21">
        <f>(SUMPRODUCT(K$9:K$229,Nutrients!$DY$8:$DY$228)+(IF($A$7=Nutrients!$B$8,Nutrients!$DY$8,Nutrients!$DY$9)*K$7)+(((IF($A$8=Nutrients!$B$79,Nutrients!$DY$79,(IF($A$8=Nutrients!$B$77,Nutrients!$DY$77,Nutrients!$DY$78)))))*K$8))/2000/2.2046</f>
        <v>1077.7282921390797</v>
      </c>
      <c r="L247" s="21">
        <f>(SUMPRODUCT(L$9:L$229,Nutrients!$DY$8:$DY$228)+(IF($A$7=Nutrients!$B$8,Nutrients!$DY$8,Nutrients!$DY$9)*L$7)+(((IF($A$8=Nutrients!$B$79,Nutrients!$DY$79,(IF($A$8=Nutrients!$B$77,Nutrients!$DY$77,Nutrients!$DY$78)))))*L$8))/2000/2.2046</f>
        <v>1089.7682997839161</v>
      </c>
      <c r="M247" s="21">
        <f>(SUMPRODUCT(M$9:M$229,Nutrients!$DY$8:$DY$228)+(IF($A$7=Nutrients!$B$8,Nutrients!$DY$8,Nutrients!$DY$9)*M$7)+(((IF($A$8=Nutrients!$B$79,Nutrients!$DY$79,(IF($A$8=Nutrients!$B$77,Nutrients!$DY$77,Nutrients!$DY$78)))))*M$8))/2000/2.2046</f>
        <v>1099.941854359035</v>
      </c>
      <c r="N247" s="21">
        <f>(SUMPRODUCT(N$9:N$229,Nutrients!$DY$8:$DY$228)+(IF($A$7=Nutrients!$B$8,Nutrients!$DY$8,Nutrients!$DY$9)*N$7)+(((IF($A$8=Nutrients!$B$79,Nutrients!$DY$79,(IF($A$8=Nutrients!$B$77,Nutrients!$DY$77,Nutrients!$DY$78)))))*N$8))/2000/2.2046</f>
        <v>1105.1497458412377</v>
      </c>
      <c r="O247" s="234"/>
      <c r="P247" s="21">
        <f>(SUMPRODUCT(P$9:P$229,Nutrients!$DY$8:$DY$228)+(IF($A$7=Nutrients!$B$8,Nutrients!$DY$8,Nutrients!$DY$9)*P$7)+(((IF($A$8=Nutrients!$B$79,Nutrients!$DY$79,(IF($A$8=Nutrients!$B$77,Nutrients!$DY$77,Nutrients!$DY$78)))))*P$8))/2000/2.2046</f>
        <v>1005.8787557911279</v>
      </c>
      <c r="Q247" s="21">
        <f>(SUMPRODUCT(Q$9:Q$229,Nutrients!$DY$8:$DY$228)+(IF($A$7=Nutrients!$B$8,Nutrients!$DY$8,Nutrients!$DY$9)*Q$7)+(((IF($A$8=Nutrients!$B$79,Nutrients!$DY$79,(IF($A$8=Nutrients!$B$77,Nutrients!$DY$77,Nutrients!$DY$78)))))*Q$8))/2000/2.2046</f>
        <v>1019.9245860858845</v>
      </c>
      <c r="R247" s="21">
        <f>(SUMPRODUCT(R$9:R$229,Nutrients!$DY$8:$DY$228)+(IF($A$7=Nutrients!$B$8,Nutrients!$DY$8,Nutrients!$DY$9)*R$7)+(((IF($A$8=Nutrients!$B$79,Nutrients!$DY$79,(IF($A$8=Nutrients!$B$77,Nutrients!$DY$77,Nutrients!$DY$78)))))*R$8))/2000/2.2046</f>
        <v>1031.9496564235899</v>
      </c>
      <c r="S247" s="21">
        <f>(SUMPRODUCT(S$9:S$229,Nutrients!$DY$8:$DY$228)+(IF($A$7=Nutrients!$B$8,Nutrients!$DY$8,Nutrients!$DY$9)*S$7)+(((IF($A$8=Nutrients!$B$79,Nutrients!$DY$79,(IF($A$8=Nutrients!$B$77,Nutrients!$DY$77,Nutrients!$DY$78)))))*S$8))/2000/2.2046</f>
        <v>1043.9591291163313</v>
      </c>
      <c r="T247" s="21">
        <f>(SUMPRODUCT(T$9:T$229,Nutrients!$DY$8:$DY$228)+(IF($A$7=Nutrients!$B$8,Nutrients!$DY$8,Nutrients!$DY$9)*T$7)+(((IF($A$8=Nutrients!$B$79,Nutrients!$DY$79,(IF($A$8=Nutrients!$B$77,Nutrients!$DY$77,Nutrients!$DY$78)))))*T$8))/2000/2.2046</f>
        <v>1054.1366392915484</v>
      </c>
      <c r="U247" s="21">
        <f>(SUMPRODUCT(U$9:U$229,Nutrients!$DY$8:$DY$228)+(IF($A$7=Nutrients!$B$8,Nutrients!$DY$8,Nutrients!$DY$9)*U$7)+(((IF($A$8=Nutrients!$B$79,Nutrients!$DY$79,(IF($A$8=Nutrients!$B$77,Nutrients!$DY$77,Nutrients!$DY$78)))))*U$8))/2000/2.2046</f>
        <v>1059.3626014393055</v>
      </c>
      <c r="W247" s="21">
        <f>(SUMPRODUCT(W$9:W$229,Nutrients!$DY$8:$DY$228)+(IF($A$7=Nutrients!$B$8,Nutrients!$DY$8,Nutrients!$DY$9)*W$7)+(((IF($A$8=Nutrients!$B$79,Nutrients!$DY$79,(IF($A$8=Nutrients!$B$77,Nutrients!$DY$77,Nutrients!$DY$78)))))*W$8))/2000/2.2046</f>
        <v>960.10468444507478</v>
      </c>
      <c r="X247" s="21">
        <f>(SUMPRODUCT(X$9:X$229,Nutrients!$DY$8:$DY$228)+(IF($A$7=Nutrients!$B$8,Nutrients!$DY$8,Nutrients!$DY$9)*X$7)+(((IF($A$8=Nutrients!$B$79,Nutrients!$DY$79,(IF($A$8=Nutrients!$B$77,Nutrients!$DY$77,Nutrients!$DY$78)))))*X$8))/2000/2.2046</f>
        <v>974.21373507558064</v>
      </c>
      <c r="Y247" s="21">
        <f>(SUMPRODUCT(Y$9:Y$229,Nutrients!$DY$8:$DY$228)+(IF($A$7=Nutrients!$B$8,Nutrients!$DY$8,Nutrients!$DY$9)*Y$7)+(((IF($A$8=Nutrients!$B$79,Nutrients!$DY$79,(IF($A$8=Nutrients!$B$77,Nutrients!$DY$77,Nutrients!$DY$78)))))*Y$8))/2000/2.2046</f>
        <v>986.19876865579226</v>
      </c>
      <c r="Z247" s="21">
        <f>(SUMPRODUCT(Z$9:Z$229,Nutrients!$DY$8:$DY$228)+(IF($A$7=Nutrients!$B$8,Nutrients!$DY$8,Nutrients!$DY$9)*Z$7)+(((IF($A$8=Nutrients!$B$79,Nutrients!$DY$79,(IF($A$8=Nutrients!$B$77,Nutrients!$DY$77,Nutrients!$DY$78)))))*Z$8))/2000/2.2046</f>
        <v>998.27771467429841</v>
      </c>
      <c r="AA247" s="21">
        <f>(SUMPRODUCT(AA$9:AA$229,Nutrients!$DY$8:$DY$228)+(IF($A$7=Nutrients!$B$8,Nutrients!$DY$8,Nutrients!$DY$9)*AA$7)+(((IF($A$8=Nutrients!$B$79,Nutrients!$DY$79,(IF($A$8=Nutrients!$B$77,Nutrients!$DY$77,Nutrients!$DY$78)))))*AA$8))/2000/2.2046</f>
        <v>1008.4637611819539</v>
      </c>
      <c r="AB247" s="21">
        <f>(SUMPRODUCT(AB$9:AB$229,Nutrients!$DY$8:$DY$228)+(IF($A$7=Nutrients!$B$8,Nutrients!$DY$8,Nutrients!$DY$9)*AB$7)+(((IF($A$8=Nutrients!$B$79,Nutrients!$DY$79,(IF($A$8=Nutrients!$B$77,Nutrients!$DY$77,Nutrients!$DY$78)))))*AB$8))/2000/2.2046</f>
        <v>1013.6313237142692</v>
      </c>
      <c r="AD247" s="21">
        <f>(SUMPRODUCT(AD$9:AD$229,Nutrients!$DY$8:$DY$228)+(IF($A$7=Nutrients!$B$8,Nutrients!$DY$8,Nutrients!$DY$9)*AD$7)+(((IF($A$8=Nutrients!$B$79,Nutrients!$DY$79,(IF($A$8=Nutrients!$B$77,Nutrients!$DY$77,Nutrients!$DY$78)))))*AD$8))/2000/2.2046</f>
        <v>914.3829159176986</v>
      </c>
      <c r="AE247" s="21">
        <f>(SUMPRODUCT(AE$9:AE$229,Nutrients!$DY$8:$DY$228)+(IF($A$7=Nutrients!$B$8,Nutrients!$DY$8,Nutrients!$DY$9)*AE$7)+(((IF($A$8=Nutrients!$B$79,Nutrients!$DY$79,(IF($A$8=Nutrients!$B$77,Nutrients!$DY$77,Nutrients!$DY$78)))))*AE$8))/2000/2.2046</f>
        <v>928.45415332639584</v>
      </c>
      <c r="AF247" s="21">
        <f>(SUMPRODUCT(AF$9:AF$229,Nutrients!$DY$8:$DY$228)+(IF($A$7=Nutrients!$B$8,Nutrients!$DY$8,Nutrients!$DY$9)*AF$7)+(((IF($A$8=Nutrients!$B$79,Nutrients!$DY$79,(IF($A$8=Nutrients!$B$77,Nutrients!$DY$77,Nutrients!$DY$78)))))*AF$8))/2000/2.2046</f>
        <v>940.51559867985804</v>
      </c>
      <c r="AG247" s="21">
        <f>(SUMPRODUCT(AG$9:AG$229,Nutrients!$DY$8:$DY$228)+(IF($A$7=Nutrients!$B$8,Nutrients!$DY$8,Nutrients!$DY$9)*AG$7)+(((IF($A$8=Nutrients!$B$79,Nutrients!$DY$79,(IF($A$8=Nutrients!$B$77,Nutrients!$DY$77,Nutrients!$DY$78)))))*AG$8))/2000/2.2046</f>
        <v>952.57802106830491</v>
      </c>
      <c r="AH247" s="21">
        <f>(SUMPRODUCT(AH$9:AH$229,Nutrients!$DY$8:$DY$228)+(IF($A$7=Nutrients!$B$8,Nutrients!$DY$8,Nutrients!$DY$9)*AH$7)+(((IF($A$8=Nutrients!$B$79,Nutrients!$DY$79,(IF($A$8=Nutrients!$B$77,Nutrients!$DY$77,Nutrients!$DY$78)))))*AH$8))/2000/2.2046</f>
        <v>962.68626709792295</v>
      </c>
      <c r="AI247" s="21">
        <f>(SUMPRODUCT(AI$9:AI$229,Nutrients!$DY$8:$DY$228)+(IF($A$7=Nutrients!$B$8,Nutrients!$DY$8,Nutrients!$DY$9)*AI$7)+(((IF($A$8=Nutrients!$B$79,Nutrients!$DY$79,(IF($A$8=Nutrients!$B$77,Nutrients!$DY$77,Nutrients!$DY$78)))))*AI$8))/2000/2.2046</f>
        <v>967.92190345148049</v>
      </c>
      <c r="AK247" s="21">
        <f>(SUMPRODUCT(AK$9:AK$229,Nutrients!$DY$8:$DY$228)+(IF($A$7=Nutrients!$B$8,Nutrients!$DY$8,Nutrients!$DY$9)*AK$7)+(((IF($A$8=Nutrients!$B$79,Nutrients!$DY$79,(IF($A$8=Nutrients!$B$77,Nutrients!$DY$77,Nutrients!$DY$78)))))*AK$8))/2000/2.2046</f>
        <v>868.603940034537</v>
      </c>
      <c r="AL247" s="21">
        <f>(SUMPRODUCT(AL$9:AL$229,Nutrients!$DY$8:$DY$228)+(IF($A$7=Nutrients!$B$8,Nutrients!$DY$8,Nutrients!$DY$9)*AL$7)+(((IF($A$8=Nutrients!$B$79,Nutrients!$DY$79,(IF($A$8=Nutrients!$B$77,Nutrients!$DY$77,Nutrients!$DY$78)))))*AL$8))/2000/2.2046</f>
        <v>882.69178394563085</v>
      </c>
      <c r="AM247" s="21">
        <f>(SUMPRODUCT(AM$9:AM$229,Nutrients!$DY$8:$DY$228)+(IF($A$7=Nutrients!$B$8,Nutrients!$DY$8,Nutrients!$DY$9)*AM$7)+(((IF($A$8=Nutrients!$B$79,Nutrients!$DY$79,(IF($A$8=Nutrients!$B$77,Nutrients!$DY$77,Nutrients!$DY$78)))))*AM$8))/2000/2.2046</f>
        <v>894.70242865206819</v>
      </c>
      <c r="AN247" s="21">
        <f>(SUMPRODUCT(AN$9:AN$229,Nutrients!$DY$8:$DY$228)+(IF($A$7=Nutrients!$B$8,Nutrients!$DY$8,Nutrients!$DY$9)*AN$7)+(((IF($A$8=Nutrients!$B$79,Nutrients!$DY$79,(IF($A$8=Nutrients!$B$77,Nutrients!$DY$77,Nutrients!$DY$78)))))*AN$8))/2000/2.2046</f>
        <v>906.72343727007171</v>
      </c>
      <c r="AO247" s="21">
        <f>(SUMPRODUCT(AO$9:AO$229,Nutrients!$DY$8:$DY$228)+(IF($A$7=Nutrients!$B$8,Nutrients!$DY$8,Nutrients!$DY$9)*AO$7)+(((IF($A$8=Nutrients!$B$79,Nutrients!$DY$79,(IF($A$8=Nutrients!$B$77,Nutrients!$DY$77,Nutrients!$DY$78)))))*AO$8))/2000/2.2046</f>
        <v>916.96530918641213</v>
      </c>
      <c r="AP247" s="21">
        <f>(SUMPRODUCT(AP$9:AP$229,Nutrients!$DY$8:$DY$228)+(IF($A$7=Nutrients!$B$8,Nutrients!$DY$8,Nutrients!$DY$9)*AP$7)+(((IF($A$8=Nutrients!$B$79,Nutrients!$DY$79,(IF($A$8=Nutrients!$B$77,Nutrients!$DY$77,Nutrients!$DY$78)))))*AP$8))/2000/2.2046</f>
        <v>922.21698700876323</v>
      </c>
      <c r="AR247" s="21">
        <f>(SUMPRODUCT(AR$9:AR$229,Nutrients!$DY$8:$DY$228)+(IF($A$7=Nutrients!$B$8,Nutrients!$DY$8,Nutrients!$DY$9)*AR$7)+(((IF($A$8=Nutrients!$B$79,Nutrients!$DY$79,(IF($A$8=Nutrients!$B$77,Nutrients!$DY$77,Nutrients!$DY$78)))))*AR$8))/2000/2.2046</f>
        <v>822.97218352412347</v>
      </c>
      <c r="AS247" s="21">
        <f>(SUMPRODUCT(AS$9:AS$229,Nutrients!$DY$8:$DY$228)+(IF($A$7=Nutrients!$B$8,Nutrients!$DY$8,Nutrients!$DY$9)*AS$7)+(((IF($A$8=Nutrients!$B$79,Nutrients!$DY$79,(IF($A$8=Nutrients!$B$77,Nutrients!$DY$77,Nutrients!$DY$78)))))*AS$8))/2000/2.2046</f>
        <v>836.8988973182569</v>
      </c>
      <c r="AT247" s="21">
        <f>(SUMPRODUCT(AT$9:AT$229,Nutrients!$DY$8:$DY$228)+(IF($A$7=Nutrients!$B$8,Nutrients!$DY$8,Nutrients!$DY$9)*AT$7)+(((IF($A$8=Nutrients!$B$79,Nutrients!$DY$79,(IF($A$8=Nutrients!$B$77,Nutrients!$DY$77,Nutrients!$DY$78)))))*AT$8))/2000/2.2046</f>
        <v>848.92825902769459</v>
      </c>
      <c r="AU247" s="21">
        <f>(SUMPRODUCT(AU$9:AU$229,Nutrients!$DY$8:$DY$228)+(IF($A$7=Nutrients!$B$8,Nutrients!$DY$8,Nutrients!$DY$9)*AU$7)+(((IF($A$8=Nutrients!$B$79,Nutrients!$DY$79,(IF($A$8=Nutrients!$B$77,Nutrients!$DY$77,Nutrients!$DY$78)))))*AU$8))/2000/2.2046</f>
        <v>860.98040187487868</v>
      </c>
      <c r="AV247" s="21">
        <f>(SUMPRODUCT(AV$9:AV$229,Nutrients!$DY$8:$DY$228)+(IF($A$7=Nutrients!$B$8,Nutrients!$DY$8,Nutrients!$DY$9)*AV$7)+(((IF($A$8=Nutrients!$B$79,Nutrients!$DY$79,(IF($A$8=Nutrients!$B$77,Nutrients!$DY$77,Nutrients!$DY$78)))))*AV$8))/2000/2.2046</f>
        <v>871.2446857367612</v>
      </c>
      <c r="AW247" s="21">
        <f>(SUMPRODUCT(AW$9:AW$229,Nutrients!$DY$8:$DY$228)+(IF($A$7=Nutrients!$B$8,Nutrients!$DY$8,Nutrients!$DY$9)*AW$7)+(((IF($A$8=Nutrients!$B$79,Nutrients!$DY$79,(IF($A$8=Nutrients!$B$77,Nutrients!$DY$77,Nutrients!$DY$78)))))*AW$8))/2000/2.2046</f>
        <v>876.51219798784894</v>
      </c>
    </row>
    <row r="248" spans="1:57" x14ac:dyDescent="0.25">
      <c r="A248" s="5" t="s">
        <v>31</v>
      </c>
      <c r="B248" s="21">
        <f>(SUMPRODUCT(B$9:B$229,Nutrients!$DZ$8:$DZ$228)+(IF($A$7=Nutrients!$B$8,Nutrients!$DZ$8,Nutrients!$DZ$9)*B$7)+(((IF($A$8=Nutrients!$B$79,Nutrients!$DZ$79,(IF($A$8=Nutrients!$B$77,Nutrients!$DZ$77,Nutrients!$DZ$78)))))*B$8))/2000/2.2046</f>
        <v>1137.6355538359269</v>
      </c>
      <c r="C248" s="21">
        <f>(SUMPRODUCT(C$9:C$229,Nutrients!$DZ$8:$DZ$228)+(IF($A$7=Nutrients!$B$8,Nutrients!$DZ$8,Nutrients!$DZ$9)*C$7)+(((IF($A$8=Nutrients!$B$79,Nutrients!$DZ$79,(IF($A$8=Nutrients!$B$77,Nutrients!$DZ$77,Nutrients!$DZ$78)))))*C$8))/2000/2.2046</f>
        <v>1150.9934545095848</v>
      </c>
      <c r="D248" s="21">
        <f>(SUMPRODUCT(D$9:D$229,Nutrients!$DZ$8:$DZ$228)+(IF($A$7=Nutrients!$B$8,Nutrients!$DZ$8,Nutrients!$DZ$9)*D$7)+(((IF($A$8=Nutrients!$B$79,Nutrients!$DZ$79,(IF($A$8=Nutrients!$B$77,Nutrients!$DZ$77,Nutrients!$DZ$78)))))*D$8))/2000/2.2046</f>
        <v>1162.42368942858</v>
      </c>
      <c r="E248" s="21">
        <f>(SUMPRODUCT(E$9:E$229,Nutrients!$DZ$8:$DZ$228)+(IF($A$7=Nutrients!$B$8,Nutrients!$DZ$8,Nutrients!$DZ$9)*E$7)+(((IF($A$8=Nutrients!$B$79,Nutrients!$DZ$79,(IF($A$8=Nutrients!$B$77,Nutrients!$DZ$77,Nutrients!$DZ$78)))))*E$8))/2000/2.2046</f>
        <v>1173.9065707641619</v>
      </c>
      <c r="F248" s="21">
        <f>(SUMPRODUCT(F$9:F$229,Nutrients!$DZ$8:$DZ$228)+(IF($A$7=Nutrients!$B$8,Nutrients!$DZ$8,Nutrients!$DZ$9)*F$7)+(((IF($A$8=Nutrients!$B$79,Nutrients!$DZ$79,(IF($A$8=Nutrients!$B$77,Nutrients!$DZ$77,Nutrients!$DZ$78)))))*F$8))/2000/2.2046</f>
        <v>1183.6213518369293</v>
      </c>
      <c r="G248" s="21">
        <f>(SUMPRODUCT(G$9:G$229,Nutrients!$DZ$8:$DZ$228)+(IF($A$7=Nutrients!$B$8,Nutrients!$DZ$8,Nutrients!$DZ$9)*G$7)+(((IF($A$8=Nutrients!$B$79,Nutrients!$DZ$79,(IF($A$8=Nutrients!$B$77,Nutrients!$DZ$77,Nutrients!$DZ$78)))))*G$8))/2000/2.2046</f>
        <v>1188.5451985530322</v>
      </c>
      <c r="H248" s="226"/>
      <c r="I248" s="21">
        <f>(SUMPRODUCT(I$9:I$229,Nutrients!$DZ$8:$DZ$228)+(IF($A$7=Nutrients!$B$8,Nutrients!$DZ$8,Nutrients!$DZ$9)*I$7)+(((IF($A$8=Nutrients!$B$79,Nutrients!$DZ$79,(IF($A$8=Nutrients!$B$77,Nutrients!$DZ$77,Nutrients!$DZ$78)))))*I$8))/2000/2.2046</f>
        <v>1089.4506600974669</v>
      </c>
      <c r="J248" s="21">
        <f>(SUMPRODUCT(J$9:J$229,Nutrients!$DZ$8:$DZ$228)+(IF($A$7=Nutrients!$B$8,Nutrients!$DZ$8,Nutrients!$DZ$9)*J$7)+(((IF($A$8=Nutrients!$B$79,Nutrients!$DZ$79,(IF($A$8=Nutrients!$B$77,Nutrients!$DZ$77,Nutrients!$DZ$78)))))*J$8))/2000/2.2046</f>
        <v>1102.8828468718941</v>
      </c>
      <c r="K248" s="21">
        <f>(SUMPRODUCT(K$9:K$229,Nutrients!$DZ$8:$DZ$228)+(IF($A$7=Nutrients!$B$8,Nutrients!$DZ$8,Nutrients!$DZ$9)*K$7)+(((IF($A$8=Nutrients!$B$79,Nutrients!$DZ$79,(IF($A$8=Nutrients!$B$77,Nutrients!$DZ$77,Nutrients!$DZ$78)))))*K$8))/2000/2.2046</f>
        <v>1114.3621608418489</v>
      </c>
      <c r="L248" s="21">
        <f>(SUMPRODUCT(L$9:L$229,Nutrients!$DZ$8:$DZ$228)+(IF($A$7=Nutrients!$B$8,Nutrients!$DZ$8,Nutrients!$DZ$9)*L$7)+(((IF($A$8=Nutrients!$B$79,Nutrients!$DZ$79,(IF($A$8=Nutrients!$B$77,Nutrients!$DZ$77,Nutrients!$DZ$78)))))*L$8))/2000/2.2046</f>
        <v>1125.8804876952288</v>
      </c>
      <c r="M248" s="21">
        <f>(SUMPRODUCT(M$9:M$229,Nutrients!$DZ$8:$DZ$228)+(IF($A$7=Nutrients!$B$8,Nutrients!$DZ$8,Nutrients!$DZ$9)*M$7)+(((IF($A$8=Nutrients!$B$79,Nutrients!$DZ$79,(IF($A$8=Nutrients!$B$77,Nutrients!$DZ$77,Nutrients!$DZ$78)))))*M$8))/2000/2.2046</f>
        <v>1135.5980949538371</v>
      </c>
      <c r="N248" s="21">
        <f>(SUMPRODUCT(N$9:N$229,Nutrients!$DZ$8:$DZ$228)+(IF($A$7=Nutrients!$B$8,Nutrients!$DZ$8,Nutrients!$DZ$9)*N$7)+(((IF($A$8=Nutrients!$B$79,Nutrients!$DZ$79,(IF($A$8=Nutrients!$B$77,Nutrients!$DZ$77,Nutrients!$DZ$78)))))*N$8))/2000/2.2046</f>
        <v>1140.5378184728584</v>
      </c>
      <c r="O248" s="234"/>
      <c r="P248" s="21">
        <f>(SUMPRODUCT(P$9:P$229,Nutrients!$DZ$8:$DZ$228)+(IF($A$7=Nutrients!$B$8,Nutrients!$DZ$8,Nutrients!$DZ$9)*P$7)+(((IF($A$8=Nutrients!$B$79,Nutrients!$DZ$79,(IF($A$8=Nutrients!$B$77,Nutrients!$DZ$77,Nutrients!$DZ$78)))))*P$8))/2000/2.2046</f>
        <v>1041.3637192322442</v>
      </c>
      <c r="Q248" s="21">
        <f>(SUMPRODUCT(Q$9:Q$229,Nutrients!$DZ$8:$DZ$228)+(IF($A$7=Nutrients!$B$8,Nutrients!$DZ$8,Nutrients!$DZ$9)*Q$7)+(((IF($A$8=Nutrients!$B$79,Nutrients!$DZ$79,(IF($A$8=Nutrients!$B$77,Nutrients!$DZ$77,Nutrients!$DZ$78)))))*Q$8))/2000/2.2046</f>
        <v>1054.8135449411864</v>
      </c>
      <c r="R248" s="21">
        <f>(SUMPRODUCT(R$9:R$229,Nutrients!$DZ$8:$DZ$228)+(IF($A$7=Nutrients!$B$8,Nutrients!$DZ$8,Nutrients!$DZ$9)*R$7)+(((IF($A$8=Nutrients!$B$79,Nutrients!$DZ$79,(IF($A$8=Nutrients!$B$77,Nutrients!$DZ$77,Nutrients!$DZ$78)))))*R$8))/2000/2.2046</f>
        <v>1066.3585323169407</v>
      </c>
      <c r="S248" s="21">
        <f>(SUMPRODUCT(S$9:S$229,Nutrients!$DZ$8:$DZ$228)+(IF($A$7=Nutrients!$B$8,Nutrients!$DZ$8,Nutrients!$DZ$9)*S$7)+(((IF($A$8=Nutrients!$B$79,Nutrients!$DZ$79,(IF($A$8=Nutrients!$B$77,Nutrients!$DZ$77,Nutrients!$DZ$78)))))*S$8))/2000/2.2046</f>
        <v>1077.8467168079274</v>
      </c>
      <c r="T248" s="21">
        <f>(SUMPRODUCT(T$9:T$229,Nutrients!$DZ$8:$DZ$228)+(IF($A$7=Nutrients!$B$8,Nutrients!$DZ$8,Nutrients!$DZ$9)*T$7)+(((IF($A$8=Nutrients!$B$79,Nutrients!$DZ$79,(IF($A$8=Nutrients!$B$77,Nutrients!$DZ$77,Nutrients!$DZ$78)))))*T$8))/2000/2.2046</f>
        <v>1087.5691704118574</v>
      </c>
      <c r="U248" s="21">
        <f>(SUMPRODUCT(U$9:U$229,Nutrients!$DZ$8:$DZ$228)+(IF($A$7=Nutrients!$B$8,Nutrients!$DZ$8,Nutrients!$DZ$9)*U$7)+(((IF($A$8=Nutrients!$B$79,Nutrients!$DZ$79,(IF($A$8=Nutrients!$B$77,Nutrients!$DZ$77,Nutrients!$DZ$78)))))*U$8))/2000/2.2046</f>
        <v>1092.5265860336176</v>
      </c>
      <c r="W248" s="21">
        <f>(SUMPRODUCT(W$9:W$229,Nutrients!$DZ$8:$DZ$228)+(IF($A$7=Nutrients!$B$8,Nutrients!$DZ$8,Nutrients!$DZ$9)*W$7)+(((IF($A$8=Nutrients!$B$79,Nutrients!$DZ$79,(IF($A$8=Nutrients!$B$77,Nutrients!$DZ$77,Nutrients!$DZ$78)))))*W$8))/2000/2.2046</f>
        <v>993.36867258182713</v>
      </c>
      <c r="X248" s="21">
        <f>(SUMPRODUCT(X$9:X$229,Nutrients!$DZ$8:$DZ$228)+(IF($A$7=Nutrients!$B$8,Nutrients!$DZ$8,Nutrients!$DZ$9)*X$7)+(((IF($A$8=Nutrients!$B$79,Nutrients!$DZ$79,(IF($A$8=Nutrients!$B$77,Nutrients!$DZ$77,Nutrients!$DZ$78)))))*X$8))/2000/2.2046</f>
        <v>1006.879498455176</v>
      </c>
      <c r="Y248" s="21">
        <f>(SUMPRODUCT(Y$9:Y$229,Nutrients!$DZ$8:$DZ$228)+(IF($A$7=Nutrients!$B$8,Nutrients!$DZ$8,Nutrients!$DZ$9)*Y$7)+(((IF($A$8=Nutrients!$B$79,Nutrients!$DZ$79,(IF($A$8=Nutrients!$B$77,Nutrients!$DZ$77,Nutrients!$DZ$78)))))*Y$8))/2000/2.2046</f>
        <v>1018.3848357045318</v>
      </c>
      <c r="Z248" s="21">
        <f>(SUMPRODUCT(Z$9:Z$229,Nutrients!$DZ$8:$DZ$228)+(IF($A$7=Nutrients!$B$8,Nutrients!$DZ$8,Nutrients!$DZ$9)*Z$7)+(((IF($A$8=Nutrients!$B$79,Nutrients!$DZ$79,(IF($A$8=Nutrients!$B$77,Nutrients!$DZ$77,Nutrients!$DZ$78)))))*Z$8))/2000/2.2046</f>
        <v>1029.9399912506867</v>
      </c>
      <c r="AA248" s="21">
        <f>(SUMPRODUCT(AA$9:AA$229,Nutrients!$DZ$8:$DZ$228)+(IF($A$7=Nutrients!$B$8,Nutrients!$DZ$8,Nutrients!$DZ$9)*AA$7)+(((IF($A$8=Nutrients!$B$79,Nutrients!$DZ$79,(IF($A$8=Nutrients!$B$77,Nutrients!$DZ$77,Nutrients!$DZ$78)))))*AA$8))/2000/2.2046</f>
        <v>1039.6684732000551</v>
      </c>
      <c r="AB248" s="21">
        <f>(SUMPRODUCT(AB$9:AB$229,Nutrients!$DZ$8:$DZ$228)+(IF($A$7=Nutrients!$B$8,Nutrients!$DZ$8,Nutrients!$DZ$9)*AB$7)+(((IF($A$8=Nutrients!$B$79,Nutrients!$DZ$79,(IF($A$8=Nutrients!$B$77,Nutrients!$DZ$77,Nutrients!$DZ$78)))))*AB$8))/2000/2.2046</f>
        <v>1044.5542561607388</v>
      </c>
      <c r="AD248" s="21">
        <f>(SUMPRODUCT(AD$9:AD$229,Nutrients!$DZ$8:$DZ$228)+(IF($A$7=Nutrients!$B$8,Nutrients!$DZ$8,Nutrients!$DZ$9)*AD$7)+(((IF($A$8=Nutrients!$B$79,Nutrients!$DZ$79,(IF($A$8=Nutrients!$B$77,Nutrients!$DZ$77,Nutrients!$DZ$78)))))*AD$8))/2000/2.2046</f>
        <v>945.42381709425399</v>
      </c>
      <c r="AE248" s="21">
        <f>(SUMPRODUCT(AE$9:AE$229,Nutrients!$DZ$8:$DZ$228)+(IF($A$7=Nutrients!$B$8,Nutrients!$DZ$8,Nutrients!$DZ$9)*AE$7)+(((IF($A$8=Nutrients!$B$79,Nutrients!$DZ$79,(IF($A$8=Nutrients!$B$77,Nutrients!$DZ$77,Nutrients!$DZ$78)))))*AE$8))/2000/2.2046</f>
        <v>958.8977093532219</v>
      </c>
      <c r="AF248" s="21">
        <f>(SUMPRODUCT(AF$9:AF$229,Nutrients!$DZ$8:$DZ$228)+(IF($A$7=Nutrients!$B$8,Nutrients!$DZ$8,Nutrients!$DZ$9)*AF$7)+(((IF($A$8=Nutrients!$B$79,Nutrients!$DZ$79,(IF($A$8=Nutrients!$B$77,Nutrients!$DZ$77,Nutrients!$DZ$78)))))*AF$8))/2000/2.2046</f>
        <v>970.47638525085381</v>
      </c>
      <c r="AG248" s="21">
        <f>(SUMPRODUCT(AG$9:AG$229,Nutrients!$DZ$8:$DZ$228)+(IF($A$7=Nutrients!$B$8,Nutrients!$DZ$8,Nutrients!$DZ$9)*AG$7)+(((IF($A$8=Nutrients!$B$79,Nutrients!$DZ$79,(IF($A$8=Nutrients!$B$77,Nutrients!$DZ$77,Nutrients!$DZ$78)))))*AG$8))/2000/2.2046</f>
        <v>982.01373465051347</v>
      </c>
      <c r="AH248" s="21">
        <f>(SUMPRODUCT(AH$9:AH$229,Nutrients!$DZ$8:$DZ$228)+(IF($A$7=Nutrients!$B$8,Nutrients!$DZ$8,Nutrients!$DZ$9)*AH$7)+(((IF($A$8=Nutrients!$B$79,Nutrients!$DZ$79,(IF($A$8=Nutrients!$B$77,Nutrients!$DZ$77,Nutrients!$DZ$78)))))*AH$8))/2000/2.2046</f>
        <v>991.62123444222925</v>
      </c>
      <c r="AI248" s="21">
        <f>(SUMPRODUCT(AI$9:AI$229,Nutrients!$DZ$8:$DZ$228)+(IF($A$7=Nutrients!$B$8,Nutrients!$DZ$8,Nutrients!$DZ$9)*AI$7)+(((IF($A$8=Nutrients!$B$79,Nutrients!$DZ$79,(IF($A$8=Nutrients!$B$77,Nutrients!$DZ$77,Nutrients!$DZ$78)))))*AI$8))/2000/2.2046</f>
        <v>996.56339358742468</v>
      </c>
      <c r="AK248" s="21">
        <f>(SUMPRODUCT(AK$9:AK$229,Nutrients!$DZ$8:$DZ$228)+(IF($A$7=Nutrients!$B$8,Nutrients!$DZ$8,Nutrients!$DZ$9)*AK$7)+(((IF($A$8=Nutrients!$B$79,Nutrients!$DZ$79,(IF($A$8=Nutrients!$B$77,Nutrients!$DZ$77,Nutrients!$DZ$78)))))*AK$8))/2000/2.2046</f>
        <v>897.42024423647422</v>
      </c>
      <c r="AL248" s="21">
        <f>(SUMPRODUCT(AL$9:AL$229,Nutrients!$DZ$8:$DZ$228)+(IF($A$7=Nutrients!$B$8,Nutrients!$DZ$8,Nutrients!$DZ$9)*AL$7)+(((IF($A$8=Nutrients!$B$79,Nutrients!$DZ$79,(IF($A$8=Nutrients!$B$77,Nutrients!$DZ$77,Nutrients!$DZ$78)))))*AL$8))/2000/2.2046</f>
        <v>910.91003352765608</v>
      </c>
      <c r="AM248" s="21">
        <f>(SUMPRODUCT(AM$9:AM$229,Nutrients!$DZ$8:$DZ$228)+(IF($A$7=Nutrients!$B$8,Nutrients!$DZ$8,Nutrients!$DZ$9)*AM$7)+(((IF($A$8=Nutrients!$B$79,Nutrients!$DZ$79,(IF($A$8=Nutrients!$B$77,Nutrients!$DZ$77,Nutrients!$DZ$78)))))*AM$8))/2000/2.2046</f>
        <v>922.43894718837032</v>
      </c>
      <c r="AN248" s="21">
        <f>(SUMPRODUCT(AN$9:AN$229,Nutrients!$DZ$8:$DZ$228)+(IF($A$7=Nutrients!$B$8,Nutrients!$DZ$8,Nutrients!$DZ$9)*AN$7)+(((IF($A$8=Nutrients!$B$79,Nutrients!$DZ$79,(IF($A$8=Nutrients!$B$77,Nutrients!$DZ$77,Nutrients!$DZ$78)))))*AN$8))/2000/2.2046</f>
        <v>933.89558593715253</v>
      </c>
      <c r="AO248" s="21">
        <f>(SUMPRODUCT(AO$9:AO$229,Nutrients!$DZ$8:$DZ$228)+(IF($A$7=Nutrients!$B$8,Nutrients!$DZ$8,Nutrients!$DZ$9)*AO$7)+(((IF($A$8=Nutrients!$B$79,Nutrients!$DZ$79,(IF($A$8=Nutrients!$B$77,Nutrients!$DZ$77,Nutrients!$DZ$78)))))*AO$8))/2000/2.2046</f>
        <v>943.61906060075933</v>
      </c>
      <c r="AP248" s="21">
        <f>(SUMPRODUCT(AP$9:AP$229,Nutrients!$DZ$8:$DZ$228)+(IF($A$7=Nutrients!$B$8,Nutrients!$DZ$8,Nutrients!$DZ$9)*AP$7)+(((IF($A$8=Nutrients!$B$79,Nutrients!$DZ$79,(IF($A$8=Nutrients!$B$77,Nutrients!$DZ$77,Nutrients!$DZ$78)))))*AP$8))/2000/2.2046</f>
        <v>948.57695392326525</v>
      </c>
      <c r="AR248" s="21">
        <f>(SUMPRODUCT(AR$9:AR$229,Nutrients!$DZ$8:$DZ$228)+(IF($A$7=Nutrients!$B$8,Nutrients!$DZ$8,Nutrients!$DZ$9)*AR$7)+(((IF($A$8=Nutrients!$B$79,Nutrients!$DZ$79,(IF($A$8=Nutrients!$B$77,Nutrients!$DZ$77,Nutrients!$DZ$78)))))*AR$8))/2000/2.2046</f>
        <v>849.56109125476348</v>
      </c>
      <c r="AS248" s="21">
        <f>(SUMPRODUCT(AS$9:AS$229,Nutrients!$DZ$8:$DZ$228)+(IF($A$7=Nutrients!$B$8,Nutrients!$DZ$8,Nutrients!$DZ$9)*AS$7)+(((IF($A$8=Nutrients!$B$79,Nutrients!$DZ$79,(IF($A$8=Nutrients!$B$77,Nutrients!$DZ$77,Nutrients!$DZ$78)))))*AS$8))/2000/2.2046</f>
        <v>862.89142073846028</v>
      </c>
      <c r="AT248" s="21">
        <f>(SUMPRODUCT(AT$9:AT$229,Nutrients!$DZ$8:$DZ$228)+(IF($A$7=Nutrients!$B$8,Nutrients!$DZ$8,Nutrients!$DZ$9)*AT$7)+(((IF($A$8=Nutrients!$B$79,Nutrients!$DZ$79,(IF($A$8=Nutrients!$B$77,Nutrients!$DZ$77,Nutrients!$DZ$78)))))*AT$8))/2000/2.2046</f>
        <v>874.43334957469426</v>
      </c>
      <c r="AU248" s="21">
        <f>(SUMPRODUCT(AU$9:AU$229,Nutrients!$DZ$8:$DZ$228)+(IF($A$7=Nutrients!$B$8,Nutrients!$DZ$8,Nutrients!$DZ$9)*AU$7)+(((IF($A$8=Nutrients!$B$79,Nutrients!$DZ$79,(IF($A$8=Nutrients!$B$77,Nutrients!$DZ$77,Nutrients!$DZ$78)))))*AU$8))/2000/2.2046</f>
        <v>885.87140010730263</v>
      </c>
      <c r="AV248" s="21">
        <f>(SUMPRODUCT(AV$9:AV$229,Nutrients!$DZ$8:$DZ$228)+(IF($A$7=Nutrients!$B$8,Nutrients!$DZ$8,Nutrients!$DZ$9)*AV$7)+(((IF($A$8=Nutrients!$B$79,Nutrients!$DZ$79,(IF($A$8=Nutrients!$B$77,Nutrients!$DZ$77,Nutrients!$DZ$78)))))*AV$8))/2000/2.2046</f>
        <v>895.6172131661092</v>
      </c>
      <c r="AW248" s="21">
        <f>(SUMPRODUCT(AW$9:AW$229,Nutrients!$DZ$8:$DZ$228)+(IF($A$7=Nutrients!$B$8,Nutrients!$DZ$8,Nutrients!$DZ$9)*AW$7)+(((IF($A$8=Nutrients!$B$79,Nutrients!$DZ$79,(IF($A$8=Nutrients!$B$77,Nutrients!$DZ$77,Nutrients!$DZ$78)))))*AW$8))/2000/2.2046</f>
        <v>900.59063769246688</v>
      </c>
    </row>
    <row r="249" spans="1:57" x14ac:dyDescent="0.25">
      <c r="A249" s="5" t="s">
        <v>61</v>
      </c>
      <c r="B249" s="21">
        <f>(SUMPRODUCT(B$9:B$229,Nutrients!$D$8:$D$228)+(IF($A$7=Nutrients!$B$8,Nutrients!$D$8,Nutrients!$D$9)*B$7)+(((IF($A$8=Nutrients!$B$79,Nutrients!$D$79,(IF($A$8=Nutrients!$B$77,Nutrients!$D$77,Nutrients!$D$78)))))*B$8))/2000/2.2046</f>
        <v>1553.447657374518</v>
      </c>
      <c r="C249" s="21">
        <f>(SUMPRODUCT(C$9:C$229,Nutrients!$D$8:$D$228)+(IF($A$7=Nutrients!$B$8,Nutrients!$D$8,Nutrients!$D$9)*C$7)+(((IF($A$8=Nutrients!$B$79,Nutrients!$D$79,(IF($A$8=Nutrients!$B$77,Nutrients!$D$77,Nutrients!$D$78)))))*C$8))/2000/2.2046</f>
        <v>1552.8317239882158</v>
      </c>
      <c r="D249" s="21">
        <f>(SUMPRODUCT(D$9:D$229,Nutrients!$D$8:$D$228)+(IF($A$7=Nutrients!$B$8,Nutrients!$D$8,Nutrients!$D$9)*D$7)+(((IF($A$8=Nutrients!$B$79,Nutrients!$D$79,(IF($A$8=Nutrients!$B$77,Nutrients!$D$77,Nutrients!$D$78)))))*D$8))/2000/2.2046</f>
        <v>1552.5109280788211</v>
      </c>
      <c r="E249" s="21">
        <f>(SUMPRODUCT(E$9:E$229,Nutrients!$D$8:$D$228)+(IF($A$7=Nutrients!$B$8,Nutrients!$D$8,Nutrients!$D$9)*E$7)+(((IF($A$8=Nutrients!$B$79,Nutrients!$D$79,(IF($A$8=Nutrients!$B$77,Nutrients!$D$77,Nutrients!$D$78)))))*E$8))/2000/2.2046</f>
        <v>1552.5671760275247</v>
      </c>
      <c r="F249" s="21">
        <f>(SUMPRODUCT(F$9:F$229,Nutrients!$D$8:$D$228)+(IF($A$7=Nutrients!$B$8,Nutrients!$D$8,Nutrients!$D$9)*F$7)+(((IF($A$8=Nutrients!$B$79,Nutrients!$D$79,(IF($A$8=Nutrients!$B$77,Nutrients!$D$77,Nutrients!$D$78)))))*F$8))/2000/2.2046</f>
        <v>1552.7159321016593</v>
      </c>
      <c r="G249" s="21">
        <f>(SUMPRODUCT(G$9:G$229,Nutrients!$D$8:$D$228)+(IF($A$7=Nutrients!$B$8,Nutrients!$D$8,Nutrients!$D$9)*G$7)+(((IF($A$8=Nutrients!$B$79,Nutrients!$D$79,(IF($A$8=Nutrients!$B$77,Nutrients!$D$77,Nutrients!$D$78)))))*G$8))/2000/2.2046</f>
        <v>1552.2569188768136</v>
      </c>
      <c r="H249" s="226"/>
      <c r="I249" s="21">
        <f>(SUMPRODUCT(I$9:I$229,Nutrients!$D$8:$D$228)+(IF($A$7=Nutrients!$B$8,Nutrients!$D$8,Nutrients!$D$9)*I$7)+(((IF($A$8=Nutrients!$B$79,Nutrients!$D$79,(IF($A$8=Nutrients!$B$77,Nutrients!$D$77,Nutrients!$D$78)))))*I$8))/2000/2.2046</f>
        <v>1570.5794191214936</v>
      </c>
      <c r="J249" s="21">
        <f>(SUMPRODUCT(J$9:J$229,Nutrients!$D$8:$D$228)+(IF($A$7=Nutrients!$B$8,Nutrients!$D$8,Nutrients!$D$9)*J$7)+(((IF($A$8=Nutrients!$B$79,Nutrients!$D$79,(IF($A$8=Nutrients!$B$77,Nutrients!$D$77,Nutrients!$D$78)))))*J$8))/2000/2.2046</f>
        <v>1570.0494186088647</v>
      </c>
      <c r="K249" s="21">
        <f>(SUMPRODUCT(K$9:K$229,Nutrients!$D$8:$D$228)+(IF($A$7=Nutrients!$B$8,Nutrients!$D$8,Nutrients!$D$9)*K$7)+(((IF($A$8=Nutrients!$B$79,Nutrients!$D$79,(IF($A$8=Nutrients!$B$77,Nutrients!$D$77,Nutrients!$D$78)))))*K$8))/2000/2.2046</f>
        <v>1569.8197306845409</v>
      </c>
      <c r="L249" s="21">
        <f>(SUMPRODUCT(L$9:L$229,Nutrients!$D$8:$D$228)+(IF($A$7=Nutrients!$B$8,Nutrients!$D$8,Nutrients!$D$9)*L$7)+(((IF($A$8=Nutrients!$B$79,Nutrients!$D$79,(IF($A$8=Nutrients!$B$77,Nutrients!$D$77,Nutrients!$D$78)))))*L$8))/2000/2.2046</f>
        <v>1569.8977070591386</v>
      </c>
      <c r="M249" s="21">
        <f>(SUMPRODUCT(M$9:M$229,Nutrients!$D$8:$D$228)+(IF($A$7=Nutrients!$B$8,Nutrients!$D$8,Nutrients!$D$9)*M$7)+(((IF($A$8=Nutrients!$B$79,Nutrients!$D$79,(IF($A$8=Nutrients!$B$77,Nutrients!$D$77,Nutrients!$D$78)))))*M$8))/2000/2.2046</f>
        <v>1570.0391789983364</v>
      </c>
      <c r="N249" s="21">
        <f>(SUMPRODUCT(N$9:N$229,Nutrients!$D$8:$D$228)+(IF($A$7=Nutrients!$B$8,Nutrients!$D$8,Nutrients!$D$9)*N$7)+(((IF($A$8=Nutrients!$B$79,Nutrients!$D$79,(IF($A$8=Nutrients!$B$77,Nutrients!$D$77,Nutrients!$D$78)))))*N$8))/2000/2.2046</f>
        <v>1569.6196181088762</v>
      </c>
      <c r="O249" s="234"/>
      <c r="P249" s="21">
        <f>(SUMPRODUCT(P$9:P$229,Nutrients!$D$8:$D$228)+(IF($A$7=Nutrients!$B$8,Nutrients!$D$8,Nutrients!$D$9)*P$7)+(((IF($A$8=Nutrients!$B$79,Nutrients!$D$79,(IF($A$8=Nutrients!$B$77,Nutrients!$D$77,Nutrients!$D$78)))))*P$8))/2000/2.2046</f>
        <v>1587.8338185749355</v>
      </c>
      <c r="Q249" s="21">
        <f>(SUMPRODUCT(Q$9:Q$229,Nutrients!$D$8:$D$228)+(IF($A$7=Nutrients!$B$8,Nutrients!$D$8,Nutrients!$D$9)*Q$7)+(((IF($A$8=Nutrients!$B$79,Nutrients!$D$79,(IF($A$8=Nutrients!$B$77,Nutrients!$D$77,Nutrients!$D$78)))))*Q$8))/2000/2.2046</f>
        <v>1587.3334018427045</v>
      </c>
      <c r="R249" s="21">
        <f>(SUMPRODUCT(R$9:R$229,Nutrients!$D$8:$D$228)+(IF($A$7=Nutrients!$B$8,Nutrients!$D$8,Nutrients!$D$9)*R$7)+(((IF($A$8=Nutrients!$B$79,Nutrients!$D$79,(IF($A$8=Nutrients!$B$77,Nutrients!$D$77,Nutrients!$D$78)))))*R$8))/2000/2.2046</f>
        <v>1587.1891448772083</v>
      </c>
      <c r="S249" s="21">
        <f>(SUMPRODUCT(S$9:S$229,Nutrients!$D$8:$D$228)+(IF($A$7=Nutrients!$B$8,Nutrients!$D$8,Nutrients!$D$9)*S$7)+(((IF($A$8=Nutrients!$B$79,Nutrients!$D$79,(IF($A$8=Nutrients!$B$77,Nutrients!$D$77,Nutrients!$D$78)))))*S$8))/2000/2.2046</f>
        <v>1587.2373672405836</v>
      </c>
      <c r="T249" s="21">
        <f>(SUMPRODUCT(T$9:T$229,Nutrients!$D$8:$D$228)+(IF($A$7=Nutrients!$B$8,Nutrients!$D$8,Nutrients!$D$9)*T$7)+(((IF($A$8=Nutrients!$B$79,Nutrients!$D$79,(IF($A$8=Nutrients!$B$77,Nutrients!$D$77,Nutrients!$D$78)))))*T$8))/2000/2.2046</f>
        <v>1587.3700336760207</v>
      </c>
      <c r="U249" s="21">
        <f>(SUMPRODUCT(U$9:U$229,Nutrients!$D$8:$D$228)+(IF($A$7=Nutrients!$B$8,Nutrients!$D$8,Nutrients!$D$9)*U$7)+(((IF($A$8=Nutrients!$B$79,Nutrients!$D$79,(IF($A$8=Nutrients!$B$77,Nutrients!$D$77,Nutrients!$D$78)))))*U$8))/2000/2.2046</f>
        <v>1586.9686094880328</v>
      </c>
      <c r="W249" s="21">
        <f>(SUMPRODUCT(W$9:W$229,Nutrients!$D$8:$D$228)+(IF($A$7=Nutrients!$B$8,Nutrients!$D$8,Nutrients!$D$9)*W$7)+(((IF($A$8=Nutrients!$B$79,Nutrients!$D$79,(IF($A$8=Nutrients!$B$77,Nutrients!$D$77,Nutrients!$D$78)))))*W$8))/2000/2.2046</f>
        <v>1605.1988453321201</v>
      </c>
      <c r="X249" s="21">
        <f>(SUMPRODUCT(X$9:X$229,Nutrients!$D$8:$D$228)+(IF($A$7=Nutrients!$B$8,Nutrients!$D$8,Nutrients!$D$9)*X$7)+(((IF($A$8=Nutrients!$B$79,Nutrients!$D$79,(IF($A$8=Nutrients!$B$77,Nutrients!$D$77,Nutrients!$D$78)))))*X$8))/2000/2.2046</f>
        <v>1604.7854257528716</v>
      </c>
      <c r="Y249" s="21">
        <f>(SUMPRODUCT(Y$9:Y$229,Nutrients!$D$8:$D$228)+(IF($A$7=Nutrients!$B$8,Nutrients!$D$8,Nutrients!$D$9)*Y$7)+(((IF($A$8=Nutrients!$B$79,Nutrients!$D$79,(IF($A$8=Nutrients!$B$77,Nutrients!$D$77,Nutrients!$D$78)))))*Y$8))/2000/2.2046</f>
        <v>1604.6020098576921</v>
      </c>
      <c r="Z249" s="21">
        <f>(SUMPRODUCT(Z$9:Z$229,Nutrients!$D$8:$D$228)+(IF($A$7=Nutrients!$B$8,Nutrients!$D$8,Nutrients!$D$9)*Z$7)+(((IF($A$8=Nutrients!$B$79,Nutrients!$D$79,(IF($A$8=Nutrients!$B$77,Nutrients!$D$77,Nutrients!$D$78)))))*Z$8))/2000/2.2046</f>
        <v>1604.7468112150666</v>
      </c>
      <c r="AA249" s="21">
        <f>(SUMPRODUCT(AA$9:AA$229,Nutrients!$D$8:$D$228)+(IF($A$7=Nutrients!$B$8,Nutrients!$D$8,Nutrients!$D$9)*AA$7)+(((IF($A$8=Nutrients!$B$79,Nutrients!$D$79,(IF($A$8=Nutrients!$B$77,Nutrients!$D$77,Nutrients!$D$78)))))*AA$8))/2000/2.2046</f>
        <v>1604.9173888291984</v>
      </c>
      <c r="AB249" s="21">
        <f>(SUMPRODUCT(AB$9:AB$229,Nutrients!$D$8:$D$228)+(IF($A$7=Nutrients!$B$8,Nutrients!$D$8,Nutrients!$D$9)*AB$7)+(((IF($A$8=Nutrients!$B$79,Nutrients!$D$79,(IF($A$8=Nutrients!$B$77,Nutrients!$D$77,Nutrients!$D$78)))))*AB$8))/2000/2.2046</f>
        <v>1604.3978026418924</v>
      </c>
      <c r="AD249" s="21">
        <f>(SUMPRODUCT(AD$9:AD$229,Nutrients!$D$8:$D$228)+(IF($A$7=Nutrients!$B$8,Nutrients!$D$8,Nutrients!$D$9)*AD$7)+(((IF($A$8=Nutrients!$B$79,Nutrients!$D$79,(IF($A$8=Nutrients!$B$77,Nutrients!$D$77,Nutrients!$D$78)))))*AD$8))/2000/2.2046</f>
        <v>1622.6391519958393</v>
      </c>
      <c r="AE249" s="21">
        <f>(SUMPRODUCT(AE$9:AE$229,Nutrients!$D$8:$D$228)+(IF($A$7=Nutrients!$B$8,Nutrients!$D$8,Nutrients!$D$9)*AE$7)+(((IF($A$8=Nutrients!$B$79,Nutrients!$D$79,(IF($A$8=Nutrients!$B$77,Nutrients!$D$77,Nutrients!$D$78)))))*AE$8))/2000/2.2046</f>
        <v>1622.1807061595498</v>
      </c>
      <c r="AF249" s="21">
        <f>(SUMPRODUCT(AF$9:AF$229,Nutrients!$D$8:$D$228)+(IF($A$7=Nutrients!$B$8,Nutrients!$D$8,Nutrients!$D$9)*AF$7)+(((IF($A$8=Nutrients!$B$79,Nutrients!$D$79,(IF($A$8=Nutrients!$B$77,Nutrients!$D$77,Nutrients!$D$78)))))*AF$8))/2000/2.2046</f>
        <v>1622.1095228675297</v>
      </c>
      <c r="AG249" s="21">
        <f>(SUMPRODUCT(AG$9:AG$229,Nutrients!$D$8:$D$228)+(IF($A$7=Nutrients!$B$8,Nutrients!$D$8,Nutrients!$D$9)*AG$7)+(((IF($A$8=Nutrients!$B$79,Nutrients!$D$79,(IF($A$8=Nutrients!$B$77,Nutrients!$D$77,Nutrients!$D$78)))))*AG$8))/2000/2.2046</f>
        <v>1622.2429360322983</v>
      </c>
      <c r="AH249" s="21">
        <f>(SUMPRODUCT(AH$9:AH$229,Nutrients!$D$8:$D$228)+(IF($A$7=Nutrients!$B$8,Nutrients!$D$8,Nutrients!$D$9)*AH$7)+(((IF($A$8=Nutrients!$B$79,Nutrients!$D$79,(IF($A$8=Nutrients!$B$77,Nutrients!$D$77,Nutrients!$D$78)))))*AH$8))/2000/2.2046</f>
        <v>1622.1841308191349</v>
      </c>
      <c r="AI249" s="21">
        <f>(SUMPRODUCT(AI$9:AI$229,Nutrients!$D$8:$D$228)+(IF($A$7=Nutrients!$B$8,Nutrients!$D$8,Nutrients!$D$9)*AI$7)+(((IF($A$8=Nutrients!$B$79,Nutrients!$D$79,(IF($A$8=Nutrients!$B$77,Nutrients!$D$77,Nutrients!$D$78)))))*AI$8))/2000/2.2046</f>
        <v>1621.699655597243</v>
      </c>
      <c r="AK249" s="21">
        <f>(SUMPRODUCT(AK$9:AK$229,Nutrients!$D$8:$D$228)+(IF($A$7=Nutrients!$B$8,Nutrients!$D$8,Nutrients!$D$9)*AK$7)+(((IF($A$8=Nutrients!$B$79,Nutrients!$D$79,(IF($A$8=Nutrients!$B$77,Nutrients!$D$77,Nutrients!$D$78)))))*AK$8))/2000/2.2046</f>
        <v>1640.0020969516074</v>
      </c>
      <c r="AL249" s="21">
        <f>(SUMPRODUCT(AL$9:AL$229,Nutrients!$D$8:$D$228)+(IF($A$7=Nutrients!$B$8,Nutrients!$D$8,Nutrients!$D$9)*AL$7)+(((IF($A$8=Nutrients!$B$79,Nutrients!$D$79,(IF($A$8=Nutrients!$B$77,Nutrients!$D$77,Nutrients!$D$78)))))*AL$8))/2000/2.2046</f>
        <v>1639.5684773497417</v>
      </c>
      <c r="AM249" s="21">
        <f>(SUMPRODUCT(AM$9:AM$229,Nutrients!$D$8:$D$228)+(IF($A$7=Nutrients!$B$8,Nutrients!$D$8,Nutrients!$D$9)*AM$7)+(((IF($A$8=Nutrients!$B$79,Nutrients!$D$79,(IF($A$8=Nutrients!$B$77,Nutrients!$D$77,Nutrients!$D$78)))))*AM$8))/2000/2.2046</f>
        <v>1639.4445611137123</v>
      </c>
      <c r="AN249" s="21">
        <f>(SUMPRODUCT(AN$9:AN$229,Nutrients!$D$8:$D$228)+(IF($A$7=Nutrients!$B$8,Nutrients!$D$8,Nutrients!$D$9)*AN$7)+(((IF($A$8=Nutrients!$B$79,Nutrients!$D$79,(IF($A$8=Nutrients!$B$77,Nutrients!$D$77,Nutrients!$D$78)))))*AN$8))/2000/2.2046</f>
        <v>1639.4431767314516</v>
      </c>
      <c r="AO249" s="21">
        <f>(SUMPRODUCT(AO$9:AO$229,Nutrients!$D$8:$D$228)+(IF($A$7=Nutrients!$B$8,Nutrients!$D$8,Nutrients!$D$9)*AO$7)+(((IF($A$8=Nutrients!$B$79,Nutrients!$D$79,(IF($A$8=Nutrients!$B$77,Nutrients!$D$77,Nutrients!$D$78)))))*AO$8))/2000/2.2046</f>
        <v>1639.4733878594141</v>
      </c>
      <c r="AP249" s="21">
        <f>(SUMPRODUCT(AP$9:AP$229,Nutrients!$D$8:$D$228)+(IF($A$7=Nutrients!$B$8,Nutrients!$D$8,Nutrients!$D$9)*AP$7)+(((IF($A$8=Nutrients!$B$79,Nutrients!$D$79,(IF($A$8=Nutrients!$B$77,Nutrients!$D$77,Nutrients!$D$78)))))*AP$8))/2000/2.2046</f>
        <v>1639.0064536975774</v>
      </c>
      <c r="AR249" s="21">
        <f>(SUMPRODUCT(AR$9:AR$229,Nutrients!$D$8:$D$228)+(IF($A$7=Nutrients!$B$8,Nutrients!$D$8,Nutrients!$D$9)*AR$7)+(((IF($A$8=Nutrients!$B$79,Nutrients!$D$79,(IF($A$8=Nutrients!$B$77,Nutrients!$D$77,Nutrients!$D$78)))))*AR$8))/2000/2.2046</f>
        <v>1657.5305720563433</v>
      </c>
      <c r="AS249" s="21">
        <f>(SUMPRODUCT(AS$9:AS$229,Nutrients!$D$8:$D$228)+(IF($A$7=Nutrients!$B$8,Nutrients!$D$8,Nutrients!$D$9)*AS$7)+(((IF($A$8=Nutrients!$B$79,Nutrients!$D$79,(IF($A$8=Nutrients!$B$77,Nutrients!$D$77,Nutrients!$D$78)))))*AS$8))/2000/2.2046</f>
        <v>1656.9375685435482</v>
      </c>
      <c r="AT249" s="21">
        <f>(SUMPRODUCT(AT$9:AT$229,Nutrients!$D$8:$D$228)+(IF($A$7=Nutrients!$B$8,Nutrients!$D$8,Nutrients!$D$9)*AT$7)+(((IF($A$8=Nutrients!$B$79,Nutrients!$D$79,(IF($A$8=Nutrients!$B$77,Nutrients!$D$77,Nutrients!$D$78)))))*AT$8))/2000/2.2046</f>
        <v>1656.8601590344711</v>
      </c>
      <c r="AU249" s="21">
        <f>(SUMPRODUCT(AU$9:AU$229,Nutrients!$D$8:$D$228)+(IF($A$7=Nutrients!$B$8,Nutrients!$D$8,Nutrients!$D$9)*AU$7)+(((IF($A$8=Nutrients!$B$79,Nutrients!$D$79,(IF($A$8=Nutrients!$B$77,Nutrients!$D$77,Nutrients!$D$78)))))*AU$8))/2000/2.2046</f>
        <v>1656.706940049193</v>
      </c>
      <c r="AV249" s="21">
        <f>(SUMPRODUCT(AV$9:AV$229,Nutrients!$D$8:$D$228)+(IF($A$7=Nutrients!$B$8,Nutrients!$D$8,Nutrients!$D$9)*AV$7)+(((IF($A$8=Nutrients!$B$79,Nutrients!$D$79,(IF($A$8=Nutrients!$B$77,Nutrients!$D$77,Nutrients!$D$78)))))*AV$8))/2000/2.2046</f>
        <v>1656.7630043919464</v>
      </c>
      <c r="AW249" s="21">
        <f>(SUMPRODUCT(AW$9:AW$229,Nutrients!$D$8:$D$228)+(IF($A$7=Nutrients!$B$8,Nutrients!$D$8,Nutrients!$D$9)*AW$7)+(((IF($A$8=Nutrients!$B$79,Nutrients!$D$79,(IF($A$8=Nutrients!$B$77,Nutrients!$D$77,Nutrients!$D$78)))))*AW$8))/2000/2.2046</f>
        <v>1656.313385275914</v>
      </c>
    </row>
    <row r="250" spans="1:57" x14ac:dyDescent="0.25">
      <c r="A250" s="5" t="s">
        <v>30</v>
      </c>
      <c r="B250" s="21">
        <f>(SUMPRODUCT(B$9:B$229,Nutrients!$F$8:$F$228)+(IF($A$7=Nutrients!$B$8,Nutrients!$F$8,Nutrients!$F$9)*B$7)+(((IF($A$8=Nutrients!$B$79,Nutrients!$F$79,(IF($A$8=Nutrients!$B$77,Nutrients!$F$77,Nutrients!$F$78)))))*B$8))/2000/2.2046</f>
        <v>1153.6247232105659</v>
      </c>
      <c r="C250" s="21">
        <f>(SUMPRODUCT(C$9:C$229,Nutrients!$F$8:$F$228)+(IF($A$7=Nutrients!$B$8,Nutrients!$F$8,Nutrients!$F$9)*C$7)+(((IF($A$8=Nutrients!$B$79,Nutrients!$F$79,(IF($A$8=Nutrients!$B$77,Nutrients!$F$77,Nutrients!$F$78)))))*C$8))/2000/2.2046</f>
        <v>1160.6089760708783</v>
      </c>
      <c r="D250" s="21">
        <f>(SUMPRODUCT(D$9:D$229,Nutrients!$F$8:$F$228)+(IF($A$7=Nutrients!$B$8,Nutrients!$F$8,Nutrients!$F$9)*D$7)+(((IF($A$8=Nutrients!$B$79,Nutrients!$F$79,(IF($A$8=Nutrients!$B$77,Nutrients!$F$77,Nutrients!$F$78)))))*D$8))/2000/2.2046</f>
        <v>1166.664301360594</v>
      </c>
      <c r="E250" s="21">
        <f>(SUMPRODUCT(E$9:E$229,Nutrients!$F$8:$F$228)+(IF($A$7=Nutrients!$B$8,Nutrients!$F$8,Nutrients!$F$9)*E$7)+(((IF($A$8=Nutrients!$B$79,Nutrients!$F$79,(IF($A$8=Nutrients!$B$77,Nutrients!$F$77,Nutrients!$F$78)))))*E$8))/2000/2.2046</f>
        <v>1172.8465047486318</v>
      </c>
      <c r="F250" s="21">
        <f>(SUMPRODUCT(F$9:F$229,Nutrients!$F$8:$F$228)+(IF($A$7=Nutrients!$B$8,Nutrients!$F$8,Nutrients!$F$9)*F$7)+(((IF($A$8=Nutrients!$B$79,Nutrients!$F$79,(IF($A$8=Nutrients!$B$77,Nutrients!$F$77,Nutrients!$F$78)))))*F$8))/2000/2.2046</f>
        <v>1178.0967521230723</v>
      </c>
      <c r="G250" s="21">
        <f>(SUMPRODUCT(G$9:G$229,Nutrients!$F$8:$F$228)+(IF($A$7=Nutrients!$B$8,Nutrients!$F$8,Nutrients!$F$9)*G$7)+(((IF($A$8=Nutrients!$B$79,Nutrients!$F$79,(IF($A$8=Nutrients!$B$77,Nutrients!$F$77,Nutrients!$F$78)))))*G$8))/2000/2.2046</f>
        <v>1180.5684789085878</v>
      </c>
      <c r="H250" s="226"/>
      <c r="I250" s="21">
        <f>(SUMPRODUCT(I$9:I$229,Nutrients!$F$8:$F$228)+(IF($A$7=Nutrients!$B$8,Nutrients!$F$8,Nutrients!$F$9)*I$7)+(((IF($A$8=Nutrients!$B$79,Nutrients!$F$79,(IF($A$8=Nutrients!$B$77,Nutrients!$F$77,Nutrients!$F$78)))))*I$8))/2000/2.2046</f>
        <v>1153.3679546278718</v>
      </c>
      <c r="J250" s="21">
        <f>(SUMPRODUCT(J$9:J$229,Nutrients!$F$8:$F$228)+(IF($A$7=Nutrients!$B$8,Nutrients!$F$8,Nutrients!$F$9)*J$7)+(((IF($A$8=Nutrients!$B$79,Nutrients!$F$79,(IF($A$8=Nutrients!$B$77,Nutrients!$F$77,Nutrients!$F$78)))))*J$8))/2000/2.2046</f>
        <v>1160.4340144343939</v>
      </c>
      <c r="K250" s="21">
        <f>(SUMPRODUCT(K$9:K$229,Nutrients!$F$8:$F$228)+(IF($A$7=Nutrients!$B$8,Nutrients!$F$8,Nutrients!$F$9)*K$7)+(((IF($A$8=Nutrients!$B$79,Nutrients!$F$79,(IF($A$8=Nutrients!$B$77,Nutrients!$F$77,Nutrients!$F$78)))))*K$8))/2000/2.2046</f>
        <v>1166.5352319413898</v>
      </c>
      <c r="L250" s="21">
        <f>(SUMPRODUCT(L$9:L$229,Nutrients!$F$8:$F$228)+(IF($A$7=Nutrients!$B$8,Nutrients!$F$8,Nutrients!$F$9)*L$7)+(((IF($A$8=Nutrients!$B$79,Nutrients!$F$79,(IF($A$8=Nutrients!$B$77,Nutrients!$F$77,Nutrients!$F$78)))))*L$8))/2000/2.2046</f>
        <v>1172.7562010030767</v>
      </c>
      <c r="M250" s="21">
        <f>(SUMPRODUCT(M$9:M$229,Nutrients!$F$8:$F$228)+(IF($A$7=Nutrients!$B$8,Nutrients!$F$8,Nutrients!$F$9)*M$7)+(((IF($A$8=Nutrients!$B$79,Nutrients!$F$79,(IF($A$8=Nutrients!$B$77,Nutrients!$F$77,Nutrients!$F$78)))))*M$8))/2000/2.2046</f>
        <v>1178.0093360180736</v>
      </c>
      <c r="N250" s="21">
        <f>(SUMPRODUCT(N$9:N$229,Nutrients!$F$8:$F$228)+(IF($A$7=Nutrients!$B$8,Nutrients!$F$8,Nutrients!$F$9)*N$7)+(((IF($A$8=Nutrients!$B$79,Nutrients!$F$79,(IF($A$8=Nutrients!$B$77,Nutrients!$F$77,Nutrients!$F$78)))))*N$8))/2000/2.2046</f>
        <v>1180.4982705301143</v>
      </c>
      <c r="O250" s="234"/>
      <c r="P250" s="21">
        <f>(SUMPRODUCT(P$9:P$229,Nutrients!$F$8:$F$228)+(IF($A$7=Nutrients!$B$8,Nutrients!$F$8,Nutrients!$F$9)*P$7)+(((IF($A$8=Nutrients!$B$79,Nutrients!$F$79,(IF($A$8=Nutrients!$B$77,Nutrients!$F$77,Nutrients!$F$78)))))*P$8))/2000/2.2046</f>
        <v>1153.2142906581487</v>
      </c>
      <c r="Q250" s="21">
        <f>(SUMPRODUCT(Q$9:Q$229,Nutrients!$F$8:$F$228)+(IF($A$7=Nutrients!$B$8,Nutrients!$F$8,Nutrients!$F$9)*Q$7)+(((IF($A$8=Nutrients!$B$79,Nutrients!$F$79,(IF($A$8=Nutrients!$B$77,Nutrients!$F$77,Nutrients!$F$78)))))*Q$8))/2000/2.2046</f>
        <v>1160.2999159497322</v>
      </c>
      <c r="R250" s="21">
        <f>(SUMPRODUCT(R$9:R$229,Nutrients!$F$8:$F$228)+(IF($A$7=Nutrients!$B$8,Nutrients!$F$8,Nutrients!$F$9)*R$7)+(((IF($A$8=Nutrients!$B$79,Nutrients!$F$79,(IF($A$8=Nutrients!$B$77,Nutrients!$F$77,Nutrients!$F$78)))))*R$8))/2000/2.2046</f>
        <v>1166.4690888349064</v>
      </c>
      <c r="S250" s="21">
        <f>(SUMPRODUCT(S$9:S$229,Nutrients!$F$8:$F$228)+(IF($A$7=Nutrients!$B$8,Nutrients!$F$8,Nutrients!$F$9)*S$7)+(((IF($A$8=Nutrients!$B$79,Nutrients!$F$79,(IF($A$8=Nutrients!$B$77,Nutrients!$F$77,Nutrients!$F$78)))))*S$8))/2000/2.2046</f>
        <v>1172.6592947830845</v>
      </c>
      <c r="T250" s="21">
        <f>(SUMPRODUCT(T$9:T$229,Nutrients!$F$8:$F$228)+(IF($A$7=Nutrients!$B$8,Nutrients!$F$8,Nutrients!$F$9)*T$7)+(((IF($A$8=Nutrients!$B$79,Nutrients!$F$79,(IF($A$8=Nutrients!$B$77,Nutrients!$F$77,Nutrients!$F$78)))))*T$8))/2000/2.2046</f>
        <v>1177.9162807905248</v>
      </c>
      <c r="U250" s="21">
        <f>(SUMPRODUCT(U$9:U$229,Nutrients!$F$8:$F$228)+(IF($A$7=Nutrients!$B$8,Nutrients!$F$8,Nutrients!$F$9)*U$7)+(((IF($A$8=Nutrients!$B$79,Nutrients!$F$79,(IF($A$8=Nutrients!$B$77,Nutrients!$F$77,Nutrients!$F$78)))))*U$8))/2000/2.2046</f>
        <v>1180.4233251279677</v>
      </c>
      <c r="W250" s="21">
        <f>(SUMPRODUCT(W$9:W$229,Nutrients!$F$8:$F$228)+(IF($A$7=Nutrients!$B$8,Nutrients!$F$8,Nutrients!$F$9)*W$7)+(((IF($A$8=Nutrients!$B$79,Nutrients!$F$79,(IF($A$8=Nutrients!$B$77,Nutrients!$F$77,Nutrients!$F$78)))))*W$8))/2000/2.2046</f>
        <v>1153.1514511301054</v>
      </c>
      <c r="X250" s="21">
        <f>(SUMPRODUCT(X$9:X$229,Nutrients!$F$8:$F$228)+(IF($A$7=Nutrients!$B$8,Nutrients!$F$8,Nutrients!$F$9)*X$7)+(((IF($A$8=Nutrients!$B$79,Nutrients!$F$79,(IF($A$8=Nutrients!$B$77,Nutrients!$F$77,Nutrients!$F$78)))))*X$8))/2000/2.2046</f>
        <v>1160.3014025612417</v>
      </c>
      <c r="Y250" s="21">
        <f>(SUMPRODUCT(Y$9:Y$229,Nutrients!$F$8:$F$228)+(IF($A$7=Nutrients!$B$8,Nutrients!$F$8,Nutrients!$F$9)*Y$7)+(((IF($A$8=Nutrients!$B$79,Nutrients!$F$79,(IF($A$8=Nutrients!$B$77,Nutrients!$F$77,Nutrients!$F$78)))))*Y$8))/2000/2.2046</f>
        <v>1166.4302470709852</v>
      </c>
      <c r="Z250" s="21">
        <f>(SUMPRODUCT(Z$9:Z$229,Nutrients!$F$8:$F$228)+(IF($A$7=Nutrients!$B$8,Nutrients!$F$8,Nutrients!$F$9)*Z$7)+(((IF($A$8=Nutrients!$B$79,Nutrients!$F$79,(IF($A$8=Nutrients!$B$77,Nutrients!$F$77,Nutrients!$F$78)))))*Z$8))/2000/2.2046</f>
        <v>1172.6911665808204</v>
      </c>
      <c r="AA250" s="21">
        <f>(SUMPRODUCT(AA$9:AA$229,Nutrients!$F$8:$F$228)+(IF($A$7=Nutrients!$B$8,Nutrients!$F$8,Nutrients!$F$9)*AA$7)+(((IF($A$8=Nutrients!$B$79,Nutrients!$F$79,(IF($A$8=Nutrients!$B$77,Nutrients!$F$77,Nutrients!$F$78)))))*AA$8))/2000/2.2046</f>
        <v>1177.9566425259204</v>
      </c>
      <c r="AB250" s="21">
        <f>(SUMPRODUCT(AB$9:AB$229,Nutrients!$F$8:$F$228)+(IF($A$7=Nutrients!$B$8,Nutrients!$F$8,Nutrients!$F$9)*AB$7)+(((IF($A$8=Nutrients!$B$79,Nutrients!$F$79,(IF($A$8=Nutrients!$B$77,Nutrients!$F$77,Nutrients!$F$78)))))*AB$8))/2000/2.2046</f>
        <v>1180.4087002653939</v>
      </c>
      <c r="AD250" s="21">
        <f>(SUMPRODUCT(AD$9:AD$229,Nutrients!$F$8:$F$228)+(IF($A$7=Nutrients!$B$8,Nutrients!$F$8,Nutrients!$F$9)*AD$7)+(((IF($A$8=Nutrients!$B$79,Nutrients!$F$79,(IF($A$8=Nutrients!$B$77,Nutrients!$F$77,Nutrients!$F$78)))))*AD$8))/2000/2.2046</f>
        <v>1153.142034791809</v>
      </c>
      <c r="AE250" s="21">
        <f>(SUMPRODUCT(AE$9:AE$229,Nutrients!$F$8:$F$228)+(IF($A$7=Nutrients!$B$8,Nutrients!$F$8,Nutrients!$F$9)*AE$7)+(((IF($A$8=Nutrients!$B$79,Nutrients!$F$79,(IF($A$8=Nutrients!$B$77,Nutrients!$F$77,Nutrients!$F$78)))))*AE$8))/2000/2.2046</f>
        <v>1160.2536913331055</v>
      </c>
      <c r="AF250" s="21">
        <f>(SUMPRODUCT(AF$9:AF$229,Nutrients!$F$8:$F$228)+(IF($A$7=Nutrients!$B$8,Nutrients!$F$8,Nutrients!$F$9)*AF$7)+(((IF($A$8=Nutrients!$B$79,Nutrients!$F$79,(IF($A$8=Nutrients!$B$77,Nutrients!$F$77,Nutrients!$F$78)))))*AF$8))/2000/2.2046</f>
        <v>1166.460345061761</v>
      </c>
      <c r="AG250" s="21">
        <f>(SUMPRODUCT(AG$9:AG$229,Nutrients!$F$8:$F$228)+(IF($A$7=Nutrients!$B$8,Nutrients!$F$8,Nutrients!$F$9)*AG$7)+(((IF($A$8=Nutrients!$B$79,Nutrients!$F$79,(IF($A$8=Nutrients!$B$77,Nutrients!$F$77,Nutrients!$F$78)))))*AG$8))/2000/2.2046</f>
        <v>1172.704739905836</v>
      </c>
      <c r="AH250" s="21">
        <f>(SUMPRODUCT(AH$9:AH$229,Nutrients!$F$8:$F$228)+(IF($A$7=Nutrients!$B$8,Nutrients!$F$8,Nutrients!$F$9)*AH$7)+(((IF($A$8=Nutrients!$B$79,Nutrients!$F$79,(IF($A$8=Nutrients!$B$77,Nutrients!$F$77,Nutrients!$F$78)))))*AH$8))/2000/2.2046</f>
        <v>1177.9036426322355</v>
      </c>
      <c r="AI250" s="21">
        <f>(SUMPRODUCT(AI$9:AI$229,Nutrients!$F$8:$F$228)+(IF($A$7=Nutrients!$B$8,Nutrients!$F$8,Nutrients!$F$9)*AI$7)+(((IF($A$8=Nutrients!$B$79,Nutrients!$F$79,(IF($A$8=Nutrients!$B$77,Nutrients!$F$77,Nutrients!$F$78)))))*AI$8))/2000/2.2046</f>
        <v>1180.4274477716672</v>
      </c>
      <c r="AK250" s="21">
        <f>(SUMPRODUCT(AK$9:AK$229,Nutrients!$F$8:$F$228)+(IF($A$7=Nutrients!$B$8,Nutrients!$F$8,Nutrients!$F$9)*AK$7)+(((IF($A$8=Nutrients!$B$79,Nutrients!$F$79,(IF($A$8=Nutrients!$B$77,Nutrients!$F$77,Nutrients!$F$78)))))*AK$8))/2000/2.2046</f>
        <v>1153.0753916642404</v>
      </c>
      <c r="AL250" s="21">
        <f>(SUMPRODUCT(AL$9:AL$229,Nutrients!$F$8:$F$228)+(IF($A$7=Nutrients!$B$8,Nutrients!$F$8,Nutrients!$F$9)*AL$7)+(((IF($A$8=Nutrients!$B$79,Nutrients!$F$79,(IF($A$8=Nutrients!$B$77,Nutrients!$F$77,Nutrients!$F$78)))))*AL$8))/2000/2.2046</f>
        <v>1160.2039958044193</v>
      </c>
      <c r="AM250" s="21">
        <f>(SUMPRODUCT(AM$9:AM$229,Nutrients!$F$8:$F$228)+(IF($A$7=Nutrients!$B$8,Nutrients!$F$8,Nutrients!$F$9)*AM$7)+(((IF($A$8=Nutrients!$B$79,Nutrients!$F$79,(IF($A$8=Nutrients!$B$77,Nutrients!$F$77,Nutrients!$F$78)))))*AM$8))/2000/2.2046</f>
        <v>1166.3599731181082</v>
      </c>
      <c r="AN250" s="21">
        <f>(SUMPRODUCT(AN$9:AN$229,Nutrients!$F$8:$F$228)+(IF($A$7=Nutrients!$B$8,Nutrients!$F$8,Nutrients!$F$9)*AN$7)+(((IF($A$8=Nutrients!$B$79,Nutrients!$F$79,(IF($A$8=Nutrients!$B$77,Nutrients!$F$77,Nutrients!$F$78)))))*AN$8))/2000/2.2046</f>
        <v>1172.5724839879415</v>
      </c>
      <c r="AO250" s="21">
        <f>(SUMPRODUCT(AO$9:AO$229,Nutrients!$F$8:$F$228)+(IF($A$7=Nutrients!$B$8,Nutrients!$F$8,Nutrients!$F$9)*AO$7)+(((IF($A$8=Nutrients!$B$79,Nutrients!$F$79,(IF($A$8=Nutrients!$B$77,Nutrients!$F$77,Nutrients!$F$78)))))*AO$8))/2000/2.2046</f>
        <v>1177.9107253358327</v>
      </c>
      <c r="AP250" s="21">
        <f>(SUMPRODUCT(AP$9:AP$229,Nutrients!$F$8:$F$228)+(IF($A$7=Nutrients!$B$8,Nutrients!$F$8,Nutrients!$F$9)*AP$7)+(((IF($A$8=Nutrients!$B$79,Nutrients!$F$79,(IF($A$8=Nutrients!$B$77,Nutrients!$F$77,Nutrients!$F$78)))))*AP$8))/2000/2.2046</f>
        <v>1180.4507466293803</v>
      </c>
      <c r="AR250" s="21">
        <f>(SUMPRODUCT(AR$9:AR$229,Nutrients!$F$8:$F$228)+(IF($A$7=Nutrients!$B$8,Nutrients!$F$8,Nutrients!$F$9)*AR$7)+(((IF($A$8=Nutrients!$B$79,Nutrients!$F$79,(IF($A$8=Nutrients!$B$77,Nutrients!$F$77,Nutrients!$F$78)))))*AR$8))/2000/2.2046</f>
        <v>1153.1575925934135</v>
      </c>
      <c r="AS250" s="21">
        <f>(SUMPRODUCT(AS$9:AS$229,Nutrients!$F$8:$F$228)+(IF($A$7=Nutrients!$B$8,Nutrients!$F$8,Nutrients!$F$9)*AS$7)+(((IF($A$8=Nutrients!$B$79,Nutrients!$F$79,(IF($A$8=Nutrients!$B$77,Nutrients!$F$77,Nutrients!$F$78)))))*AS$8))/2000/2.2046</f>
        <v>1160.1238471641236</v>
      </c>
      <c r="AT250" s="21">
        <f>(SUMPRODUCT(AT$9:AT$229,Nutrients!$F$8:$F$228)+(IF($A$7=Nutrients!$B$8,Nutrients!$F$8,Nutrients!$F$9)*AT$7)+(((IF($A$8=Nutrients!$B$79,Nutrients!$F$79,(IF($A$8=Nutrients!$B$77,Nutrients!$F$77,Nutrients!$F$78)))))*AT$8))/2000/2.2046</f>
        <v>1166.2995058830538</v>
      </c>
      <c r="AU250" s="21">
        <f>(SUMPRODUCT(AU$9:AU$229,Nutrients!$F$8:$F$228)+(IF($A$7=Nutrients!$B$8,Nutrients!$F$8,Nutrients!$F$9)*AU$7)+(((IF($A$8=Nutrients!$B$79,Nutrients!$F$79,(IF($A$8=Nutrients!$B$77,Nutrients!$F$77,Nutrients!$F$78)))))*AU$8))/2000/2.2046</f>
        <v>1172.5573496299719</v>
      </c>
      <c r="AV250" s="21">
        <f>(SUMPRODUCT(AV$9:AV$229,Nutrients!$F$8:$F$228)+(IF($A$7=Nutrients!$B$8,Nutrients!$F$8,Nutrients!$F$9)*AV$7)+(((IF($A$8=Nutrients!$B$79,Nutrients!$F$79,(IF($A$8=Nutrients!$B$77,Nutrients!$F$77,Nutrients!$F$78)))))*AV$8))/2000/2.2046</f>
        <v>1177.9181466084062</v>
      </c>
      <c r="AW250" s="21">
        <f>(SUMPRODUCT(AW$9:AW$229,Nutrients!$F$8:$F$228)+(IF($A$7=Nutrients!$B$8,Nutrients!$F$8,Nutrients!$F$9)*AW$7)+(((IF($A$8=Nutrients!$B$79,Nutrients!$F$79,(IF($A$8=Nutrients!$B$77,Nutrients!$F$77,Nutrients!$F$78)))))*AW$8))/2000/2.2046</f>
        <v>1180.4741747330677</v>
      </c>
      <c r="AY250" s="21"/>
      <c r="AZ250" s="21"/>
      <c r="BA250" s="21"/>
      <c r="BB250" s="21"/>
      <c r="BC250" s="21"/>
      <c r="BD250" s="21"/>
    </row>
    <row r="251" spans="1:57" x14ac:dyDescent="0.25">
      <c r="A251" s="38" t="s">
        <v>29</v>
      </c>
      <c r="B251" s="21">
        <f t="shared" ref="B251:G251" si="34">B250*2.20462</f>
        <v>2543.3041372844777</v>
      </c>
      <c r="C251" s="21">
        <f t="shared" si="34"/>
        <v>2558.7017608253796</v>
      </c>
      <c r="D251" s="21">
        <f t="shared" si="34"/>
        <v>2572.0514520655925</v>
      </c>
      <c r="E251" s="21">
        <f t="shared" si="34"/>
        <v>2585.6808612989284</v>
      </c>
      <c r="F251" s="21">
        <f t="shared" si="34"/>
        <v>2597.2556616655675</v>
      </c>
      <c r="G251" s="21">
        <f t="shared" si="34"/>
        <v>2602.7048799714507</v>
      </c>
      <c r="H251" s="226"/>
      <c r="I251" s="21">
        <f t="shared" ref="I251:N251" si="35">I250*2.20462</f>
        <v>2542.7380601316986</v>
      </c>
      <c r="J251" s="21">
        <f t="shared" si="35"/>
        <v>2558.3160369023535</v>
      </c>
      <c r="K251" s="21">
        <f t="shared" si="35"/>
        <v>2571.7669030426268</v>
      </c>
      <c r="L251" s="21">
        <f t="shared" si="35"/>
        <v>2585.4817758554027</v>
      </c>
      <c r="M251" s="21">
        <f t="shared" si="35"/>
        <v>2597.0629423721653</v>
      </c>
      <c r="N251" s="21">
        <f t="shared" si="35"/>
        <v>2602.5500971761003</v>
      </c>
      <c r="O251" s="234"/>
      <c r="P251" s="21">
        <f t="shared" ref="P251:U251" si="36">P250*2.20462</f>
        <v>2542.3992894707676</v>
      </c>
      <c r="Q251" s="21">
        <f t="shared" si="36"/>
        <v>2558.0204007010984</v>
      </c>
      <c r="R251" s="21">
        <f t="shared" si="36"/>
        <v>2571.6210826272113</v>
      </c>
      <c r="S251" s="21">
        <f t="shared" si="36"/>
        <v>2585.2681344646835</v>
      </c>
      <c r="T251" s="21">
        <f t="shared" si="36"/>
        <v>2596.8577909564065</v>
      </c>
      <c r="U251" s="21">
        <f t="shared" si="36"/>
        <v>2602.38487104362</v>
      </c>
      <c r="W251" s="21">
        <f t="shared" ref="W251:AB251" si="37">W250*2.20462</f>
        <v>2542.2607521904529</v>
      </c>
      <c r="X251" s="21">
        <f t="shared" si="37"/>
        <v>2558.0236781145645</v>
      </c>
      <c r="Y251" s="21">
        <f t="shared" si="37"/>
        <v>2571.5354512976351</v>
      </c>
      <c r="Z251" s="21">
        <f t="shared" si="37"/>
        <v>2585.3383996674083</v>
      </c>
      <c r="AA251" s="21">
        <f t="shared" si="37"/>
        <v>2596.9467732454946</v>
      </c>
      <c r="AB251" s="21">
        <f t="shared" si="37"/>
        <v>2602.3526287790924</v>
      </c>
      <c r="AD251" s="21">
        <f t="shared" ref="AD251:AI251" si="38">AD250*2.20462</f>
        <v>2542.2399927427177</v>
      </c>
      <c r="AE251" s="21">
        <f t="shared" si="38"/>
        <v>2557.9184929867906</v>
      </c>
      <c r="AF251" s="21">
        <f t="shared" si="38"/>
        <v>2571.6018059300595</v>
      </c>
      <c r="AG251" s="21">
        <f t="shared" si="38"/>
        <v>2585.3683236912038</v>
      </c>
      <c r="AH251" s="21">
        <f t="shared" si="38"/>
        <v>2596.8299286198785</v>
      </c>
      <c r="AI251" s="21">
        <f t="shared" si="38"/>
        <v>2602.3939599063729</v>
      </c>
      <c r="AK251" s="21">
        <f t="shared" ref="AK251:AP251" si="39">AK250*2.20462</f>
        <v>2542.0930699708174</v>
      </c>
      <c r="AL251" s="21">
        <f t="shared" si="39"/>
        <v>2557.8089332303384</v>
      </c>
      <c r="AM251" s="21">
        <f t="shared" si="39"/>
        <v>2571.3805239356434</v>
      </c>
      <c r="AN251" s="21">
        <f t="shared" si="39"/>
        <v>2585.0767496494955</v>
      </c>
      <c r="AO251" s="21">
        <f t="shared" si="39"/>
        <v>2596.8455432898832</v>
      </c>
      <c r="AP251" s="21">
        <f t="shared" si="39"/>
        <v>2602.4453250340644</v>
      </c>
      <c r="AR251" s="21">
        <f t="shared" ref="AR251:AW251" si="40">AR250*2.20462</f>
        <v>2542.2742917832911</v>
      </c>
      <c r="AS251" s="21">
        <f t="shared" si="40"/>
        <v>2557.6322359349701</v>
      </c>
      <c r="AT251" s="21">
        <f t="shared" si="40"/>
        <v>2571.2472166598977</v>
      </c>
      <c r="AU251" s="21">
        <f t="shared" si="40"/>
        <v>2585.0433841412282</v>
      </c>
      <c r="AV251" s="21">
        <f t="shared" si="40"/>
        <v>2596.8619043758245</v>
      </c>
      <c r="AW251" s="21">
        <f t="shared" si="40"/>
        <v>2602.4969751000153</v>
      </c>
    </row>
    <row r="252" spans="1:57" x14ac:dyDescent="0.25">
      <c r="A252" s="38" t="s">
        <v>390</v>
      </c>
      <c r="B252" s="23">
        <f t="shared" ref="B252:G252" si="41">IF(B$5="","",B236/(B250*2.2046)*10000)</f>
        <v>4.6637077167474628</v>
      </c>
      <c r="C252" s="23">
        <f t="shared" si="41"/>
        <v>4.098690324665454</v>
      </c>
      <c r="D252" s="23">
        <f t="shared" si="41"/>
        <v>3.6038708201123204</v>
      </c>
      <c r="E252" s="23">
        <f t="shared" si="41"/>
        <v>3.1948100235360672</v>
      </c>
      <c r="F252" s="23">
        <f t="shared" si="41"/>
        <v>2.913603801156885</v>
      </c>
      <c r="G252" s="23">
        <f t="shared" si="41"/>
        <v>2.7602055376881007</v>
      </c>
      <c r="H252" s="227"/>
      <c r="I252" s="23">
        <f t="shared" ref="I252:N252" si="42">IF(I$5="","",I236/(I250*2.2046)*10000)</f>
        <v>4.6647459748469045</v>
      </c>
      <c r="J252" s="23">
        <f t="shared" si="42"/>
        <v>4.0993082948022534</v>
      </c>
      <c r="K252" s="23">
        <f t="shared" si="42"/>
        <v>3.6042695646173324</v>
      </c>
      <c r="L252" s="23">
        <f t="shared" si="42"/>
        <v>3.1950560280434108</v>
      </c>
      <c r="M252" s="23">
        <f t="shared" si="42"/>
        <v>2.9138200098812304</v>
      </c>
      <c r="N252" s="23">
        <f t="shared" si="42"/>
        <v>2.7603696968062401</v>
      </c>
      <c r="O252" s="198"/>
      <c r="P252" s="23">
        <f t="shared" ref="P252:U252" si="43">IF(P$5="","",P236/(P250*2.2046)*10000)</f>
        <v>4.6653675448274807</v>
      </c>
      <c r="Q252" s="23">
        <f t="shared" si="43"/>
        <v>4.0997820611301981</v>
      </c>
      <c r="R252" s="23">
        <f t="shared" si="43"/>
        <v>3.6044739400164651</v>
      </c>
      <c r="S252" s="23">
        <f t="shared" si="43"/>
        <v>3.1953200610866981</v>
      </c>
      <c r="T252" s="23">
        <f t="shared" si="43"/>
        <v>2.9140502012695975</v>
      </c>
      <c r="U252" s="23">
        <f t="shared" si="43"/>
        <v>2.7605449534388362</v>
      </c>
      <c r="W252" s="23">
        <f t="shared" ref="W252:AB252" si="44">IF(W$5="","",W236/(W250*2.2046)*10000)</f>
        <v>4.6656217781238771</v>
      </c>
      <c r="X252" s="23">
        <f t="shared" si="44"/>
        <v>4.0997768083715744</v>
      </c>
      <c r="Y252" s="23">
        <f t="shared" si="44"/>
        <v>3.6045939678759886</v>
      </c>
      <c r="Z252" s="23">
        <f t="shared" si="44"/>
        <v>3.1952332175957689</v>
      </c>
      <c r="AA252" s="23">
        <f t="shared" si="44"/>
        <v>2.9139503536870062</v>
      </c>
      <c r="AB252" s="23">
        <f t="shared" si="44"/>
        <v>2.7605791556524966</v>
      </c>
      <c r="AD252" s="23">
        <f t="shared" ref="AD252:AI252" si="45">IF(AD$5="","",AD236/(AD250*2.2046)*10000)</f>
        <v>4.6656598767029767</v>
      </c>
      <c r="AE252" s="23">
        <f t="shared" si="45"/>
        <v>4.0999453968346602</v>
      </c>
      <c r="AF252" s="23">
        <f t="shared" si="45"/>
        <v>3.6045009591110908</v>
      </c>
      <c r="AG252" s="23">
        <f t="shared" si="45"/>
        <v>3.195196234766684</v>
      </c>
      <c r="AH252" s="23">
        <f t="shared" si="45"/>
        <v>2.9140814671782627</v>
      </c>
      <c r="AI252" s="23">
        <f t="shared" si="45"/>
        <v>2.760535312233626</v>
      </c>
      <c r="AK252" s="23">
        <f t="shared" ref="AK252:AP252" si="46">IF(AK$5="","",AK236/(AK250*2.2046)*10000)</f>
        <v>4.6659295331093169</v>
      </c>
      <c r="AL252" s="23">
        <f t="shared" si="46"/>
        <v>4.100121011601388</v>
      </c>
      <c r="AM252" s="23">
        <f t="shared" si="46"/>
        <v>3.6048111470252029</v>
      </c>
      <c r="AN252" s="23">
        <f t="shared" si="46"/>
        <v>3.195556624948658</v>
      </c>
      <c r="AO252" s="23">
        <f t="shared" si="46"/>
        <v>2.914063944988468</v>
      </c>
      <c r="AP252" s="23">
        <f t="shared" si="46"/>
        <v>2.7604808268435028</v>
      </c>
      <c r="AR252" s="23">
        <f t="shared" ref="AR252:AW252" si="47">IF(AR$5="","",AR236/(AR250*2.2046)*10000)</f>
        <v>4.6655969300500812</v>
      </c>
      <c r="AS252" s="23">
        <f t="shared" si="47"/>
        <v>4.1004042737073529</v>
      </c>
      <c r="AT252" s="23">
        <f t="shared" si="47"/>
        <v>3.6049980398103352</v>
      </c>
      <c r="AU252" s="23">
        <f t="shared" si="47"/>
        <v>3.1955978704347654</v>
      </c>
      <c r="AV252" s="23">
        <f t="shared" si="47"/>
        <v>2.9140455854251188</v>
      </c>
      <c r="AW252" s="23">
        <f t="shared" si="47"/>
        <v>2.7604260413747284</v>
      </c>
    </row>
    <row r="253" spans="1:57" x14ac:dyDescent="0.25">
      <c r="A253" s="51" t="s">
        <v>155</v>
      </c>
      <c r="B253" s="22">
        <f>(SUMPRODUCT(B$9:B$229,Nutrients!$I$8:$I$228)+(IF($A$7=Nutrients!$B$8,Nutrients!$I$8,Nutrients!$I$9)*B$7)+(((IF($A$8=Nutrients!$B$79,Nutrients!$I$79,(IF($A$8=Nutrients!$B$77,Nutrients!$I$77,Nutrients!$I$78)))))*B$8))/2000</f>
        <v>19.197144454100709</v>
      </c>
      <c r="C253" s="22">
        <f>(SUMPRODUCT(C$9:C$229,Nutrients!$I$8:$I$228)+(IF($A$7=Nutrients!$B$8,Nutrients!$I$8,Nutrients!$I$9)*C$7)+(((IF($A$8=Nutrients!$B$79,Nutrients!$I$79,(IF($A$8=Nutrients!$B$77,Nutrients!$I$77,Nutrients!$I$78)))))*C$8))/2000</f>
        <v>17.518322949293985</v>
      </c>
      <c r="D253" s="22">
        <f>(SUMPRODUCT(D$9:D$229,Nutrients!$I$8:$I$228)+(IF($A$7=Nutrients!$B$8,Nutrients!$I$8,Nutrients!$I$9)*D$7)+(((IF($A$8=Nutrients!$B$79,Nutrients!$I$79,(IF($A$8=Nutrients!$B$77,Nutrients!$I$77,Nutrients!$I$78)))))*D$8))/2000</f>
        <v>16.093820180294312</v>
      </c>
      <c r="E253" s="22">
        <f>(SUMPRODUCT(E$9:E$229,Nutrients!$I$8:$I$228)+(IF($A$7=Nutrients!$B$8,Nutrients!$I$8,Nutrients!$I$9)*E$7)+(((IF($A$8=Nutrients!$B$79,Nutrients!$I$79,(IF($A$8=Nutrients!$B$77,Nutrients!$I$77,Nutrients!$I$78)))))*E$8))/2000</f>
        <v>14.741302120356609</v>
      </c>
      <c r="F253" s="22">
        <f>(SUMPRODUCT(F$9:F$229,Nutrients!$I$8:$I$228)+(IF($A$7=Nutrients!$B$8,Nutrients!$I$8,Nutrients!$I$9)*F$7)+(((IF($A$8=Nutrients!$B$79,Nutrients!$I$79,(IF($A$8=Nutrients!$B$77,Nutrients!$I$77,Nutrients!$I$78)))))*F$8))/2000</f>
        <v>13.625458454243304</v>
      </c>
      <c r="G253" s="22">
        <f>(SUMPRODUCT(G$9:G$229,Nutrients!$I$8:$I$228)+(IF($A$7=Nutrients!$B$8,Nutrients!$I$8,Nutrients!$I$9)*G$7)+(((IF($A$8=Nutrients!$B$79,Nutrients!$I$79,(IF($A$8=Nutrients!$B$77,Nutrients!$I$77,Nutrients!$I$78)))))*G$8))/2000</f>
        <v>13.010227616088669</v>
      </c>
      <c r="H253" s="228"/>
      <c r="I253" s="22">
        <f>(SUMPRODUCT(I$9:I$229,Nutrients!$I$8:$I$228)+(IF($A$7=Nutrients!$B$8,Nutrients!$I$8,Nutrients!$I$9)*I$7)+(((IF($A$8=Nutrients!$B$79,Nutrients!$I$79,(IF($A$8=Nutrients!$B$77,Nutrients!$I$77,Nutrients!$I$78)))))*I$8))/2000</f>
        <v>19.597200691982383</v>
      </c>
      <c r="J253" s="22">
        <f>(SUMPRODUCT(J$9:J$229,Nutrients!$I$8:$I$228)+(IF($A$7=Nutrients!$B$8,Nutrients!$I$8,Nutrients!$I$9)*J$7)+(((IF($A$8=Nutrients!$B$79,Nutrients!$I$79,(IF($A$8=Nutrients!$B$77,Nutrients!$I$77,Nutrients!$I$78)))))*J$8))/2000</f>
        <v>17.91982022954446</v>
      </c>
      <c r="K253" s="22">
        <f>(SUMPRODUCT(K$9:K$229,Nutrients!$I$8:$I$228)+(IF($A$7=Nutrients!$B$8,Nutrients!$I$8,Nutrients!$I$9)*K$7)+(((IF($A$8=Nutrients!$B$79,Nutrients!$I$79,(IF($A$8=Nutrients!$B$77,Nutrients!$I$77,Nutrients!$I$78)))))*K$8))/2000</f>
        <v>16.500157776344498</v>
      </c>
      <c r="L253" s="22">
        <f>(SUMPRODUCT(L$9:L$229,Nutrients!$I$8:$I$228)+(IF($A$7=Nutrients!$B$8,Nutrients!$I$8,Nutrients!$I$9)*L$7)+(((IF($A$8=Nutrients!$B$79,Nutrients!$I$79,(IF($A$8=Nutrients!$B$77,Nutrients!$I$77,Nutrients!$I$78)))))*L$8))/2000</f>
        <v>15.144945030324584</v>
      </c>
      <c r="M253" s="22">
        <f>(SUMPRODUCT(M$9:M$229,Nutrients!$I$8:$I$228)+(IF($A$7=Nutrients!$B$8,Nutrients!$I$8,Nutrients!$I$9)*M$7)+(((IF($A$8=Nutrients!$B$79,Nutrients!$I$79,(IF($A$8=Nutrients!$B$77,Nutrients!$I$77,Nutrients!$I$78)))))*M$8))/2000</f>
        <v>14.027087351494538</v>
      </c>
      <c r="N253" s="22">
        <f>(SUMPRODUCT(N$9:N$229,Nutrients!$I$8:$I$228)+(IF($A$7=Nutrients!$B$8,Nutrients!$I$8,Nutrients!$I$9)*N$7)+(((IF($A$8=Nutrients!$B$79,Nutrients!$I$79,(IF($A$8=Nutrients!$B$77,Nutrients!$I$77,Nutrients!$I$78)))))*N$8))/2000</f>
        <v>13.415997538514945</v>
      </c>
      <c r="O253" s="235"/>
      <c r="P253" s="22">
        <f>(SUMPRODUCT(P$9:P$229,Nutrients!$I$8:$I$228)+(IF($A$7=Nutrients!$B$8,Nutrients!$I$8,Nutrients!$I$9)*P$7)+(((IF($A$8=Nutrients!$B$79,Nutrients!$I$79,(IF($A$8=Nutrients!$B$77,Nutrients!$I$77,Nutrients!$I$78)))))*P$8))/2000</f>
        <v>19.999653859391298</v>
      </c>
      <c r="Q253" s="22">
        <f>(SUMPRODUCT(Q$9:Q$229,Nutrients!$I$8:$I$228)+(IF($A$7=Nutrients!$B$8,Nutrients!$I$8,Nutrients!$I$9)*Q$7)+(((IF($A$8=Nutrients!$B$79,Nutrients!$I$79,(IF($A$8=Nutrients!$B$77,Nutrients!$I$77,Nutrients!$I$78)))))*Q$8))/2000</f>
        <v>18.324272695276957</v>
      </c>
      <c r="R253" s="22">
        <f>(SUMPRODUCT(R$9:R$229,Nutrients!$I$8:$I$228)+(IF($A$7=Nutrients!$B$8,Nutrients!$I$8,Nutrients!$I$9)*R$7)+(((IF($A$8=Nutrients!$B$79,Nutrients!$I$79,(IF($A$8=Nutrients!$B$77,Nutrients!$I$77,Nutrients!$I$78)))))*R$8))/2000</f>
        <v>16.906471991245891</v>
      </c>
      <c r="S253" s="22">
        <f>(SUMPRODUCT(S$9:S$229,Nutrients!$I$8:$I$228)+(IF($A$7=Nutrients!$B$8,Nutrients!$I$8,Nutrients!$I$9)*S$7)+(((IF($A$8=Nutrients!$B$79,Nutrients!$I$79,(IF($A$8=Nutrients!$B$77,Nutrients!$I$77,Nutrients!$I$78)))))*S$8))/2000</f>
        <v>15.551940682114102</v>
      </c>
      <c r="T253" s="22">
        <f>(SUMPRODUCT(T$9:T$229,Nutrients!$I$8:$I$228)+(IF($A$7=Nutrients!$B$8,Nutrients!$I$8,Nutrients!$I$9)*T$7)+(((IF($A$8=Nutrients!$B$79,Nutrients!$I$79,(IF($A$8=Nutrients!$B$77,Nutrients!$I$77,Nutrients!$I$78)))))*T$8))/2000</f>
        <v>14.431500862311957</v>
      </c>
      <c r="U253" s="22">
        <f>(SUMPRODUCT(U$9:U$229,Nutrients!$I$8:$I$228)+(IF($A$7=Nutrients!$B$8,Nutrients!$I$8,Nutrients!$I$9)*U$7)+(((IF($A$8=Nutrients!$B$79,Nutrients!$I$79,(IF($A$8=Nutrients!$B$77,Nutrients!$I$77,Nutrients!$I$78)))))*U$8))/2000</f>
        <v>13.820160168463124</v>
      </c>
      <c r="W253" s="22">
        <f>(SUMPRODUCT(W$9:W$229,Nutrients!$I$8:$I$228)+(IF($A$7=Nutrients!$B$8,Nutrients!$I$8,Nutrients!$I$9)*W$7)+(((IF($A$8=Nutrients!$B$79,Nutrients!$I$79,(IF($A$8=Nutrients!$B$77,Nutrients!$I$77,Nutrients!$I$78)))))*W$8))/2000</f>
        <v>20.402419540662873</v>
      </c>
      <c r="X253" s="22">
        <f>(SUMPRODUCT(X$9:X$229,Nutrients!$I$8:$I$228)+(IF($A$7=Nutrients!$B$8,Nutrients!$I$8,Nutrients!$I$9)*X$7)+(((IF($A$8=Nutrients!$B$79,Nutrients!$I$79,(IF($A$8=Nutrients!$B$77,Nutrients!$I$77,Nutrients!$I$78)))))*X$8))/2000</f>
        <v>18.730319744665589</v>
      </c>
      <c r="Y253" s="22">
        <f>(SUMPRODUCT(Y$9:Y$229,Nutrients!$I$8:$I$228)+(IF($A$7=Nutrients!$B$8,Nutrients!$I$8,Nutrients!$I$9)*Y$7)+(((IF($A$8=Nutrients!$B$79,Nutrients!$I$79,(IF($A$8=Nutrients!$B$77,Nutrients!$I$77,Nutrients!$I$78)))))*Y$8))/2000</f>
        <v>17.313587592387552</v>
      </c>
      <c r="Z253" s="22">
        <f>(SUMPRODUCT(Z$9:Z$229,Nutrients!$I$8:$I$228)+(IF($A$7=Nutrients!$B$8,Nutrients!$I$8,Nutrients!$I$9)*Z$7)+(((IF($A$8=Nutrients!$B$79,Nutrients!$I$79,(IF($A$8=Nutrients!$B$77,Nutrients!$I$77,Nutrients!$I$78)))))*Z$8))/2000</f>
        <v>15.962855149684314</v>
      </c>
      <c r="AA253" s="22">
        <f>(SUMPRODUCT(AA$9:AA$229,Nutrients!$I$8:$I$228)+(IF($A$7=Nutrients!$B$8,Nutrients!$I$8,Nutrients!$I$9)*AA$7)+(((IF($A$8=Nutrients!$B$79,Nutrients!$I$79,(IF($A$8=Nutrients!$B$77,Nutrients!$I$77,Nutrients!$I$78)))))*AA$8))/2000</f>
        <v>14.847906712193907</v>
      </c>
      <c r="AB253" s="22">
        <f>(SUMPRODUCT(AB$9:AB$229,Nutrients!$I$8:$I$228)+(IF($A$7=Nutrients!$B$8,Nutrients!$I$8,Nutrients!$I$9)*AB$7)+(((IF($A$8=Nutrients!$B$79,Nutrients!$I$79,(IF($A$8=Nutrients!$B$77,Nutrients!$I$77,Nutrients!$I$78)))))*AB$8))/2000</f>
        <v>14.234573570975998</v>
      </c>
      <c r="AD253" s="22">
        <f>(SUMPRODUCT(AD$9:AD$229,Nutrients!$I$8:$I$228)+(IF($A$7=Nutrients!$B$8,Nutrients!$I$8,Nutrients!$I$9)*AD$7)+(((IF($A$8=Nutrients!$B$79,Nutrients!$I$79,(IF($A$8=Nutrients!$B$77,Nutrients!$I$77,Nutrients!$I$78)))))*AD$8))/2000</f>
        <v>20.808490624552984</v>
      </c>
      <c r="AE253" s="22">
        <f>(SUMPRODUCT(AE$9:AE$229,Nutrients!$I$8:$I$228)+(IF($A$7=Nutrients!$B$8,Nutrients!$I$8,Nutrients!$I$9)*AE$7)+(((IF($A$8=Nutrients!$B$79,Nutrients!$I$79,(IF($A$8=Nutrients!$B$77,Nutrients!$I$77,Nutrients!$I$78)))))*AE$8))/2000</f>
        <v>19.135812042172866</v>
      </c>
      <c r="AF253" s="22">
        <f>(SUMPRODUCT(AF$9:AF$229,Nutrients!$I$8:$I$228)+(IF($A$7=Nutrients!$B$8,Nutrients!$I$8,Nutrients!$I$9)*AF$7)+(((IF($A$8=Nutrients!$B$79,Nutrients!$I$79,(IF($A$8=Nutrients!$B$77,Nutrients!$I$77,Nutrients!$I$78)))))*AF$8))/2000</f>
        <v>17.724506672919606</v>
      </c>
      <c r="AG253" s="22">
        <f>(SUMPRODUCT(AG$9:AG$229,Nutrients!$I$8:$I$228)+(IF($A$7=Nutrients!$B$8,Nutrients!$I$8,Nutrients!$I$9)*AG$7)+(((IF($A$8=Nutrients!$B$79,Nutrients!$I$79,(IF($A$8=Nutrients!$B$77,Nutrients!$I$77,Nutrients!$I$78)))))*AG$8))/2000</f>
        <v>16.375576310959936</v>
      </c>
      <c r="AH253" s="22">
        <f>(SUMPRODUCT(AH$9:AH$229,Nutrients!$I$8:$I$228)+(IF($A$7=Nutrients!$B$8,Nutrients!$I$8,Nutrients!$I$9)*AH$7)+(((IF($A$8=Nutrients!$B$79,Nutrients!$I$79,(IF($A$8=Nutrients!$B$77,Nutrients!$I$77,Nutrients!$I$78)))))*AH$8))/2000</f>
        <v>15.257999994499716</v>
      </c>
      <c r="AI253" s="22">
        <f>(SUMPRODUCT(AI$9:AI$229,Nutrients!$I$8:$I$228)+(IF($A$7=Nutrients!$B$8,Nutrients!$I$8,Nutrients!$I$9)*AI$7)+(((IF($A$8=Nutrients!$B$79,Nutrients!$I$79,(IF($A$8=Nutrients!$B$77,Nutrients!$I$77,Nutrients!$I$78)))))*AI$8))/2000</f>
        <v>14.642905586361689</v>
      </c>
      <c r="AK253" s="22">
        <f>(SUMPRODUCT(AK$9:AK$229,Nutrients!$I$8:$I$228)+(IF($A$7=Nutrients!$B$8,Nutrients!$I$8,Nutrients!$I$9)*AK$7)+(((IF($A$8=Nutrients!$B$79,Nutrients!$I$79,(IF($A$8=Nutrients!$B$77,Nutrients!$I$77,Nutrients!$I$78)))))*AK$8))/2000</f>
        <v>21.213602200766534</v>
      </c>
      <c r="AL253" s="22">
        <f>(SUMPRODUCT(AL$9:AL$229,Nutrients!$I$8:$I$228)+(IF($A$7=Nutrients!$B$8,Nutrients!$I$8,Nutrients!$I$9)*AL$7)+(((IF($A$8=Nutrients!$B$79,Nutrients!$I$79,(IF($A$8=Nutrients!$B$77,Nutrients!$I$77,Nutrients!$I$78)))))*AL$8))/2000</f>
        <v>19.542175366065642</v>
      </c>
      <c r="AM253" s="22">
        <f>(SUMPRODUCT(AM$9:AM$229,Nutrients!$I$8:$I$228)+(IF($A$7=Nutrients!$B$8,Nutrients!$I$8,Nutrients!$I$9)*AM$7)+(((IF($A$8=Nutrients!$B$79,Nutrients!$I$79,(IF($A$8=Nutrients!$B$77,Nutrients!$I$77,Nutrients!$I$78)))))*AM$8))/2000</f>
        <v>18.131702332147047</v>
      </c>
      <c r="AN253" s="22">
        <f>(SUMPRODUCT(AN$9:AN$229,Nutrients!$I$8:$I$228)+(IF($A$7=Nutrients!$B$8,Nutrients!$I$8,Nutrients!$I$9)*AN$7)+(((IF($A$8=Nutrients!$B$79,Nutrients!$I$79,(IF($A$8=Nutrients!$B$77,Nutrients!$I$77,Nutrients!$I$78)))))*AN$8))/2000</f>
        <v>16.78660005509877</v>
      </c>
      <c r="AO253" s="22">
        <f>(SUMPRODUCT(AO$9:AO$229,Nutrients!$I$8:$I$228)+(IF($A$7=Nutrients!$B$8,Nutrients!$I$8,Nutrients!$I$9)*AO$7)+(((IF($A$8=Nutrients!$B$79,Nutrients!$I$79,(IF($A$8=Nutrients!$B$77,Nutrients!$I$77,Nutrients!$I$78)))))*AO$8))/2000</f>
        <v>15.666366095112382</v>
      </c>
      <c r="AP253" s="22">
        <f>(SUMPRODUCT(AP$9:AP$229,Nutrients!$I$8:$I$228)+(IF($A$7=Nutrients!$B$8,Nutrients!$I$8,Nutrients!$I$9)*AP$7)+(((IF($A$8=Nutrients!$B$79,Nutrients!$I$79,(IF($A$8=Nutrients!$B$77,Nutrients!$I$77,Nutrients!$I$78)))))*AP$8))/2000</f>
        <v>15.051225419310454</v>
      </c>
      <c r="AR253" s="22">
        <f>(SUMPRODUCT(AR$9:AR$229,Nutrients!$I$8:$I$228)+(IF($A$7=Nutrients!$B$8,Nutrients!$I$8,Nutrients!$I$9)*AR$7)+(((IF($A$8=Nutrients!$B$79,Nutrients!$I$79,(IF($A$8=Nutrients!$B$77,Nutrients!$I$77,Nutrients!$I$78)))))*AR$8))/2000</f>
        <v>21.619037615532317</v>
      </c>
      <c r="AS253" s="22">
        <f>(SUMPRODUCT(AS$9:AS$229,Nutrients!$I$8:$I$228)+(IF($A$7=Nutrients!$B$8,Nutrients!$I$8,Nutrients!$I$9)*AS$7)+(((IF($A$8=Nutrients!$B$79,Nutrients!$I$79,(IF($A$8=Nutrients!$B$77,Nutrients!$I$77,Nutrients!$I$78)))))*AS$8))/2000</f>
        <v>19.951558432202741</v>
      </c>
      <c r="AT253" s="22">
        <f>(SUMPRODUCT(AT$9:AT$229,Nutrients!$I$8:$I$228)+(IF($A$7=Nutrients!$B$8,Nutrients!$I$8,Nutrients!$I$9)*AT$7)+(((IF($A$8=Nutrients!$B$79,Nutrients!$I$79,(IF($A$8=Nutrients!$B$77,Nutrients!$I$77,Nutrients!$I$78)))))*AT$8))/2000</f>
        <v>18.54756480616566</v>
      </c>
      <c r="AU253" s="22">
        <f>(SUMPRODUCT(AU$9:AU$229,Nutrients!$I$8:$I$228)+(IF($A$7=Nutrients!$B$8,Nutrients!$I$8,Nutrients!$I$9)*AU$7)+(((IF($A$8=Nutrients!$B$79,Nutrients!$I$79,(IF($A$8=Nutrients!$B$77,Nutrients!$I$77,Nutrients!$I$78)))))*AU$8))/2000</f>
        <v>17.194976017080162</v>
      </c>
      <c r="AV253" s="22">
        <f>(SUMPRODUCT(AV$9:AV$229,Nutrients!$I$8:$I$228)+(IF($A$7=Nutrients!$B$8,Nutrients!$I$8,Nutrients!$I$9)*AV$7)+(((IF($A$8=Nutrients!$B$79,Nutrients!$I$79,(IF($A$8=Nutrients!$B$77,Nutrients!$I$77,Nutrients!$I$78)))))*AV$8))/2000</f>
        <v>16.074730982909433</v>
      </c>
      <c r="AW253" s="22">
        <f>(SUMPRODUCT(AW$9:AW$229,Nutrients!$I$8:$I$228)+(IF($A$7=Nutrients!$B$8,Nutrients!$I$8,Nutrients!$I$9)*AW$7)+(((IF($A$8=Nutrients!$B$79,Nutrients!$I$79,(IF($A$8=Nutrients!$B$77,Nutrients!$I$77,Nutrients!$I$78)))))*AW$8))/2000</f>
        <v>15.459544651735287</v>
      </c>
    </row>
    <row r="254" spans="1:57" x14ac:dyDescent="0.25">
      <c r="A254" s="41" t="s">
        <v>144</v>
      </c>
      <c r="B254" s="23">
        <f>(SUMPRODUCT(B$9:B$229,Nutrients!$BS$8:$BS$228)+(IF($A$7=Nutrients!$B$8,Nutrients!$BS$8,Nutrients!$BS$9)*B$7)+(((IF($A$8=Nutrients!$B$79,Nutrients!$BS$79,(IF($A$8=Nutrients!$B$77,Nutrients!$BS$77,Nutrients!$BS$78)))))*B$8))/2000</f>
        <v>0.69579038170108098</v>
      </c>
      <c r="C254" s="23">
        <f>(SUMPRODUCT(C$9:C$229,Nutrients!$BS$8:$BS$228)+(IF($A$7=Nutrients!$B$8,Nutrients!$BS$8,Nutrients!$BS$9)*C$7)+(((IF($A$8=Nutrients!$B$79,Nutrients!$BS$79,(IF($A$8=Nutrients!$B$77,Nutrients!$BS$77,Nutrients!$BS$78)))))*C$8))/2000</f>
        <v>0.62597225623792574</v>
      </c>
      <c r="D254" s="23">
        <f>(SUMPRODUCT(D$9:D$229,Nutrients!$BS$8:$BS$228)+(IF($A$7=Nutrients!$B$8,Nutrients!$BS$8,Nutrients!$BS$9)*D$7)+(((IF($A$8=Nutrients!$B$79,Nutrients!$BS$79,(IF($A$8=Nutrients!$B$77,Nutrients!$BS$77,Nutrients!$BS$78)))))*D$8))/2000</f>
        <v>0.57389505815699282</v>
      </c>
      <c r="E254" s="23">
        <f>(SUMPRODUCT(E$9:E$229,Nutrients!$BS$8:$BS$228)+(IF($A$7=Nutrients!$B$8,Nutrients!$BS$8,Nutrients!$BS$9)*E$7)+(((IF($A$8=Nutrients!$B$79,Nutrients!$BS$79,(IF($A$8=Nutrients!$B$77,Nutrients!$BS$77,Nutrients!$BS$78)))))*E$8))/2000</f>
        <v>0.52055031100225413</v>
      </c>
      <c r="F254" s="23">
        <f>(SUMPRODUCT(F$9:F$229,Nutrients!$BS$8:$BS$228)+(IF($A$7=Nutrients!$B$8,Nutrients!$BS$8,Nutrients!$BS$9)*F$7)+(((IF($A$8=Nutrients!$B$79,Nutrients!$BS$79,(IF($A$8=Nutrients!$B$77,Nutrients!$BS$77,Nutrients!$BS$78)))))*F$8))/2000</f>
        <v>0.47698896958793735</v>
      </c>
      <c r="G254" s="23">
        <f>(SUMPRODUCT(G$9:G$229,Nutrients!$BS$8:$BS$228)+(IF($A$7=Nutrients!$B$8,Nutrients!$BS$8,Nutrients!$BS$9)*G$7)+(((IF($A$8=Nutrients!$B$79,Nutrients!$BS$79,(IF($A$8=Nutrients!$B$77,Nutrients!$BS$77,Nutrients!$BS$78)))))*G$8))/2000</f>
        <v>0.4600223649748173</v>
      </c>
      <c r="H254" s="227"/>
      <c r="I254" s="23">
        <f>(SUMPRODUCT(I$9:I$229,Nutrients!$BS$8:$BS$228)+(IF($A$7=Nutrients!$B$8,Nutrients!$BS$8,Nutrients!$BS$9)*I$7)+(((IF($A$8=Nutrients!$B$79,Nutrients!$BS$79,(IF($A$8=Nutrients!$B$77,Nutrients!$BS$77,Nutrients!$BS$78)))))*I$8))/2000</f>
        <v>0.69634897721404698</v>
      </c>
      <c r="J254" s="23">
        <f>(SUMPRODUCT(J$9:J$229,Nutrients!$BS$8:$BS$228)+(IF($A$7=Nutrients!$B$8,Nutrients!$BS$8,Nutrients!$BS$9)*J$7)+(((IF($A$8=Nutrients!$B$79,Nutrients!$BS$79,(IF($A$8=Nutrients!$B$77,Nutrients!$BS$77,Nutrients!$BS$78)))))*J$8))/2000</f>
        <v>0.62792423751488491</v>
      </c>
      <c r="K254" s="23">
        <f>(SUMPRODUCT(K$9:K$229,Nutrients!$BS$8:$BS$228)+(IF($A$7=Nutrients!$B$8,Nutrients!$BS$8,Nutrients!$BS$9)*K$7)+(((IF($A$8=Nutrients!$B$79,Nutrients!$BS$79,(IF($A$8=Nutrients!$B$77,Nutrients!$BS$77,Nutrients!$BS$78)))))*K$8))/2000</f>
        <v>0.57371655643401354</v>
      </c>
      <c r="L254" s="23">
        <f>(SUMPRODUCT(L$9:L$229,Nutrients!$BS$8:$BS$228)+(IF($A$7=Nutrients!$B$8,Nutrients!$BS$8,Nutrients!$BS$9)*L$7)+(((IF($A$8=Nutrients!$B$79,Nutrients!$BS$79,(IF($A$8=Nutrients!$B$77,Nutrients!$BS$77,Nutrients!$BS$78)))))*L$8))/2000</f>
        <v>0.52145320094568182</v>
      </c>
      <c r="M254" s="23">
        <f>(SUMPRODUCT(M$9:M$229,Nutrients!$BS$8:$BS$228)+(IF($A$7=Nutrients!$B$8,Nutrients!$BS$8,Nutrients!$BS$9)*M$7)+(((IF($A$8=Nutrients!$B$79,Nutrients!$BS$79,(IF($A$8=Nutrients!$B$77,Nutrients!$BS$77,Nutrients!$BS$78)))))*M$8))/2000</f>
        <v>0.47833729222550325</v>
      </c>
      <c r="N254" s="23">
        <f>(SUMPRODUCT(N$9:N$229,Nutrients!$BS$8:$BS$228)+(IF($A$7=Nutrients!$B$8,Nutrients!$BS$8,Nutrients!$BS$9)*N$7)+(((IF($A$8=Nutrients!$B$79,Nutrients!$BS$79,(IF($A$8=Nutrients!$B$77,Nutrients!$BS$77,Nutrients!$BS$78)))))*N$8))/2000</f>
        <v>0.46087605637842122</v>
      </c>
      <c r="O254" s="198"/>
      <c r="P254" s="23">
        <f>(SUMPRODUCT(P$9:P$229,Nutrients!$BS$8:$BS$228)+(IF($A$7=Nutrients!$B$8,Nutrients!$BS$8,Nutrients!$BS$9)*P$7)+(((IF($A$8=Nutrients!$B$79,Nutrients!$BS$79,(IF($A$8=Nutrients!$B$77,Nutrients!$BS$77,Nutrients!$BS$78)))))*P$8))/2000</f>
        <v>0.6972111216826764</v>
      </c>
      <c r="Q254" s="23">
        <f>(SUMPRODUCT(Q$9:Q$229,Nutrients!$BS$8:$BS$228)+(IF($A$7=Nutrients!$B$8,Nutrients!$BS$8,Nutrients!$BS$9)*Q$7)+(((IF($A$8=Nutrients!$B$79,Nutrients!$BS$79,(IF($A$8=Nutrients!$B$77,Nutrients!$BS$77,Nutrients!$BS$78)))))*Q$8))/2000</f>
        <v>0.62899772059959624</v>
      </c>
      <c r="R254" s="23">
        <f>(SUMPRODUCT(R$9:R$229,Nutrients!$BS$8:$BS$228)+(IF($A$7=Nutrients!$B$8,Nutrients!$BS$8,Nutrients!$BS$9)*R$7)+(((IF($A$8=Nutrients!$B$79,Nutrients!$BS$79,(IF($A$8=Nutrients!$B$77,Nutrients!$BS$77,Nutrients!$BS$78)))))*R$8))/2000</f>
        <v>0.57450755415619414</v>
      </c>
      <c r="S254" s="23">
        <f>(SUMPRODUCT(S$9:S$229,Nutrients!$BS$8:$BS$228)+(IF($A$7=Nutrients!$B$8,Nutrients!$BS$8,Nutrients!$BS$9)*S$7)+(((IF($A$8=Nutrients!$B$79,Nutrients!$BS$79,(IF($A$8=Nutrients!$B$77,Nutrients!$BS$77,Nutrients!$BS$78)))))*S$8))/2000</f>
        <v>0.52224416028408382</v>
      </c>
      <c r="T254" s="23">
        <f>(SUMPRODUCT(T$9:T$229,Nutrients!$BS$8:$BS$228)+(IF($A$7=Nutrients!$B$8,Nutrients!$BS$8,Nutrients!$BS$9)*T$7)+(((IF($A$8=Nutrients!$B$79,Nutrients!$BS$79,(IF($A$8=Nutrients!$B$77,Nutrients!$BS$77,Nutrients!$BS$78)))))*T$8))/2000</f>
        <v>0.47912816447510143</v>
      </c>
      <c r="U254" s="23">
        <f>(SUMPRODUCT(U$9:U$229,Nutrients!$BS$8:$BS$228)+(IF($A$7=Nutrients!$B$8,Nutrients!$BS$8,Nutrients!$BS$9)*U$7)+(((IF($A$8=Nutrients!$B$79,Nutrients!$BS$79,(IF($A$8=Nutrients!$B$77,Nutrients!$BS$77,Nutrients!$BS$78)))))*U$8))/2000</f>
        <v>0.46166696564037923</v>
      </c>
      <c r="W254" s="23">
        <f>(SUMPRODUCT(W$9:W$229,Nutrients!$BS$8:$BS$228)+(IF($A$7=Nutrients!$B$8,Nutrients!$BS$8,Nutrients!$BS$9)*W$7)+(((IF($A$8=Nutrients!$B$79,Nutrients!$BS$79,(IF($A$8=Nutrients!$B$77,Nutrients!$BS$77,Nutrients!$BS$78)))))*W$8))/2000</f>
        <v>0.69710172661048675</v>
      </c>
      <c r="X254" s="23">
        <f>(SUMPRODUCT(X$9:X$229,Nutrients!$BS$8:$BS$228)+(IF($A$7=Nutrients!$B$8,Nutrients!$BS$8,Nutrients!$BS$9)*X$7)+(((IF($A$8=Nutrients!$B$79,Nutrients!$BS$79,(IF($A$8=Nutrients!$B$77,Nutrients!$BS$77,Nutrients!$BS$78)))))*X$8))/2000</f>
        <v>0.62888854259516203</v>
      </c>
      <c r="Y254" s="23">
        <f>(SUMPRODUCT(Y$9:Y$229,Nutrients!$BS$8:$BS$228)+(IF($A$7=Nutrients!$B$8,Nutrients!$BS$8,Nutrients!$BS$9)*Y$7)+(((IF($A$8=Nutrients!$B$79,Nutrients!$BS$79,(IF($A$8=Nutrients!$B$77,Nutrients!$BS$77,Nutrients!$BS$78)))))*Y$8))/2000</f>
        <v>0.57439833835055853</v>
      </c>
      <c r="Z254" s="23">
        <f>(SUMPRODUCT(Z$9:Z$229,Nutrients!$BS$8:$BS$228)+(IF($A$7=Nutrients!$B$8,Nutrients!$BS$8,Nutrients!$BS$9)*Z$7)+(((IF($A$8=Nutrients!$B$79,Nutrients!$BS$79,(IF($A$8=Nutrients!$B$77,Nutrients!$BS$77,Nutrients!$BS$78)))))*Z$8))/2000</f>
        <v>0.52213518912725132</v>
      </c>
      <c r="AA254" s="23">
        <f>(SUMPRODUCT(AA$9:AA$229,Nutrients!$BS$8:$BS$228)+(IF($A$7=Nutrients!$B$8,Nutrients!$BS$8,Nutrients!$BS$9)*AA$7)+(((IF($A$8=Nutrients!$B$79,Nutrients!$BS$79,(IF($A$8=Nutrients!$B$77,Nutrients!$BS$77,Nutrients!$BS$78)))))*AA$8))/2000</f>
        <v>0.47901943852596907</v>
      </c>
      <c r="AB254" s="23">
        <f>(SUMPRODUCT(AB$9:AB$229,Nutrients!$BS$8:$BS$228)+(IF($A$7=Nutrients!$B$8,Nutrients!$BS$8,Nutrients!$BS$9)*AB$7)+(((IF($A$8=Nutrients!$B$79,Nutrients!$BS$79,(IF($A$8=Nutrients!$B$77,Nutrients!$BS$77,Nutrients!$BS$78)))))*AB$8))/2000</f>
        <v>0.46745183328197026</v>
      </c>
      <c r="AD254" s="23">
        <f>(SUMPRODUCT(AD$9:AD$229,Nutrients!$BS$8:$BS$228)+(IF($A$7=Nutrients!$B$8,Nutrients!$BS$8,Nutrients!$BS$9)*AD$7)+(((IF($A$8=Nutrients!$B$79,Nutrients!$BS$79,(IF($A$8=Nutrients!$B$77,Nutrients!$BS$77,Nutrients!$BS$78)))))*AD$8))/2000</f>
        <v>0.69699253799641248</v>
      </c>
      <c r="AE254" s="23">
        <f>(SUMPRODUCT(AE$9:AE$229,Nutrients!$BS$8:$BS$228)+(IF($A$7=Nutrients!$B$8,Nutrients!$BS$8,Nutrients!$BS$9)*AE$7)+(((IF($A$8=Nutrients!$B$79,Nutrients!$BS$79,(IF($A$8=Nutrients!$B$77,Nutrients!$BS$77,Nutrients!$BS$78)))))*AE$8))/2000</f>
        <v>0.62877926798123462</v>
      </c>
      <c r="AF254" s="23">
        <f>(SUMPRODUCT(AF$9:AF$229,Nutrients!$BS$8:$BS$228)+(IF($A$7=Nutrients!$B$8,Nutrients!$BS$8,Nutrients!$BS$9)*AF$7)+(((IF($A$8=Nutrients!$B$79,Nutrients!$BS$79,(IF($A$8=Nutrients!$B$77,Nutrients!$BS$77,Nutrients!$BS$78)))))*AF$8))/2000</f>
        <v>0.57428936419827914</v>
      </c>
      <c r="AG254" s="23">
        <f>(SUMPRODUCT(AG$9:AG$229,Nutrients!$BS$8:$BS$228)+(IF($A$7=Nutrients!$B$8,Nutrients!$BS$8,Nutrients!$BS$9)*AG$7)+(((IF($A$8=Nutrients!$B$79,Nutrients!$BS$79,(IF($A$8=Nutrients!$B$77,Nutrients!$BS$77,Nutrients!$BS$78)))))*AG$8))/2000</f>
        <v>0.5225523160689951</v>
      </c>
      <c r="AH254" s="23">
        <f>(SUMPRODUCT(AH$9:AH$229,Nutrients!$BS$8:$BS$228)+(IF($A$7=Nutrients!$B$8,Nutrients!$BS$8,Nutrients!$BS$9)*AH$7)+(((IF($A$8=Nutrients!$B$79,Nutrients!$BS$79,(IF($A$8=Nutrients!$B$77,Nutrients!$BS$77,Nutrients!$BS$78)))))*AH$8))/2000</f>
        <v>0.49705377625563518</v>
      </c>
      <c r="AI254" s="23">
        <f>(SUMPRODUCT(AI$9:AI$229,Nutrients!$BS$8:$BS$228)+(IF($A$7=Nutrients!$B$8,Nutrients!$BS$8,Nutrients!$BS$9)*AI$7)+(((IF($A$8=Nutrients!$B$79,Nutrients!$BS$79,(IF($A$8=Nutrients!$B$77,Nutrients!$BS$77,Nutrients!$BS$78)))))*AI$8))/2000</f>
        <v>0.49011464773630936</v>
      </c>
      <c r="AK254" s="23">
        <f>(SUMPRODUCT(AK$9:AK$229,Nutrients!$BS$8:$BS$228)+(IF($A$7=Nutrients!$B$8,Nutrients!$BS$8,Nutrients!$BS$9)*AK$7)+(((IF($A$8=Nutrients!$B$79,Nutrients!$BS$79,(IF($A$8=Nutrients!$B$77,Nutrients!$BS$77,Nutrients!$BS$78)))))*AK$8))/2000</f>
        <v>0.69778349701753895</v>
      </c>
      <c r="AL254" s="23">
        <f>(SUMPRODUCT(AL$9:AL$229,Nutrients!$BS$8:$BS$228)+(IF($A$7=Nutrients!$B$8,Nutrients!$BS$8,Nutrients!$BS$9)*AL$7)+(((IF($A$8=Nutrients!$B$79,Nutrients!$BS$79,(IF($A$8=Nutrients!$B$77,Nutrients!$BS$77,Nutrients!$BS$78)))))*AL$8))/2000</f>
        <v>0.62957029636777295</v>
      </c>
      <c r="AM254" s="23">
        <f>(SUMPRODUCT(AM$9:AM$229,Nutrients!$BS$8:$BS$228)+(IF($A$7=Nutrients!$B$8,Nutrients!$BS$8,Nutrients!$BS$9)*AM$7)+(((IF($A$8=Nutrients!$B$79,Nutrients!$BS$79,(IF($A$8=Nutrients!$B$77,Nutrients!$BS$77,Nutrients!$BS$78)))))*AM$8))/2000</f>
        <v>0.57508029105871128</v>
      </c>
      <c r="AN254" s="23">
        <f>(SUMPRODUCT(AN$9:AN$229,Nutrients!$BS$8:$BS$228)+(IF($A$7=Nutrients!$B$8,Nutrients!$BS$8,Nutrients!$BS$9)*AN$7)+(((IF($A$8=Nutrients!$B$79,Nutrients!$BS$79,(IF($A$8=Nutrients!$B$77,Nutrients!$BS$77,Nutrients!$BS$78)))))*AN$8))/2000</f>
        <v>0.53816385749876772</v>
      </c>
      <c r="AO254" s="23">
        <f>(SUMPRODUCT(AO$9:AO$229,Nutrients!$BS$8:$BS$228)+(IF($A$7=Nutrients!$B$8,Nutrients!$BS$8,Nutrients!$BS$9)*AO$7)+(((IF($A$8=Nutrients!$B$79,Nutrients!$BS$79,(IF($A$8=Nutrients!$B$77,Nutrients!$BS$77,Nutrients!$BS$78)))))*AO$8))/2000</f>
        <v>0.5196994497723062</v>
      </c>
      <c r="AP254" s="23">
        <f>(SUMPRODUCT(AP$9:AP$229,Nutrients!$BS$8:$BS$228)+(IF($A$7=Nutrients!$B$8,Nutrients!$BS$8,Nutrients!$BS$9)*AP$7)+(((IF($A$8=Nutrients!$B$79,Nutrients!$BS$79,(IF($A$8=Nutrients!$B$77,Nutrients!$BS$77,Nutrients!$BS$78)))))*AP$8))/2000</f>
        <v>0.51277905058852202</v>
      </c>
      <c r="AR254" s="23">
        <f>(SUMPRODUCT(AR$9:AR$229,Nutrients!$BS$8:$BS$228)+(IF($A$7=Nutrients!$B$8,Nutrients!$BS$8,Nutrients!$BS$9)*AR$7)+(((IF($A$8=Nutrients!$B$79,Nutrients!$BS$79,(IF($A$8=Nutrients!$B$77,Nutrients!$BS$77,Nutrients!$BS$78)))))*AR$8))/2000</f>
        <v>0.69857472974747714</v>
      </c>
      <c r="AS254" s="23">
        <f>(SUMPRODUCT(AS$9:AS$229,Nutrients!$BS$8:$BS$228)+(IF($A$7=Nutrients!$B$8,Nutrients!$BS$8,Nutrients!$BS$9)*AS$7)+(((IF($A$8=Nutrients!$B$79,Nutrients!$BS$79,(IF($A$8=Nutrients!$B$77,Nutrients!$BS$77,Nutrients!$BS$78)))))*AS$8))/2000</f>
        <v>0.63036136579034774</v>
      </c>
      <c r="AT254" s="23">
        <f>(SUMPRODUCT(AT$9:AT$229,Nutrients!$BS$8:$BS$228)+(IF($A$7=Nutrients!$B$8,Nutrients!$BS$8,Nutrients!$BS$9)*AT$7)+(((IF($A$8=Nutrients!$B$79,Nutrients!$BS$79,(IF($A$8=Nutrients!$B$77,Nutrients!$BS$77,Nutrients!$BS$78)))))*AT$8))/2000</f>
        <v>0.57698569304440606</v>
      </c>
      <c r="AU254" s="23">
        <f>(SUMPRODUCT(AU$9:AU$229,Nutrients!$BS$8:$BS$228)+(IF($A$7=Nutrients!$B$8,Nutrients!$BS$8,Nutrients!$BS$9)*AU$7)+(((IF($A$8=Nutrients!$B$79,Nutrients!$BS$79,(IF($A$8=Nutrients!$B$77,Nutrients!$BS$77,Nutrients!$BS$78)))))*AU$8))/2000</f>
        <v>0.56102827817607681</v>
      </c>
      <c r="AV254" s="23">
        <f>(SUMPRODUCT(AV$9:AV$229,Nutrients!$BS$8:$BS$228)+(IF($A$7=Nutrients!$B$8,Nutrients!$BS$8,Nutrients!$BS$9)*AV$7)+(((IF($A$8=Nutrients!$B$79,Nutrients!$BS$79,(IF($A$8=Nutrients!$B$77,Nutrients!$BS$77,Nutrients!$BS$78)))))*AV$8))/2000</f>
        <v>0.54234664128580878</v>
      </c>
      <c r="AW254" s="23">
        <f>(SUMPRODUCT(AW$9:AW$229,Nutrients!$BS$8:$BS$228)+(IF($A$7=Nutrients!$B$8,Nutrients!$BS$8,Nutrients!$BS$9)*AW$7)+(((IF($A$8=Nutrients!$B$79,Nutrients!$BS$79,(IF($A$8=Nutrients!$B$77,Nutrients!$BS$77,Nutrients!$BS$78)))))*AW$8))/2000</f>
        <v>0.53544466093413645</v>
      </c>
    </row>
    <row r="255" spans="1:57" x14ac:dyDescent="0.25">
      <c r="A255" s="41" t="s">
        <v>145</v>
      </c>
      <c r="B255" s="23">
        <f>(SUMPRODUCT(B$9:B$229,Nutrients!$BX$8:$BX$228)+(IF($A$7=Nutrients!$B$8,Nutrients!$BX$8,Nutrients!$BX$9)*B$7)+(((IF($A$8=Nutrients!$B$79,Nutrients!$BX$79,(IF($A$8=Nutrients!$B$77,Nutrients!$BX$77,Nutrients!$BX$78)))))*B$8))/2000</f>
        <v>0.52698829927184954</v>
      </c>
      <c r="C255" s="23">
        <f>(SUMPRODUCT(C$9:C$229,Nutrients!$BX$8:$BX$228)+(IF($A$7=Nutrients!$B$8,Nutrients!$BX$8,Nutrients!$BX$9)*C$7)+(((IF($A$8=Nutrients!$B$79,Nutrients!$BX$79,(IF($A$8=Nutrients!$B$77,Nutrients!$BX$77,Nutrients!$BX$78)))))*C$8))/2000</f>
        <v>0.47554766489495992</v>
      </c>
      <c r="D255" s="23">
        <f>(SUMPRODUCT(D$9:D$229,Nutrients!$BX$8:$BX$228)+(IF($A$7=Nutrients!$B$8,Nutrients!$BX$8,Nutrients!$BX$9)*D$7)+(((IF($A$8=Nutrients!$B$79,Nutrients!$BX$79,(IF($A$8=Nutrients!$B$77,Nutrients!$BX$77,Nutrients!$BX$78)))))*D$8))/2000</f>
        <v>0.42608857846774251</v>
      </c>
      <c r="E255" s="23">
        <f>(SUMPRODUCT(E$9:E$229,Nutrients!$BX$8:$BX$228)+(IF($A$7=Nutrients!$B$8,Nutrients!$BX$8,Nutrients!$BX$9)*E$7)+(((IF($A$8=Nutrients!$B$79,Nutrients!$BX$79,(IF($A$8=Nutrients!$B$77,Nutrients!$BX$77,Nutrients!$BX$78)))))*E$8))/2000</f>
        <v>0.38726313311804977</v>
      </c>
      <c r="F255" s="23">
        <f>(SUMPRODUCT(F$9:F$229,Nutrients!$BX$8:$BX$228)+(IF($A$7=Nutrients!$B$8,Nutrients!$BX$8,Nutrients!$BX$9)*F$7)+(((IF($A$8=Nutrients!$B$79,Nutrients!$BX$79,(IF($A$8=Nutrients!$B$77,Nutrients!$BX$77,Nutrients!$BX$78)))))*F$8))/2000</f>
        <v>0.35891430613336472</v>
      </c>
      <c r="G255" s="23">
        <f>(SUMPRODUCT(G$9:G$229,Nutrients!$BX$8:$BX$228)+(IF($A$7=Nutrients!$B$8,Nutrients!$BX$8,Nutrients!$BX$9)*G$7)+(((IF($A$8=Nutrients!$B$79,Nutrients!$BX$79,(IF($A$8=Nutrients!$B$77,Nutrients!$BX$77,Nutrients!$BX$78)))))*G$8))/2000</f>
        <v>0.34524547811925704</v>
      </c>
      <c r="H255" s="227"/>
      <c r="I255" s="23">
        <f>(SUMPRODUCT(I$9:I$229,Nutrients!$BX$8:$BX$228)+(IF($A$7=Nutrients!$B$8,Nutrients!$BX$8,Nutrients!$BX$9)*I$7)+(((IF($A$8=Nutrients!$B$79,Nutrients!$BX$79,(IF($A$8=Nutrients!$B$77,Nutrients!$BX$77,Nutrients!$BX$78)))))*I$8))/2000</f>
        <v>0.52659651312303979</v>
      </c>
      <c r="J255" s="23">
        <f>(SUMPRODUCT(J$9:J$229,Nutrients!$BX$8:$BX$228)+(IF($A$7=Nutrients!$B$8,Nutrients!$BX$8,Nutrients!$BX$9)*J$7)+(((IF($A$8=Nutrients!$B$79,Nutrients!$BX$79,(IF($A$8=Nutrients!$B$77,Nutrients!$BX$77,Nutrients!$BX$78)))))*J$8))/2000</f>
        <v>0.4760716682477063</v>
      </c>
      <c r="K255" s="23">
        <f>(SUMPRODUCT(K$9:K$229,Nutrients!$BX$8:$BX$228)+(IF($A$7=Nutrients!$B$8,Nutrients!$BX$8,Nutrients!$BX$9)*K$7)+(((IF($A$8=Nutrients!$B$79,Nutrients!$BX$79,(IF($A$8=Nutrients!$B$77,Nutrients!$BX$77,Nutrients!$BX$78)))))*K$8))/2000</f>
        <v>0.42528646561837696</v>
      </c>
      <c r="L255" s="23">
        <f>(SUMPRODUCT(L$9:L$229,Nutrients!$BX$8:$BX$228)+(IF($A$7=Nutrients!$B$8,Nutrients!$BX$8,Nutrients!$BX$9)*L$7)+(((IF($A$8=Nutrients!$B$79,Nutrients!$BX$79,(IF($A$8=Nutrients!$B$77,Nutrients!$BX$77,Nutrients!$BX$78)))))*L$8))/2000</f>
        <v>0.38710757977950516</v>
      </c>
      <c r="M255" s="23">
        <f>(SUMPRODUCT(M$9:M$229,Nutrients!$BX$8:$BX$228)+(IF($A$7=Nutrients!$B$8,Nutrients!$BX$8,Nutrients!$BX$9)*M$7)+(((IF($A$8=Nutrients!$B$79,Nutrients!$BX$79,(IF($A$8=Nutrients!$B$77,Nutrients!$BX$77,Nutrients!$BX$78)))))*M$8))/2000</f>
        <v>0.35875890258402704</v>
      </c>
      <c r="N255" s="23">
        <f>(SUMPRODUCT(N$9:N$229,Nutrients!$BX$8:$BX$228)+(IF($A$7=Nutrients!$B$8,Nutrients!$BX$8,Nutrients!$BX$9)*N$7)+(((IF($A$8=Nutrients!$B$79,Nutrients!$BX$79,(IF($A$8=Nutrients!$B$77,Nutrients!$BX$77,Nutrients!$BX$78)))))*N$8))/2000</f>
        <v>0.34508302857552786</v>
      </c>
      <c r="O255" s="198"/>
      <c r="P255" s="23">
        <f>(SUMPRODUCT(P$9:P$229,Nutrients!$BX$8:$BX$228)+(IF($A$7=Nutrients!$B$8,Nutrients!$BX$8,Nutrients!$BX$9)*P$7)+(((IF($A$8=Nutrients!$B$79,Nutrients!$BX$79,(IF($A$8=Nutrients!$B$77,Nutrients!$BX$77,Nutrients!$BX$78)))))*P$8))/2000</f>
        <v>0.5264507193600767</v>
      </c>
      <c r="Q255" s="23">
        <f>(SUMPRODUCT(Q$9:Q$229,Nutrients!$BX$8:$BX$228)+(IF($A$7=Nutrients!$B$8,Nutrients!$BX$8,Nutrients!$BX$9)*Q$7)+(((IF($A$8=Nutrients!$B$79,Nutrients!$BX$79,(IF($A$8=Nutrients!$B$77,Nutrients!$BX$77,Nutrients!$BX$78)))))*Q$8))/2000</f>
        <v>0.47591707292187119</v>
      </c>
      <c r="R255" s="23">
        <f>(SUMPRODUCT(R$9:R$229,Nutrients!$BX$8:$BX$228)+(IF($A$7=Nutrients!$B$8,Nutrients!$BX$8,Nutrients!$BX$9)*R$7)+(((IF($A$8=Nutrients!$B$79,Nutrients!$BX$79,(IF($A$8=Nutrients!$B$77,Nutrients!$BX$77,Nutrients!$BX$78)))))*R$8))/2000</f>
        <v>0.42512255939822968</v>
      </c>
      <c r="S255" s="23">
        <f>(SUMPRODUCT(S$9:S$229,Nutrients!$BX$8:$BX$228)+(IF($A$7=Nutrients!$B$8,Nutrients!$BX$8,Nutrients!$BX$9)*S$7)+(((IF($A$8=Nutrients!$B$79,Nutrients!$BX$79,(IF($A$8=Nutrients!$B$77,Nutrients!$BX$77,Nutrients!$BX$78)))))*S$8))/2000</f>
        <v>0.38694621470137963</v>
      </c>
      <c r="T255" s="23">
        <f>(SUMPRODUCT(T$9:T$229,Nutrients!$BX$8:$BX$228)+(IF($A$7=Nutrients!$B$8,Nutrients!$BX$8,Nutrients!$BX$9)*T$7)+(((IF($A$8=Nutrients!$B$79,Nutrients!$BX$79,(IF($A$8=Nutrients!$B$77,Nutrients!$BX$77,Nutrients!$BX$78)))))*T$8))/2000</f>
        <v>0.35860330309298716</v>
      </c>
      <c r="U255" s="23">
        <f>(SUMPRODUCT(U$9:U$229,Nutrients!$BX$8:$BX$228)+(IF($A$7=Nutrients!$B$8,Nutrients!$BX$8,Nutrients!$BX$9)*U$7)+(((IF($A$8=Nutrients!$B$79,Nutrients!$BX$79,(IF($A$8=Nutrients!$B$77,Nutrients!$BX$77,Nutrients!$BX$78)))))*U$8))/2000</f>
        <v>0.34492497873525019</v>
      </c>
      <c r="W255" s="23">
        <f>(SUMPRODUCT(W$9:W$229,Nutrients!$BX$8:$BX$228)+(IF($A$7=Nutrients!$B$8,Nutrients!$BX$8,Nutrients!$BX$9)*W$7)+(((IF($A$8=Nutrients!$B$79,Nutrients!$BX$79,(IF($A$8=Nutrients!$B$77,Nutrients!$BX$77,Nutrients!$BX$78)))))*W$8))/2000</f>
        <v>0.52523781751767451</v>
      </c>
      <c r="X255" s="23">
        <f>(SUMPRODUCT(X$9:X$229,Nutrients!$BX$8:$BX$228)+(IF($A$7=Nutrients!$B$8,Nutrients!$BX$8,Nutrients!$BX$9)*X$7)+(((IF($A$8=Nutrients!$B$79,Nutrients!$BX$79,(IF($A$8=Nutrients!$B$77,Nutrients!$BX$77,Nutrients!$BX$78)))))*X$8))/2000</f>
        <v>0.4746898004256766</v>
      </c>
      <c r="Y255" s="23">
        <f>(SUMPRODUCT(Y$9:Y$229,Nutrients!$BX$8:$BX$228)+(IF($A$7=Nutrients!$B$8,Nutrients!$BX$8,Nutrients!$BX$9)*Y$7)+(((IF($A$8=Nutrients!$B$79,Nutrients!$BX$79,(IF($A$8=Nutrients!$B$77,Nutrients!$BX$77,Nutrients!$BX$78)))))*Y$8))/2000</f>
        <v>0.42389778947537549</v>
      </c>
      <c r="Z255" s="23">
        <f>(SUMPRODUCT(Z$9:Z$229,Nutrients!$BX$8:$BX$228)+(IF($A$7=Nutrients!$B$8,Nutrients!$BX$8,Nutrients!$BX$9)*Z$7)+(((IF($A$8=Nutrients!$B$79,Nutrients!$BX$79,(IF($A$8=Nutrients!$B$77,Nutrients!$BX$77,Nutrients!$BX$78)))))*Z$8))/2000</f>
        <v>0.38570524816174145</v>
      </c>
      <c r="AA255" s="23">
        <f>(SUMPRODUCT(AA$9:AA$229,Nutrients!$BX$8:$BX$228)+(IF($A$7=Nutrients!$B$8,Nutrients!$BX$8,Nutrients!$BX$9)*AA$7)+(((IF($A$8=Nutrients!$B$79,Nutrients!$BX$79,(IF($A$8=Nutrients!$B$77,Nutrients!$BX$77,Nutrients!$BX$78)))))*AA$8))/2000</f>
        <v>0.35734610293560709</v>
      </c>
      <c r="AB255" s="23">
        <f>(SUMPRODUCT(AB$9:AB$229,Nutrients!$BX$8:$BX$228)+(IF($A$7=Nutrients!$B$8,Nutrients!$BX$8,Nutrients!$BX$9)*AB$7)+(((IF($A$8=Nutrients!$B$79,Nutrients!$BX$79,(IF($A$8=Nutrients!$B$77,Nutrients!$BX$77,Nutrients!$BX$78)))))*AB$8))/2000</f>
        <v>0.34762826138011493</v>
      </c>
      <c r="AD255" s="23">
        <f>(SUMPRODUCT(AD$9:AD$229,Nutrients!$BX$8:$BX$228)+(IF($A$7=Nutrients!$B$8,Nutrients!$BX$8,Nutrients!$BX$9)*AD$7)+(((IF($A$8=Nutrients!$B$79,Nutrients!$BX$79,(IF($A$8=Nutrients!$B$77,Nutrients!$BX$77,Nutrients!$BX$78)))))*AD$8))/2000</f>
        <v>0.5240112474171853</v>
      </c>
      <c r="AE255" s="23">
        <f>(SUMPRODUCT(AE$9:AE$229,Nutrients!$BX$8:$BX$228)+(IF($A$7=Nutrients!$B$8,Nutrients!$BX$8,Nutrients!$BX$9)*AE$7)+(((IF($A$8=Nutrients!$B$79,Nutrients!$BX$79,(IF($A$8=Nutrients!$B$77,Nutrients!$BX$77,Nutrients!$BX$78)))))*AE$8))/2000</f>
        <v>0.47346892381990652</v>
      </c>
      <c r="AF255" s="23">
        <f>(SUMPRODUCT(AF$9:AF$229,Nutrients!$BX$8:$BX$228)+(IF($A$7=Nutrients!$B$8,Nutrients!$BX$8,Nutrients!$BX$9)*AF$7)+(((IF($A$8=Nutrients!$B$79,Nutrients!$BX$79,(IF($A$8=Nutrients!$B$77,Nutrients!$BX$77,Nutrients!$BX$78)))))*AF$8))/2000</f>
        <v>0.42265702124493065</v>
      </c>
      <c r="AG255" s="23">
        <f>(SUMPRODUCT(AG$9:AG$229,Nutrients!$BX$8:$BX$228)+(IF($A$7=Nutrients!$B$8,Nutrients!$BX$8,Nutrients!$BX$9)*AG$7)+(((IF($A$8=Nutrients!$B$79,Nutrients!$BX$79,(IF($A$8=Nutrients!$B$77,Nutrients!$BX$77,Nutrients!$BX$78)))))*AG$8))/2000</f>
        <v>0.38445645173421161</v>
      </c>
      <c r="AH255" s="23">
        <f>(SUMPRODUCT(AH$9:AH$229,Nutrients!$BX$8:$BX$228)+(IF($A$7=Nutrients!$B$8,Nutrients!$BX$8,Nutrients!$BX$9)*AH$7)+(((IF($A$8=Nutrients!$B$79,Nutrients!$BX$79,(IF($A$8=Nutrients!$B$77,Nutrients!$BX$77,Nutrients!$BX$78)))))*AH$8))/2000</f>
        <v>0.36818502177924639</v>
      </c>
      <c r="AI255" s="23">
        <f>(SUMPRODUCT(AI$9:AI$229,Nutrients!$BX$8:$BX$228)+(IF($A$7=Nutrients!$B$8,Nutrients!$BX$8,Nutrients!$BX$9)*AI$7)+(((IF($A$8=Nutrients!$B$79,Nutrients!$BX$79,(IF($A$8=Nutrients!$B$77,Nutrients!$BX$77,Nutrients!$BX$78)))))*AI$8))/2000</f>
        <v>0.36107925183500944</v>
      </c>
      <c r="AK255" s="23">
        <f>(SUMPRODUCT(AK$9:AK$229,Nutrients!$BX$8:$BX$228)+(IF($A$7=Nutrients!$B$8,Nutrients!$BX$8,Nutrients!$BX$9)*AK$7)+(((IF($A$8=Nutrients!$B$79,Nutrients!$BX$79,(IF($A$8=Nutrients!$B$77,Nutrients!$BX$77,Nutrients!$BX$78)))))*AK$8))/2000</f>
        <v>0.52384990334382764</v>
      </c>
      <c r="AL255" s="23">
        <f>(SUMPRODUCT(AL$9:AL$229,Nutrients!$BX$8:$BX$228)+(IF($A$7=Nutrients!$B$8,Nutrients!$BX$8,Nutrients!$BX$9)*AL$7)+(((IF($A$8=Nutrients!$B$79,Nutrients!$BX$79,(IF($A$8=Nutrients!$B$77,Nutrients!$BX$77,Nutrients!$BX$78)))))*AL$8))/2000</f>
        <v>0.47330298751072836</v>
      </c>
      <c r="AM255" s="23">
        <f>(SUMPRODUCT(AM$9:AM$229,Nutrients!$BX$8:$BX$228)+(IF($A$7=Nutrients!$B$8,Nutrients!$BX$8,Nutrients!$BX$9)*AM$7)+(((IF($A$8=Nutrients!$B$79,Nutrients!$BX$79,(IF($A$8=Nutrients!$B$77,Nutrients!$BX$77,Nutrients!$BX$78)))))*AM$8))/2000</f>
        <v>0.42249780632335576</v>
      </c>
      <c r="AN255" s="23">
        <f>(SUMPRODUCT(AN$9:AN$229,Nutrients!$BX$8:$BX$228)+(IF($A$7=Nutrients!$B$8,Nutrients!$BX$8,Nutrients!$BX$9)*AN$7)+(((IF($A$8=Nutrients!$B$79,Nutrients!$BX$79,(IF($A$8=Nutrients!$B$77,Nutrients!$BX$77,Nutrients!$BX$78)))))*AN$8))/2000</f>
        <v>0.39440666504407762</v>
      </c>
      <c r="AO255" s="23">
        <f>(SUMPRODUCT(AO$9:AO$229,Nutrients!$BX$8:$BX$228)+(IF($A$7=Nutrients!$B$8,Nutrients!$BX$8,Nutrients!$BX$9)*AO$7)+(((IF($A$8=Nutrients!$B$79,Nutrients!$BX$79,(IF($A$8=Nutrients!$B$77,Nutrients!$BX$77,Nutrients!$BX$78)))))*AO$8))/2000</f>
        <v>0.38163746865011811</v>
      </c>
      <c r="AP255" s="23">
        <f>(SUMPRODUCT(AP$9:AP$229,Nutrients!$BX$8:$BX$228)+(IF($A$7=Nutrients!$B$8,Nutrients!$BX$8,Nutrients!$BX$9)*AP$7)+(((IF($A$8=Nutrients!$B$79,Nutrients!$BX$79,(IF($A$8=Nutrients!$B$77,Nutrients!$BX$77,Nutrients!$BX$78)))))*AP$8))/2000</f>
        <v>0.37452971939334989</v>
      </c>
      <c r="AR255" s="23">
        <f>(SUMPRODUCT(AR$9:AR$229,Nutrients!$BX$8:$BX$228)+(IF($A$7=Nutrients!$B$8,Nutrients!$BX$8,Nutrients!$BX$9)*AR$7)+(((IF($A$8=Nutrients!$B$79,Nutrients!$BX$79,(IF($A$8=Nutrients!$B$77,Nutrients!$BX$77,Nutrients!$BX$78)))))*AR$8))/2000</f>
        <v>0.52367043877823993</v>
      </c>
      <c r="AS255" s="23">
        <f>(SUMPRODUCT(AS$9:AS$229,Nutrients!$BX$8:$BX$228)+(IF($A$7=Nutrients!$B$8,Nutrients!$BX$8,Nutrients!$BX$9)*AS$7)+(((IF($A$8=Nutrients!$B$79,Nutrients!$BX$79,(IF($A$8=Nutrients!$B$77,Nutrients!$BX$77,Nutrients!$BX$78)))))*AS$8))/2000</f>
        <v>0.4731343344706892</v>
      </c>
      <c r="AT255" s="23">
        <f>(SUMPRODUCT(AT$9:AT$229,Nutrients!$BX$8:$BX$228)+(IF($A$7=Nutrients!$B$8,Nutrients!$BX$8,Nutrients!$BX$9)*AT$7)+(((IF($A$8=Nutrients!$B$79,Nutrients!$BX$79,(IF($A$8=Nutrients!$B$77,Nutrients!$BX$77,Nutrients!$BX$78)))))*AT$8))/2000</f>
        <v>0.42296271801162122</v>
      </c>
      <c r="AU255" s="23">
        <f>(SUMPRODUCT(AU$9:AU$229,Nutrients!$BX$8:$BX$228)+(IF($A$7=Nutrients!$B$8,Nutrients!$BX$8,Nutrients!$BX$9)*AU$7)+(((IF($A$8=Nutrients!$B$79,Nutrients!$BX$79,(IF($A$8=Nutrients!$B$77,Nutrients!$BX$77,Nutrients!$BX$78)))))*AU$8))/2000</f>
        <v>0.40785964948905362</v>
      </c>
      <c r="AV255" s="23">
        <f>(SUMPRODUCT(AV$9:AV$229,Nutrients!$BX$8:$BX$228)+(IF($A$7=Nutrients!$B$8,Nutrients!$BX$8,Nutrients!$BX$9)*AV$7)+(((IF($A$8=Nutrients!$B$79,Nutrients!$BX$79,(IF($A$8=Nutrients!$B$77,Nutrients!$BX$77,Nutrients!$BX$78)))))*AV$8))/2000</f>
        <v>0.39508986417074288</v>
      </c>
      <c r="AW255" s="23">
        <f>(SUMPRODUCT(AW$9:AW$229,Nutrients!$BX$8:$BX$228)+(IF($A$7=Nutrients!$B$8,Nutrients!$BX$8,Nutrients!$BX$9)*AW$7)+(((IF($A$8=Nutrients!$B$79,Nutrients!$BX$79,(IF($A$8=Nutrients!$B$77,Nutrients!$BX$77,Nutrients!$BX$78)))))*AW$8))/2000</f>
        <v>0.38798016176249844</v>
      </c>
    </row>
    <row r="256" spans="1:57" x14ac:dyDescent="0.25">
      <c r="A256" s="48" t="s">
        <v>156</v>
      </c>
      <c r="B256" s="23">
        <f>(SUMPRODUCT(B$9:B$229,Nutrients!$EB$8:$EB$228)+(IF($A$7=Nutrients!$B$8,Nutrients!$EB$8,Nutrients!$EB$9)*B$7)+(((IF($A$8=Nutrients!$B$79,Nutrients!$EB$79,(IF($A$8=Nutrients!$B$77,Nutrients!$EB$77,Nutrients!$EB$78)))))*B$8))/2000</f>
        <v>0.22446494345276957</v>
      </c>
      <c r="C256" s="23">
        <f>(SUMPRODUCT(C$9:C$229,Nutrients!$EB$8:$EB$228)+(IF($A$7=Nutrients!$B$8,Nutrients!$EB$8,Nutrients!$EB$9)*C$7)+(((IF($A$8=Nutrients!$B$79,Nutrients!$EB$79,(IF($A$8=Nutrients!$B$77,Nutrients!$EB$77,Nutrients!$EB$78)))))*C$8))/2000</f>
        <v>0.18518517069501755</v>
      </c>
      <c r="D256" s="23">
        <f>(SUMPRODUCT(D$9:D$229,Nutrients!$EB$8:$EB$228)+(IF($A$7=Nutrients!$B$8,Nutrients!$EB$8,Nutrients!$EB$9)*D$7)+(((IF($A$8=Nutrients!$B$79,Nutrients!$EB$79,(IF($A$8=Nutrients!$B$77,Nutrients!$EB$77,Nutrients!$EB$78)))))*D$8))/2000</f>
        <v>0.14586079396089491</v>
      </c>
      <c r="E256" s="23">
        <f>(SUMPRODUCT(E$9:E$229,Nutrients!$EB$8:$EB$228)+(IF($A$7=Nutrients!$B$8,Nutrients!$EB$8,Nutrients!$EB$9)*E$7)+(((IF($A$8=Nutrients!$B$79,Nutrients!$EB$79,(IF($A$8=Nutrients!$B$77,Nutrients!$EB$77,Nutrients!$EB$78)))))*E$8))/2000</f>
        <v>0.11735401640373964</v>
      </c>
      <c r="F256" s="23">
        <f>(SUMPRODUCT(F$9:F$229,Nutrients!$EB$8:$EB$228)+(IF($A$7=Nutrients!$B$8,Nutrients!$EB$8,Nutrients!$EB$9)*F$7)+(((IF($A$8=Nutrients!$B$79,Nutrients!$EB$79,(IF($A$8=Nutrients!$B$77,Nutrients!$EB$77,Nutrients!$EB$78)))))*F$8))/2000</f>
        <v>9.7828165821017068E-2</v>
      </c>
      <c r="G256" s="23">
        <f>(SUMPRODUCT(G$9:G$229,Nutrients!$EB$8:$EB$228)+(IF($A$7=Nutrients!$B$8,Nutrients!$EB$8,Nutrients!$EB$9)*G$7)+(((IF($A$8=Nutrients!$B$79,Nutrients!$EB$79,(IF($A$8=Nutrients!$B$77,Nutrients!$EB$77,Nutrients!$EB$78)))))*G$8))/2000</f>
        <v>8.9123540247531982E-2</v>
      </c>
      <c r="H256" s="227"/>
      <c r="I256" s="23">
        <f>(SUMPRODUCT(I$9:I$229,Nutrients!$EB$8:$EB$228)+(IF($A$7=Nutrients!$B$8,Nutrients!$EB$8,Nutrients!$EB$9)*I$7)+(((IF($A$8=Nutrients!$B$79,Nutrients!$EB$79,(IF($A$8=Nutrients!$B$77,Nutrients!$EB$77,Nutrients!$EB$78)))))*I$8))/2000</f>
        <v>0.20654941027207996</v>
      </c>
      <c r="J256" s="23">
        <f>(SUMPRODUCT(J$9:J$229,Nutrients!$EB$8:$EB$228)+(IF($A$7=Nutrients!$B$8,Nutrients!$EB$8,Nutrients!$EB$9)*J$7)+(((IF($A$8=Nutrients!$B$79,Nutrients!$EB$79,(IF($A$8=Nutrients!$B$77,Nutrients!$EB$77,Nutrients!$EB$78)))))*J$8))/2000</f>
        <v>0.16821625069426691</v>
      </c>
      <c r="K256" s="23">
        <f>(SUMPRODUCT(K$9:K$229,Nutrients!$EB$8:$EB$228)+(IF($A$7=Nutrients!$B$8,Nutrients!$EB$8,Nutrients!$EB$9)*K$7)+(((IF($A$8=Nutrients!$B$79,Nutrients!$EB$79,(IF($A$8=Nutrients!$B$77,Nutrients!$EB$77,Nutrients!$EB$78)))))*K$8))/2000</f>
        <v>0.12755025855212318</v>
      </c>
      <c r="L256" s="23">
        <f>(SUMPRODUCT(L$9:L$229,Nutrients!$EB$8:$EB$228)+(IF($A$7=Nutrients!$B$8,Nutrients!$EB$8,Nutrients!$EB$9)*L$7)+(((IF($A$8=Nutrients!$B$79,Nutrients!$EB$79,(IF($A$8=Nutrients!$B$77,Nutrients!$EB$77,Nutrients!$EB$78)))))*L$8))/2000</f>
        <v>9.9703250098421903E-2</v>
      </c>
      <c r="M256" s="23">
        <f>(SUMPRODUCT(M$9:M$229,Nutrients!$EB$8:$EB$228)+(IF($A$7=Nutrients!$B$8,Nutrients!$EB$8,Nutrients!$EB$9)*M$7)+(((IF($A$8=Nutrients!$B$79,Nutrients!$EB$79,(IF($A$8=Nutrients!$B$77,Nutrients!$EB$77,Nutrients!$EB$78)))))*M$8))/2000</f>
        <v>8.0177389833747531E-2</v>
      </c>
      <c r="N256" s="23">
        <f>(SUMPRODUCT(N$9:N$229,Nutrients!$EB$8:$EB$228)+(IF($A$7=Nutrients!$B$8,Nutrients!$EB$8,Nutrients!$EB$9)*N$7)+(((IF($A$8=Nutrients!$B$79,Nutrients!$EB$79,(IF($A$8=Nutrients!$B$77,Nutrients!$EB$77,Nutrients!$EB$78)))))*N$8))/2000</f>
        <v>7.1471958774433922E-2</v>
      </c>
      <c r="O256" s="198"/>
      <c r="P256" s="23">
        <f>(SUMPRODUCT(P$9:P$229,Nutrients!$EB$8:$EB$228)+(IF($A$7=Nutrients!$B$8,Nutrients!$EB$8,Nutrients!$EB$9)*P$7)+(((IF($A$8=Nutrients!$B$79,Nutrients!$EB$79,(IF($A$8=Nutrients!$B$77,Nutrients!$EB$77,Nutrients!$EB$78)))))*P$8))/2000</f>
        <v>0.18889980440263007</v>
      </c>
      <c r="Q256" s="23">
        <f>(SUMPRODUCT(Q$9:Q$229,Nutrients!$EB$8:$EB$228)+(IF($A$7=Nutrients!$B$8,Nutrients!$EB$8,Nutrients!$EB$9)*Q$7)+(((IF($A$8=Nutrients!$B$79,Nutrients!$EB$79,(IF($A$8=Nutrients!$B$77,Nutrients!$EB$77,Nutrients!$EB$78)))))*Q$8))/2000</f>
        <v>0.15056558753804491</v>
      </c>
      <c r="R256" s="23">
        <f>(SUMPRODUCT(R$9:R$229,Nutrients!$EB$8:$EB$228)+(IF($A$7=Nutrients!$B$8,Nutrients!$EB$8,Nutrients!$EB$9)*R$7)+(((IF($A$8=Nutrients!$B$79,Nutrients!$EB$79,(IF($A$8=Nutrients!$B$77,Nutrients!$EB$77,Nutrients!$EB$78)))))*R$8))/2000</f>
        <v>0.1098985081157391</v>
      </c>
      <c r="S256" s="23">
        <f>(SUMPRODUCT(S$9:S$229,Nutrients!$EB$8:$EB$228)+(IF($A$7=Nutrients!$B$8,Nutrients!$EB$8,Nutrients!$EB$9)*S$7)+(((IF($A$8=Nutrients!$B$79,Nutrients!$EB$79,(IF($A$8=Nutrients!$B$77,Nutrients!$EB$77,Nutrients!$EB$78)))))*S$8))/2000</f>
        <v>8.205180115812756E-2</v>
      </c>
      <c r="T256" s="23">
        <f>(SUMPRODUCT(T$9:T$229,Nutrients!$EB$8:$EB$228)+(IF($A$7=Nutrients!$B$8,Nutrients!$EB$8,Nutrients!$EB$9)*T$7)+(((IF($A$8=Nutrients!$B$79,Nutrients!$EB$79,(IF($A$8=Nutrients!$B$77,Nutrients!$EB$77,Nutrients!$EB$78)))))*T$8))/2000</f>
        <v>6.2526624956738996E-2</v>
      </c>
      <c r="U256" s="23">
        <f>(SUMPRODUCT(U$9:U$229,Nutrients!$EB$8:$EB$228)+(IF($A$7=Nutrients!$B$8,Nutrients!$EB$8,Nutrients!$EB$9)*U$7)+(((IF($A$8=Nutrients!$B$79,Nutrients!$EB$79,(IF($A$8=Nutrients!$B$77,Nutrients!$EB$77,Nutrients!$EB$78)))))*U$8))/2000</f>
        <v>5.3820903173527536E-2</v>
      </c>
      <c r="W256" s="23">
        <f>(SUMPRODUCT(W$9:W$229,Nutrients!$EB$8:$EB$228)+(IF($A$7=Nutrients!$B$8,Nutrients!$EB$8,Nutrients!$EB$9)*W$7)+(((IF($A$8=Nutrients!$B$79,Nutrients!$EB$79,(IF($A$8=Nutrients!$B$77,Nutrients!$EB$77,Nutrients!$EB$78)))))*W$8))/2000</f>
        <v>0.17017613927912439</v>
      </c>
      <c r="X256" s="23">
        <f>(SUMPRODUCT(X$9:X$229,Nutrients!$EB$8:$EB$228)+(IF($A$7=Nutrients!$B$8,Nutrients!$EB$8,Nutrients!$EB$9)*X$7)+(((IF($A$8=Nutrients!$B$79,Nutrients!$EB$79,(IF($A$8=Nutrients!$B$77,Nutrients!$EB$77,Nutrients!$EB$78)))))*X$8))/2000</f>
        <v>0.13184021739534393</v>
      </c>
      <c r="Y256" s="23">
        <f>(SUMPRODUCT(Y$9:Y$229,Nutrients!$EB$8:$EB$228)+(IF($A$7=Nutrients!$B$8,Nutrients!$EB$8,Nutrients!$EB$9)*Y$7)+(((IF($A$8=Nutrients!$B$79,Nutrients!$EB$79,(IF($A$8=Nutrients!$B$77,Nutrients!$EB$77,Nutrients!$EB$78)))))*Y$8))/2000</f>
        <v>9.1173434893111818E-2</v>
      </c>
      <c r="Z256" s="23">
        <f>(SUMPRODUCT(Z$9:Z$229,Nutrients!$EB$8:$EB$228)+(IF($A$7=Nutrients!$B$8,Nutrients!$EB$8,Nutrients!$EB$9)*Z$7)+(((IF($A$8=Nutrients!$B$79,Nutrients!$EB$79,(IF($A$8=Nutrients!$B$77,Nutrients!$EB$77,Nutrients!$EB$78)))))*Z$8))/2000</f>
        <v>6.3324806273277121E-2</v>
      </c>
      <c r="AA256" s="23">
        <f>(SUMPRODUCT(AA$9:AA$229,Nutrients!$EB$8:$EB$228)+(IF($A$7=Nutrients!$B$8,Nutrients!$EB$8,Nutrients!$EB$9)*AA$7)+(((IF($A$8=Nutrients!$B$79,Nutrients!$EB$79,(IF($A$8=Nutrients!$B$77,Nutrients!$EB$77,Nutrients!$EB$78)))))*AA$8))/2000</f>
        <v>4.3797704019653355E-2</v>
      </c>
      <c r="AB256" s="23">
        <f>(SUMPRODUCT(AB$9:AB$229,Nutrients!$EB$8:$EB$228)+(IF($A$7=Nutrients!$B$8,Nutrients!$EB$8,Nutrients!$EB$9)*AB$7)+(((IF($A$8=Nutrients!$B$79,Nutrients!$EB$79,(IF($A$8=Nutrients!$B$77,Nutrients!$EB$77,Nutrients!$EB$78)))))*AB$8))/2000</f>
        <v>3.9126655144403416E-2</v>
      </c>
      <c r="AD256" s="23">
        <f>(SUMPRODUCT(AD$9:AD$229,Nutrients!$EB$8:$EB$228)+(IF($A$7=Nutrients!$B$8,Nutrients!$EB$8,Nutrients!$EB$9)*AD$7)+(((IF($A$8=Nutrients!$B$79,Nutrients!$EB$79,(IF($A$8=Nutrients!$B$77,Nutrients!$EB$77,Nutrients!$EB$78)))))*AD$8))/2000</f>
        <v>0.15145085247279608</v>
      </c>
      <c r="AE256" s="23">
        <f>(SUMPRODUCT(AE$9:AE$229,Nutrients!$EB$8:$EB$228)+(IF($A$7=Nutrients!$B$8,Nutrients!$EB$8,Nutrients!$EB$9)*AE$7)+(((IF($A$8=Nutrients!$B$79,Nutrients!$EB$79,(IF($A$8=Nutrients!$B$77,Nutrients!$EB$77,Nutrients!$EB$78)))))*AE$8))/2000</f>
        <v>0.11311560609883757</v>
      </c>
      <c r="AF256" s="23">
        <f>(SUMPRODUCT(AF$9:AF$229,Nutrients!$EB$8:$EB$228)+(IF($A$7=Nutrients!$B$8,Nutrients!$EB$8,Nutrients!$EB$9)*AF$7)+(((IF($A$8=Nutrients!$B$79,Nutrients!$EB$79,(IF($A$8=Nutrients!$B$77,Nutrients!$EB$77,Nutrients!$EB$78)))))*AF$8))/2000</f>
        <v>7.2446463536834704E-2</v>
      </c>
      <c r="AG256" s="23">
        <f>(SUMPRODUCT(AG$9:AG$229,Nutrients!$EB$8:$EB$228)+(IF($A$7=Nutrients!$B$8,Nutrients!$EB$8,Nutrients!$EB$9)*AG$7)+(((IF($A$8=Nutrients!$B$79,Nutrients!$EB$79,(IF($A$8=Nutrients!$B$77,Nutrients!$EB$77,Nutrients!$EB$78)))))*AG$8))/2000</f>
        <v>4.4596849986197611E-2</v>
      </c>
      <c r="AH256" s="23">
        <f>(SUMPRODUCT(AH$9:AH$229,Nutrients!$EB$8:$EB$228)+(IF($A$7=Nutrients!$B$8,Nutrients!$EB$8,Nutrients!$EB$9)*AH$7)+(((IF($A$8=Nutrients!$B$79,Nutrients!$EB$79,(IF($A$8=Nutrients!$B$77,Nutrients!$EB$77,Nutrients!$EB$78)))))*AH$8))/2000</f>
        <v>3.7400033302329751E-2</v>
      </c>
      <c r="AI256" s="23">
        <f>(SUMPRODUCT(AI$9:AI$229,Nutrients!$EB$8:$EB$228)+(IF($A$7=Nutrients!$B$8,Nutrients!$EB$8,Nutrients!$EB$9)*AI$7)+(((IF($A$8=Nutrients!$B$79,Nutrients!$EB$79,(IF($A$8=Nutrients!$B$77,Nutrients!$EB$77,Nutrients!$EB$78)))))*AI$8))/2000</f>
        <v>3.540655333189302E-2</v>
      </c>
      <c r="AK256" s="23">
        <f>(SUMPRODUCT(AK$9:AK$229,Nutrients!$EB$8:$EB$228)+(IF($A$7=Nutrients!$B$8,Nutrients!$EB$8,Nutrients!$EB$9)*AK$7)+(((IF($A$8=Nutrients!$B$79,Nutrients!$EB$79,(IF($A$8=Nutrients!$B$77,Nutrients!$EB$77,Nutrients!$EB$78)))))*AK$8))/2000</f>
        <v>0.13379940602463136</v>
      </c>
      <c r="AL256" s="23">
        <f>(SUMPRODUCT(AL$9:AL$229,Nutrients!$EB$8:$EB$228)+(IF($A$7=Nutrients!$B$8,Nutrients!$EB$8,Nutrients!$EB$9)*AL$7)+(((IF($A$8=Nutrients!$B$79,Nutrients!$EB$79,(IF($A$8=Nutrients!$B$77,Nutrients!$EB$77,Nutrients!$EB$78)))))*AL$8))/2000</f>
        <v>9.5463614800707378E-2</v>
      </c>
      <c r="AM256" s="23">
        <f>(SUMPRODUCT(AM$9:AM$229,Nutrients!$EB$8:$EB$228)+(IF($A$7=Nutrients!$B$8,Nutrients!$EB$8,Nutrients!$EB$9)*AM$7)+(((IF($A$8=Nutrients!$B$79,Nutrients!$EB$79,(IF($A$8=Nutrients!$B$77,Nutrients!$EB$77,Nutrients!$EB$78)))))*AM$8))/2000</f>
        <v>5.4795269703805764E-2</v>
      </c>
      <c r="AN256" s="23">
        <f>(SUMPRODUCT(AN$9:AN$229,Nutrients!$EB$8:$EB$228)+(IF($A$7=Nutrients!$B$8,Nutrients!$EB$8,Nutrients!$EB$9)*AN$7)+(((IF($A$8=Nutrients!$B$79,Nutrients!$EB$79,(IF($A$8=Nutrients!$B$77,Nutrients!$EB$77,Nutrients!$EB$78)))))*AN$8))/2000</f>
        <v>3.7276074191060785E-2</v>
      </c>
      <c r="AO256" s="23">
        <f>(SUMPRODUCT(AO$9:AO$229,Nutrients!$EB$8:$EB$228)+(IF($A$7=Nutrients!$B$8,Nutrients!$EB$8,Nutrients!$EB$9)*AO$7)+(((IF($A$8=Nutrients!$B$79,Nutrients!$EB$79,(IF($A$8=Nutrients!$B$77,Nutrients!$EB$77,Nutrients!$EB$78)))))*AO$8))/2000</f>
        <v>3.3680105342712471E-2</v>
      </c>
      <c r="AP256" s="23">
        <f>(SUMPRODUCT(AP$9:AP$229,Nutrients!$EB$8:$EB$228)+(IF($A$7=Nutrients!$B$8,Nutrients!$EB$8,Nutrients!$EB$9)*AP$7)+(((IF($A$8=Nutrients!$B$79,Nutrients!$EB$79,(IF($A$8=Nutrients!$B$77,Nutrients!$EB$77,Nutrients!$EB$78)))))*AP$8))/2000</f>
        <v>3.1686389382436703E-2</v>
      </c>
      <c r="AR256" s="23">
        <f>(SUMPRODUCT(AR$9:AR$229,Nutrients!$EB$8:$EB$228)+(IF($A$7=Nutrients!$B$8,Nutrients!$EB$8,Nutrients!$EB$9)*AR$7)+(((IF($A$8=Nutrients!$B$79,Nutrients!$EB$79,(IF($A$8=Nutrients!$B$77,Nutrients!$EB$77,Nutrients!$EB$78)))))*AR$8))/2000</f>
        <v>0.11614580965430407</v>
      </c>
      <c r="AS256" s="23">
        <f>(SUMPRODUCT(AS$9:AS$229,Nutrients!$EB$8:$EB$228)+(IF($A$7=Nutrients!$B$8,Nutrients!$EB$8,Nutrients!$EB$9)*AS$7)+(((IF($A$8=Nutrients!$B$79,Nutrients!$EB$79,(IF($A$8=Nutrients!$B$77,Nutrients!$EB$77,Nutrients!$EB$78)))))*AS$8))/2000</f>
        <v>7.7811301173591071E-2</v>
      </c>
      <c r="AT256" s="23">
        <f>(SUMPRODUCT(AT$9:AT$229,Nutrients!$EB$8:$EB$228)+(IF($A$7=Nutrients!$B$8,Nutrients!$EB$8,Nutrients!$EB$9)*AT$7)+(((IF($A$8=Nutrients!$B$79,Nutrients!$EB$79,(IF($A$8=Nutrients!$B$77,Nutrients!$EB$77,Nutrients!$EB$78)))))*AT$8))/2000</f>
        <v>3.7808761481268875E-2</v>
      </c>
      <c r="AU256" s="23">
        <f>(SUMPRODUCT(AU$9:AU$229,Nutrients!$EB$8:$EB$228)+(IF($A$7=Nutrients!$B$8,Nutrients!$EB$8,Nutrients!$EB$9)*AU$7)+(((IF($A$8=Nutrients!$B$79,Nutrients!$EB$79,(IF($A$8=Nutrients!$B$77,Nutrients!$EB$77,Nutrients!$EB$78)))))*AU$8))/2000</f>
        <v>3.3556196529699836E-2</v>
      </c>
      <c r="AV256" s="23">
        <f>(SUMPRODUCT(AV$9:AV$229,Nutrients!$EB$8:$EB$228)+(IF($A$7=Nutrients!$B$8,Nutrients!$EB$8,Nutrients!$EB$9)*AV$7)+(((IF($A$8=Nutrients!$B$79,Nutrients!$EB$79,(IF($A$8=Nutrients!$B$77,Nutrients!$EB$77,Nutrients!$EB$78)))))*AV$8))/2000</f>
        <v>2.996017119708673E-2</v>
      </c>
      <c r="AW256" s="23">
        <f>(SUMPRODUCT(AW$9:AW$229,Nutrients!$EB$8:$EB$228)+(IF($A$7=Nutrients!$B$8,Nutrients!$EB$8,Nutrients!$EB$9)*AW$7)+(((IF($A$8=Nutrients!$B$79,Nutrients!$EB$79,(IF($A$8=Nutrients!$B$77,Nutrients!$EB$77,Nutrients!$EB$78)))))*AW$8))/2000</f>
        <v>2.7966222369987057E-2</v>
      </c>
      <c r="AZ256" s="333"/>
      <c r="BA256" s="333"/>
      <c r="BB256" s="333"/>
      <c r="BC256" s="333"/>
      <c r="BD256" s="333"/>
      <c r="BE256" s="333"/>
    </row>
    <row r="257" spans="1:59" x14ac:dyDescent="0.25">
      <c r="A257" s="48" t="s">
        <v>146</v>
      </c>
      <c r="B257" s="23">
        <f>IF((SUMPRODUCT(B$9:B$229,Nutrients!$EE$8:$EE$228))=0,B256,IF((SUMPRODUCT(B$9:B$229,Nutrients!$EE$8:$EE$228))&gt;(1500*907),B256+0.14,B256+0.00000000006666*((SUMPRODUCT(B$9:B$229,Nutrients!$EE$8:$EE$228)/907))^3-0.00000023623322*((SUMPRODUCT(B$9:B$229,Nutrients!$EE$8:$EE$228)/907))^2+0.00029262722672*((SUMPRODUCT(B$9:B$229,Nutrients!$EE$8:$EE$228)/907))+0.007028328))</f>
        <v>0.33707938392360226</v>
      </c>
      <c r="C257" s="23">
        <f>IF((SUMPRODUCT(C$9:C$229,Nutrients!$EE$8:$EE$228))=0,C256,IF((SUMPRODUCT(C$9:C$229,Nutrients!$EE$8:$EE$228))&gt;(1500*907),C256+0.14,C256+0.00000000006666*((SUMPRODUCT(C$9:C$229,Nutrients!$EE$8:$EE$228)/907))^3-0.00000023623322*((SUMPRODUCT(C$9:C$229,Nutrients!$EE$8:$EE$228)/907))^2+0.00029262722672*((SUMPRODUCT(C$9:C$229,Nutrients!$EE$8:$EE$228)/907))+0.007028328))</f>
        <v>0.29779961116585019</v>
      </c>
      <c r="D257" s="23">
        <f>IF((SUMPRODUCT(D$9:D$229,Nutrients!$EE$8:$EE$228))=0,D256,IF((SUMPRODUCT(D$9:D$229,Nutrients!$EE$8:$EE$228))&gt;(1500*907),D256+0.14,D256+0.00000000006666*((SUMPRODUCT(D$9:D$229,Nutrients!$EE$8:$EE$228)/907))^3-0.00000023623322*((SUMPRODUCT(D$9:D$229,Nutrients!$EE$8:$EE$228)/907))^2+0.00029262722672*((SUMPRODUCT(D$9:D$229,Nutrients!$EE$8:$EE$228)/907))+0.007028328))</f>
        <v>0.2584752344317276</v>
      </c>
      <c r="E257" s="23">
        <f>IF((SUMPRODUCT(E$9:E$229,Nutrients!$EE$8:$EE$228))=0,E256,IF((SUMPRODUCT(E$9:E$229,Nutrients!$EE$8:$EE$228))&gt;(1500*907),E256+0.14,E256+0.00000000006666*((SUMPRODUCT(E$9:E$229,Nutrients!$EE$8:$EE$228)/907))^3-0.00000023623322*((SUMPRODUCT(E$9:E$229,Nutrients!$EE$8:$EE$228)/907))^2+0.00029262722672*((SUMPRODUCT(E$9:E$229,Nutrients!$EE$8:$EE$228)/907))+0.007028328))</f>
        <v>0.22996845687457232</v>
      </c>
      <c r="F257" s="23">
        <f>IF((SUMPRODUCT(F$9:F$229,Nutrients!$EE$8:$EE$228))=0,F256,IF((SUMPRODUCT(F$9:F$229,Nutrients!$EE$8:$EE$228))&gt;(1500*907),F256+0.14,F256+0.00000000006666*((SUMPRODUCT(F$9:F$229,Nutrients!$EE$8:$EE$228)/907))^3-0.00000023623322*((SUMPRODUCT(F$9:F$229,Nutrients!$EE$8:$EE$228)/907))^2+0.00029262722672*((SUMPRODUCT(F$9:F$229,Nutrients!$EE$8:$EE$228)/907))+0.007028328))</f>
        <v>0.21044260629184977</v>
      </c>
      <c r="G257" s="23">
        <f>IF((SUMPRODUCT(G$9:G$229,Nutrients!$EE$8:$EE$228))=0,G256,IF((SUMPRODUCT(G$9:G$229,Nutrients!$EE$8:$EE$228))&gt;(1500*907),G256+0.14,G256+0.00000000006666*((SUMPRODUCT(G$9:G$229,Nutrients!$EE$8:$EE$228)/907))^3-0.00000023623322*((SUMPRODUCT(G$9:G$229,Nutrients!$EE$8:$EE$228)/907))^2+0.00029262722672*((SUMPRODUCT(G$9:G$229,Nutrients!$EE$8:$EE$228)/907))+0.007028328))</f>
        <v>0.20173798071836466</v>
      </c>
      <c r="H257" s="227"/>
      <c r="I257" s="23">
        <f>IF((SUMPRODUCT(I$9:I$229,Nutrients!$EE$8:$EE$228))=0,I256,IF((SUMPRODUCT(I$9:I$229,Nutrients!$EE$8:$EE$228))&gt;(1500*907),I256+0.14,I256+0.00000000006666*((SUMPRODUCT(I$9:I$229,Nutrients!$EE$8:$EE$228)/907))^3-0.00000023623322*((SUMPRODUCT(I$9:I$229,Nutrients!$EE$8:$EE$228)/907))^2+0.00029262722672*((SUMPRODUCT(I$9:I$229,Nutrients!$EE$8:$EE$228)/907))+0.007028328))</f>
        <v>0.31916385074291265</v>
      </c>
      <c r="J257" s="23">
        <f>IF((SUMPRODUCT(J$9:J$229,Nutrients!$EE$8:$EE$228))=0,J256,IF((SUMPRODUCT(J$9:J$229,Nutrients!$EE$8:$EE$228))&gt;(1500*907),J256+0.14,J256+0.00000000006666*((SUMPRODUCT(J$9:J$229,Nutrients!$EE$8:$EE$228)/907))^3-0.00000023623322*((SUMPRODUCT(J$9:J$229,Nutrients!$EE$8:$EE$228)/907))^2+0.00029262722672*((SUMPRODUCT(J$9:J$229,Nutrients!$EE$8:$EE$228)/907))+0.007028328))</f>
        <v>0.28083069116509962</v>
      </c>
      <c r="K257" s="23">
        <f>IF((SUMPRODUCT(K$9:K$229,Nutrients!$EE$8:$EE$228))=0,K256,IF((SUMPRODUCT(K$9:K$229,Nutrients!$EE$8:$EE$228))&gt;(1500*907),K256+0.14,K256+0.00000000006666*((SUMPRODUCT(K$9:K$229,Nutrients!$EE$8:$EE$228)/907))^3-0.00000023623322*((SUMPRODUCT(K$9:K$229,Nutrients!$EE$8:$EE$228)/907))^2+0.00029262722672*((SUMPRODUCT(K$9:K$229,Nutrients!$EE$8:$EE$228)/907))+0.007028328))</f>
        <v>0.24016469902295587</v>
      </c>
      <c r="L257" s="23">
        <f>IF((SUMPRODUCT(L$9:L$229,Nutrients!$EE$8:$EE$228))=0,L256,IF((SUMPRODUCT(L$9:L$229,Nutrients!$EE$8:$EE$228))&gt;(1500*907),L256+0.14,L256+0.00000000006666*((SUMPRODUCT(L$9:L$229,Nutrients!$EE$8:$EE$228)/907))^3-0.00000023623322*((SUMPRODUCT(L$9:L$229,Nutrients!$EE$8:$EE$228)/907))^2+0.00029262722672*((SUMPRODUCT(L$9:L$229,Nutrients!$EE$8:$EE$228)/907))+0.007028328))</f>
        <v>0.21231769056925459</v>
      </c>
      <c r="M257" s="23">
        <f>IF((SUMPRODUCT(M$9:M$229,Nutrients!$EE$8:$EE$228))=0,M256,IF((SUMPRODUCT(M$9:M$229,Nutrients!$EE$8:$EE$228))&gt;(1500*907),M256+0.14,M256+0.00000000006666*((SUMPRODUCT(M$9:M$229,Nutrients!$EE$8:$EE$228)/907))^3-0.00000023623322*((SUMPRODUCT(M$9:M$229,Nutrients!$EE$8:$EE$228)/907))^2+0.00029262722672*((SUMPRODUCT(M$9:M$229,Nutrients!$EE$8:$EE$228)/907))+0.007028328))</f>
        <v>0.19279183030458022</v>
      </c>
      <c r="N257" s="23">
        <f>IF((SUMPRODUCT(N$9:N$229,Nutrients!$EE$8:$EE$228))=0,N256,IF((SUMPRODUCT(N$9:N$229,Nutrients!$EE$8:$EE$228))&gt;(1500*907),N256+0.14,N256+0.00000000006666*((SUMPRODUCT(N$9:N$229,Nutrients!$EE$8:$EE$228)/907))^3-0.00000023623322*((SUMPRODUCT(N$9:N$229,Nutrients!$EE$8:$EE$228)/907))^2+0.00029262722672*((SUMPRODUCT(N$9:N$229,Nutrients!$EE$8:$EE$228)/907))+0.007028328))</f>
        <v>0.18408639924526662</v>
      </c>
      <c r="O257" s="198"/>
      <c r="P257" s="23">
        <f>IF((SUMPRODUCT(P$9:P$229,Nutrients!$EE$8:$EE$228))=0,P256,IF((SUMPRODUCT(P$9:P$229,Nutrients!$EE$8:$EE$228))&gt;(1500*907),P256+0.14,P256+0.00000000006666*((SUMPRODUCT(P$9:P$229,Nutrients!$EE$8:$EE$228)/907))^3-0.00000023623322*((SUMPRODUCT(P$9:P$229,Nutrients!$EE$8:$EE$228)/907))^2+0.00029262722672*((SUMPRODUCT(P$9:P$229,Nutrients!$EE$8:$EE$228)/907))+0.007028328))</f>
        <v>0.30151424487346279</v>
      </c>
      <c r="Q257" s="23">
        <f>IF((SUMPRODUCT(Q$9:Q$229,Nutrients!$EE$8:$EE$228))=0,Q256,IF((SUMPRODUCT(Q$9:Q$229,Nutrients!$EE$8:$EE$228))&gt;(1500*907),Q256+0.14,Q256+0.00000000006666*((SUMPRODUCT(Q$9:Q$229,Nutrients!$EE$8:$EE$228)/907))^3-0.00000023623322*((SUMPRODUCT(Q$9:Q$229,Nutrients!$EE$8:$EE$228)/907))^2+0.00029262722672*((SUMPRODUCT(Q$9:Q$229,Nutrients!$EE$8:$EE$228)/907))+0.007028328))</f>
        <v>0.26318002800887763</v>
      </c>
      <c r="R257" s="23">
        <f>IF((SUMPRODUCT(R$9:R$229,Nutrients!$EE$8:$EE$228))=0,R256,IF((SUMPRODUCT(R$9:R$229,Nutrients!$EE$8:$EE$228))&gt;(1500*907),R256+0.14,R256+0.00000000006666*((SUMPRODUCT(R$9:R$229,Nutrients!$EE$8:$EE$228)/907))^3-0.00000023623322*((SUMPRODUCT(R$9:R$229,Nutrients!$EE$8:$EE$228)/907))^2+0.00029262722672*((SUMPRODUCT(R$9:R$229,Nutrients!$EE$8:$EE$228)/907))+0.007028328))</f>
        <v>0.22251294858657181</v>
      </c>
      <c r="S257" s="23">
        <f>IF((SUMPRODUCT(S$9:S$229,Nutrients!$EE$8:$EE$228))=0,S256,IF((SUMPRODUCT(S$9:S$229,Nutrients!$EE$8:$EE$228))&gt;(1500*907),S256+0.14,S256+0.00000000006666*((SUMPRODUCT(S$9:S$229,Nutrients!$EE$8:$EE$228)/907))^3-0.00000023623322*((SUMPRODUCT(S$9:S$229,Nutrients!$EE$8:$EE$228)/907))^2+0.00029262722672*((SUMPRODUCT(S$9:S$229,Nutrients!$EE$8:$EE$228)/907))+0.007028328))</f>
        <v>0.19466624162896026</v>
      </c>
      <c r="T257" s="23">
        <f>IF((SUMPRODUCT(T$9:T$229,Nutrients!$EE$8:$EE$228))=0,T256,IF((SUMPRODUCT(T$9:T$229,Nutrients!$EE$8:$EE$228))&gt;(1500*907),T256+0.14,T256+0.00000000006666*((SUMPRODUCT(T$9:T$229,Nutrients!$EE$8:$EE$228)/907))^3-0.00000023623322*((SUMPRODUCT(T$9:T$229,Nutrients!$EE$8:$EE$228)/907))^2+0.00029262722672*((SUMPRODUCT(T$9:T$229,Nutrients!$EE$8:$EE$228)/907))+0.007028328))</f>
        <v>0.17514106542757168</v>
      </c>
      <c r="U257" s="23">
        <f>IF((SUMPRODUCT(U$9:U$229,Nutrients!$EE$8:$EE$228))=0,U256,IF((SUMPRODUCT(U$9:U$229,Nutrients!$EE$8:$EE$228))&gt;(1500*907),U256+0.14,U256+0.00000000006666*((SUMPRODUCT(U$9:U$229,Nutrients!$EE$8:$EE$228)/907))^3-0.00000023623322*((SUMPRODUCT(U$9:U$229,Nutrients!$EE$8:$EE$228)/907))^2+0.00029262722672*((SUMPRODUCT(U$9:U$229,Nutrients!$EE$8:$EE$228)/907))+0.007028328))</f>
        <v>0.16643534364436022</v>
      </c>
      <c r="W257" s="23">
        <f>IF((SUMPRODUCT(W$9:W$229,Nutrients!$EE$8:$EE$228))=0,W256,IF((SUMPRODUCT(W$9:W$229,Nutrients!$EE$8:$EE$228))&gt;(1500*907),W256+0.14,W256+0.00000000006666*((SUMPRODUCT(W$9:W$229,Nutrients!$EE$8:$EE$228)/907))^3-0.00000023623322*((SUMPRODUCT(W$9:W$229,Nutrients!$EE$8:$EE$228)/907))^2+0.00029262722672*((SUMPRODUCT(W$9:W$229,Nutrients!$EE$8:$EE$228)/907))+0.007028328))</f>
        <v>0.28279057974995703</v>
      </c>
      <c r="X257" s="23">
        <f>IF((SUMPRODUCT(X$9:X$229,Nutrients!$EE$8:$EE$228))=0,X256,IF((SUMPRODUCT(X$9:X$229,Nutrients!$EE$8:$EE$228))&gt;(1500*907),X256+0.14,X256+0.00000000006666*((SUMPRODUCT(X$9:X$229,Nutrients!$EE$8:$EE$228)/907))^3-0.00000023623322*((SUMPRODUCT(X$9:X$229,Nutrients!$EE$8:$EE$228)/907))^2+0.00029262722672*((SUMPRODUCT(X$9:X$229,Nutrients!$EE$8:$EE$228)/907))+0.007028328))</f>
        <v>0.24445465786617662</v>
      </c>
      <c r="Y257" s="23">
        <f>IF((SUMPRODUCT(Y$9:Y$229,Nutrients!$EE$8:$EE$228))=0,Y256,IF((SUMPRODUCT(Y$9:Y$229,Nutrients!$EE$8:$EE$228))&gt;(1500*907),Y256+0.14,Y256+0.00000000006666*((SUMPRODUCT(Y$9:Y$229,Nutrients!$EE$8:$EE$228)/907))^3-0.00000023623322*((SUMPRODUCT(Y$9:Y$229,Nutrients!$EE$8:$EE$228)/907))^2+0.00029262722672*((SUMPRODUCT(Y$9:Y$229,Nutrients!$EE$8:$EE$228)/907))+0.007028328))</f>
        <v>0.20378787536394452</v>
      </c>
      <c r="Z257" s="23">
        <f>IF((SUMPRODUCT(Z$9:Z$229,Nutrients!$EE$8:$EE$228))=0,Z256,IF((SUMPRODUCT(Z$9:Z$229,Nutrients!$EE$8:$EE$228))&gt;(1500*907),Z256+0.14,Z256+0.00000000006666*((SUMPRODUCT(Z$9:Z$229,Nutrients!$EE$8:$EE$228)/907))^3-0.00000023623322*((SUMPRODUCT(Z$9:Z$229,Nutrients!$EE$8:$EE$228)/907))^2+0.00029262722672*((SUMPRODUCT(Z$9:Z$229,Nutrients!$EE$8:$EE$228)/907))+0.007028328))</f>
        <v>0.1759392467441098</v>
      </c>
      <c r="AA257" s="23">
        <f>IF((SUMPRODUCT(AA$9:AA$229,Nutrients!$EE$8:$EE$228))=0,AA256,IF((SUMPRODUCT(AA$9:AA$229,Nutrients!$EE$8:$EE$228))&gt;(1500*907),AA256+0.14,AA256+0.00000000006666*((SUMPRODUCT(AA$9:AA$229,Nutrients!$EE$8:$EE$228)/907))^3-0.00000023623322*((SUMPRODUCT(AA$9:AA$229,Nutrients!$EE$8:$EE$228)/907))^2+0.00029262722672*((SUMPRODUCT(AA$9:AA$229,Nutrients!$EE$8:$EE$228)/907))+0.007028328))</f>
        <v>0.15641214449048604</v>
      </c>
      <c r="AB257" s="23">
        <f>IF((SUMPRODUCT(AB$9:AB$229,Nutrients!$EE$8:$EE$228))=0,AB256,IF((SUMPRODUCT(AB$9:AB$229,Nutrients!$EE$8:$EE$228))&gt;(1500*907),AB256+0.14,AB256+0.00000000006666*((SUMPRODUCT(AB$9:AB$229,Nutrients!$EE$8:$EE$228)/907))^3-0.00000023623322*((SUMPRODUCT(AB$9:AB$229,Nutrients!$EE$8:$EE$228)/907))^2+0.00029262722672*((SUMPRODUCT(AB$9:AB$229,Nutrients!$EE$8:$EE$228)/907))+0.007028328))</f>
        <v>0.1517410956152361</v>
      </c>
      <c r="AD257" s="23">
        <f>IF((SUMPRODUCT(AD$9:AD$229,Nutrients!$EE$8:$EE$228))=0,AD256,IF((SUMPRODUCT(AD$9:AD$229,Nutrients!$EE$8:$EE$228))&gt;(1500*907),AD256+0.14,AD256+0.00000000006666*((SUMPRODUCT(AD$9:AD$229,Nutrients!$EE$8:$EE$228)/907))^3-0.00000023623322*((SUMPRODUCT(AD$9:AD$229,Nutrients!$EE$8:$EE$228)/907))^2+0.00029262722672*((SUMPRODUCT(AD$9:AD$229,Nutrients!$EE$8:$EE$228)/907))+0.007028328))</f>
        <v>0.26406529294362879</v>
      </c>
      <c r="AE257" s="23">
        <f>IF((SUMPRODUCT(AE$9:AE$229,Nutrients!$EE$8:$EE$228))=0,AE256,IF((SUMPRODUCT(AE$9:AE$229,Nutrients!$EE$8:$EE$228))&gt;(1500*907),AE256+0.14,AE256+0.00000000006666*((SUMPRODUCT(AE$9:AE$229,Nutrients!$EE$8:$EE$228)/907))^3-0.00000023623322*((SUMPRODUCT(AE$9:AE$229,Nutrients!$EE$8:$EE$228)/907))^2+0.00029262722672*((SUMPRODUCT(AE$9:AE$229,Nutrients!$EE$8:$EE$228)/907))+0.007028328))</f>
        <v>0.22573004656967025</v>
      </c>
      <c r="AF257" s="23">
        <f>IF((SUMPRODUCT(AF$9:AF$229,Nutrients!$EE$8:$EE$228))=0,AF256,IF((SUMPRODUCT(AF$9:AF$229,Nutrients!$EE$8:$EE$228))&gt;(1500*907),AF256+0.14,AF256+0.00000000006666*((SUMPRODUCT(AF$9:AF$229,Nutrients!$EE$8:$EE$228)/907))^3-0.00000023623322*((SUMPRODUCT(AF$9:AF$229,Nutrients!$EE$8:$EE$228)/907))^2+0.00029262722672*((SUMPRODUCT(AF$9:AF$229,Nutrients!$EE$8:$EE$228)/907))+0.007028328))</f>
        <v>0.18506090400766739</v>
      </c>
      <c r="AG257" s="23">
        <f>IF((SUMPRODUCT(AG$9:AG$229,Nutrients!$EE$8:$EE$228))=0,AG256,IF((SUMPRODUCT(AG$9:AG$229,Nutrients!$EE$8:$EE$228))&gt;(1500*907),AG256+0.14,AG256+0.00000000006666*((SUMPRODUCT(AG$9:AG$229,Nutrients!$EE$8:$EE$228)/907))^3-0.00000023623322*((SUMPRODUCT(AG$9:AG$229,Nutrients!$EE$8:$EE$228)/907))^2+0.00029262722672*((SUMPRODUCT(AG$9:AG$229,Nutrients!$EE$8:$EE$228)/907))+0.007028328))</f>
        <v>0.15721129045703028</v>
      </c>
      <c r="AH257" s="23">
        <f>IF((SUMPRODUCT(AH$9:AH$229,Nutrients!$EE$8:$EE$228))=0,AH256,IF((SUMPRODUCT(AH$9:AH$229,Nutrients!$EE$8:$EE$228))&gt;(1500*907),AH256+0.14,AH256+0.00000000006666*((SUMPRODUCT(AH$9:AH$229,Nutrients!$EE$8:$EE$228)/907))^3-0.00000023623322*((SUMPRODUCT(AH$9:AH$229,Nutrients!$EE$8:$EE$228)/907))^2+0.00029262722672*((SUMPRODUCT(AH$9:AH$229,Nutrients!$EE$8:$EE$228)/907))+0.007028328))</f>
        <v>0.15001447377316243</v>
      </c>
      <c r="AI257" s="23">
        <f>IF((SUMPRODUCT(AI$9:AI$229,Nutrients!$EE$8:$EE$228))=0,AI256,IF((SUMPRODUCT(AI$9:AI$229,Nutrients!$EE$8:$EE$228))&gt;(1500*907),AI256+0.14,AI256+0.00000000006666*((SUMPRODUCT(AI$9:AI$229,Nutrients!$EE$8:$EE$228)/907))^3-0.00000023623322*((SUMPRODUCT(AI$9:AI$229,Nutrients!$EE$8:$EE$228)/907))^2+0.00029262722672*((SUMPRODUCT(AI$9:AI$229,Nutrients!$EE$8:$EE$228)/907))+0.007028328))</f>
        <v>0.14802099380272571</v>
      </c>
      <c r="AK257" s="23">
        <f>IF((SUMPRODUCT(AK$9:AK$229,Nutrients!$EE$8:$EE$228))=0,AK256,IF((SUMPRODUCT(AK$9:AK$229,Nutrients!$EE$8:$EE$228))&gt;(1500*907),AK256+0.14,AK256+0.00000000006666*((SUMPRODUCT(AK$9:AK$229,Nutrients!$EE$8:$EE$228)/907))^3-0.00000023623322*((SUMPRODUCT(AK$9:AK$229,Nutrients!$EE$8:$EE$228)/907))^2+0.00029262722672*((SUMPRODUCT(AK$9:AK$229,Nutrients!$EE$8:$EE$228)/907))+0.007028328))</f>
        <v>0.24641384649546402</v>
      </c>
      <c r="AL257" s="23">
        <f>IF((SUMPRODUCT(AL$9:AL$229,Nutrients!$EE$8:$EE$228))=0,AL256,IF((SUMPRODUCT(AL$9:AL$229,Nutrients!$EE$8:$EE$228))&gt;(1500*907),AL256+0.14,AL256+0.00000000006666*((SUMPRODUCT(AL$9:AL$229,Nutrients!$EE$8:$EE$228)/907))^3-0.00000023623322*((SUMPRODUCT(AL$9:AL$229,Nutrients!$EE$8:$EE$228)/907))^2+0.00029262722672*((SUMPRODUCT(AL$9:AL$229,Nutrients!$EE$8:$EE$228)/907))+0.007028328))</f>
        <v>0.20807805527154008</v>
      </c>
      <c r="AM257" s="23">
        <f>IF((SUMPRODUCT(AM$9:AM$229,Nutrients!$EE$8:$EE$228))=0,AM256,IF((SUMPRODUCT(AM$9:AM$229,Nutrients!$EE$8:$EE$228))&gt;(1500*907),AM256+0.14,AM256+0.00000000006666*((SUMPRODUCT(AM$9:AM$229,Nutrients!$EE$8:$EE$228)/907))^3-0.00000023623322*((SUMPRODUCT(AM$9:AM$229,Nutrients!$EE$8:$EE$228)/907))^2+0.00029262722672*((SUMPRODUCT(AM$9:AM$229,Nutrients!$EE$8:$EE$228)/907))+0.007028328))</f>
        <v>0.16740971017463843</v>
      </c>
      <c r="AN257" s="23">
        <f>IF((SUMPRODUCT(AN$9:AN$229,Nutrients!$EE$8:$EE$228))=0,AN256,IF((SUMPRODUCT(AN$9:AN$229,Nutrients!$EE$8:$EE$228))&gt;(1500*907),AN256+0.14,AN256+0.00000000006666*((SUMPRODUCT(AN$9:AN$229,Nutrients!$EE$8:$EE$228)/907))^3-0.00000023623322*((SUMPRODUCT(AN$9:AN$229,Nutrients!$EE$8:$EE$228)/907))^2+0.00029262722672*((SUMPRODUCT(AN$9:AN$229,Nutrients!$EE$8:$EE$228)/907))+0.007028328))</f>
        <v>0.14989051466189349</v>
      </c>
      <c r="AO257" s="23">
        <f>IF((SUMPRODUCT(AO$9:AO$229,Nutrients!$EE$8:$EE$228))=0,AO256,IF((SUMPRODUCT(AO$9:AO$229,Nutrients!$EE$8:$EE$228))&gt;(1500*907),AO256+0.14,AO256+0.00000000006666*((SUMPRODUCT(AO$9:AO$229,Nutrients!$EE$8:$EE$228)/907))^3-0.00000023623322*((SUMPRODUCT(AO$9:AO$229,Nutrients!$EE$8:$EE$228)/907))^2+0.00029262722672*((SUMPRODUCT(AO$9:AO$229,Nutrients!$EE$8:$EE$228)/907))+0.007028328))</f>
        <v>0.14629454581354515</v>
      </c>
      <c r="AP257" s="23">
        <f>IF((SUMPRODUCT(AP$9:AP$229,Nutrients!$EE$8:$EE$228))=0,AP256,IF((SUMPRODUCT(AP$9:AP$229,Nutrients!$EE$8:$EE$228))&gt;(1500*907),AP256+0.14,AP256+0.00000000006666*((SUMPRODUCT(AP$9:AP$229,Nutrients!$EE$8:$EE$228)/907))^3-0.00000023623322*((SUMPRODUCT(AP$9:AP$229,Nutrients!$EE$8:$EE$228)/907))^2+0.00029262722672*((SUMPRODUCT(AP$9:AP$229,Nutrients!$EE$8:$EE$228)/907))+0.007028328))</f>
        <v>0.14430082985326939</v>
      </c>
      <c r="AR257" s="23">
        <f>IF((SUMPRODUCT(AR$9:AR$229,Nutrients!$EE$8:$EE$228))=0,AR256,IF((SUMPRODUCT(AR$9:AR$229,Nutrients!$EE$8:$EE$228))&gt;(1500*907),AR256+0.14,AR256+0.00000000006666*((SUMPRODUCT(AR$9:AR$229,Nutrients!$EE$8:$EE$228)/907))^3-0.00000023623322*((SUMPRODUCT(AR$9:AR$229,Nutrients!$EE$8:$EE$228)/907))^2+0.00029262722672*((SUMPRODUCT(AR$9:AR$229,Nutrients!$EE$8:$EE$228)/907))+0.007028328))</f>
        <v>0.22876025012513676</v>
      </c>
      <c r="AS257" s="23">
        <f>IF((SUMPRODUCT(AS$9:AS$229,Nutrients!$EE$8:$EE$228))=0,AS256,IF((SUMPRODUCT(AS$9:AS$229,Nutrients!$EE$8:$EE$228))&gt;(1500*907),AS256+0.14,AS256+0.00000000006666*((SUMPRODUCT(AS$9:AS$229,Nutrients!$EE$8:$EE$228)/907))^3-0.00000023623322*((SUMPRODUCT(AS$9:AS$229,Nutrients!$EE$8:$EE$228)/907))^2+0.00029262722672*((SUMPRODUCT(AS$9:AS$229,Nutrients!$EE$8:$EE$228)/907))+0.007028328))</f>
        <v>0.19042574164442375</v>
      </c>
      <c r="AT257" s="23">
        <f>IF((SUMPRODUCT(AT$9:AT$229,Nutrients!$EE$8:$EE$228))=0,AT256,IF((SUMPRODUCT(AT$9:AT$229,Nutrients!$EE$8:$EE$228))&gt;(1500*907),AT256+0.14,AT256+0.00000000006666*((SUMPRODUCT(AT$9:AT$229,Nutrients!$EE$8:$EE$228)/907))^3-0.00000023623322*((SUMPRODUCT(AT$9:AT$229,Nutrients!$EE$8:$EE$228)/907))^2+0.00029262722672*((SUMPRODUCT(AT$9:AT$229,Nutrients!$EE$8:$EE$228)/907))+0.007028328))</f>
        <v>0.15042320195210154</v>
      </c>
      <c r="AU257" s="23">
        <f>IF((SUMPRODUCT(AU$9:AU$229,Nutrients!$EE$8:$EE$228))=0,AU256,IF((SUMPRODUCT(AU$9:AU$229,Nutrients!$EE$8:$EE$228))&gt;(1500*907),AU256+0.14,AU256+0.00000000006666*((SUMPRODUCT(AU$9:AU$229,Nutrients!$EE$8:$EE$228)/907))^3-0.00000023623322*((SUMPRODUCT(AU$9:AU$229,Nutrients!$EE$8:$EE$228)/907))^2+0.00029262722672*((SUMPRODUCT(AU$9:AU$229,Nutrients!$EE$8:$EE$228)/907))+0.007028328))</f>
        <v>0.14617063700053254</v>
      </c>
      <c r="AV257" s="23">
        <f>IF((SUMPRODUCT(AV$9:AV$229,Nutrients!$EE$8:$EE$228))=0,AV256,IF((SUMPRODUCT(AV$9:AV$229,Nutrients!$EE$8:$EE$228))&gt;(1500*907),AV256+0.14,AV256+0.00000000006666*((SUMPRODUCT(AV$9:AV$229,Nutrients!$EE$8:$EE$228)/907))^3-0.00000023623322*((SUMPRODUCT(AV$9:AV$229,Nutrients!$EE$8:$EE$228)/907))^2+0.00029262722672*((SUMPRODUCT(AV$9:AV$229,Nutrients!$EE$8:$EE$228)/907))+0.007028328))</f>
        <v>0.14257461166791943</v>
      </c>
      <c r="AW257" s="23">
        <f>IF((SUMPRODUCT(AW$9:AW$229,Nutrients!$EE$8:$EE$228))=0,AW256,IF((SUMPRODUCT(AW$9:AW$229,Nutrients!$EE$8:$EE$228))&gt;(1500*907),AW256+0.14,AW256+0.00000000006666*((SUMPRODUCT(AW$9:AW$229,Nutrients!$EE$8:$EE$228)/907))^3-0.00000023623322*((SUMPRODUCT(AW$9:AW$229,Nutrients!$EE$8:$EE$228)/907))^2+0.00029262722672*((SUMPRODUCT(AW$9:AW$229,Nutrients!$EE$8:$EE$228)/907))+0.007028328))</f>
        <v>0.14058066284081974</v>
      </c>
    </row>
    <row r="258" spans="1:59" x14ac:dyDescent="0.25">
      <c r="A258" t="s">
        <v>28</v>
      </c>
      <c r="B258" s="23">
        <f t="shared" ref="B258:G258" si="48">IF(B$5="","",(B257)/(B246*2.2046)*10000)</f>
        <v>1.0228158443854305</v>
      </c>
      <c r="C258" s="23">
        <f t="shared" si="48"/>
        <v>0.90093891102253687</v>
      </c>
      <c r="D258" s="23">
        <f t="shared" si="48"/>
        <v>0.7799032683037318</v>
      </c>
      <c r="E258" s="23">
        <f t="shared" si="48"/>
        <v>0.69195878210567852</v>
      </c>
      <c r="F258" s="23">
        <f t="shared" si="48"/>
        <v>0.63170249608403195</v>
      </c>
      <c r="G258" s="23">
        <f t="shared" si="48"/>
        <v>0.60499551704383758</v>
      </c>
      <c r="H258" s="227"/>
      <c r="I258" s="23">
        <f t="shared" ref="I258:N258" si="49">IF(I$5="","",(I257)/(I246*2.2046)*10000)</f>
        <v>0.95975889075891618</v>
      </c>
      <c r="J258" s="23">
        <f t="shared" si="49"/>
        <v>0.84195360292807131</v>
      </c>
      <c r="K258" s="23">
        <f t="shared" si="49"/>
        <v>0.71810817514105796</v>
      </c>
      <c r="L258" s="23">
        <f t="shared" si="49"/>
        <v>0.63308370169592443</v>
      </c>
      <c r="M258" s="23">
        <f t="shared" si="49"/>
        <v>0.57350998716535484</v>
      </c>
      <c r="N258" s="23">
        <f t="shared" si="49"/>
        <v>0.54708447249018677</v>
      </c>
      <c r="O258" s="198"/>
      <c r="P258" s="23">
        <f t="shared" ref="P258:U258" si="50">IF(P$5="","",(P257)/(P246*2.2046)*10000)</f>
        <v>0.89854949471415535</v>
      </c>
      <c r="Q258" s="23">
        <f t="shared" si="50"/>
        <v>0.7819642253023521</v>
      </c>
      <c r="R258" s="23">
        <f t="shared" si="50"/>
        <v>0.65934720144006032</v>
      </c>
      <c r="S258" s="23">
        <f t="shared" si="50"/>
        <v>0.57525857971960315</v>
      </c>
      <c r="T258" s="23">
        <f t="shared" si="50"/>
        <v>0.51635473379042773</v>
      </c>
      <c r="U258" s="23">
        <f t="shared" si="50"/>
        <v>0.49021282241330261</v>
      </c>
      <c r="W258" s="23">
        <f t="shared" ref="W258:AB258" si="51">IF(W$5="","",(W257)/(W246*2.2046)*10000)</f>
        <v>0.83519723622084663</v>
      </c>
      <c r="X258" s="23">
        <f t="shared" si="51"/>
        <v>0.71979988701895059</v>
      </c>
      <c r="Y258" s="23">
        <f t="shared" si="51"/>
        <v>0.59846462078087659</v>
      </c>
      <c r="Z258" s="23">
        <f t="shared" si="51"/>
        <v>0.51525562785106505</v>
      </c>
      <c r="AA258" s="23">
        <f t="shared" si="51"/>
        <v>0.45700335333332465</v>
      </c>
      <c r="AB258" s="23">
        <f t="shared" si="51"/>
        <v>0.44296437135625849</v>
      </c>
      <c r="AD258" s="23">
        <f t="shared" ref="AD258:AI258" si="52">IF(AD$5="","",(AD257)/(AD246*2.2046)*10000)</f>
        <v>0.77293251447489708</v>
      </c>
      <c r="AE258" s="23">
        <f t="shared" si="52"/>
        <v>0.65876807749348654</v>
      </c>
      <c r="AF258" s="23">
        <f t="shared" si="52"/>
        <v>0.53862579472349725</v>
      </c>
      <c r="AG258" s="23">
        <f t="shared" si="52"/>
        <v>0.45632131818111438</v>
      </c>
      <c r="AH258" s="23">
        <f t="shared" si="52"/>
        <v>0.4344972092467963</v>
      </c>
      <c r="AI258" s="23">
        <f t="shared" si="52"/>
        <v>0.4283403680751407</v>
      </c>
      <c r="AK258" s="23">
        <f t="shared" ref="AK258:AP258" si="53">IF(AK$5="","",(AK257)/(AK246*2.2046)*10000)</f>
        <v>0.7149191986555774</v>
      </c>
      <c r="AL258" s="23">
        <f t="shared" si="53"/>
        <v>0.60191661725255041</v>
      </c>
      <c r="AM258" s="23">
        <f t="shared" si="53"/>
        <v>0.48299769802255271</v>
      </c>
      <c r="AN258" s="23">
        <f t="shared" si="53"/>
        <v>0.43132847380512235</v>
      </c>
      <c r="AO258" s="23">
        <f t="shared" si="53"/>
        <v>0.42006359493402451</v>
      </c>
      <c r="AP258" s="23">
        <f t="shared" si="53"/>
        <v>0.41396751772204604</v>
      </c>
      <c r="AR258" s="23">
        <f t="shared" ref="AR258:AW258" si="54">IF(AR$5="","",(AR257)/(AR246*2.2046)*10000)</f>
        <v>0.65784510627422133</v>
      </c>
      <c r="AS258" s="23">
        <f t="shared" si="54"/>
        <v>0.54606281266733825</v>
      </c>
      <c r="AT258" s="23">
        <f t="shared" si="54"/>
        <v>0.43021654593496106</v>
      </c>
      <c r="AU258" s="23">
        <f t="shared" si="54"/>
        <v>0.417021350002025</v>
      </c>
      <c r="AV258" s="23">
        <f t="shared" si="54"/>
        <v>0.40587704110417833</v>
      </c>
      <c r="AW258" s="23">
        <f t="shared" si="54"/>
        <v>0.39984083877857862</v>
      </c>
    </row>
    <row r="259" spans="1:59" x14ac:dyDescent="0.25">
      <c r="A259" s="34" t="s">
        <v>346</v>
      </c>
      <c r="B259" s="23">
        <f>((SUMPRODUCT(B$9:B$229,Nutrients!$DR$8:$DR$228)+(IF($A$7=Nutrients!$B$8,Nutrients!$DR$8,Nutrients!$DR$9)*B$7)+(((IF($A$8=Nutrients!$B$79,Nutrients!$DR$79,(IF($A$8=Nutrients!$B$77,Nutrients!$DR$77,Nutrients!$DR$78)))))*B$8))/2000)</f>
        <v>0.29000063647666452</v>
      </c>
      <c r="C259" s="23">
        <f>((SUMPRODUCT(C$9:C$229,Nutrients!$DR$8:$DR$228)+(IF($A$7=Nutrients!$B$8,Nutrients!$DR$8,Nutrients!$DR$9)*C$7)+(((IF($A$8=Nutrients!$B$79,Nutrients!$DR$79,(IF($A$8=Nutrients!$B$77,Nutrients!$DR$77,Nutrients!$DR$78)))))*C$8))/2000)</f>
        <v>0.24988069387487893</v>
      </c>
      <c r="D259" s="23">
        <f>((SUMPRODUCT(D$9:D$229,Nutrients!$DR$8:$DR$228)+(IF($A$7=Nutrients!$B$8,Nutrients!$DR$8,Nutrients!$DR$9)*D$7)+(((IF($A$8=Nutrients!$B$79,Nutrients!$DR$79,(IF($A$8=Nutrients!$B$77,Nutrients!$DR$77,Nutrients!$DR$78)))))*D$8))/2000)</f>
        <v>0.21060453785177027</v>
      </c>
      <c r="E259" s="23">
        <f>((SUMPRODUCT(E$9:E$229,Nutrients!$DR$8:$DR$228)+(IF($A$7=Nutrients!$B$8,Nutrients!$DR$8,Nutrients!$DR$9)*E$7)+(((IF($A$8=Nutrients!$B$79,Nutrients!$DR$79,(IF($A$8=Nutrients!$B$77,Nutrients!$DR$77,Nutrients!$DR$78)))))*E$8))/2000)</f>
        <v>0.18085065848336068</v>
      </c>
      <c r="F259" s="23">
        <f>((SUMPRODUCT(F$9:F$229,Nutrients!$DR$8:$DR$228)+(IF($A$7=Nutrients!$B$8,Nutrients!$DR$8,Nutrients!$DR$9)*F$7)+(((IF($A$8=Nutrients!$B$79,Nutrients!$DR$79,(IF($A$8=Nutrients!$B$77,Nutrients!$DR$77,Nutrients!$DR$78)))))*F$8))/2000)</f>
        <v>0.15971179439767599</v>
      </c>
      <c r="G259" s="23">
        <f>((SUMPRODUCT(G$9:G$229,Nutrients!$DR$8:$DR$228)+(IF($A$7=Nutrients!$B$8,Nutrients!$DR$8,Nutrients!$DR$9)*G$7)+(((IF($A$8=Nutrients!$B$79,Nutrients!$DR$79,(IF($A$8=Nutrients!$B$77,Nutrients!$DR$77,Nutrients!$DR$78)))))*G$8))/2000)</f>
        <v>0.14985099986346795</v>
      </c>
      <c r="H259" s="227"/>
      <c r="I259" s="23">
        <f>((SUMPRODUCT(I$9:I$229,Nutrients!$DR$8:$DR$228)+(IF($A$7=Nutrients!$B$8,Nutrients!$DR$8,Nutrients!$DR$9)*I$7)+(((IF($A$8=Nutrients!$B$79,Nutrients!$DR$79,(IF($A$8=Nutrients!$B$77,Nutrients!$DR$77,Nutrients!$DR$78)))))*I$8))/2000)</f>
        <v>0.29014809232506827</v>
      </c>
      <c r="J259" s="23">
        <f>((SUMPRODUCT(J$9:J$229,Nutrients!$DR$8:$DR$228)+(IF($A$7=Nutrients!$B$8,Nutrients!$DR$8,Nutrients!$DR$9)*J$7)+(((IF($A$8=Nutrients!$B$79,Nutrients!$DR$79,(IF($A$8=Nutrients!$B$77,Nutrients!$DR$77,Nutrients!$DR$78)))))*J$8))/2000)</f>
        <v>0.25085687289487002</v>
      </c>
      <c r="K259" s="23">
        <f>((SUMPRODUCT(K$9:K$229,Nutrients!$DR$8:$DR$228)+(IF($A$7=Nutrients!$B$8,Nutrients!$DR$8,Nutrients!$DR$9)*K$7)+(((IF($A$8=Nutrients!$B$79,Nutrients!$DR$79,(IF($A$8=Nutrients!$B$77,Nutrients!$DR$77,Nutrients!$DR$78)))))*K$8))/2000)</f>
        <v>0.21039974278228327</v>
      </c>
      <c r="L259" s="23">
        <f>((SUMPRODUCT(L$9:L$229,Nutrients!$DR$8:$DR$228)+(IF($A$7=Nutrients!$B$8,Nutrients!$DR$8,Nutrients!$DR$9)*L$7)+(((IF($A$8=Nutrients!$B$79,Nutrients!$DR$79,(IF($A$8=Nutrients!$B$77,Nutrients!$DR$77,Nutrients!$DR$78)))))*L$8))/2000)</f>
        <v>0.18122534893259912</v>
      </c>
      <c r="M259" s="23">
        <f>((SUMPRODUCT(M$9:M$229,Nutrients!$DR$8:$DR$228)+(IF($A$7=Nutrients!$B$8,Nutrients!$DR$8,Nutrients!$DR$9)*M$7)+(((IF($A$8=Nutrients!$B$79,Nutrients!$DR$79,(IF($A$8=Nutrients!$B$77,Nutrients!$DR$77,Nutrients!$DR$78)))))*M$8))/2000)</f>
        <v>0.16008645981230762</v>
      </c>
      <c r="N259" s="23">
        <f>((SUMPRODUCT(N$9:N$229,Nutrients!$DR$8:$DR$228)+(IF($A$7=Nutrients!$B$8,Nutrients!$DR$8,Nutrients!$DR$9)*N$7)+(((IF($A$8=Nutrients!$B$79,Nutrients!$DR$79,(IF($A$8=Nutrients!$B$77,Nutrients!$DR$77,Nutrients!$DR$78)))))*N$8))/2000)</f>
        <v>0.15022358253472048</v>
      </c>
      <c r="O259" s="198"/>
      <c r="P259" s="23">
        <f>((SUMPRODUCT(P$9:P$229,Nutrients!$DR$8:$DR$228)+(IF($A$7=Nutrients!$B$8,Nutrients!$DR$8,Nutrients!$DR$9)*P$7)+(((IF($A$8=Nutrients!$B$79,Nutrients!$DR$79,(IF($A$8=Nutrients!$B$77,Nutrients!$DR$77,Nutrients!$DR$78)))))*P$8))/2000)</f>
        <v>0.2905257833114176</v>
      </c>
      <c r="Q259" s="23">
        <f>((SUMPRODUCT(Q$9:Q$229,Nutrients!$DR$8:$DR$228)+(IF($A$7=Nutrients!$B$8,Nutrients!$DR$8,Nutrients!$DR$9)*Q$7)+(((IF($A$8=Nutrients!$B$79,Nutrients!$DR$79,(IF($A$8=Nutrients!$B$77,Nutrients!$DR$77,Nutrients!$DR$78)))))*Q$8))/2000)</f>
        <v>0.25123183005655536</v>
      </c>
      <c r="R259" s="23">
        <f>((SUMPRODUCT(R$9:R$229,Nutrients!$DR$8:$DR$228)+(IF($A$7=Nutrients!$B$8,Nutrients!$DR$8,Nutrients!$DR$9)*R$7)+(((IF($A$8=Nutrients!$B$79,Nutrients!$DR$79,(IF($A$8=Nutrients!$B$77,Nutrients!$DR$77,Nutrients!$DR$78)))))*R$8))/2000)</f>
        <v>0.21077188856544557</v>
      </c>
      <c r="S259" s="23">
        <f>((SUMPRODUCT(S$9:S$229,Nutrients!$DR$8:$DR$228)+(IF($A$7=Nutrients!$B$8,Nutrients!$DR$8,Nutrients!$DR$9)*S$7)+(((IF($A$8=Nutrients!$B$79,Nutrients!$DR$79,(IF($A$8=Nutrients!$B$77,Nutrients!$DR$77,Nutrients!$DR$78)))))*S$8))/2000)</f>
        <v>0.18159827429370368</v>
      </c>
      <c r="T259" s="23">
        <f>((SUMPRODUCT(T$9:T$229,Nutrients!$DR$8:$DR$228)+(IF($A$7=Nutrients!$B$8,Nutrients!$DR$8,Nutrients!$DR$9)*T$7)+(((IF($A$8=Nutrients!$B$79,Nutrients!$DR$79,(IF($A$8=Nutrients!$B$77,Nutrients!$DR$77,Nutrients!$DR$78)))))*T$8))/2000)</f>
        <v>0.16046115395472282</v>
      </c>
      <c r="U259" s="23">
        <f>((SUMPRODUCT(U$9:U$229,Nutrients!$DR$8:$DR$228)+(IF($A$7=Nutrients!$B$8,Nutrients!$DR$8,Nutrients!$DR$9)*U$7)+(((IF($A$8=Nutrients!$B$79,Nutrients!$DR$79,(IF($A$8=Nutrients!$B$77,Nutrients!$DR$77,Nutrients!$DR$78)))))*U$8))/2000)</f>
        <v>0.15059752495283216</v>
      </c>
      <c r="W259" s="23">
        <f>((SUMPRODUCT(W$9:W$229,Nutrients!$DR$8:$DR$228)+(IF($A$7=Nutrients!$B$8,Nutrients!$DR$8,Nutrients!$DR$9)*W$7)+(((IF($A$8=Nutrients!$B$79,Nutrients!$DR$79,(IF($A$8=Nutrients!$B$77,Nutrients!$DR$77,Nutrients!$DR$78)))))*W$8))/2000)</f>
        <v>0.28995668178300393</v>
      </c>
      <c r="X259" s="23">
        <f>((SUMPRODUCT(X$9:X$229,Nutrients!$DR$8:$DR$228)+(IF($A$7=Nutrients!$B$8,Nutrients!$DR$8,Nutrients!$DR$9)*X$7)+(((IF($A$8=Nutrients!$B$79,Nutrients!$DR$79,(IF($A$8=Nutrients!$B$77,Nutrients!$DR$77,Nutrients!$DR$78)))))*X$8))/2000)</f>
        <v>0.25065831986281895</v>
      </c>
      <c r="Y259" s="23">
        <f>((SUMPRODUCT(Y$9:Y$229,Nutrients!$DR$8:$DR$228)+(IF($A$7=Nutrients!$B$8,Nutrients!$DR$8,Nutrients!$DR$9)*Y$7)+(((IF($A$8=Nutrients!$B$79,Nutrients!$DR$79,(IF($A$8=Nutrients!$B$77,Nutrients!$DR$77,Nutrients!$DR$78)))))*Y$8))/2000)</f>
        <v>0.21019914611745427</v>
      </c>
      <c r="Z259" s="23">
        <f>((SUMPRODUCT(Z$9:Z$229,Nutrients!$DR$8:$DR$228)+(IF($A$7=Nutrients!$B$8,Nutrients!$DR$8,Nutrients!$DR$9)*Z$7)+(((IF($A$8=Nutrients!$B$79,Nutrients!$DR$79,(IF($A$8=Nutrients!$B$77,Nutrients!$DR$77,Nutrients!$DR$78)))))*Z$8))/2000)</f>
        <v>0.18102056300686942</v>
      </c>
      <c r="AA259" s="23">
        <f>((SUMPRODUCT(AA$9:AA$229,Nutrients!$DR$8:$DR$228)+(IF($A$7=Nutrients!$B$8,Nutrients!$DR$8,Nutrients!$DR$9)*AA$7)+(((IF($A$8=Nutrients!$B$79,Nutrients!$DR$79,(IF($A$8=Nutrients!$B$77,Nutrients!$DR$77,Nutrients!$DR$78)))))*AA$8))/2000)</f>
        <v>0.15987846247779869</v>
      </c>
      <c r="AB259" s="23">
        <f>((SUMPRODUCT(AB$9:AB$229,Nutrients!$DR$8:$DR$228)+(IF($A$7=Nutrients!$B$8,Nutrients!$DR$8,Nutrients!$DR$9)*AB$7)+(((IF($A$8=Nutrients!$B$79,Nutrients!$DR$79,(IF($A$8=Nutrients!$B$77,Nutrients!$DR$77,Nutrients!$DR$78)))))*AB$8))/2000)</f>
        <v>0.15356014590069281</v>
      </c>
      <c r="AD259" s="23">
        <f>((SUMPRODUCT(AD$9:AD$229,Nutrients!$DR$8:$DR$228)+(IF($A$7=Nutrients!$B$8,Nutrients!$DR$8,Nutrients!$DR$9)*AD$7)+(((IF($A$8=Nutrients!$B$79,Nutrients!$DR$79,(IF($A$8=Nutrients!$B$77,Nutrients!$DR$77,Nutrients!$DR$78)))))*AD$8))/2000)</f>
        <v>0.28938338707198907</v>
      </c>
      <c r="AE259" s="23">
        <f>((SUMPRODUCT(AE$9:AE$229,Nutrients!$DR$8:$DR$228)+(IF($A$7=Nutrients!$B$8,Nutrients!$DR$8,Nutrients!$DR$9)*AE$7)+(((IF($A$8=Nutrients!$B$79,Nutrients!$DR$79,(IF($A$8=Nutrients!$B$77,Nutrients!$DR$77,Nutrients!$DR$78)))))*AE$8))/2000)</f>
        <v>0.25008677181643718</v>
      </c>
      <c r="AF259" s="23">
        <f>((SUMPRODUCT(AF$9:AF$229,Nutrients!$DR$8:$DR$228)+(IF($A$7=Nutrients!$B$8,Nutrients!$DR$8,Nutrients!$DR$9)*AF$7)+(((IF($A$8=Nutrients!$B$79,Nutrients!$DR$79,(IF($A$8=Nutrients!$B$77,Nutrients!$DR$77,Nutrients!$DR$78)))))*AF$8))/2000)</f>
        <v>0.20962149566841329</v>
      </c>
      <c r="AG259" s="23">
        <f>((SUMPRODUCT(AG$9:AG$229,Nutrients!$DR$8:$DR$228)+(IF($A$7=Nutrients!$B$8,Nutrients!$DR$8,Nutrients!$DR$9)*AG$7)+(((IF($A$8=Nutrients!$B$79,Nutrients!$DR$79,(IF($A$8=Nutrients!$B$77,Nutrients!$DR$77,Nutrients!$DR$78)))))*AG$8))/2000)</f>
        <v>0.18044036582387613</v>
      </c>
      <c r="AH259" s="23">
        <f>((SUMPRODUCT(AH$9:AH$229,Nutrients!$DR$8:$DR$228)+(IF($A$7=Nutrients!$B$8,Nutrients!$DR$8,Nutrients!$DR$9)*AH$7)+(((IF($A$8=Nutrients!$B$79,Nutrients!$DR$79,(IF($A$8=Nutrients!$B$77,Nutrients!$DR$77,Nutrients!$DR$78)))))*AH$8))/2000)</f>
        <v>0.17012944236266575</v>
      </c>
      <c r="AI259" s="23">
        <f>((SUMPRODUCT(AI$9:AI$229,Nutrients!$DR$8:$DR$228)+(IF($A$7=Nutrients!$B$8,Nutrients!$DR$8,Nutrients!$DR$9)*AI$7)+(((IF($A$8=Nutrients!$B$79,Nutrients!$DR$79,(IF($A$8=Nutrients!$B$77,Nutrients!$DR$77,Nutrients!$DR$78)))))*AI$8))/2000)</f>
        <v>0.16616012310206069</v>
      </c>
      <c r="AK259" s="23">
        <f>((SUMPRODUCT(AK$9:AK$229,Nutrients!$DR$8:$DR$228)+(IF($A$7=Nutrients!$B$8,Nutrients!$DR$8,Nutrients!$DR$9)*AK$7)+(((IF($A$8=Nutrients!$B$79,Nutrients!$DR$79,(IF($A$8=Nutrients!$B$77,Nutrients!$DR$77,Nutrients!$DR$78)))))*AK$8))/2000)</f>
        <v>0.28975631887698911</v>
      </c>
      <c r="AL259" s="23">
        <f>((SUMPRODUCT(AL$9:AL$229,Nutrients!$DR$8:$DR$228)+(IF($A$7=Nutrients!$B$8,Nutrients!$DR$8,Nutrients!$DR$9)*AL$7)+(((IF($A$8=Nutrients!$B$79,Nutrients!$DR$79,(IF($A$8=Nutrients!$B$77,Nutrients!$DR$77,Nutrients!$DR$78)))))*AL$8))/2000)</f>
        <v>0.25045829480377951</v>
      </c>
      <c r="AM259" s="23">
        <f>((SUMPRODUCT(AM$9:AM$229,Nutrients!$DR$8:$DR$228)+(IF($A$7=Nutrients!$B$8,Nutrients!$DR$8,Nutrients!$DR$9)*AM$7)+(((IF($A$8=Nutrients!$B$79,Nutrients!$DR$79,(IF($A$8=Nutrients!$B$77,Nutrients!$DR$77,Nutrients!$DR$78)))))*AM$8))/2000)</f>
        <v>0.20999508065995354</v>
      </c>
      <c r="AN259" s="23">
        <f>((SUMPRODUCT(AN$9:AN$229,Nutrients!$DR$8:$DR$228)+(IF($A$7=Nutrients!$B$8,Nutrients!$DR$8,Nutrients!$DR$9)*AN$7)+(((IF($A$8=Nutrients!$B$79,Nutrients!$DR$79,(IF($A$8=Nutrients!$B$77,Nutrients!$DR$77,Nutrients!$DR$78)))))*AN$8))/2000)</f>
        <v>0.18988432468136096</v>
      </c>
      <c r="AO259" s="23">
        <f>((SUMPRODUCT(AO$9:AO$229,Nutrients!$DR$8:$DR$228)+(IF($A$7=Nutrients!$B$8,Nutrients!$DR$8,Nutrients!$DR$9)*AO$7)+(((IF($A$8=Nutrients!$B$79,Nutrients!$DR$79,(IF($A$8=Nutrients!$B$77,Nutrients!$DR$77,Nutrients!$DR$78)))))*AO$8))/2000)</f>
        <v>0.18272986909517275</v>
      </c>
      <c r="AP259" s="23">
        <f>((SUMPRODUCT(AP$9:AP$229,Nutrients!$DR$8:$DR$228)+(IF($A$7=Nutrients!$B$8,Nutrients!$DR$8,Nutrients!$DR$9)*AP$7)+(((IF($A$8=Nutrients!$B$79,Nutrients!$DR$79,(IF($A$8=Nutrients!$B$77,Nutrients!$DR$77,Nutrients!$DR$78)))))*AP$8))/2000)</f>
        <v>0.17875993963602985</v>
      </c>
      <c r="AR259" s="23">
        <f>((SUMPRODUCT(AR$9:AR$229,Nutrients!$DR$8:$DR$228)+(IF($A$7=Nutrients!$B$8,Nutrients!$DR$8,Nutrients!$DR$9)*AR$7)+(((IF($A$8=Nutrients!$B$79,Nutrients!$DR$79,(IF($A$8=Nutrients!$B$77,Nutrients!$DR$77,Nutrients!$DR$78)))))*AR$8))/2000)</f>
        <v>0.29012369163179702</v>
      </c>
      <c r="AS259" s="23">
        <f>((SUMPRODUCT(AS$9:AS$229,Nutrients!$DR$8:$DR$228)+(IF($A$7=Nutrients!$B$8,Nutrients!$DR$8,Nutrients!$DR$9)*AS$7)+(((IF($A$8=Nutrients!$B$79,Nutrients!$DR$79,(IF($A$8=Nutrients!$B$77,Nutrients!$DR$77,Nutrients!$DR$78)))))*AS$8))/2000)</f>
        <v>0.25082898434559381</v>
      </c>
      <c r="AT259" s="23">
        <f>((SUMPRODUCT(AT$9:AT$229,Nutrients!$DR$8:$DR$228)+(IF($A$7=Nutrients!$B$8,Nutrients!$DR$8,Nutrients!$DR$9)*AT$7)+(((IF($A$8=Nutrients!$B$79,Nutrients!$DR$79,(IF($A$8=Nutrients!$B$77,Nutrients!$DR$77,Nutrients!$DR$78)))))*AT$8))/2000)</f>
        <v>0.21094622056853898</v>
      </c>
      <c r="AU259" s="23">
        <f>((SUMPRODUCT(AU$9:AU$229,Nutrients!$DR$8:$DR$228)+(IF($A$7=Nutrients!$B$8,Nutrients!$DR$8,Nutrients!$DR$9)*AU$7)+(((IF($A$8=Nutrients!$B$79,Nutrients!$DR$79,(IF($A$8=Nutrients!$B$77,Nutrients!$DR$77,Nutrients!$DR$78)))))*AU$8))/2000)</f>
        <v>0.20248488146998647</v>
      </c>
      <c r="AV259" s="23">
        <f>((SUMPRODUCT(AV$9:AV$229,Nutrients!$DR$8:$DR$228)+(IF($A$7=Nutrients!$B$8,Nutrients!$DR$8,Nutrients!$DR$9)*AV$7)+(((IF($A$8=Nutrients!$B$79,Nutrients!$DR$79,(IF($A$8=Nutrients!$B$77,Nutrients!$DR$77,Nutrients!$DR$78)))))*AV$8))/2000)</f>
        <v>0.1953302798325279</v>
      </c>
      <c r="AW259" s="23">
        <f>((SUMPRODUCT(AW$9:AW$229,Nutrients!$DR$8:$DR$228)+(IF($A$7=Nutrients!$B$8,Nutrients!$DR$8,Nutrients!$DR$9)*AW$7)+(((IF($A$8=Nutrients!$B$79,Nutrients!$DR$79,(IF($A$8=Nutrients!$B$77,Nutrients!$DR$77,Nutrients!$DR$78)))))*AW$8))/2000)</f>
        <v>0.19135974825002228</v>
      </c>
    </row>
    <row r="260" spans="1:59" x14ac:dyDescent="0.25">
      <c r="A260" s="431" t="s">
        <v>347</v>
      </c>
      <c r="B260" s="227">
        <f t="shared" ref="B260:G260" si="55">B259+0.11</f>
        <v>0.40000063647666451</v>
      </c>
      <c r="C260" s="227">
        <f t="shared" si="55"/>
        <v>0.35988069387487892</v>
      </c>
      <c r="D260" s="227">
        <f t="shared" si="55"/>
        <v>0.32060453785177029</v>
      </c>
      <c r="E260" s="227">
        <f t="shared" si="55"/>
        <v>0.29085065848336067</v>
      </c>
      <c r="F260" s="227">
        <f t="shared" si="55"/>
        <v>0.26971179439767601</v>
      </c>
      <c r="G260" s="227">
        <f t="shared" si="55"/>
        <v>0.25985099986346794</v>
      </c>
      <c r="H260" s="227"/>
      <c r="I260" s="232">
        <f t="shared" ref="I260:N260" si="56">I259+0.11</f>
        <v>0.40014809232506826</v>
      </c>
      <c r="J260" s="232">
        <f t="shared" si="56"/>
        <v>0.36085687289487001</v>
      </c>
      <c r="K260" s="232">
        <f t="shared" si="56"/>
        <v>0.32039974278228328</v>
      </c>
      <c r="L260" s="232">
        <f t="shared" si="56"/>
        <v>0.2912253489325991</v>
      </c>
      <c r="M260" s="232">
        <f t="shared" si="56"/>
        <v>0.27008645981230761</v>
      </c>
      <c r="N260" s="232">
        <f t="shared" si="56"/>
        <v>0.2602235825347205</v>
      </c>
      <c r="O260" s="238"/>
      <c r="P260" s="232">
        <f t="shared" ref="P260:U260" si="57">P259+0.11</f>
        <v>0.40052578331141758</v>
      </c>
      <c r="Q260" s="232">
        <f t="shared" si="57"/>
        <v>0.36123183005655535</v>
      </c>
      <c r="R260" s="232">
        <f t="shared" si="57"/>
        <v>0.32077188856544558</v>
      </c>
      <c r="S260" s="232">
        <f t="shared" si="57"/>
        <v>0.29159827429370366</v>
      </c>
      <c r="T260" s="232">
        <f t="shared" si="57"/>
        <v>0.27046115395472281</v>
      </c>
      <c r="U260" s="232">
        <f t="shared" si="57"/>
        <v>0.26059752495283217</v>
      </c>
      <c r="V260" s="382"/>
      <c r="W260" s="232">
        <f t="shared" ref="W260:AB260" si="58">W259+0.11</f>
        <v>0.39995668178300392</v>
      </c>
      <c r="X260" s="232">
        <f t="shared" si="58"/>
        <v>0.36065831986281893</v>
      </c>
      <c r="Y260" s="232">
        <f t="shared" si="58"/>
        <v>0.32019914611745426</v>
      </c>
      <c r="Z260" s="232">
        <f t="shared" si="58"/>
        <v>0.2910205630068694</v>
      </c>
      <c r="AA260" s="232">
        <f t="shared" si="58"/>
        <v>0.26987846247779868</v>
      </c>
      <c r="AB260" s="232">
        <f t="shared" si="58"/>
        <v>0.26356014590069282</v>
      </c>
      <c r="AC260" s="382"/>
      <c r="AD260" s="232">
        <f t="shared" ref="AD260:AI260" si="59">AD259+0.11</f>
        <v>0.39938338707198906</v>
      </c>
      <c r="AE260" s="232">
        <f t="shared" si="59"/>
        <v>0.36008677181643717</v>
      </c>
      <c r="AF260" s="232">
        <f t="shared" si="59"/>
        <v>0.3196214956684133</v>
      </c>
      <c r="AG260" s="232">
        <f t="shared" si="59"/>
        <v>0.29044036582387611</v>
      </c>
      <c r="AH260" s="232">
        <f t="shared" si="59"/>
        <v>0.28012944236266574</v>
      </c>
      <c r="AI260" s="232">
        <f t="shared" si="59"/>
        <v>0.27616012310206067</v>
      </c>
      <c r="AJ260" s="382"/>
      <c r="AK260" s="232">
        <f t="shared" ref="AK260:AP260" si="60">AK259+0.11</f>
        <v>0.39975631887698909</v>
      </c>
      <c r="AL260" s="232">
        <f t="shared" si="60"/>
        <v>0.3604582948037795</v>
      </c>
      <c r="AM260" s="232">
        <f t="shared" si="60"/>
        <v>0.31999508065995352</v>
      </c>
      <c r="AN260" s="232">
        <f t="shared" si="60"/>
        <v>0.29988432468136095</v>
      </c>
      <c r="AO260" s="232">
        <f t="shared" si="60"/>
        <v>0.29272986909517273</v>
      </c>
      <c r="AP260" s="232">
        <f t="shared" si="60"/>
        <v>0.28875993963602986</v>
      </c>
      <c r="AQ260" s="382"/>
      <c r="AR260" s="232">
        <f t="shared" ref="AR260:AW260" si="61">AR259+0.11</f>
        <v>0.40012369163179701</v>
      </c>
      <c r="AS260" s="232">
        <f t="shared" si="61"/>
        <v>0.3608289843455938</v>
      </c>
      <c r="AT260" s="232">
        <f t="shared" si="61"/>
        <v>0.320946220568539</v>
      </c>
      <c r="AU260" s="232">
        <f t="shared" si="61"/>
        <v>0.31248488146998649</v>
      </c>
      <c r="AV260" s="232">
        <f t="shared" si="61"/>
        <v>0.30533027983252792</v>
      </c>
      <c r="AW260" s="232">
        <f t="shared" si="61"/>
        <v>0.30135974825002226</v>
      </c>
      <c r="AX260" s="332"/>
    </row>
    <row r="261" spans="1:59" x14ac:dyDescent="0.25">
      <c r="A261" s="432" t="s">
        <v>142</v>
      </c>
      <c r="B261" s="227">
        <f t="shared" ref="B261:G261" si="62">B254/B255</f>
        <v>1.3203146685846132</v>
      </c>
      <c r="C261" s="227">
        <f t="shared" si="62"/>
        <v>1.3163186415313215</v>
      </c>
      <c r="D261" s="227">
        <f t="shared" si="62"/>
        <v>1.3468914379746515</v>
      </c>
      <c r="E261" s="227">
        <f t="shared" si="62"/>
        <v>1.3441772957085856</v>
      </c>
      <c r="F261" s="227">
        <f t="shared" si="62"/>
        <v>1.3289773113995034</v>
      </c>
      <c r="G261" s="227">
        <f t="shared" si="62"/>
        <v>1.3324500801018839</v>
      </c>
      <c r="H261" s="227"/>
      <c r="I261" s="232">
        <f t="shared" ref="I261:N261" si="63">I254/I255</f>
        <v>1.3223577442324317</v>
      </c>
      <c r="J261" s="232">
        <f t="shared" si="63"/>
        <v>1.3189699774114005</v>
      </c>
      <c r="K261" s="232">
        <f t="shared" si="63"/>
        <v>1.3490120255762561</v>
      </c>
      <c r="L261" s="232">
        <f t="shared" si="63"/>
        <v>1.3470498336475336</v>
      </c>
      <c r="M261" s="232">
        <f t="shared" si="63"/>
        <v>1.3333112816997457</v>
      </c>
      <c r="N261" s="232">
        <f t="shared" si="63"/>
        <v>1.3355512100403104</v>
      </c>
      <c r="O261" s="238"/>
      <c r="P261" s="232">
        <f t="shared" ref="P261:U261" si="64">P254/P255</f>
        <v>1.3243616088703729</v>
      </c>
      <c r="Q261" s="232">
        <f t="shared" si="64"/>
        <v>1.3216540367797553</v>
      </c>
      <c r="R261" s="232">
        <f t="shared" si="64"/>
        <v>1.3513927724029093</v>
      </c>
      <c r="S261" s="232">
        <f t="shared" si="64"/>
        <v>1.3496556897116012</v>
      </c>
      <c r="T261" s="232">
        <f t="shared" si="64"/>
        <v>1.3360952348809283</v>
      </c>
      <c r="U261" s="232">
        <f t="shared" si="64"/>
        <v>1.3384561690289623</v>
      </c>
      <c r="V261" s="382"/>
      <c r="W261" s="232">
        <f t="shared" ref="W261:AB261" si="65">W254/W255</f>
        <v>1.3272116046499811</v>
      </c>
      <c r="X261" s="232">
        <f t="shared" si="65"/>
        <v>1.3248410689069119</v>
      </c>
      <c r="Y261" s="232">
        <f t="shared" si="65"/>
        <v>1.3550397114866901</v>
      </c>
      <c r="Z261" s="232">
        <f t="shared" si="65"/>
        <v>1.3537155421548721</v>
      </c>
      <c r="AA261" s="232">
        <f t="shared" si="65"/>
        <v>1.3404915699116697</v>
      </c>
      <c r="AB261" s="232">
        <f t="shared" si="65"/>
        <v>1.3446888104728458</v>
      </c>
      <c r="AC261" s="382"/>
      <c r="AD261" s="232">
        <f t="shared" ref="AD261:AI261" si="66">AD254/AD255</f>
        <v>1.3301098810986212</v>
      </c>
      <c r="AE261" s="232">
        <f t="shared" si="66"/>
        <v>1.3280264793479952</v>
      </c>
      <c r="AF261" s="232">
        <f t="shared" si="66"/>
        <v>1.3587597870886361</v>
      </c>
      <c r="AG261" s="232">
        <f t="shared" si="66"/>
        <v>1.3591976769068608</v>
      </c>
      <c r="AH261" s="232">
        <f t="shared" si="66"/>
        <v>1.3500108555574402</v>
      </c>
      <c r="AI261" s="232">
        <f t="shared" si="66"/>
        <v>1.3573603170094664</v>
      </c>
      <c r="AJ261" s="382"/>
      <c r="AK261" s="232">
        <f t="shared" ref="AK261:AP261" si="67">AK254/AK255</f>
        <v>1.3320294469149694</v>
      </c>
      <c r="AL261" s="232">
        <f t="shared" si="67"/>
        <v>1.3301633688790153</v>
      </c>
      <c r="AM261" s="232">
        <f t="shared" si="67"/>
        <v>1.3611438508122751</v>
      </c>
      <c r="AN261" s="232">
        <f t="shared" si="67"/>
        <v>1.3644897644887017</v>
      </c>
      <c r="AO261" s="232">
        <f t="shared" si="67"/>
        <v>1.3617621236471467</v>
      </c>
      <c r="AP261" s="232">
        <f t="shared" si="67"/>
        <v>1.3691277995751674</v>
      </c>
      <c r="AQ261" s="382"/>
      <c r="AR261" s="232">
        <f t="shared" ref="AR261:AW261" si="68">AR254/AR255</f>
        <v>1.3339968766946273</v>
      </c>
      <c r="AS261" s="232">
        <f t="shared" si="68"/>
        <v>1.3323094940796329</v>
      </c>
      <c r="AT261" s="232">
        <f t="shared" si="68"/>
        <v>1.3641526037019485</v>
      </c>
      <c r="AU261" s="232">
        <f t="shared" si="68"/>
        <v>1.3755424908517067</v>
      </c>
      <c r="AV261" s="232">
        <f t="shared" si="68"/>
        <v>1.3727171726466441</v>
      </c>
      <c r="AW261" s="232">
        <f t="shared" si="68"/>
        <v>1.3800825756186683</v>
      </c>
      <c r="AX261" s="332"/>
    </row>
    <row r="262" spans="1:59" x14ac:dyDescent="0.25">
      <c r="A262" s="432" t="s">
        <v>477</v>
      </c>
      <c r="B262" s="227">
        <f t="shared" ref="B262:G262" si="69">B254/B260</f>
        <v>1.7394731864174733</v>
      </c>
      <c r="C262" s="227">
        <f t="shared" si="69"/>
        <v>1.7393882664224269</v>
      </c>
      <c r="D262" s="227">
        <f t="shared" si="69"/>
        <v>1.790040346909656</v>
      </c>
      <c r="E262" s="227">
        <f t="shared" si="69"/>
        <v>1.7897511861126985</v>
      </c>
      <c r="F262" s="227">
        <f t="shared" si="69"/>
        <v>1.7685135744736544</v>
      </c>
      <c r="G262" s="227">
        <f t="shared" si="69"/>
        <v>1.770331325323067</v>
      </c>
      <c r="H262" s="227"/>
      <c r="I262" s="232">
        <f t="shared" ref="I262:N262" si="70">I254/I260</f>
        <v>1.7402281569503373</v>
      </c>
      <c r="J262" s="232">
        <f t="shared" si="70"/>
        <v>1.7400922212664098</v>
      </c>
      <c r="K262" s="232">
        <f t="shared" si="70"/>
        <v>1.7906273939297856</v>
      </c>
      <c r="L262" s="232">
        <f t="shared" si="70"/>
        <v>1.7905488064720849</v>
      </c>
      <c r="M262" s="232">
        <f t="shared" si="70"/>
        <v>1.7710524717081941</v>
      </c>
      <c r="N262" s="232">
        <f t="shared" si="70"/>
        <v>1.771077209410598</v>
      </c>
      <c r="O262" s="238"/>
      <c r="P262" s="232">
        <f>P254/P260</f>
        <v>1.7407396745307142</v>
      </c>
      <c r="Q262" s="232">
        <f t="shared" ref="Q262:U262" si="71">Q254/Q260</f>
        <v>1.7412577416035535</v>
      </c>
      <c r="R262" s="232">
        <f t="shared" si="71"/>
        <v>1.791015904559168</v>
      </c>
      <c r="S262" s="232">
        <f t="shared" si="71"/>
        <v>1.7909713682258248</v>
      </c>
      <c r="T262" s="232">
        <f t="shared" si="71"/>
        <v>1.7715230356345777</v>
      </c>
      <c r="U262" s="232">
        <f t="shared" si="71"/>
        <v>1.7715707995459296</v>
      </c>
      <c r="V262" s="382"/>
      <c r="W262" s="232">
        <f t="shared" ref="W262:AB262" si="72">W254/W260</f>
        <v>1.7429430694914569</v>
      </c>
      <c r="X262" s="232">
        <f t="shared" si="72"/>
        <v>1.7437239291592328</v>
      </c>
      <c r="Y262" s="232">
        <f t="shared" si="72"/>
        <v>1.7938784200875411</v>
      </c>
      <c r="Z262" s="232">
        <f t="shared" si="72"/>
        <v>1.794152219803542</v>
      </c>
      <c r="AA262" s="232">
        <f t="shared" si="72"/>
        <v>1.7749450405490406</v>
      </c>
      <c r="AB262" s="232">
        <f t="shared" si="72"/>
        <v>1.7736059133086914</v>
      </c>
      <c r="AC262" s="382"/>
      <c r="AD262" s="232">
        <f t="shared" ref="AD262:AI262" si="73">AD254/AD260</f>
        <v>1.7451715833908215</v>
      </c>
      <c r="AE262" s="232">
        <f t="shared" si="73"/>
        <v>1.7461881890561919</v>
      </c>
      <c r="AF262" s="232">
        <f t="shared" si="73"/>
        <v>1.7967795407417382</v>
      </c>
      <c r="AG262" s="232">
        <f t="shared" si="73"/>
        <v>1.7991724896320795</v>
      </c>
      <c r="AH262" s="232">
        <f t="shared" si="73"/>
        <v>1.7743717763594851</v>
      </c>
      <c r="AI262" s="232">
        <f t="shared" si="73"/>
        <v>1.7747480781473195</v>
      </c>
      <c r="AJ262" s="382"/>
      <c r="AK262" s="232">
        <f t="shared" ref="AK262:AP262" si="74">AK254/AK260</f>
        <v>1.7455221195196597</v>
      </c>
      <c r="AL262" s="232">
        <f t="shared" si="74"/>
        <v>1.7465829069365384</v>
      </c>
      <c r="AM262" s="232">
        <f t="shared" si="74"/>
        <v>1.7971535370877374</v>
      </c>
      <c r="AN262" s="232">
        <f t="shared" si="74"/>
        <v>1.7945714837565727</v>
      </c>
      <c r="AO262" s="232">
        <f t="shared" si="74"/>
        <v>1.7753550444944202</v>
      </c>
      <c r="AP262" s="232">
        <f t="shared" si="74"/>
        <v>1.7757970556264111</v>
      </c>
      <c r="AQ262" s="382"/>
      <c r="AR262" s="232">
        <f t="shared" ref="AR262:AW262" si="75">AR254/AR260</f>
        <v>1.7458969422643476</v>
      </c>
      <c r="AS262" s="232">
        <f t="shared" si="75"/>
        <v>1.7469809608936568</v>
      </c>
      <c r="AT262" s="232">
        <f t="shared" si="75"/>
        <v>1.7977644105679353</v>
      </c>
      <c r="AU262" s="232">
        <f t="shared" si="75"/>
        <v>1.7953773492557348</v>
      </c>
      <c r="AV262" s="232">
        <f t="shared" si="75"/>
        <v>1.7762622219561162</v>
      </c>
      <c r="AW262" s="232">
        <f t="shared" si="75"/>
        <v>1.776762371363233</v>
      </c>
      <c r="AX262" s="332"/>
    </row>
    <row r="263" spans="1:59" x14ac:dyDescent="0.25">
      <c r="A263" t="s">
        <v>20</v>
      </c>
      <c r="B263" s="229">
        <f>(SUMPRODUCT(B$9:B$229,Nutrients!$DX$8:$DX$228)+(IF($A$7=Nutrients!$B$8,Nutrients!$DX$8,Nutrients!$DX$9)*B$7)+(((IF($A$8=Nutrients!$B$79,Nutrients!$DX$79,(IF($A$8=Nutrients!$B$77,Nutrients!$DX$77,Nutrients!$DX$78)))))*B$8))</f>
        <v>221.26773173804173</v>
      </c>
      <c r="C263" s="229">
        <f>(SUMPRODUCT(C$9:C$229,Nutrients!$DX$8:$DX$228)+(IF($A$7=Nutrients!$B$8,Nutrients!$DX$8,Nutrients!$DX$9)*C$7)+(((IF($A$8=Nutrients!$B$79,Nutrients!$DX$79,(IF($A$8=Nutrients!$B$77,Nutrients!$DX$77,Nutrients!$DX$78)))))*C$8))</f>
        <v>211.54330280629557</v>
      </c>
      <c r="D263" s="229">
        <f>(SUMPRODUCT(D$9:D$229,Nutrients!$DX$8:$DX$228)+(IF($A$7=Nutrients!$B$8,Nutrients!$DX$8,Nutrients!$DX$9)*D$7)+(((IF($A$8=Nutrients!$B$79,Nutrients!$DX$79,(IF($A$8=Nutrients!$B$77,Nutrients!$DX$77,Nutrients!$DX$78)))))*D$8))</f>
        <v>202.16843206547495</v>
      </c>
      <c r="E263" s="229">
        <f>(SUMPRODUCT(E$9:E$229,Nutrients!$DX$8:$DX$228)+(IF($A$7=Nutrients!$B$8,Nutrients!$DX$8,Nutrients!$DX$9)*E$7)+(((IF($A$8=Nutrients!$B$79,Nutrients!$DX$79,(IF($A$8=Nutrients!$B$77,Nutrients!$DX$77,Nutrients!$DX$78)))))*E$8))</f>
        <v>195.22426532952818</v>
      </c>
      <c r="F263" s="229">
        <f>(SUMPRODUCT(F$9:F$229,Nutrients!$DX$8:$DX$228)+(IF($A$7=Nutrients!$B$8,Nutrients!$DX$8,Nutrients!$DX$9)*F$7)+(((IF($A$8=Nutrients!$B$79,Nutrients!$DX$79,(IF($A$8=Nutrients!$B$77,Nutrients!$DX$77,Nutrients!$DX$78)))))*F$8))</f>
        <v>190.24981497998971</v>
      </c>
      <c r="G263" s="229">
        <f>(SUMPRODUCT(G$9:G$229,Nutrients!$DX$8:$DX$228)+(IF($A$7=Nutrients!$B$8,Nutrients!$DX$8,Nutrients!$DX$9)*G$7)+(((IF($A$8=Nutrients!$B$79,Nutrients!$DX$79,(IF($A$8=Nutrients!$B$77,Nutrients!$DX$77,Nutrients!$DX$78)))))*G$8))</f>
        <v>187.92809138061614</v>
      </c>
      <c r="H263" s="229"/>
      <c r="I263" s="229">
        <f>(SUMPRODUCT(I$9:I$229,Nutrients!$DX$8:$DX$228)+(IF($A$7=Nutrients!$B$8,Nutrients!$DX$8,Nutrients!$DX$9)*I$7)+(((IF($A$8=Nutrients!$B$79,Nutrients!$DX$79,(IF($A$8=Nutrients!$B$77,Nutrients!$DX$77,Nutrients!$DX$78)))))*I$8))</f>
        <v>222.98298841495034</v>
      </c>
      <c r="J263" s="229">
        <f>(SUMPRODUCT(J$9:J$229,Nutrients!$DX$8:$DX$228)+(IF($A$7=Nutrients!$B$8,Nutrients!$DX$8,Nutrients!$DX$9)*J$7)+(((IF($A$8=Nutrients!$B$79,Nutrients!$DX$79,(IF($A$8=Nutrients!$B$77,Nutrients!$DX$77,Nutrients!$DX$78)))))*J$8))</f>
        <v>213.40886111904834</v>
      </c>
      <c r="K263" s="229">
        <f>(SUMPRODUCT(K$9:K$229,Nutrients!$DX$8:$DX$228)+(IF($A$7=Nutrients!$B$8,Nutrients!$DX$8,Nutrients!$DX$9)*K$7)+(((IF($A$8=Nutrients!$B$79,Nutrients!$DX$79,(IF($A$8=Nutrients!$B$77,Nutrients!$DX$77,Nutrients!$DX$78)))))*K$8))</f>
        <v>204.14329773141259</v>
      </c>
      <c r="L263" s="229">
        <f>(SUMPRODUCT(L$9:L$229,Nutrients!$DX$8:$DX$228)+(IF($A$7=Nutrients!$B$8,Nutrients!$DX$8,Nutrients!$DX$9)*L$7)+(((IF($A$8=Nutrients!$B$79,Nutrients!$DX$79,(IF($A$8=Nutrients!$B$77,Nutrients!$DX$77,Nutrients!$DX$78)))))*L$8))</f>
        <v>197.14946765440774</v>
      </c>
      <c r="M263" s="229">
        <f>(SUMPRODUCT(M$9:M$229,Nutrients!$DX$8:$DX$228)+(IF($A$7=Nutrients!$B$8,Nutrients!$DX$8,Nutrients!$DX$9)*M$7)+(((IF($A$8=Nutrients!$B$79,Nutrients!$DX$79,(IF($A$8=Nutrients!$B$77,Nutrients!$DX$77,Nutrients!$DX$78)))))*M$8))</f>
        <v>192.10045605409829</v>
      </c>
      <c r="N263" s="229">
        <f>(SUMPRODUCT(N$9:N$229,Nutrients!$DX$8:$DX$228)+(IF($A$7=Nutrients!$B$8,Nutrients!$DX$8,Nutrients!$DX$9)*N$7)+(((IF($A$8=Nutrients!$B$79,Nutrients!$DX$79,(IF($A$8=Nutrients!$B$77,Nutrients!$DX$77,Nutrients!$DX$78)))))*N$8))</f>
        <v>189.94839260083381</v>
      </c>
      <c r="O263" s="236"/>
      <c r="P263" s="229">
        <f>(SUMPRODUCT(P$9:P$229,Nutrients!$DX$8:$DX$228)+(IF($A$7=Nutrients!$B$8,Nutrients!$DX$8,Nutrients!$DX$9)*P$7)+(((IF($A$8=Nutrients!$B$79,Nutrients!$DX$79,(IF($A$8=Nutrients!$B$77,Nutrients!$DX$77,Nutrients!$DX$78)))))*P$8))</f>
        <v>224.84626453349327</v>
      </c>
      <c r="Q263" s="229">
        <f>(SUMPRODUCT(Q$9:Q$229,Nutrients!$DX$8:$DX$228)+(IF($A$7=Nutrients!$B$8,Nutrients!$DX$8,Nutrients!$DX$9)*Q$7)+(((IF($A$8=Nutrients!$B$79,Nutrients!$DX$79,(IF($A$8=Nutrients!$B$77,Nutrients!$DX$77,Nutrients!$DX$78)))))*Q$8))</f>
        <v>215.35260787079329</v>
      </c>
      <c r="R263" s="229">
        <f>(SUMPRODUCT(R$9:R$229,Nutrients!$DX$8:$DX$228)+(IF($A$7=Nutrients!$B$8,Nutrients!$DX$8,Nutrients!$DX$9)*R$7)+(((IF($A$8=Nutrients!$B$79,Nutrients!$DX$79,(IF($A$8=Nutrients!$B$77,Nutrients!$DX$77,Nutrients!$DX$78)))))*R$8))</f>
        <v>206.17290590790762</v>
      </c>
      <c r="S263" s="229">
        <f>(SUMPRODUCT(S$9:S$229,Nutrients!$DX$8:$DX$228)+(IF($A$7=Nutrients!$B$8,Nutrients!$DX$8,Nutrients!$DX$9)*S$7)+(((IF($A$8=Nutrients!$B$79,Nutrients!$DX$79,(IF($A$8=Nutrients!$B$77,Nutrients!$DX$77,Nutrients!$DX$78)))))*S$8))</f>
        <v>199.19797255248346</v>
      </c>
      <c r="T263" s="229">
        <f>(SUMPRODUCT(T$9:T$229,Nutrients!$DX$8:$DX$228)+(IF($A$7=Nutrients!$B$8,Nutrients!$DX$8,Nutrients!$DX$9)*T$7)+(((IF($A$8=Nutrients!$B$79,Nutrients!$DX$79,(IF($A$8=Nutrients!$B$77,Nutrients!$DX$77,Nutrients!$DX$78)))))*T$8))</f>
        <v>194.0515106615627</v>
      </c>
      <c r="U263" s="229">
        <f>(SUMPRODUCT(U$9:U$229,Nutrients!$DX$8:$DX$228)+(IF($A$7=Nutrients!$B$8,Nutrients!$DX$8,Nutrients!$DX$9)*U$7)+(((IF($A$8=Nutrients!$B$79,Nutrients!$DX$79,(IF($A$8=Nutrients!$B$77,Nutrients!$DX$77,Nutrients!$DX$78)))))*U$8))</f>
        <v>191.89217932670627</v>
      </c>
      <c r="W263" s="229">
        <f>(SUMPRODUCT(W$9:W$229,Nutrients!$DX$8:$DX$228)+(IF($A$7=Nutrients!$B$8,Nutrients!$DX$8,Nutrients!$DX$9)*W$7)+(((IF($A$8=Nutrients!$B$79,Nutrients!$DX$79,(IF($A$8=Nutrients!$B$77,Nutrients!$DX$77,Nutrients!$DX$78)))))*W$8))</f>
        <v>226.68237325563888</v>
      </c>
      <c r="X263" s="229">
        <f>(SUMPRODUCT(X$9:X$229,Nutrients!$DX$8:$DX$228)+(IF($A$7=Nutrients!$B$8,Nutrients!$DX$8,Nutrients!$DX$9)*X$7)+(((IF($A$8=Nutrients!$B$79,Nutrients!$DX$79,(IF($A$8=Nutrients!$B$77,Nutrients!$DX$77,Nutrients!$DX$78)))))*X$8))</f>
        <v>217.34035854218695</v>
      </c>
      <c r="Y263" s="229">
        <f>(SUMPRODUCT(Y$9:Y$229,Nutrients!$DX$8:$DX$228)+(IF($A$7=Nutrients!$B$8,Nutrients!$DX$8,Nutrients!$DX$9)*Y$7)+(((IF($A$8=Nutrients!$B$79,Nutrients!$DX$79,(IF($A$8=Nutrients!$B$77,Nutrients!$DX$77,Nutrients!$DX$78)))))*Y$8))</f>
        <v>208.18429007658008</v>
      </c>
      <c r="Z263" s="229">
        <f>(SUMPRODUCT(Z$9:Z$229,Nutrients!$DX$8:$DX$228)+(IF($A$7=Nutrients!$B$8,Nutrients!$DX$8,Nutrients!$DX$9)*Z$7)+(((IF($A$8=Nutrients!$B$79,Nutrients!$DX$79,(IF($A$8=Nutrients!$B$77,Nutrients!$DX$77,Nutrients!$DX$78)))))*Z$8))</f>
        <v>201.38333503514014</v>
      </c>
      <c r="AA263" s="229">
        <f>(SUMPRODUCT(AA$9:AA$229,Nutrients!$DX$8:$DX$228)+(IF($A$7=Nutrients!$B$8,Nutrients!$DX$8,Nutrients!$DX$9)*AA$7)+(((IF($A$8=Nutrients!$B$79,Nutrients!$DX$79,(IF($A$8=Nutrients!$B$77,Nutrients!$DX$77,Nutrients!$DX$78)))))*AA$8))</f>
        <v>196.45354630646318</v>
      </c>
      <c r="AB263" s="229">
        <f>(SUMPRODUCT(AB$9:AB$229,Nutrients!$DX$8:$DX$228)+(IF($A$7=Nutrients!$B$8,Nutrients!$DX$8,Nutrients!$DX$9)*AB$7)+(((IF($A$8=Nutrients!$B$79,Nutrients!$DX$79,(IF($A$8=Nutrients!$B$77,Nutrients!$DX$77,Nutrients!$DX$78)))))*AB$8))</f>
        <v>194.46396989291478</v>
      </c>
      <c r="AD263" s="229">
        <f>(SUMPRODUCT(AD$9:AD$229,Nutrients!$DX$8:$DX$228)+(IF($A$7=Nutrients!$B$8,Nutrients!$DX$8,Nutrients!$DX$9)*AD$7)+(((IF($A$8=Nutrients!$B$79,Nutrients!$DX$79,(IF($A$8=Nutrients!$B$77,Nutrients!$DX$77,Nutrients!$DX$78)))))*AD$8))</f>
        <v>228.62650434431652</v>
      </c>
      <c r="AE263" s="229">
        <f>(SUMPRODUCT(AE$9:AE$229,Nutrients!$DX$8:$DX$228)+(IF($A$7=Nutrients!$B$8,Nutrients!$DX$8,Nutrients!$DX$9)*AE$7)+(((IF($A$8=Nutrients!$B$79,Nutrients!$DX$79,(IF($A$8=Nutrients!$B$77,Nutrients!$DX$77,Nutrients!$DX$78)))))*AE$8))</f>
        <v>219.24641855773618</v>
      </c>
      <c r="AF263" s="229">
        <f>(SUMPRODUCT(AF$9:AF$229,Nutrients!$DX$8:$DX$228)+(IF($A$7=Nutrients!$B$8,Nutrients!$DX$8,Nutrients!$DX$9)*AF$7)+(((IF($A$8=Nutrients!$B$79,Nutrients!$DX$79,(IF($A$8=Nutrients!$B$77,Nutrients!$DX$77,Nutrients!$DX$78)))))*AF$8))</f>
        <v>210.36908240184468</v>
      </c>
      <c r="AG263" s="229">
        <f>(SUMPRODUCT(AG$9:AG$229,Nutrients!$DX$8:$DX$228)+(IF($A$7=Nutrients!$B$8,Nutrients!$DX$8,Nutrients!$DX$9)*AG$7)+(((IF($A$8=Nutrients!$B$79,Nutrients!$DX$79,(IF($A$8=Nutrients!$B$77,Nutrients!$DX$77,Nutrients!$DX$78)))))*AG$8))</f>
        <v>203.64004596167302</v>
      </c>
      <c r="AH263" s="229">
        <f>(SUMPRODUCT(AH$9:AH$229,Nutrients!$DX$8:$DX$228)+(IF($A$7=Nutrients!$B$8,Nutrients!$DX$8,Nutrients!$DX$9)*AH$7)+(((IF($A$8=Nutrients!$B$79,Nutrients!$DX$79,(IF($A$8=Nutrients!$B$77,Nutrients!$DX$77,Nutrients!$DX$78)))))*AH$8))</f>
        <v>199.39956894727004</v>
      </c>
      <c r="AI263" s="229">
        <f>(SUMPRODUCT(AI$9:AI$229,Nutrients!$DX$8:$DX$228)+(IF($A$7=Nutrients!$B$8,Nutrients!$DX$8,Nutrients!$DX$9)*AI$7)+(((IF($A$8=Nutrients!$B$79,Nutrients!$DX$79,(IF($A$8=Nutrients!$B$77,Nutrients!$DX$77,Nutrients!$DX$78)))))*AI$8))</f>
        <v>197.56364871994049</v>
      </c>
      <c r="AK263" s="229">
        <f>(SUMPRODUCT(AK$9:AK$229,Nutrients!$DX$8:$DX$228)+(IF($A$7=Nutrients!$B$8,Nutrients!$DX$8,Nutrients!$DX$9)*AK$7)+(((IF($A$8=Nutrients!$B$79,Nutrients!$DX$79,(IF($A$8=Nutrients!$B$77,Nutrients!$DX$77,Nutrients!$DX$78)))))*AK$8))</f>
        <v>230.61023122079018</v>
      </c>
      <c r="AL263" s="229">
        <f>(SUMPRODUCT(AL$9:AL$229,Nutrients!$DX$8:$DX$228)+(IF($A$7=Nutrients!$B$8,Nutrients!$DX$8,Nutrients!$DX$9)*AL$7)+(((IF($A$8=Nutrients!$B$79,Nutrients!$DX$79,(IF($A$8=Nutrients!$B$77,Nutrients!$DX$77,Nutrients!$DX$78)))))*AL$8))</f>
        <v>221.28480281930928</v>
      </c>
      <c r="AM263" s="229">
        <f>(SUMPRODUCT(AM$9:AM$229,Nutrients!$DX$8:$DX$228)+(IF($A$7=Nutrients!$B$8,Nutrients!$DX$8,Nutrients!$DX$9)*AM$7)+(((IF($A$8=Nutrients!$B$79,Nutrients!$DX$79,(IF($A$8=Nutrients!$B$77,Nutrients!$DX$77,Nutrients!$DX$78)))))*AM$8))</f>
        <v>212.41476612880837</v>
      </c>
      <c r="AN263" s="229">
        <f>(SUMPRODUCT(AN$9:AN$229,Nutrients!$DX$8:$DX$228)+(IF($A$7=Nutrients!$B$8,Nutrients!$DX$8,Nutrients!$DX$9)*AN$7)+(((IF($A$8=Nutrients!$B$79,Nutrients!$DX$79,(IF($A$8=Nutrients!$B$77,Nutrients!$DX$77,Nutrients!$DX$78)))))*AN$8))</f>
        <v>206.50844110970621</v>
      </c>
      <c r="AO263" s="229">
        <f>(SUMPRODUCT(AO$9:AO$229,Nutrients!$DX$8:$DX$228)+(IF($A$7=Nutrients!$B$8,Nutrients!$DX$8,Nutrients!$DX$9)*AO$7)+(((IF($A$8=Nutrients!$B$79,Nutrients!$DX$79,(IF($A$8=Nutrients!$B$77,Nutrients!$DX$77,Nutrients!$DX$78)))))*AO$8))</f>
        <v>202.49535190626858</v>
      </c>
      <c r="AP263" s="229">
        <f>(SUMPRODUCT(AP$9:AP$229,Nutrients!$DX$8:$DX$228)+(IF($A$7=Nutrients!$B$8,Nutrients!$DX$8,Nutrients!$DX$9)*AP$7)+(((IF($A$8=Nutrients!$B$79,Nutrients!$DX$79,(IF($A$8=Nutrients!$B$77,Nutrients!$DX$77,Nutrients!$DX$78)))))*AP$8))</f>
        <v>200.66480401398059</v>
      </c>
      <c r="AR263" s="229">
        <f>(SUMPRODUCT(AR$9:AR$229,Nutrients!$DX$8:$DX$228)+(IF($A$7=Nutrients!$B$8,Nutrients!$DX$8,Nutrients!$DX$9)*AR$7)+(((IF($A$8=Nutrients!$B$79,Nutrients!$DX$79,(IF($A$8=Nutrients!$B$77,Nutrients!$DX$77,Nutrients!$DX$78)))))*AR$8))</f>
        <v>232.668799124987</v>
      </c>
      <c r="AS263" s="229">
        <f>(SUMPRODUCT(AS$9:AS$229,Nutrients!$DX$8:$DX$228)+(IF($A$7=Nutrients!$B$8,Nutrients!$DX$8,Nutrients!$DX$9)*AS$7)+(((IF($A$8=Nutrients!$B$79,Nutrients!$DX$79,(IF($A$8=Nutrients!$B$77,Nutrients!$DX$77,Nutrients!$DX$78)))))*AS$8))</f>
        <v>223.4250681462434</v>
      </c>
      <c r="AT263" s="229">
        <f>(SUMPRODUCT(AT$9:AT$229,Nutrients!$DX$8:$DX$228)+(IF($A$7=Nutrients!$B$8,Nutrients!$DX$8,Nutrients!$DX$9)*AT$7)+(((IF($A$8=Nutrients!$B$79,Nutrients!$DX$79,(IF($A$8=Nutrients!$B$77,Nutrients!$DX$77,Nutrients!$DX$78)))))*AT$8))</f>
        <v>214.86073951707016</v>
      </c>
      <c r="AU263" s="229">
        <f>(SUMPRODUCT(AU$9:AU$229,Nutrients!$DX$8:$DX$228)+(IF($A$7=Nutrients!$B$8,Nutrients!$DX$8,Nutrients!$DX$9)*AU$7)+(((IF($A$8=Nutrients!$B$79,Nutrients!$DX$79,(IF($A$8=Nutrients!$B$77,Nutrients!$DX$77,Nutrients!$DX$78)))))*AU$8))</f>
        <v>209.5989540111882</v>
      </c>
      <c r="AV263" s="229">
        <f>(SUMPRODUCT(AV$9:AV$229,Nutrients!$DX$8:$DX$228)+(IF($A$7=Nutrients!$B$8,Nutrients!$DX$8,Nutrients!$DX$9)*AV$7)+(((IF($A$8=Nutrients!$B$79,Nutrients!$DX$79,(IF($A$8=Nutrients!$B$77,Nutrients!$DX$77,Nutrients!$DX$78)))))*AV$8))</f>
        <v>205.59125667011466</v>
      </c>
      <c r="AW263" s="229">
        <f>(SUMPRODUCT(AW$9:AW$229,Nutrients!$DX$8:$DX$228)+(IF($A$7=Nutrients!$B$8,Nutrients!$DX$8,Nutrients!$DX$9)*AW$7)+(((IF($A$8=Nutrients!$B$79,Nutrients!$DX$79,(IF($A$8=Nutrients!$B$77,Nutrients!$DX$77,Nutrients!$DX$78)))))*AW$8))</f>
        <v>203.76601117723871</v>
      </c>
    </row>
    <row r="264" spans="1:59" x14ac:dyDescent="0.25">
      <c r="A264" t="s">
        <v>21</v>
      </c>
      <c r="B264" s="25">
        <f>IF(B$5="","",B263+Nutrients!$DV$5)</f>
        <v>233.26773173804173</v>
      </c>
      <c r="C264" s="25">
        <f>IF(C$5="","",C263+Nutrients!$DV$5)</f>
        <v>223.54330280629557</v>
      </c>
      <c r="D264" s="25">
        <f>IF(D$5="","",D263+Nutrients!$DV$5)</f>
        <v>214.16843206547495</v>
      </c>
      <c r="E264" s="25">
        <f>IF(E$5="","",E263+Nutrients!$DV$5)</f>
        <v>207.22426532952818</v>
      </c>
      <c r="F264" s="25">
        <f>IF(F$5="","",F263+Nutrients!$DV$5)</f>
        <v>202.24981497998971</v>
      </c>
      <c r="G264" s="25">
        <f>IF(G$5="","",G263+Nutrients!$DV$5)</f>
        <v>199.92809138061614</v>
      </c>
      <c r="H264" s="230"/>
      <c r="I264" s="25">
        <f>IF(I$5="","",I263+Nutrients!$DV$5)</f>
        <v>234.98298841495034</v>
      </c>
      <c r="J264" s="25">
        <f>IF(J$5="","",J263+Nutrients!$DV$5)</f>
        <v>225.40886111904834</v>
      </c>
      <c r="K264" s="25">
        <f>IF(K$5="","",K263+Nutrients!$DV$5)</f>
        <v>216.14329773141259</v>
      </c>
      <c r="L264" s="25">
        <f>IF(L$5="","",L263+Nutrients!$DV$5)</f>
        <v>209.14946765440774</v>
      </c>
      <c r="M264" s="25">
        <f>IF(M$5="","",M263+Nutrients!$DV$5)</f>
        <v>204.10045605409829</v>
      </c>
      <c r="N264" s="25">
        <f>IF(N$5="","",N263+Nutrients!$DV$5)</f>
        <v>201.94839260083381</v>
      </c>
      <c r="O264" s="199"/>
      <c r="P264" s="25">
        <f>IF(P$5="","",P263+Nutrients!$DV$5)</f>
        <v>236.84626453349327</v>
      </c>
      <c r="Q264" s="25">
        <f>IF(Q$5="","",Q263+Nutrients!$DV$5)</f>
        <v>227.35260787079329</v>
      </c>
      <c r="R264" s="25">
        <f>IF(R$5="","",R263+Nutrients!$DV$5)</f>
        <v>218.17290590790762</v>
      </c>
      <c r="S264" s="25">
        <f>IF(S$5="","",S263+Nutrients!$DV$5)</f>
        <v>211.19797255248346</v>
      </c>
      <c r="T264" s="25">
        <f>IF(T$5="","",T263+Nutrients!$DV$5)</f>
        <v>206.0515106615627</v>
      </c>
      <c r="U264" s="25">
        <f>IF(U$5="","",U263+Nutrients!$DV$5)</f>
        <v>203.89217932670627</v>
      </c>
      <c r="W264" s="25">
        <f>IF(W$5="","",W263+Nutrients!$DV$5)</f>
        <v>238.68237325563888</v>
      </c>
      <c r="X264" s="25">
        <f>IF(X$5="","",X263+Nutrients!$DV$5)</f>
        <v>229.34035854218695</v>
      </c>
      <c r="Y264" s="25">
        <f>IF(Y$5="","",Y263+Nutrients!$DV$5)</f>
        <v>220.18429007658008</v>
      </c>
      <c r="Z264" s="25">
        <f>IF(Z$5="","",Z263+Nutrients!$DV$5)</f>
        <v>213.38333503514014</v>
      </c>
      <c r="AA264" s="25">
        <f>IF(AA$5="","",AA263+Nutrients!$DV$5)</f>
        <v>208.45354630646318</v>
      </c>
      <c r="AB264" s="25">
        <f>IF(AB$5="","",AB263+Nutrients!$DV$5)</f>
        <v>206.46396989291478</v>
      </c>
      <c r="AD264" s="25">
        <f>IF(AD$5="","",AD263+Nutrients!$DV$5)</f>
        <v>240.62650434431652</v>
      </c>
      <c r="AE264" s="25">
        <f>IF(AE$5="","",AE263+Nutrients!$DV$5)</f>
        <v>231.24641855773618</v>
      </c>
      <c r="AF264" s="25">
        <f>IF(AF$5="","",AF263+Nutrients!$DV$5)</f>
        <v>222.36908240184468</v>
      </c>
      <c r="AG264" s="25">
        <f>IF(AG$5="","",AG263+Nutrients!$DV$5)</f>
        <v>215.64004596167302</v>
      </c>
      <c r="AH264" s="25">
        <f>IF(AH$5="","",AH263+Nutrients!$DV$5)</f>
        <v>211.39956894727004</v>
      </c>
      <c r="AI264" s="25">
        <f>IF(AI$5="","",AI263+Nutrients!$DV$5)</f>
        <v>209.56364871994049</v>
      </c>
      <c r="AK264" s="25">
        <f>IF(AK$5="","",AK263+Nutrients!$DV$5)</f>
        <v>242.61023122079018</v>
      </c>
      <c r="AL264" s="25">
        <f>IF(AL$5="","",AL263+Nutrients!$DV$5)</f>
        <v>233.28480281930928</v>
      </c>
      <c r="AM264" s="25">
        <f>IF(AM$5="","",AM263+Nutrients!$DV$5)</f>
        <v>224.41476612880837</v>
      </c>
      <c r="AN264" s="25">
        <f>IF(AN$5="","",AN263+Nutrients!$DV$5)</f>
        <v>218.50844110970621</v>
      </c>
      <c r="AO264" s="25">
        <f>IF(AO$5="","",AO263+Nutrients!$DV$5)</f>
        <v>214.49535190626858</v>
      </c>
      <c r="AP264" s="25">
        <f>IF(AP$5="","",AP263+Nutrients!$DV$5)</f>
        <v>212.66480401398059</v>
      </c>
      <c r="AR264" s="25">
        <f>IF(AR$5="","",AR263+Nutrients!$DV$5)</f>
        <v>244.668799124987</v>
      </c>
      <c r="AS264" s="25">
        <f>IF(AS$5="","",AS263+Nutrients!$DV$5)</f>
        <v>235.4250681462434</v>
      </c>
      <c r="AT264" s="25">
        <f>IF(AT$5="","",AT263+Nutrients!$DV$5)</f>
        <v>226.86073951707016</v>
      </c>
      <c r="AU264" s="25">
        <f>IF(AU$5="","",AU263+Nutrients!$DV$5)</f>
        <v>221.5989540111882</v>
      </c>
      <c r="AV264" s="25">
        <f>IF(AV$5="","",AV263+Nutrients!$DV$5)</f>
        <v>217.59125667011466</v>
      </c>
      <c r="AW264" s="25">
        <f>IF(AW$5="","",AW263+Nutrients!$DV$5)</f>
        <v>215.76601117723871</v>
      </c>
    </row>
    <row r="265" spans="1:59" x14ac:dyDescent="0.25">
      <c r="A265" s="34" t="s">
        <v>541</v>
      </c>
      <c r="B265" s="371">
        <v>64.670241098095005</v>
      </c>
      <c r="C265" s="371">
        <v>73.763156713761802</v>
      </c>
      <c r="D265" s="371">
        <v>95.43493291654417</v>
      </c>
      <c r="E265" s="371">
        <v>107.31139412884363</v>
      </c>
      <c r="F265" s="371">
        <v>119.18785534114284</v>
      </c>
      <c r="G265" s="371">
        <v>148.28241980161249</v>
      </c>
      <c r="H265" s="91">
        <f>SUM(B265:G265)</f>
        <v>608.65</v>
      </c>
      <c r="I265" s="371">
        <f>($B$265*$B$250/I250)-($B$265*$B$250/I250)/(I6-I5)*I268</f>
        <v>64.465912384557143</v>
      </c>
      <c r="J265" s="371">
        <f>($C$265*$C$250/J250)-($C$265*$C$250/J250)/(J6-J5)*J268</f>
        <v>73.596044001409354</v>
      </c>
      <c r="K265" s="371">
        <f>($D$265*$D$250/K250)-($D$265*$D$250/K250)/(K6-K5)*K268</f>
        <v>95.20373229842302</v>
      </c>
      <c r="L265" s="371">
        <f>($E$265*$E$250/L250)-($E$265*$E$250/L250)/(L6-L5)*L268</f>
        <v>106.92710201486175</v>
      </c>
      <c r="M265" s="371">
        <f>($F$265*$F$250/M250)-($F$265*$F$250/M250)/(M6-M5)*M268</f>
        <v>118.50594294109828</v>
      </c>
      <c r="N265" s="371">
        <f>($G$265*$G$250/N250)-($G$265*$G$250/N250)/(N6-N5)*N268</f>
        <v>146.85016558116206</v>
      </c>
      <c r="O265" s="91">
        <f>SUM(I265:N265)</f>
        <v>605.54889922151165</v>
      </c>
      <c r="P265" s="371">
        <f>($B$265*$B$250/P250)-($B$265*$B$250/P250)/(P6-P5)*P268</f>
        <v>64.259631818774395</v>
      </c>
      <c r="Q265" s="371">
        <f>($C$265*$C$250/Q250)-($C$265*$C$250/Q250)/(Q6-Q5)*Q268</f>
        <v>73.42872545565919</v>
      </c>
      <c r="R265" s="371">
        <f>($D$265*$D$250/R250)-($D$265*$D$250/R250)/(R6-R5)*R268</f>
        <v>94.968497810561615</v>
      </c>
      <c r="S265" s="371">
        <f>($E$265*$E$250/S250)-($E$265*$E$250/S250)/(S6-S5)*S268</f>
        <v>106.54143886136792</v>
      </c>
      <c r="T265" s="371">
        <f>($F$265*$F$250/T250)-($F$265*$F$250/T250)/(T6-T5)*T268</f>
        <v>117.81914186833214</v>
      </c>
      <c r="U265" s="371">
        <f>($G$265*$G$250/U250)-($G$265*$G$250/U250)/(U6-U5)*U268</f>
        <v>145.42532233851915</v>
      </c>
      <c r="V265" s="91">
        <f>SUM(P265:U265)</f>
        <v>602.44275815321453</v>
      </c>
      <c r="W265" s="371">
        <f>($B$265*$B$250/W250)-($B$265*$B$250/W250)/(W6-W5)*W268</f>
        <v>64.049146556445066</v>
      </c>
      <c r="X265" s="371">
        <f>($C$265*$C$250/X250)-($C$265*$C$250/X250)/(X6-X5)*X268</f>
        <v>73.254976555764728</v>
      </c>
      <c r="Y265" s="371">
        <f>($D$265*$D$250/Y250)-($D$265*$D$250/Y250)/(Y6-Y5)*Y268</f>
        <v>94.731453814830147</v>
      </c>
      <c r="Z265" s="371">
        <f>($E$265*$E$250/Z250)-($E$265*$E$250/Z250)/(Z6-Z5)*Z268</f>
        <v>106.14503448905268</v>
      </c>
      <c r="AA265" s="371">
        <f>($F$265*$F$250/AA250)-($F$265*$F$250/AA250)/(AA6-AA5)*AA268</f>
        <v>117.10226289967412</v>
      </c>
      <c r="AB265" s="371">
        <f>($G$265*$G$250/AB250)-($G$265*$G$250/AB250)/(AB6-AB5)*AB268</f>
        <v>143.94953036688352</v>
      </c>
      <c r="AC265" s="91">
        <f>SUM(W265:AB265)</f>
        <v>599.23240468265021</v>
      </c>
      <c r="AD265" s="371">
        <f>($B$265*$B$250/AD250)-($B$265*$B$250/AD250)/(AD6-AD5)*AD268</f>
        <v>63.83991765168274</v>
      </c>
      <c r="AE265" s="371">
        <f>($C$265*$C$250/AE250)-($C$265*$C$250/AE250)/(AE6-AE5)*AE268</f>
        <v>73.083436114682044</v>
      </c>
      <c r="AF265" s="371">
        <f>($D$265*$D$250/AF250)-($D$265*$D$250/AF250)/(AF6-AF5)*AF268</f>
        <v>94.491129265849466</v>
      </c>
      <c r="AG265" s="371">
        <f>($E$265*$E$250/AG250)-($E$265*$E$250/AG250)/(AG6-AG5)*AG268</f>
        <v>105.74895393967286</v>
      </c>
      <c r="AH265" s="371">
        <f>($F$265*$F$250/AH250)-($F$265*$F$250/AH250)/(AH6-AH5)*AH268</f>
        <v>116.40199548201855</v>
      </c>
      <c r="AI265" s="371">
        <f>($G$265*$G$250/AI250)-($G$265*$G$250/AI250)/(AI6-AI5)*AI268</f>
        <v>142.49623075898441</v>
      </c>
      <c r="AJ265" s="91">
        <f>SUM(AD265:AI265)</f>
        <v>596.06166321289004</v>
      </c>
      <c r="AK265" s="371">
        <f>($B$265*$B$250/AK250)-($B$265*$B$250/AK250)/(AK6-AK5)*AK268</f>
        <v>63.632580396376824</v>
      </c>
      <c r="AL265" s="371">
        <f>($C$265*$C$250/AL250)-($C$265*$C$250/AL250)/(AL6-AL5)*AL268</f>
        <v>72.91296790783386</v>
      </c>
      <c r="AM265" s="371">
        <f>($D$265*$D$250/AM250)-($D$265*$D$250/AM250)/(AM6-AM5)*AM268</f>
        <v>94.258361191903319</v>
      </c>
      <c r="AN265" s="371">
        <f>($E$265*$E$250/AN250)-($E$265*$E$250/AN250)/(AN6-AN5)*AN268</f>
        <v>105.36491487288016</v>
      </c>
      <c r="AO265" s="371">
        <f>($F$265*$F$250/AO250)-($F$265*$F$250/AO250)/(AO6-AO5)*AO268</f>
        <v>115.70124110285134</v>
      </c>
      <c r="AP265" s="371">
        <f>($G$265*$G$250/AP250)-($G$265*$G$250/AP250)/(AP6-AP5)*AP268</f>
        <v>141.04284427217061</v>
      </c>
      <c r="AQ265" s="91">
        <f>SUM(AK265:AP265)</f>
        <v>592.91290974401613</v>
      </c>
      <c r="AR265" s="371">
        <f>($B$265*$B$250/AR250)-($B$265*$B$250/AR250)/(AR6-AR5)*AR268</f>
        <v>63.418999132303121</v>
      </c>
      <c r="AS265" s="371">
        <f>($C$265*$C$250/AS250)-($C$265*$C$250/AS250)/(AS6-AS5)*AS268</f>
        <v>72.746437384290246</v>
      </c>
      <c r="AT265" s="371">
        <f>($D$265*$D$250/AT250)-($D$265*$D$250/AT250)/(AT6-AT5)*AT268</f>
        <v>94.02617856200709</v>
      </c>
      <c r="AU265" s="371">
        <f>($E$265*$E$250/AU250)-($E$265*$E$250/AU250)/(AU6-AU5)*AU268</f>
        <v>104.97518638981782</v>
      </c>
      <c r="AV265" s="371">
        <f>($F$265*$F$250/AV250)-($F$265*$F$250/AV250)/(AV6-AV5)*AV268</f>
        <v>115.00047795090505</v>
      </c>
      <c r="AW265" s="371">
        <f>($G$265*$G$250/AW250)-($G$265*$G$250/AW250)/(AW6-AW5)*AW268</f>
        <v>139.58951247324353</v>
      </c>
      <c r="AX265" s="91">
        <f>SUM(AR265:AW265)</f>
        <v>589.75679189256687</v>
      </c>
      <c r="AY265" s="91"/>
      <c r="AZ265" s="117"/>
      <c r="BA265" s="117"/>
      <c r="BB265" s="117"/>
      <c r="BC265" s="117"/>
      <c r="BD265" s="117"/>
      <c r="BE265" s="117"/>
    </row>
    <row r="266" spans="1:59" x14ac:dyDescent="0.25">
      <c r="A266" s="34" t="s">
        <v>111</v>
      </c>
      <c r="B266" s="25">
        <f t="shared" ref="B266:G266" si="76">IF(B$265="","",B265*B264/2000)</f>
        <v>7.5427402259524534</v>
      </c>
      <c r="C266" s="25">
        <f t="shared" si="76"/>
        <v>8.244629838606345</v>
      </c>
      <c r="D266" s="25">
        <f t="shared" si="76"/>
        <v>10.219574973505026</v>
      </c>
      <c r="E266" s="25">
        <f t="shared" si="76"/>
        <v>11.118762404918533</v>
      </c>
      <c r="F266" s="25">
        <f t="shared" si="76"/>
        <v>12.052860845303957</v>
      </c>
      <c r="G266" s="25">
        <f t="shared" si="76"/>
        <v>14.822910588117834</v>
      </c>
      <c r="H266" s="91">
        <f>SUM(B266:G266)</f>
        <v>64.00147887640415</v>
      </c>
      <c r="I266" s="25">
        <f t="shared" ref="I266:N266" si="77">IF(I$265="","",I265*I264/2000)</f>
        <v>7.5741963715097969</v>
      </c>
      <c r="J266" s="25">
        <f t="shared" si="77"/>
        <v>8.2946002306125273</v>
      </c>
      <c r="K266" s="25">
        <f t="shared" si="77"/>
        <v>10.288824327659873</v>
      </c>
      <c r="L266" s="25">
        <f t="shared" si="77"/>
        <v>11.181873232118441</v>
      </c>
      <c r="M266" s="25">
        <f t="shared" si="77"/>
        <v>12.093558499699554</v>
      </c>
      <c r="N266" s="25">
        <f t="shared" si="77"/>
        <v>14.828077446140984</v>
      </c>
      <c r="O266" s="91">
        <f>SUM(I266:N266)</f>
        <v>64.261130107741181</v>
      </c>
      <c r="P266" s="25">
        <f t="shared" ref="P266:U266" si="78">IF(P$265="","",P265*P264/2000)</f>
        <v>7.6098268782871612</v>
      </c>
      <c r="Q266" s="25">
        <f t="shared" si="78"/>
        <v>8.3471061124863102</v>
      </c>
      <c r="R266" s="25">
        <f t="shared" si="78"/>
        <v>10.359776568519495</v>
      </c>
      <c r="S266" s="25">
        <f t="shared" si="78"/>
        <v>11.250667940172638</v>
      </c>
      <c r="T266" s="25">
        <f t="shared" si="78"/>
        <v>12.138406083409404</v>
      </c>
      <c r="U266" s="25">
        <f t="shared" si="78"/>
        <v>14.825542950444706</v>
      </c>
      <c r="V266" s="91">
        <f>SUM(P266:U266)</f>
        <v>64.531326533319714</v>
      </c>
      <c r="W266" s="25">
        <f t="shared" ref="W266:AB266" si="79">IF(W$265="","",W265*W264/2000)</f>
        <v>7.6437011525452698</v>
      </c>
      <c r="X266" s="25">
        <f t="shared" si="79"/>
        <v>8.4001612941492905</v>
      </c>
      <c r="Y266" s="25">
        <f t="shared" si="79"/>
        <v>10.429188953070355</v>
      </c>
      <c r="Z266" s="25">
        <f t="shared" si="79"/>
        <v>11.324790728347017</v>
      </c>
      <c r="AA266" s="25">
        <f t="shared" si="79"/>
        <v>12.205190990974423</v>
      </c>
      <c r="AB266" s="25">
        <f t="shared" si="79"/>
        <v>14.86019575188373</v>
      </c>
      <c r="AC266" s="91">
        <f>SUM(W266:AB266)</f>
        <v>64.86322887097009</v>
      </c>
      <c r="AD266" s="25">
        <f t="shared" ref="AD266:AI266" si="80">IF(AD$265="","",AD265*AD264/2000)</f>
        <v>7.6807881110767227</v>
      </c>
      <c r="AE266" s="25">
        <f t="shared" si="80"/>
        <v>8.450141428706667</v>
      </c>
      <c r="AF266" s="25">
        <f t="shared" si="80"/>
        <v>10.505952854980519</v>
      </c>
      <c r="AG266" s="25">
        <f t="shared" si="80"/>
        <v>11.40185464397495</v>
      </c>
      <c r="AH266" s="25">
        <f t="shared" si="80"/>
        <v>12.303665834750397</v>
      </c>
      <c r="AI266" s="25">
        <f t="shared" si="80"/>
        <v>14.931015023345694</v>
      </c>
      <c r="AJ266" s="91">
        <f>SUM(AD266:AI266)</f>
        <v>65.273417896834957</v>
      </c>
      <c r="AK266" s="25">
        <f t="shared" ref="AK266:AP266" si="81">IF(AK$265="","",AK265*AK264/2000)</f>
        <v>7.7189575215702506</v>
      </c>
      <c r="AL266" s="25">
        <f t="shared" si="81"/>
        <v>8.5047436706748236</v>
      </c>
      <c r="AM266" s="25">
        <f t="shared" si="81"/>
        <v>10.576484041282866</v>
      </c>
      <c r="AN266" s="25">
        <f t="shared" si="81"/>
        <v>11.511561648264971</v>
      </c>
      <c r="AO266" s="25">
        <f t="shared" si="81"/>
        <v>12.408689213174062</v>
      </c>
      <c r="AP266" s="25">
        <f t="shared" si="81"/>
        <v>14.997424417357774</v>
      </c>
      <c r="AQ266" s="91">
        <f>SUM(AK266:AP266)</f>
        <v>65.717860512324748</v>
      </c>
      <c r="AR266" s="25">
        <f t="shared" ref="AR266:AW266" si="82">IF(AR$265="","",AR265*AR264/2000)</f>
        <v>7.7583251797045989</v>
      </c>
      <c r="AS266" s="25">
        <f t="shared" si="82"/>
        <v>8.5631674892964806</v>
      </c>
      <c r="AT266" s="25">
        <f t="shared" si="82"/>
        <v>10.665424201270509</v>
      </c>
      <c r="AU266" s="25">
        <f t="shared" si="82"/>
        <v>11.631195750556575</v>
      </c>
      <c r="AV266" s="25">
        <f t="shared" si="82"/>
        <v>12.51154925750062</v>
      </c>
      <c r="AW266" s="25">
        <f t="shared" si="82"/>
        <v>15.059336154263583</v>
      </c>
      <c r="AX266" s="91">
        <f>SUM(AR266:AW266)</f>
        <v>66.188998032592366</v>
      </c>
      <c r="AY266" s="91"/>
      <c r="AZ266" s="13"/>
      <c r="BA266" s="13"/>
    </row>
    <row r="267" spans="1:59" x14ac:dyDescent="0.25">
      <c r="A267" s="34" t="s">
        <v>517</v>
      </c>
      <c r="B267" s="370">
        <f t="shared" ref="B267:G267" si="83">B342*0.00220462</f>
        <v>1.6321378734194845</v>
      </c>
      <c r="C267" s="370">
        <f t="shared" si="83"/>
        <v>1.9015014314603687</v>
      </c>
      <c r="D267" s="370">
        <f t="shared" si="83"/>
        <v>2.0832697080984475</v>
      </c>
      <c r="E267" s="370">
        <f t="shared" si="83"/>
        <v>2.1697909739378729</v>
      </c>
      <c r="F267" s="370">
        <f t="shared" si="83"/>
        <v>2.165030725567227</v>
      </c>
      <c r="G267" s="370">
        <f t="shared" si="83"/>
        <v>2.0548911695876653</v>
      </c>
      <c r="H267" s="230"/>
      <c r="I267" s="370">
        <f t="shared" ref="I267:N267" si="84">I342*0.00220462</f>
        <v>1.6266189298063185</v>
      </c>
      <c r="J267" s="370">
        <f t="shared" si="84"/>
        <v>1.8969075195205205</v>
      </c>
      <c r="K267" s="370">
        <f t="shared" si="84"/>
        <v>2.077992863816398</v>
      </c>
      <c r="L267" s="370">
        <f t="shared" si="84"/>
        <v>2.1618542844514339</v>
      </c>
      <c r="M267" s="370">
        <f t="shared" si="84"/>
        <v>2.152484153577106</v>
      </c>
      <c r="N267" s="370">
        <f t="shared" si="84"/>
        <v>2.0349220304281577</v>
      </c>
      <c r="O267" s="94"/>
      <c r="P267" s="370">
        <f t="shared" ref="P267:U267" si="85">P342*0.00220462</f>
        <v>1.6211979884286469</v>
      </c>
      <c r="Q267" s="370">
        <f t="shared" si="85"/>
        <v>1.8923762471764884</v>
      </c>
      <c r="R267" s="370">
        <f t="shared" si="85"/>
        <v>2.0727409155317003</v>
      </c>
      <c r="S267" s="370">
        <f t="shared" si="85"/>
        <v>2.1538789468597117</v>
      </c>
      <c r="T267" s="370">
        <f t="shared" si="85"/>
        <v>2.1398403867341065</v>
      </c>
      <c r="U267" s="370">
        <f t="shared" si="85"/>
        <v>2.0150498544184057</v>
      </c>
      <c r="W267" s="370">
        <f t="shared" ref="W267:AB267" si="86">W342*0.00220462</f>
        <v>1.6157996318554884</v>
      </c>
      <c r="X267" s="370">
        <f t="shared" si="86"/>
        <v>1.8879008776630013</v>
      </c>
      <c r="Y267" s="370">
        <f t="shared" si="86"/>
        <v>2.0674984498557265</v>
      </c>
      <c r="Z267" s="370">
        <f t="shared" si="86"/>
        <v>2.1459234202239537</v>
      </c>
      <c r="AA267" s="370">
        <f t="shared" si="86"/>
        <v>2.1268932516241397</v>
      </c>
      <c r="AB267" s="370">
        <f t="shared" si="86"/>
        <v>1.9945761974383227</v>
      </c>
      <c r="AD267" s="370">
        <f t="shared" ref="AD267:AI267" si="87">AD342*0.00220462</f>
        <v>1.610508159253081</v>
      </c>
      <c r="AE267" s="370">
        <f t="shared" si="87"/>
        <v>1.8834025510806229</v>
      </c>
      <c r="AF267" s="370">
        <f t="shared" si="87"/>
        <v>2.062306619341173</v>
      </c>
      <c r="AG267" s="370">
        <f t="shared" si="87"/>
        <v>2.1379406451689378</v>
      </c>
      <c r="AH267" s="370">
        <f t="shared" si="87"/>
        <v>2.1140793814937138</v>
      </c>
      <c r="AI267" s="370">
        <f t="shared" si="87"/>
        <v>1.9744705203910591</v>
      </c>
      <c r="AK267" s="370">
        <f t="shared" ref="AK267:AP267" si="88">AK342*0.00220462</f>
        <v>1.6051848288081365</v>
      </c>
      <c r="AL267" s="370">
        <f t="shared" si="88"/>
        <v>1.8789290054923611</v>
      </c>
      <c r="AM267" s="370">
        <f t="shared" si="88"/>
        <v>2.057049342344869</v>
      </c>
      <c r="AN267" s="370">
        <f t="shared" si="88"/>
        <v>2.1299362381816995</v>
      </c>
      <c r="AO267" s="370">
        <f t="shared" si="88"/>
        <v>2.1013649980733211</v>
      </c>
      <c r="AP267" s="370">
        <f t="shared" si="88"/>
        <v>1.9543705351430742</v>
      </c>
      <c r="AR267" s="370">
        <f t="shared" ref="AR267:AW267" si="89">AR342*0.00220462</f>
        <v>1.5999111105816655</v>
      </c>
      <c r="AS267" s="370">
        <f t="shared" si="89"/>
        <v>1.8745080983063227</v>
      </c>
      <c r="AT267" s="370">
        <f t="shared" si="89"/>
        <v>2.0518759195263487</v>
      </c>
      <c r="AU267" s="370">
        <f t="shared" si="89"/>
        <v>2.1220305449495052</v>
      </c>
      <c r="AV267" s="370">
        <f t="shared" si="89"/>
        <v>2.0886509026072342</v>
      </c>
      <c r="AW267" s="370">
        <f t="shared" si="89"/>
        <v>1.9342707244978239</v>
      </c>
      <c r="AZ267" s="375"/>
      <c r="BA267" s="378"/>
    </row>
    <row r="268" spans="1:59" x14ac:dyDescent="0.25">
      <c r="A268" s="302" t="s">
        <v>545</v>
      </c>
      <c r="B268" s="303"/>
      <c r="C268" s="303"/>
      <c r="D268" s="303"/>
      <c r="E268" s="303"/>
      <c r="F268" s="303"/>
      <c r="G268" s="303"/>
      <c r="H268" s="303"/>
      <c r="I268" s="304">
        <f>($B$6-$B$5)-(($B$6-$B$5)/$B$267)*I267</f>
        <v>0.11834969925433825</v>
      </c>
      <c r="J268" s="304">
        <f>($C$6-$C$5)-(($C$6-$C$5)/$C$267)*J267</f>
        <v>8.4557873706778253E-2</v>
      </c>
      <c r="K268" s="304">
        <f>($D$6-$D$5)-(($D$6-$D$5)/$D$267)*K267</f>
        <v>0.10131850449389646</v>
      </c>
      <c r="L268" s="304">
        <f>($E$6-$E$5)-(($E$6-$E$5)/$E$267)*L267</f>
        <v>0.14631251732115658</v>
      </c>
      <c r="M268" s="304">
        <f>($F$6-$F$5)-(($F$6-$F$5)/$F$267)*M267</f>
        <v>0.23180404493952267</v>
      </c>
      <c r="N268" s="304">
        <f>($G$6-$G$5)-(($G$6-$G$5)/$G$267)*N267</f>
        <v>0.43730357864068736</v>
      </c>
      <c r="O268" s="305"/>
      <c r="P268" s="304">
        <f>($B$6-$B$5)-(($B$6-$B$5)/$B$267)*P267</f>
        <v>0.23459781242445388</v>
      </c>
      <c r="Q268" s="304">
        <f>($C$6-$C$5)-(($C$6-$C$5)/$C$267)*Q267</f>
        <v>0.16796277123521719</v>
      </c>
      <c r="R268" s="304">
        <f>($D$6-$D$5)-(($D$6-$D$5)/$D$267)*R267</f>
        <v>0.20215899123993353</v>
      </c>
      <c r="S268" s="304">
        <f>($E$6-$E$5)-(($E$6-$E$5)/$E$267)*S267</f>
        <v>0.29333751074248937</v>
      </c>
      <c r="T268" s="304">
        <f>($F$6-$F$5)-(($F$6-$F$5)/$F$267)*T267</f>
        <v>0.46540381225343452</v>
      </c>
      <c r="U268" s="304">
        <f>($G$6-$G$5)-(($G$6-$G$5)/$G$267)*U267</f>
        <v>0.8724837641773675</v>
      </c>
      <c r="V268" s="305"/>
      <c r="W268" s="304">
        <f>($B$6-$B$5)-(($B$6-$B$5)/$B$267)*W267</f>
        <v>0.35036161102113539</v>
      </c>
      <c r="X268" s="304">
        <f>($C$6-$C$5)-(($C$6-$C$5)/$C$267)*X267</f>
        <v>0.2503386929045206</v>
      </c>
      <c r="Y268" s="304">
        <f>($D$6-$D$5)-(($D$6-$D$5)/$D$267)*Y267</f>
        <v>0.30281740633797227</v>
      </c>
      <c r="Z268" s="304">
        <f>($E$6-$E$5)-(($E$6-$E$5)/$E$267)*Z267</f>
        <v>0.43999729007266097</v>
      </c>
      <c r="AA268" s="304">
        <f>($F$6-$F$5)-(($F$6-$F$5)/$F$267)*AA267</f>
        <v>0.70460845645681047</v>
      </c>
      <c r="AB268" s="304">
        <f>($G$6-$G$5)-(($G$6-$G$5)/$G$267)*AB267</f>
        <v>1.3208357634166319</v>
      </c>
      <c r="AC268" s="305"/>
      <c r="AD268" s="304">
        <f>($B$6-$B$5)-(($B$6-$B$5)/$B$267)*AD267</f>
        <v>0.46383336123317065</v>
      </c>
      <c r="AE268" s="304">
        <f>($C$6-$C$5)-(($C$6-$C$5)/$C$267)*AE267</f>
        <v>0.33313717403020604</v>
      </c>
      <c r="AF268" s="304">
        <f>($D$6-$D$5)-(($D$6-$D$5)/$D$267)*AF267</f>
        <v>0.4025035966448911</v>
      </c>
      <c r="AG268" s="304">
        <f>($E$6-$E$5)-(($E$6-$E$5)/$E$267)*AG267</f>
        <v>0.58715939279867513</v>
      </c>
      <c r="AH268" s="304">
        <f>($F$6-$F$5)-(($F$6-$F$5)/$F$267)*AH267</f>
        <v>0.94135096507998384</v>
      </c>
      <c r="AI268" s="304">
        <f>($G$6-$G$5)-(($G$6-$G$5)/$G$267)*AI267</f>
        <v>1.7611293811600959</v>
      </c>
      <c r="AJ268" s="305"/>
      <c r="AK268" s="304">
        <f>($B$6-$B$5)-(($B$6-$B$5)/$B$267)*AK267</f>
        <v>0.57798827952001375</v>
      </c>
      <c r="AL268" s="304">
        <f>($C$6-$C$5)-(($C$6-$C$5)/$C$267)*AL267</f>
        <v>0.41547952360652118</v>
      </c>
      <c r="AM268" s="304">
        <f>($D$6-$D$5)-(($D$6-$D$5)/$D$267)*AM267</f>
        <v>0.50344639777845401</v>
      </c>
      <c r="AN268" s="304">
        <f>($E$6-$E$5)-(($E$6-$E$5)/$E$267)*AN267</f>
        <v>0.73472027923210703</v>
      </c>
      <c r="AO268" s="304">
        <f>($F$6-$F$5)-(($F$6-$F$5)/$F$267)*AO267</f>
        <v>1.176255408148549</v>
      </c>
      <c r="AP268" s="304">
        <f>($G$6-$G$5)-(($G$6-$G$5)/$G$267)*AP267</f>
        <v>2.2012983543621232</v>
      </c>
      <c r="AQ268" s="305"/>
      <c r="AR268" s="304">
        <f>($B$6-$B$5)-(($B$6-$B$5)/$B$267)*AR267</f>
        <v>0.69107930015773178</v>
      </c>
      <c r="AS268" s="304">
        <f>($C$6-$C$5)-(($C$6-$C$5)/$C$267)*AS267</f>
        <v>0.49685298404746447</v>
      </c>
      <c r="AT268" s="304">
        <f>($D$6-$D$5)-(($D$6-$D$5)/$D$267)*AT267</f>
        <v>0.60277914952747835</v>
      </c>
      <c r="AU268" s="304">
        <f>($E$6-$E$5)-(($E$6-$E$5)/$E$267)*AU267</f>
        <v>0.88046138198628654</v>
      </c>
      <c r="AV268" s="304">
        <f>($F$6-$F$5)-(($F$6-$F$5)/$F$267)*AV267</f>
        <v>1.4111545311206868</v>
      </c>
      <c r="AW268" s="304">
        <f>($G$6-$G$5)-(($G$6-$G$5)/$G$267)*AW267</f>
        <v>2.6414635039441166</v>
      </c>
      <c r="AX268" s="305"/>
    </row>
    <row r="269" spans="1:59" x14ac:dyDescent="0.25">
      <c r="A269" s="34" t="s">
        <v>543</v>
      </c>
      <c r="B269" s="371">
        <v>64.670241098095005</v>
      </c>
      <c r="C269" s="371">
        <v>73.763156713761802</v>
      </c>
      <c r="D269" s="371">
        <v>95.43493291654417</v>
      </c>
      <c r="E269" s="371">
        <v>107.31139412884363</v>
      </c>
      <c r="F269" s="371">
        <v>119.18785534114284</v>
      </c>
      <c r="G269" s="371">
        <v>148.28241980161249</v>
      </c>
      <c r="H269" s="91">
        <f>SUM(B269:G269)</f>
        <v>608.65</v>
      </c>
      <c r="I269" s="371">
        <f>($B$269*$B$250/I250)</f>
        <v>64.684638312862944</v>
      </c>
      <c r="J269" s="371">
        <f>($C$269*$C$250/J250)</f>
        <v>73.774278175603101</v>
      </c>
      <c r="K269" s="371">
        <f>($D$269*$D$250/K250)</f>
        <v>95.44549216158542</v>
      </c>
      <c r="L269" s="371">
        <f>($E$269*$E$250/L250)</f>
        <v>107.31965724510111</v>
      </c>
      <c r="M269" s="371">
        <f>($F$269*$F$250/M250)</f>
        <v>119.19669987043351</v>
      </c>
      <c r="N269" s="371">
        <f>($G$269*$G$250/N250)</f>
        <v>148.29123867793811</v>
      </c>
      <c r="O269" s="91">
        <f>SUM(I269:N269)</f>
        <v>608.71200444352417</v>
      </c>
      <c r="P269" s="371">
        <f>($B$269*$B$250/P250)</f>
        <v>64.693257438019288</v>
      </c>
      <c r="Q269" s="371">
        <f>($C$269*$C$250/Q250)</f>
        <v>73.782804435731521</v>
      </c>
      <c r="R269" s="371">
        <f>($D$269*$D$250/R250)</f>
        <v>95.450904273583788</v>
      </c>
      <c r="S269" s="371">
        <f>($E$269*$E$250/S250)</f>
        <v>107.32852592704543</v>
      </c>
      <c r="T269" s="371">
        <f>($F$269*$F$250/T250)</f>
        <v>119.20611639367067</v>
      </c>
      <c r="U269" s="371">
        <f>($G$269*$G$250/U250)</f>
        <v>148.30065372953945</v>
      </c>
      <c r="V269" s="91">
        <f>SUM(P269:U269)</f>
        <v>608.76226219759019</v>
      </c>
      <c r="W269" s="371">
        <f>($B$269*$B$250/W250)</f>
        <v>64.696782815159466</v>
      </c>
      <c r="X269" s="371">
        <f>($C$269*$C$250/X250)</f>
        <v>73.78270990308161</v>
      </c>
      <c r="Y269" s="371">
        <f>($D$269*$D$250/Y250)</f>
        <v>95.454082758966152</v>
      </c>
      <c r="Z269" s="371">
        <f>($E$269*$E$250/Z250)</f>
        <v>107.32560891601378</v>
      </c>
      <c r="AA269" s="371">
        <f>($F$269*$F$250/AA250)</f>
        <v>119.20203189212475</v>
      </c>
      <c r="AB269" s="371">
        <f>($G$269*$G$250/AB250)</f>
        <v>148.30249112423158</v>
      </c>
      <c r="AC269" s="91">
        <f>SUM(W269:AB269)</f>
        <v>608.76370740957736</v>
      </c>
      <c r="AD269" s="371">
        <f>($B$269*$B$250/AD250)</f>
        <v>64.697311116769583</v>
      </c>
      <c r="AE269" s="371">
        <f>($C$269*$C$250/AE250)</f>
        <v>73.78574394962763</v>
      </c>
      <c r="AF269" s="371">
        <f>($D$269*$D$250/AF250)</f>
        <v>95.451619772449249</v>
      </c>
      <c r="AG269" s="371">
        <f>($E$269*$E$250/AG250)</f>
        <v>107.32436668911494</v>
      </c>
      <c r="AH269" s="371">
        <f>($F$269*$F$250/AH250)</f>
        <v>119.20739539962116</v>
      </c>
      <c r="AI269" s="371">
        <f>($G$269*$G$250/AI250)</f>
        <v>148.300135789401</v>
      </c>
      <c r="AJ269" s="91">
        <f>SUM(AD269:AI269)</f>
        <v>608.76657271698355</v>
      </c>
      <c r="AK269" s="371">
        <f>($B$269*$B$250/AK250)</f>
        <v>64.701050361565947</v>
      </c>
      <c r="AL269" s="371">
        <f>($C$269*$C$250/AL250)</f>
        <v>73.788904446892204</v>
      </c>
      <c r="AM269" s="371">
        <f>($D$269*$D$250/AM250)</f>
        <v>95.459833930018249</v>
      </c>
      <c r="AN269" s="371">
        <f>($E$269*$E$250/AN250)</f>
        <v>107.33647193874577</v>
      </c>
      <c r="AO269" s="371">
        <f>($F$269*$F$250/AO250)</f>
        <v>119.20667861300053</v>
      </c>
      <c r="AP269" s="371">
        <f>($G$269*$G$250/AP250)</f>
        <v>148.2972087517652</v>
      </c>
      <c r="AQ269" s="91">
        <f>SUM(AK269:AP269)</f>
        <v>608.79014804198789</v>
      </c>
      <c r="AR269" s="371">
        <f>($B$269*$B$250/AR250)</f>
        <v>64.696438254346305</v>
      </c>
      <c r="AS269" s="371">
        <f>($C$269*$C$250/AS250)</f>
        <v>73.794002247764737</v>
      </c>
      <c r="AT269" s="371">
        <f>($D$269*$D$250/AT250)</f>
        <v>95.4647830808902</v>
      </c>
      <c r="AU269" s="371">
        <f>($E$269*$E$250/AU250)</f>
        <v>107.33785734525917</v>
      </c>
      <c r="AV269" s="371">
        <f>($F$269*$F$250/AV250)</f>
        <v>119.20592757163394</v>
      </c>
      <c r="AW269" s="371">
        <f>($G$269*$G$250/AW250)</f>
        <v>148.29426559345006</v>
      </c>
      <c r="AX269" s="91">
        <f>SUM(AR269:AW269)</f>
        <v>608.79327409334439</v>
      </c>
      <c r="AY269" s="91"/>
      <c r="AZ269" s="117"/>
      <c r="BA269" s="117"/>
      <c r="BB269" s="117"/>
      <c r="BC269" s="117"/>
      <c r="BD269" s="117"/>
      <c r="BE269" s="117"/>
    </row>
    <row r="270" spans="1:59" x14ac:dyDescent="0.25">
      <c r="A270" s="34" t="s">
        <v>544</v>
      </c>
      <c r="B270" s="25">
        <f t="shared" ref="B270:G270" si="90">B269*B264/2000</f>
        <v>7.5427402259524534</v>
      </c>
      <c r="C270" s="25">
        <f t="shared" si="90"/>
        <v>8.244629838606345</v>
      </c>
      <c r="D270" s="25">
        <f t="shared" si="90"/>
        <v>10.219574973505026</v>
      </c>
      <c r="E270" s="25">
        <f t="shared" si="90"/>
        <v>11.118762404918533</v>
      </c>
      <c r="F270" s="25">
        <f t="shared" si="90"/>
        <v>12.052860845303957</v>
      </c>
      <c r="G270" s="25">
        <f t="shared" si="90"/>
        <v>14.822910588117834</v>
      </c>
      <c r="H270" s="230"/>
      <c r="I270" s="25">
        <f t="shared" ref="I270:N270" si="91">I269*I264/2000</f>
        <v>7.5998948076483632</v>
      </c>
      <c r="J270" s="25">
        <f t="shared" si="91"/>
        <v>8.3146880117212785</v>
      </c>
      <c r="K270" s="25">
        <f t="shared" si="91"/>
        <v>10.314951714701381</v>
      </c>
      <c r="L270" s="25">
        <f t="shared" si="91"/>
        <v>11.2229245908332</v>
      </c>
      <c r="M270" s="25">
        <f t="shared" si="91"/>
        <v>12.164050401849478</v>
      </c>
      <c r="N270" s="25">
        <f t="shared" si="91"/>
        <v>14.973588643898101</v>
      </c>
      <c r="O270" s="199"/>
      <c r="P270" s="25">
        <f t="shared" ref="P270:U270" si="92">P269*P264/2000</f>
        <v>7.6611781823492482</v>
      </c>
      <c r="Q270" s="25">
        <f t="shared" si="92"/>
        <v>8.3873565022421488</v>
      </c>
      <c r="R270" s="25">
        <f t="shared" si="92"/>
        <v>10.412400578452647</v>
      </c>
      <c r="S270" s="25">
        <f t="shared" si="92"/>
        <v>11.333783536419325</v>
      </c>
      <c r="T270" s="25">
        <f t="shared" si="92"/>
        <v>12.281300181506959</v>
      </c>
      <c r="U270" s="25">
        <f t="shared" si="92"/>
        <v>15.118671742245516</v>
      </c>
      <c r="W270" s="25">
        <f t="shared" ref="W270:AB270" si="93">W269*W264/2000</f>
        <v>7.7209908321634479</v>
      </c>
      <c r="X270" s="25">
        <f t="shared" si="93"/>
        <v>8.4606765716934511</v>
      </c>
      <c r="Y270" s="25">
        <f t="shared" si="93"/>
        <v>10.508744723597044</v>
      </c>
      <c r="Z270" s="25">
        <f t="shared" si="93"/>
        <v>11.450748182588095</v>
      </c>
      <c r="AA270" s="25">
        <f t="shared" si="93"/>
        <v>12.424043137424764</v>
      </c>
      <c r="AB270" s="25">
        <f t="shared" si="93"/>
        <v>15.309560531258805</v>
      </c>
      <c r="AD270" s="25">
        <f t="shared" ref="AD270:AI270" si="94">AD269*AD264/2000</f>
        <v>7.7839439072524765</v>
      </c>
      <c r="AE270" s="25">
        <f t="shared" si="94"/>
        <v>8.5313445144847702</v>
      </c>
      <c r="AF270" s="25">
        <f t="shared" si="94"/>
        <v>10.612744551284656</v>
      </c>
      <c r="AG270" s="25">
        <f t="shared" si="94"/>
        <v>11.571715682824097</v>
      </c>
      <c r="AH270" s="25">
        <f t="shared" si="94"/>
        <v>12.600196001403349</v>
      </c>
      <c r="AI270" s="25">
        <f t="shared" si="94"/>
        <v>15.539158780844753</v>
      </c>
      <c r="AK270" s="25">
        <f t="shared" ref="AK270:AP270" si="95">AK269*AK264/2000</f>
        <v>7.8485683942237516</v>
      </c>
      <c r="AL270" s="25">
        <f t="shared" si="95"/>
        <v>8.6069150120730509</v>
      </c>
      <c r="AM270" s="25">
        <f t="shared" si="95"/>
        <v>10.711298153049965</v>
      </c>
      <c r="AN270" s="25">
        <f t="shared" si="95"/>
        <v>11.726962578775533</v>
      </c>
      <c r="AO270" s="25">
        <f t="shared" si="95"/>
        <v>12.784639239336506</v>
      </c>
      <c r="AP270" s="25">
        <f t="shared" si="95"/>
        <v>15.768798417507256</v>
      </c>
      <c r="AR270" s="25">
        <f t="shared" ref="AR270:AW270" si="96">AR269*AR264/2000</f>
        <v>7.91459992767739</v>
      </c>
      <c r="AS270" s="25">
        <f t="shared" si="96"/>
        <v>8.6864790039820257</v>
      </c>
      <c r="AT270" s="25">
        <f t="shared" si="96"/>
        <v>10.828605643783719</v>
      </c>
      <c r="AU270" s="25">
        <f t="shared" si="96"/>
        <v>11.892978456755783</v>
      </c>
      <c r="AV270" s="25">
        <f t="shared" si="96"/>
        <v>12.96908379141925</v>
      </c>
      <c r="AW270" s="25">
        <f t="shared" si="96"/>
        <v>15.998431083778376</v>
      </c>
      <c r="AZ270" s="369"/>
    </row>
    <row r="271" spans="1:59" x14ac:dyDescent="0.25">
      <c r="B271" s="379"/>
      <c r="C271" s="379"/>
      <c r="D271" s="379"/>
      <c r="E271" s="379"/>
      <c r="F271" s="379"/>
      <c r="G271" s="379"/>
      <c r="H271" s="379"/>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2"/>
      <c r="AZ271" s="13"/>
      <c r="BB271" s="379"/>
      <c r="BC271" s="379"/>
      <c r="BD271" s="379"/>
      <c r="BE271" s="379"/>
      <c r="BF271" s="379"/>
      <c r="BG271" s="379"/>
    </row>
    <row r="272" spans="1:59" x14ac:dyDescent="0.25">
      <c r="A272" s="17" t="s">
        <v>49</v>
      </c>
      <c r="B272" s="293"/>
      <c r="C272" s="293"/>
      <c r="D272" s="293"/>
      <c r="E272" s="293"/>
      <c r="F272" s="293"/>
      <c r="G272" s="293"/>
      <c r="H272" s="293"/>
      <c r="I272" s="293"/>
      <c r="J272" s="293"/>
      <c r="K272" s="293"/>
      <c r="L272" s="293"/>
      <c r="M272" s="293"/>
      <c r="N272" s="293"/>
      <c r="P272" s="293"/>
      <c r="Q272" s="293"/>
      <c r="R272" s="293"/>
      <c r="S272" s="293"/>
      <c r="T272" s="293"/>
      <c r="U272" s="293"/>
      <c r="W272" s="293"/>
      <c r="X272" s="293"/>
      <c r="Y272" s="293"/>
      <c r="Z272" s="293"/>
      <c r="AA272" s="293"/>
      <c r="AB272" s="293"/>
      <c r="AD272" s="293"/>
      <c r="AE272" s="293"/>
      <c r="AF272" s="293"/>
      <c r="AG272" s="293"/>
      <c r="AH272" s="293"/>
      <c r="AI272" s="293"/>
      <c r="AK272" s="293"/>
      <c r="AL272" s="293"/>
      <c r="AM272" s="293"/>
      <c r="AN272" s="293"/>
      <c r="AO272" s="293"/>
      <c r="AP272" s="293"/>
      <c r="AR272" s="293"/>
      <c r="AS272" s="293"/>
      <c r="AT272" s="293"/>
      <c r="AU272" s="293"/>
      <c r="AV272" s="293"/>
      <c r="AW272" s="293"/>
    </row>
    <row r="273" spans="1:53" x14ac:dyDescent="0.25">
      <c r="A273" s="42" t="s">
        <v>402</v>
      </c>
      <c r="B273" s="14">
        <v>0.56000000000000005</v>
      </c>
      <c r="C273" s="14">
        <v>0.56000000000000005</v>
      </c>
      <c r="D273" s="14">
        <v>0.56000000000000005</v>
      </c>
      <c r="E273" s="14">
        <v>0.56000000000000005</v>
      </c>
      <c r="F273" s="14">
        <v>0.56000000000000005</v>
      </c>
      <c r="G273" s="14">
        <v>0.56000000000000005</v>
      </c>
      <c r="H273" s="403"/>
      <c r="I273" s="14">
        <v>0.56000000000000005</v>
      </c>
      <c r="J273" s="14">
        <v>0.56000000000000005</v>
      </c>
      <c r="K273" s="14">
        <v>0.56000000000000005</v>
      </c>
      <c r="L273" s="14">
        <v>0.56000000000000005</v>
      </c>
      <c r="M273" s="14">
        <v>0.56000000000000005</v>
      </c>
      <c r="N273" s="14">
        <v>0.56000000000000005</v>
      </c>
      <c r="P273" s="14">
        <v>0.56000000000000005</v>
      </c>
      <c r="Q273" s="14">
        <v>0.56000000000000005</v>
      </c>
      <c r="R273" s="14">
        <v>0.56000000000000005</v>
      </c>
      <c r="S273" s="14">
        <v>0.56000000000000005</v>
      </c>
      <c r="T273" s="14">
        <v>0.56000000000000005</v>
      </c>
      <c r="U273" s="14">
        <v>0.56000000000000005</v>
      </c>
      <c r="W273" s="14">
        <v>0.56000000000000005</v>
      </c>
      <c r="X273" s="14">
        <v>0.56000000000000005</v>
      </c>
      <c r="Y273" s="14">
        <v>0.56000000000000005</v>
      </c>
      <c r="Z273" s="14">
        <v>0.56000000000000005</v>
      </c>
      <c r="AA273" s="14">
        <v>0.56000000000000005</v>
      </c>
      <c r="AB273" s="14">
        <v>0.56000000000000005</v>
      </c>
      <c r="AD273" s="14">
        <v>0.56000000000000005</v>
      </c>
      <c r="AE273" s="14">
        <v>0.56000000000000005</v>
      </c>
      <c r="AF273" s="14">
        <v>0.56000000000000005</v>
      </c>
      <c r="AG273" s="14">
        <v>0.56000000000000005</v>
      </c>
      <c r="AH273" s="14">
        <v>0.56000000000000005</v>
      </c>
      <c r="AI273" s="14">
        <v>0.56000000000000005</v>
      </c>
      <c r="AK273" s="14">
        <v>0.56000000000000005</v>
      </c>
      <c r="AL273" s="14">
        <v>0.56000000000000005</v>
      </c>
      <c r="AM273" s="14">
        <v>0.56000000000000005</v>
      </c>
      <c r="AN273" s="14">
        <v>0.56000000000000005</v>
      </c>
      <c r="AO273" s="14">
        <v>0.56000000000000005</v>
      </c>
      <c r="AP273" s="14">
        <v>0.56000000000000005</v>
      </c>
      <c r="AR273" s="14">
        <v>0.56000000000000005</v>
      </c>
      <c r="AS273" s="14">
        <v>0.56000000000000005</v>
      </c>
      <c r="AT273" s="14">
        <v>0.56000000000000005</v>
      </c>
      <c r="AU273" s="14">
        <v>0.56000000000000005</v>
      </c>
      <c r="AV273" s="14">
        <v>0.56000000000000005</v>
      </c>
      <c r="AW273" s="14">
        <v>0.56000000000000005</v>
      </c>
      <c r="BA273" s="2"/>
    </row>
    <row r="274" spans="1:53" x14ac:dyDescent="0.25">
      <c r="A274" s="42" t="s">
        <v>401</v>
      </c>
      <c r="B274" s="14"/>
      <c r="C274" s="14"/>
      <c r="D274" s="14"/>
      <c r="E274" s="14"/>
      <c r="F274" s="14"/>
      <c r="G274" s="14"/>
      <c r="H274" s="231"/>
      <c r="I274" s="14"/>
      <c r="J274" s="14"/>
      <c r="K274" s="14"/>
      <c r="L274" s="14"/>
      <c r="M274" s="14"/>
      <c r="N274" s="14"/>
      <c r="O274" s="200"/>
      <c r="P274" s="14"/>
      <c r="Q274" s="14"/>
      <c r="R274" s="14"/>
      <c r="S274" s="14"/>
      <c r="T274" s="14"/>
      <c r="U274" s="14"/>
      <c r="W274" s="14"/>
      <c r="X274" s="14"/>
      <c r="Y274" s="14"/>
      <c r="Z274" s="14"/>
      <c r="AA274" s="14"/>
      <c r="AB274" s="14"/>
      <c r="AD274" s="14"/>
      <c r="AE274" s="14"/>
      <c r="AF274" s="14"/>
      <c r="AG274" s="14"/>
      <c r="AH274" s="14"/>
      <c r="AI274" s="14"/>
      <c r="AK274" s="14"/>
      <c r="AL274" s="14"/>
      <c r="AM274" s="14"/>
      <c r="AN274" s="14"/>
      <c r="AO274" s="14"/>
      <c r="AP274" s="14"/>
      <c r="AR274" s="14"/>
      <c r="AS274" s="14"/>
      <c r="AT274" s="14"/>
      <c r="AU274" s="14"/>
      <c r="AV274" s="14"/>
      <c r="AW274" s="14"/>
    </row>
    <row r="275" spans="1:53" x14ac:dyDescent="0.25">
      <c r="A275" s="43" t="s">
        <v>400</v>
      </c>
      <c r="B275" s="14">
        <f t="shared" ref="B275:G275" si="97" xml:space="preserve"> 0.000000416*((B5+B6)/2)^2 - 0.000036654*((B5+B6)/2) + 0.280606061</f>
        <v>0.28002731600000003</v>
      </c>
      <c r="C275" s="14">
        <f t="shared" si="97"/>
        <v>0.281219626</v>
      </c>
      <c r="D275" s="14">
        <f t="shared" si="97"/>
        <v>0.28362810100000002</v>
      </c>
      <c r="E275" s="14">
        <f t="shared" si="97"/>
        <v>0.28748674100000005</v>
      </c>
      <c r="F275" s="14">
        <f t="shared" si="97"/>
        <v>0.29267658100000005</v>
      </c>
      <c r="G275" s="14">
        <f t="shared" si="97"/>
        <v>0.29964938600000002</v>
      </c>
      <c r="H275" s="231"/>
      <c r="I275" s="14">
        <f t="shared" ref="I275:N275" si="98" xml:space="preserve"> 0.000000416*((I5+I6)/2)^2 - 0.000036654*((I5+I6)/2) + 0.280606061</f>
        <v>0.28002731600000003</v>
      </c>
      <c r="J275" s="14">
        <f t="shared" si="98"/>
        <v>0.281219626</v>
      </c>
      <c r="K275" s="14">
        <f t="shared" si="98"/>
        <v>0.28362810100000002</v>
      </c>
      <c r="L275" s="14">
        <f t="shared" si="98"/>
        <v>0.28748674100000005</v>
      </c>
      <c r="M275" s="14">
        <f t="shared" si="98"/>
        <v>0.29267658100000005</v>
      </c>
      <c r="N275" s="14">
        <f t="shared" si="98"/>
        <v>0.29964938600000002</v>
      </c>
      <c r="O275" s="200"/>
      <c r="P275" s="14">
        <f t="shared" ref="P275:U275" si="99" xml:space="preserve"> 0.000000416*((P5+P6)/2)^2 - 0.000036654*((P5+P6)/2) + 0.280606061</f>
        <v>0.28002731600000003</v>
      </c>
      <c r="Q275" s="14">
        <f t="shared" si="99"/>
        <v>0.281219626</v>
      </c>
      <c r="R275" s="14">
        <f t="shared" si="99"/>
        <v>0.28362810100000002</v>
      </c>
      <c r="S275" s="14">
        <f t="shared" si="99"/>
        <v>0.28748674100000005</v>
      </c>
      <c r="T275" s="14">
        <f t="shared" si="99"/>
        <v>0.29267658100000005</v>
      </c>
      <c r="U275" s="14">
        <f t="shared" si="99"/>
        <v>0.29964938600000002</v>
      </c>
      <c r="W275" s="14">
        <f t="shared" ref="W275:AB275" si="100" xml:space="preserve"> 0.000000416*((W5+W6)/2)^2 - 0.000036654*((W5+W6)/2) + 0.280606061</f>
        <v>0.28002731600000003</v>
      </c>
      <c r="X275" s="14">
        <f t="shared" si="100"/>
        <v>0.281219626</v>
      </c>
      <c r="Y275" s="14">
        <f t="shared" si="100"/>
        <v>0.28362810100000002</v>
      </c>
      <c r="Z275" s="14">
        <f t="shared" si="100"/>
        <v>0.28748674100000005</v>
      </c>
      <c r="AA275" s="14">
        <f t="shared" si="100"/>
        <v>0.29267658100000005</v>
      </c>
      <c r="AB275" s="14">
        <f t="shared" si="100"/>
        <v>0.29964938600000002</v>
      </c>
      <c r="AD275" s="14">
        <f t="shared" ref="AD275:AI275" si="101" xml:space="preserve"> 0.000000416*((AD5+AD6)/2)^2 - 0.000036654*((AD5+AD6)/2) + 0.280606061</f>
        <v>0.28002731600000003</v>
      </c>
      <c r="AE275" s="14">
        <f t="shared" si="101"/>
        <v>0.281219626</v>
      </c>
      <c r="AF275" s="14">
        <f t="shared" si="101"/>
        <v>0.28362810100000002</v>
      </c>
      <c r="AG275" s="14">
        <f t="shared" si="101"/>
        <v>0.28748674100000005</v>
      </c>
      <c r="AH275" s="14">
        <f t="shared" si="101"/>
        <v>0.29267658100000005</v>
      </c>
      <c r="AI275" s="14">
        <f t="shared" si="101"/>
        <v>0.29964938600000002</v>
      </c>
      <c r="AK275" s="14">
        <f t="shared" ref="AK275:AP275" si="102" xml:space="preserve"> 0.000000416*((AK5+AK6)/2)^2 - 0.000036654*((AK5+AK6)/2) + 0.280606061</f>
        <v>0.28002731600000003</v>
      </c>
      <c r="AL275" s="14">
        <f t="shared" si="102"/>
        <v>0.281219626</v>
      </c>
      <c r="AM275" s="14">
        <f t="shared" si="102"/>
        <v>0.28362810100000002</v>
      </c>
      <c r="AN275" s="14">
        <f t="shared" si="102"/>
        <v>0.28748674100000005</v>
      </c>
      <c r="AO275" s="14">
        <f t="shared" si="102"/>
        <v>0.29267658100000005</v>
      </c>
      <c r="AP275" s="14">
        <f t="shared" si="102"/>
        <v>0.29964938600000002</v>
      </c>
      <c r="AR275" s="14">
        <f t="shared" ref="AR275:AW275" si="103" xml:space="preserve"> 0.000000416*((AR5+AR6)/2)^2 - 0.000036654*((AR5+AR6)/2) + 0.280606061</f>
        <v>0.28002731600000003</v>
      </c>
      <c r="AS275" s="14">
        <f t="shared" si="103"/>
        <v>0.281219626</v>
      </c>
      <c r="AT275" s="14">
        <f t="shared" si="103"/>
        <v>0.28362810100000002</v>
      </c>
      <c r="AU275" s="14">
        <f t="shared" si="103"/>
        <v>0.28748674100000005</v>
      </c>
      <c r="AV275" s="14">
        <f t="shared" si="103"/>
        <v>0.29267658100000005</v>
      </c>
      <c r="AW275" s="14">
        <f t="shared" si="103"/>
        <v>0.29964938600000002</v>
      </c>
    </row>
    <row r="276" spans="1:53" x14ac:dyDescent="0.25">
      <c r="A276" s="43" t="s">
        <v>399</v>
      </c>
      <c r="B276" s="14">
        <v>0.55900000000000005</v>
      </c>
      <c r="C276" s="14">
        <v>0.55900000000000005</v>
      </c>
      <c r="D276" s="14">
        <v>0.55900000000000005</v>
      </c>
      <c r="E276" s="14">
        <v>0.56899999999999995</v>
      </c>
      <c r="F276" s="14">
        <v>0.56899999999999995</v>
      </c>
      <c r="G276" s="14">
        <v>0.57899999999999996</v>
      </c>
      <c r="H276" s="231"/>
      <c r="I276" s="14">
        <v>0.55900000000000005</v>
      </c>
      <c r="J276" s="14">
        <v>0.55900000000000005</v>
      </c>
      <c r="K276" s="14">
        <v>0.55900000000000005</v>
      </c>
      <c r="L276" s="14">
        <v>0.56899999999999995</v>
      </c>
      <c r="M276" s="14">
        <v>0.56899999999999995</v>
      </c>
      <c r="N276" s="14">
        <v>0.57899999999999996</v>
      </c>
      <c r="O276" s="200"/>
      <c r="P276" s="14">
        <v>0.55900000000000005</v>
      </c>
      <c r="Q276" s="14">
        <v>0.55900000000000005</v>
      </c>
      <c r="R276" s="14">
        <v>0.55900000000000005</v>
      </c>
      <c r="S276" s="14">
        <v>0.56899999999999995</v>
      </c>
      <c r="T276" s="14">
        <v>0.56899999999999995</v>
      </c>
      <c r="U276" s="14">
        <v>0.57899999999999996</v>
      </c>
      <c r="W276" s="14">
        <v>0.55900000000000005</v>
      </c>
      <c r="X276" s="14">
        <v>0.55900000000000005</v>
      </c>
      <c r="Y276" s="14">
        <v>0.55900000000000005</v>
      </c>
      <c r="Z276" s="14">
        <v>0.56899999999999995</v>
      </c>
      <c r="AA276" s="14">
        <v>0.56899999999999995</v>
      </c>
      <c r="AB276" s="14">
        <v>0.57899999999999996</v>
      </c>
      <c r="AD276" s="14">
        <v>0.55900000000000005</v>
      </c>
      <c r="AE276" s="14">
        <v>0.55900000000000005</v>
      </c>
      <c r="AF276" s="14">
        <v>0.55900000000000005</v>
      </c>
      <c r="AG276" s="14">
        <v>0.56899999999999995</v>
      </c>
      <c r="AH276" s="14">
        <v>0.56899999999999995</v>
      </c>
      <c r="AI276" s="14">
        <v>0.57899999999999996</v>
      </c>
      <c r="AK276" s="14">
        <v>0.55900000000000005</v>
      </c>
      <c r="AL276" s="14">
        <v>0.55900000000000005</v>
      </c>
      <c r="AM276" s="14">
        <v>0.55900000000000005</v>
      </c>
      <c r="AN276" s="14">
        <v>0.56899999999999995</v>
      </c>
      <c r="AO276" s="14">
        <v>0.56899999999999995</v>
      </c>
      <c r="AP276" s="14">
        <v>0.57899999999999996</v>
      </c>
      <c r="AR276" s="14">
        <v>0.55900000000000005</v>
      </c>
      <c r="AS276" s="14">
        <v>0.55900000000000005</v>
      </c>
      <c r="AT276" s="14">
        <v>0.55900000000000005</v>
      </c>
      <c r="AU276" s="14">
        <v>0.56899999999999995</v>
      </c>
      <c r="AV276" s="14">
        <v>0.56899999999999995</v>
      </c>
      <c r="AW276" s="14">
        <v>0.57899999999999996</v>
      </c>
    </row>
    <row r="277" spans="1:53" x14ac:dyDescent="0.25">
      <c r="A277" s="43" t="s">
        <v>398</v>
      </c>
      <c r="B277" s="14">
        <v>0.61899999999999999</v>
      </c>
      <c r="C277" s="14">
        <v>0.61899999999999999</v>
      </c>
      <c r="D277" s="14">
        <v>0.61899999999999999</v>
      </c>
      <c r="E277" s="14">
        <v>0.629</v>
      </c>
      <c r="F277" s="14">
        <v>0.629</v>
      </c>
      <c r="G277" s="14">
        <v>0.63900000000000001</v>
      </c>
      <c r="H277" s="231"/>
      <c r="I277" s="14">
        <v>0.61899999999999999</v>
      </c>
      <c r="J277" s="14">
        <v>0.61899999999999999</v>
      </c>
      <c r="K277" s="14">
        <v>0.61899999999999999</v>
      </c>
      <c r="L277" s="14">
        <v>0.629</v>
      </c>
      <c r="M277" s="14">
        <v>0.629</v>
      </c>
      <c r="N277" s="14">
        <v>0.63900000000000001</v>
      </c>
      <c r="O277" s="200"/>
      <c r="P277" s="14">
        <v>0.61899999999999999</v>
      </c>
      <c r="Q277" s="14">
        <v>0.61899999999999999</v>
      </c>
      <c r="R277" s="14">
        <v>0.61899999999999999</v>
      </c>
      <c r="S277" s="14">
        <v>0.629</v>
      </c>
      <c r="T277" s="14">
        <v>0.629</v>
      </c>
      <c r="U277" s="14">
        <v>0.63900000000000001</v>
      </c>
      <c r="W277" s="14">
        <v>0.61899999999999999</v>
      </c>
      <c r="X277" s="14">
        <v>0.61899999999999999</v>
      </c>
      <c r="Y277" s="14">
        <v>0.61899999999999999</v>
      </c>
      <c r="Z277" s="14">
        <v>0.629</v>
      </c>
      <c r="AA277" s="14">
        <v>0.629</v>
      </c>
      <c r="AB277" s="14">
        <v>0.63900000000000001</v>
      </c>
      <c r="AD277" s="14">
        <v>0.61899999999999999</v>
      </c>
      <c r="AE277" s="14">
        <v>0.61899999999999999</v>
      </c>
      <c r="AF277" s="14">
        <v>0.61899999999999999</v>
      </c>
      <c r="AG277" s="14">
        <v>0.629</v>
      </c>
      <c r="AH277" s="14">
        <v>0.629</v>
      </c>
      <c r="AI277" s="14">
        <v>0.63900000000000001</v>
      </c>
      <c r="AK277" s="14">
        <v>0.61899999999999999</v>
      </c>
      <c r="AL277" s="14">
        <v>0.61899999999999999</v>
      </c>
      <c r="AM277" s="14">
        <v>0.61899999999999999</v>
      </c>
      <c r="AN277" s="14">
        <v>0.629</v>
      </c>
      <c r="AO277" s="14">
        <v>0.629</v>
      </c>
      <c r="AP277" s="14">
        <v>0.63900000000000001</v>
      </c>
      <c r="AR277" s="14">
        <v>0.61899999999999999</v>
      </c>
      <c r="AS277" s="14">
        <v>0.61899999999999999</v>
      </c>
      <c r="AT277" s="14">
        <v>0.61899999999999999</v>
      </c>
      <c r="AU277" s="14">
        <v>0.629</v>
      </c>
      <c r="AV277" s="14">
        <v>0.629</v>
      </c>
      <c r="AW277" s="14">
        <v>0.63900000000000001</v>
      </c>
    </row>
    <row r="278" spans="1:53" x14ac:dyDescent="0.25">
      <c r="A278" s="43" t="s">
        <v>397</v>
      </c>
      <c r="B278" s="14">
        <v>0.189</v>
      </c>
      <c r="C278" s="14">
        <v>0.189</v>
      </c>
      <c r="D278" s="14">
        <v>0.189</v>
      </c>
      <c r="E278" s="14">
        <v>0.189</v>
      </c>
      <c r="F278" s="14">
        <v>0.189</v>
      </c>
      <c r="G278" s="14">
        <v>0.189</v>
      </c>
      <c r="H278" s="231"/>
      <c r="I278" s="14">
        <v>0.189</v>
      </c>
      <c r="J278" s="14">
        <v>0.189</v>
      </c>
      <c r="K278" s="14">
        <v>0.189</v>
      </c>
      <c r="L278" s="14">
        <v>0.189</v>
      </c>
      <c r="M278" s="14">
        <v>0.189</v>
      </c>
      <c r="N278" s="14">
        <v>0.189</v>
      </c>
      <c r="O278" s="200"/>
      <c r="P278" s="14">
        <v>0.189</v>
      </c>
      <c r="Q278" s="14">
        <v>0.189</v>
      </c>
      <c r="R278" s="14">
        <v>0.189</v>
      </c>
      <c r="S278" s="14">
        <v>0.189</v>
      </c>
      <c r="T278" s="14">
        <v>0.189</v>
      </c>
      <c r="U278" s="14">
        <v>0.189</v>
      </c>
      <c r="W278" s="14">
        <v>0.189</v>
      </c>
      <c r="X278" s="14">
        <v>0.189</v>
      </c>
      <c r="Y278" s="14">
        <v>0.189</v>
      </c>
      <c r="Z278" s="14">
        <v>0.189</v>
      </c>
      <c r="AA278" s="14">
        <v>0.189</v>
      </c>
      <c r="AB278" s="14">
        <v>0.189</v>
      </c>
      <c r="AD278" s="14">
        <v>0.189</v>
      </c>
      <c r="AE278" s="14">
        <v>0.189</v>
      </c>
      <c r="AF278" s="14">
        <v>0.189</v>
      </c>
      <c r="AG278" s="14">
        <v>0.189</v>
      </c>
      <c r="AH278" s="14">
        <v>0.189</v>
      </c>
      <c r="AI278" s="14">
        <v>0.189</v>
      </c>
      <c r="AK278" s="14">
        <v>0.189</v>
      </c>
      <c r="AL278" s="14">
        <v>0.189</v>
      </c>
      <c r="AM278" s="14">
        <v>0.189</v>
      </c>
      <c r="AN278" s="14">
        <v>0.189</v>
      </c>
      <c r="AO278" s="14">
        <v>0.189</v>
      </c>
      <c r="AP278" s="14">
        <v>0.189</v>
      </c>
      <c r="AR278" s="14">
        <v>0.189</v>
      </c>
      <c r="AS278" s="14">
        <v>0.189</v>
      </c>
      <c r="AT278" s="14">
        <v>0.189</v>
      </c>
      <c r="AU278" s="14">
        <v>0.189</v>
      </c>
      <c r="AV278" s="14">
        <v>0.189</v>
      </c>
      <c r="AW278" s="14">
        <v>0.189</v>
      </c>
    </row>
    <row r="279" spans="1:53" x14ac:dyDescent="0.25">
      <c r="A279" s="43" t="s">
        <v>396</v>
      </c>
      <c r="B279" s="14">
        <v>0.67900000000000005</v>
      </c>
      <c r="C279" s="14">
        <v>0.67900000000000005</v>
      </c>
      <c r="D279" s="14">
        <v>0.67900000000000005</v>
      </c>
      <c r="E279" s="14">
        <v>0.67900000000000005</v>
      </c>
      <c r="F279" s="14">
        <v>0.67900000000000005</v>
      </c>
      <c r="G279" s="14">
        <v>0.67900000000000005</v>
      </c>
      <c r="H279" s="231"/>
      <c r="I279" s="14">
        <v>0.67900000000000005</v>
      </c>
      <c r="J279" s="14">
        <v>0.67900000000000005</v>
      </c>
      <c r="K279" s="14">
        <v>0.67900000000000005</v>
      </c>
      <c r="L279" s="14">
        <v>0.67900000000000005</v>
      </c>
      <c r="M279" s="14">
        <v>0.67900000000000005</v>
      </c>
      <c r="N279" s="14">
        <v>0.67900000000000005</v>
      </c>
      <c r="O279" s="200"/>
      <c r="P279" s="14">
        <v>0.67900000000000005</v>
      </c>
      <c r="Q279" s="14">
        <v>0.67900000000000005</v>
      </c>
      <c r="R279" s="14">
        <v>0.67900000000000005</v>
      </c>
      <c r="S279" s="14">
        <v>0.67900000000000005</v>
      </c>
      <c r="T279" s="14">
        <v>0.67900000000000005</v>
      </c>
      <c r="U279" s="14">
        <v>0.67900000000000005</v>
      </c>
      <c r="W279" s="14">
        <v>0.67900000000000005</v>
      </c>
      <c r="X279" s="14">
        <v>0.67900000000000005</v>
      </c>
      <c r="Y279" s="14">
        <v>0.67900000000000005</v>
      </c>
      <c r="Z279" s="14">
        <v>0.67900000000000005</v>
      </c>
      <c r="AA279" s="14">
        <v>0.67900000000000005</v>
      </c>
      <c r="AB279" s="14">
        <v>0.67900000000000005</v>
      </c>
      <c r="AD279" s="14">
        <v>0.67900000000000005</v>
      </c>
      <c r="AE279" s="14">
        <v>0.67900000000000005</v>
      </c>
      <c r="AF279" s="14">
        <v>0.67900000000000005</v>
      </c>
      <c r="AG279" s="14">
        <v>0.67900000000000005</v>
      </c>
      <c r="AH279" s="14">
        <v>0.67900000000000005</v>
      </c>
      <c r="AI279" s="14">
        <v>0.67900000000000005</v>
      </c>
      <c r="AK279" s="14">
        <v>0.67900000000000005</v>
      </c>
      <c r="AL279" s="14">
        <v>0.67900000000000005</v>
      </c>
      <c r="AM279" s="14">
        <v>0.67900000000000005</v>
      </c>
      <c r="AN279" s="14">
        <v>0.67900000000000005</v>
      </c>
      <c r="AO279" s="14">
        <v>0.67900000000000005</v>
      </c>
      <c r="AP279" s="14">
        <v>0.67900000000000005</v>
      </c>
      <c r="AR279" s="14">
        <v>0.67900000000000005</v>
      </c>
      <c r="AS279" s="14">
        <v>0.67900000000000005</v>
      </c>
      <c r="AT279" s="14">
        <v>0.67900000000000005</v>
      </c>
      <c r="AU279" s="14">
        <v>0.67900000000000005</v>
      </c>
      <c r="AV279" s="14">
        <v>0.67900000000000005</v>
      </c>
      <c r="AW279" s="14">
        <v>0.67900000000000005</v>
      </c>
    </row>
    <row r="280" spans="1:53" x14ac:dyDescent="0.25">
      <c r="A280" s="43" t="s">
        <v>395</v>
      </c>
      <c r="B280" s="14">
        <v>0.31</v>
      </c>
      <c r="C280" s="14">
        <v>0.31</v>
      </c>
      <c r="D280" s="14">
        <v>0.31</v>
      </c>
      <c r="E280" s="14">
        <v>0.31</v>
      </c>
      <c r="F280" s="14">
        <v>0.31</v>
      </c>
      <c r="G280" s="14">
        <v>0.31</v>
      </c>
      <c r="H280" s="231"/>
      <c r="I280" s="14">
        <v>0.31</v>
      </c>
      <c r="J280" s="14">
        <v>0.31</v>
      </c>
      <c r="K280" s="14">
        <v>0.31</v>
      </c>
      <c r="L280" s="14">
        <v>0.31</v>
      </c>
      <c r="M280" s="14">
        <v>0.31</v>
      </c>
      <c r="N280" s="14">
        <v>0.31</v>
      </c>
      <c r="O280" s="200"/>
      <c r="P280" s="14">
        <v>0.31</v>
      </c>
      <c r="Q280" s="14">
        <v>0.31</v>
      </c>
      <c r="R280" s="14">
        <v>0.31</v>
      </c>
      <c r="S280" s="14">
        <v>0.31</v>
      </c>
      <c r="T280" s="14">
        <v>0.31</v>
      </c>
      <c r="U280" s="14">
        <v>0.31</v>
      </c>
      <c r="W280" s="14">
        <v>0.31</v>
      </c>
      <c r="X280" s="14">
        <v>0.31</v>
      </c>
      <c r="Y280" s="14">
        <v>0.31</v>
      </c>
      <c r="Z280" s="14">
        <v>0.31</v>
      </c>
      <c r="AA280" s="14">
        <v>0.31</v>
      </c>
      <c r="AB280" s="14">
        <v>0.31</v>
      </c>
      <c r="AD280" s="14">
        <v>0.31</v>
      </c>
      <c r="AE280" s="14">
        <v>0.31</v>
      </c>
      <c r="AF280" s="14">
        <v>0.31</v>
      </c>
      <c r="AG280" s="14">
        <v>0.31</v>
      </c>
      <c r="AH280" s="14">
        <v>0.31</v>
      </c>
      <c r="AI280" s="14">
        <v>0.31</v>
      </c>
      <c r="AK280" s="14">
        <v>0.31</v>
      </c>
      <c r="AL280" s="14">
        <v>0.31</v>
      </c>
      <c r="AM280" s="14">
        <v>0.31</v>
      </c>
      <c r="AN280" s="14">
        <v>0.31</v>
      </c>
      <c r="AO280" s="14">
        <v>0.31</v>
      </c>
      <c r="AP280" s="14">
        <v>0.31</v>
      </c>
      <c r="AR280" s="14">
        <v>0.31</v>
      </c>
      <c r="AS280" s="14">
        <v>0.31</v>
      </c>
      <c r="AT280" s="14">
        <v>0.31</v>
      </c>
      <c r="AU280" s="14">
        <v>0.31</v>
      </c>
      <c r="AV280" s="14">
        <v>0.31</v>
      </c>
      <c r="AW280" s="14">
        <v>0.31</v>
      </c>
    </row>
    <row r="281" spans="1:53" x14ac:dyDescent="0.25">
      <c r="A281" s="50" t="s">
        <v>149</v>
      </c>
      <c r="B281" s="28">
        <f t="shared" ref="B281:G281" si="104">IF(AVERAGE(B5:B6)&lt;51,0.000025*((B6+B5)/2)^2 - 0.01005*((B6+B5)/2) + 1.5955,(0.00000649518*((B5+B6)/2)^2 - 0.00338103746*((B5+B6)/2) + 1.049852))</f>
        <v>0.85122563532500006</v>
      </c>
      <c r="C281" s="28">
        <f t="shared" si="104"/>
        <v>0.77153564522499996</v>
      </c>
      <c r="D281" s="28">
        <f t="shared" si="104"/>
        <v>0.70381228360000003</v>
      </c>
      <c r="E281" s="28">
        <f t="shared" si="104"/>
        <v>0.65170908920000004</v>
      </c>
      <c r="F281" s="28">
        <f t="shared" si="104"/>
        <v>0.62039047080000009</v>
      </c>
      <c r="G281" s="28">
        <f t="shared" si="104"/>
        <v>0.60988816362500009</v>
      </c>
      <c r="H281" s="28"/>
      <c r="I281" s="28">
        <f t="shared" ref="I281:N281" si="105">IF(AVERAGE(I5:I6)&lt;51,0.000025*((I6+I5)/2)^2 - 0.01005*((I6+I5)/2) + 1.5955,(0.00000649518*((I5+I6)/2)^2 - 0.00338103746*((I5+I6)/2) + 1.049852))</f>
        <v>0.85122563532500006</v>
      </c>
      <c r="J281" s="28">
        <f t="shared" si="105"/>
        <v>0.77153564522499996</v>
      </c>
      <c r="K281" s="28">
        <f t="shared" si="105"/>
        <v>0.70381228360000003</v>
      </c>
      <c r="L281" s="28">
        <f t="shared" si="105"/>
        <v>0.65170908920000004</v>
      </c>
      <c r="M281" s="28">
        <f t="shared" si="105"/>
        <v>0.62039047080000009</v>
      </c>
      <c r="N281" s="28">
        <f t="shared" si="105"/>
        <v>0.60988816362500009</v>
      </c>
      <c r="O281" s="200"/>
      <c r="P281" s="28">
        <f t="shared" ref="P281:U281" si="106">IF(AVERAGE(P5:P6)&lt;51,0.000025*((P6+P5)/2)^2 - 0.01005*((P6+P5)/2) + 1.5955,(0.00000649518*((P5+P6)/2)^2 - 0.00338103746*((P5+P6)/2) + 1.049852))</f>
        <v>0.85122563532500006</v>
      </c>
      <c r="Q281" s="28">
        <f t="shared" si="106"/>
        <v>0.77153564522499996</v>
      </c>
      <c r="R281" s="28">
        <f t="shared" si="106"/>
        <v>0.70381228360000003</v>
      </c>
      <c r="S281" s="28">
        <f t="shared" si="106"/>
        <v>0.65170908920000004</v>
      </c>
      <c r="T281" s="28">
        <f t="shared" si="106"/>
        <v>0.62039047080000009</v>
      </c>
      <c r="U281" s="28">
        <f t="shared" si="106"/>
        <v>0.60988816362500009</v>
      </c>
      <c r="W281" s="28">
        <f t="shared" ref="W281:AB281" si="107">IF(AVERAGE(W5:W6)&lt;51,0.000025*((W6+W5)/2)^2 - 0.01005*((W6+W5)/2) + 1.5955,(0.00000649518*((W5+W6)/2)^2 - 0.00338103746*((W5+W6)/2) + 1.049852))</f>
        <v>0.85122563532500006</v>
      </c>
      <c r="X281" s="28">
        <f t="shared" si="107"/>
        <v>0.77153564522499996</v>
      </c>
      <c r="Y281" s="28">
        <f t="shared" si="107"/>
        <v>0.70381228360000003</v>
      </c>
      <c r="Z281" s="28">
        <f t="shared" si="107"/>
        <v>0.65170908920000004</v>
      </c>
      <c r="AA281" s="28">
        <f t="shared" si="107"/>
        <v>0.62039047080000009</v>
      </c>
      <c r="AB281" s="28">
        <f t="shared" si="107"/>
        <v>0.60988816362500009</v>
      </c>
      <c r="AD281" s="28">
        <f t="shared" ref="AD281:AI281" si="108">IF(AVERAGE(AD5:AD6)&lt;51,0.000025*((AD6+AD5)/2)^2 - 0.01005*((AD6+AD5)/2) + 1.5955,(0.00000649518*((AD5+AD6)/2)^2 - 0.00338103746*((AD5+AD6)/2) + 1.049852))</f>
        <v>0.85122563532500006</v>
      </c>
      <c r="AE281" s="28">
        <f t="shared" si="108"/>
        <v>0.77153564522499996</v>
      </c>
      <c r="AF281" s="28">
        <f t="shared" si="108"/>
        <v>0.70381228360000003</v>
      </c>
      <c r="AG281" s="28">
        <f t="shared" si="108"/>
        <v>0.65170908920000004</v>
      </c>
      <c r="AH281" s="28">
        <f t="shared" si="108"/>
        <v>0.62039047080000009</v>
      </c>
      <c r="AI281" s="28">
        <f t="shared" si="108"/>
        <v>0.60988816362500009</v>
      </c>
      <c r="AK281" s="28">
        <f t="shared" ref="AK281:AP281" si="109">IF(AVERAGE(AK5:AK6)&lt;51,0.000025*((AK6+AK5)/2)^2 - 0.01005*((AK6+AK5)/2) + 1.5955,(0.00000649518*((AK5+AK6)/2)^2 - 0.00338103746*((AK5+AK6)/2) + 1.049852))</f>
        <v>0.85122563532500006</v>
      </c>
      <c r="AL281" s="28">
        <f t="shared" si="109"/>
        <v>0.77153564522499996</v>
      </c>
      <c r="AM281" s="28">
        <f t="shared" si="109"/>
        <v>0.70381228360000003</v>
      </c>
      <c r="AN281" s="28">
        <f t="shared" si="109"/>
        <v>0.65170908920000004</v>
      </c>
      <c r="AO281" s="28">
        <f t="shared" si="109"/>
        <v>0.62039047080000009</v>
      </c>
      <c r="AP281" s="28">
        <f t="shared" si="109"/>
        <v>0.60988816362500009</v>
      </c>
      <c r="AR281" s="28">
        <f t="shared" ref="AR281:AW281" si="110">IF(AVERAGE(AR5:AR6)&lt;51,0.000025*((AR6+AR5)/2)^2 - 0.01005*((AR6+AR5)/2) + 1.5955,(0.00000649518*((AR5+AR6)/2)^2 - 0.00338103746*((AR5+AR6)/2) + 1.049852))</f>
        <v>0.85122563532500006</v>
      </c>
      <c r="AS281" s="28">
        <f t="shared" si="110"/>
        <v>0.77153564522499996</v>
      </c>
      <c r="AT281" s="28">
        <f t="shared" si="110"/>
        <v>0.70381228360000003</v>
      </c>
      <c r="AU281" s="28">
        <f t="shared" si="110"/>
        <v>0.65170908920000004</v>
      </c>
      <c r="AV281" s="28">
        <f t="shared" si="110"/>
        <v>0.62039047080000009</v>
      </c>
      <c r="AW281" s="28">
        <f t="shared" si="110"/>
        <v>0.60988816362500009</v>
      </c>
    </row>
    <row r="282" spans="1:53" x14ac:dyDescent="0.25">
      <c r="A282" s="50" t="s">
        <v>150</v>
      </c>
      <c r="B282" s="28">
        <f t="shared" ref="B282:G282" si="111">IF(AVERAGE(B5:B6)&lt;51,0.000025*((B6+B5)/2)^2 - 0.01005*((B6+B5)/2) + 1.5955,0.00000649518*((B6+B5)/2)^2 - 0.00338103746*((B6+B5)/2) + 1.3529)</f>
        <v>1.154273635325</v>
      </c>
      <c r="C282" s="28">
        <f t="shared" si="111"/>
        <v>1.0745836452249999</v>
      </c>
      <c r="D282" s="28">
        <f t="shared" si="111"/>
        <v>1.0068602836</v>
      </c>
      <c r="E282" s="28">
        <f t="shared" si="111"/>
        <v>0.95475708920000002</v>
      </c>
      <c r="F282" s="28">
        <f t="shared" si="111"/>
        <v>0.92343847080000008</v>
      </c>
      <c r="G282" s="28">
        <f t="shared" si="111"/>
        <v>0.91293616362500007</v>
      </c>
      <c r="H282" s="28"/>
      <c r="I282" s="28">
        <f t="shared" ref="I282:N282" si="112">IF(AVERAGE(I5:I6)&lt;51,0.000025*((I6+I5)/2)^2 - 0.01005*((I6+I5)/2) + 1.5955,0.00000649518*((I6+I5)/2)^2 - 0.00338103746*((I6+I5)/2) + 1.3529)</f>
        <v>1.154273635325</v>
      </c>
      <c r="J282" s="28">
        <f t="shared" si="112"/>
        <v>1.0745836452249999</v>
      </c>
      <c r="K282" s="28">
        <f t="shared" si="112"/>
        <v>1.0068602836</v>
      </c>
      <c r="L282" s="28">
        <f t="shared" si="112"/>
        <v>0.95475708920000002</v>
      </c>
      <c r="M282" s="28">
        <f t="shared" si="112"/>
        <v>0.92343847080000008</v>
      </c>
      <c r="N282" s="28">
        <f t="shared" si="112"/>
        <v>0.91293616362500007</v>
      </c>
      <c r="O282" s="28"/>
      <c r="P282" s="28">
        <f t="shared" ref="P282:U282" si="113">IF(AVERAGE(P5:P6)&lt;51,0.000025*((P6+P5)/2)^2 - 0.01005*((P6+P5)/2) + 1.5955,0.00000649518*((P6+P5)/2)^2 - 0.00338103746*((P6+P5)/2) + 1.3529)</f>
        <v>1.154273635325</v>
      </c>
      <c r="Q282" s="28">
        <f t="shared" si="113"/>
        <v>1.0745836452249999</v>
      </c>
      <c r="R282" s="28">
        <f t="shared" si="113"/>
        <v>1.0068602836</v>
      </c>
      <c r="S282" s="28">
        <f t="shared" si="113"/>
        <v>0.95475708920000002</v>
      </c>
      <c r="T282" s="28">
        <f t="shared" si="113"/>
        <v>0.92343847080000008</v>
      </c>
      <c r="U282" s="28">
        <f t="shared" si="113"/>
        <v>0.91293616362500007</v>
      </c>
      <c r="W282" s="28">
        <f t="shared" ref="W282:AB282" si="114">IF(AVERAGE(W5:W6)&lt;51,0.000025*((W6+W5)/2)^2 - 0.01005*((W6+W5)/2) + 1.5955,0.00000649518*((W6+W5)/2)^2 - 0.00338103746*((W6+W5)/2) + 1.3529)</f>
        <v>1.154273635325</v>
      </c>
      <c r="X282" s="28">
        <f t="shared" si="114"/>
        <v>1.0745836452249999</v>
      </c>
      <c r="Y282" s="28">
        <f t="shared" si="114"/>
        <v>1.0068602836</v>
      </c>
      <c r="Z282" s="28">
        <f t="shared" si="114"/>
        <v>0.95475708920000002</v>
      </c>
      <c r="AA282" s="28">
        <f t="shared" si="114"/>
        <v>0.92343847080000008</v>
      </c>
      <c r="AB282" s="28">
        <f t="shared" si="114"/>
        <v>0.91293616362500007</v>
      </c>
      <c r="AD282" s="28">
        <f t="shared" ref="AD282:AI282" si="115">IF(AVERAGE(AD5:AD6)&lt;51,0.000025*((AD6+AD5)/2)^2 - 0.01005*((AD6+AD5)/2) + 1.5955,0.00000649518*((AD6+AD5)/2)^2 - 0.00338103746*((AD6+AD5)/2) + 1.3529)</f>
        <v>1.154273635325</v>
      </c>
      <c r="AE282" s="28">
        <f t="shared" si="115"/>
        <v>1.0745836452249999</v>
      </c>
      <c r="AF282" s="28">
        <f t="shared" si="115"/>
        <v>1.0068602836</v>
      </c>
      <c r="AG282" s="28">
        <f t="shared" si="115"/>
        <v>0.95475708920000002</v>
      </c>
      <c r="AH282" s="28">
        <f t="shared" si="115"/>
        <v>0.92343847080000008</v>
      </c>
      <c r="AI282" s="28">
        <f t="shared" si="115"/>
        <v>0.91293616362500007</v>
      </c>
      <c r="AK282" s="28">
        <f t="shared" ref="AK282:AP282" si="116">IF(AVERAGE(AK5:AK6)&lt;51,0.000025*((AK6+AK5)/2)^2 - 0.01005*((AK6+AK5)/2) + 1.5955,0.00000649518*((AK6+AK5)/2)^2 - 0.00338103746*((AK6+AK5)/2) + 1.3529)</f>
        <v>1.154273635325</v>
      </c>
      <c r="AL282" s="28">
        <f t="shared" si="116"/>
        <v>1.0745836452249999</v>
      </c>
      <c r="AM282" s="28">
        <f t="shared" si="116"/>
        <v>1.0068602836</v>
      </c>
      <c r="AN282" s="28">
        <f t="shared" si="116"/>
        <v>0.95475708920000002</v>
      </c>
      <c r="AO282" s="28">
        <f t="shared" si="116"/>
        <v>0.92343847080000008</v>
      </c>
      <c r="AP282" s="28">
        <f t="shared" si="116"/>
        <v>0.91293616362500007</v>
      </c>
      <c r="AR282" s="28">
        <f t="shared" ref="AR282:AW282" si="117">IF(AVERAGE(AR5:AR6)&lt;51,0.000025*((AR6+AR5)/2)^2 - 0.01005*((AR6+AR5)/2) + 1.5955,0.00000649518*((AR6+AR5)/2)^2 - 0.00338103746*((AR6+AR5)/2) + 1.3529)</f>
        <v>1.154273635325</v>
      </c>
      <c r="AS282" s="28">
        <f t="shared" si="117"/>
        <v>1.0745836452249999</v>
      </c>
      <c r="AT282" s="28">
        <f t="shared" si="117"/>
        <v>1.0068602836</v>
      </c>
      <c r="AU282" s="28">
        <f t="shared" si="117"/>
        <v>0.95475708920000002</v>
      </c>
      <c r="AV282" s="28">
        <f t="shared" si="117"/>
        <v>0.92343847080000008</v>
      </c>
      <c r="AW282" s="28">
        <f t="shared" si="117"/>
        <v>0.91293616362500007</v>
      </c>
    </row>
    <row r="283" spans="1:53" x14ac:dyDescent="0.25">
      <c r="A283" s="15" t="s">
        <v>51</v>
      </c>
      <c r="B283" s="28">
        <f t="shared" ref="B283:G283" si="118">B281*(B246*2.2046)/10000</f>
        <v>0.28053008203811425</v>
      </c>
      <c r="C283" s="28">
        <f t="shared" si="118"/>
        <v>0.2550261869451555</v>
      </c>
      <c r="D283" s="28">
        <f t="shared" si="118"/>
        <v>0.23325719020912211</v>
      </c>
      <c r="E283" s="28">
        <f t="shared" si="118"/>
        <v>0.21659170668863326</v>
      </c>
      <c r="F283" s="28">
        <f t="shared" si="118"/>
        <v>0.20667416767087224</v>
      </c>
      <c r="G283" s="28">
        <f t="shared" si="118"/>
        <v>0.20336945171913379</v>
      </c>
      <c r="H283" s="28"/>
      <c r="I283" s="28">
        <f t="shared" ref="I283:N283" si="119">I281*(I246*2.2046)/10000</f>
        <v>0.28307156540803879</v>
      </c>
      <c r="J283" s="28">
        <f t="shared" si="119"/>
        <v>0.25734302668642206</v>
      </c>
      <c r="K283" s="28">
        <f t="shared" si="119"/>
        <v>0.23538356909284666</v>
      </c>
      <c r="L283" s="28">
        <f t="shared" si="119"/>
        <v>0.21856409882495495</v>
      </c>
      <c r="M283" s="28">
        <f t="shared" si="119"/>
        <v>0.20855123196759132</v>
      </c>
      <c r="N283" s="28">
        <f t="shared" si="119"/>
        <v>0.20521897737839398</v>
      </c>
      <c r="O283" s="28"/>
      <c r="P283" s="28">
        <f t="shared" ref="P283:U283" si="120">P281*(P246*2.2046)/10000</f>
        <v>0.28563440985918986</v>
      </c>
      <c r="Q283" s="28">
        <f t="shared" si="120"/>
        <v>0.25967015644692842</v>
      </c>
      <c r="R283" s="28">
        <f t="shared" si="120"/>
        <v>0.23751878544906707</v>
      </c>
      <c r="S283" s="28">
        <f t="shared" si="120"/>
        <v>0.22053692635377065</v>
      </c>
      <c r="T283" s="28">
        <f t="shared" si="120"/>
        <v>0.21042868579786245</v>
      </c>
      <c r="U283" s="28">
        <f t="shared" si="120"/>
        <v>0.20706709709843804</v>
      </c>
      <c r="W283" s="28">
        <f t="shared" ref="W283:AB283" si="121">W281*(W246*2.2046)/10000</f>
        <v>0.28821765742521011</v>
      </c>
      <c r="X283" s="28">
        <f t="shared" si="121"/>
        <v>0.26202488439689303</v>
      </c>
      <c r="Y283" s="28">
        <f t="shared" si="121"/>
        <v>0.23966063314276556</v>
      </c>
      <c r="Z283" s="28">
        <f t="shared" si="121"/>
        <v>0.22253266156130325</v>
      </c>
      <c r="AA283" s="28">
        <f t="shared" si="121"/>
        <v>0.21233236747940154</v>
      </c>
      <c r="AB283" s="28">
        <f t="shared" si="121"/>
        <v>0.20892221617704687</v>
      </c>
      <c r="AD283" s="28">
        <f t="shared" ref="AD283:AI283" si="122">AD281*(AD246*2.2046)/10000</f>
        <v>0.29081341843398795</v>
      </c>
      <c r="AE283" s="28">
        <f t="shared" si="122"/>
        <v>0.26437039540447649</v>
      </c>
      <c r="AF283" s="28">
        <f t="shared" si="122"/>
        <v>0.24181563291371791</v>
      </c>
      <c r="AG283" s="28">
        <f t="shared" si="122"/>
        <v>0.224526058357508</v>
      </c>
      <c r="AH283" s="28">
        <f t="shared" si="122"/>
        <v>0.21419596727049112</v>
      </c>
      <c r="AI283" s="28">
        <f t="shared" si="122"/>
        <v>0.21075821663499009</v>
      </c>
      <c r="AK283" s="28">
        <f t="shared" ref="AK283:AP283" si="123">AK281*(AK246*2.2046)/10000</f>
        <v>0.29339509056467555</v>
      </c>
      <c r="AL283" s="28">
        <f t="shared" si="123"/>
        <v>0.26671407970737598</v>
      </c>
      <c r="AM283" s="28">
        <f t="shared" si="123"/>
        <v>0.24394528358461204</v>
      </c>
      <c r="AN283" s="28">
        <f t="shared" si="123"/>
        <v>0.22647475583575019</v>
      </c>
      <c r="AO283" s="28">
        <f t="shared" si="123"/>
        <v>0.21606190883309528</v>
      </c>
      <c r="AP283" s="28">
        <f t="shared" si="123"/>
        <v>0.21259486399574384</v>
      </c>
      <c r="AR283" s="28">
        <f t="shared" ref="AR283:AW283" si="124">AR281*(AR246*2.2046)/10000</f>
        <v>0.29600674595381743</v>
      </c>
      <c r="AS283" s="28">
        <f t="shared" si="124"/>
        <v>0.26905374993294684</v>
      </c>
      <c r="AT283" s="28">
        <f t="shared" si="124"/>
        <v>0.24608467124911007</v>
      </c>
      <c r="AU283" s="28">
        <f t="shared" si="124"/>
        <v>0.22843130862949415</v>
      </c>
      <c r="AV283" s="28">
        <f t="shared" si="124"/>
        <v>0.21792789810469809</v>
      </c>
      <c r="AW283" s="28">
        <f t="shared" si="124"/>
        <v>0.21443152871298513</v>
      </c>
    </row>
    <row r="284" spans="1:53" x14ac:dyDescent="0.25">
      <c r="A284" s="15" t="s">
        <v>375</v>
      </c>
      <c r="B284" s="28">
        <f t="shared" ref="B284:G284" si="125" xml:space="preserve"> -0.096629122*LN(AVERAGE(B5:B6)/2.2046) + 0.7201091526</f>
        <v>0.38948473530861316</v>
      </c>
      <c r="C284" s="28">
        <f t="shared" si="125"/>
        <v>0.34911934963648045</v>
      </c>
      <c r="D284" s="28">
        <f t="shared" si="125"/>
        <v>0.31899235830889017</v>
      </c>
      <c r="E284" s="28">
        <f t="shared" si="125"/>
        <v>0.29470806575817415</v>
      </c>
      <c r="F284" s="28">
        <f t="shared" si="125"/>
        <v>0.27531743264453717</v>
      </c>
      <c r="G284" s="28">
        <f t="shared" si="125"/>
        <v>0.25825045546730907</v>
      </c>
      <c r="H284" s="28"/>
      <c r="I284" s="28">
        <f t="shared" ref="I284:N284" si="126" xml:space="preserve"> -0.096629122*LN(AVERAGE(I5:I6)/2.2046) + 0.7201091526</f>
        <v>0.38948473530861316</v>
      </c>
      <c r="J284" s="28">
        <f t="shared" si="126"/>
        <v>0.34911934963648045</v>
      </c>
      <c r="K284" s="28">
        <f t="shared" si="126"/>
        <v>0.31899235830889017</v>
      </c>
      <c r="L284" s="28">
        <f t="shared" si="126"/>
        <v>0.29470806575817415</v>
      </c>
      <c r="M284" s="28">
        <f t="shared" si="126"/>
        <v>0.27531743264453717</v>
      </c>
      <c r="N284" s="28">
        <f t="shared" si="126"/>
        <v>0.25825045546730907</v>
      </c>
      <c r="O284" s="28"/>
      <c r="P284" s="28">
        <f t="shared" ref="P284:U284" si="127" xml:space="preserve"> -0.096629122*LN(AVERAGE(P5:P6)/2.2046) + 0.7201091526</f>
        <v>0.38948473530861316</v>
      </c>
      <c r="Q284" s="28">
        <f t="shared" si="127"/>
        <v>0.34911934963648045</v>
      </c>
      <c r="R284" s="28">
        <f t="shared" si="127"/>
        <v>0.31899235830889017</v>
      </c>
      <c r="S284" s="28">
        <f t="shared" si="127"/>
        <v>0.29470806575817415</v>
      </c>
      <c r="T284" s="28">
        <f t="shared" si="127"/>
        <v>0.27531743264453717</v>
      </c>
      <c r="U284" s="28">
        <f t="shared" si="127"/>
        <v>0.25825045546730907</v>
      </c>
      <c r="W284" s="28">
        <f t="shared" ref="W284:AB284" si="128" xml:space="preserve"> -0.096629122*LN(AVERAGE(W5:W6)/2.2046) + 0.7201091526</f>
        <v>0.38948473530861316</v>
      </c>
      <c r="X284" s="28">
        <f t="shared" si="128"/>
        <v>0.34911934963648045</v>
      </c>
      <c r="Y284" s="28">
        <f t="shared" si="128"/>
        <v>0.31899235830889017</v>
      </c>
      <c r="Z284" s="28">
        <f t="shared" si="128"/>
        <v>0.29470806575817415</v>
      </c>
      <c r="AA284" s="28">
        <f t="shared" si="128"/>
        <v>0.27531743264453717</v>
      </c>
      <c r="AB284" s="28">
        <f t="shared" si="128"/>
        <v>0.25825045546730907</v>
      </c>
      <c r="AD284" s="28">
        <f t="shared" ref="AD284:AI284" si="129" xml:space="preserve"> -0.096629122*LN(AVERAGE(AD5:AD6)/2.2046) + 0.7201091526</f>
        <v>0.38948473530861316</v>
      </c>
      <c r="AE284" s="28">
        <f t="shared" si="129"/>
        <v>0.34911934963648045</v>
      </c>
      <c r="AF284" s="28">
        <f t="shared" si="129"/>
        <v>0.31899235830889017</v>
      </c>
      <c r="AG284" s="28">
        <f t="shared" si="129"/>
        <v>0.29470806575817415</v>
      </c>
      <c r="AH284" s="28">
        <f t="shared" si="129"/>
        <v>0.27531743264453717</v>
      </c>
      <c r="AI284" s="28">
        <f t="shared" si="129"/>
        <v>0.25825045546730907</v>
      </c>
      <c r="AK284" s="28">
        <f t="shared" ref="AK284:AP284" si="130" xml:space="preserve"> -0.096629122*LN(AVERAGE(AK5:AK6)/2.2046) + 0.7201091526</f>
        <v>0.38948473530861316</v>
      </c>
      <c r="AL284" s="28">
        <f t="shared" si="130"/>
        <v>0.34911934963648045</v>
      </c>
      <c r="AM284" s="28">
        <f t="shared" si="130"/>
        <v>0.31899235830889017</v>
      </c>
      <c r="AN284" s="28">
        <f t="shared" si="130"/>
        <v>0.29470806575817415</v>
      </c>
      <c r="AO284" s="28">
        <f t="shared" si="130"/>
        <v>0.27531743264453717</v>
      </c>
      <c r="AP284" s="28">
        <f t="shared" si="130"/>
        <v>0.25825045546730907</v>
      </c>
      <c r="AR284" s="28">
        <f t="shared" ref="AR284:AW284" si="131" xml:space="preserve"> -0.096629122*LN(AVERAGE(AR5:AR6)/2.2046) + 0.7201091526</f>
        <v>0.38948473530861316</v>
      </c>
      <c r="AS284" s="28">
        <f t="shared" si="131"/>
        <v>0.34911934963648045</v>
      </c>
      <c r="AT284" s="28">
        <f t="shared" si="131"/>
        <v>0.31899235830889017</v>
      </c>
      <c r="AU284" s="28">
        <f t="shared" si="131"/>
        <v>0.29470806575817415</v>
      </c>
      <c r="AV284" s="28">
        <f t="shared" si="131"/>
        <v>0.27531743264453717</v>
      </c>
      <c r="AW284" s="28">
        <f t="shared" si="131"/>
        <v>0.25825045546730907</v>
      </c>
    </row>
    <row r="285" spans="1:53" x14ac:dyDescent="0.25">
      <c r="A285" s="50" t="s">
        <v>154</v>
      </c>
      <c r="B285" s="26">
        <v>1</v>
      </c>
      <c r="C285" s="26">
        <v>1</v>
      </c>
      <c r="D285" s="26">
        <v>1</v>
      </c>
      <c r="E285" s="26">
        <v>1</v>
      </c>
      <c r="F285" s="26">
        <v>1</v>
      </c>
      <c r="G285" s="26">
        <v>1</v>
      </c>
      <c r="H285" s="26"/>
      <c r="I285" s="26">
        <v>1</v>
      </c>
      <c r="J285" s="26">
        <v>1</v>
      </c>
      <c r="K285" s="26">
        <v>1</v>
      </c>
      <c r="L285" s="26">
        <v>1</v>
      </c>
      <c r="M285" s="26">
        <v>1</v>
      </c>
      <c r="N285" s="26">
        <v>1</v>
      </c>
      <c r="O285" s="28"/>
      <c r="P285" s="26">
        <v>1</v>
      </c>
      <c r="Q285" s="26">
        <v>1</v>
      </c>
      <c r="R285" s="26">
        <v>1</v>
      </c>
      <c r="S285" s="26">
        <v>1</v>
      </c>
      <c r="T285" s="26">
        <v>1</v>
      </c>
      <c r="U285" s="26">
        <v>1</v>
      </c>
      <c r="W285" s="26">
        <v>1</v>
      </c>
      <c r="X285" s="26">
        <v>1</v>
      </c>
      <c r="Y285" s="26">
        <v>1</v>
      </c>
      <c r="Z285" s="26">
        <v>1</v>
      </c>
      <c r="AA285" s="26">
        <v>1</v>
      </c>
      <c r="AB285" s="26">
        <v>1</v>
      </c>
      <c r="AD285" s="26">
        <v>1</v>
      </c>
      <c r="AE285" s="26">
        <v>1</v>
      </c>
      <c r="AF285" s="26">
        <v>1</v>
      </c>
      <c r="AG285" s="26">
        <v>1</v>
      </c>
      <c r="AH285" s="26">
        <v>1</v>
      </c>
      <c r="AI285" s="26">
        <v>1</v>
      </c>
      <c r="AK285" s="26">
        <v>1</v>
      </c>
      <c r="AL285" s="26">
        <v>1</v>
      </c>
      <c r="AM285" s="26">
        <v>1</v>
      </c>
      <c r="AN285" s="26">
        <v>1</v>
      </c>
      <c r="AO285" s="26">
        <v>1</v>
      </c>
      <c r="AP285" s="26">
        <v>1</v>
      </c>
      <c r="AR285" s="26">
        <v>1</v>
      </c>
      <c r="AS285" s="26">
        <v>1</v>
      </c>
      <c r="AT285" s="26">
        <v>1</v>
      </c>
      <c r="AU285" s="26">
        <v>1</v>
      </c>
      <c r="AV285" s="26">
        <v>1</v>
      </c>
      <c r="AW285" s="26">
        <v>1</v>
      </c>
    </row>
    <row r="286" spans="1:53" x14ac:dyDescent="0.25">
      <c r="A286" s="50" t="s">
        <v>153</v>
      </c>
      <c r="B286" s="26">
        <v>1.5</v>
      </c>
      <c r="C286" s="26">
        <v>1.5</v>
      </c>
      <c r="D286" s="26">
        <v>1.5</v>
      </c>
      <c r="E286" s="26">
        <v>1.5</v>
      </c>
      <c r="F286" s="26">
        <v>1.5</v>
      </c>
      <c r="G286" s="26">
        <v>1.5</v>
      </c>
      <c r="H286" s="26"/>
      <c r="I286" s="26">
        <v>1.5</v>
      </c>
      <c r="J286" s="26">
        <v>1.5</v>
      </c>
      <c r="K286" s="26">
        <v>1.5</v>
      </c>
      <c r="L286" s="26">
        <v>1.5</v>
      </c>
      <c r="M286" s="26">
        <v>1.5</v>
      </c>
      <c r="N286" s="26">
        <v>1.5</v>
      </c>
      <c r="O286" s="26"/>
      <c r="P286" s="26">
        <v>1.5</v>
      </c>
      <c r="Q286" s="26">
        <v>1.5</v>
      </c>
      <c r="R286" s="26">
        <v>1.5</v>
      </c>
      <c r="S286" s="26">
        <v>1.5</v>
      </c>
      <c r="T286" s="26">
        <v>1.5</v>
      </c>
      <c r="U286" s="26">
        <v>1.5</v>
      </c>
      <c r="W286" s="26">
        <v>1.5</v>
      </c>
      <c r="X286" s="26">
        <v>1.5</v>
      </c>
      <c r="Y286" s="26">
        <v>1.5</v>
      </c>
      <c r="Z286" s="26">
        <v>1.5</v>
      </c>
      <c r="AA286" s="26">
        <v>1.5</v>
      </c>
      <c r="AB286" s="26">
        <v>1.5</v>
      </c>
      <c r="AD286" s="26">
        <v>1.5</v>
      </c>
      <c r="AE286" s="26">
        <v>1.5</v>
      </c>
      <c r="AF286" s="26">
        <v>1.5</v>
      </c>
      <c r="AG286" s="26">
        <v>1.5</v>
      </c>
      <c r="AH286" s="26">
        <v>1.5</v>
      </c>
      <c r="AI286" s="26">
        <v>1.5</v>
      </c>
      <c r="AK286" s="26">
        <v>1.5</v>
      </c>
      <c r="AL286" s="26">
        <v>1.5</v>
      </c>
      <c r="AM286" s="26">
        <v>1.5</v>
      </c>
      <c r="AN286" s="26">
        <v>1.5</v>
      </c>
      <c r="AO286" s="26">
        <v>1.5</v>
      </c>
      <c r="AP286" s="26">
        <v>1.5</v>
      </c>
      <c r="AR286" s="26">
        <v>1.5</v>
      </c>
      <c r="AS286" s="26">
        <v>1.5</v>
      </c>
      <c r="AT286" s="26">
        <v>1.5</v>
      </c>
      <c r="AU286" s="26">
        <v>1.5</v>
      </c>
      <c r="AV286" s="26">
        <v>1.5</v>
      </c>
      <c r="AW286" s="26">
        <v>1.5</v>
      </c>
    </row>
    <row r="287" spans="1:53" x14ac:dyDescent="0.25">
      <c r="A287" s="50" t="s">
        <v>368</v>
      </c>
      <c r="B287" s="33">
        <f t="shared" ref="B287:G287" si="132">-0.12264*LN(AVERAGE(B5:B6)/2.2046) + 1.07262</f>
        <v>0.65299724345031629</v>
      </c>
      <c r="C287" s="33">
        <f t="shared" si="132"/>
        <v>0.60176619843647083</v>
      </c>
      <c r="D287" s="33">
        <f t="shared" si="132"/>
        <v>0.56352954534532851</v>
      </c>
      <c r="E287" s="33">
        <f t="shared" si="132"/>
        <v>0.53270834386095811</v>
      </c>
      <c r="F287" s="33">
        <f t="shared" si="132"/>
        <v>0.50809808976948001</v>
      </c>
      <c r="G287" s="33">
        <f t="shared" si="132"/>
        <v>0.48643697935376851</v>
      </c>
      <c r="H287" s="33"/>
      <c r="I287" s="33">
        <f t="shared" ref="I287:N287" si="133">-0.12264*LN(AVERAGE(I5:I6)/2.2046) + 1.07262</f>
        <v>0.65299724345031629</v>
      </c>
      <c r="J287" s="33">
        <f t="shared" si="133"/>
        <v>0.60176619843647083</v>
      </c>
      <c r="K287" s="33">
        <f t="shared" si="133"/>
        <v>0.56352954534532851</v>
      </c>
      <c r="L287" s="33">
        <f t="shared" si="133"/>
        <v>0.53270834386095811</v>
      </c>
      <c r="M287" s="33">
        <f t="shared" si="133"/>
        <v>0.50809808976948001</v>
      </c>
      <c r="N287" s="33">
        <f t="shared" si="133"/>
        <v>0.48643697935376851</v>
      </c>
      <c r="O287" s="26"/>
      <c r="P287" s="33">
        <f t="shared" ref="P287:U287" si="134">-0.12264*LN(AVERAGE(P5:P6)/2.2046) + 1.07262</f>
        <v>0.65299724345031629</v>
      </c>
      <c r="Q287" s="33">
        <f t="shared" si="134"/>
        <v>0.60176619843647083</v>
      </c>
      <c r="R287" s="33">
        <f t="shared" si="134"/>
        <v>0.56352954534532851</v>
      </c>
      <c r="S287" s="33">
        <f t="shared" si="134"/>
        <v>0.53270834386095811</v>
      </c>
      <c r="T287" s="33">
        <f t="shared" si="134"/>
        <v>0.50809808976948001</v>
      </c>
      <c r="U287" s="33">
        <f t="shared" si="134"/>
        <v>0.48643697935376851</v>
      </c>
      <c r="W287" s="33">
        <f t="shared" ref="W287:AB287" si="135">-0.12264*LN(AVERAGE(W5:W6)/2.2046) + 1.07262</f>
        <v>0.65299724345031629</v>
      </c>
      <c r="X287" s="33">
        <f t="shared" si="135"/>
        <v>0.60176619843647083</v>
      </c>
      <c r="Y287" s="33">
        <f t="shared" si="135"/>
        <v>0.56352954534532851</v>
      </c>
      <c r="Z287" s="33">
        <f t="shared" si="135"/>
        <v>0.53270834386095811</v>
      </c>
      <c r="AA287" s="33">
        <f t="shared" si="135"/>
        <v>0.50809808976948001</v>
      </c>
      <c r="AB287" s="33">
        <f t="shared" si="135"/>
        <v>0.48643697935376851</v>
      </c>
      <c r="AD287" s="33">
        <f t="shared" ref="AD287:AI287" si="136">-0.12264*LN(AVERAGE(AD5:AD6)/2.2046) + 1.07262</f>
        <v>0.65299724345031629</v>
      </c>
      <c r="AE287" s="33">
        <f t="shared" si="136"/>
        <v>0.60176619843647083</v>
      </c>
      <c r="AF287" s="33">
        <f t="shared" si="136"/>
        <v>0.56352954534532851</v>
      </c>
      <c r="AG287" s="33">
        <f t="shared" si="136"/>
        <v>0.53270834386095811</v>
      </c>
      <c r="AH287" s="33">
        <f t="shared" si="136"/>
        <v>0.50809808976948001</v>
      </c>
      <c r="AI287" s="33">
        <f t="shared" si="136"/>
        <v>0.48643697935376851</v>
      </c>
      <c r="AK287" s="33">
        <f t="shared" ref="AK287:AP287" si="137">-0.12264*LN(AVERAGE(AK5:AK6)/2.2046) + 1.07262</f>
        <v>0.65299724345031629</v>
      </c>
      <c r="AL287" s="33">
        <f t="shared" si="137"/>
        <v>0.60176619843647083</v>
      </c>
      <c r="AM287" s="33">
        <f t="shared" si="137"/>
        <v>0.56352954534532851</v>
      </c>
      <c r="AN287" s="33">
        <f t="shared" si="137"/>
        <v>0.53270834386095811</v>
      </c>
      <c r="AO287" s="33">
        <f t="shared" si="137"/>
        <v>0.50809808976948001</v>
      </c>
      <c r="AP287" s="33">
        <f t="shared" si="137"/>
        <v>0.48643697935376851</v>
      </c>
      <c r="AR287" s="33">
        <f t="shared" ref="AR287:AW287" si="138">-0.12264*LN(AVERAGE(AR5:AR6)/2.2046) + 1.07262</f>
        <v>0.65299724345031629</v>
      </c>
      <c r="AS287" s="33">
        <f t="shared" si="138"/>
        <v>0.60176619843647083</v>
      </c>
      <c r="AT287" s="33">
        <f t="shared" si="138"/>
        <v>0.56352954534532851</v>
      </c>
      <c r="AU287" s="33">
        <f t="shared" si="138"/>
        <v>0.53270834386095811</v>
      </c>
      <c r="AV287" s="33">
        <f t="shared" si="138"/>
        <v>0.50809808976948001</v>
      </c>
      <c r="AW287" s="33">
        <f t="shared" si="138"/>
        <v>0.48643697935376851</v>
      </c>
    </row>
    <row r="288" spans="1:53" x14ac:dyDescent="0.25">
      <c r="A288" s="50" t="s">
        <v>370</v>
      </c>
      <c r="B288" s="33">
        <v>0.4</v>
      </c>
      <c r="C288" s="33">
        <v>0.36</v>
      </c>
      <c r="D288" s="33">
        <v>0.32</v>
      </c>
      <c r="E288" s="33">
        <v>0.28999999999999998</v>
      </c>
      <c r="F288" s="33">
        <v>0.27</v>
      </c>
      <c r="G288" s="33">
        <v>0.26</v>
      </c>
      <c r="H288" s="33"/>
      <c r="I288" s="33">
        <v>0.4</v>
      </c>
      <c r="J288" s="33">
        <v>0.36</v>
      </c>
      <c r="K288" s="33">
        <v>0.32</v>
      </c>
      <c r="L288" s="33">
        <v>0.28999999999999998</v>
      </c>
      <c r="M288" s="33">
        <v>0.27</v>
      </c>
      <c r="N288" s="33">
        <v>0.26</v>
      </c>
      <c r="O288" s="33"/>
      <c r="P288" s="33">
        <v>0.4</v>
      </c>
      <c r="Q288" s="33">
        <v>0.36</v>
      </c>
      <c r="R288" s="33">
        <v>0.32</v>
      </c>
      <c r="S288" s="33">
        <v>0.28999999999999998</v>
      </c>
      <c r="T288" s="33">
        <v>0.27</v>
      </c>
      <c r="U288" s="33">
        <v>0.26</v>
      </c>
      <c r="W288" s="33">
        <v>0.4</v>
      </c>
      <c r="X288" s="33">
        <v>0.36</v>
      </c>
      <c r="Y288" s="33">
        <v>0.32</v>
      </c>
      <c r="Z288" s="33">
        <v>0.28999999999999998</v>
      </c>
      <c r="AA288" s="33">
        <v>0.27</v>
      </c>
      <c r="AB288" s="33">
        <v>0.26</v>
      </c>
      <c r="AD288" s="33">
        <v>0.4</v>
      </c>
      <c r="AE288" s="33">
        <v>0.36</v>
      </c>
      <c r="AF288" s="33">
        <v>0.32</v>
      </c>
      <c r="AG288" s="33">
        <v>0.28999999999999998</v>
      </c>
      <c r="AH288" s="33">
        <v>0.27</v>
      </c>
      <c r="AI288" s="33">
        <v>0.26</v>
      </c>
      <c r="AK288" s="33">
        <v>0.4</v>
      </c>
      <c r="AL288" s="33">
        <v>0.36</v>
      </c>
      <c r="AM288" s="33">
        <v>0.32</v>
      </c>
      <c r="AN288" s="33">
        <v>0.28999999999999998</v>
      </c>
      <c r="AO288" s="33">
        <v>0.27</v>
      </c>
      <c r="AP288" s="33">
        <v>0.26</v>
      </c>
      <c r="AR288" s="33">
        <v>0.4</v>
      </c>
      <c r="AS288" s="33">
        <v>0.36</v>
      </c>
      <c r="AT288" s="33">
        <v>0.32</v>
      </c>
      <c r="AU288" s="33">
        <v>0.28999999999999998</v>
      </c>
      <c r="AV288" s="33">
        <v>0.27</v>
      </c>
      <c r="AW288" s="33">
        <v>0.26</v>
      </c>
    </row>
    <row r="289" spans="1:49" x14ac:dyDescent="0.25">
      <c r="A289" s="50" t="s">
        <v>369</v>
      </c>
      <c r="B289" s="33">
        <v>1.74</v>
      </c>
      <c r="C289" s="33">
        <v>1.74</v>
      </c>
      <c r="D289" s="33">
        <v>1.79</v>
      </c>
      <c r="E289" s="33">
        <v>1.79</v>
      </c>
      <c r="F289" s="33">
        <v>1.77</v>
      </c>
      <c r="G289" s="33">
        <v>1.77</v>
      </c>
      <c r="H289" s="33"/>
      <c r="I289" s="33">
        <v>1.74</v>
      </c>
      <c r="J289" s="33">
        <v>1.74</v>
      </c>
      <c r="K289" s="33">
        <v>1.79</v>
      </c>
      <c r="L289" s="33">
        <v>1.79</v>
      </c>
      <c r="M289" s="33">
        <v>1.77</v>
      </c>
      <c r="N289" s="33">
        <v>1.77</v>
      </c>
      <c r="O289" s="33"/>
      <c r="P289" s="33">
        <v>1.74</v>
      </c>
      <c r="Q289" s="33">
        <v>1.74</v>
      </c>
      <c r="R289" s="33">
        <v>1.79</v>
      </c>
      <c r="S289" s="33">
        <v>1.79</v>
      </c>
      <c r="T289" s="33">
        <v>1.77</v>
      </c>
      <c r="U289" s="33">
        <v>1.77</v>
      </c>
      <c r="W289" s="33">
        <v>1.74</v>
      </c>
      <c r="X289" s="33">
        <v>1.74</v>
      </c>
      <c r="Y289" s="33">
        <v>1.79</v>
      </c>
      <c r="Z289" s="33">
        <v>1.79</v>
      </c>
      <c r="AA289" s="33">
        <v>1.77</v>
      </c>
      <c r="AB289" s="33">
        <v>1.77</v>
      </c>
      <c r="AD289" s="33">
        <v>1.74</v>
      </c>
      <c r="AE289" s="33">
        <v>1.74</v>
      </c>
      <c r="AF289" s="33">
        <v>1.79</v>
      </c>
      <c r="AG289" s="33">
        <v>1.79</v>
      </c>
      <c r="AH289" s="33">
        <v>1.77</v>
      </c>
      <c r="AI289" s="33">
        <v>1.77</v>
      </c>
      <c r="AK289" s="33">
        <v>1.74</v>
      </c>
      <c r="AL289" s="33">
        <v>1.74</v>
      </c>
      <c r="AM289" s="33">
        <v>1.79</v>
      </c>
      <c r="AN289" s="33">
        <v>1.79</v>
      </c>
      <c r="AO289" s="33">
        <v>1.77</v>
      </c>
      <c r="AP289" s="33">
        <v>1.77</v>
      </c>
      <c r="AR289" s="33">
        <v>1.74</v>
      </c>
      <c r="AS289" s="33">
        <v>1.74</v>
      </c>
      <c r="AT289" s="33">
        <v>1.79</v>
      </c>
      <c r="AU289" s="33">
        <v>1.79</v>
      </c>
      <c r="AV289" s="33">
        <v>1.77</v>
      </c>
      <c r="AW289" s="33">
        <v>1.77</v>
      </c>
    </row>
    <row r="290" spans="1:49" x14ac:dyDescent="0.25">
      <c r="A290" s="50" t="s">
        <v>152</v>
      </c>
      <c r="B290" s="26">
        <v>7.3</v>
      </c>
      <c r="C290" s="26">
        <v>8.3000000000000007</v>
      </c>
      <c r="D290" s="26">
        <v>9.3000000000000007</v>
      </c>
      <c r="E290" s="26">
        <v>10.3</v>
      </c>
      <c r="F290" s="26">
        <v>11.3</v>
      </c>
      <c r="G290" s="26">
        <v>11.3</v>
      </c>
      <c r="H290" s="26"/>
      <c r="I290" s="26">
        <v>7.3</v>
      </c>
      <c r="J290" s="26">
        <v>8.3000000000000007</v>
      </c>
      <c r="K290" s="26">
        <v>9.3000000000000007</v>
      </c>
      <c r="L290" s="26">
        <v>10.3</v>
      </c>
      <c r="M290" s="26">
        <v>11.3</v>
      </c>
      <c r="N290" s="26">
        <v>11.3</v>
      </c>
      <c r="O290" s="33"/>
      <c r="P290" s="26">
        <v>7.3</v>
      </c>
      <c r="Q290" s="26">
        <v>8.3000000000000007</v>
      </c>
      <c r="R290" s="26">
        <v>9.3000000000000007</v>
      </c>
      <c r="S290" s="26">
        <v>10.3</v>
      </c>
      <c r="T290" s="26">
        <v>11.3</v>
      </c>
      <c r="U290" s="26">
        <v>11.3</v>
      </c>
      <c r="W290" s="26">
        <v>7.3</v>
      </c>
      <c r="X290" s="26">
        <v>8.3000000000000007</v>
      </c>
      <c r="Y290" s="26">
        <v>9.3000000000000007</v>
      </c>
      <c r="Z290" s="26">
        <v>10.3</v>
      </c>
      <c r="AA290" s="26">
        <v>11.3</v>
      </c>
      <c r="AB290" s="26">
        <v>11.3</v>
      </c>
      <c r="AD290" s="26">
        <v>7.3</v>
      </c>
      <c r="AE290" s="26">
        <v>8.3000000000000007</v>
      </c>
      <c r="AF290" s="26">
        <v>9.3000000000000007</v>
      </c>
      <c r="AG290" s="26">
        <v>10.3</v>
      </c>
      <c r="AH290" s="26">
        <v>11.3</v>
      </c>
      <c r="AI290" s="26">
        <v>11.3</v>
      </c>
      <c r="AK290" s="26">
        <v>7.3</v>
      </c>
      <c r="AL290" s="26">
        <v>8.3000000000000007</v>
      </c>
      <c r="AM290" s="26">
        <v>9.3000000000000007</v>
      </c>
      <c r="AN290" s="26">
        <v>10.3</v>
      </c>
      <c r="AO290" s="26">
        <v>11.3</v>
      </c>
      <c r="AP290" s="26">
        <v>11.3</v>
      </c>
      <c r="AR290" s="26">
        <v>7.3</v>
      </c>
      <c r="AS290" s="26">
        <v>8.3000000000000007</v>
      </c>
      <c r="AT290" s="26">
        <v>9.3000000000000007</v>
      </c>
      <c r="AU290" s="26">
        <v>10.3</v>
      </c>
      <c r="AV290" s="26">
        <v>11.3</v>
      </c>
      <c r="AW290" s="26">
        <v>11.3</v>
      </c>
    </row>
    <row r="291" spans="1:49" x14ac:dyDescent="0.25">
      <c r="A291" s="15"/>
      <c r="B291" s="26"/>
      <c r="C291" s="26"/>
      <c r="D291" s="26"/>
      <c r="E291" s="26"/>
      <c r="F291" s="26"/>
      <c r="G291" s="26"/>
      <c r="H291" s="26"/>
      <c r="I291" s="26"/>
      <c r="J291" s="26"/>
      <c r="K291" s="26"/>
      <c r="L291" s="26"/>
      <c r="M291" s="26"/>
      <c r="N291" s="26"/>
      <c r="O291" s="26"/>
      <c r="P291" s="26"/>
      <c r="Q291" s="26"/>
      <c r="R291" s="26"/>
      <c r="S291" s="26"/>
      <c r="T291" s="26"/>
      <c r="U291" s="26"/>
      <c r="W291" s="26"/>
      <c r="X291" s="26"/>
      <c r="Y291" s="26"/>
      <c r="Z291" s="26"/>
      <c r="AA291" s="26"/>
      <c r="AB291" s="26"/>
      <c r="AD291" s="26"/>
      <c r="AE291" s="26"/>
      <c r="AF291" s="26"/>
      <c r="AG291" s="26"/>
      <c r="AH291" s="26"/>
      <c r="AI291" s="26"/>
      <c r="AK291" s="26"/>
      <c r="AL291" s="26"/>
      <c r="AM291" s="26"/>
      <c r="AN291" s="26"/>
      <c r="AO291" s="26"/>
      <c r="AP291" s="26"/>
      <c r="AR291" s="26"/>
      <c r="AS291" s="26"/>
      <c r="AT291" s="26"/>
      <c r="AU291" s="26"/>
      <c r="AV291" s="26"/>
      <c r="AW291" s="26"/>
    </row>
    <row r="292" spans="1:49" x14ac:dyDescent="0.25">
      <c r="A292" s="41" t="s">
        <v>349</v>
      </c>
      <c r="B292" s="33">
        <f t="shared" ref="B292:G292" si="139">IF(AVERAGE(B5:B6)&lt;15,-0.0525*((B5+B6)/2) + 5.0586,IF(AVERAGE(B5:B6)&lt;50,(-0.007855*((B5+B6)/2) + 4.1),(0.000025*((B5+B6)/2)^2 - 0.016*((B5+B6)/2)+ 4.53)*0.87))</f>
        <v>3.1005984375</v>
      </c>
      <c r="C292" s="33">
        <f t="shared" si="139"/>
        <v>2.7428109375000003</v>
      </c>
      <c r="D292" s="33">
        <f t="shared" si="139"/>
        <v>2.4186000000000001</v>
      </c>
      <c r="E292" s="33">
        <f t="shared" si="139"/>
        <v>2.1402000000000005</v>
      </c>
      <c r="F292" s="33">
        <f t="shared" si="139"/>
        <v>1.9314000000000002</v>
      </c>
      <c r="G292" s="33">
        <f t="shared" si="139"/>
        <v>1.7858109375</v>
      </c>
      <c r="H292" s="33"/>
      <c r="I292" s="33">
        <f t="shared" ref="I292:N292" si="140">IF(AVERAGE(I5:I6)&lt;15,-0.0525*((I5+I6)/2) + 5.0586,IF(AVERAGE(I5:I6)&lt;50,(-0.007855*((I5+I6)/2) + 4.1),(0.000025*((I5+I6)/2)^2 - 0.016*((I5+I6)/2)+ 4.53)*0.87))</f>
        <v>3.1005984375</v>
      </c>
      <c r="J292" s="33">
        <f t="shared" si="140"/>
        <v>2.7428109375000003</v>
      </c>
      <c r="K292" s="33">
        <f t="shared" si="140"/>
        <v>2.4186000000000001</v>
      </c>
      <c r="L292" s="33">
        <f t="shared" si="140"/>
        <v>2.1402000000000005</v>
      </c>
      <c r="M292" s="33">
        <f t="shared" si="140"/>
        <v>1.9314000000000002</v>
      </c>
      <c r="N292" s="33">
        <f t="shared" si="140"/>
        <v>1.7858109375</v>
      </c>
      <c r="O292" s="33"/>
      <c r="P292" s="33">
        <f t="shared" ref="P292:U292" si="141">IF(AVERAGE(P5:P6)&lt;15,-0.0525*((P5+P6)/2) + 5.0586,IF(AVERAGE(P5:P6)&lt;50,(-0.007855*((P5+P6)/2) + 4.1),(0.000025*((P5+P6)/2)^2 - 0.016*((P5+P6)/2)+ 4.53)*0.87))</f>
        <v>3.1005984375</v>
      </c>
      <c r="Q292" s="33">
        <f t="shared" si="141"/>
        <v>2.7428109375000003</v>
      </c>
      <c r="R292" s="33">
        <f t="shared" si="141"/>
        <v>2.4186000000000001</v>
      </c>
      <c r="S292" s="33">
        <f t="shared" si="141"/>
        <v>2.1402000000000005</v>
      </c>
      <c r="T292" s="33">
        <f t="shared" si="141"/>
        <v>1.9314000000000002</v>
      </c>
      <c r="U292" s="33">
        <f t="shared" si="141"/>
        <v>1.7858109375</v>
      </c>
      <c r="W292" s="33">
        <f t="shared" ref="W292:AB292" si="142">IF(AVERAGE(W5:W6)&lt;15,-0.0525*((W5+W6)/2) + 5.0586,IF(AVERAGE(W5:W6)&lt;50,(-0.007855*((W5+W6)/2) + 4.1),(0.000025*((W5+W6)/2)^2 - 0.016*((W5+W6)/2)+ 4.53)*0.87))</f>
        <v>3.1005984375</v>
      </c>
      <c r="X292" s="33">
        <f t="shared" si="142"/>
        <v>2.7428109375000003</v>
      </c>
      <c r="Y292" s="33">
        <f t="shared" si="142"/>
        <v>2.4186000000000001</v>
      </c>
      <c r="Z292" s="33">
        <f t="shared" si="142"/>
        <v>2.1402000000000005</v>
      </c>
      <c r="AA292" s="33">
        <f t="shared" si="142"/>
        <v>1.9314000000000002</v>
      </c>
      <c r="AB292" s="33">
        <f t="shared" si="142"/>
        <v>1.7858109375</v>
      </c>
      <c r="AD292" s="33">
        <f t="shared" ref="AD292:AI292" si="143">IF(AVERAGE(AD5:AD6)&lt;15,-0.0525*((AD5+AD6)/2) + 5.0586,IF(AVERAGE(AD5:AD6)&lt;50,(-0.007855*((AD5+AD6)/2) + 4.1),(0.000025*((AD5+AD6)/2)^2 - 0.016*((AD5+AD6)/2)+ 4.53)*0.87))</f>
        <v>3.1005984375</v>
      </c>
      <c r="AE292" s="33">
        <f t="shared" si="143"/>
        <v>2.7428109375000003</v>
      </c>
      <c r="AF292" s="33">
        <f t="shared" si="143"/>
        <v>2.4186000000000001</v>
      </c>
      <c r="AG292" s="33">
        <f t="shared" si="143"/>
        <v>2.1402000000000005</v>
      </c>
      <c r="AH292" s="33">
        <f t="shared" si="143"/>
        <v>1.9314000000000002</v>
      </c>
      <c r="AI292" s="33">
        <f t="shared" si="143"/>
        <v>1.7858109375</v>
      </c>
      <c r="AK292" s="33">
        <f t="shared" ref="AK292:AP292" si="144">IF(AVERAGE(AK5:AK6)&lt;15,-0.0525*((AK5+AK6)/2) + 5.0586,IF(AVERAGE(AK5:AK6)&lt;50,(-0.007855*((AK5+AK6)/2) + 4.1),(0.000025*((AK5+AK6)/2)^2 - 0.016*((AK5+AK6)/2)+ 4.53)*0.87))</f>
        <v>3.1005984375</v>
      </c>
      <c r="AL292" s="33">
        <f t="shared" si="144"/>
        <v>2.7428109375000003</v>
      </c>
      <c r="AM292" s="33">
        <f t="shared" si="144"/>
        <v>2.4186000000000001</v>
      </c>
      <c r="AN292" s="33">
        <f t="shared" si="144"/>
        <v>2.1402000000000005</v>
      </c>
      <c r="AO292" s="33">
        <f t="shared" si="144"/>
        <v>1.9314000000000002</v>
      </c>
      <c r="AP292" s="33">
        <f t="shared" si="144"/>
        <v>1.7858109375</v>
      </c>
      <c r="AR292" s="33">
        <f t="shared" ref="AR292:AW292" si="145">IF(AVERAGE(AR5:AR6)&lt;15,-0.0525*((AR5+AR6)/2) + 5.0586,IF(AVERAGE(AR5:AR6)&lt;50,(-0.007855*((AR5+AR6)/2) + 4.1),(0.000025*((AR5+AR6)/2)^2 - 0.016*((AR5+AR6)/2)+ 4.53)*0.87))</f>
        <v>3.1005984375</v>
      </c>
      <c r="AS292" s="33">
        <f t="shared" si="145"/>
        <v>2.7428109375000003</v>
      </c>
      <c r="AT292" s="33">
        <f t="shared" si="145"/>
        <v>2.4186000000000001</v>
      </c>
      <c r="AU292" s="33">
        <f t="shared" si="145"/>
        <v>2.1402000000000005</v>
      </c>
      <c r="AV292" s="33">
        <f t="shared" si="145"/>
        <v>1.9314000000000002</v>
      </c>
      <c r="AW292" s="33">
        <f t="shared" si="145"/>
        <v>1.7858109375</v>
      </c>
    </row>
    <row r="293" spans="1:49" x14ac:dyDescent="0.25">
      <c r="A293" s="40" t="s">
        <v>108</v>
      </c>
      <c r="B293" s="26">
        <f t="shared" ref="B293:G293" si="146">IF(B292="","",B246*2.2046*B292/10000)</f>
        <v>1.0218338099122541</v>
      </c>
      <c r="C293" s="26">
        <f t="shared" si="146"/>
        <v>0.90661866270365665</v>
      </c>
      <c r="D293" s="26">
        <f t="shared" si="146"/>
        <v>0.80157146072263108</v>
      </c>
      <c r="E293" s="26">
        <f t="shared" si="146"/>
        <v>0.71128296096658616</v>
      </c>
      <c r="F293" s="26">
        <f t="shared" si="146"/>
        <v>0.64341814748506398</v>
      </c>
      <c r="G293" s="26">
        <f t="shared" si="146"/>
        <v>0.5954852264631163</v>
      </c>
      <c r="H293" s="26"/>
      <c r="I293" s="26">
        <f t="shared" ref="I293:N293" si="147">IF(I292="","",I246*2.2046*I292/10000)</f>
        <v>1.0310911901398969</v>
      </c>
      <c r="J293" s="26">
        <f t="shared" si="147"/>
        <v>0.91485503314500838</v>
      </c>
      <c r="K293" s="26">
        <f t="shared" si="147"/>
        <v>0.80887860793789501</v>
      </c>
      <c r="L293" s="26">
        <f t="shared" si="147"/>
        <v>0.71776025846037672</v>
      </c>
      <c r="M293" s="26">
        <f t="shared" si="147"/>
        <v>0.64926182522242237</v>
      </c>
      <c r="N293" s="26">
        <f t="shared" si="147"/>
        <v>0.60090081467827738</v>
      </c>
      <c r="O293" s="26"/>
      <c r="P293" s="26">
        <f t="shared" ref="P293:U293" si="148">IF(P292="","",P246*2.2046*P292/10000)</f>
        <v>1.0404263783332841</v>
      </c>
      <c r="Q293" s="26">
        <f t="shared" si="148"/>
        <v>0.92312798462768075</v>
      </c>
      <c r="R293" s="26">
        <f t="shared" si="148"/>
        <v>0.81621612448810299</v>
      </c>
      <c r="S293" s="26">
        <f t="shared" si="148"/>
        <v>0.72423898577466694</v>
      </c>
      <c r="T293" s="26">
        <f t="shared" si="148"/>
        <v>0.65510671565587741</v>
      </c>
      <c r="U293" s="26">
        <f t="shared" si="148"/>
        <v>0.60631228616880029</v>
      </c>
      <c r="W293" s="26">
        <f t="shared" ref="W293:AB293" si="149">IF(W292="","",W246*2.2046*W292/10000)</f>
        <v>1.0498358850897622</v>
      </c>
      <c r="X293" s="26">
        <f t="shared" si="149"/>
        <v>0.93149904773535652</v>
      </c>
      <c r="Y293" s="26">
        <f t="shared" si="149"/>
        <v>0.82357642914985463</v>
      </c>
      <c r="Z293" s="26">
        <f t="shared" si="149"/>
        <v>0.73079294146125173</v>
      </c>
      <c r="AA293" s="26">
        <f t="shared" si="149"/>
        <v>0.66103325865223161</v>
      </c>
      <c r="AB293" s="26">
        <f t="shared" si="149"/>
        <v>0.6117442524513621</v>
      </c>
      <c r="AD293" s="26">
        <f t="shared" ref="AD293:AI293" si="150">IF(AD292="","",AD246*2.2046*AD292/10000)</f>
        <v>1.0592909721946839</v>
      </c>
      <c r="AE293" s="26">
        <f t="shared" si="150"/>
        <v>0.93983734459233514</v>
      </c>
      <c r="AF293" s="26">
        <f t="shared" si="150"/>
        <v>0.83098192997369003</v>
      </c>
      <c r="AG293" s="26">
        <f t="shared" si="150"/>
        <v>0.73733921785042167</v>
      </c>
      <c r="AH293" s="26">
        <f t="shared" si="150"/>
        <v>0.66683501868228001</v>
      </c>
      <c r="AI293" s="26">
        <f t="shared" si="150"/>
        <v>0.61712023758208201</v>
      </c>
      <c r="AK293" s="26">
        <f t="shared" ref="AK293:AP293" si="151">IF(AK292="","",AK246*2.2046*AK292/10000)</f>
        <v>1.0686947404111933</v>
      </c>
      <c r="AL293" s="26">
        <f t="shared" si="151"/>
        <v>0.94816914751009318</v>
      </c>
      <c r="AM293" s="26">
        <f t="shared" si="151"/>
        <v>0.83830032044888669</v>
      </c>
      <c r="AN293" s="26">
        <f t="shared" si="151"/>
        <v>0.74373870254696561</v>
      </c>
      <c r="AO293" s="26">
        <f t="shared" si="151"/>
        <v>0.67264406911686592</v>
      </c>
      <c r="AP293" s="26">
        <f t="shared" si="151"/>
        <v>0.62249811690616952</v>
      </c>
      <c r="AR293" s="26">
        <f t="shared" ref="AR293:AW293" si="152">IF(AR292="","",AR246*2.2046*AR292/10000)</f>
        <v>1.0782077229657776</v>
      </c>
      <c r="AS293" s="26">
        <f t="shared" si="152"/>
        <v>0.95648668037400553</v>
      </c>
      <c r="AT293" s="26">
        <f t="shared" si="152"/>
        <v>0.84565217139824544</v>
      </c>
      <c r="AU293" s="26">
        <f t="shared" si="152"/>
        <v>0.75016398394715456</v>
      </c>
      <c r="AV293" s="26">
        <f t="shared" si="152"/>
        <v>0.67845326807913608</v>
      </c>
      <c r="AW293" s="26">
        <f t="shared" si="152"/>
        <v>0.62787604705171429</v>
      </c>
    </row>
    <row r="294" spans="1:49" x14ac:dyDescent="0.25">
      <c r="A294" s="15"/>
      <c r="B294" s="26"/>
      <c r="C294" s="26"/>
      <c r="D294" s="26"/>
      <c r="E294" s="26"/>
      <c r="F294" s="26"/>
      <c r="G294" s="26"/>
      <c r="H294" s="26"/>
      <c r="I294" s="26"/>
      <c r="J294" s="26"/>
      <c r="K294" s="26"/>
      <c r="L294" s="26"/>
      <c r="M294" s="26"/>
      <c r="N294" s="26"/>
      <c r="O294" s="26"/>
      <c r="P294" s="26"/>
      <c r="Q294" s="26"/>
      <c r="R294" s="26"/>
      <c r="S294" s="26"/>
      <c r="T294" s="26"/>
      <c r="U294" s="26"/>
      <c r="W294" s="26"/>
      <c r="X294" s="26"/>
      <c r="Y294" s="26"/>
      <c r="Z294" s="26"/>
      <c r="AA294" s="26"/>
      <c r="AB294" s="26"/>
      <c r="AD294" s="26"/>
      <c r="AE294" s="26"/>
      <c r="AF294" s="26"/>
      <c r="AG294" s="26"/>
      <c r="AH294" s="26"/>
      <c r="AI294" s="26"/>
      <c r="AK294" s="26"/>
      <c r="AL294" s="26"/>
      <c r="AM294" s="26"/>
      <c r="AN294" s="26"/>
      <c r="AO294" s="26"/>
      <c r="AP294" s="26"/>
      <c r="AR294" s="26"/>
      <c r="AS294" s="26"/>
      <c r="AT294" s="26"/>
      <c r="AU294" s="26"/>
      <c r="AV294" s="26"/>
      <c r="AW294" s="26"/>
    </row>
    <row r="295" spans="1:49" x14ac:dyDescent="0.25">
      <c r="B295" s="26"/>
      <c r="C295" s="26"/>
      <c r="D295" s="26"/>
      <c r="E295" s="26"/>
      <c r="F295" s="26"/>
      <c r="G295" s="26"/>
      <c r="H295" s="26"/>
      <c r="I295" s="26"/>
      <c r="J295" s="26"/>
      <c r="K295" s="26"/>
      <c r="L295" s="26"/>
      <c r="M295" s="26"/>
      <c r="N295" s="26"/>
      <c r="O295" s="26"/>
      <c r="P295" s="26"/>
      <c r="Q295" s="26"/>
      <c r="R295" s="26"/>
      <c r="S295" s="26"/>
      <c r="T295" s="26"/>
      <c r="U295" s="26"/>
      <c r="W295" s="26"/>
      <c r="X295" s="26"/>
      <c r="Y295" s="26"/>
      <c r="Z295" s="26"/>
      <c r="AA295" s="26"/>
      <c r="AB295" s="26"/>
      <c r="AD295" s="26"/>
      <c r="AE295" s="26"/>
      <c r="AF295" s="26"/>
      <c r="AG295" s="26"/>
      <c r="AH295" s="26"/>
      <c r="AI295" s="26"/>
      <c r="AK295" s="26"/>
      <c r="AL295" s="26"/>
      <c r="AM295" s="26"/>
      <c r="AN295" s="26"/>
      <c r="AO295" s="26"/>
      <c r="AP295" s="26"/>
      <c r="AR295" s="26"/>
      <c r="AS295" s="26"/>
      <c r="AT295" s="26"/>
      <c r="AU295" s="26"/>
      <c r="AV295" s="26"/>
      <c r="AW295" s="26"/>
    </row>
    <row r="296" spans="1:49" x14ac:dyDescent="0.25">
      <c r="A296" s="17" t="s">
        <v>50</v>
      </c>
      <c r="B296" s="294"/>
      <c r="C296" s="294"/>
      <c r="D296" s="294"/>
      <c r="E296" s="294"/>
      <c r="F296" s="294"/>
      <c r="G296" s="294"/>
      <c r="H296" s="295"/>
      <c r="I296" s="294"/>
      <c r="J296" s="294"/>
      <c r="K296" s="294"/>
      <c r="L296" s="294"/>
      <c r="M296" s="294"/>
      <c r="N296" s="294"/>
      <c r="O296" s="201"/>
      <c r="P296" s="294"/>
      <c r="Q296" s="294"/>
      <c r="R296" s="294"/>
      <c r="S296" s="294"/>
      <c r="T296" s="294"/>
      <c r="U296" s="294"/>
      <c r="W296" s="294"/>
      <c r="X296" s="294"/>
      <c r="Y296" s="294"/>
      <c r="Z296" s="294"/>
      <c r="AA296" s="294"/>
      <c r="AB296" s="294"/>
      <c r="AD296" s="294"/>
      <c r="AE296" s="294"/>
      <c r="AF296" s="294"/>
      <c r="AG296" s="294"/>
      <c r="AH296" s="294"/>
      <c r="AI296" s="294"/>
      <c r="AK296" s="294"/>
      <c r="AL296" s="294"/>
      <c r="AM296" s="294"/>
      <c r="AN296" s="294"/>
      <c r="AO296" s="294"/>
      <c r="AP296" s="294"/>
      <c r="AR296" s="294"/>
      <c r="AS296" s="294"/>
      <c r="AT296" s="294"/>
      <c r="AU296" s="294"/>
      <c r="AV296" s="294"/>
      <c r="AW296" s="294"/>
    </row>
    <row r="297" spans="1:49" x14ac:dyDescent="0.25">
      <c r="A297" s="3" t="s">
        <v>48</v>
      </c>
      <c r="B297" s="20">
        <f>SUMPRODUCT(B$9:B$229,Nutrients!$DA$8:$DA$228)/2000</f>
        <v>0.35459999999999997</v>
      </c>
      <c r="C297" s="20">
        <f>SUMPRODUCT(C$9:C$229,Nutrients!$DA$8:$DA$228)/2000</f>
        <v>0.31519999999999998</v>
      </c>
      <c r="D297" s="20">
        <f>SUMPRODUCT(D$9:D$229,Nutrients!$DA$8:$DA$228)/2000</f>
        <v>0.27579999999999999</v>
      </c>
      <c r="E297" s="20">
        <f>SUMPRODUCT(E$9:E$229,Nutrients!$DA$8:$DA$228)/2000</f>
        <v>0.25692384707729665</v>
      </c>
      <c r="F297" s="20">
        <f>SUMPRODUCT(F$9:F$229,Nutrients!$DA$8:$DA$228)/2000</f>
        <v>0.25692384707729665</v>
      </c>
      <c r="G297" s="20">
        <f>SUMPRODUCT(G$9:G$229,Nutrients!$DA$8:$DA$228)/2000</f>
        <v>0.25692384707729665</v>
      </c>
      <c r="H297" s="192"/>
      <c r="I297" s="20">
        <f>SUMPRODUCT(I$9:I$229,Nutrients!$DA$8:$DA$228)/2000</f>
        <v>0.39727200000000001</v>
      </c>
      <c r="J297" s="20">
        <f>SUMPRODUCT(J$9:J$229,Nutrients!$DA$8:$DA$228)/2000</f>
        <v>0.35787200000000002</v>
      </c>
      <c r="K297" s="20">
        <f>SUMPRODUCT(K$9:K$229,Nutrients!$DA$8:$DA$228)/2000</f>
        <v>0.31847199999999998</v>
      </c>
      <c r="L297" s="20">
        <f>SUMPRODUCT(L$9:L$229,Nutrients!$DA$8:$DA$228)/2000</f>
        <v>0.2995958470772967</v>
      </c>
      <c r="M297" s="20">
        <f>SUMPRODUCT(M$9:M$229,Nutrients!$DA$8:$DA$228)/2000</f>
        <v>0.2995958470772967</v>
      </c>
      <c r="N297" s="20">
        <f>SUMPRODUCT(N$9:N$229,Nutrients!$DA$8:$DA$228)/2000</f>
        <v>0.2995958470772967</v>
      </c>
      <c r="O297" s="237"/>
      <c r="P297" s="20">
        <f>SUMPRODUCT(P$9:P$229,Nutrients!$DA$8:$DA$228)/2000</f>
        <v>0.43994399999999995</v>
      </c>
      <c r="Q297" s="20">
        <f>SUMPRODUCT(Q$9:Q$229,Nutrients!$DA$8:$DA$228)/2000</f>
        <v>0.40054399999999996</v>
      </c>
      <c r="R297" s="20">
        <f>SUMPRODUCT(R$9:R$229,Nutrients!$DA$8:$DA$228)/2000</f>
        <v>0.36114400000000002</v>
      </c>
      <c r="S297" s="20">
        <f>SUMPRODUCT(S$9:S$229,Nutrients!$DA$8:$DA$228)/2000</f>
        <v>0.34226784707729668</v>
      </c>
      <c r="T297" s="20">
        <f>SUMPRODUCT(T$9:T$229,Nutrients!$DA$8:$DA$228)/2000</f>
        <v>0.34226784707729668</v>
      </c>
      <c r="U297" s="20">
        <f>SUMPRODUCT(U$9:U$229,Nutrients!$DA$8:$DA$228)/2000</f>
        <v>0.34226784707729668</v>
      </c>
      <c r="W297" s="20">
        <f>SUMPRODUCT(W$9:W$229,Nutrients!$DA$8:$DA$228)/2000</f>
        <v>0.48261599999999993</v>
      </c>
      <c r="X297" s="20">
        <f>SUMPRODUCT(X$9:X$229,Nutrients!$DA$8:$DA$228)/2000</f>
        <v>0.44321599999999994</v>
      </c>
      <c r="Y297" s="20">
        <f>SUMPRODUCT(Y$9:Y$229,Nutrients!$DA$8:$DA$228)/2000</f>
        <v>0.40381599999999995</v>
      </c>
      <c r="Z297" s="20">
        <f>SUMPRODUCT(Z$9:Z$229,Nutrients!$DA$8:$DA$228)/2000</f>
        <v>0.38493984707729662</v>
      </c>
      <c r="AA297" s="20">
        <f>SUMPRODUCT(AA$9:AA$229,Nutrients!$DA$8:$DA$228)/2000</f>
        <v>0.38493984707729662</v>
      </c>
      <c r="AB297" s="20">
        <f>SUMPRODUCT(AB$9:AB$229,Nutrients!$DA$8:$DA$228)/2000</f>
        <v>0.38493984707729662</v>
      </c>
      <c r="AD297" s="20">
        <f>SUMPRODUCT(AD$9:AD$229,Nutrients!$DA$8:$DA$228)/2000</f>
        <v>0.52528799999999998</v>
      </c>
      <c r="AE297" s="20">
        <f>SUMPRODUCT(AE$9:AE$229,Nutrients!$DA$8:$DA$228)/2000</f>
        <v>0.48588799999999999</v>
      </c>
      <c r="AF297" s="20">
        <f>SUMPRODUCT(AF$9:AF$229,Nutrients!$DA$8:$DA$228)/2000</f>
        <v>0.44648799999999994</v>
      </c>
      <c r="AG297" s="20">
        <f>SUMPRODUCT(AG$9:AG$229,Nutrients!$DA$8:$DA$228)/2000</f>
        <v>0.42761184707729666</v>
      </c>
      <c r="AH297" s="20">
        <f>SUMPRODUCT(AH$9:AH$229,Nutrients!$DA$8:$DA$228)/2000</f>
        <v>0.42761184707729666</v>
      </c>
      <c r="AI297" s="20">
        <f>SUMPRODUCT(AI$9:AI$229,Nutrients!$DA$8:$DA$228)/2000</f>
        <v>0.42761184707729666</v>
      </c>
      <c r="AK297" s="20">
        <f>SUMPRODUCT(AK$9:AK$229,Nutrients!$DA$8:$DA$228)/2000</f>
        <v>0.56795999999999991</v>
      </c>
      <c r="AL297" s="20">
        <f>SUMPRODUCT(AL$9:AL$229,Nutrients!$DA$8:$DA$228)/2000</f>
        <v>0.52855999999999992</v>
      </c>
      <c r="AM297" s="20">
        <f>SUMPRODUCT(AM$9:AM$229,Nutrients!$DA$8:$DA$228)/2000</f>
        <v>0.48915999999999998</v>
      </c>
      <c r="AN297" s="20">
        <f>SUMPRODUCT(AN$9:AN$229,Nutrients!$DA$8:$DA$228)/2000</f>
        <v>0.47028384707729665</v>
      </c>
      <c r="AO297" s="20">
        <f>SUMPRODUCT(AO$9:AO$229,Nutrients!$DA$8:$DA$228)/2000</f>
        <v>0.47028384707729665</v>
      </c>
      <c r="AP297" s="20">
        <f>SUMPRODUCT(AP$9:AP$229,Nutrients!$DA$8:$DA$228)/2000</f>
        <v>0.47028384707729665</v>
      </c>
      <c r="AR297" s="20">
        <f>SUMPRODUCT(AR$9:AR$229,Nutrients!$DA$8:$DA$228)/2000</f>
        <v>0.61063199999999995</v>
      </c>
      <c r="AS297" s="20">
        <f>SUMPRODUCT(AS$9:AS$229,Nutrients!$DA$8:$DA$228)/2000</f>
        <v>0.57123199999999996</v>
      </c>
      <c r="AT297" s="20">
        <f>SUMPRODUCT(AT$9:AT$229,Nutrients!$DA$8:$DA$228)/2000</f>
        <v>0.53183199999999997</v>
      </c>
      <c r="AU297" s="20">
        <f>SUMPRODUCT(AU$9:AU$229,Nutrients!$DA$8:$DA$228)/2000</f>
        <v>0.51295584707729669</v>
      </c>
      <c r="AV297" s="20">
        <f>SUMPRODUCT(AV$9:AV$229,Nutrients!$DA$8:$DA$228)/2000</f>
        <v>0.51295584707729669</v>
      </c>
      <c r="AW297" s="20">
        <f>SUMPRODUCT(AW$9:AW$229,Nutrients!$DA$8:$DA$228)/2000</f>
        <v>0.51295584707729669</v>
      </c>
    </row>
    <row r="298" spans="1:49" x14ac:dyDescent="0.25">
      <c r="A298" s="34" t="s">
        <v>391</v>
      </c>
      <c r="B298" s="23">
        <f t="shared" ref="B298:G298" si="153">IF(B$5="","",B245/(B246*2.2046)*10000)</f>
        <v>4.0004918161487684</v>
      </c>
      <c r="C298" s="23">
        <f t="shared" si="153"/>
        <v>3.5419410134415341</v>
      </c>
      <c r="D298" s="23">
        <f t="shared" si="153"/>
        <v>3.1391303590347972</v>
      </c>
      <c r="E298" s="23">
        <f t="shared" si="153"/>
        <v>2.8010240180887811</v>
      </c>
      <c r="F298" s="23">
        <f t="shared" si="153"/>
        <v>2.5643124869082041</v>
      </c>
      <c r="G298" s="23">
        <f t="shared" si="153"/>
        <v>2.4347307257524458</v>
      </c>
      <c r="H298" s="227"/>
      <c r="I298" s="23">
        <f t="shared" ref="I298:N298" si="154">IF(I$5="","",I245/(I246*2.2046)*10000)</f>
        <v>3.9909187882093167</v>
      </c>
      <c r="J298" s="23">
        <f t="shared" si="154"/>
        <v>3.5362972506100401</v>
      </c>
      <c r="K298" s="23">
        <f t="shared" si="154"/>
        <v>3.1369572557269727</v>
      </c>
      <c r="L298" s="23">
        <f t="shared" si="154"/>
        <v>2.8018497235714168</v>
      </c>
      <c r="M298" s="23">
        <f t="shared" si="154"/>
        <v>2.5672740062992552</v>
      </c>
      <c r="N298" s="23">
        <f t="shared" si="154"/>
        <v>2.4388002408103162</v>
      </c>
      <c r="O298" s="198"/>
      <c r="P298" s="23">
        <f t="shared" ref="P298:U298" si="155">IF(P$5="","",P245/(P246*2.2046)*10000)</f>
        <v>3.9812048290036857</v>
      </c>
      <c r="Q298" s="23">
        <f t="shared" si="155"/>
        <v>3.5306165210678899</v>
      </c>
      <c r="R298" s="23">
        <f t="shared" si="155"/>
        <v>3.1346924065223649</v>
      </c>
      <c r="S298" s="23">
        <f t="shared" si="155"/>
        <v>2.8026517172586285</v>
      </c>
      <c r="T298" s="23">
        <f t="shared" si="155"/>
        <v>2.5701779885294318</v>
      </c>
      <c r="U298" s="23">
        <f t="shared" si="155"/>
        <v>2.4428162620666738</v>
      </c>
      <c r="W298" s="23">
        <f t="shared" ref="W298:AB298" si="156">IF(W$5="","",W245/(W246*2.2046)*10000)</f>
        <v>3.9713871747430769</v>
      </c>
      <c r="X298" s="23">
        <f t="shared" si="156"/>
        <v>3.5246668849889673</v>
      </c>
      <c r="Y298" s="23">
        <f t="shared" si="156"/>
        <v>3.1323895644931188</v>
      </c>
      <c r="Z298" s="23">
        <f t="shared" si="156"/>
        <v>2.8031481994177971</v>
      </c>
      <c r="AA298" s="23">
        <f t="shared" si="156"/>
        <v>2.57269719881005</v>
      </c>
      <c r="AB298" s="23">
        <f t="shared" si="156"/>
        <v>2.4466149863121811</v>
      </c>
      <c r="AD298" s="23">
        <f t="shared" ref="AD298:AI298" si="157">IF(AD$5="","",AD245/(AD246*2.2046)*10000)</f>
        <v>3.9615654530128719</v>
      </c>
      <c r="AE298" s="23">
        <f t="shared" si="157"/>
        <v>3.5189496531504854</v>
      </c>
      <c r="AF298" s="23">
        <f t="shared" si="157"/>
        <v>3.1299479384293605</v>
      </c>
      <c r="AG298" s="23">
        <f t="shared" si="157"/>
        <v>2.8036603391027048</v>
      </c>
      <c r="AH298" s="23">
        <f t="shared" si="157"/>
        <v>2.5754959234331962</v>
      </c>
      <c r="AI298" s="23">
        <f t="shared" si="157"/>
        <v>2.4504174304815285</v>
      </c>
      <c r="AK298" s="23">
        <f t="shared" ref="AK298:AP298" si="158">IF(AK$5="","",AK245/(AK246*2.2046)*10000)</f>
        <v>3.9521016006755469</v>
      </c>
      <c r="AL298" s="23">
        <f t="shared" si="158"/>
        <v>3.5133454040306047</v>
      </c>
      <c r="AM298" s="23">
        <f t="shared" si="158"/>
        <v>3.1278782305228909</v>
      </c>
      <c r="AN298" s="23">
        <f t="shared" si="158"/>
        <v>2.8045787316589523</v>
      </c>
      <c r="AO298" s="23">
        <f t="shared" si="158"/>
        <v>2.5781756753227372</v>
      </c>
      <c r="AP298" s="23">
        <f t="shared" si="158"/>
        <v>2.4541464285478516</v>
      </c>
      <c r="AR298" s="23">
        <f t="shared" ref="AR298:AW298" si="159">IF(AR$5="","",AR245/(AR246*2.2046)*10000)</f>
        <v>3.9423930216202354</v>
      </c>
      <c r="AS298" s="23">
        <f t="shared" si="159"/>
        <v>3.5078895611306744</v>
      </c>
      <c r="AT298" s="23">
        <f t="shared" si="159"/>
        <v>3.125694087883621</v>
      </c>
      <c r="AU298" s="23">
        <f t="shared" si="159"/>
        <v>2.8053198652345319</v>
      </c>
      <c r="AV298" s="23">
        <f t="shared" si="159"/>
        <v>2.5808089433217916</v>
      </c>
      <c r="AW298" s="23">
        <f t="shared" si="159"/>
        <v>2.4578113337725855</v>
      </c>
    </row>
    <row r="299" spans="1:49" x14ac:dyDescent="0.25">
      <c r="A299" s="34" t="s">
        <v>392</v>
      </c>
      <c r="B299" s="23">
        <f t="shared" ref="B299:G299" si="160">IF(B$5="","",B236/(B246*2.2046)*10000)</f>
        <v>3.5990753406176657</v>
      </c>
      <c r="C299" s="23">
        <f t="shared" si="160"/>
        <v>3.1727222375948116</v>
      </c>
      <c r="D299" s="23">
        <f t="shared" si="160"/>
        <v>2.7968342544845632</v>
      </c>
      <c r="E299" s="23">
        <f t="shared" si="160"/>
        <v>2.4855813058752307</v>
      </c>
      <c r="F299" s="23">
        <f t="shared" si="160"/>
        <v>2.2715388971881016</v>
      </c>
      <c r="G299" s="23">
        <f t="shared" si="160"/>
        <v>2.1544027583542169</v>
      </c>
      <c r="H299" s="227"/>
      <c r="I299" s="23">
        <f t="shared" ref="I299:N299" si="161">IF(I$5="","",I236/(I246*2.2046)*10000)</f>
        <v>3.5667619921819083</v>
      </c>
      <c r="J299" s="23">
        <f t="shared" si="161"/>
        <v>3.1441584600458028</v>
      </c>
      <c r="K299" s="23">
        <f t="shared" si="161"/>
        <v>2.7715685601842632</v>
      </c>
      <c r="L299" s="23">
        <f t="shared" si="161"/>
        <v>2.463150627423218</v>
      </c>
      <c r="M299" s="23">
        <f t="shared" si="161"/>
        <v>2.2510939229614184</v>
      </c>
      <c r="N299" s="23">
        <f t="shared" si="161"/>
        <v>2.1349863124053119</v>
      </c>
      <c r="O299" s="198"/>
      <c r="P299" s="23">
        <f t="shared" ref="P299:U299" si="162">IF(P$5="","",P236/(P246*2.2046)*10000)</f>
        <v>3.5347593487162761</v>
      </c>
      <c r="Q299" s="23">
        <f t="shared" si="162"/>
        <v>3.1159809258068383</v>
      </c>
      <c r="R299" s="23">
        <f t="shared" si="162"/>
        <v>2.7466530634545916</v>
      </c>
      <c r="S299" s="23">
        <f t="shared" si="162"/>
        <v>2.4411163520492831</v>
      </c>
      <c r="T299" s="23">
        <f t="shared" si="162"/>
        <v>2.231009565679333</v>
      </c>
      <c r="U299" s="23">
        <f t="shared" si="162"/>
        <v>2.1159310865327798</v>
      </c>
      <c r="W299" s="23">
        <f t="shared" ref="W299:AB299" si="163">IF(W$5="","",W236/(W246*2.2046)*10000)</f>
        <v>3.5030778807395677</v>
      </c>
      <c r="X299" s="23">
        <f t="shared" si="163"/>
        <v>3.0879786717673321</v>
      </c>
      <c r="Y299" s="23">
        <f t="shared" si="163"/>
        <v>2.722106217974777</v>
      </c>
      <c r="Z299" s="23">
        <f t="shared" si="163"/>
        <v>2.419223737206647</v>
      </c>
      <c r="AA299" s="23">
        <f t="shared" si="163"/>
        <v>2.2110072829753817</v>
      </c>
      <c r="AB299" s="23">
        <f t="shared" si="163"/>
        <v>2.0971427345830667</v>
      </c>
      <c r="AD299" s="23">
        <f t="shared" ref="AD299:AI299" si="164">IF(AD$5="","",AD236/(AD246*2.2046)*10000)</f>
        <v>3.4718098841577665</v>
      </c>
      <c r="AE299" s="23">
        <f t="shared" si="164"/>
        <v>3.0605819280633639</v>
      </c>
      <c r="AF299" s="23">
        <f t="shared" si="164"/>
        <v>2.6978474957178222</v>
      </c>
      <c r="AG299" s="23">
        <f t="shared" si="164"/>
        <v>2.3977452821786271</v>
      </c>
      <c r="AH299" s="23">
        <f t="shared" si="164"/>
        <v>2.1917705402712251</v>
      </c>
      <c r="AI299" s="23">
        <f t="shared" si="164"/>
        <v>2.078873672135384</v>
      </c>
      <c r="AK299" s="23">
        <f t="shared" ref="AK299:AP299" si="165">IF(AK$5="","",AK236/(AK246*2.2046)*10000)</f>
        <v>3.4412603790391723</v>
      </c>
      <c r="AL299" s="23">
        <f t="shared" si="165"/>
        <v>3.0336878179721007</v>
      </c>
      <c r="AM299" s="23">
        <f t="shared" si="165"/>
        <v>2.674295194788697</v>
      </c>
      <c r="AN299" s="23">
        <f t="shared" si="165"/>
        <v>2.3771139311584841</v>
      </c>
      <c r="AO299" s="23">
        <f t="shared" si="165"/>
        <v>2.172842096248532</v>
      </c>
      <c r="AP299" s="23">
        <f t="shared" si="165"/>
        <v>2.0609138881053033</v>
      </c>
      <c r="AR299" s="23">
        <f t="shared" ref="AR299:AW299" si="166">IF(AR$5="","",AR236/(AR246*2.2046)*10000)</f>
        <v>3.4108982797383671</v>
      </c>
      <c r="AS299" s="23">
        <f t="shared" si="166"/>
        <v>3.0073071075632876</v>
      </c>
      <c r="AT299" s="23">
        <f t="shared" si="166"/>
        <v>2.6510456598952148</v>
      </c>
      <c r="AU299" s="23">
        <f t="shared" si="166"/>
        <v>2.3567535482890785</v>
      </c>
      <c r="AV299" s="23">
        <f t="shared" si="166"/>
        <v>2.1542373188164161</v>
      </c>
      <c r="AW299" s="23">
        <f t="shared" si="166"/>
        <v>2.0432615967362384</v>
      </c>
    </row>
    <row r="300" spans="1:49" x14ac:dyDescent="0.25">
      <c r="A300" s="34" t="s">
        <v>151</v>
      </c>
      <c r="B300" s="23">
        <f t="shared" ref="B300:G300" si="167">B245/B253*100</f>
        <v>6.8677028806815752</v>
      </c>
      <c r="C300" s="23">
        <f t="shared" si="167"/>
        <v>6.6830941302046103</v>
      </c>
      <c r="D300" s="23">
        <f t="shared" si="167"/>
        <v>6.4644027164582063</v>
      </c>
      <c r="E300" s="23">
        <f t="shared" si="167"/>
        <v>6.3149371296786221</v>
      </c>
      <c r="F300" s="23">
        <f t="shared" si="167"/>
        <v>6.2696154239212527</v>
      </c>
      <c r="G300" s="23">
        <f t="shared" si="167"/>
        <v>6.2402437601749243</v>
      </c>
      <c r="H300" s="227"/>
      <c r="I300" s="23">
        <f t="shared" ref="I300:N300" si="168">I245/I253*100</f>
        <v>6.7722097781263129</v>
      </c>
      <c r="J300" s="23">
        <f t="shared" si="168"/>
        <v>6.5822068163990028</v>
      </c>
      <c r="K300" s="23">
        <f t="shared" si="168"/>
        <v>6.3582822897883053</v>
      </c>
      <c r="L300" s="23">
        <f t="shared" si="168"/>
        <v>6.2044342345478212</v>
      </c>
      <c r="M300" s="23">
        <f t="shared" si="168"/>
        <v>6.152510497066749</v>
      </c>
      <c r="N300" s="23">
        <f t="shared" si="168"/>
        <v>6.1167477878660295</v>
      </c>
      <c r="O300" s="198"/>
      <c r="P300" s="23">
        <f t="shared" ref="P300:U300" si="169">P245/P253*100</f>
        <v>6.6797140853702777</v>
      </c>
      <c r="Q300" s="23">
        <f t="shared" si="169"/>
        <v>6.4846993710644023</v>
      </c>
      <c r="R300" s="23">
        <f t="shared" si="169"/>
        <v>6.2572436185690128</v>
      </c>
      <c r="S300" s="23">
        <f t="shared" si="169"/>
        <v>6.0983462661466374</v>
      </c>
      <c r="T300" s="23">
        <f t="shared" si="169"/>
        <v>6.0407592095446754</v>
      </c>
      <c r="U300" s="23">
        <f t="shared" si="169"/>
        <v>6.001207127234033</v>
      </c>
      <c r="W300" s="23">
        <f t="shared" ref="W300:AB300" si="170">W245/W253*100</f>
        <v>6.590774380423742</v>
      </c>
      <c r="X300" s="23">
        <f t="shared" si="170"/>
        <v>6.390861850261782</v>
      </c>
      <c r="Y300" s="23">
        <f t="shared" si="170"/>
        <v>6.1606787077645384</v>
      </c>
      <c r="Z300" s="23">
        <f t="shared" si="170"/>
        <v>5.9961911696384798</v>
      </c>
      <c r="AA300" s="23">
        <f t="shared" si="170"/>
        <v>5.9302708221458067</v>
      </c>
      <c r="AB300" s="23">
        <f t="shared" si="170"/>
        <v>5.8878344369643125</v>
      </c>
      <c r="AD300" s="23">
        <f t="shared" ref="AD300:AI300" si="171">AD245/AD253*100</f>
        <v>6.5042317008935315</v>
      </c>
      <c r="AE300" s="23">
        <f t="shared" si="171"/>
        <v>6.3011959018750865</v>
      </c>
      <c r="AF300" s="23">
        <f t="shared" si="171"/>
        <v>6.0672304226469134</v>
      </c>
      <c r="AG300" s="23">
        <f t="shared" si="171"/>
        <v>5.8985026531687517</v>
      </c>
      <c r="AH300" s="23">
        <f t="shared" si="171"/>
        <v>5.8278642618027874</v>
      </c>
      <c r="AI300" s="23">
        <f t="shared" si="171"/>
        <v>5.782919156909303</v>
      </c>
      <c r="AK300" s="23">
        <f t="shared" ref="AK300:AP300" si="172">AK245/AK253*100</f>
        <v>6.4212832626708405</v>
      </c>
      <c r="AL300" s="23">
        <f t="shared" si="172"/>
        <v>6.2149535786526355</v>
      </c>
      <c r="AM300" s="23">
        <f t="shared" si="172"/>
        <v>5.9792517659025028</v>
      </c>
      <c r="AN300" s="23">
        <f t="shared" si="172"/>
        <v>5.8059182301015424</v>
      </c>
      <c r="AO300" s="23">
        <f t="shared" si="172"/>
        <v>5.7313552148282536</v>
      </c>
      <c r="AP300" s="23">
        <f t="shared" si="172"/>
        <v>5.6837003702679922</v>
      </c>
      <c r="AR300" s="23">
        <f t="shared" ref="AR300:AW300" si="173">AR245/AR253*100</f>
        <v>6.3413317579288835</v>
      </c>
      <c r="AS300" s="23">
        <f t="shared" si="173"/>
        <v>6.1312940027142702</v>
      </c>
      <c r="AT300" s="23">
        <f t="shared" si="173"/>
        <v>5.8923331530486625</v>
      </c>
      <c r="AU300" s="23">
        <f t="shared" si="173"/>
        <v>5.718507070088326</v>
      </c>
      <c r="AV300" s="23">
        <f t="shared" si="173"/>
        <v>5.6397500032628685</v>
      </c>
      <c r="AW300" s="23">
        <f t="shared" si="173"/>
        <v>5.589722930288386</v>
      </c>
    </row>
    <row r="301" spans="1:49" x14ac:dyDescent="0.25">
      <c r="A301" t="s">
        <v>56</v>
      </c>
      <c r="B301" s="22">
        <f>(SUMPRODUCT(B$9:B$229,Nutrients!$K$8:$K$228)+(IF($A$7=Nutrients!$B$8,Nutrients!$K$8,Nutrients!$K$9)*B$7)+(((IF($A$8=Nutrients!$B$79,Nutrients!$K$79,(IF($A$8=Nutrients!$B$77,Nutrients!$K$77,Nutrients!$K$78)))))*B$8))/2000</f>
        <v>2.8430787934788264</v>
      </c>
      <c r="C301" s="22">
        <f>(SUMPRODUCT(C$9:C$229,Nutrients!$K$8:$K$228)+(IF($A$7=Nutrients!$B$8,Nutrients!$K$8,Nutrients!$K$9)*C$7)+(((IF($A$8=Nutrients!$B$79,Nutrients!$K$79,(IF($A$8=Nutrients!$B$77,Nutrients!$K$77,Nutrients!$K$78)))))*C$8))/2000</f>
        <v>2.9356906063346426</v>
      </c>
      <c r="D301" s="22">
        <f>(SUMPRODUCT(D$9:D$229,Nutrients!$K$8:$K$228)+(IF($A$7=Nutrients!$B$8,Nutrients!$K$8,Nutrients!$K$9)*D$7)+(((IF($A$8=Nutrients!$B$79,Nutrients!$K$79,(IF($A$8=Nutrients!$B$77,Nutrients!$K$77,Nutrients!$K$78)))))*D$8))/2000</f>
        <v>3.0150158948020342</v>
      </c>
      <c r="E301" s="22">
        <f>(SUMPRODUCT(E$9:E$229,Nutrients!$K$8:$K$228)+(IF($A$7=Nutrients!$B$8,Nutrients!$K$8,Nutrients!$K$9)*E$7)+(((IF($A$8=Nutrients!$B$79,Nutrients!$K$79,(IF($A$8=Nutrients!$B$77,Nutrients!$K$77,Nutrients!$K$78)))))*E$8))/2000</f>
        <v>3.0897558386383324</v>
      </c>
      <c r="F301" s="22">
        <f>(SUMPRODUCT(F$9:F$229,Nutrients!$K$8:$K$228)+(IF($A$7=Nutrients!$B$8,Nutrients!$K$8,Nutrients!$K$9)*F$7)+(((IF($A$8=Nutrients!$B$79,Nutrients!$K$79,(IF($A$8=Nutrients!$B$77,Nutrients!$K$77,Nutrients!$K$78)))))*F$8))/2000</f>
        <v>3.1512333335874807</v>
      </c>
      <c r="G301" s="22">
        <f>(SUMPRODUCT(G$9:G$229,Nutrients!$K$8:$K$228)+(IF($A$7=Nutrients!$B$8,Nutrients!$K$8,Nutrients!$K$9)*G$7)+(((IF($A$8=Nutrients!$B$79,Nutrients!$K$79,(IF($A$8=Nutrients!$B$77,Nutrients!$K$77,Nutrients!$K$78)))))*G$8))/2000</f>
        <v>3.1836624192329586</v>
      </c>
      <c r="H301" s="228"/>
      <c r="I301" s="22">
        <f>(SUMPRODUCT(I$9:I$229,Nutrients!$K$8:$K$228)+(IF($A$7=Nutrients!$B$8,Nutrients!$K$8,Nutrients!$K$9)*I$7)+(((IF($A$8=Nutrients!$B$79,Nutrients!$K$79,(IF($A$8=Nutrients!$B$77,Nutrients!$K$77,Nutrients!$K$78)))))*I$8))/2000</f>
        <v>3.7545037280099876</v>
      </c>
      <c r="J301" s="22">
        <f>(SUMPRODUCT(J$9:J$229,Nutrients!$K$8:$K$228)+(IF($A$7=Nutrients!$B$8,Nutrients!$K$8,Nutrients!$K$9)*J$7)+(((IF($A$8=Nutrients!$B$79,Nutrients!$K$79,(IF($A$8=Nutrients!$B$77,Nutrients!$K$77,Nutrients!$K$78)))))*J$8))/2000</f>
        <v>3.852858417655737</v>
      </c>
      <c r="K301" s="22">
        <f>(SUMPRODUCT(K$9:K$229,Nutrients!$K$8:$K$228)+(IF($A$7=Nutrients!$B$8,Nutrients!$K$8,Nutrients!$K$9)*K$7)+(((IF($A$8=Nutrients!$B$79,Nutrients!$K$79,(IF($A$8=Nutrients!$B$77,Nutrients!$K$77,Nutrients!$K$78)))))*K$8))/2000</f>
        <v>3.9273066414676694</v>
      </c>
      <c r="L301" s="22">
        <f>(SUMPRODUCT(L$9:L$229,Nutrients!$K$8:$K$228)+(IF($A$7=Nutrients!$B$8,Nutrients!$K$8,Nutrients!$K$9)*L$7)+(((IF($A$8=Nutrients!$B$79,Nutrients!$K$79,(IF($A$8=Nutrients!$B$77,Nutrients!$K$77,Nutrients!$K$78)))))*L$8))/2000</f>
        <v>4.0073021325352087</v>
      </c>
      <c r="M301" s="22">
        <f>(SUMPRODUCT(M$9:M$229,Nutrients!$K$8:$K$228)+(IF($A$7=Nutrients!$B$8,Nutrients!$K$8,Nutrients!$K$9)*M$7)+(((IF($A$8=Nutrients!$B$79,Nutrients!$K$79,(IF($A$8=Nutrients!$B$77,Nutrients!$K$77,Nutrients!$K$78)))))*M$8))/2000</f>
        <v>4.0702933150083371</v>
      </c>
      <c r="N301" s="22">
        <f>(SUMPRODUCT(N$9:N$229,Nutrients!$K$8:$K$228)+(IF($A$7=Nutrients!$B$8,Nutrients!$K$8,Nutrients!$K$9)*N$7)+(((IF($A$8=Nutrients!$B$79,Nutrients!$K$79,(IF($A$8=Nutrients!$B$77,Nutrients!$K$77,Nutrients!$K$78)))))*N$8))/2000</f>
        <v>4.1009798522481837</v>
      </c>
      <c r="O301" s="235"/>
      <c r="P301" s="22">
        <f>(SUMPRODUCT(P$9:P$229,Nutrients!$K$8:$K$228)+(IF($A$7=Nutrients!$B$8,Nutrients!$K$8,Nutrients!$K$9)*P$7)+(((IF($A$8=Nutrients!$B$79,Nutrients!$K$79,(IF($A$8=Nutrients!$B$77,Nutrients!$K$77,Nutrients!$K$78)))))*P$8))/2000</f>
        <v>4.6699211391159769</v>
      </c>
      <c r="Q301" s="22">
        <f>(SUMPRODUCT(Q$9:Q$229,Nutrients!$K$8:$K$228)+(IF($A$7=Nutrients!$B$8,Nutrients!$K$8,Nutrients!$K$9)*Q$7)+(((IF($A$8=Nutrients!$B$79,Nutrients!$K$79,(IF($A$8=Nutrients!$B$77,Nutrients!$K$77,Nutrients!$K$78)))))*Q$8))/2000</f>
        <v>4.7684600330317926</v>
      </c>
      <c r="R301" s="22">
        <f>(SUMPRODUCT(R$9:R$229,Nutrients!$K$8:$K$228)+(IF($A$7=Nutrients!$B$8,Nutrients!$K$8,Nutrients!$K$9)*R$7)+(((IF($A$8=Nutrients!$B$79,Nutrients!$K$79,(IF($A$8=Nutrients!$B$77,Nutrients!$K$77,Nutrients!$K$78)))))*R$8))/2000</f>
        <v>4.8445751107378179</v>
      </c>
      <c r="S301" s="22">
        <f>(SUMPRODUCT(S$9:S$229,Nutrients!$K$8:$K$228)+(IF($A$7=Nutrients!$B$8,Nutrients!$K$8,Nutrients!$K$9)*S$7)+(((IF($A$8=Nutrients!$B$79,Nutrients!$K$79,(IF($A$8=Nutrients!$B$77,Nutrients!$K$77,Nutrients!$K$78)))))*S$8))/2000</f>
        <v>4.9226741180700433</v>
      </c>
      <c r="T301" s="22">
        <f>(SUMPRODUCT(T$9:T$229,Nutrients!$K$8:$K$228)+(IF($A$7=Nutrients!$B$8,Nutrients!$K$8,Nutrients!$K$9)*T$7)+(((IF($A$8=Nutrients!$B$79,Nutrients!$K$79,(IF($A$8=Nutrients!$B$77,Nutrients!$K$77,Nutrients!$K$78)))))*T$8))/2000</f>
        <v>4.9873365797615312</v>
      </c>
      <c r="U301" s="22">
        <f>(SUMPRODUCT(U$9:U$229,Nutrients!$K$8:$K$228)+(IF($A$7=Nutrients!$B$8,Nutrients!$K$8,Nutrients!$K$9)*U$7)+(((IF($A$8=Nutrients!$B$79,Nutrients!$K$79,(IF($A$8=Nutrients!$B$77,Nutrients!$K$77,Nutrients!$K$78)))))*U$8))/2000</f>
        <v>5.01907061641539</v>
      </c>
      <c r="W301" s="22">
        <f>(SUMPRODUCT(W$9:W$229,Nutrients!$K$8:$K$228)+(IF($A$7=Nutrients!$B$8,Nutrients!$K$8,Nutrients!$K$9)*W$7)+(((IF($A$8=Nutrients!$B$79,Nutrients!$K$79,(IF($A$8=Nutrients!$B$77,Nutrients!$K$77,Nutrients!$K$78)))))*W$8))/2000</f>
        <v>5.5868843038431528</v>
      </c>
      <c r="X301" s="22">
        <f>(SUMPRODUCT(X$9:X$229,Nutrients!$K$8:$K$228)+(IF($A$7=Nutrients!$B$8,Nutrients!$K$8,Nutrients!$K$9)*X$7)+(((IF($A$8=Nutrients!$B$79,Nutrients!$K$79,(IF($A$8=Nutrients!$B$77,Nutrients!$K$77,Nutrients!$K$78)))))*X$8))/2000</f>
        <v>5.6864957912272311</v>
      </c>
      <c r="Y301" s="22">
        <f>(SUMPRODUCT(Y$9:Y$229,Nutrients!$K$8:$K$228)+(IF($A$7=Nutrients!$B$8,Nutrients!$K$8,Nutrients!$K$9)*Y$7)+(((IF($A$8=Nutrients!$B$79,Nutrients!$K$79,(IF($A$8=Nutrients!$B$77,Nutrients!$K$77,Nutrients!$K$78)))))*Y$8))/2000</f>
        <v>5.7602177230741081</v>
      </c>
      <c r="Z301" s="22">
        <f>(SUMPRODUCT(Z$9:Z$229,Nutrients!$K$8:$K$228)+(IF($A$7=Nutrients!$B$8,Nutrients!$K$8,Nutrients!$K$9)*Z$7)+(((IF($A$8=Nutrients!$B$79,Nutrients!$K$79,(IF($A$8=Nutrients!$B$77,Nutrients!$K$77,Nutrients!$K$78)))))*Z$8))/2000</f>
        <v>5.8393903190894196</v>
      </c>
      <c r="AA301" s="22">
        <f>(SUMPRODUCT(AA$9:AA$229,Nutrients!$K$8:$K$228)+(IF($A$7=Nutrients!$B$8,Nutrients!$K$8,Nutrients!$K$9)*AA$7)+(((IF($A$8=Nutrients!$B$79,Nutrients!$K$79,(IF($A$8=Nutrients!$B$77,Nutrients!$K$77,Nutrients!$K$78)))))*AA$8))/2000</f>
        <v>5.9010593459188012</v>
      </c>
      <c r="AB301" s="22">
        <f>(SUMPRODUCT(AB$9:AB$229,Nutrients!$K$8:$K$228)+(IF($A$7=Nutrients!$B$8,Nutrients!$K$8,Nutrients!$K$9)*AB$7)+(((IF($A$8=Nutrients!$B$79,Nutrients!$K$79,(IF($A$8=Nutrients!$B$77,Nutrients!$K$77,Nutrients!$K$78)))))*AB$8))/2000</f>
        <v>5.943617219495442</v>
      </c>
      <c r="AD301" s="22">
        <f>(SUMPRODUCT(AD$9:AD$229,Nutrients!$K$8:$K$228)+(IF($A$7=Nutrients!$B$8,Nutrients!$K$8,Nutrients!$K$9)*AD$7)+(((IF($A$8=Nutrients!$B$79,Nutrients!$K$79,(IF($A$8=Nutrients!$B$77,Nutrients!$K$77,Nutrients!$K$78)))))*AD$8))/2000</f>
        <v>6.5044358882885929</v>
      </c>
      <c r="AE301" s="22">
        <f>(SUMPRODUCT(AE$9:AE$229,Nutrients!$K$8:$K$228)+(IF($A$7=Nutrients!$B$8,Nutrients!$K$8,Nutrients!$K$9)*AE$7)+(((IF($A$8=Nutrients!$B$79,Nutrients!$K$79,(IF($A$8=Nutrients!$B$77,Nutrients!$K$77,Nutrients!$K$78)))))*AE$8))/2000</f>
        <v>6.6026520821971788</v>
      </c>
      <c r="AF301" s="22">
        <f>(SUMPRODUCT(AF$9:AF$229,Nutrients!$K$8:$K$228)+(IF($A$7=Nutrients!$B$8,Nutrients!$K$8,Nutrients!$K$9)*AF$7)+(((IF($A$8=Nutrients!$B$79,Nutrients!$K$79,(IF($A$8=Nutrients!$B$77,Nutrients!$K$77,Nutrients!$K$78)))))*AF$8))/2000</f>
        <v>6.6768519969750972</v>
      </c>
      <c r="AG301" s="22">
        <f>(SUMPRODUCT(AG$9:AG$229,Nutrients!$K$8:$K$228)+(IF($A$7=Nutrients!$B$8,Nutrients!$K$8,Nutrients!$K$9)*AG$7)+(((IF($A$8=Nutrients!$B$79,Nutrients!$K$79,(IF($A$8=Nutrients!$B$77,Nutrients!$K$77,Nutrients!$K$78)))))*AG$8))/2000</f>
        <v>6.7548314185939686</v>
      </c>
      <c r="AH301" s="22">
        <f>(SUMPRODUCT(AH$9:AH$229,Nutrients!$K$8:$K$228)+(IF($A$7=Nutrients!$B$8,Nutrients!$K$8,Nutrients!$K$9)*AH$7)+(((IF($A$8=Nutrients!$B$79,Nutrients!$K$79,(IF($A$8=Nutrients!$B$77,Nutrients!$K$77,Nutrients!$K$78)))))*AH$8))/2000</f>
        <v>6.851493144723106</v>
      </c>
      <c r="AI301" s="22">
        <f>(SUMPRODUCT(AI$9:AI$229,Nutrients!$K$8:$K$228)+(IF($A$7=Nutrients!$B$8,Nutrients!$K$8,Nutrients!$K$9)*AI$7)+(((IF($A$8=Nutrients!$B$79,Nutrients!$K$79,(IF($A$8=Nutrients!$B$77,Nutrients!$K$77,Nutrients!$K$78)))))*AI$8))/2000</f>
        <v>6.9072191009437702</v>
      </c>
      <c r="AK301" s="22">
        <f>(SUMPRODUCT(AK$9:AK$229,Nutrients!$K$8:$K$228)+(IF($A$7=Nutrients!$B$8,Nutrients!$K$8,Nutrients!$K$9)*AK$7)+(((IF($A$8=Nutrients!$B$79,Nutrients!$K$79,(IF($A$8=Nutrients!$B$77,Nutrients!$K$77,Nutrients!$K$78)))))*AK$8))/2000</f>
        <v>7.4223440189802972</v>
      </c>
      <c r="AL301" s="22">
        <f>(SUMPRODUCT(AL$9:AL$229,Nutrients!$K$8:$K$228)+(IF($A$7=Nutrients!$B$8,Nutrients!$K$8,Nutrients!$K$9)*AL$7)+(((IF($A$8=Nutrients!$B$79,Nutrients!$K$79,(IF($A$8=Nutrients!$B$77,Nutrients!$K$77,Nutrients!$K$78)))))*AL$8))/2000</f>
        <v>7.5206296380942304</v>
      </c>
      <c r="AM301" s="22">
        <f>(SUMPRODUCT(AM$9:AM$229,Nutrients!$K$8:$K$228)+(IF($A$7=Nutrients!$B$8,Nutrients!$K$8,Nutrients!$K$9)*AM$7)+(((IF($A$8=Nutrients!$B$79,Nutrients!$K$79,(IF($A$8=Nutrients!$B$77,Nutrients!$K$77,Nutrients!$K$78)))))*AM$8))/2000</f>
        <v>7.5923347500274998</v>
      </c>
      <c r="AN301" s="22">
        <f>(SUMPRODUCT(AN$9:AN$229,Nutrients!$K$8:$K$228)+(IF($A$7=Nutrients!$B$8,Nutrients!$K$8,Nutrients!$K$9)*AN$7)+(((IF($A$8=Nutrients!$B$79,Nutrients!$K$79,(IF($A$8=Nutrients!$B$77,Nutrients!$K$77,Nutrients!$K$78)))))*AN$8))/2000</f>
        <v>7.6970716682702944</v>
      </c>
      <c r="AO301" s="22">
        <f>(SUMPRODUCT(AO$9:AO$229,Nutrients!$K$8:$K$228)+(IF($A$7=Nutrients!$B$8,Nutrients!$K$8,Nutrients!$K$9)*AO$7)+(((IF($A$8=Nutrients!$B$79,Nutrients!$K$79,(IF($A$8=Nutrients!$B$77,Nutrients!$K$77,Nutrients!$K$78)))))*AO$8))/2000</f>
        <v>7.8145327962651105</v>
      </c>
      <c r="AP301" s="22">
        <f>(SUMPRODUCT(AP$9:AP$229,Nutrients!$K$8:$K$228)+(IF($A$7=Nutrients!$B$8,Nutrients!$K$8,Nutrients!$K$9)*AP$7)+(((IF($A$8=Nutrients!$B$79,Nutrients!$K$79,(IF($A$8=Nutrients!$B$77,Nutrients!$K$77,Nutrients!$K$78)))))*AP$8))/2000</f>
        <v>7.8710333628848019</v>
      </c>
      <c r="AR301" s="22">
        <f>(SUMPRODUCT(AR$9:AR$229,Nutrients!$K$8:$K$228)+(IF($A$7=Nutrients!$B$8,Nutrients!$K$8,Nutrients!$K$9)*AR$7)+(((IF($A$8=Nutrients!$B$79,Nutrients!$K$79,(IF($A$8=Nutrients!$B$77,Nutrients!$K$77,Nutrients!$K$78)))))*AR$8))/2000</f>
        <v>8.3467354795864441</v>
      </c>
      <c r="AS301" s="22">
        <f>(SUMPRODUCT(AS$9:AS$229,Nutrients!$K$8:$K$228)+(IF($A$7=Nutrients!$B$8,Nutrients!$K$8,Nutrients!$K$9)*AS$7)+(((IF($A$8=Nutrients!$B$79,Nutrients!$K$79,(IF($A$8=Nutrients!$B$77,Nutrients!$K$77,Nutrients!$K$78)))))*AS$8))/2000</f>
        <v>8.4355819109671497</v>
      </c>
      <c r="AT301" s="22">
        <f>(SUMPRODUCT(AT$9:AT$229,Nutrients!$K$8:$K$228)+(IF($A$7=Nutrients!$B$8,Nutrients!$K$8,Nutrients!$K$9)*AT$7)+(((IF($A$8=Nutrients!$B$79,Nutrients!$K$79,(IF($A$8=Nutrients!$B$77,Nutrients!$K$77,Nutrients!$K$78)))))*AT$8))/2000</f>
        <v>8.5064418643260602</v>
      </c>
      <c r="AU301" s="22">
        <f>(SUMPRODUCT(AU$9:AU$229,Nutrients!$K$8:$K$228)+(IF($A$7=Nutrients!$B$8,Nutrients!$K$8,Nutrients!$K$9)*AU$7)+(((IF($A$8=Nutrients!$B$79,Nutrients!$K$79,(IF($A$8=Nutrients!$B$77,Nutrients!$K$77,Nutrients!$K$78)))))*AU$8))/2000</f>
        <v>8.6593850346017085</v>
      </c>
      <c r="AV301" s="22">
        <f>(SUMPRODUCT(AV$9:AV$229,Nutrients!$K$8:$K$228)+(IF($A$7=Nutrients!$B$8,Nutrients!$K$8,Nutrients!$K$9)*AV$7)+(((IF($A$8=Nutrients!$B$79,Nutrients!$K$79,(IF($A$8=Nutrients!$B$77,Nutrients!$K$77,Nutrients!$K$78)))))*AV$8))/2000</f>
        <v>8.7775901650738835</v>
      </c>
      <c r="AW301" s="22">
        <f>(SUMPRODUCT(AW$9:AW$229,Nutrients!$K$8:$K$228)+(IF($A$7=Nutrients!$B$8,Nutrients!$K$8,Nutrients!$K$9)*AW$7)+(((IF($A$8=Nutrients!$B$79,Nutrients!$K$79,(IF($A$8=Nutrients!$B$77,Nutrients!$K$77,Nutrients!$K$78)))))*AW$8))/2000</f>
        <v>8.8348552489764369</v>
      </c>
    </row>
    <row r="302" spans="1:49" x14ac:dyDescent="0.25">
      <c r="A302" t="s">
        <v>53</v>
      </c>
      <c r="B302" s="22">
        <f>(SUMPRODUCT(B$9:B$229,Nutrients!$J$8:$J$228)+(IF($A$7=Nutrients!$B$8,Nutrients!$J$8,Nutrients!$J$9)*B$7)+(((IF($A$8=Nutrients!$B$79,Nutrients!$J$79,(IF($A$8=Nutrients!$B$77,Nutrients!$J$77,Nutrients!$J$78)))))*B$8))/2000</f>
        <v>2.4236304403667859</v>
      </c>
      <c r="C302" s="22">
        <f>(SUMPRODUCT(C$9:C$229,Nutrients!$J$8:$J$228)+(IF($A$7=Nutrients!$B$8,Nutrients!$J$8,Nutrients!$J$9)*C$7)+(((IF($A$8=Nutrients!$B$79,Nutrients!$J$79,(IF($A$8=Nutrients!$B$77,Nutrients!$J$77,Nutrients!$J$78)))))*C$8))/2000</f>
        <v>2.3544062118589144</v>
      </c>
      <c r="D302" s="22">
        <f>(SUMPRODUCT(D$9:D$229,Nutrients!$J$8:$J$228)+(IF($A$7=Nutrients!$B$8,Nutrients!$J$8,Nutrients!$J$9)*D$7)+(((IF($A$8=Nutrients!$B$79,Nutrients!$J$79,(IF($A$8=Nutrients!$B$77,Nutrients!$J$77,Nutrients!$J$78)))))*D$8))/2000</f>
        <v>2.2969299326886694</v>
      </c>
      <c r="E302" s="22">
        <f>(SUMPRODUCT(E$9:E$229,Nutrients!$J$8:$J$228)+(IF($A$7=Nutrients!$B$8,Nutrients!$J$8,Nutrients!$J$9)*E$7)+(((IF($A$8=Nutrients!$B$79,Nutrients!$J$79,(IF($A$8=Nutrients!$B$77,Nutrients!$J$77,Nutrients!$J$78)))))*E$8))/2000</f>
        <v>2.237626654434278</v>
      </c>
      <c r="F302" s="22">
        <f>(SUMPRODUCT(F$9:F$229,Nutrients!$J$8:$J$228)+(IF($A$7=Nutrients!$B$8,Nutrients!$J$8,Nutrients!$J$9)*F$7)+(((IF($A$8=Nutrients!$B$79,Nutrients!$J$79,(IF($A$8=Nutrients!$B$77,Nutrients!$J$77,Nutrients!$J$78)))))*F$8))/2000</f>
        <v>2.1865908459890111</v>
      </c>
      <c r="G302" s="22">
        <f>(SUMPRODUCT(G$9:G$229,Nutrients!$J$8:$J$228)+(IF($A$7=Nutrients!$B$8,Nutrients!$J$8,Nutrients!$J$9)*G$7)+(((IF($A$8=Nutrients!$B$79,Nutrients!$J$79,(IF($A$8=Nutrients!$B$77,Nutrients!$J$77,Nutrients!$J$78)))))*G$8))/2000</f>
        <v>2.1575827805851042</v>
      </c>
      <c r="H302" s="228"/>
      <c r="I302" s="22">
        <f>(SUMPRODUCT(I$9:I$229,Nutrients!$J$8:$J$228)+(IF($A$7=Nutrients!$B$8,Nutrients!$J$8,Nutrients!$J$9)*I$7)+(((IF($A$8=Nutrients!$B$79,Nutrients!$J$79,(IF($A$8=Nutrients!$B$77,Nutrients!$J$77,Nutrients!$J$78)))))*I$8))/2000</f>
        <v>2.6718282307022601</v>
      </c>
      <c r="J302" s="22">
        <f>(SUMPRODUCT(J$9:J$229,Nutrients!$J$8:$J$228)+(IF($A$7=Nutrients!$B$8,Nutrients!$J$8,Nutrients!$J$9)*J$7)+(((IF($A$8=Nutrients!$B$79,Nutrients!$J$79,(IF($A$8=Nutrients!$B$77,Nutrients!$J$77,Nutrients!$J$78)))))*J$8))/2000</f>
        <v>2.6023170826454272</v>
      </c>
      <c r="K302" s="22">
        <f>(SUMPRODUCT(K$9:K$229,Nutrients!$J$8:$J$228)+(IF($A$7=Nutrients!$B$8,Nutrients!$J$8,Nutrients!$J$9)*K$7)+(((IF($A$8=Nutrients!$B$79,Nutrients!$J$79,(IF($A$8=Nutrients!$B$77,Nutrients!$J$77,Nutrients!$J$78)))))*K$8))/2000</f>
        <v>2.5449884520003567</v>
      </c>
      <c r="L302" s="22">
        <f>(SUMPRODUCT(L$9:L$229,Nutrients!$J$8:$J$228)+(IF($A$7=Nutrients!$B$8,Nutrients!$J$8,Nutrients!$J$9)*L$7)+(((IF($A$8=Nutrients!$B$79,Nutrients!$J$79,(IF($A$8=Nutrients!$B$77,Nutrients!$J$77,Nutrients!$J$78)))))*L$8))/2000</f>
        <v>2.4855609136058394</v>
      </c>
      <c r="M302" s="22">
        <f>(SUMPRODUCT(M$9:M$229,Nutrients!$J$8:$J$228)+(IF($A$7=Nutrients!$B$8,Nutrients!$J$8,Nutrients!$J$9)*M$7)+(((IF($A$8=Nutrients!$B$79,Nutrients!$J$79,(IF($A$8=Nutrients!$B$77,Nutrients!$J$77,Nutrients!$J$78)))))*M$8))/2000</f>
        <v>2.4345244423495487</v>
      </c>
      <c r="N302" s="22">
        <f>(SUMPRODUCT(N$9:N$229,Nutrients!$J$8:$J$228)+(IF($A$7=Nutrients!$B$8,Nutrients!$J$8,Nutrients!$J$9)*N$7)+(((IF($A$8=Nutrients!$B$79,Nutrients!$J$79,(IF($A$8=Nutrients!$B$77,Nutrients!$J$77,Nutrients!$J$78)))))*N$8))/2000</f>
        <v>2.4054612346666642</v>
      </c>
      <c r="O302" s="235"/>
      <c r="P302" s="22">
        <f>(SUMPRODUCT(P$9:P$229,Nutrients!$J$8:$J$228)+(IF($A$7=Nutrients!$B$8,Nutrients!$J$8,Nutrients!$J$9)*P$7)+(((IF($A$8=Nutrients!$B$79,Nutrients!$J$79,(IF($A$8=Nutrients!$B$77,Nutrients!$J$77,Nutrients!$J$78)))))*P$8))/2000</f>
        <v>2.9198419314680719</v>
      </c>
      <c r="Q302" s="22">
        <f>(SUMPRODUCT(Q$9:Q$229,Nutrients!$J$8:$J$228)+(IF($A$7=Nutrients!$B$8,Nutrients!$J$8,Nutrients!$J$9)*Q$7)+(((IF($A$8=Nutrients!$B$79,Nutrients!$J$79,(IF($A$8=Nutrients!$B$77,Nutrients!$J$77,Nutrients!$J$78)))))*Q$8))/2000</f>
        <v>2.8502584032400629</v>
      </c>
      <c r="R302" s="22">
        <f>(SUMPRODUCT(R$9:R$229,Nutrients!$J$8:$J$228)+(IF($A$7=Nutrients!$B$8,Nutrients!$J$8,Nutrients!$J$9)*R$7)+(((IF($A$8=Nutrients!$B$79,Nutrients!$J$79,(IF($A$8=Nutrients!$B$77,Nutrients!$J$77,Nutrients!$J$78)))))*R$8))/2000</f>
        <v>2.7928553391240332</v>
      </c>
      <c r="S302" s="22">
        <f>(SUMPRODUCT(S$9:S$229,Nutrients!$J$8:$J$228)+(IF($A$7=Nutrients!$B$8,Nutrients!$J$8,Nutrients!$J$9)*S$7)+(((IF($A$8=Nutrients!$B$79,Nutrients!$J$79,(IF($A$8=Nutrients!$B$77,Nutrients!$J$77,Nutrients!$J$78)))))*S$8))/2000</f>
        <v>2.733448440672392</v>
      </c>
      <c r="T302" s="22">
        <f>(SUMPRODUCT(T$9:T$229,Nutrients!$J$8:$J$228)+(IF($A$7=Nutrients!$B$8,Nutrients!$J$8,Nutrients!$J$9)*T$7)+(((IF($A$8=Nutrients!$B$79,Nutrients!$J$79,(IF($A$8=Nutrients!$B$77,Nutrients!$J$77,Nutrients!$J$78)))))*T$8))/2000</f>
        <v>2.6824587993008882</v>
      </c>
      <c r="U302" s="22">
        <f>(SUMPRODUCT(U$9:U$229,Nutrients!$J$8:$J$228)+(IF($A$7=Nutrients!$B$8,Nutrients!$J$8,Nutrients!$J$9)*U$7)+(((IF($A$8=Nutrients!$B$79,Nutrients!$J$79,(IF($A$8=Nutrients!$B$77,Nutrients!$J$77,Nutrients!$J$78)))))*U$8))/2000</f>
        <v>2.6533756891222495</v>
      </c>
      <c r="W302" s="22">
        <f>(SUMPRODUCT(W$9:W$229,Nutrients!$J$8:$J$228)+(IF($A$7=Nutrients!$B$8,Nutrients!$J$8,Nutrients!$J$9)*W$7)+(((IF($A$8=Nutrients!$B$79,Nutrients!$J$79,(IF($A$8=Nutrients!$B$77,Nutrients!$J$77,Nutrients!$J$78)))))*W$8))/2000</f>
        <v>3.167920034205292</v>
      </c>
      <c r="X302" s="22">
        <f>(SUMPRODUCT(X$9:X$229,Nutrients!$J$8:$J$228)+(IF($A$7=Nutrients!$B$8,Nutrients!$J$8,Nutrients!$J$9)*X$7)+(((IF($A$8=Nutrients!$B$79,Nutrients!$J$79,(IF($A$8=Nutrients!$B$77,Nutrients!$J$77,Nutrients!$J$78)))))*X$8))/2000</f>
        <v>3.0982197830744109</v>
      </c>
      <c r="Y302" s="22">
        <f>(SUMPRODUCT(Y$9:Y$229,Nutrients!$J$8:$J$228)+(IF($A$7=Nutrients!$B$8,Nutrients!$J$8,Nutrients!$J$9)*Y$7)+(((IF($A$8=Nutrients!$B$79,Nutrients!$J$79,(IF($A$8=Nutrients!$B$77,Nutrients!$J$77,Nutrients!$J$78)))))*Y$8))/2000</f>
        <v>3.0408370456344769</v>
      </c>
      <c r="Z302" s="22">
        <f>(SUMPRODUCT(Z$9:Z$229,Nutrients!$J$8:$J$228)+(IF($A$7=Nutrients!$B$8,Nutrients!$J$8,Nutrients!$J$9)*Z$7)+(((IF($A$8=Nutrients!$B$79,Nutrients!$J$79,(IF($A$8=Nutrients!$B$77,Nutrients!$J$77,Nutrients!$J$78)))))*Z$8))/2000</f>
        <v>2.9812985932427689</v>
      </c>
      <c r="AA302" s="22">
        <f>(SUMPRODUCT(AA$9:AA$229,Nutrients!$J$8:$J$228)+(IF($A$7=Nutrients!$B$8,Nutrients!$J$8,Nutrients!$J$9)*AA$7)+(((IF($A$8=Nutrients!$B$79,Nutrients!$J$79,(IF($A$8=Nutrients!$B$77,Nutrients!$J$77,Nutrients!$J$78)))))*AA$8))/2000</f>
        <v>2.930177097397952</v>
      </c>
      <c r="AB302" s="22">
        <f>(SUMPRODUCT(AB$9:AB$229,Nutrients!$J$8:$J$228)+(IF($A$7=Nutrients!$B$8,Nutrients!$J$8,Nutrients!$J$9)*AB$7)+(((IF($A$8=Nutrients!$B$79,Nutrients!$J$79,(IF($A$8=Nutrients!$B$77,Nutrients!$J$77,Nutrients!$J$78)))))*AB$8))/2000</f>
        <v>2.9003982753747009</v>
      </c>
      <c r="AD302" s="22">
        <f>(SUMPRODUCT(AD$9:AD$229,Nutrients!$J$8:$J$228)+(IF($A$7=Nutrients!$B$8,Nutrients!$J$8,Nutrients!$J$9)*AD$7)+(((IF($A$8=Nutrients!$B$79,Nutrients!$J$79,(IF($A$8=Nutrients!$B$77,Nutrients!$J$77,Nutrients!$J$78)))))*AD$8))/2000</f>
        <v>3.4158871191151974</v>
      </c>
      <c r="AE302" s="22">
        <f>(SUMPRODUCT(AE$9:AE$229,Nutrients!$J$8:$J$228)+(IF($A$7=Nutrients!$B$8,Nutrients!$J$8,Nutrients!$J$9)*AE$7)+(((IF($A$8=Nutrients!$B$79,Nutrients!$J$79,(IF($A$8=Nutrients!$B$77,Nutrients!$J$77,Nutrients!$J$78)))))*AE$8))/2000</f>
        <v>3.3462331123125635</v>
      </c>
      <c r="AF302" s="22">
        <f>(SUMPRODUCT(AF$9:AF$229,Nutrients!$J$8:$J$228)+(IF($A$7=Nutrients!$B$8,Nutrients!$J$8,Nutrients!$J$9)*AF$7)+(((IF($A$8=Nutrients!$B$79,Nutrients!$J$79,(IF($A$8=Nutrients!$B$77,Nutrients!$J$77,Nutrients!$J$78)))))*AF$8))/2000</f>
        <v>3.2886888089335691</v>
      </c>
      <c r="AG302" s="22">
        <f>(SUMPRODUCT(AG$9:AG$229,Nutrients!$J$8:$J$228)+(IF($A$7=Nutrients!$B$8,Nutrients!$J$8,Nutrients!$J$9)*AG$7)+(((IF($A$8=Nutrients!$B$79,Nutrients!$J$79,(IF($A$8=Nutrients!$B$77,Nutrients!$J$77,Nutrients!$J$78)))))*AG$8))/2000</f>
        <v>3.2290829297453163</v>
      </c>
      <c r="AH302" s="22">
        <f>(SUMPRODUCT(AH$9:AH$229,Nutrients!$J$8:$J$228)+(IF($A$7=Nutrients!$B$8,Nutrients!$J$8,Nutrients!$J$9)*AH$7)+(((IF($A$8=Nutrients!$B$79,Nutrients!$J$79,(IF($A$8=Nutrients!$B$77,Nutrients!$J$77,Nutrients!$J$78)))))*AH$8))/2000</f>
        <v>3.1756912077705173</v>
      </c>
      <c r="AI302" s="22">
        <f>(SUMPRODUCT(AI$9:AI$229,Nutrients!$J$8:$J$228)+(IF($A$7=Nutrients!$B$8,Nutrients!$J$8,Nutrients!$J$9)*AI$7)+(((IF($A$8=Nutrients!$B$79,Nutrients!$J$79,(IF($A$8=Nutrients!$B$77,Nutrients!$J$77,Nutrients!$J$78)))))*AI$8))/2000</f>
        <v>3.1452973962238984</v>
      </c>
      <c r="AK302" s="22">
        <f>(SUMPRODUCT(AK$9:AK$229,Nutrients!$J$8:$J$228)+(IF($A$7=Nutrients!$B$8,Nutrients!$J$8,Nutrients!$J$9)*AK$7)+(((IF($A$8=Nutrients!$B$79,Nutrients!$J$79,(IF($A$8=Nutrients!$B$77,Nutrients!$J$77,Nutrients!$J$78)))))*AK$8))/2000</f>
        <v>3.6637748167889841</v>
      </c>
      <c r="AL302" s="22">
        <f>(SUMPRODUCT(AL$9:AL$229,Nutrients!$J$8:$J$228)+(IF($A$7=Nutrients!$B$8,Nutrients!$J$8,Nutrients!$J$9)*AL$7)+(((IF($A$8=Nutrients!$B$79,Nutrients!$J$79,(IF($A$8=Nutrients!$B$77,Nutrients!$J$77,Nutrients!$J$78)))))*AL$8))/2000</f>
        <v>3.5940835104241042</v>
      </c>
      <c r="AM302" s="22">
        <f>(SUMPRODUCT(AM$9:AM$229,Nutrients!$J$8:$J$228)+(IF($A$7=Nutrients!$B$8,Nutrients!$J$8,Nutrients!$J$9)*AM$7)+(((IF($A$8=Nutrients!$B$79,Nutrients!$J$79,(IF($A$8=Nutrients!$B$77,Nutrients!$J$77,Nutrients!$J$78)))))*AM$8))/2000</f>
        <v>3.5365938002378567</v>
      </c>
      <c r="AN302" s="22">
        <f>(SUMPRODUCT(AN$9:AN$229,Nutrients!$J$8:$J$228)+(IF($A$7=Nutrients!$B$8,Nutrients!$J$8,Nutrients!$J$9)*AN$7)+(((IF($A$8=Nutrients!$B$79,Nutrients!$J$79,(IF($A$8=Nutrients!$B$77,Nutrients!$J$77,Nutrients!$J$78)))))*AN$8))/2000</f>
        <v>3.4749219336775514</v>
      </c>
      <c r="AO302" s="22">
        <f>(SUMPRODUCT(AO$9:AO$229,Nutrients!$J$8:$J$228)+(IF($A$7=Nutrients!$B$8,Nutrients!$J$8,Nutrients!$J$9)*AO$7)+(((IF($A$8=Nutrients!$B$79,Nutrients!$J$79,(IF($A$8=Nutrients!$B$77,Nutrients!$J$77,Nutrients!$J$78)))))*AO$8))/2000</f>
        <v>3.4206022303123245</v>
      </c>
      <c r="AP302" s="22">
        <f>(SUMPRODUCT(AP$9:AP$229,Nutrients!$J$8:$J$228)+(IF($A$7=Nutrients!$B$8,Nutrients!$J$8,Nutrients!$J$9)*AP$7)+(((IF($A$8=Nutrients!$B$79,Nutrients!$J$79,(IF($A$8=Nutrients!$B$77,Nutrients!$J$77,Nutrients!$J$78)))))*AP$8))/2000</f>
        <v>3.390192263276584</v>
      </c>
      <c r="AR302" s="22">
        <f>(SUMPRODUCT(AR$9:AR$229,Nutrients!$J$8:$J$228)+(IF($A$7=Nutrients!$B$8,Nutrients!$J$8,Nutrients!$J$9)*AR$7)+(((IF($A$8=Nutrients!$B$79,Nutrients!$J$79,(IF($A$8=Nutrients!$B$77,Nutrients!$J$77,Nutrients!$J$78)))))*AR$8))/2000</f>
        <v>3.9115153342102138</v>
      </c>
      <c r="AS302" s="22">
        <f>(SUMPRODUCT(AS$9:AS$229,Nutrients!$J$8:$J$228)+(IF($A$7=Nutrients!$B$8,Nutrients!$J$8,Nutrients!$J$9)*AS$7)+(((IF($A$8=Nutrients!$B$79,Nutrients!$J$79,(IF($A$8=Nutrients!$B$77,Nutrients!$J$77,Nutrients!$J$78)))))*AS$8))/2000</f>
        <v>3.8419118424058079</v>
      </c>
      <c r="AT302" s="22">
        <f>(SUMPRODUCT(AT$9:AT$229,Nutrients!$J$8:$J$228)+(IF($A$7=Nutrients!$B$8,Nutrients!$J$8,Nutrients!$J$9)*AT$7)+(((IF($A$8=Nutrients!$B$79,Nutrients!$J$79,(IF($A$8=Nutrients!$B$77,Nutrients!$J$77,Nutrients!$J$78)))))*AT$8))/2000</f>
        <v>3.7841223653311413</v>
      </c>
      <c r="AU302" s="22">
        <f>(SUMPRODUCT(AU$9:AU$229,Nutrients!$J$8:$J$228)+(IF($A$7=Nutrients!$B$8,Nutrients!$J$8,Nutrients!$J$9)*AU$7)+(((IF($A$8=Nutrients!$B$79,Nutrients!$J$79,(IF($A$8=Nutrients!$B$77,Nutrients!$J$77,Nutrients!$J$78)))))*AU$8))/2000</f>
        <v>3.7198363995580066</v>
      </c>
      <c r="AV302" s="22">
        <f>(SUMPRODUCT(AV$9:AV$229,Nutrients!$J$8:$J$228)+(IF($A$7=Nutrients!$B$8,Nutrients!$J$8,Nutrients!$J$9)*AV$7)+(((IF($A$8=Nutrients!$B$79,Nutrients!$J$79,(IF($A$8=Nutrients!$B$77,Nutrients!$J$77,Nutrients!$J$78)))))*AV$8))/2000</f>
        <v>3.6655128293698302</v>
      </c>
      <c r="AW302" s="22">
        <f>(SUMPRODUCT(AW$9:AW$229,Nutrients!$J$8:$J$228)+(IF($A$7=Nutrients!$B$8,Nutrients!$J$8,Nutrients!$J$9)*AW$7)+(((IF($A$8=Nutrients!$B$79,Nutrients!$J$79,(IF($A$8=Nutrients!$B$77,Nutrients!$J$77,Nutrients!$J$78)))))*AW$8))/2000</f>
        <v>3.6350869206416188</v>
      </c>
    </row>
    <row r="303" spans="1:49" x14ac:dyDescent="0.25">
      <c r="A303" t="s">
        <v>54</v>
      </c>
      <c r="B303" s="22">
        <f>(SUMPRODUCT(B$9:B$229,Nutrients!$ED$8:$ED$228)+(IF($A$7=Nutrients!$B$8,Nutrients!$ED$8,Nutrients!$ED$9)*B$7)+(((IF($A$8=Nutrients!$B$79,Nutrients!$ED$79,(IF($A$8=Nutrients!$B$77,Nutrients!$ED$77,Nutrients!$ED$78)))))*B$8))/2000</f>
        <v>0</v>
      </c>
      <c r="C303" s="22">
        <f>(SUMPRODUCT(C$9:C$229,Nutrients!$ED$8:$ED$228)+(IF($A$7=Nutrients!$B$8,Nutrients!$ED$8,Nutrients!$ED$9)*C$7)+(((IF($A$8=Nutrients!$B$79,Nutrients!$ED$79,(IF($A$8=Nutrients!$B$77,Nutrients!$ED$77,Nutrients!$ED$78)))))*C$8))/2000</f>
        <v>0</v>
      </c>
      <c r="D303" s="22">
        <f>(SUMPRODUCT(D$9:D$229,Nutrients!$ED$8:$ED$228)+(IF($A$7=Nutrients!$B$8,Nutrients!$ED$8,Nutrients!$ED$9)*D$7)+(((IF($A$8=Nutrients!$B$79,Nutrients!$ED$79,(IF($A$8=Nutrients!$B$77,Nutrients!$ED$77,Nutrients!$ED$78)))))*D$8))/2000</f>
        <v>0</v>
      </c>
      <c r="E303" s="22">
        <f>(SUMPRODUCT(E$9:E$229,Nutrients!$ED$8:$ED$228)+(IF($A$7=Nutrients!$B$8,Nutrients!$ED$8,Nutrients!$ED$9)*E$7)+(((IF($A$8=Nutrients!$B$79,Nutrients!$ED$79,(IF($A$8=Nutrients!$B$77,Nutrients!$ED$77,Nutrients!$ED$78)))))*E$8))/2000</f>
        <v>0</v>
      </c>
      <c r="F303" s="22">
        <f>(SUMPRODUCT(F$9:F$229,Nutrients!$ED$8:$ED$228)+(IF($A$7=Nutrients!$B$8,Nutrients!$ED$8,Nutrients!$ED$9)*F$7)+(((IF($A$8=Nutrients!$B$79,Nutrients!$ED$79,(IF($A$8=Nutrients!$B$77,Nutrients!$ED$77,Nutrients!$ED$78)))))*F$8))/2000</f>
        <v>0</v>
      </c>
      <c r="G303" s="22">
        <f>(SUMPRODUCT(G$9:G$229,Nutrients!$ED$8:$ED$228)+(IF($A$7=Nutrients!$B$8,Nutrients!$ED$8,Nutrients!$ED$9)*G$7)+(((IF($A$8=Nutrients!$B$79,Nutrients!$ED$79,(IF($A$8=Nutrients!$B$77,Nutrients!$ED$77,Nutrients!$ED$78)))))*G$8))/2000</f>
        <v>0</v>
      </c>
      <c r="H303" s="228"/>
      <c r="I303" s="22">
        <f>(SUMPRODUCT(I$9:I$229,Nutrients!$ED$8:$ED$228)+(IF($A$7=Nutrients!$B$8,Nutrients!$ED$8,Nutrients!$ED$9)*I$7)+(((IF($A$8=Nutrients!$B$79,Nutrients!$ED$79,(IF($A$8=Nutrients!$B$77,Nutrients!$ED$77,Nutrients!$ED$78)))))*I$8))/2000</f>
        <v>0</v>
      </c>
      <c r="J303" s="22">
        <f>(SUMPRODUCT(J$9:J$229,Nutrients!$ED$8:$ED$228)+(IF($A$7=Nutrients!$B$8,Nutrients!$ED$8,Nutrients!$ED$9)*J$7)+(((IF($A$8=Nutrients!$B$79,Nutrients!$ED$79,(IF($A$8=Nutrients!$B$77,Nutrients!$ED$77,Nutrients!$ED$78)))))*J$8))/2000</f>
        <v>0</v>
      </c>
      <c r="K303" s="22">
        <f>(SUMPRODUCT(K$9:K$229,Nutrients!$ED$8:$ED$228)+(IF($A$7=Nutrients!$B$8,Nutrients!$ED$8,Nutrients!$ED$9)*K$7)+(((IF($A$8=Nutrients!$B$79,Nutrients!$ED$79,(IF($A$8=Nutrients!$B$77,Nutrients!$ED$77,Nutrients!$ED$78)))))*K$8))/2000</f>
        <v>0</v>
      </c>
      <c r="L303" s="22">
        <f>(SUMPRODUCT(L$9:L$229,Nutrients!$ED$8:$ED$228)+(IF($A$7=Nutrients!$B$8,Nutrients!$ED$8,Nutrients!$ED$9)*L$7)+(((IF($A$8=Nutrients!$B$79,Nutrients!$ED$79,(IF($A$8=Nutrients!$B$77,Nutrients!$ED$77,Nutrients!$ED$78)))))*L$8))/2000</f>
        <v>0</v>
      </c>
      <c r="M303" s="22">
        <f>(SUMPRODUCT(M$9:M$229,Nutrients!$ED$8:$ED$228)+(IF($A$7=Nutrients!$B$8,Nutrients!$ED$8,Nutrients!$ED$9)*M$7)+(((IF($A$8=Nutrients!$B$79,Nutrients!$ED$79,(IF($A$8=Nutrients!$B$77,Nutrients!$ED$77,Nutrients!$ED$78)))))*M$8))/2000</f>
        <v>0</v>
      </c>
      <c r="N303" s="22">
        <f>(SUMPRODUCT(N$9:N$229,Nutrients!$ED$8:$ED$228)+(IF($A$7=Nutrients!$B$8,Nutrients!$ED$8,Nutrients!$ED$9)*N$7)+(((IF($A$8=Nutrients!$B$79,Nutrients!$ED$79,(IF($A$8=Nutrients!$B$77,Nutrients!$ED$77,Nutrients!$ED$78)))))*N$8))/2000</f>
        <v>0</v>
      </c>
      <c r="O303" s="235"/>
      <c r="P303" s="22">
        <f>(SUMPRODUCT(P$9:P$229,Nutrients!$ED$8:$ED$228)+(IF($A$7=Nutrients!$B$8,Nutrients!$ED$8,Nutrients!$ED$9)*P$7)+(((IF($A$8=Nutrients!$B$79,Nutrients!$ED$79,(IF($A$8=Nutrients!$B$77,Nutrients!$ED$77,Nutrients!$ED$78)))))*P$8))/2000</f>
        <v>0</v>
      </c>
      <c r="Q303" s="22">
        <f>(SUMPRODUCT(Q$9:Q$229,Nutrients!$ED$8:$ED$228)+(IF($A$7=Nutrients!$B$8,Nutrients!$ED$8,Nutrients!$ED$9)*Q$7)+(((IF($A$8=Nutrients!$B$79,Nutrients!$ED$79,(IF($A$8=Nutrients!$B$77,Nutrients!$ED$77,Nutrients!$ED$78)))))*Q$8))/2000</f>
        <v>0</v>
      </c>
      <c r="R303" s="22">
        <f>(SUMPRODUCT(R$9:R$229,Nutrients!$ED$8:$ED$228)+(IF($A$7=Nutrients!$B$8,Nutrients!$ED$8,Nutrients!$ED$9)*R$7)+(((IF($A$8=Nutrients!$B$79,Nutrients!$ED$79,(IF($A$8=Nutrients!$B$77,Nutrients!$ED$77,Nutrients!$ED$78)))))*R$8))/2000</f>
        <v>0</v>
      </c>
      <c r="S303" s="22">
        <f>(SUMPRODUCT(S$9:S$229,Nutrients!$ED$8:$ED$228)+(IF($A$7=Nutrients!$B$8,Nutrients!$ED$8,Nutrients!$ED$9)*S$7)+(((IF($A$8=Nutrients!$B$79,Nutrients!$ED$79,(IF($A$8=Nutrients!$B$77,Nutrients!$ED$77,Nutrients!$ED$78)))))*S$8))/2000</f>
        <v>0</v>
      </c>
      <c r="T303" s="22">
        <f>(SUMPRODUCT(T$9:T$229,Nutrients!$ED$8:$ED$228)+(IF($A$7=Nutrients!$B$8,Nutrients!$ED$8,Nutrients!$ED$9)*T$7)+(((IF($A$8=Nutrients!$B$79,Nutrients!$ED$79,(IF($A$8=Nutrients!$B$77,Nutrients!$ED$77,Nutrients!$ED$78)))))*T$8))/2000</f>
        <v>0</v>
      </c>
      <c r="U303" s="22">
        <f>(SUMPRODUCT(U$9:U$229,Nutrients!$ED$8:$ED$228)+(IF($A$7=Nutrients!$B$8,Nutrients!$ED$8,Nutrients!$ED$9)*U$7)+(((IF($A$8=Nutrients!$B$79,Nutrients!$ED$79,(IF($A$8=Nutrients!$B$77,Nutrients!$ED$77,Nutrients!$ED$78)))))*U$8))/2000</f>
        <v>0</v>
      </c>
      <c r="W303" s="22">
        <f>(SUMPRODUCT(W$9:W$229,Nutrients!$ED$8:$ED$228)+(IF($A$7=Nutrients!$B$8,Nutrients!$ED$8,Nutrients!$ED$9)*W$7)+(((IF($A$8=Nutrients!$B$79,Nutrients!$ED$79,(IF($A$8=Nutrients!$B$77,Nutrients!$ED$77,Nutrients!$ED$78)))))*W$8))/2000</f>
        <v>0</v>
      </c>
      <c r="X303" s="22">
        <f>(SUMPRODUCT(X$9:X$229,Nutrients!$ED$8:$ED$228)+(IF($A$7=Nutrients!$B$8,Nutrients!$ED$8,Nutrients!$ED$9)*X$7)+(((IF($A$8=Nutrients!$B$79,Nutrients!$ED$79,(IF($A$8=Nutrients!$B$77,Nutrients!$ED$77,Nutrients!$ED$78)))))*X$8))/2000</f>
        <v>0</v>
      </c>
      <c r="Y303" s="22">
        <f>(SUMPRODUCT(Y$9:Y$229,Nutrients!$ED$8:$ED$228)+(IF($A$7=Nutrients!$B$8,Nutrients!$ED$8,Nutrients!$ED$9)*Y$7)+(((IF($A$8=Nutrients!$B$79,Nutrients!$ED$79,(IF($A$8=Nutrients!$B$77,Nutrients!$ED$77,Nutrients!$ED$78)))))*Y$8))/2000</f>
        <v>0</v>
      </c>
      <c r="Z303" s="22">
        <f>(SUMPRODUCT(Z$9:Z$229,Nutrients!$ED$8:$ED$228)+(IF($A$7=Nutrients!$B$8,Nutrients!$ED$8,Nutrients!$ED$9)*Z$7)+(((IF($A$8=Nutrients!$B$79,Nutrients!$ED$79,(IF($A$8=Nutrients!$B$77,Nutrients!$ED$77,Nutrients!$ED$78)))))*Z$8))/2000</f>
        <v>0</v>
      </c>
      <c r="AA303" s="22">
        <f>(SUMPRODUCT(AA$9:AA$229,Nutrients!$ED$8:$ED$228)+(IF($A$7=Nutrients!$B$8,Nutrients!$ED$8,Nutrients!$ED$9)*AA$7)+(((IF($A$8=Nutrients!$B$79,Nutrients!$ED$79,(IF($A$8=Nutrients!$B$77,Nutrients!$ED$77,Nutrients!$ED$78)))))*AA$8))/2000</f>
        <v>0</v>
      </c>
      <c r="AB303" s="22">
        <f>(SUMPRODUCT(AB$9:AB$229,Nutrients!$ED$8:$ED$228)+(IF($A$7=Nutrients!$B$8,Nutrients!$ED$8,Nutrients!$ED$9)*AB$7)+(((IF($A$8=Nutrients!$B$79,Nutrients!$ED$79,(IF($A$8=Nutrients!$B$77,Nutrients!$ED$77,Nutrients!$ED$78)))))*AB$8))/2000</f>
        <v>0</v>
      </c>
      <c r="AD303" s="22">
        <f>(SUMPRODUCT(AD$9:AD$229,Nutrients!$ED$8:$ED$228)+(IF($A$7=Nutrients!$B$8,Nutrients!$ED$8,Nutrients!$ED$9)*AD$7)+(((IF($A$8=Nutrients!$B$79,Nutrients!$ED$79,(IF($A$8=Nutrients!$B$77,Nutrients!$ED$77,Nutrients!$ED$78)))))*AD$8))/2000</f>
        <v>0</v>
      </c>
      <c r="AE303" s="22">
        <f>(SUMPRODUCT(AE$9:AE$229,Nutrients!$ED$8:$ED$228)+(IF($A$7=Nutrients!$B$8,Nutrients!$ED$8,Nutrients!$ED$9)*AE$7)+(((IF($A$8=Nutrients!$B$79,Nutrients!$ED$79,(IF($A$8=Nutrients!$B$77,Nutrients!$ED$77,Nutrients!$ED$78)))))*AE$8))/2000</f>
        <v>0</v>
      </c>
      <c r="AF303" s="22">
        <f>(SUMPRODUCT(AF$9:AF$229,Nutrients!$ED$8:$ED$228)+(IF($A$7=Nutrients!$B$8,Nutrients!$ED$8,Nutrients!$ED$9)*AF$7)+(((IF($A$8=Nutrients!$B$79,Nutrients!$ED$79,(IF($A$8=Nutrients!$B$77,Nutrients!$ED$77,Nutrients!$ED$78)))))*AF$8))/2000</f>
        <v>0</v>
      </c>
      <c r="AG303" s="22">
        <f>(SUMPRODUCT(AG$9:AG$229,Nutrients!$ED$8:$ED$228)+(IF($A$7=Nutrients!$B$8,Nutrients!$ED$8,Nutrients!$ED$9)*AG$7)+(((IF($A$8=Nutrients!$B$79,Nutrients!$ED$79,(IF($A$8=Nutrients!$B$77,Nutrients!$ED$77,Nutrients!$ED$78)))))*AG$8))/2000</f>
        <v>0</v>
      </c>
      <c r="AH303" s="22">
        <f>(SUMPRODUCT(AH$9:AH$229,Nutrients!$ED$8:$ED$228)+(IF($A$7=Nutrients!$B$8,Nutrients!$ED$8,Nutrients!$ED$9)*AH$7)+(((IF($A$8=Nutrients!$B$79,Nutrients!$ED$79,(IF($A$8=Nutrients!$B$77,Nutrients!$ED$77,Nutrients!$ED$78)))))*AH$8))/2000</f>
        <v>0</v>
      </c>
      <c r="AI303" s="22">
        <f>(SUMPRODUCT(AI$9:AI$229,Nutrients!$ED$8:$ED$228)+(IF($A$7=Nutrients!$B$8,Nutrients!$ED$8,Nutrients!$ED$9)*AI$7)+(((IF($A$8=Nutrients!$B$79,Nutrients!$ED$79,(IF($A$8=Nutrients!$B$77,Nutrients!$ED$77,Nutrients!$ED$78)))))*AI$8))/2000</f>
        <v>0</v>
      </c>
      <c r="AK303" s="22">
        <f>(SUMPRODUCT(AK$9:AK$229,Nutrients!$ED$8:$ED$228)+(IF($A$7=Nutrients!$B$8,Nutrients!$ED$8,Nutrients!$ED$9)*AK$7)+(((IF($A$8=Nutrients!$B$79,Nutrients!$ED$79,(IF($A$8=Nutrients!$B$77,Nutrients!$ED$77,Nutrients!$ED$78)))))*AK$8))/2000</f>
        <v>0</v>
      </c>
      <c r="AL303" s="22">
        <f>(SUMPRODUCT(AL$9:AL$229,Nutrients!$ED$8:$ED$228)+(IF($A$7=Nutrients!$B$8,Nutrients!$ED$8,Nutrients!$ED$9)*AL$7)+(((IF($A$8=Nutrients!$B$79,Nutrients!$ED$79,(IF($A$8=Nutrients!$B$77,Nutrients!$ED$77,Nutrients!$ED$78)))))*AL$8))/2000</f>
        <v>0</v>
      </c>
      <c r="AM303" s="22">
        <f>(SUMPRODUCT(AM$9:AM$229,Nutrients!$ED$8:$ED$228)+(IF($A$7=Nutrients!$B$8,Nutrients!$ED$8,Nutrients!$ED$9)*AM$7)+(((IF($A$8=Nutrients!$B$79,Nutrients!$ED$79,(IF($A$8=Nutrients!$B$77,Nutrients!$ED$77,Nutrients!$ED$78)))))*AM$8))/2000</f>
        <v>0</v>
      </c>
      <c r="AN303" s="22">
        <f>(SUMPRODUCT(AN$9:AN$229,Nutrients!$ED$8:$ED$228)+(IF($A$7=Nutrients!$B$8,Nutrients!$ED$8,Nutrients!$ED$9)*AN$7)+(((IF($A$8=Nutrients!$B$79,Nutrients!$ED$79,(IF($A$8=Nutrients!$B$77,Nutrients!$ED$77,Nutrients!$ED$78)))))*AN$8))/2000</f>
        <v>0</v>
      </c>
      <c r="AO303" s="22">
        <f>(SUMPRODUCT(AO$9:AO$229,Nutrients!$ED$8:$ED$228)+(IF($A$7=Nutrients!$B$8,Nutrients!$ED$8,Nutrients!$ED$9)*AO$7)+(((IF($A$8=Nutrients!$B$79,Nutrients!$ED$79,(IF($A$8=Nutrients!$B$77,Nutrients!$ED$77,Nutrients!$ED$78)))))*AO$8))/2000</f>
        <v>0</v>
      </c>
      <c r="AP303" s="22">
        <f>(SUMPRODUCT(AP$9:AP$229,Nutrients!$ED$8:$ED$228)+(IF($A$7=Nutrients!$B$8,Nutrients!$ED$8,Nutrients!$ED$9)*AP$7)+(((IF($A$8=Nutrients!$B$79,Nutrients!$ED$79,(IF($A$8=Nutrients!$B$77,Nutrients!$ED$77,Nutrients!$ED$78)))))*AP$8))/2000</f>
        <v>0</v>
      </c>
      <c r="AR303" s="22">
        <f>(SUMPRODUCT(AR$9:AR$229,Nutrients!$ED$8:$ED$228)+(IF($A$7=Nutrients!$B$8,Nutrients!$ED$8,Nutrients!$ED$9)*AR$7)+(((IF($A$8=Nutrients!$B$79,Nutrients!$ED$79,(IF($A$8=Nutrients!$B$77,Nutrients!$ED$77,Nutrients!$ED$78)))))*AR$8))/2000</f>
        <v>0</v>
      </c>
      <c r="AS303" s="22">
        <f>(SUMPRODUCT(AS$9:AS$229,Nutrients!$ED$8:$ED$228)+(IF($A$7=Nutrients!$B$8,Nutrients!$ED$8,Nutrients!$ED$9)*AS$7)+(((IF($A$8=Nutrients!$B$79,Nutrients!$ED$79,(IF($A$8=Nutrients!$B$77,Nutrients!$ED$77,Nutrients!$ED$78)))))*AS$8))/2000</f>
        <v>0</v>
      </c>
      <c r="AT303" s="22">
        <f>(SUMPRODUCT(AT$9:AT$229,Nutrients!$ED$8:$ED$228)+(IF($A$7=Nutrients!$B$8,Nutrients!$ED$8,Nutrients!$ED$9)*AT$7)+(((IF($A$8=Nutrients!$B$79,Nutrients!$ED$79,(IF($A$8=Nutrients!$B$77,Nutrients!$ED$77,Nutrients!$ED$78)))))*AT$8))/2000</f>
        <v>0</v>
      </c>
      <c r="AU303" s="22">
        <f>(SUMPRODUCT(AU$9:AU$229,Nutrients!$ED$8:$ED$228)+(IF($A$7=Nutrients!$B$8,Nutrients!$ED$8,Nutrients!$ED$9)*AU$7)+(((IF($A$8=Nutrients!$B$79,Nutrients!$ED$79,(IF($A$8=Nutrients!$B$77,Nutrients!$ED$77,Nutrients!$ED$78)))))*AU$8))/2000</f>
        <v>0</v>
      </c>
      <c r="AV303" s="22">
        <f>(SUMPRODUCT(AV$9:AV$229,Nutrients!$ED$8:$ED$228)+(IF($A$7=Nutrients!$B$8,Nutrients!$ED$8,Nutrients!$ED$9)*AV$7)+(((IF($A$8=Nutrients!$B$79,Nutrients!$ED$79,(IF($A$8=Nutrients!$B$77,Nutrients!$ED$77,Nutrients!$ED$78)))))*AV$8))/2000</f>
        <v>0</v>
      </c>
      <c r="AW303" s="22">
        <f>(SUMPRODUCT(AW$9:AW$229,Nutrients!$ED$8:$ED$228)+(IF($A$7=Nutrients!$B$8,Nutrients!$ED$8,Nutrients!$ED$9)*AW$7)+(((IF($A$8=Nutrients!$B$79,Nutrients!$ED$79,(IF($A$8=Nutrients!$B$77,Nutrients!$ED$77,Nutrients!$ED$78)))))*AW$8))/2000</f>
        <v>0</v>
      </c>
    </row>
    <row r="304" spans="1:49" x14ac:dyDescent="0.25">
      <c r="A304" t="s">
        <v>57</v>
      </c>
      <c r="B304" s="22">
        <f>(SUMPRODUCT(B$9:B$229,Nutrients!$EH$8:$EH$228)+(IF($A$7=Nutrients!$B$8,Nutrients!$EH$8,Nutrients!$EH$9)*B$7)+(((IF($A$8=Nutrients!$B$79,Nutrients!$EH$79,(IF($A$8=Nutrients!$B$77,Nutrients!$EH$77,Nutrients!$EH$78)))))*B$8))/2000</f>
        <v>35.538484918485338</v>
      </c>
      <c r="C304" s="22">
        <f>(SUMPRODUCT(C$9:C$229,Nutrients!$EH$8:$EH$228)+(IF($A$7=Nutrients!$B$8,Nutrients!$EH$8,Nutrients!$EH$9)*C$7)+(((IF($A$8=Nutrients!$B$79,Nutrients!$EH$79,(IF($A$8=Nutrients!$B$77,Nutrients!$EH$77,Nutrients!$EH$78)))))*C$8))/2000</f>
        <v>36.696132579183029</v>
      </c>
      <c r="D304" s="22">
        <f>(SUMPRODUCT(D$9:D$229,Nutrients!$EH$8:$EH$228)+(IF($A$7=Nutrients!$B$8,Nutrients!$EH$8,Nutrients!$EH$9)*D$7)+(((IF($A$8=Nutrients!$B$79,Nutrients!$EH$79,(IF($A$8=Nutrients!$B$77,Nutrients!$EH$77,Nutrients!$EH$78)))))*D$8))/2000</f>
        <v>37.687698685025424</v>
      </c>
      <c r="E304" s="22">
        <f>(SUMPRODUCT(E$9:E$229,Nutrients!$EH$8:$EH$228)+(IF($A$7=Nutrients!$B$8,Nutrients!$EH$8,Nutrients!$EH$9)*E$7)+(((IF($A$8=Nutrients!$B$79,Nutrients!$EH$79,(IF($A$8=Nutrients!$B$77,Nutrients!$EH$77,Nutrients!$EH$78)))))*E$8))/2000</f>
        <v>38.621947982979158</v>
      </c>
      <c r="F304" s="22">
        <f>(SUMPRODUCT(F$9:F$229,Nutrients!$EH$8:$EH$228)+(IF($A$7=Nutrients!$B$8,Nutrients!$EH$8,Nutrients!$EH$9)*F$7)+(((IF($A$8=Nutrients!$B$79,Nutrients!$EH$79,(IF($A$8=Nutrients!$B$77,Nutrients!$EH$77,Nutrients!$EH$78)))))*F$8))/2000</f>
        <v>39.390416669843518</v>
      </c>
      <c r="G304" s="22">
        <f>(SUMPRODUCT(G$9:G$229,Nutrients!$EH$8:$EH$228)+(IF($A$7=Nutrients!$B$8,Nutrients!$EH$8,Nutrients!$EH$9)*G$7)+(((IF($A$8=Nutrients!$B$79,Nutrients!$EH$79,(IF($A$8=Nutrients!$B$77,Nutrients!$EH$77,Nutrients!$EH$78)))))*G$8))/2000</f>
        <v>39.795780240411979</v>
      </c>
      <c r="H304" s="228"/>
      <c r="I304" s="22">
        <f>(SUMPRODUCT(I$9:I$229,Nutrients!$EH$8:$EH$228)+(IF($A$7=Nutrients!$B$8,Nutrients!$EH$8,Nutrients!$EH$9)*I$7)+(((IF($A$8=Nutrients!$B$79,Nutrients!$EH$79,(IF($A$8=Nutrients!$B$77,Nutrients!$EH$77,Nutrients!$EH$78)))))*I$8))/2000</f>
        <v>37.169653159982261</v>
      </c>
      <c r="J304" s="22">
        <f>(SUMPRODUCT(J$9:J$229,Nutrients!$EH$8:$EH$228)+(IF($A$7=Nutrients!$B$8,Nutrients!$EH$8,Nutrients!$EH$9)*J$7)+(((IF($A$8=Nutrients!$B$79,Nutrients!$EH$79,(IF($A$8=Nutrients!$B$77,Nutrients!$EH$77,Nutrients!$EH$78)))))*J$8))/2000</f>
        <v>38.35924317735688</v>
      </c>
      <c r="K304" s="22">
        <f>(SUMPRODUCT(K$9:K$229,Nutrients!$EH$8:$EH$228)+(IF($A$7=Nutrients!$B$8,Nutrients!$EH$8,Nutrients!$EH$9)*K$7)+(((IF($A$8=Nutrients!$B$79,Nutrients!$EH$79,(IF($A$8=Nutrients!$B$77,Nutrients!$EH$77,Nutrients!$EH$78)))))*K$8))/2000</f>
        <v>39.322484442451611</v>
      </c>
      <c r="L304" s="22">
        <f>(SUMPRODUCT(L$9:L$229,Nutrients!$EH$8:$EH$228)+(IF($A$7=Nutrients!$B$8,Nutrients!$EH$8,Nutrients!$EH$9)*L$7)+(((IF($A$8=Nutrients!$B$79,Nutrients!$EH$79,(IF($A$8=Nutrients!$B$77,Nutrients!$EH$77,Nutrients!$EH$78)))))*L$8))/2000</f>
        <v>40.287691584210933</v>
      </c>
      <c r="M304" s="22">
        <f>(SUMPRODUCT(M$9:M$229,Nutrients!$EH$8:$EH$228)+(IF($A$7=Nutrients!$B$8,Nutrients!$EH$8,Nutrients!$EH$9)*M$7)+(((IF($A$8=Nutrients!$B$79,Nutrients!$EH$79,(IF($A$8=Nutrients!$B$77,Nutrients!$EH$77,Nutrients!$EH$78)))))*M$8))/2000</f>
        <v>41.0655150151835</v>
      </c>
      <c r="N304" s="22">
        <f>(SUMPRODUCT(N$9:N$229,Nutrients!$EH$8:$EH$228)+(IF($A$7=Nutrients!$B$8,Nutrients!$EH$8,Nutrients!$EH$9)*N$7)+(((IF($A$8=Nutrients!$B$79,Nutrients!$EH$79,(IF($A$8=Nutrients!$B$77,Nutrients!$EH$77,Nutrients!$EH$78)))))*N$8))/2000</f>
        <v>41.45941179158811</v>
      </c>
      <c r="O304" s="235"/>
      <c r="P304" s="22">
        <f>(SUMPRODUCT(P$9:P$229,Nutrients!$EH$8:$EH$228)+(IF($A$7=Nutrients!$B$8,Nutrients!$EH$8,Nutrients!$EH$9)*P$7)+(((IF($A$8=Nutrients!$B$79,Nutrients!$EH$79,(IF($A$8=Nutrients!$B$77,Nutrients!$EH$77,Nutrients!$EH$78)))))*P$8))/2000</f>
        <v>38.823219799899526</v>
      </c>
      <c r="Q304" s="22">
        <f>(SUMPRODUCT(Q$9:Q$229,Nutrients!$EH$8:$EH$228)+(IF($A$7=Nutrients!$B$8,Nutrients!$EH$8,Nutrients!$EH$9)*Q$7)+(((IF($A$8=Nutrients!$B$79,Nutrients!$EH$79,(IF($A$8=Nutrients!$B$77,Nutrients!$EH$77,Nutrients!$EH$78)))))*Q$8))/2000</f>
        <v>40.013045961822343</v>
      </c>
      <c r="R304" s="22">
        <f>(SUMPRODUCT(R$9:R$229,Nutrients!$EH$8:$EH$228)+(IF($A$7=Nutrients!$B$8,Nutrients!$EH$8,Nutrients!$EH$9)*R$7)+(((IF($A$8=Nutrients!$B$79,Nutrients!$EH$79,(IF($A$8=Nutrients!$B$77,Nutrients!$EH$77,Nutrients!$EH$78)))))*R$8))/2000</f>
        <v>40.985668776055746</v>
      </c>
      <c r="S304" s="22">
        <f>(SUMPRODUCT(S$9:S$229,Nutrients!$EH$8:$EH$228)+(IF($A$7=Nutrients!$B$8,Nutrients!$EH$8,Nutrients!$EH$9)*S$7)+(((IF($A$8=Nutrients!$B$79,Nutrients!$EH$79,(IF($A$8=Nutrients!$B$77,Nutrients!$EH$77,Nutrients!$EH$78)))))*S$8))/2000</f>
        <v>41.939402665316734</v>
      </c>
      <c r="T304" s="22">
        <f>(SUMPRODUCT(T$9:T$229,Nutrients!$EH$8:$EH$228)+(IF($A$7=Nutrients!$B$8,Nutrients!$EH$8,Nutrients!$EH$9)*T$7)+(((IF($A$8=Nutrients!$B$79,Nutrients!$EH$79,(IF($A$8=Nutrients!$B$77,Nutrients!$EH$77,Nutrients!$EH$78)))))*T$8))/2000</f>
        <v>42.72814831617481</v>
      </c>
      <c r="U304" s="22">
        <f>(SUMPRODUCT(U$9:U$229,Nutrients!$EH$8:$EH$228)+(IF($A$7=Nutrients!$B$8,Nutrients!$EH$8,Nutrients!$EH$9)*U$7)+(((IF($A$8=Nutrients!$B$79,Nutrients!$EH$79,(IF($A$8=Nutrients!$B$77,Nutrients!$EH$77,Nutrients!$EH$78)))))*U$8))/2000</f>
        <v>43.128276098587691</v>
      </c>
      <c r="W304" s="22">
        <f>(SUMPRODUCT(W$9:W$229,Nutrients!$EH$8:$EH$228)+(IF($A$7=Nutrients!$B$8,Nutrients!$EH$8,Nutrients!$EH$9)*W$7)+(((IF($A$8=Nutrients!$B$79,Nutrients!$EH$79,(IF($A$8=Nutrients!$B$77,Nutrients!$EH$77,Nutrients!$EH$78)))))*W$8))/2000</f>
        <v>40.487151502341334</v>
      </c>
      <c r="X304" s="22">
        <f>(SUMPRODUCT(X$9:X$229,Nutrients!$EH$8:$EH$228)+(IF($A$7=Nutrients!$B$8,Nutrients!$EH$8,Nutrients!$EH$9)*X$7)+(((IF($A$8=Nutrients!$B$79,Nutrients!$EH$79,(IF($A$8=Nutrients!$B$77,Nutrients!$EH$77,Nutrients!$EH$78)))))*X$8))/2000</f>
        <v>41.68215562769543</v>
      </c>
      <c r="Y304" s="22">
        <f>(SUMPRODUCT(Y$9:Y$229,Nutrients!$EH$8:$EH$228)+(IF($A$7=Nutrients!$B$8,Nutrients!$EH$8,Nutrients!$EH$9)*Y$7)+(((IF($A$8=Nutrients!$B$79,Nutrients!$EH$79,(IF($A$8=Nutrients!$B$77,Nutrients!$EH$77,Nutrients!$EH$78)))))*Y$8))/2000</f>
        <v>42.640229143191064</v>
      </c>
      <c r="Z304" s="22">
        <f>(SUMPRODUCT(Z$9:Z$229,Nutrients!$EH$8:$EH$228)+(IF($A$7=Nutrients!$B$8,Nutrients!$EH$8,Nutrients!$EH$9)*Z$7)+(((IF($A$8=Nutrients!$B$79,Nutrients!$EH$79,(IF($A$8=Nutrients!$B$77,Nutrients!$EH$77,Nutrients!$EH$78)))))*Z$8))/2000</f>
        <v>43.598962068955018</v>
      </c>
      <c r="AA304" s="22">
        <f>(SUMPRODUCT(AA$9:AA$229,Nutrients!$EH$8:$EH$228)+(IF($A$7=Nutrients!$B$8,Nutrients!$EH$8,Nutrients!$EH$9)*AA$7)+(((IF($A$8=Nutrients!$B$79,Nutrients!$EH$79,(IF($A$8=Nutrients!$B$77,Nutrients!$EH$77,Nutrients!$EH$78)))))*AA$8))/2000</f>
        <v>44.367546159161051</v>
      </c>
      <c r="AB304" s="22">
        <f>(SUMPRODUCT(AB$9:AB$229,Nutrients!$EH$8:$EH$228)+(IF($A$7=Nutrients!$B$8,Nutrients!$EH$8,Nutrients!$EH$9)*AB$7)+(((IF($A$8=Nutrients!$B$79,Nutrients!$EH$79,(IF($A$8=Nutrients!$B$77,Nutrients!$EH$77,Nutrients!$EH$78)))))*AB$8))/2000</f>
        <v>44.825943422631212</v>
      </c>
      <c r="AD304" s="22">
        <f>(SUMPRODUCT(AD$9:AD$229,Nutrients!$EH$8:$EH$228)+(IF($A$7=Nutrients!$B$8,Nutrients!$EH$8,Nutrients!$EH$9)*AD$7)+(((IF($A$8=Nutrients!$B$79,Nutrients!$EH$79,(IF($A$8=Nutrients!$B$77,Nutrients!$EH$77,Nutrients!$EH$78)))))*AD$8))/2000</f>
        <v>42.153337475132474</v>
      </c>
      <c r="AE304" s="22">
        <f>(SUMPRODUCT(AE$9:AE$229,Nutrients!$EH$8:$EH$228)+(IF($A$7=Nutrients!$B$8,Nutrients!$EH$8,Nutrients!$EH$9)*AE$7)+(((IF($A$8=Nutrients!$B$79,Nutrients!$EH$79,(IF($A$8=Nutrients!$B$77,Nutrients!$EH$77,Nutrients!$EH$78)))))*AE$8))/2000</f>
        <v>43.340288022070212</v>
      </c>
      <c r="AF304" s="22">
        <f>(SUMPRODUCT(AF$9:AF$229,Nutrients!$EH$8:$EH$228)+(IF($A$7=Nutrients!$B$8,Nutrients!$EH$8,Nutrients!$EH$9)*AF$7)+(((IF($A$8=Nutrients!$B$79,Nutrients!$EH$79,(IF($A$8=Nutrients!$B$77,Nutrients!$EH$77,Nutrients!$EH$78)))))*AF$8))/2000</f>
        <v>44.299301882125484</v>
      </c>
      <c r="AG304" s="22">
        <f>(SUMPRODUCT(AG$9:AG$229,Nutrients!$EH$8:$EH$228)+(IF($A$7=Nutrients!$B$8,Nutrients!$EH$8,Nutrients!$EH$9)*AG$7)+(((IF($A$8=Nutrients!$B$79,Nutrients!$EH$79,(IF($A$8=Nutrients!$B$77,Nutrients!$EH$77,Nutrients!$EH$78)))))*AG$8))/2000</f>
        <v>45.249812899691278</v>
      </c>
      <c r="AH304" s="22">
        <f>(SUMPRODUCT(AH$9:AH$229,Nutrients!$EH$8:$EH$228)+(IF($A$7=Nutrients!$B$8,Nutrients!$EH$8,Nutrients!$EH$9)*AH$7)+(((IF($A$8=Nutrients!$B$79,Nutrients!$EH$79,(IF($A$8=Nutrients!$B$77,Nutrients!$EH$77,Nutrients!$EH$78)))))*AH$8))/2000</f>
        <v>46.206515547325957</v>
      </c>
      <c r="AI304" s="22">
        <f>(SUMPRODUCT(AI$9:AI$229,Nutrients!$EH$8:$EH$228)+(IF($A$7=Nutrients!$B$8,Nutrients!$EH$8,Nutrients!$EH$9)*AI$7)+(((IF($A$8=Nutrients!$B$79,Nutrients!$EH$79,(IF($A$8=Nutrients!$B$77,Nutrients!$EH$77,Nutrients!$EH$78)))))*AI$8))/2000</f>
        <v>46.73869014943979</v>
      </c>
      <c r="AK304" s="22">
        <f>(SUMPRODUCT(AK$9:AK$229,Nutrients!$EH$8:$EH$228)+(IF($A$7=Nutrients!$B$8,Nutrients!$EH$8,Nutrients!$EH$9)*AK$7)+(((IF($A$8=Nutrients!$B$79,Nutrients!$EH$79,(IF($A$8=Nutrients!$B$77,Nutrients!$EH$77,Nutrients!$EH$78)))))*AK$8))/2000</f>
        <v>43.820738181135056</v>
      </c>
      <c r="AL304" s="22">
        <f>(SUMPRODUCT(AL$9:AL$229,Nutrients!$EH$8:$EH$228)+(IF($A$7=Nutrients!$B$8,Nutrients!$EH$8,Nutrients!$EH$9)*AL$7)+(((IF($A$8=Nutrients!$B$79,Nutrients!$EH$79,(IF($A$8=Nutrients!$B$77,Nutrients!$EH$77,Nutrients!$EH$78)))))*AL$8))/2000</f>
        <v>45.007652685042004</v>
      </c>
      <c r="AM304" s="22">
        <f>(SUMPRODUCT(AM$9:AM$229,Nutrients!$EH$8:$EH$228)+(IF($A$7=Nutrients!$B$8,Nutrients!$EH$8,Nutrients!$EH$9)*AM$7)+(((IF($A$8=Nutrients!$B$79,Nutrients!$EH$79,(IF($A$8=Nutrients!$B$77,Nutrients!$EH$77,Nutrients!$EH$78)))))*AM$8))/2000</f>
        <v>45.951916066872911</v>
      </c>
      <c r="AN304" s="22">
        <f>(SUMPRODUCT(AN$9:AN$229,Nutrients!$EH$8:$EH$228)+(IF($A$7=Nutrients!$B$8,Nutrients!$EH$8,Nutrients!$EH$9)*AN$7)+(((IF($A$8=Nutrients!$B$79,Nutrients!$EH$79,(IF($A$8=Nutrients!$B$77,Nutrients!$EH$77,Nutrients!$EH$78)))))*AN$8))/2000</f>
        <v>47.042155027235289</v>
      </c>
      <c r="AO304" s="22">
        <f>(SUMPRODUCT(AO$9:AO$229,Nutrients!$EH$8:$EH$228)+(IF($A$7=Nutrients!$B$8,Nutrients!$EH$8,Nutrients!$EH$9)*AO$7)+(((IF($A$8=Nutrients!$B$79,Nutrients!$EH$79,(IF($A$8=Nutrients!$B$77,Nutrients!$EH$77,Nutrients!$EH$78)))))*AO$8))/2000</f>
        <v>48.11593308971824</v>
      </c>
      <c r="AP304" s="22">
        <f>(SUMPRODUCT(AP$9:AP$229,Nutrients!$EH$8:$EH$228)+(IF($A$7=Nutrients!$B$8,Nutrients!$EH$8,Nutrients!$EH$9)*AP$7)+(((IF($A$8=Nutrients!$B$79,Nutrients!$EH$79,(IF($A$8=Nutrients!$B$77,Nutrients!$EH$77,Nutrients!$EH$78)))))*AP$8))/2000</f>
        <v>48.652697485060187</v>
      </c>
      <c r="AR304" s="22">
        <f>(SUMPRODUCT(AR$9:AR$229,Nutrients!$EH$8:$EH$228)+(IF($A$7=Nutrients!$B$8,Nutrients!$EH$8,Nutrients!$EH$9)*AR$7)+(((IF($A$8=Nutrients!$B$79,Nutrients!$EH$79,(IF($A$8=Nutrients!$B$77,Nutrients!$EH$77,Nutrients!$EH$78)))))*AR$8))/2000</f>
        <v>45.526405233056607</v>
      </c>
      <c r="AS304" s="22">
        <f>(SUMPRODUCT(AS$9:AS$229,Nutrients!$EH$8:$EH$228)+(IF($A$7=Nutrients!$B$8,Nutrients!$EH$8,Nutrients!$EH$9)*AS$7)+(((IF($A$8=Nutrients!$B$79,Nutrients!$EH$79,(IF($A$8=Nutrients!$B$77,Nutrients!$EH$77,Nutrients!$EH$78)))))*AS$8))/2000</f>
        <v>46.656028884411555</v>
      </c>
      <c r="AT304" s="22">
        <f>(SUMPRODUCT(AT$9:AT$229,Nutrients!$EH$8:$EH$228)+(IF($A$7=Nutrients!$B$8,Nutrients!$EH$8,Nutrients!$EH$9)*AT$7)+(((IF($A$8=Nutrients!$B$79,Nutrients!$EH$79,(IF($A$8=Nutrients!$B$77,Nutrients!$EH$77,Nutrients!$EH$78)))))*AT$8))/2000</f>
        <v>47.591323561228798</v>
      </c>
      <c r="AU304" s="22">
        <f>(SUMPRODUCT(AU$9:AU$229,Nutrients!$EH$8:$EH$228)+(IF($A$7=Nutrients!$B$8,Nutrients!$EH$8,Nutrients!$EH$9)*AU$7)+(((IF($A$8=Nutrients!$B$79,Nutrients!$EH$79,(IF($A$8=Nutrients!$B$77,Nutrients!$EH$77,Nutrients!$EH$78)))))*AU$8))/2000</f>
        <v>48.947123054693819</v>
      </c>
      <c r="AV304" s="22">
        <f>(SUMPRODUCT(AV$9:AV$229,Nutrients!$EH$8:$EH$228)+(IF($A$7=Nutrients!$B$8,Nutrients!$EH$8,Nutrients!$EH$9)*AV$7)+(((IF($A$8=Nutrients!$B$79,Nutrients!$EH$79,(IF($A$8=Nutrients!$B$77,Nutrients!$EH$77,Nutrients!$EH$78)))))*AV$8))/2000</f>
        <v>50.025454938608455</v>
      </c>
      <c r="AW304" s="22">
        <f>(SUMPRODUCT(AW$9:AW$229,Nutrients!$EH$8:$EH$228)+(IF($A$7=Nutrients!$B$8,Nutrients!$EH$8,Nutrients!$EH$9)*AW$7)+(((IF($A$8=Nutrients!$B$79,Nutrients!$EH$79,(IF($A$8=Nutrients!$B$77,Nutrients!$EH$77,Nutrients!$EH$78)))))*AW$8))/2000</f>
        <v>50.566749363592592</v>
      </c>
    </row>
    <row r="305" spans="1:49" x14ac:dyDescent="0.25">
      <c r="A305" t="s">
        <v>58</v>
      </c>
      <c r="B305" s="23">
        <f t="shared" ref="B305:G305" si="174">(0.4472*B304)+51.796</f>
        <v>67.688810455546644</v>
      </c>
      <c r="C305" s="23">
        <f t="shared" si="174"/>
        <v>68.206510489410647</v>
      </c>
      <c r="D305" s="23">
        <f t="shared" si="174"/>
        <v>68.649938851943375</v>
      </c>
      <c r="E305" s="23">
        <f t="shared" si="174"/>
        <v>69.067735137988279</v>
      </c>
      <c r="F305" s="23">
        <f t="shared" si="174"/>
        <v>69.411394334754021</v>
      </c>
      <c r="G305" s="23">
        <f t="shared" si="174"/>
        <v>69.592672923512239</v>
      </c>
      <c r="H305" s="227"/>
      <c r="I305" s="23">
        <f t="shared" ref="I305:N305" si="175">(0.4472*I304)+51.796</f>
        <v>68.418268893144074</v>
      </c>
      <c r="J305" s="23">
        <f t="shared" si="175"/>
        <v>68.950253548913992</v>
      </c>
      <c r="K305" s="23">
        <f t="shared" si="175"/>
        <v>69.381015042664359</v>
      </c>
      <c r="L305" s="23">
        <f t="shared" si="175"/>
        <v>69.81265567645913</v>
      </c>
      <c r="M305" s="23">
        <f t="shared" si="175"/>
        <v>70.160498314790061</v>
      </c>
      <c r="N305" s="23">
        <f t="shared" si="175"/>
        <v>70.336648953198207</v>
      </c>
      <c r="O305" s="198"/>
      <c r="P305" s="23">
        <f t="shared" ref="P305:U305" si="176">(0.4472*P304)+51.796</f>
        <v>69.157743894515065</v>
      </c>
      <c r="Q305" s="23">
        <f t="shared" si="176"/>
        <v>69.689834154126942</v>
      </c>
      <c r="R305" s="23">
        <f t="shared" si="176"/>
        <v>70.12479107665213</v>
      </c>
      <c r="S305" s="23">
        <f t="shared" si="176"/>
        <v>70.551300871929641</v>
      </c>
      <c r="T305" s="23">
        <f t="shared" si="176"/>
        <v>70.904027926993379</v>
      </c>
      <c r="U305" s="23">
        <f t="shared" si="176"/>
        <v>71.082965071288413</v>
      </c>
      <c r="W305" s="23">
        <f t="shared" ref="W305:AB305" si="177">(0.4472*W304)+51.796</f>
        <v>69.901854151847047</v>
      </c>
      <c r="X305" s="23">
        <f t="shared" si="177"/>
        <v>70.436259996705388</v>
      </c>
      <c r="Y305" s="23">
        <f t="shared" si="177"/>
        <v>70.864710472835043</v>
      </c>
      <c r="Z305" s="23">
        <f t="shared" si="177"/>
        <v>71.293455837236678</v>
      </c>
      <c r="AA305" s="23">
        <f t="shared" si="177"/>
        <v>71.637166642376826</v>
      </c>
      <c r="AB305" s="23">
        <f t="shared" si="177"/>
        <v>71.842161898600679</v>
      </c>
      <c r="AD305" s="23">
        <f t="shared" ref="AD305:AI305" si="178">(0.4472*AD304)+51.796</f>
        <v>70.646972518879238</v>
      </c>
      <c r="AE305" s="23">
        <f t="shared" si="178"/>
        <v>71.177776803469797</v>
      </c>
      <c r="AF305" s="23">
        <f t="shared" si="178"/>
        <v>71.606647801686506</v>
      </c>
      <c r="AG305" s="23">
        <f t="shared" si="178"/>
        <v>72.031716328741936</v>
      </c>
      <c r="AH305" s="23">
        <f t="shared" si="178"/>
        <v>72.459553752764165</v>
      </c>
      <c r="AI305" s="23">
        <f t="shared" si="178"/>
        <v>72.69754223482947</v>
      </c>
      <c r="AK305" s="23">
        <f t="shared" ref="AK305:AP305" si="179">(0.4472*AK304)+51.796</f>
        <v>71.392634114603595</v>
      </c>
      <c r="AL305" s="23">
        <f t="shared" si="179"/>
        <v>71.923422280750785</v>
      </c>
      <c r="AM305" s="23">
        <f t="shared" si="179"/>
        <v>72.345696865105566</v>
      </c>
      <c r="AN305" s="23">
        <f t="shared" si="179"/>
        <v>72.833251728179619</v>
      </c>
      <c r="AO305" s="23">
        <f t="shared" si="179"/>
        <v>73.313445277721996</v>
      </c>
      <c r="AP305" s="23">
        <f t="shared" si="179"/>
        <v>73.553486315318906</v>
      </c>
      <c r="AR305" s="23">
        <f t="shared" ref="AR305:AW305" si="180">(0.4472*AR304)+51.796</f>
        <v>72.155408420222912</v>
      </c>
      <c r="AS305" s="23">
        <f t="shared" si="180"/>
        <v>72.660576117108846</v>
      </c>
      <c r="AT305" s="23">
        <f t="shared" si="180"/>
        <v>73.078839896581513</v>
      </c>
      <c r="AU305" s="23">
        <f t="shared" si="180"/>
        <v>73.685153430059074</v>
      </c>
      <c r="AV305" s="23">
        <f t="shared" si="180"/>
        <v>74.167383448545706</v>
      </c>
      <c r="AW305" s="23">
        <f t="shared" si="180"/>
        <v>74.409450315398601</v>
      </c>
    </row>
    <row r="306" spans="1:49" x14ac:dyDescent="0.25">
      <c r="A306" t="s">
        <v>65</v>
      </c>
      <c r="B306" s="23">
        <f>(SUMPRODUCT(B$9:B$229,Nutrients!$BW$8:$BW$228)+(IF($A$7=Nutrients!$B$8,Nutrients!$BW$8,Nutrients!$BW$9)*B$7)+(((IF($A$8=Nutrients!$B$79,Nutrients!$BW$79,(IF($A$8=Nutrients!$B$77,Nutrients!$BW$77,Nutrients!$BW$78)))))*B$8))/2000</f>
        <v>0.17585444277585438</v>
      </c>
      <c r="C306" s="23">
        <f>(SUMPRODUCT(C$9:C$229,Nutrients!$BW$8:$BW$228)+(IF($A$7=Nutrients!$B$8,Nutrients!$BW$8,Nutrients!$BW$9)*C$7)+(((IF($A$8=Nutrients!$B$79,Nutrients!$BW$79,(IF($A$8=Nutrients!$B$77,Nutrients!$BW$77,Nutrients!$BW$78)))))*C$8))/2000</f>
        <v>0.17313593688104692</v>
      </c>
      <c r="D306" s="23">
        <f>(SUMPRODUCT(D$9:D$229,Nutrients!$BW$8:$BW$228)+(IF($A$7=Nutrients!$B$8,Nutrients!$BW$8,Nutrients!$BW$9)*D$7)+(((IF($A$8=Nutrients!$B$79,Nutrients!$BW$79,(IF($A$8=Nutrients!$B$77,Nutrients!$BW$77,Nutrients!$BW$78)))))*D$8))/2000</f>
        <v>0.17084392516917876</v>
      </c>
      <c r="E306" s="23">
        <f>(SUMPRODUCT(E$9:E$229,Nutrients!$BW$8:$BW$228)+(IF($A$7=Nutrients!$B$8,Nutrients!$BW$8,Nutrients!$BW$9)*E$7)+(((IF($A$8=Nutrients!$B$79,Nutrients!$BW$79,(IF($A$8=Nutrients!$B$77,Nutrients!$BW$77,Nutrients!$BW$78)))))*E$8))/2000</f>
        <v>0.16862311318463774</v>
      </c>
      <c r="F306" s="23">
        <f>(SUMPRODUCT(F$9:F$229,Nutrients!$BW$8:$BW$228)+(IF($A$7=Nutrients!$B$8,Nutrients!$BW$8,Nutrients!$BW$9)*F$7)+(((IF($A$8=Nutrients!$B$79,Nutrients!$BW$79,(IF($A$8=Nutrients!$B$77,Nutrients!$BW$77,Nutrients!$BW$78)))))*F$8))/2000</f>
        <v>0.16677873706348853</v>
      </c>
      <c r="G306" s="23">
        <f>(SUMPRODUCT(G$9:G$229,Nutrients!$BW$8:$BW$228)+(IF($A$7=Nutrients!$B$8,Nutrients!$BW$8,Nutrients!$BW$9)*G$7)+(((IF($A$8=Nutrients!$B$79,Nutrients!$BW$79,(IF($A$8=Nutrients!$B$77,Nutrients!$BW$77,Nutrients!$BW$78)))))*G$8))/2000</f>
        <v>0.16577103413561747</v>
      </c>
      <c r="H306" s="227"/>
      <c r="I306" s="23">
        <f>(SUMPRODUCT(I$9:I$229,Nutrients!$BW$8:$BW$228)+(IF($A$7=Nutrients!$B$8,Nutrients!$BW$8,Nutrients!$BW$9)*I$7)+(((IF($A$8=Nutrients!$B$79,Nutrients!$BW$79,(IF($A$8=Nutrients!$B$77,Nutrients!$BW$77,Nutrients!$BW$78)))))*I$8))/2000</f>
        <v>0.18336019689860844</v>
      </c>
      <c r="J306" s="23">
        <f>(SUMPRODUCT(J$9:J$229,Nutrients!$BW$8:$BW$228)+(IF($A$7=Nutrients!$B$8,Nutrients!$BW$8,Nutrients!$BW$9)*J$7)+(((IF($A$8=Nutrients!$B$79,Nutrients!$BW$79,(IF($A$8=Nutrients!$B$77,Nutrients!$BW$77,Nutrients!$BW$78)))))*J$8))/2000</f>
        <v>0.18064935822550934</v>
      </c>
      <c r="K306" s="23">
        <f>(SUMPRODUCT(K$9:K$229,Nutrients!$BW$8:$BW$228)+(IF($A$7=Nutrients!$B$8,Nutrients!$BW$8,Nutrients!$BW$9)*K$7)+(((IF($A$8=Nutrients!$B$79,Nutrients!$BW$79,(IF($A$8=Nutrients!$B$77,Nutrients!$BW$77,Nutrients!$BW$78)))))*K$8))/2000</f>
        <v>0.17834400171431383</v>
      </c>
      <c r="L306" s="23">
        <f>(SUMPRODUCT(L$9:L$229,Nutrients!$BW$8:$BW$228)+(IF($A$7=Nutrients!$B$8,Nutrients!$BW$8,Nutrients!$BW$9)*L$7)+(((IF($A$8=Nutrients!$B$79,Nutrients!$BW$79,(IF($A$8=Nutrients!$B$77,Nutrients!$BW$77,Nutrients!$BW$78)))))*L$8))/2000</f>
        <v>0.17612939260193294</v>
      </c>
      <c r="M306" s="23">
        <f>(SUMPRODUCT(M$9:M$229,Nutrients!$BW$8:$BW$228)+(IF($A$7=Nutrients!$B$8,Nutrients!$BW$8,Nutrients!$BW$9)*M$7)+(((IF($A$8=Nutrients!$B$79,Nutrients!$BW$79,(IF($A$8=Nutrients!$B$77,Nutrients!$BW$77,Nutrients!$BW$78)))))*M$8))/2000</f>
        <v>0.17428593646768656</v>
      </c>
      <c r="N306" s="23">
        <f>(SUMPRODUCT(N$9:N$229,Nutrients!$BW$8:$BW$228)+(IF($A$7=Nutrients!$B$8,Nutrients!$BW$8,Nutrients!$BW$9)*N$7)+(((IF($A$8=Nutrients!$B$79,Nutrients!$BW$79,(IF($A$8=Nutrients!$B$77,Nutrients!$BW$77,Nutrients!$BW$78)))))*N$8))/2000</f>
        <v>0.17327674088277822</v>
      </c>
      <c r="O306" s="198"/>
      <c r="P306" s="23">
        <f>(SUMPRODUCT(P$9:P$229,Nutrients!$BW$8:$BW$228)+(IF($A$7=Nutrients!$B$8,Nutrients!$BW$8,Nutrients!$BW$9)*P$7)+(((IF($A$8=Nutrients!$B$79,Nutrients!$BW$79,(IF($A$8=Nutrients!$B$77,Nutrients!$BW$77,Nutrients!$BW$78)))))*P$8))/2000</f>
        <v>0.1908670613461714</v>
      </c>
      <c r="Q306" s="23">
        <f>(SUMPRODUCT(Q$9:Q$229,Nutrients!$BW$8:$BW$228)+(IF($A$7=Nutrients!$B$8,Nutrients!$BW$8,Nutrients!$BW$9)*Q$7)+(((IF($A$8=Nutrients!$B$79,Nutrients!$BW$79,(IF($A$8=Nutrients!$B$77,Nutrients!$BW$77,Nutrients!$BW$78)))))*Q$8))/2000</f>
        <v>0.18815605165017121</v>
      </c>
      <c r="R306" s="23">
        <f>(SUMPRODUCT(R$9:R$229,Nutrients!$BW$8:$BW$228)+(IF($A$7=Nutrients!$B$8,Nutrients!$BW$8,Nutrients!$BW$9)*R$7)+(((IF($A$8=Nutrients!$B$79,Nutrients!$BW$79,(IF($A$8=Nutrients!$B$77,Nutrients!$BW$77,Nutrients!$BW$78)))))*R$8))/2000</f>
        <v>0.18584948067891796</v>
      </c>
      <c r="S306" s="23">
        <f>(SUMPRODUCT(S$9:S$229,Nutrients!$BW$8:$BW$228)+(IF($A$7=Nutrients!$B$8,Nutrients!$BW$8,Nutrients!$BW$9)*S$7)+(((IF($A$8=Nutrients!$B$79,Nutrients!$BW$79,(IF($A$8=Nutrients!$B$77,Nutrients!$BW$77,Nutrients!$BW$78)))))*S$8))/2000</f>
        <v>0.18363504548241932</v>
      </c>
      <c r="T306" s="23">
        <f>(SUMPRODUCT(T$9:T$229,Nutrients!$BW$8:$BW$228)+(IF($A$7=Nutrients!$B$8,Nutrients!$BW$8,Nutrients!$BW$9)*T$7)+(((IF($A$8=Nutrients!$B$79,Nutrients!$BW$79,(IF($A$8=Nutrients!$B$77,Nutrients!$BW$77,Nutrients!$BW$78)))))*T$8))/2000</f>
        <v>0.18179198394523055</v>
      </c>
      <c r="U306" s="23">
        <f>(SUMPRODUCT(U$9:U$229,Nutrients!$BW$8:$BW$228)+(IF($A$7=Nutrients!$B$8,Nutrients!$BW$8,Nutrients!$BW$9)*U$7)+(((IF($A$8=Nutrients!$B$79,Nutrients!$BW$79,(IF($A$8=Nutrients!$B$77,Nutrients!$BW$77,Nutrients!$BW$78)))))*U$8))/2000</f>
        <v>0.18078262065830247</v>
      </c>
      <c r="W306" s="23">
        <f>(SUMPRODUCT(W$9:W$229,Nutrients!$BW$8:$BW$228)+(IF($A$7=Nutrients!$B$8,Nutrients!$BW$8,Nutrients!$BW$9)*W$7)+(((IF($A$8=Nutrients!$B$79,Nutrients!$BW$79,(IF($A$8=Nutrients!$B$77,Nutrients!$BW$77,Nutrients!$BW$78)))))*W$8))/2000</f>
        <v>0.19836432005163979</v>
      </c>
      <c r="X306" s="23">
        <f>(SUMPRODUCT(X$9:X$229,Nutrients!$BW$8:$BW$228)+(IF($A$7=Nutrients!$B$8,Nutrients!$BW$8,Nutrients!$BW$9)*X$7)+(((IF($A$8=Nutrients!$B$79,Nutrients!$BW$79,(IF($A$8=Nutrients!$B$77,Nutrients!$BW$77,Nutrients!$BW$78)))))*X$8))/2000</f>
        <v>0.1956523268274025</v>
      </c>
      <c r="Y306" s="23">
        <f>(SUMPRODUCT(Y$9:Y$229,Nutrients!$BW$8:$BW$228)+(IF($A$7=Nutrients!$B$8,Nutrients!$BW$8,Nutrients!$BW$9)*Y$7)+(((IF($A$8=Nutrients!$B$79,Nutrients!$BW$79,(IF($A$8=Nutrients!$B$77,Nutrients!$BW$77,Nutrients!$BW$78)))))*Y$8))/2000</f>
        <v>0.1933459271323891</v>
      </c>
      <c r="Z306" s="23">
        <f>(SUMPRODUCT(Z$9:Z$229,Nutrients!$BW$8:$BW$228)+(IF($A$7=Nutrients!$B$8,Nutrients!$BW$8,Nutrients!$BW$9)*Z$7)+(((IF($A$8=Nutrients!$B$79,Nutrients!$BW$79,(IF($A$8=Nutrients!$B$77,Nutrients!$BW$77,Nutrients!$BW$78)))))*Z$8))/2000</f>
        <v>0.19113038343865832</v>
      </c>
      <c r="AA306" s="23">
        <f>(SUMPRODUCT(AA$9:AA$229,Nutrients!$BW$8:$BW$228)+(IF($A$7=Nutrients!$B$8,Nutrients!$BW$8,Nutrients!$BW$9)*AA$7)+(((IF($A$8=Nutrients!$B$79,Nutrients!$BW$79,(IF($A$8=Nutrients!$B$77,Nutrients!$BW$77,Nutrients!$BW$78)))))*AA$8))/2000</f>
        <v>0.1892862108718901</v>
      </c>
      <c r="AB306" s="23">
        <f>(SUMPRODUCT(AB$9:AB$229,Nutrients!$BW$8:$BW$228)+(IF($A$7=Nutrients!$B$8,Nutrients!$BW$8,Nutrients!$BW$9)*AB$7)+(((IF($A$8=Nutrients!$B$79,Nutrients!$BW$79,(IF($A$8=Nutrients!$B$77,Nutrients!$BW$77,Nutrients!$BW$78)))))*AB$8))/2000</f>
        <v>0.18831381888656679</v>
      </c>
      <c r="AD306" s="23">
        <f>(SUMPRODUCT(AD$9:AD$229,Nutrients!$BW$8:$BW$228)+(IF($A$7=Nutrients!$B$8,Nutrients!$BW$8,Nutrients!$BW$9)*AD$7)+(((IF($A$8=Nutrients!$B$79,Nutrients!$BW$79,(IF($A$8=Nutrients!$B$77,Nutrients!$BW$77,Nutrients!$BW$78)))))*AD$8))/2000</f>
        <v>0.20586064330086698</v>
      </c>
      <c r="AE306" s="23">
        <f>(SUMPRODUCT(AE$9:AE$229,Nutrients!$BW$8:$BW$228)+(IF($A$7=Nutrients!$B$8,Nutrients!$BW$8,Nutrients!$BW$9)*AE$7)+(((IF($A$8=Nutrients!$B$79,Nutrients!$BW$79,(IF($A$8=Nutrients!$B$77,Nutrients!$BW$77,Nutrients!$BW$78)))))*AE$8))/2000</f>
        <v>0.20314903973968224</v>
      </c>
      <c r="AF306" s="23">
        <f>(SUMPRODUCT(AF$9:AF$229,Nutrients!$BW$8:$BW$228)+(IF($A$7=Nutrients!$B$8,Nutrients!$BW$8,Nutrients!$BW$9)*AF$7)+(((IF($A$8=Nutrients!$B$79,Nutrients!$BW$79,(IF($A$8=Nutrients!$B$77,Nutrients!$BW$77,Nutrients!$BW$78)))))*AF$8))/2000</f>
        <v>0.20084127866091886</v>
      </c>
      <c r="AG306" s="23">
        <f>(SUMPRODUCT(AG$9:AG$229,Nutrients!$BW$8:$BW$228)+(IF($A$7=Nutrients!$B$8,Nutrients!$BW$8,Nutrients!$BW$9)*AG$7)+(((IF($A$8=Nutrients!$B$79,Nutrients!$BW$79,(IF($A$8=Nutrients!$B$77,Nutrients!$BW$77,Nutrients!$BW$78)))))*AG$8))/2000</f>
        <v>0.19862625975335874</v>
      </c>
      <c r="AH306" s="23">
        <f>(SUMPRODUCT(AH$9:AH$229,Nutrients!$BW$8:$BW$228)+(IF($A$7=Nutrients!$B$8,Nutrients!$BW$8,Nutrients!$BW$9)*AH$7)+(((IF($A$8=Nutrients!$B$79,Nutrients!$BW$79,(IF($A$8=Nutrients!$B$77,Nutrients!$BW$77,Nutrients!$BW$78)))))*AH$8))/2000</f>
        <v>0.19689305694368972</v>
      </c>
      <c r="AI306" s="23">
        <f>(SUMPRODUCT(AI$9:AI$229,Nutrients!$BW$8:$BW$228)+(IF($A$7=Nutrients!$B$8,Nutrients!$BW$8,Nutrients!$BW$9)*AI$7)+(((IF($A$8=Nutrients!$B$79,Nutrients!$BW$79,(IF($A$8=Nutrients!$B$77,Nutrients!$BW$77,Nutrients!$BW$78)))))*AI$8))/2000</f>
        <v>0.19594541569142274</v>
      </c>
      <c r="AK306" s="23">
        <f>(SUMPRODUCT(AK$9:AK$229,Nutrients!$BW$8:$BW$228)+(IF($A$7=Nutrients!$B$8,Nutrients!$BW$8,Nutrients!$BW$9)*AK$7)+(((IF($A$8=Nutrients!$B$79,Nutrients!$BW$79,(IF($A$8=Nutrients!$B$77,Nutrients!$BW$77,Nutrients!$BW$78)))))*AK$8))/2000</f>
        <v>0.21336629761892068</v>
      </c>
      <c r="AL306" s="23">
        <f>(SUMPRODUCT(AL$9:AL$229,Nutrients!$BW$8:$BW$228)+(IF($A$7=Nutrients!$B$8,Nutrients!$BW$8,Nutrients!$BW$9)*AL$7)+(((IF($A$8=Nutrients!$B$79,Nutrients!$BW$79,(IF($A$8=Nutrients!$B$77,Nutrients!$BW$77,Nutrients!$BW$78)))))*AL$8))/2000</f>
        <v>0.2106543797648954</v>
      </c>
      <c r="AM306" s="23">
        <f>(SUMPRODUCT(AM$9:AM$229,Nutrients!$BW$8:$BW$228)+(IF($A$7=Nutrients!$B$8,Nutrients!$BW$8,Nutrients!$BW$9)*AM$7)+(((IF($A$8=Nutrients!$B$79,Nutrients!$BW$79,(IF($A$8=Nutrients!$B$77,Nutrients!$BW$77,Nutrients!$BW$78)))))*AM$8))/2000</f>
        <v>0.20834707869822303</v>
      </c>
      <c r="AN306" s="23">
        <f>(SUMPRODUCT(AN$9:AN$229,Nutrients!$BW$8:$BW$228)+(IF($A$7=Nutrients!$B$8,Nutrients!$BW$8,Nutrients!$BW$9)*AN$7)+(((IF($A$8=Nutrients!$B$79,Nutrients!$BW$79,(IF($A$8=Nutrients!$B$77,Nutrients!$BW$77,Nutrients!$BW$78)))))*AN$8))/2000</f>
        <v>0.20622379328016605</v>
      </c>
      <c r="AO306" s="23">
        <f>(SUMPRODUCT(AO$9:AO$229,Nutrients!$BW$8:$BW$228)+(IF($A$7=Nutrients!$B$8,Nutrients!$BW$8,Nutrients!$BW$9)*AO$7)+(((IF($A$8=Nutrients!$B$79,Nutrients!$BW$79,(IF($A$8=Nutrients!$B$77,Nutrients!$BW$77,Nutrients!$BW$78)))))*AO$8))/2000</f>
        <v>0.20452471846281339</v>
      </c>
      <c r="AP306" s="23">
        <f>(SUMPRODUCT(AP$9:AP$229,Nutrients!$BW$8:$BW$228)+(IF($A$7=Nutrients!$B$8,Nutrients!$BW$8,Nutrients!$BW$9)*AP$7)+(((IF($A$8=Nutrients!$B$79,Nutrients!$BW$79,(IF($A$8=Nutrients!$B$77,Nutrients!$BW$77,Nutrients!$BW$78)))))*AP$8))/2000</f>
        <v>0.20357697993715104</v>
      </c>
      <c r="AR306" s="23">
        <f>(SUMPRODUCT(AR$9:AR$229,Nutrients!$BW$8:$BW$228)+(IF($A$7=Nutrients!$B$8,Nutrients!$BW$8,Nutrients!$BW$9)*AR$7)+(((IF($A$8=Nutrients!$B$79,Nutrients!$BW$79,(IF($A$8=Nutrients!$B$77,Nutrients!$BW$77,Nutrients!$BW$78)))))*AR$8))/2000</f>
        <v>0.2208707117696142</v>
      </c>
      <c r="AS306" s="23">
        <f>(SUMPRODUCT(AS$9:AS$229,Nutrients!$BW$8:$BW$228)+(IF($A$7=Nutrients!$B$8,Nutrients!$BW$8,Nutrients!$BW$9)*AS$7)+(((IF($A$8=Nutrients!$B$79,Nutrients!$BW$79,(IF($A$8=Nutrients!$B$77,Nutrients!$BW$77,Nutrients!$BW$78)))))*AS$8))/2000</f>
        <v>0.21815953385691766</v>
      </c>
      <c r="AT306" s="23">
        <f>(SUMPRODUCT(AT$9:AT$229,Nutrients!$BW$8:$BW$228)+(IF($A$7=Nutrients!$B$8,Nutrients!$BW$8,Nutrients!$BW$9)*AT$7)+(((IF($A$8=Nutrients!$B$79,Nutrients!$BW$79,(IF($A$8=Nutrients!$B$77,Nutrients!$BW$77,Nutrients!$BW$78)))))*AT$8))/2000</f>
        <v>0.21585708962025246</v>
      </c>
      <c r="AU306" s="23">
        <f>(SUMPRODUCT(AU$9:AU$229,Nutrients!$BW$8:$BW$228)+(IF($A$7=Nutrients!$B$8,Nutrients!$BW$8,Nutrients!$BW$9)*AU$7)+(((IF($A$8=Nutrients!$B$79,Nutrients!$BW$79,(IF($A$8=Nutrients!$B$77,Nutrients!$BW$77,Nutrients!$BW$78)))))*AU$8))/2000</f>
        <v>0.21385593836634298</v>
      </c>
      <c r="AV306" s="23">
        <f>(SUMPRODUCT(AV$9:AV$229,Nutrients!$BW$8:$BW$228)+(IF($A$7=Nutrients!$B$8,Nutrients!$BW$8,Nutrients!$BW$9)*AV$7)+(((IF($A$8=Nutrients!$B$79,Nutrients!$BW$79,(IF($A$8=Nutrients!$B$77,Nutrients!$BW$77,Nutrients!$BW$78)))))*AV$8))/2000</f>
        <v>0.21215637956622457</v>
      </c>
      <c r="AW306" s="23">
        <f>(SUMPRODUCT(AW$9:AW$229,Nutrients!$BW$8:$BW$228)+(IF($A$7=Nutrients!$B$8,Nutrients!$BW$8,Nutrients!$BW$9)*AW$7)+(((IF($A$8=Nutrients!$B$79,Nutrients!$BW$79,(IF($A$8=Nutrients!$B$77,Nutrients!$BW$77,Nutrients!$BW$78)))))*AW$8))/2000</f>
        <v>0.21120854492428029</v>
      </c>
    </row>
    <row r="307" spans="1:49" x14ac:dyDescent="0.25">
      <c r="A307" t="s">
        <v>66</v>
      </c>
      <c r="B307" s="23">
        <f>(SUMPRODUCT(B$9:B$229,Nutrients!$BT$8:$BT$228)+(IF($A$7=Nutrients!$B$8,Nutrients!$BT$8,Nutrients!$BT$9)*B$7)+(((IF($A$8=Nutrients!$B$79,Nutrients!$BT$79,(IF($A$8=Nutrients!$B$77,Nutrients!$BT$77,Nutrients!$BT$78)))))*B$8))/2000</f>
        <v>0.34074334390126987</v>
      </c>
      <c r="C307" s="23">
        <f>(SUMPRODUCT(C$9:C$229,Nutrients!$BT$8:$BT$228)+(IF($A$7=Nutrients!$B$8,Nutrients!$BT$8,Nutrients!$BT$9)*C$7)+(((IF($A$8=Nutrients!$B$79,Nutrients!$BT$79,(IF($A$8=Nutrients!$B$77,Nutrients!$BT$77,Nutrients!$BT$78)))))*C$8))/2000</f>
        <v>0.33141446527128632</v>
      </c>
      <c r="D307" s="23">
        <f>(SUMPRODUCT(D$9:D$229,Nutrients!$BT$8:$BT$228)+(IF($A$7=Nutrients!$B$8,Nutrients!$BT$8,Nutrients!$BT$9)*D$7)+(((IF($A$8=Nutrients!$B$79,Nutrients!$BT$79,(IF($A$8=Nutrients!$B$77,Nutrients!$BT$77,Nutrients!$BT$78)))))*D$8))/2000</f>
        <v>0.32208201141013715</v>
      </c>
      <c r="E307" s="23">
        <f>(SUMPRODUCT(E$9:E$229,Nutrients!$BT$8:$BT$228)+(IF($A$7=Nutrients!$B$8,Nutrients!$BT$8,Nutrients!$BT$9)*E$7)+(((IF($A$8=Nutrients!$B$79,Nutrients!$BT$79,(IF($A$8=Nutrients!$B$77,Nutrients!$BT$77,Nutrients!$BT$78)))))*E$8))/2000</f>
        <v>0.31765998822682556</v>
      </c>
      <c r="F307" s="23">
        <f>(SUMPRODUCT(F$9:F$229,Nutrients!$BT$8:$BT$228)+(IF($A$7=Nutrients!$B$8,Nutrients!$BT$8,Nutrients!$BT$9)*F$7)+(((IF($A$8=Nutrients!$B$79,Nutrients!$BT$79,(IF($A$8=Nutrients!$B$77,Nutrients!$BT$77,Nutrients!$BT$78)))))*F$8))/2000</f>
        <v>0.31776531917662576</v>
      </c>
      <c r="G307" s="23">
        <f>(SUMPRODUCT(G$9:G$229,Nutrients!$BT$8:$BT$228)+(IF($A$7=Nutrients!$B$8,Nutrients!$BT$8,Nutrients!$BT$9)*G$7)+(((IF($A$8=Nutrients!$B$79,Nutrients!$BT$79,(IF($A$8=Nutrients!$B$77,Nutrients!$BT$77,Nutrients!$BT$78)))))*G$8))/2000</f>
        <v>0.31780178721106933</v>
      </c>
      <c r="H307" s="227"/>
      <c r="I307" s="23">
        <f>(SUMPRODUCT(I$9:I$229,Nutrients!$BT$8:$BT$228)+(IF($A$7=Nutrients!$B$8,Nutrients!$BT$8,Nutrients!$BT$9)*I$7)+(((IF($A$8=Nutrients!$B$79,Nutrients!$BT$79,(IF($A$8=Nutrients!$B$77,Nutrients!$BT$77,Nutrients!$BT$78)))))*I$8))/2000</f>
        <v>0.35214530521477544</v>
      </c>
      <c r="J307" s="23">
        <f>(SUMPRODUCT(J$9:J$229,Nutrients!$BT$8:$BT$228)+(IF($A$7=Nutrients!$B$8,Nutrients!$BT$8,Nutrients!$BT$9)*J$7)+(((IF($A$8=Nutrients!$B$79,Nutrients!$BT$79,(IF($A$8=Nutrients!$B$77,Nutrients!$BT$77,Nutrients!$BT$78)))))*J$8))/2000</f>
        <v>0.34280891000235425</v>
      </c>
      <c r="K307" s="23">
        <f>(SUMPRODUCT(K$9:K$229,Nutrients!$BT$8:$BT$228)+(IF($A$7=Nutrients!$B$8,Nutrients!$BT$8,Nutrients!$BT$9)*K$7)+(((IF($A$8=Nutrients!$B$79,Nutrients!$BT$79,(IF($A$8=Nutrients!$B$77,Nutrients!$BT$77,Nutrients!$BT$78)))))*K$8))/2000</f>
        <v>0.33347996153785703</v>
      </c>
      <c r="L307" s="23">
        <f>(SUMPRODUCT(L$9:L$229,Nutrients!$BT$8:$BT$228)+(IF($A$7=Nutrients!$B$8,Nutrients!$BT$8,Nutrients!$BT$9)*L$7)+(((IF($A$8=Nutrients!$B$79,Nutrients!$BT$79,(IF($A$8=Nutrients!$B$77,Nutrients!$BT$77,Nutrients!$BT$78)))))*L$8))/2000</f>
        <v>0.32905482268203223</v>
      </c>
      <c r="M307" s="23">
        <f>(SUMPRODUCT(M$9:M$229,Nutrients!$BT$8:$BT$228)+(IF($A$7=Nutrients!$B$8,Nutrients!$BT$8,Nutrients!$BT$9)*M$7)+(((IF($A$8=Nutrients!$B$79,Nutrients!$BT$79,(IF($A$8=Nutrients!$B$77,Nutrients!$BT$77,Nutrients!$BT$78)))))*M$8))/2000</f>
        <v>0.3291603669445653</v>
      </c>
      <c r="N307" s="23">
        <f>(SUMPRODUCT(N$9:N$229,Nutrients!$BT$8:$BT$228)+(IF($A$7=Nutrients!$B$8,Nutrients!$BT$8,Nutrients!$BT$9)*N$7)+(((IF($A$8=Nutrients!$B$79,Nutrients!$BT$79,(IF($A$8=Nutrients!$B$77,Nutrients!$BT$77,Nutrients!$BT$78)))))*N$8))/2000</f>
        <v>0.32919507379711205</v>
      </c>
      <c r="O307" s="198"/>
      <c r="P307" s="23">
        <f>(SUMPRODUCT(P$9:P$229,Nutrients!$BT$8:$BT$228)+(IF($A$7=Nutrients!$B$8,Nutrients!$BT$8,Nutrients!$BT$9)*P$7)+(((IF($A$8=Nutrients!$B$79,Nutrients!$BT$79,(IF($A$8=Nutrients!$B$77,Nutrients!$BT$77,Nutrients!$BT$78)))))*P$8))/2000</f>
        <v>0.36354228559705848</v>
      </c>
      <c r="Q307" s="23">
        <f>(SUMPRODUCT(Q$9:Q$229,Nutrients!$BT$8:$BT$228)+(IF($A$7=Nutrients!$B$8,Nutrients!$BT$8,Nutrients!$BT$9)*Q$7)+(((IF($A$8=Nutrients!$B$79,Nutrients!$BT$79,(IF($A$8=Nutrients!$B$77,Nutrients!$BT$77,Nutrients!$BT$78)))))*Q$8))/2000</f>
        <v>0.35420402570649528</v>
      </c>
      <c r="R307" s="23">
        <f>(SUMPRODUCT(R$9:R$229,Nutrients!$BT$8:$BT$228)+(IF($A$7=Nutrients!$B$8,Nutrients!$BT$8,Nutrients!$BT$9)*R$7)+(((IF($A$8=Nutrients!$B$79,Nutrients!$BT$79,(IF($A$8=Nutrients!$B$77,Nutrients!$BT$77,Nutrients!$BT$78)))))*R$8))/2000</f>
        <v>0.34487290001979115</v>
      </c>
      <c r="S307" s="23">
        <f>(SUMPRODUCT(S$9:S$229,Nutrients!$BT$8:$BT$228)+(IF($A$7=Nutrients!$B$8,Nutrients!$BT$8,Nutrients!$BT$9)*S$7)+(((IF($A$8=Nutrients!$B$79,Nutrients!$BT$79,(IF($A$8=Nutrients!$B$77,Nutrients!$BT$77,Nutrients!$BT$78)))))*S$8))/2000</f>
        <v>0.34044832418266713</v>
      </c>
      <c r="T307" s="23">
        <f>(SUMPRODUCT(T$9:T$229,Nutrients!$BT$8:$BT$228)+(IF($A$7=Nutrients!$B$8,Nutrients!$BT$8,Nutrients!$BT$9)*T$7)+(((IF($A$8=Nutrients!$B$79,Nutrients!$BT$79,(IF($A$8=Nutrients!$B$77,Nutrients!$BT$77,Nutrients!$BT$78)))))*T$8))/2000</f>
        <v>0.34055514587610441</v>
      </c>
      <c r="U307" s="23">
        <f>(SUMPRODUCT(U$9:U$229,Nutrients!$BT$8:$BT$228)+(IF($A$7=Nutrients!$B$8,Nutrients!$BT$8,Nutrients!$BT$9)*U$7)+(((IF($A$8=Nutrients!$B$79,Nutrients!$BT$79,(IF($A$8=Nutrients!$B$77,Nutrients!$BT$77,Nutrients!$BT$78)))))*U$8))/2000</f>
        <v>0.34058930982611657</v>
      </c>
      <c r="W307" s="23">
        <f>(SUMPRODUCT(W$9:W$229,Nutrients!$BT$8:$BT$228)+(IF($A$7=Nutrients!$B$8,Nutrients!$BT$8,Nutrients!$BT$9)*W$7)+(((IF($A$8=Nutrients!$B$79,Nutrients!$BT$79,(IF($A$8=Nutrients!$B$77,Nutrients!$BT$77,Nutrients!$BT$78)))))*W$8))/2000</f>
        <v>0.37494098564243494</v>
      </c>
      <c r="X307" s="23">
        <f>(SUMPRODUCT(X$9:X$229,Nutrients!$BT$8:$BT$228)+(IF($A$7=Nutrients!$B$8,Nutrients!$BT$8,Nutrients!$BT$9)*X$7)+(((IF($A$8=Nutrients!$B$79,Nutrients!$BT$79,(IF($A$8=Nutrients!$B$77,Nutrients!$BT$77,Nutrients!$BT$78)))))*X$8))/2000</f>
        <v>0.36559954177129955</v>
      </c>
      <c r="Y307" s="23">
        <f>(SUMPRODUCT(Y$9:Y$229,Nutrients!$BT$8:$BT$228)+(IF($A$7=Nutrients!$B$8,Nutrients!$BT$8,Nutrients!$BT$9)*Y$7)+(((IF($A$8=Nutrients!$B$79,Nutrients!$BT$79,(IF($A$8=Nutrients!$B$77,Nutrients!$BT$77,Nutrients!$BT$78)))))*Y$8))/2000</f>
        <v>0.35626897055796947</v>
      </c>
      <c r="Z307" s="23">
        <f>(SUMPRODUCT(Z$9:Z$229,Nutrients!$BT$8:$BT$228)+(IF($A$7=Nutrients!$B$8,Nutrients!$BT$8,Nutrients!$BT$9)*Z$7)+(((IF($A$8=Nutrients!$B$79,Nutrients!$BT$79,(IF($A$8=Nutrients!$B$77,Nutrients!$BT$77,Nutrients!$BT$78)))))*Z$8))/2000</f>
        <v>0.35184080617756003</v>
      </c>
      <c r="AA307" s="23">
        <f>(SUMPRODUCT(AA$9:AA$229,Nutrients!$BT$8:$BT$228)+(IF($A$7=Nutrients!$B$8,Nutrients!$BT$8,Nutrients!$BT$9)*AA$7)+(((IF($A$8=Nutrients!$B$79,Nutrients!$BT$79,(IF($A$8=Nutrients!$B$77,Nutrients!$BT$77,Nutrients!$BT$78)))))*AA$8))/2000</f>
        <v>0.35194403112973166</v>
      </c>
      <c r="AB307" s="23">
        <f>(SUMPRODUCT(AB$9:AB$229,Nutrients!$BT$8:$BT$228)+(IF($A$7=Nutrients!$B$8,Nutrients!$BT$8,Nutrients!$BT$9)*AB$7)+(((IF($A$8=Nutrients!$B$79,Nutrients!$BT$79,(IF($A$8=Nutrients!$B$77,Nutrients!$BT$77,Nutrients!$BT$78)))))*AB$8))/2000</f>
        <v>0.35196051915290155</v>
      </c>
      <c r="AD307" s="23">
        <f>(SUMPRODUCT(AD$9:AD$229,Nutrients!$BT$8:$BT$228)+(IF($A$7=Nutrients!$B$8,Nutrients!$BT$8,Nutrients!$BT$9)*AD$7)+(((IF($A$8=Nutrients!$B$79,Nutrients!$BT$79,(IF($A$8=Nutrients!$B$77,Nutrients!$BT$77,Nutrients!$BT$78)))))*AD$8))/2000</f>
        <v>0.38633665733093681</v>
      </c>
      <c r="AE307" s="23">
        <f>(SUMPRODUCT(AE$9:AE$229,Nutrients!$BT$8:$BT$228)+(IF($A$7=Nutrients!$B$8,Nutrients!$BT$8,Nutrients!$BT$9)*AE$7)+(((IF($A$8=Nutrients!$B$79,Nutrients!$BT$79,(IF($A$8=Nutrients!$B$77,Nutrients!$BT$77,Nutrients!$BT$78)))))*AE$8))/2000</f>
        <v>0.3769964749178279</v>
      </c>
      <c r="AF307" s="23">
        <f>(SUMPRODUCT(AF$9:AF$229,Nutrients!$BT$8:$BT$228)+(IF($A$7=Nutrients!$B$8,Nutrients!$BT$8,Nutrients!$BT$9)*AF$7)+(((IF($A$8=Nutrients!$B$79,Nutrients!$BT$79,(IF($A$8=Nutrients!$B$77,Nutrients!$BT$77,Nutrients!$BT$78)))))*AF$8))/2000</f>
        <v>0.36766149649050273</v>
      </c>
      <c r="AG307" s="23">
        <f>(SUMPRODUCT(AG$9:AG$229,Nutrients!$BT$8:$BT$228)+(IF($A$7=Nutrients!$B$8,Nutrients!$BT$8,Nutrients!$BT$9)*AG$7)+(((IF($A$8=Nutrients!$B$79,Nutrients!$BT$79,(IF($A$8=Nutrients!$B$77,Nutrients!$BT$77,Nutrients!$BT$78)))))*AG$8))/2000</f>
        <v>0.36323176606842644</v>
      </c>
      <c r="AH307" s="23">
        <f>(SUMPRODUCT(AH$9:AH$229,Nutrients!$BT$8:$BT$228)+(IF($A$7=Nutrients!$B$8,Nutrients!$BT$8,Nutrients!$BT$9)*AH$7)+(((IF($A$8=Nutrients!$B$79,Nutrients!$BT$79,(IF($A$8=Nutrients!$B$77,Nutrients!$BT$77,Nutrients!$BT$78)))))*AH$8))/2000</f>
        <v>0.363276836104024</v>
      </c>
      <c r="AI307" s="23">
        <f>(SUMPRODUCT(AI$9:AI$229,Nutrients!$BT$8:$BT$228)+(IF($A$7=Nutrients!$B$8,Nutrients!$BT$8,Nutrients!$BT$9)*AI$7)+(((IF($A$8=Nutrients!$B$79,Nutrients!$BT$79,(IF($A$8=Nutrients!$B$77,Nutrients!$BT$77,Nutrients!$BT$78)))))*AI$8))/2000</f>
        <v>0.36327778376364744</v>
      </c>
      <c r="AK307" s="23">
        <f>(SUMPRODUCT(AK$9:AK$229,Nutrients!$BT$8:$BT$228)+(IF($A$7=Nutrients!$B$8,Nutrients!$BT$8,Nutrients!$BT$9)*AK$7)+(((IF($A$8=Nutrients!$B$79,Nutrients!$BT$79,(IF($A$8=Nutrients!$B$77,Nutrients!$BT$77,Nutrients!$BT$78)))))*AK$8))/2000</f>
        <v>0.39773016348541529</v>
      </c>
      <c r="AL307" s="23">
        <f>(SUMPRODUCT(AL$9:AL$229,Nutrients!$BT$8:$BT$228)+(IF($A$7=Nutrients!$B$8,Nutrients!$BT$8,Nutrients!$BT$9)*AL$7)+(((IF($A$8=Nutrients!$B$79,Nutrients!$BT$79,(IF($A$8=Nutrients!$B$77,Nutrients!$BT$77,Nutrients!$BT$78)))))*AL$8))/2000</f>
        <v>0.38838896361062042</v>
      </c>
      <c r="AM307" s="23">
        <f>(SUMPRODUCT(AM$9:AM$229,Nutrients!$BT$8:$BT$228)+(IF($A$7=Nutrients!$B$8,Nutrients!$BT$8,Nutrients!$BT$9)*AM$7)+(((IF($A$8=Nutrients!$B$79,Nutrients!$BT$79,(IF($A$8=Nutrients!$B$77,Nutrients!$BT$77,Nutrients!$BT$78)))))*AM$8))/2000</f>
        <v>0.37905547438259368</v>
      </c>
      <c r="AN307" s="23">
        <f>(SUMPRODUCT(AN$9:AN$229,Nutrients!$BT$8:$BT$228)+(IF($A$7=Nutrients!$B$8,Nutrients!$BT$8,Nutrients!$BT$9)*AN$7)+(((IF($A$8=Nutrients!$B$79,Nutrients!$BT$79,(IF($A$8=Nutrients!$B$77,Nutrients!$BT$77,Nutrients!$BT$78)))))*AN$8))/2000</f>
        <v>0.37457257877973621</v>
      </c>
      <c r="AO307" s="23">
        <f>(SUMPRODUCT(AO$9:AO$229,Nutrients!$BT$8:$BT$228)+(IF($A$7=Nutrients!$B$8,Nutrients!$BT$8,Nutrients!$BT$9)*AO$7)+(((IF($A$8=Nutrients!$B$79,Nutrients!$BT$79,(IF($A$8=Nutrients!$B$77,Nutrients!$BT$77,Nutrients!$BT$78)))))*AO$8))/2000</f>
        <v>0.37459441647760444</v>
      </c>
      <c r="AP307" s="23">
        <f>(SUMPRODUCT(AP$9:AP$229,Nutrients!$BT$8:$BT$228)+(IF($A$7=Nutrients!$B$8,Nutrients!$BT$8,Nutrients!$BT$9)*AP$7)+(((IF($A$8=Nutrients!$B$79,Nutrients!$BT$79,(IF($A$8=Nutrients!$B$77,Nutrients!$BT$77,Nutrients!$BT$78)))))*AP$8))/2000</f>
        <v>0.37459493315988235</v>
      </c>
      <c r="AR307" s="23">
        <f>(SUMPRODUCT(AR$9:AR$229,Nutrients!$BT$8:$BT$228)+(IF($A$7=Nutrients!$B$8,Nutrients!$BT$8,Nutrients!$BT$9)*AR$7)+(((IF($A$8=Nutrients!$B$79,Nutrients!$BT$79,(IF($A$8=Nutrients!$B$77,Nutrients!$BT$77,Nutrients!$BT$78)))))*AR$8))/2000</f>
        <v>0.40911965484028517</v>
      </c>
      <c r="AS307" s="23">
        <f>(SUMPRODUCT(AS$9:AS$229,Nutrients!$BT$8:$BT$228)+(IF($A$7=Nutrients!$B$8,Nutrients!$BT$8,Nutrients!$BT$9)*AS$7)+(((IF($A$8=Nutrients!$B$79,Nutrients!$BT$79,(IF($A$8=Nutrients!$B$77,Nutrients!$BT$77,Nutrients!$BT$78)))))*AS$8))/2000</f>
        <v>0.39978085038102251</v>
      </c>
      <c r="AT307" s="23">
        <f>(SUMPRODUCT(AT$9:AT$229,Nutrients!$BT$8:$BT$228)+(IF($A$7=Nutrients!$B$8,Nutrients!$BT$8,Nutrients!$BT$9)*AT$7)+(((IF($A$8=Nutrients!$B$79,Nutrients!$BT$79,(IF($A$8=Nutrients!$B$77,Nutrients!$BT$77,Nutrients!$BT$78)))))*AT$8))/2000</f>
        <v>0.39043947118985589</v>
      </c>
      <c r="AU307" s="23">
        <f>(SUMPRODUCT(AU$9:AU$229,Nutrients!$BT$8:$BT$228)+(IF($A$7=Nutrients!$B$8,Nutrients!$BT$8,Nutrients!$BT$9)*AU$7)+(((IF($A$8=Nutrients!$B$79,Nutrients!$BT$79,(IF($A$8=Nutrients!$B$77,Nutrients!$BT$77,Nutrients!$BT$78)))))*AU$8))/2000</f>
        <v>0.38589036671931354</v>
      </c>
      <c r="AV307" s="23">
        <f>(SUMPRODUCT(AV$9:AV$229,Nutrients!$BT$8:$BT$228)+(IF($A$7=Nutrients!$B$8,Nutrients!$BT$8,Nutrients!$BT$9)*AV$7)+(((IF($A$8=Nutrients!$B$79,Nutrients!$BT$79,(IF($A$8=Nutrients!$B$77,Nutrients!$BT$77,Nutrients!$BT$78)))))*AV$8))/2000</f>
        <v>0.38591198608749266</v>
      </c>
      <c r="AW307" s="23">
        <f>(SUMPRODUCT(AW$9:AW$229,Nutrients!$BT$8:$BT$228)+(IF($A$7=Nutrients!$B$8,Nutrients!$BT$8,Nutrients!$BT$9)*AW$7)+(((IF($A$8=Nutrients!$B$79,Nutrients!$BT$79,(IF($A$8=Nutrients!$B$77,Nutrients!$BT$77,Nutrients!$BT$78)))))*AW$8))/2000</f>
        <v>0.38591207746330042</v>
      </c>
    </row>
    <row r="308" spans="1:49" x14ac:dyDescent="0.25">
      <c r="A308" t="s">
        <v>67</v>
      </c>
      <c r="B308" s="23">
        <f>(SUMPRODUCT(B$9:B$229,Nutrients!$BU$8:$BU$228)+(IF($A$7=Nutrients!$B$8,Nutrients!$BU$8,Nutrients!$BU$9)*B$7)+(((IF($A$8=Nutrients!$B$79,Nutrients!$BU$79,(IF($A$8=Nutrients!$B$77,Nutrients!$BU$77,Nutrients!$BU$78)))))*B$8))/2000</f>
        <v>0.82299889398162063</v>
      </c>
      <c r="C308" s="23">
        <f>(SUMPRODUCT(C$9:C$229,Nutrients!$BU$8:$BU$228)+(IF($A$7=Nutrients!$B$8,Nutrients!$BU$8,Nutrients!$BU$9)*C$7)+(((IF($A$8=Nutrients!$B$79,Nutrients!$BU$79,(IF($A$8=Nutrients!$B$77,Nutrients!$BU$77,Nutrients!$BU$78)))))*C$8))/2000</f>
        <v>0.74655886728664078</v>
      </c>
      <c r="D308" s="23">
        <f>(SUMPRODUCT(D$9:D$229,Nutrients!$BU$8:$BU$228)+(IF($A$7=Nutrients!$B$8,Nutrients!$BU$8,Nutrients!$BU$9)*D$7)+(((IF($A$8=Nutrients!$B$79,Nutrients!$BU$79,(IF($A$8=Nutrients!$B$77,Nutrients!$BU$77,Nutrients!$BU$78)))))*D$8))/2000</f>
        <v>0.68235096300443021</v>
      </c>
      <c r="E308" s="23">
        <f>(SUMPRODUCT(E$9:E$229,Nutrients!$BU$8:$BU$228)+(IF($A$7=Nutrients!$B$8,Nutrients!$BU$8,Nutrients!$BU$9)*E$7)+(((IF($A$8=Nutrients!$B$79,Nutrients!$BU$79,(IF($A$8=Nutrients!$B$77,Nutrients!$BU$77,Nutrients!$BU$78)))))*E$8))/2000</f>
        <v>0.61832324439114794</v>
      </c>
      <c r="F308" s="23">
        <f>(SUMPRODUCT(F$9:F$229,Nutrients!$BU$8:$BU$228)+(IF($A$7=Nutrients!$B$8,Nutrients!$BU$8,Nutrients!$BU$9)*F$7)+(((IF($A$8=Nutrients!$B$79,Nutrients!$BU$79,(IF($A$8=Nutrients!$B$77,Nutrients!$BU$77,Nutrients!$BU$78)))))*F$8))/2000</f>
        <v>0.5641190327748159</v>
      </c>
      <c r="G308" s="23">
        <f>(SUMPRODUCT(G$9:G$229,Nutrients!$BU$8:$BU$228)+(IF($A$7=Nutrients!$B$8,Nutrients!$BU$8,Nutrients!$BU$9)*G$7)+(((IF($A$8=Nutrients!$B$79,Nutrients!$BU$79,(IF($A$8=Nutrients!$B$77,Nutrients!$BU$77,Nutrients!$BU$78)))))*G$8))/2000</f>
        <v>0.53408892433970367</v>
      </c>
      <c r="H308" s="227"/>
      <c r="I308" s="23">
        <f>(SUMPRODUCT(I$9:I$229,Nutrients!$BU$8:$BU$228)+(IF($A$7=Nutrients!$B$8,Nutrients!$BU$8,Nutrients!$BU$9)*I$7)+(((IF($A$8=Nutrients!$B$79,Nutrients!$BU$79,(IF($A$8=Nutrients!$B$77,Nutrients!$BU$77,Nutrients!$BU$78)))))*I$8))/2000</f>
        <v>0.82643545418371034</v>
      </c>
      <c r="J308" s="23">
        <f>(SUMPRODUCT(J$9:J$229,Nutrients!$BU$8:$BU$228)+(IF($A$7=Nutrients!$B$8,Nutrients!$BU$8,Nutrients!$BU$9)*J$7)+(((IF($A$8=Nutrients!$B$79,Nutrients!$BU$79,(IF($A$8=Nutrients!$B$77,Nutrients!$BU$77,Nutrients!$BU$78)))))*J$8))/2000</f>
        <v>0.74997639390212012</v>
      </c>
      <c r="K308" s="23">
        <f>(SUMPRODUCT(K$9:K$229,Nutrients!$BU$8:$BU$228)+(IF($A$7=Nutrients!$B$8,Nutrients!$BU$8,Nutrients!$BU$9)*K$7)+(((IF($A$8=Nutrients!$B$79,Nutrients!$BU$79,(IF($A$8=Nutrients!$B$77,Nutrients!$BU$77,Nutrients!$BU$78)))))*K$8))/2000</f>
        <v>0.68577047477827435</v>
      </c>
      <c r="L308" s="23">
        <f>(SUMPRODUCT(L$9:L$229,Nutrients!$BU$8:$BU$228)+(IF($A$7=Nutrients!$B$8,Nutrients!$BU$8,Nutrients!$BU$9)*L$7)+(((IF($A$8=Nutrients!$B$79,Nutrients!$BU$79,(IF($A$8=Nutrients!$B$77,Nutrients!$BU$77,Nutrients!$BU$78)))))*L$8))/2000</f>
        <v>0.62173693059971857</v>
      </c>
      <c r="M308" s="23">
        <f>(SUMPRODUCT(M$9:M$229,Nutrients!$BU$8:$BU$228)+(IF($A$7=Nutrients!$B$8,Nutrients!$BU$8,Nutrients!$BU$9)*M$7)+(((IF($A$8=Nutrients!$B$79,Nutrients!$BU$79,(IF($A$8=Nutrients!$B$77,Nutrients!$BU$77,Nutrients!$BU$78)))))*M$8))/2000</f>
        <v>0.56753358137533527</v>
      </c>
      <c r="N308" s="23">
        <f>(SUMPRODUCT(N$9:N$229,Nutrients!$BU$8:$BU$228)+(IF($A$7=Nutrients!$B$8,Nutrients!$BU$8,Nutrients!$BU$9)*N$7)+(((IF($A$8=Nutrients!$B$79,Nutrients!$BU$79,(IF($A$8=Nutrients!$B$77,Nutrients!$BU$77,Nutrients!$BU$78)))))*N$8))/2000</f>
        <v>0.5374971886956571</v>
      </c>
      <c r="O308" s="198"/>
      <c r="P308" s="23">
        <f>(SUMPRODUCT(P$9:P$229,Nutrients!$BU$8:$BU$228)+(IF($A$7=Nutrients!$B$8,Nutrients!$BU$8,Nutrients!$BU$9)*P$7)+(((IF($A$8=Nutrients!$B$79,Nutrients!$BU$79,(IF($A$8=Nutrients!$B$77,Nutrients!$BU$77,Nutrients!$BU$78)))))*P$8))/2000</f>
        <v>0.82985662849872444</v>
      </c>
      <c r="Q308" s="23">
        <f>(SUMPRODUCT(Q$9:Q$229,Nutrients!$BU$8:$BU$228)+(IF($A$7=Nutrients!$B$8,Nutrients!$BU$8,Nutrients!$BU$9)*Q$7)+(((IF($A$8=Nutrients!$B$79,Nutrients!$BU$79,(IF($A$8=Nutrients!$B$77,Nutrients!$BU$77,Nutrients!$BU$78)))))*Q$8))/2000</f>
        <v>0.75339110772031248</v>
      </c>
      <c r="R308" s="23">
        <f>(SUMPRODUCT(R$9:R$229,Nutrients!$BU$8:$BU$228)+(IF($A$7=Nutrients!$B$8,Nutrients!$BU$8,Nutrients!$BU$9)*R$7)+(((IF($A$8=Nutrients!$B$79,Nutrients!$BU$79,(IF($A$8=Nutrients!$B$77,Nutrients!$BU$77,Nutrients!$BU$78)))))*R$8))/2000</f>
        <v>0.68917750624103402</v>
      </c>
      <c r="S308" s="23">
        <f>(SUMPRODUCT(S$9:S$229,Nutrients!$BU$8:$BU$228)+(IF($A$7=Nutrients!$B$8,Nutrients!$BU$8,Nutrients!$BU$9)*S$7)+(((IF($A$8=Nutrients!$B$79,Nutrients!$BU$79,(IF($A$8=Nutrients!$B$77,Nutrients!$BU$77,Nutrients!$BU$78)))))*S$8))/2000</f>
        <v>0.62514592948589665</v>
      </c>
      <c r="T308" s="23">
        <f>(SUMPRODUCT(T$9:T$229,Nutrients!$BU$8:$BU$228)+(IF($A$7=Nutrients!$B$8,Nutrients!$BU$8,Nutrients!$BU$9)*T$7)+(((IF($A$8=Nutrients!$B$79,Nutrients!$BU$79,(IF($A$8=Nutrients!$B$77,Nutrients!$BU$77,Nutrients!$BU$78)))))*T$8))/2000</f>
        <v>0.57094704414072717</v>
      </c>
      <c r="U308" s="23">
        <f>(SUMPRODUCT(U$9:U$229,Nutrients!$BU$8:$BU$228)+(IF($A$7=Nutrients!$B$8,Nutrients!$BU$8,Nutrients!$BU$9)*U$7)+(((IF($A$8=Nutrients!$B$79,Nutrients!$BU$79,(IF($A$8=Nutrients!$B$77,Nutrients!$BU$77,Nutrients!$BU$78)))))*U$8))/2000</f>
        <v>0.54090875433195063</v>
      </c>
      <c r="W308" s="23">
        <f>(SUMPRODUCT(W$9:W$229,Nutrients!$BU$8:$BU$228)+(IF($A$7=Nutrients!$B$8,Nutrients!$BU$8,Nutrients!$BU$9)*W$7)+(((IF($A$8=Nutrients!$B$79,Nutrients!$BU$79,(IF($A$8=Nutrients!$B$77,Nutrients!$BU$77,Nutrients!$BU$78)))))*W$8))/2000</f>
        <v>0.83327579328001122</v>
      </c>
      <c r="X308" s="23">
        <f>(SUMPRODUCT(X$9:X$229,Nutrients!$BU$8:$BU$228)+(IF($A$7=Nutrients!$B$8,Nutrients!$BU$8,Nutrients!$BU$9)*X$7)+(((IF($A$8=Nutrients!$B$79,Nutrients!$BU$79,(IF($A$8=Nutrients!$B$77,Nutrients!$BU$77,Nutrients!$BU$78)))))*X$8))/2000</f>
        <v>0.75679914633841716</v>
      </c>
      <c r="Y308" s="23">
        <f>(SUMPRODUCT(Y$9:Y$229,Nutrients!$BU$8:$BU$228)+(IF($A$7=Nutrients!$B$8,Nutrients!$BU$8,Nutrients!$BU$9)*Y$7)+(((IF($A$8=Nutrients!$B$79,Nutrients!$BU$79,(IF($A$8=Nutrients!$B$77,Nutrients!$BU$77,Nutrients!$BU$78)))))*Y$8))/2000</f>
        <v>0.69258748242160206</v>
      </c>
      <c r="Z308" s="23">
        <f>(SUMPRODUCT(Z$9:Z$229,Nutrients!$BU$8:$BU$228)+(IF($A$7=Nutrients!$B$8,Nutrients!$BU$8,Nutrients!$BU$9)*Z$7)+(((IF($A$8=Nutrients!$B$79,Nutrients!$BU$79,(IF($A$8=Nutrients!$B$77,Nutrients!$BU$77,Nutrients!$BU$78)))))*Z$8))/2000</f>
        <v>0.62854336579152625</v>
      </c>
      <c r="AA308" s="23">
        <f>(SUMPRODUCT(AA$9:AA$229,Nutrients!$BU$8:$BU$228)+(IF($A$7=Nutrients!$B$8,Nutrients!$BU$8,Nutrients!$BU$9)*AA$7)+(((IF($A$8=Nutrients!$B$79,Nutrients!$BU$79,(IF($A$8=Nutrients!$B$77,Nutrients!$BU$77,Nutrients!$BU$78)))))*AA$8))/2000</f>
        <v>0.57433191192423905</v>
      </c>
      <c r="AB308" s="23">
        <f>(SUMPRODUCT(AB$9:AB$229,Nutrients!$BU$8:$BU$228)+(IF($A$7=Nutrients!$B$8,Nutrients!$BU$8,Nutrients!$BU$9)*AB$7)+(((IF($A$8=Nutrients!$B$79,Nutrients!$BU$79,(IF($A$8=Nutrients!$B$77,Nutrients!$BU$77,Nutrients!$BU$78)))))*AB$8))/2000</f>
        <v>0.54426261427119671</v>
      </c>
      <c r="AD308" s="23">
        <f>(SUMPRODUCT(AD$9:AD$229,Nutrients!$BU$8:$BU$228)+(IF($A$7=Nutrients!$B$8,Nutrients!$BU$8,Nutrients!$BU$9)*AD$7)+(((IF($A$8=Nutrients!$B$79,Nutrients!$BU$79,(IF($A$8=Nutrients!$B$77,Nutrients!$BU$77,Nutrients!$BU$78)))))*AD$8))/2000</f>
        <v>0.83668437571256915</v>
      </c>
      <c r="AE308" s="23">
        <f>(SUMPRODUCT(AE$9:AE$229,Nutrients!$BU$8:$BU$228)+(IF($A$7=Nutrients!$B$8,Nutrients!$BU$8,Nutrients!$BU$9)*AE$7)+(((IF($A$8=Nutrients!$B$79,Nutrients!$BU$79,(IF($A$8=Nutrients!$B$77,Nutrients!$BU$77,Nutrients!$BU$78)))))*AE$8))/2000</f>
        <v>0.76021213683425737</v>
      </c>
      <c r="AF308" s="23">
        <f>(SUMPRODUCT(AF$9:AF$229,Nutrients!$BU$8:$BU$228)+(IF($A$7=Nutrients!$B$8,Nutrients!$BU$8,Nutrients!$BU$9)*AF$7)+(((IF($A$8=Nutrients!$B$79,Nutrients!$BU$79,(IF($A$8=Nutrients!$B$77,Nutrients!$BU$77,Nutrients!$BU$78)))))*AF$8))/2000</f>
        <v>0.69598507226377071</v>
      </c>
      <c r="AG308" s="23">
        <f>(SUMPRODUCT(AG$9:AG$229,Nutrients!$BU$8:$BU$228)+(IF($A$7=Nutrients!$B$8,Nutrients!$BU$8,Nutrients!$BU$9)*AG$7)+(((IF($A$8=Nutrients!$B$79,Nutrients!$BU$79,(IF($A$8=Nutrients!$B$77,Nutrients!$BU$77,Nutrients!$BU$78)))))*AG$8))/2000</f>
        <v>0.63193562136936177</v>
      </c>
      <c r="AH308" s="23">
        <f>(SUMPRODUCT(AH$9:AH$229,Nutrients!$BU$8:$BU$228)+(IF($A$7=Nutrients!$B$8,Nutrients!$BU$8,Nutrients!$BU$9)*AH$7)+(((IF($A$8=Nutrients!$B$79,Nutrients!$BU$79,(IF($A$8=Nutrients!$B$77,Nutrients!$BU$77,Nutrients!$BU$78)))))*AH$8))/2000</f>
        <v>0.57761486422952724</v>
      </c>
      <c r="AI308" s="23">
        <f>(SUMPRODUCT(AI$9:AI$229,Nutrients!$BU$8:$BU$228)+(IF($A$7=Nutrients!$B$8,Nutrients!$BU$8,Nutrients!$BU$9)*AI$7)+(((IF($A$8=Nutrients!$B$79,Nutrients!$BU$79,(IF($A$8=Nutrients!$B$77,Nutrients!$BU$77,Nutrients!$BU$78)))))*AI$8))/2000</f>
        <v>0.54751187956701242</v>
      </c>
      <c r="AK308" s="23">
        <f>(SUMPRODUCT(AK$9:AK$229,Nutrients!$BU$8:$BU$228)+(IF($A$7=Nutrients!$B$8,Nutrients!$BU$8,Nutrients!$BU$9)*AK$7)+(((IF($A$8=Nutrients!$B$79,Nutrients!$BU$79,(IF($A$8=Nutrients!$B$77,Nutrients!$BU$77,Nutrients!$BU$78)))))*AK$8))/2000</f>
        <v>0.84009339086122736</v>
      </c>
      <c r="AL308" s="23">
        <f>(SUMPRODUCT(AL$9:AL$229,Nutrients!$BU$8:$BU$228)+(IF($A$7=Nutrients!$B$8,Nutrients!$BU$8,Nutrients!$BU$9)*AL$7)+(((IF($A$8=Nutrients!$B$79,Nutrients!$BU$79,(IF($A$8=Nutrients!$B$77,Nutrients!$BU$77,Nutrients!$BU$78)))))*AL$8))/2000</f>
        <v>0.76361759654515704</v>
      </c>
      <c r="AM308" s="23">
        <f>(SUMPRODUCT(AM$9:AM$229,Nutrients!$BU$8:$BU$228)+(IF($A$7=Nutrients!$B$8,Nutrients!$BU$8,Nutrients!$BU$9)*AM$7)+(((IF($A$8=Nutrients!$B$79,Nutrients!$BU$79,(IF($A$8=Nutrients!$B$77,Nutrients!$BU$77,Nutrients!$BU$78)))))*AM$8))/2000</f>
        <v>0.69939573586144976</v>
      </c>
      <c r="AN308" s="23">
        <f>(SUMPRODUCT(AN$9:AN$229,Nutrients!$BU$8:$BU$228)+(IF($A$7=Nutrients!$B$8,Nutrients!$BU$8,Nutrients!$BU$9)*AN$7)+(((IF($A$8=Nutrients!$B$79,Nutrients!$BU$79,(IF($A$8=Nutrients!$B$77,Nutrients!$BU$77,Nutrients!$BU$78)))))*AN$8))/2000</f>
        <v>0.63523921898508329</v>
      </c>
      <c r="AO308" s="23">
        <f>(SUMPRODUCT(AO$9:AO$229,Nutrients!$BU$8:$BU$228)+(IF($A$7=Nutrients!$B$8,Nutrients!$BU$8,Nutrients!$BU$9)*AO$7)+(((IF($A$8=Nutrients!$B$79,Nutrients!$BU$79,(IF($A$8=Nutrients!$B$77,Nutrients!$BU$77,Nutrients!$BU$78)))))*AO$8))/2000</f>
        <v>0.58086522843701693</v>
      </c>
      <c r="AP308" s="23">
        <f>(SUMPRODUCT(AP$9:AP$229,Nutrients!$BU$8:$BU$228)+(IF($A$7=Nutrients!$B$8,Nutrients!$BU$8,Nutrients!$BU$9)*AP$7)+(((IF($A$8=Nutrients!$B$79,Nutrients!$BU$79,(IF($A$8=Nutrients!$B$77,Nutrients!$BU$77,Nutrients!$BU$78)))))*AP$8))/2000</f>
        <v>0.55076074267011477</v>
      </c>
      <c r="AR308" s="23">
        <f>(SUMPRODUCT(AR$9:AR$229,Nutrients!$BU$8:$BU$228)+(IF($A$7=Nutrients!$B$8,Nutrients!$BU$8,Nutrients!$BU$9)*AR$7)+(((IF($A$8=Nutrients!$B$79,Nutrients!$BU$79,(IF($A$8=Nutrients!$B$77,Nutrients!$BU$77,Nutrients!$BU$78)))))*AR$8))/2000</f>
        <v>0.84348837661662324</v>
      </c>
      <c r="AS308" s="23">
        <f>(SUMPRODUCT(AS$9:AS$229,Nutrients!$BU$8:$BU$228)+(IF($A$7=Nutrients!$B$8,Nutrients!$BU$8,Nutrients!$BU$9)*AS$7)+(((IF($A$8=Nutrients!$B$79,Nutrients!$BU$79,(IF($A$8=Nutrients!$B$77,Nutrients!$BU$77,Nutrients!$BU$78)))))*AS$8))/2000</f>
        <v>0.76702095288683514</v>
      </c>
      <c r="AT308" s="23">
        <f>(SUMPRODUCT(AT$9:AT$229,Nutrients!$BU$8:$BU$228)+(IF($A$7=Nutrients!$B$8,Nutrients!$BU$8,Nutrients!$BU$9)*AT$7)+(((IF($A$8=Nutrients!$B$79,Nutrients!$BU$79,(IF($A$8=Nutrients!$B$77,Nutrients!$BU$77,Nutrients!$BU$78)))))*AT$8))/2000</f>
        <v>0.70277665393936517</v>
      </c>
      <c r="AU308" s="23">
        <f>(SUMPRODUCT(AU$9:AU$229,Nutrients!$BU$8:$BU$228)+(IF($A$7=Nutrients!$B$8,Nutrients!$BU$8,Nutrients!$BU$9)*AU$7)+(((IF($A$8=Nutrients!$B$79,Nutrients!$BU$79,(IF($A$8=Nutrients!$B$77,Nutrients!$BU$77,Nutrients!$BU$78)))))*AU$8))/2000</f>
        <v>0.63849036596848785</v>
      </c>
      <c r="AV308" s="23">
        <f>(SUMPRODUCT(AV$9:AV$229,Nutrients!$BU$8:$BU$228)+(IF($A$7=Nutrients!$B$8,Nutrients!$BU$8,Nutrients!$BU$9)*AV$7)+(((IF($A$8=Nutrients!$B$79,Nutrients!$BU$79,(IF($A$8=Nutrients!$B$77,Nutrients!$BU$77,Nutrients!$BU$78)))))*AV$8))/2000</f>
        <v>0.58411555543013183</v>
      </c>
      <c r="AW308" s="23">
        <f>(SUMPRODUCT(AW$9:AW$229,Nutrients!$BU$8:$BU$228)+(IF($A$7=Nutrients!$B$8,Nutrients!$BU$8,Nutrients!$BU$9)*AW$7)+(((IF($A$8=Nutrients!$B$79,Nutrients!$BU$79,(IF($A$8=Nutrients!$B$77,Nutrients!$BU$77,Nutrients!$BU$78)))))*AW$8))/2000</f>
        <v>0.55400958829381253</v>
      </c>
    </row>
    <row r="309" spans="1:49" x14ac:dyDescent="0.25">
      <c r="A309" t="s">
        <v>42</v>
      </c>
      <c r="B309" s="8">
        <f t="shared" ref="B309:G309" si="181">(B306 * 434.98) + (B308* 255.74) - (B307*282.06)</f>
        <v>190.85683508470862</v>
      </c>
      <c r="C309" s="8">
        <f t="shared" si="181"/>
        <v>172.75687046998428</v>
      </c>
      <c r="D309" s="8">
        <f t="shared" si="181"/>
        <v>157.97167371049909</v>
      </c>
      <c r="E309" s="8">
        <f t="shared" si="181"/>
        <v>141.87849201438749</v>
      </c>
      <c r="F309" s="8">
        <f t="shared" si="181"/>
        <v>127.1843305627486</v>
      </c>
      <c r="G309" s="8">
        <f t="shared" si="181"/>
        <v>119.05581383819251</v>
      </c>
      <c r="H309" s="8"/>
      <c r="I309" s="8">
        <f t="shared" ref="I309:N309" si="182">(I306 * 434.98) + (I308* 255.74) - (I307*282.06)</f>
        <v>191.78451671101925</v>
      </c>
      <c r="J309" s="8">
        <f t="shared" si="182"/>
        <v>173.68513966219621</v>
      </c>
      <c r="K309" s="8">
        <f t="shared" si="182"/>
        <v>158.89365713412019</v>
      </c>
      <c r="L309" s="8">
        <f t="shared" si="182"/>
        <v>142.80256253986681</v>
      </c>
      <c r="M309" s="8">
        <f t="shared" si="182"/>
        <v>128.10896164525849</v>
      </c>
      <c r="N309" s="8">
        <f t="shared" si="182"/>
        <v>119.97868527100481</v>
      </c>
      <c r="O309" s="8"/>
      <c r="P309" s="8">
        <f t="shared" ref="P309:U309" si="183">(P306 * 434.98) + (P308* 255.74) - (P307*282.06)</f>
        <v>192.71015144111513</v>
      </c>
      <c r="Q309" s="8">
        <f t="shared" si="183"/>
        <v>174.60957374441014</v>
      </c>
      <c r="R309" s="8">
        <f t="shared" si="183"/>
        <v>159.81621237221549</v>
      </c>
      <c r="S309" s="8">
        <f t="shared" si="183"/>
        <v>143.72553777170288</v>
      </c>
      <c r="T309" s="8">
        <f t="shared" si="183"/>
        <v>129.03288979923195</v>
      </c>
      <c r="U309" s="8">
        <f t="shared" si="183"/>
        <v>120.90220843724703</v>
      </c>
      <c r="W309" s="8">
        <f t="shared" ref="W309:AB309" si="184">(W306 * 434.98) + (W308* 255.74) - (W307*282.06)</f>
        <v>193.63060889918714</v>
      </c>
      <c r="X309" s="8">
        <f t="shared" si="184"/>
        <v>175.52765605595761</v>
      </c>
      <c r="Y309" s="8">
        <f t="shared" si="184"/>
        <v>160.73470830296625</v>
      </c>
      <c r="Z309" s="8">
        <f t="shared" si="184"/>
        <v>144.64135676522992</v>
      </c>
      <c r="AA309" s="8">
        <f t="shared" si="184"/>
        <v>129.94602574010756</v>
      </c>
      <c r="AB309" s="8">
        <f t="shared" si="184"/>
        <v>121.82848188072725</v>
      </c>
      <c r="AD309" s="8">
        <f t="shared" ref="AD309:AI309" si="185">(AD306 * 434.98) + (AD308* 255.74) - (AD307*282.06)</f>
        <v>194.54880730097955</v>
      </c>
      <c r="AE309" s="8">
        <f t="shared" si="185"/>
        <v>176.44679546463743</v>
      </c>
      <c r="AF309" s="8">
        <f t="shared" si="185"/>
        <v>161.65056007255203</v>
      </c>
      <c r="AG309" s="8">
        <f t="shared" si="185"/>
        <v>145.55651433925618</v>
      </c>
      <c r="AH309" s="8">
        <f t="shared" si="185"/>
        <v>130.89790289592443</v>
      </c>
      <c r="AI309" s="8">
        <f t="shared" si="185"/>
        <v>122.7868933095484</v>
      </c>
      <c r="AK309" s="8">
        <f t="shared" ref="AK309:AP309" si="186">(AK306 * 434.98) + (AK308* 255.74) - (AK307*282.06)</f>
        <v>195.47178600443215</v>
      </c>
      <c r="AL309" s="8">
        <f t="shared" si="186"/>
        <v>177.36901517458108</v>
      </c>
      <c r="AM309" s="8">
        <f t="shared" si="186"/>
        <v>162.57389067700581</v>
      </c>
      <c r="AN309" s="8">
        <f t="shared" si="186"/>
        <v>146.50736189363946</v>
      </c>
      <c r="AO309" s="8">
        <f t="shared" si="186"/>
        <v>131.85653444576417</v>
      </c>
      <c r="AP309" s="8">
        <f t="shared" si="186"/>
        <v>123.74522021644069</v>
      </c>
      <c r="AR309" s="8">
        <f t="shared" ref="AR309:AW309" si="187">(AR306 * 434.98) + (AR308* 255.74) - (AR307*282.06)</f>
        <v>196.39176979723118</v>
      </c>
      <c r="AS309" s="8">
        <f t="shared" si="187"/>
        <v>178.2907858698901</v>
      </c>
      <c r="AT309" s="8">
        <f t="shared" si="187"/>
        <v>163.49426107765993</v>
      </c>
      <c r="AU309" s="8">
        <f t="shared" si="187"/>
        <v>147.46634542652339</v>
      </c>
      <c r="AV309" s="8">
        <f t="shared" si="187"/>
        <v>132.81515933358008</v>
      </c>
      <c r="AW309" s="8">
        <f t="shared" si="187"/>
        <v>124.70354441212456</v>
      </c>
    </row>
    <row r="310" spans="1:49" x14ac:dyDescent="0.25">
      <c r="A310" t="s">
        <v>73</v>
      </c>
      <c r="B310" s="202">
        <f>(SUMPRODUCT(B$9:B$229,Nutrients!$EG$8:$EG$228)+(IF($A$7=Nutrients!$B$8,Nutrients!$EG$8,Nutrients!$EG$9)*B$7)+(((IF($A$8=Nutrients!$B$79,Nutrients!$EG$79,(IF($A$8=Nutrients!$B$77,Nutrients!$EG$77,Nutrients!$EG$78)))))*B$8))/2000</f>
        <v>0.25833959194258826</v>
      </c>
      <c r="C310" s="202">
        <f>(SUMPRODUCT(C$9:C$229,Nutrients!$EG$8:$EG$228)+(IF($A$7=Nutrients!$B$8,Nutrients!$EG$8,Nutrients!$EG$9)*C$7)+(((IF($A$8=Nutrients!$B$79,Nutrients!$EG$79,(IF($A$8=Nutrients!$B$77,Nutrients!$EG$77,Nutrients!$EG$78)))))*C$8))/2000</f>
        <v>0.24779907433968829</v>
      </c>
      <c r="D310" s="202">
        <f>(SUMPRODUCT(D$9:D$229,Nutrients!$EG$8:$EG$228)+(IF($A$7=Nutrients!$B$8,Nutrients!$EG$8,Nutrients!$EG$9)*D$7)+(((IF($A$8=Nutrients!$B$79,Nutrients!$EG$79,(IF($A$8=Nutrients!$B$77,Nutrients!$EG$77,Nutrients!$EG$78)))))*D$8))/2000</f>
        <v>0.23900316211582037</v>
      </c>
      <c r="E310" s="202">
        <f>(SUMPRODUCT(E$9:E$229,Nutrients!$EG$8:$EG$228)+(IF($A$7=Nutrients!$B$8,Nutrients!$EG$8,Nutrients!$EG$9)*E$7)+(((IF($A$8=Nutrients!$B$79,Nutrients!$EG$79,(IF($A$8=Nutrients!$B$77,Nutrients!$EG$77,Nutrients!$EG$78)))))*E$8))/2000</f>
        <v>0.23005692988837381</v>
      </c>
      <c r="F310" s="202">
        <f>(SUMPRODUCT(F$9:F$229,Nutrients!$EG$8:$EG$228)+(IF($A$7=Nutrients!$B$8,Nutrients!$EG$8,Nutrients!$EG$9)*F$7)+(((IF($A$8=Nutrients!$B$79,Nutrients!$EG$79,(IF($A$8=Nutrients!$B$77,Nutrients!$EG$77,Nutrients!$EG$78)))))*F$8))/2000</f>
        <v>0.22240960598768925</v>
      </c>
      <c r="G310" s="202">
        <f>(SUMPRODUCT(G$9:G$229,Nutrients!$EG$8:$EG$228)+(IF($A$7=Nutrients!$B$8,Nutrients!$EG$8,Nutrients!$EG$9)*G$7)+(((IF($A$8=Nutrients!$B$79,Nutrients!$EG$79,(IF($A$8=Nutrients!$B$77,Nutrients!$EG$77,Nutrients!$EG$78)))))*G$8))/2000</f>
        <v>0.21810869862161428</v>
      </c>
      <c r="H310" s="232"/>
      <c r="I310" s="202">
        <f>(SUMPRODUCT(I$9:I$229,Nutrients!$EG$8:$EG$228)+(IF($A$7=Nutrients!$B$8,Nutrients!$EG$8,Nutrients!$EG$9)*I$7)+(((IF($A$8=Nutrients!$B$79,Nutrients!$EG$79,(IF($A$8=Nutrients!$B$77,Nutrients!$EG$77,Nutrients!$EG$78)))))*I$8))/2000</f>
        <v>0.25326105292984608</v>
      </c>
      <c r="J310" s="202">
        <f>(SUMPRODUCT(J$9:J$229,Nutrients!$EG$8:$EG$228)+(IF($A$7=Nutrients!$B$8,Nutrients!$EG$8,Nutrients!$EG$9)*J$7)+(((IF($A$8=Nutrients!$B$79,Nutrients!$EG$79,(IF($A$8=Nutrients!$B$77,Nutrients!$EG$77,Nutrients!$EG$78)))))*J$8))/2000</f>
        <v>0.24269414437588799</v>
      </c>
      <c r="K310" s="202">
        <f>(SUMPRODUCT(K$9:K$229,Nutrients!$EG$8:$EG$228)+(IF($A$7=Nutrients!$B$8,Nutrients!$EG$8,Nutrients!$EG$9)*K$7)+(((IF($A$8=Nutrients!$B$79,Nutrients!$EG$79,(IF($A$8=Nutrients!$B$77,Nutrients!$EG$77,Nutrients!$EG$78)))))*K$8))/2000</f>
        <v>0.23391181291016569</v>
      </c>
      <c r="L310" s="202">
        <f>(SUMPRODUCT(L$9:L$229,Nutrients!$EG$8:$EG$228)+(IF($A$7=Nutrients!$B$8,Nutrients!$EG$8,Nutrients!$EG$9)*L$7)+(((IF($A$8=Nutrients!$B$79,Nutrients!$EG$79,(IF($A$8=Nutrients!$B$77,Nutrients!$EG$77,Nutrients!$EG$78)))))*L$8))/2000</f>
        <v>0.22495415119564377</v>
      </c>
      <c r="M310" s="202">
        <f>(SUMPRODUCT(M$9:M$229,Nutrients!$EG$8:$EG$228)+(IF($A$7=Nutrients!$B$8,Nutrients!$EG$8,Nutrients!$EG$9)*M$7)+(((IF($A$8=Nutrients!$B$79,Nutrients!$EG$79,(IF($A$8=Nutrients!$B$77,Nutrients!$EG$77,Nutrients!$EG$78)))))*M$8))/2000</f>
        <v>0.21730676632939108</v>
      </c>
      <c r="N310" s="202">
        <f>(SUMPRODUCT(N$9:N$229,Nutrients!$EG$8:$EG$228)+(IF($A$7=Nutrients!$B$8,Nutrients!$EG$8,Nutrients!$EG$9)*N$7)+(((IF($A$8=Nutrients!$B$79,Nutrients!$EG$79,(IF($A$8=Nutrients!$B$77,Nutrients!$EG$77,Nutrients!$EG$78)))))*N$8))/2000</f>
        <v>0.21300078695901734</v>
      </c>
      <c r="O310" s="238"/>
      <c r="P310" s="202">
        <f>(SUMPRODUCT(P$9:P$229,Nutrients!$EG$8:$EG$228)+(IF($A$7=Nutrients!$B$8,Nutrients!$EG$8,Nutrients!$EG$9)*P$7)+(((IF($A$8=Nutrients!$B$79,Nutrients!$EG$79,(IF($A$8=Nutrients!$B$77,Nutrients!$EG$77,Nutrients!$EG$78)))))*P$8))/2000</f>
        <v>0.24816558130013566</v>
      </c>
      <c r="Q310" s="202">
        <f>(SUMPRODUCT(Q$9:Q$229,Nutrients!$EG$8:$EG$228)+(IF($A$7=Nutrients!$B$8,Nutrients!$EG$8,Nutrients!$EG$9)*Q$7)+(((IF($A$8=Nutrients!$B$79,Nutrients!$EG$79,(IF($A$8=Nutrients!$B$77,Nutrients!$EG$77,Nutrients!$EG$78)))))*Q$8))/2000</f>
        <v>0.23759201519509052</v>
      </c>
      <c r="R310" s="202">
        <f>(SUMPRODUCT(R$9:R$229,Nutrients!$EG$8:$EG$228)+(IF($A$7=Nutrients!$B$8,Nutrients!$EG$8,Nutrients!$EG$9)*R$7)+(((IF($A$8=Nutrients!$B$79,Nutrients!$EG$79,(IF($A$8=Nutrients!$B$77,Nutrients!$EG$77,Nutrients!$EG$78)))))*R$8))/2000</f>
        <v>0.22880283731511622</v>
      </c>
      <c r="S310" s="202">
        <f>(SUMPRODUCT(S$9:S$229,Nutrients!$EG$8:$EG$228)+(IF($A$7=Nutrients!$B$8,Nutrients!$EG$8,Nutrients!$EG$9)*S$7)+(((IF($A$8=Nutrients!$B$79,Nutrients!$EG$79,(IF($A$8=Nutrients!$B$77,Nutrients!$EG$77,Nutrients!$EG$78)))))*S$8))/2000</f>
        <v>0.2198470740690823</v>
      </c>
      <c r="T310" s="202">
        <f>(SUMPRODUCT(T$9:T$229,Nutrients!$EG$8:$EG$228)+(IF($A$7=Nutrients!$B$8,Nutrients!$EG$8,Nutrients!$EG$9)*T$7)+(((IF($A$8=Nutrients!$B$79,Nutrients!$EG$79,(IF($A$8=Nutrients!$B$77,Nutrients!$EG$77,Nutrients!$EG$78)))))*T$8))/2000</f>
        <v>0.21220399663047596</v>
      </c>
      <c r="U310" s="202">
        <f>(SUMPRODUCT(U$9:U$229,Nutrients!$EG$8:$EG$228)+(IF($A$7=Nutrients!$B$8,Nutrients!$EG$8,Nutrients!$EG$9)*U$7)+(((IF($A$8=Nutrients!$B$79,Nutrients!$EG$79,(IF($A$8=Nutrients!$B$77,Nutrients!$EG$77,Nutrients!$EG$78)))))*U$8))/2000</f>
        <v>0.2078961866222343</v>
      </c>
      <c r="W310" s="202">
        <f>(SUMPRODUCT(W$9:W$229,Nutrients!$EG$8:$EG$228)+(IF($A$7=Nutrients!$B$8,Nutrients!$EG$8,Nutrients!$EG$9)*W$7)+(((IF($A$8=Nutrients!$B$79,Nutrients!$EG$79,(IF($A$8=Nutrients!$B$77,Nutrients!$EG$77,Nutrients!$EG$78)))))*W$8))/2000</f>
        <v>0.24307603338416886</v>
      </c>
      <c r="X310" s="202">
        <f>(SUMPRODUCT(X$9:X$229,Nutrients!$EG$8:$EG$228)+(IF($A$7=Nutrients!$B$8,Nutrients!$EG$8,Nutrients!$EG$9)*X$7)+(((IF($A$8=Nutrients!$B$79,Nutrients!$EG$79,(IF($A$8=Nutrients!$B$77,Nutrients!$EG$77,Nutrients!$EG$78)))))*X$8))/2000</f>
        <v>0.23249173106951992</v>
      </c>
      <c r="Y310" s="202">
        <f>(SUMPRODUCT(Y$9:Y$229,Nutrients!$EG$8:$EG$228)+(IF($A$7=Nutrients!$B$8,Nutrients!$EG$8,Nutrients!$EG$9)*Y$7)+(((IF($A$8=Nutrients!$B$79,Nutrients!$EG$79,(IF($A$8=Nutrients!$B$77,Nutrients!$EG$77,Nutrients!$EG$78)))))*Y$8))/2000</f>
        <v>0.22370442284365594</v>
      </c>
      <c r="Z310" s="202">
        <f>(SUMPRODUCT(Z$9:Z$229,Nutrients!$EG$8:$EG$228)+(IF($A$7=Nutrients!$B$8,Nutrients!$EG$8,Nutrients!$EG$9)*Z$7)+(((IF($A$8=Nutrients!$B$79,Nutrients!$EG$79,(IF($A$8=Nutrients!$B$77,Nutrients!$EG$77,Nutrients!$EG$78)))))*Z$8))/2000</f>
        <v>0.21473655922451609</v>
      </c>
      <c r="AA310" s="202">
        <f>(SUMPRODUCT(AA$9:AA$229,Nutrients!$EG$8:$EG$228)+(IF($A$7=Nutrients!$B$8,Nutrients!$EG$8,Nutrients!$EG$9)*AA$7)+(((IF($A$8=Nutrients!$B$79,Nutrients!$EG$79,(IF($A$8=Nutrients!$B$77,Nutrients!$EG$77,Nutrients!$EG$78)))))*AA$8))/2000</f>
        <v>0.20708135376966055</v>
      </c>
      <c r="AB310" s="202">
        <f>(SUMPRODUCT(AB$9:AB$229,Nutrients!$EG$8:$EG$228)+(IF($A$7=Nutrients!$B$8,Nutrients!$EG$8,Nutrients!$EG$9)*AB$7)+(((IF($A$8=Nutrients!$B$79,Nutrients!$EG$79,(IF($A$8=Nutrients!$B$77,Nutrients!$EG$77,Nutrients!$EG$78)))))*AB$8))/2000</f>
        <v>0.20270955196543222</v>
      </c>
      <c r="AD310" s="202">
        <f>(SUMPRODUCT(AD$9:AD$229,Nutrients!$EG$8:$EG$228)+(IF($A$7=Nutrients!$B$8,Nutrients!$EG$8,Nutrients!$EG$9)*AD$7)+(((IF($A$8=Nutrients!$B$79,Nutrients!$EG$79,(IF($A$8=Nutrients!$B$77,Nutrients!$EG$77,Nutrients!$EG$78)))))*AD$8))/2000</f>
        <v>0.23797627401325641</v>
      </c>
      <c r="AE310" s="202">
        <f>(SUMPRODUCT(AE$9:AE$229,Nutrients!$EG$8:$EG$228)+(IF($A$7=Nutrients!$B$8,Nutrients!$EG$8,Nutrients!$EG$9)*AE$7)+(((IF($A$8=Nutrients!$B$79,Nutrients!$EG$79,(IF($A$8=Nutrients!$B$77,Nutrients!$EG$77,Nutrients!$EG$78)))))*AE$8))/2000</f>
        <v>0.2273962252665776</v>
      </c>
      <c r="AF310" s="202">
        <f>(SUMPRODUCT(AF$9:AF$229,Nutrients!$EG$8:$EG$228)+(IF($A$7=Nutrients!$B$8,Nutrients!$EG$8,Nutrients!$EG$9)*AF$7)+(((IF($A$8=Nutrients!$B$79,Nutrients!$EG$79,(IF($A$8=Nutrients!$B$77,Nutrients!$EG$77,Nutrients!$EG$78)))))*AF$8))/2000</f>
        <v>0.2185940561544274</v>
      </c>
      <c r="AG310" s="202">
        <f>(SUMPRODUCT(AG$9:AG$229,Nutrients!$EG$8:$EG$228)+(IF($A$7=Nutrients!$B$8,Nutrients!$EG$8,Nutrients!$EG$9)*AG$7)+(((IF($A$8=Nutrients!$B$79,Nutrients!$EG$79,(IF($A$8=Nutrients!$B$77,Nutrients!$EG$77,Nutrients!$EG$78)))))*AG$8))/2000</f>
        <v>0.20961999059716918</v>
      </c>
      <c r="AH310" s="202">
        <f>(SUMPRODUCT(AH$9:AH$229,Nutrients!$EG$8:$EG$228)+(IF($A$7=Nutrients!$B$8,Nutrients!$EG$8,Nutrients!$EG$9)*AH$7)+(((IF($A$8=Nutrients!$B$79,Nutrients!$EG$79,(IF($A$8=Nutrients!$B$77,Nutrients!$EG$77,Nutrients!$EG$78)))))*AH$8))/2000</f>
        <v>0.20175596902328619</v>
      </c>
      <c r="AI310" s="202">
        <f>(SUMPRODUCT(AI$9:AI$229,Nutrients!$EG$8:$EG$228)+(IF($A$7=Nutrients!$B$8,Nutrients!$EG$8,Nutrients!$EG$9)*AI$7)+(((IF($A$8=Nutrients!$B$79,Nutrients!$EG$79,(IF($A$8=Nutrients!$B$77,Nutrients!$EG$77,Nutrients!$EG$78)))))*AI$8))/2000</f>
        <v>0.19732760028776564</v>
      </c>
      <c r="AK310" s="202">
        <f>(SUMPRODUCT(AK$9:AK$229,Nutrients!$EG$8:$EG$228)+(IF($A$7=Nutrients!$B$8,Nutrients!$EG$8,Nutrients!$EG$9)*AK$7)+(((IF($A$8=Nutrients!$B$79,Nutrients!$EG$79,(IF($A$8=Nutrients!$B$77,Nutrients!$EG$77,Nutrients!$EG$78)))))*AK$8))/2000</f>
        <v>0.2328692125792024</v>
      </c>
      <c r="AL310" s="202">
        <f>(SUMPRODUCT(AL$9:AL$229,Nutrients!$EG$8:$EG$228)+(IF($A$7=Nutrients!$B$8,Nutrients!$EG$8,Nutrients!$EG$9)*AL$7)+(((IF($A$8=Nutrients!$B$79,Nutrients!$EG$79,(IF($A$8=Nutrients!$B$77,Nutrients!$EG$77,Nutrients!$EG$78)))))*AL$8))/2000</f>
        <v>0.22228573300696547</v>
      </c>
      <c r="AM310" s="202">
        <f>(SUMPRODUCT(AM$9:AM$229,Nutrients!$EG$8:$EG$228)+(IF($A$7=Nutrients!$B$8,Nutrients!$EG$8,Nutrients!$EG$9)*AM$7)+(((IF($A$8=Nutrients!$B$79,Nutrients!$EG$79,(IF($A$8=Nutrients!$B$77,Nutrients!$EG$77,Nutrients!$EG$78)))))*AM$8))/2000</f>
        <v>0.21348858539398838</v>
      </c>
      <c r="AN310" s="202">
        <f>(SUMPRODUCT(AN$9:AN$229,Nutrients!$EG$8:$EG$228)+(IF($A$7=Nutrients!$B$8,Nutrients!$EG$8,Nutrients!$EG$9)*AN$7)+(((IF($A$8=Nutrients!$B$79,Nutrients!$EG$79,(IF($A$8=Nutrients!$B$77,Nutrients!$EG$77,Nutrients!$EG$78)))))*AN$8))/2000</f>
        <v>0.20432448966339445</v>
      </c>
      <c r="AO310" s="202">
        <f>(SUMPRODUCT(AO$9:AO$229,Nutrients!$EG$8:$EG$228)+(IF($A$7=Nutrients!$B$8,Nutrients!$EG$8,Nutrients!$EG$9)*AO$7)+(((IF($A$8=Nutrients!$B$79,Nutrients!$EG$79,(IF($A$8=Nutrients!$B$77,Nutrients!$EG$77,Nutrients!$EG$78)))))*AO$8))/2000</f>
        <v>0.19637511206707833</v>
      </c>
      <c r="AP310" s="202">
        <f>(SUMPRODUCT(AP$9:AP$229,Nutrients!$EG$8:$EG$228)+(IF($A$7=Nutrients!$B$8,Nutrients!$EG$8,Nutrients!$EG$9)*AP$7)+(((IF($A$8=Nutrients!$B$79,Nutrients!$EG$79,(IF($A$8=Nutrients!$B$77,Nutrients!$EG$77,Nutrients!$EG$78)))))*AP$8))/2000</f>
        <v>0.19194525734454765</v>
      </c>
      <c r="AR310" s="202">
        <f>(SUMPRODUCT(AR$9:AR$229,Nutrients!$EG$8:$EG$228)+(IF($A$7=Nutrients!$B$8,Nutrients!$EG$8,Nutrients!$EG$9)*AR$7)+(((IF($A$8=Nutrients!$B$79,Nutrients!$EG$79,(IF($A$8=Nutrients!$B$77,Nutrients!$EG$77,Nutrients!$EG$78)))))*AR$8))/2000</f>
        <v>0.2277486134588666</v>
      </c>
      <c r="AS310" s="202">
        <f>(SUMPRODUCT(AS$9:AS$229,Nutrients!$EG$8:$EG$228)+(IF($A$7=Nutrients!$B$8,Nutrients!$EG$8,Nutrients!$EG$9)*AS$7)+(((IF($A$8=Nutrients!$B$79,Nutrients!$EG$79,(IF($A$8=Nutrients!$B$77,Nutrients!$EG$77,Nutrients!$EG$78)))))*AS$8))/2000</f>
        <v>0.21717321109773655</v>
      </c>
      <c r="AT310" s="202">
        <f>(SUMPRODUCT(AT$9:AT$229,Nutrients!$EG$8:$EG$228)+(IF($A$7=Nutrients!$B$8,Nutrients!$EG$8,Nutrients!$EG$9)*AT$7)+(((IF($A$8=Nutrients!$B$79,Nutrients!$EG$79,(IF($A$8=Nutrients!$B$77,Nutrients!$EG$77,Nutrients!$EG$78)))))*AT$8))/2000</f>
        <v>0.20834849083134596</v>
      </c>
      <c r="AU310" s="202">
        <f>(SUMPRODUCT(AU$9:AU$229,Nutrients!$EG$8:$EG$228)+(IF($A$7=Nutrients!$B$8,Nutrients!$EG$8,Nutrients!$EG$9)*AU$7)+(((IF($A$8=Nutrients!$B$79,Nutrients!$EG$79,(IF($A$8=Nutrients!$B$77,Nutrients!$EG$77,Nutrients!$EG$78)))))*AU$8))/2000</f>
        <v>0.1989439494265669</v>
      </c>
      <c r="AV310" s="202">
        <f>(SUMPRODUCT(AV$9:AV$229,Nutrients!$EG$8:$EG$228)+(IF($A$7=Nutrients!$B$8,Nutrients!$EG$8,Nutrients!$EG$9)*AV$7)+(((IF($A$8=Nutrients!$B$79,Nutrients!$EG$79,(IF($A$8=Nutrients!$B$77,Nutrients!$EG$77,Nutrients!$EG$78)))))*AV$8))/2000</f>
        <v>0.19099421615865023</v>
      </c>
      <c r="AW310" s="202">
        <f>(SUMPRODUCT(AW$9:AW$229,Nutrients!$EG$8:$EG$228)+(IF($A$7=Nutrients!$B$8,Nutrients!$EG$8,Nutrients!$EG$9)*AW$7)+(((IF($A$8=Nutrients!$B$79,Nutrients!$EG$79,(IF($A$8=Nutrients!$B$77,Nutrients!$EG$77,Nutrients!$EG$78)))))*AW$8))/2000</f>
        <v>0.18656289511419302</v>
      </c>
    </row>
    <row r="311" spans="1:49" x14ac:dyDescent="0.25">
      <c r="A311" t="s">
        <v>74</v>
      </c>
      <c r="B311" s="23">
        <f t="shared" ref="B311:G311" si="188">B255-B256</f>
        <v>0.30252335581907996</v>
      </c>
      <c r="C311" s="23">
        <f t="shared" si="188"/>
        <v>0.29036249419994237</v>
      </c>
      <c r="D311" s="23">
        <f t="shared" si="188"/>
        <v>0.2802277845068476</v>
      </c>
      <c r="E311" s="23">
        <f t="shared" si="188"/>
        <v>0.26990911671431012</v>
      </c>
      <c r="F311" s="23">
        <f t="shared" si="188"/>
        <v>0.26108614031234767</v>
      </c>
      <c r="G311" s="23">
        <f t="shared" si="188"/>
        <v>0.25612193787172505</v>
      </c>
      <c r="H311" s="227"/>
      <c r="I311" s="23">
        <f t="shared" ref="I311:N311" si="189">I255-I256</f>
        <v>0.32004710285095983</v>
      </c>
      <c r="J311" s="23">
        <f t="shared" si="189"/>
        <v>0.30785541755343937</v>
      </c>
      <c r="K311" s="23">
        <f t="shared" si="189"/>
        <v>0.29773620706625381</v>
      </c>
      <c r="L311" s="23">
        <f t="shared" si="189"/>
        <v>0.28740432968108326</v>
      </c>
      <c r="M311" s="23">
        <f t="shared" si="189"/>
        <v>0.27858151275027954</v>
      </c>
      <c r="N311" s="23">
        <f t="shared" si="189"/>
        <v>0.27361106980109395</v>
      </c>
      <c r="O311" s="198"/>
      <c r="P311" s="23">
        <f t="shared" ref="P311:U311" si="190">P255-P256</f>
        <v>0.3375509149574466</v>
      </c>
      <c r="Q311" s="23">
        <f t="shared" si="190"/>
        <v>0.3253514853838263</v>
      </c>
      <c r="R311" s="23">
        <f t="shared" si="190"/>
        <v>0.31522405128249059</v>
      </c>
      <c r="S311" s="23">
        <f t="shared" si="190"/>
        <v>0.30489441354325209</v>
      </c>
      <c r="T311" s="23">
        <f t="shared" si="190"/>
        <v>0.29607667813624816</v>
      </c>
      <c r="U311" s="23">
        <f t="shared" si="190"/>
        <v>0.29110407556172263</v>
      </c>
      <c r="W311" s="23">
        <f t="shared" ref="W311:AB311" si="191">W255-W256</f>
        <v>0.35506167823855012</v>
      </c>
      <c r="X311" s="23">
        <f t="shared" si="191"/>
        <v>0.34284958303033264</v>
      </c>
      <c r="Y311" s="23">
        <f t="shared" si="191"/>
        <v>0.33272435458226368</v>
      </c>
      <c r="Z311" s="23">
        <f t="shared" si="191"/>
        <v>0.32238044188846432</v>
      </c>
      <c r="AA311" s="23">
        <f t="shared" si="191"/>
        <v>0.31354839891595376</v>
      </c>
      <c r="AB311" s="23">
        <f t="shared" si="191"/>
        <v>0.30850160623571155</v>
      </c>
      <c r="AD311" s="23">
        <f t="shared" ref="AD311:AI311" si="192">AD255-AD256</f>
        <v>0.37256039494438919</v>
      </c>
      <c r="AE311" s="23">
        <f t="shared" si="192"/>
        <v>0.36035331772106893</v>
      </c>
      <c r="AF311" s="23">
        <f t="shared" si="192"/>
        <v>0.35021055770809595</v>
      </c>
      <c r="AG311" s="23">
        <f t="shared" si="192"/>
        <v>0.339859601748014</v>
      </c>
      <c r="AH311" s="23">
        <f t="shared" si="192"/>
        <v>0.33078498847691662</v>
      </c>
      <c r="AI311" s="23">
        <f t="shared" si="192"/>
        <v>0.32567269850311642</v>
      </c>
      <c r="AK311" s="23">
        <f t="shared" ref="AK311:AP311" si="193">AK255-AK256</f>
        <v>0.39005049731919628</v>
      </c>
      <c r="AL311" s="23">
        <f t="shared" si="193"/>
        <v>0.37783937271002099</v>
      </c>
      <c r="AM311" s="23">
        <f t="shared" si="193"/>
        <v>0.36770253661954999</v>
      </c>
      <c r="AN311" s="23">
        <f t="shared" si="193"/>
        <v>0.35713059085301685</v>
      </c>
      <c r="AO311" s="23">
        <f t="shared" si="193"/>
        <v>0.34795736330740562</v>
      </c>
      <c r="AP311" s="23">
        <f t="shared" si="193"/>
        <v>0.34284333001091316</v>
      </c>
      <c r="AR311" s="23">
        <f t="shared" ref="AR311:AW311" si="194">AR255-AR256</f>
        <v>0.40752462912393583</v>
      </c>
      <c r="AS311" s="23">
        <f t="shared" si="194"/>
        <v>0.39532303329709811</v>
      </c>
      <c r="AT311" s="23">
        <f t="shared" si="194"/>
        <v>0.38515395653035234</v>
      </c>
      <c r="AU311" s="23">
        <f t="shared" si="194"/>
        <v>0.3743034529593538</v>
      </c>
      <c r="AV311" s="23">
        <f t="shared" si="194"/>
        <v>0.36512969297365616</v>
      </c>
      <c r="AW311" s="23">
        <f t="shared" si="194"/>
        <v>0.36001393939251136</v>
      </c>
    </row>
    <row r="312" spans="1:49" x14ac:dyDescent="0.25">
      <c r="A312" s="34" t="s">
        <v>109</v>
      </c>
      <c r="B312" s="45">
        <f t="shared" ref="B312:G312" si="195">B257-B256</f>
        <v>0.11261444047083269</v>
      </c>
      <c r="C312" s="45">
        <f t="shared" si="195"/>
        <v>0.11261444047083263</v>
      </c>
      <c r="D312" s="45">
        <f t="shared" si="195"/>
        <v>0.11261444047083269</v>
      </c>
      <c r="E312" s="45">
        <f t="shared" si="195"/>
        <v>0.11261444047083267</v>
      </c>
      <c r="F312" s="45">
        <f t="shared" si="195"/>
        <v>0.1126144404708327</v>
      </c>
      <c r="G312" s="45">
        <f t="shared" si="195"/>
        <v>0.11261444047083267</v>
      </c>
      <c r="H312" s="233"/>
      <c r="I312" s="45">
        <f t="shared" ref="I312:N312" si="196">I257-I256</f>
        <v>0.11261444047083269</v>
      </c>
      <c r="J312" s="45">
        <f t="shared" si="196"/>
        <v>0.11261444047083272</v>
      </c>
      <c r="K312" s="45">
        <f t="shared" si="196"/>
        <v>0.11261444047083269</v>
      </c>
      <c r="L312" s="45">
        <f t="shared" si="196"/>
        <v>0.11261444047083269</v>
      </c>
      <c r="M312" s="45">
        <f t="shared" si="196"/>
        <v>0.11261444047083269</v>
      </c>
      <c r="N312" s="45">
        <f t="shared" si="196"/>
        <v>0.1126144404708327</v>
      </c>
      <c r="O312" s="239"/>
      <c r="P312" s="45">
        <f t="shared" ref="P312:U312" si="197">P257-P256</f>
        <v>0.11261444047083272</v>
      </c>
      <c r="Q312" s="45">
        <f t="shared" si="197"/>
        <v>0.11261444047083272</v>
      </c>
      <c r="R312" s="45">
        <f t="shared" si="197"/>
        <v>0.1126144404708327</v>
      </c>
      <c r="S312" s="45">
        <f t="shared" si="197"/>
        <v>0.1126144404708327</v>
      </c>
      <c r="T312" s="45">
        <f t="shared" si="197"/>
        <v>0.11261444047083269</v>
      </c>
      <c r="U312" s="45">
        <f t="shared" si="197"/>
        <v>0.11261444047083269</v>
      </c>
      <c r="W312" s="45">
        <f t="shared" ref="W312:AB312" si="198">W257-W256</f>
        <v>0.11261444047083263</v>
      </c>
      <c r="X312" s="45">
        <f t="shared" si="198"/>
        <v>0.11261444047083269</v>
      </c>
      <c r="Y312" s="45">
        <f t="shared" si="198"/>
        <v>0.1126144404708327</v>
      </c>
      <c r="Z312" s="45">
        <f t="shared" si="198"/>
        <v>0.11261444047083267</v>
      </c>
      <c r="AA312" s="45">
        <f t="shared" si="198"/>
        <v>0.11261444047083269</v>
      </c>
      <c r="AB312" s="45">
        <f t="shared" si="198"/>
        <v>0.11261444047083269</v>
      </c>
      <c r="AD312" s="45">
        <f t="shared" ref="AD312:AI312" si="199">AD257-AD256</f>
        <v>0.11261444047083272</v>
      </c>
      <c r="AE312" s="45">
        <f t="shared" si="199"/>
        <v>0.11261444047083267</v>
      </c>
      <c r="AF312" s="45">
        <f t="shared" si="199"/>
        <v>0.11261444047083269</v>
      </c>
      <c r="AG312" s="45">
        <f t="shared" si="199"/>
        <v>0.11261444047083266</v>
      </c>
      <c r="AH312" s="45">
        <f t="shared" si="199"/>
        <v>0.11261444047083269</v>
      </c>
      <c r="AI312" s="45">
        <f t="shared" si="199"/>
        <v>0.11261444047083269</v>
      </c>
      <c r="AK312" s="45">
        <f t="shared" ref="AK312:AP312" si="200">AK257-AK256</f>
        <v>0.11261444047083266</v>
      </c>
      <c r="AL312" s="45">
        <f t="shared" si="200"/>
        <v>0.1126144404708327</v>
      </c>
      <c r="AM312" s="45">
        <f t="shared" si="200"/>
        <v>0.11261444047083266</v>
      </c>
      <c r="AN312" s="45">
        <f t="shared" si="200"/>
        <v>0.1126144404708327</v>
      </c>
      <c r="AO312" s="45">
        <f t="shared" si="200"/>
        <v>0.11261444047083267</v>
      </c>
      <c r="AP312" s="45">
        <f t="shared" si="200"/>
        <v>0.11261444047083269</v>
      </c>
      <c r="AR312" s="45">
        <f t="shared" ref="AR312:AW312" si="201">AR257-AR256</f>
        <v>0.11261444047083269</v>
      </c>
      <c r="AS312" s="45">
        <f t="shared" si="201"/>
        <v>0.11261444047083267</v>
      </c>
      <c r="AT312" s="45">
        <f t="shared" si="201"/>
        <v>0.11261444047083266</v>
      </c>
      <c r="AU312" s="45">
        <f t="shared" si="201"/>
        <v>0.1126144404708327</v>
      </c>
      <c r="AV312" s="45">
        <f t="shared" si="201"/>
        <v>0.1126144404708327</v>
      </c>
      <c r="AW312" s="45">
        <f t="shared" si="201"/>
        <v>0.11261444047083269</v>
      </c>
    </row>
    <row r="313" spans="1:49" x14ac:dyDescent="0.25">
      <c r="A313" s="44" t="s">
        <v>110</v>
      </c>
      <c r="B313" s="46">
        <f t="shared" ref="B313:G313" si="202">B312/B310</f>
        <v>0.43591630544906723</v>
      </c>
      <c r="C313" s="46">
        <f t="shared" si="202"/>
        <v>0.45445868097335318</v>
      </c>
      <c r="D313" s="46">
        <f t="shared" si="202"/>
        <v>0.47118389344263151</v>
      </c>
      <c r="E313" s="46">
        <f t="shared" si="202"/>
        <v>0.4895068387006401</v>
      </c>
      <c r="F313" s="46">
        <f t="shared" si="202"/>
        <v>0.50633802425362018</v>
      </c>
      <c r="G313" s="46">
        <f t="shared" si="202"/>
        <v>0.51632255468270782</v>
      </c>
      <c r="H313" s="46"/>
      <c r="I313" s="46">
        <f t="shared" ref="I313:N313" si="203">I312/I310</f>
        <v>0.44465755459852391</v>
      </c>
      <c r="J313" s="46">
        <f t="shared" si="203"/>
        <v>0.46401795461704237</v>
      </c>
      <c r="K313" s="46">
        <f t="shared" si="203"/>
        <v>0.48143973179363325</v>
      </c>
      <c r="L313" s="46">
        <f t="shared" si="203"/>
        <v>0.50061063497730851</v>
      </c>
      <c r="M313" s="46">
        <f t="shared" si="203"/>
        <v>0.51822795200096539</v>
      </c>
      <c r="N313" s="46">
        <f t="shared" si="203"/>
        <v>0.52870433991636101</v>
      </c>
      <c r="O313" s="46"/>
      <c r="P313" s="46">
        <f t="shared" ref="P313:U313" si="204">P312/P310</f>
        <v>0.45378750703803239</v>
      </c>
      <c r="Q313" s="46">
        <f t="shared" si="204"/>
        <v>0.47398242899014614</v>
      </c>
      <c r="R313" s="46">
        <f t="shared" si="204"/>
        <v>0.49218987750460319</v>
      </c>
      <c r="S313" s="46">
        <f t="shared" si="204"/>
        <v>0.51223988742031656</v>
      </c>
      <c r="T313" s="46">
        <f t="shared" si="204"/>
        <v>0.5306895358193241</v>
      </c>
      <c r="U313" s="46">
        <f t="shared" si="204"/>
        <v>0.54168593614207583</v>
      </c>
      <c r="W313" s="46">
        <f t="shared" ref="W313:AB313" si="205">W312/W310</f>
        <v>0.46328895079858179</v>
      </c>
      <c r="X313" s="46">
        <f t="shared" si="205"/>
        <v>0.48438041195176357</v>
      </c>
      <c r="Y313" s="46">
        <f t="shared" si="205"/>
        <v>0.50340730433183012</v>
      </c>
      <c r="Z313" s="46">
        <f t="shared" si="205"/>
        <v>0.52443068324052611</v>
      </c>
      <c r="AA313" s="46">
        <f t="shared" si="205"/>
        <v>0.54381738587673756</v>
      </c>
      <c r="AB313" s="46">
        <f t="shared" si="205"/>
        <v>0.55554580126562891</v>
      </c>
      <c r="AD313" s="46">
        <f t="shared" ref="AD313:AI313" si="206">AD312/AD310</f>
        <v>0.4732170924928405</v>
      </c>
      <c r="AE313" s="46">
        <f t="shared" si="206"/>
        <v>0.49523443205274964</v>
      </c>
      <c r="AF313" s="46">
        <f t="shared" si="206"/>
        <v>0.51517613265419893</v>
      </c>
      <c r="AG313" s="46">
        <f t="shared" si="206"/>
        <v>0.53723139739685433</v>
      </c>
      <c r="AH313" s="46">
        <f t="shared" si="206"/>
        <v>0.55817154266119884</v>
      </c>
      <c r="AI313" s="46">
        <f t="shared" si="206"/>
        <v>0.57069786642418729</v>
      </c>
      <c r="AK313" s="46">
        <f t="shared" ref="AK313:AP313" si="207">AK312/AK310</f>
        <v>0.48359523023049156</v>
      </c>
      <c r="AL313" s="46">
        <f t="shared" si="207"/>
        <v>0.5066201908122635</v>
      </c>
      <c r="AM313" s="46">
        <f t="shared" si="207"/>
        <v>0.52749630741617992</v>
      </c>
      <c r="AN313" s="46">
        <f t="shared" si="207"/>
        <v>0.55115488435260251</v>
      </c>
      <c r="AO313" s="46">
        <f t="shared" si="207"/>
        <v>0.57346595138983569</v>
      </c>
      <c r="AP313" s="46">
        <f t="shared" si="207"/>
        <v>0.58670082308252247</v>
      </c>
      <c r="AR313" s="46">
        <f t="shared" ref="AR313:AW313" si="208">AR312/AR310</f>
        <v>0.49446817155342132</v>
      </c>
      <c r="AS313" s="46">
        <f t="shared" si="208"/>
        <v>0.51854664717441468</v>
      </c>
      <c r="AT313" s="46">
        <f t="shared" si="208"/>
        <v>0.54050998892039903</v>
      </c>
      <c r="AU313" s="46">
        <f t="shared" si="208"/>
        <v>0.56606114835576005</v>
      </c>
      <c r="AV313" s="46">
        <f t="shared" si="208"/>
        <v>0.58962225524823741</v>
      </c>
      <c r="AW313" s="46">
        <f t="shared" si="208"/>
        <v>0.60362721323499335</v>
      </c>
    </row>
    <row r="314" spans="1:49" x14ac:dyDescent="0.25">
      <c r="A314" s="34" t="s">
        <v>359</v>
      </c>
      <c r="B314" s="21">
        <f>((SUMPRODUCT(B$9:B$229,Nutrients!$EE$8:$EE$228)+(IF($A$7=Nutrients!$B$8,Nutrients!$EE$8,Nutrients!$EE$9)*B$7)+(((IF($A$8=Nutrients!$B$79,Nutrients!$EE$79,(IF($A$8=Nutrients!$B$77,Nutrients!$EE$77,Nutrients!$EE$78)))))*B$8))/2000)*2.2046</f>
        <v>608.03970300000003</v>
      </c>
      <c r="C314" s="21">
        <f>((SUMPRODUCT(C$9:C$229,Nutrients!$EE$8:$EE$228)+(IF($A$7=Nutrients!$B$8,Nutrients!$EE$8,Nutrients!$EE$9)*C$7)+(((IF($A$8=Nutrients!$B$79,Nutrients!$EE$79,(IF($A$8=Nutrients!$B$77,Nutrients!$EE$77,Nutrients!$EE$78)))))*C$8))/2000)*2.2046</f>
        <v>608.03970300000003</v>
      </c>
      <c r="D314" s="21">
        <f>((SUMPRODUCT(D$9:D$229,Nutrients!$EE$8:$EE$228)+(IF($A$7=Nutrients!$B$8,Nutrients!$EE$8,Nutrients!$EE$9)*D$7)+(((IF($A$8=Nutrients!$B$79,Nutrients!$EE$79,(IF($A$8=Nutrients!$B$77,Nutrients!$EE$77,Nutrients!$EE$78)))))*D$8))/2000)*2.2046</f>
        <v>608.03970300000003</v>
      </c>
      <c r="E314" s="21">
        <f>((SUMPRODUCT(E$9:E$229,Nutrients!$EE$8:$EE$228)+(IF($A$7=Nutrients!$B$8,Nutrients!$EE$8,Nutrients!$EE$9)*E$7)+(((IF($A$8=Nutrients!$B$79,Nutrients!$EE$79,(IF($A$8=Nutrients!$B$77,Nutrients!$EE$77,Nutrients!$EE$78)))))*E$8))/2000)*2.2046</f>
        <v>608.03970300000003</v>
      </c>
      <c r="F314" s="21">
        <f>((SUMPRODUCT(F$9:F$229,Nutrients!$EE$8:$EE$228)+(IF($A$7=Nutrients!$B$8,Nutrients!$EE$8,Nutrients!$EE$9)*F$7)+(((IF($A$8=Nutrients!$B$79,Nutrients!$EE$79,(IF($A$8=Nutrients!$B$77,Nutrients!$EE$77,Nutrients!$EE$78)))))*F$8))/2000)*2.2046</f>
        <v>608.03970300000003</v>
      </c>
      <c r="G314" s="21">
        <f>((SUMPRODUCT(G$9:G$229,Nutrients!$EE$8:$EE$228)+(IF($A$7=Nutrients!$B$8,Nutrients!$EE$8,Nutrients!$EE$9)*G$7)+(((IF($A$8=Nutrients!$B$79,Nutrients!$EE$79,(IF($A$8=Nutrients!$B$77,Nutrients!$EE$77,Nutrients!$EE$78)))))*G$8))/2000)*2.2046</f>
        <v>608.03970300000003</v>
      </c>
      <c r="H314" s="226"/>
      <c r="I314" s="21">
        <f>((SUMPRODUCT(I$9:I$229,Nutrients!$EE$8:$EE$228)+(IF($A$7=Nutrients!$B$8,Nutrients!$EE$8,Nutrients!$EE$9)*I$7)+(((IF($A$8=Nutrients!$B$79,Nutrients!$EE$79,(IF($A$8=Nutrients!$B$77,Nutrients!$EE$77,Nutrients!$EE$78)))))*I$8))/2000)*2.2046</f>
        <v>608.03970300000003</v>
      </c>
      <c r="J314" s="21">
        <f>((SUMPRODUCT(J$9:J$229,Nutrients!$EE$8:$EE$228)+(IF($A$7=Nutrients!$B$8,Nutrients!$EE$8,Nutrients!$EE$9)*J$7)+(((IF($A$8=Nutrients!$B$79,Nutrients!$EE$79,(IF($A$8=Nutrients!$B$77,Nutrients!$EE$77,Nutrients!$EE$78)))))*J$8))/2000)*2.2046</f>
        <v>608.03970300000003</v>
      </c>
      <c r="K314" s="21">
        <f>((SUMPRODUCT(K$9:K$229,Nutrients!$EE$8:$EE$228)+(IF($A$7=Nutrients!$B$8,Nutrients!$EE$8,Nutrients!$EE$9)*K$7)+(((IF($A$8=Nutrients!$B$79,Nutrients!$EE$79,(IF($A$8=Nutrients!$B$77,Nutrients!$EE$77,Nutrients!$EE$78)))))*K$8))/2000)*2.2046</f>
        <v>608.03970300000003</v>
      </c>
      <c r="L314" s="21">
        <f>((SUMPRODUCT(L$9:L$229,Nutrients!$EE$8:$EE$228)+(IF($A$7=Nutrients!$B$8,Nutrients!$EE$8,Nutrients!$EE$9)*L$7)+(((IF($A$8=Nutrients!$B$79,Nutrients!$EE$79,(IF($A$8=Nutrients!$B$77,Nutrients!$EE$77,Nutrients!$EE$78)))))*L$8))/2000)*2.2046</f>
        <v>608.03970300000003</v>
      </c>
      <c r="M314" s="21">
        <f>((SUMPRODUCT(M$9:M$229,Nutrients!$EE$8:$EE$228)+(IF($A$7=Nutrients!$B$8,Nutrients!$EE$8,Nutrients!$EE$9)*M$7)+(((IF($A$8=Nutrients!$B$79,Nutrients!$EE$79,(IF($A$8=Nutrients!$B$77,Nutrients!$EE$77,Nutrients!$EE$78)))))*M$8))/2000)*2.2046</f>
        <v>608.03970300000003</v>
      </c>
      <c r="N314" s="21">
        <f>((SUMPRODUCT(N$9:N$229,Nutrients!$EE$8:$EE$228)+(IF($A$7=Nutrients!$B$8,Nutrients!$EE$8,Nutrients!$EE$9)*N$7)+(((IF($A$8=Nutrients!$B$79,Nutrients!$EE$79,(IF($A$8=Nutrients!$B$77,Nutrients!$EE$77,Nutrients!$EE$78)))))*N$8))/2000)*2.2046</f>
        <v>608.03970300000003</v>
      </c>
      <c r="O314" s="234"/>
      <c r="P314" s="21">
        <f>((SUMPRODUCT(P$9:P$229,Nutrients!$EE$8:$EE$228)+(IF($A$7=Nutrients!$B$8,Nutrients!$EE$8,Nutrients!$EE$9)*P$7)+(((IF($A$8=Nutrients!$B$79,Nutrients!$EE$79,(IF($A$8=Nutrients!$B$77,Nutrients!$EE$77,Nutrients!$EE$78)))))*P$8))/2000)*2.2046</f>
        <v>608.03970300000003</v>
      </c>
      <c r="Q314" s="21">
        <f>((SUMPRODUCT(Q$9:Q$229,Nutrients!$EE$8:$EE$228)+(IF($A$7=Nutrients!$B$8,Nutrients!$EE$8,Nutrients!$EE$9)*Q$7)+(((IF($A$8=Nutrients!$B$79,Nutrients!$EE$79,(IF($A$8=Nutrients!$B$77,Nutrients!$EE$77,Nutrients!$EE$78)))))*Q$8))/2000)*2.2046</f>
        <v>608.03970300000003</v>
      </c>
      <c r="R314" s="21">
        <f>((SUMPRODUCT(R$9:R$229,Nutrients!$EE$8:$EE$228)+(IF($A$7=Nutrients!$B$8,Nutrients!$EE$8,Nutrients!$EE$9)*R$7)+(((IF($A$8=Nutrients!$B$79,Nutrients!$EE$79,(IF($A$8=Nutrients!$B$77,Nutrients!$EE$77,Nutrients!$EE$78)))))*R$8))/2000)*2.2046</f>
        <v>608.03970300000003</v>
      </c>
      <c r="S314" s="21">
        <f>((SUMPRODUCT(S$9:S$229,Nutrients!$EE$8:$EE$228)+(IF($A$7=Nutrients!$B$8,Nutrients!$EE$8,Nutrients!$EE$9)*S$7)+(((IF($A$8=Nutrients!$B$79,Nutrients!$EE$79,(IF($A$8=Nutrients!$B$77,Nutrients!$EE$77,Nutrients!$EE$78)))))*S$8))/2000)*2.2046</f>
        <v>608.03970300000003</v>
      </c>
      <c r="T314" s="21">
        <f>((SUMPRODUCT(T$9:T$229,Nutrients!$EE$8:$EE$228)+(IF($A$7=Nutrients!$B$8,Nutrients!$EE$8,Nutrients!$EE$9)*T$7)+(((IF($A$8=Nutrients!$B$79,Nutrients!$EE$79,(IF($A$8=Nutrients!$B$77,Nutrients!$EE$77,Nutrients!$EE$78)))))*T$8))/2000)*2.2046</f>
        <v>608.03970300000003</v>
      </c>
      <c r="U314" s="21">
        <f>((SUMPRODUCT(U$9:U$229,Nutrients!$EE$8:$EE$228)+(IF($A$7=Nutrients!$B$8,Nutrients!$EE$8,Nutrients!$EE$9)*U$7)+(((IF($A$8=Nutrients!$B$79,Nutrients!$EE$79,(IF($A$8=Nutrients!$B$77,Nutrients!$EE$77,Nutrients!$EE$78)))))*U$8))/2000)*2.2046</f>
        <v>608.03970300000003</v>
      </c>
      <c r="W314" s="21">
        <f>((SUMPRODUCT(W$9:W$229,Nutrients!$EE$8:$EE$228)+(IF($A$7=Nutrients!$B$8,Nutrients!$EE$8,Nutrients!$EE$9)*W$7)+(((IF($A$8=Nutrients!$B$79,Nutrients!$EE$79,(IF($A$8=Nutrients!$B$77,Nutrients!$EE$77,Nutrients!$EE$78)))))*W$8))/2000)*2.2046</f>
        <v>608.03970300000003</v>
      </c>
      <c r="X314" s="21">
        <f>((SUMPRODUCT(X$9:X$229,Nutrients!$EE$8:$EE$228)+(IF($A$7=Nutrients!$B$8,Nutrients!$EE$8,Nutrients!$EE$9)*X$7)+(((IF($A$8=Nutrients!$B$79,Nutrients!$EE$79,(IF($A$8=Nutrients!$B$77,Nutrients!$EE$77,Nutrients!$EE$78)))))*X$8))/2000)*2.2046</f>
        <v>608.03970300000003</v>
      </c>
      <c r="Y314" s="21">
        <f>((SUMPRODUCT(Y$9:Y$229,Nutrients!$EE$8:$EE$228)+(IF($A$7=Nutrients!$B$8,Nutrients!$EE$8,Nutrients!$EE$9)*Y$7)+(((IF($A$8=Nutrients!$B$79,Nutrients!$EE$79,(IF($A$8=Nutrients!$B$77,Nutrients!$EE$77,Nutrients!$EE$78)))))*Y$8))/2000)*2.2046</f>
        <v>608.03970300000003</v>
      </c>
      <c r="Z314" s="21">
        <f>((SUMPRODUCT(Z$9:Z$229,Nutrients!$EE$8:$EE$228)+(IF($A$7=Nutrients!$B$8,Nutrients!$EE$8,Nutrients!$EE$9)*Z$7)+(((IF($A$8=Nutrients!$B$79,Nutrients!$EE$79,(IF($A$8=Nutrients!$B$77,Nutrients!$EE$77,Nutrients!$EE$78)))))*Z$8))/2000)*2.2046</f>
        <v>608.03970300000003</v>
      </c>
      <c r="AA314" s="21">
        <f>((SUMPRODUCT(AA$9:AA$229,Nutrients!$EE$8:$EE$228)+(IF($A$7=Nutrients!$B$8,Nutrients!$EE$8,Nutrients!$EE$9)*AA$7)+(((IF($A$8=Nutrients!$B$79,Nutrients!$EE$79,(IF($A$8=Nutrients!$B$77,Nutrients!$EE$77,Nutrients!$EE$78)))))*AA$8))/2000)*2.2046</f>
        <v>608.03970300000003</v>
      </c>
      <c r="AB314" s="21">
        <f>((SUMPRODUCT(AB$9:AB$229,Nutrients!$EE$8:$EE$228)+(IF($A$7=Nutrients!$B$8,Nutrients!$EE$8,Nutrients!$EE$9)*AB$7)+(((IF($A$8=Nutrients!$B$79,Nutrients!$EE$79,(IF($A$8=Nutrients!$B$77,Nutrients!$EE$77,Nutrients!$EE$78)))))*AB$8))/2000)*2.2046</f>
        <v>608.03970300000003</v>
      </c>
      <c r="AD314" s="21">
        <f>((SUMPRODUCT(AD$9:AD$229,Nutrients!$EE$8:$EE$228)+(IF($A$7=Nutrients!$B$8,Nutrients!$EE$8,Nutrients!$EE$9)*AD$7)+(((IF($A$8=Nutrients!$B$79,Nutrients!$EE$79,(IF($A$8=Nutrients!$B$77,Nutrients!$EE$77,Nutrients!$EE$78)))))*AD$8))/2000)*2.2046</f>
        <v>608.03970300000003</v>
      </c>
      <c r="AE314" s="21">
        <f>((SUMPRODUCT(AE$9:AE$229,Nutrients!$EE$8:$EE$228)+(IF($A$7=Nutrients!$B$8,Nutrients!$EE$8,Nutrients!$EE$9)*AE$7)+(((IF($A$8=Nutrients!$B$79,Nutrients!$EE$79,(IF($A$8=Nutrients!$B$77,Nutrients!$EE$77,Nutrients!$EE$78)))))*AE$8))/2000)*2.2046</f>
        <v>608.03970300000003</v>
      </c>
      <c r="AF314" s="21">
        <f>((SUMPRODUCT(AF$9:AF$229,Nutrients!$EE$8:$EE$228)+(IF($A$7=Nutrients!$B$8,Nutrients!$EE$8,Nutrients!$EE$9)*AF$7)+(((IF($A$8=Nutrients!$B$79,Nutrients!$EE$79,(IF($A$8=Nutrients!$B$77,Nutrients!$EE$77,Nutrients!$EE$78)))))*AF$8))/2000)*2.2046</f>
        <v>608.03970300000003</v>
      </c>
      <c r="AG314" s="21">
        <f>((SUMPRODUCT(AG$9:AG$229,Nutrients!$EE$8:$EE$228)+(IF($A$7=Nutrients!$B$8,Nutrients!$EE$8,Nutrients!$EE$9)*AG$7)+(((IF($A$8=Nutrients!$B$79,Nutrients!$EE$79,(IF($A$8=Nutrients!$B$77,Nutrients!$EE$77,Nutrients!$EE$78)))))*AG$8))/2000)*2.2046</f>
        <v>608.03970300000003</v>
      </c>
      <c r="AH314" s="21">
        <f>((SUMPRODUCT(AH$9:AH$229,Nutrients!$EE$8:$EE$228)+(IF($A$7=Nutrients!$B$8,Nutrients!$EE$8,Nutrients!$EE$9)*AH$7)+(((IF($A$8=Nutrients!$B$79,Nutrients!$EE$79,(IF($A$8=Nutrients!$B$77,Nutrients!$EE$77,Nutrients!$EE$78)))))*AH$8))/2000)*2.2046</f>
        <v>608.03970300000003</v>
      </c>
      <c r="AI314" s="21">
        <f>((SUMPRODUCT(AI$9:AI$229,Nutrients!$EE$8:$EE$228)+(IF($A$7=Nutrients!$B$8,Nutrients!$EE$8,Nutrients!$EE$9)*AI$7)+(((IF($A$8=Nutrients!$B$79,Nutrients!$EE$79,(IF($A$8=Nutrients!$B$77,Nutrients!$EE$77,Nutrients!$EE$78)))))*AI$8))/2000)*2.2046</f>
        <v>608.03970300000003</v>
      </c>
      <c r="AK314" s="21">
        <f>((SUMPRODUCT(AK$9:AK$229,Nutrients!$EE$8:$EE$228)+(IF($A$7=Nutrients!$B$8,Nutrients!$EE$8,Nutrients!$EE$9)*AK$7)+(((IF($A$8=Nutrients!$B$79,Nutrients!$EE$79,(IF($A$8=Nutrients!$B$77,Nutrients!$EE$77,Nutrients!$EE$78)))))*AK$8))/2000)*2.2046</f>
        <v>608.03970300000003</v>
      </c>
      <c r="AL314" s="21">
        <f>((SUMPRODUCT(AL$9:AL$229,Nutrients!$EE$8:$EE$228)+(IF($A$7=Nutrients!$B$8,Nutrients!$EE$8,Nutrients!$EE$9)*AL$7)+(((IF($A$8=Nutrients!$B$79,Nutrients!$EE$79,(IF($A$8=Nutrients!$B$77,Nutrients!$EE$77,Nutrients!$EE$78)))))*AL$8))/2000)*2.2046</f>
        <v>608.03970300000003</v>
      </c>
      <c r="AM314" s="21">
        <f>((SUMPRODUCT(AM$9:AM$229,Nutrients!$EE$8:$EE$228)+(IF($A$7=Nutrients!$B$8,Nutrients!$EE$8,Nutrients!$EE$9)*AM$7)+(((IF($A$8=Nutrients!$B$79,Nutrients!$EE$79,(IF($A$8=Nutrients!$B$77,Nutrients!$EE$77,Nutrients!$EE$78)))))*AM$8))/2000)*2.2046</f>
        <v>608.03970300000003</v>
      </c>
      <c r="AN314" s="21">
        <f>((SUMPRODUCT(AN$9:AN$229,Nutrients!$EE$8:$EE$228)+(IF($A$7=Nutrients!$B$8,Nutrients!$EE$8,Nutrients!$EE$9)*AN$7)+(((IF($A$8=Nutrients!$B$79,Nutrients!$EE$79,(IF($A$8=Nutrients!$B$77,Nutrients!$EE$77,Nutrients!$EE$78)))))*AN$8))/2000)*2.2046</f>
        <v>608.03970300000003</v>
      </c>
      <c r="AO314" s="21">
        <f>((SUMPRODUCT(AO$9:AO$229,Nutrients!$EE$8:$EE$228)+(IF($A$7=Nutrients!$B$8,Nutrients!$EE$8,Nutrients!$EE$9)*AO$7)+(((IF($A$8=Nutrients!$B$79,Nutrients!$EE$79,(IF($A$8=Nutrients!$B$77,Nutrients!$EE$77,Nutrients!$EE$78)))))*AO$8))/2000)*2.2046</f>
        <v>608.03970300000003</v>
      </c>
      <c r="AP314" s="21">
        <f>((SUMPRODUCT(AP$9:AP$229,Nutrients!$EE$8:$EE$228)+(IF($A$7=Nutrients!$B$8,Nutrients!$EE$8,Nutrients!$EE$9)*AP$7)+(((IF($A$8=Nutrients!$B$79,Nutrients!$EE$79,(IF($A$8=Nutrients!$B$77,Nutrients!$EE$77,Nutrients!$EE$78)))))*AP$8))/2000)*2.2046</f>
        <v>608.03970300000003</v>
      </c>
      <c r="AR314" s="21">
        <f>((SUMPRODUCT(AR$9:AR$229,Nutrients!$EE$8:$EE$228)+(IF($A$7=Nutrients!$B$8,Nutrients!$EE$8,Nutrients!$EE$9)*AR$7)+(((IF($A$8=Nutrients!$B$79,Nutrients!$EE$79,(IF($A$8=Nutrients!$B$77,Nutrients!$EE$77,Nutrients!$EE$78)))))*AR$8))/2000)*2.2046</f>
        <v>608.03970300000003</v>
      </c>
      <c r="AS314" s="21">
        <f>((SUMPRODUCT(AS$9:AS$229,Nutrients!$EE$8:$EE$228)+(IF($A$7=Nutrients!$B$8,Nutrients!$EE$8,Nutrients!$EE$9)*AS$7)+(((IF($A$8=Nutrients!$B$79,Nutrients!$EE$79,(IF($A$8=Nutrients!$B$77,Nutrients!$EE$77,Nutrients!$EE$78)))))*AS$8))/2000)*2.2046</f>
        <v>608.03970300000003</v>
      </c>
      <c r="AT314" s="21">
        <f>((SUMPRODUCT(AT$9:AT$229,Nutrients!$EE$8:$EE$228)+(IF($A$7=Nutrients!$B$8,Nutrients!$EE$8,Nutrients!$EE$9)*AT$7)+(((IF($A$8=Nutrients!$B$79,Nutrients!$EE$79,(IF($A$8=Nutrients!$B$77,Nutrients!$EE$77,Nutrients!$EE$78)))))*AT$8))/2000)*2.2046</f>
        <v>608.03970300000003</v>
      </c>
      <c r="AU314" s="21">
        <f>((SUMPRODUCT(AU$9:AU$229,Nutrients!$EE$8:$EE$228)+(IF($A$7=Nutrients!$B$8,Nutrients!$EE$8,Nutrients!$EE$9)*AU$7)+(((IF($A$8=Nutrients!$B$79,Nutrients!$EE$79,(IF($A$8=Nutrients!$B$77,Nutrients!$EE$77,Nutrients!$EE$78)))))*AU$8))/2000)*2.2046</f>
        <v>608.03970300000003</v>
      </c>
      <c r="AV314" s="21">
        <f>((SUMPRODUCT(AV$9:AV$229,Nutrients!$EE$8:$EE$228)+(IF($A$7=Nutrients!$B$8,Nutrients!$EE$8,Nutrients!$EE$9)*AV$7)+(((IF($A$8=Nutrients!$B$79,Nutrients!$EE$79,(IF($A$8=Nutrients!$B$77,Nutrients!$EE$77,Nutrients!$EE$78)))))*AV$8))/2000)*2.2046</f>
        <v>608.03970300000003</v>
      </c>
      <c r="AW314" s="21">
        <f>((SUMPRODUCT(AW$9:AW$229,Nutrients!$EE$8:$EE$228)+(IF($A$7=Nutrients!$B$8,Nutrients!$EE$8,Nutrients!$EE$9)*AW$7)+(((IF($A$8=Nutrients!$B$79,Nutrients!$EE$79,(IF($A$8=Nutrients!$B$77,Nutrients!$EE$77,Nutrients!$EE$78)))))*AW$8))/2000)*2.2046</f>
        <v>608.03970300000003</v>
      </c>
    </row>
    <row r="315" spans="1:49" x14ac:dyDescent="0.25">
      <c r="A315" s="34" t="s">
        <v>360</v>
      </c>
      <c r="B315" s="23">
        <f>((SUMPRODUCT(B$9:B$229,Nutrients!$FK$8:$FK$228)+(IF($A$7=Nutrients!$B$8,Nutrients!$FK$8,Nutrients!$FK$9)*B$7)+(((IF($A$8=Nutrients!$B$79,Nutrients!$FK$79,(IF($A$8=Nutrients!$B$77,Nutrients!$FK$77,Nutrients!$FK$78)))))*B$8))/2000)</f>
        <v>1.5519301991788417</v>
      </c>
      <c r="C315" s="23">
        <f>((SUMPRODUCT(C$9:C$229,Nutrients!$FK$8:$FK$228)+(IF($A$7=Nutrients!$B$8,Nutrients!$FK$8,Nutrients!$FK$9)*C$7)+(((IF($A$8=Nutrients!$B$79,Nutrients!$FK$79,(IF($A$8=Nutrients!$B$77,Nutrients!$FK$77,Nutrients!$FK$78)))))*C$8))/2000)</f>
        <v>1.595708614420986</v>
      </c>
      <c r="D315" s="23">
        <f>((SUMPRODUCT(D$9:D$229,Nutrients!$FK$8:$FK$228)+(IF($A$7=Nutrients!$B$8,Nutrients!$FK$8,Nutrients!$FK$9)*D$7)+(((IF($A$8=Nutrients!$B$79,Nutrients!$FK$79,(IF($A$8=Nutrients!$B$77,Nutrients!$FK$77,Nutrients!$FK$78)))))*D$8))/2000)</f>
        <v>1.633289438982505</v>
      </c>
      <c r="E315" s="23">
        <f>((SUMPRODUCT(E$9:E$229,Nutrients!$FK$8:$FK$228)+(IF($A$7=Nutrients!$B$8,Nutrients!$FK$8,Nutrients!$FK$9)*E$7)+(((IF($A$8=Nutrients!$B$79,Nutrients!$FK$79,(IF($A$8=Nutrients!$B$77,Nutrients!$FK$77,Nutrients!$FK$78)))))*E$8))/2000)</f>
        <v>1.6684624843927185</v>
      </c>
      <c r="F315" s="23">
        <f>((SUMPRODUCT(F$9:F$229,Nutrients!$FK$8:$FK$228)+(IF($A$7=Nutrients!$B$8,Nutrients!$FK$8,Nutrients!$FK$9)*F$7)+(((IF($A$8=Nutrients!$B$79,Nutrients!$FK$79,(IF($A$8=Nutrients!$B$77,Nutrients!$FK$77,Nutrients!$FK$78)))))*F$8))/2000)</f>
        <v>1.6972910046236616</v>
      </c>
      <c r="G315" s="23">
        <f>((SUMPRODUCT(G$9:G$229,Nutrients!$FK$8:$FK$228)+(IF($A$7=Nutrients!$B$8,Nutrients!$FK$8,Nutrients!$FK$9)*G$7)+(((IF($A$8=Nutrients!$B$79,Nutrients!$FK$79,(IF($A$8=Nutrients!$B$77,Nutrients!$FK$77,Nutrients!$FK$78)))))*G$8))/2000)</f>
        <v>1.7124024914223799</v>
      </c>
      <c r="H315" s="227"/>
      <c r="I315" s="23">
        <f>((SUMPRODUCT(I$9:I$229,Nutrients!$FK$8:$FK$228)+(IF($A$7=Nutrients!$B$8,Nutrients!$FK$8,Nutrients!$FK$9)*I$7)+(((IF($A$8=Nutrients!$B$79,Nutrients!$FK$79,(IF($A$8=Nutrients!$B$77,Nutrients!$FK$77,Nutrients!$FK$78)))))*I$8))/2000)</f>
        <v>1.5109100855294222</v>
      </c>
      <c r="J315" s="23">
        <f>((SUMPRODUCT(J$9:J$229,Nutrients!$FK$8:$FK$228)+(IF($A$7=Nutrients!$B$8,Nutrients!$FK$8,Nutrients!$FK$9)*J$7)+(((IF($A$8=Nutrients!$B$79,Nutrients!$FK$79,(IF($A$8=Nutrients!$B$77,Nutrients!$FK$77,Nutrients!$FK$78)))))*J$8))/2000)</f>
        <v>1.5550252557383859</v>
      </c>
      <c r="K315" s="23">
        <f>((SUMPRODUCT(K$9:K$229,Nutrients!$FK$8:$FK$228)+(IF($A$7=Nutrients!$B$8,Nutrients!$FK$8,Nutrients!$FK$9)*K$7)+(((IF($A$8=Nutrients!$B$79,Nutrients!$FK$79,(IF($A$8=Nutrients!$B$77,Nutrients!$FK$77,Nutrients!$FK$78)))))*K$8))/2000)</f>
        <v>1.5922386861548514</v>
      </c>
      <c r="L315" s="23">
        <f>((SUMPRODUCT(L$9:L$229,Nutrients!$FK$8:$FK$228)+(IF($A$7=Nutrients!$B$8,Nutrients!$FK$8,Nutrients!$FK$9)*L$7)+(((IF($A$8=Nutrients!$B$79,Nutrients!$FK$79,(IF($A$8=Nutrients!$B$77,Nutrients!$FK$77,Nutrients!$FK$78)))))*L$8))/2000)</f>
        <v>1.6278371831769283</v>
      </c>
      <c r="M315" s="23">
        <f>((SUMPRODUCT(M$9:M$229,Nutrients!$FK$8:$FK$228)+(IF($A$7=Nutrients!$B$8,Nutrients!$FK$8,Nutrients!$FK$9)*M$7)+(((IF($A$8=Nutrients!$B$79,Nutrients!$FK$79,(IF($A$8=Nutrients!$B$77,Nutrients!$FK$77,Nutrients!$FK$78)))))*M$8))/2000)</f>
        <v>1.6568180238584036</v>
      </c>
      <c r="N315" s="23">
        <f>((SUMPRODUCT(N$9:N$229,Nutrients!$FK$8:$FK$228)+(IF($A$7=Nutrients!$B$8,Nutrients!$FK$8,Nutrients!$FK$9)*N$7)+(((IF($A$8=Nutrients!$B$79,Nutrients!$FK$79,(IF($A$8=Nutrients!$B$77,Nutrients!$FK$77,Nutrients!$FK$78)))))*N$8))/2000)</f>
        <v>1.6717067588018102</v>
      </c>
      <c r="O315" s="198"/>
      <c r="P315" s="23">
        <f>((SUMPRODUCT(P$9:P$229,Nutrients!$FK$8:$FK$228)+(IF($A$7=Nutrients!$B$8,Nutrients!$FK$8,Nutrients!$FK$9)*P$7)+(((IF($A$8=Nutrients!$B$79,Nutrients!$FK$79,(IF($A$8=Nutrients!$B$77,Nutrients!$FK$77,Nutrients!$FK$78)))))*P$8))/2000)</f>
        <v>1.4701371247113864</v>
      </c>
      <c r="Q315" s="23">
        <f>((SUMPRODUCT(Q$9:Q$229,Nutrients!$FK$8:$FK$228)+(IF($A$7=Nutrients!$B$8,Nutrients!$FK$8,Nutrients!$FK$9)*Q$7)+(((IF($A$8=Nutrients!$B$79,Nutrients!$FK$79,(IF($A$8=Nutrients!$B$77,Nutrients!$FK$77,Nutrients!$FK$78)))))*Q$8))/2000)</f>
        <v>1.5142095292865623</v>
      </c>
      <c r="R315" s="23">
        <f>((SUMPRODUCT(R$9:R$229,Nutrients!$FK$8:$FK$228)+(IF($A$7=Nutrients!$B$8,Nutrients!$FK$8,Nutrients!$FK$9)*R$7)+(((IF($A$8=Nutrients!$B$79,Nutrients!$FK$79,(IF($A$8=Nutrients!$B$77,Nutrients!$FK$77,Nutrients!$FK$78)))))*R$8))/2000)</f>
        <v>1.5515282007134028</v>
      </c>
      <c r="S315" s="23">
        <f>((SUMPRODUCT(S$9:S$229,Nutrients!$FK$8:$FK$228)+(IF($A$7=Nutrients!$B$8,Nutrients!$FK$8,Nutrients!$FK$9)*S$7)+(((IF($A$8=Nutrients!$B$79,Nutrients!$FK$79,(IF($A$8=Nutrients!$B$77,Nutrients!$FK$77,Nutrients!$FK$78)))))*S$8))/2000)</f>
        <v>1.5869526532342451</v>
      </c>
      <c r="T315" s="23">
        <f>((SUMPRODUCT(T$9:T$229,Nutrients!$FK$8:$FK$228)+(IF($A$7=Nutrients!$B$8,Nutrients!$FK$8,Nutrients!$FK$9)*T$7)+(((IF($A$8=Nutrients!$B$79,Nutrients!$FK$79,(IF($A$8=Nutrients!$B$77,Nutrients!$FK$77,Nutrients!$FK$78)))))*T$8))/2000)</f>
        <v>1.6161419996053834</v>
      </c>
      <c r="U315" s="23">
        <f>((SUMPRODUCT(U$9:U$229,Nutrients!$FK$8:$FK$228)+(IF($A$7=Nutrients!$B$8,Nutrients!$FK$8,Nutrients!$FK$9)*U$7)+(((IF($A$8=Nutrients!$B$79,Nutrients!$FK$79,(IF($A$8=Nutrients!$B$77,Nutrients!$FK$77,Nutrients!$FK$78)))))*U$8))/2000)</f>
        <v>1.6311196569060011</v>
      </c>
      <c r="W315" s="23">
        <f>((SUMPRODUCT(W$9:W$229,Nutrients!$FK$8:$FK$228)+(IF($A$7=Nutrients!$B$8,Nutrients!$FK$8,Nutrients!$FK$9)*W$7)+(((IF($A$8=Nutrients!$B$79,Nutrients!$FK$79,(IF($A$8=Nutrients!$B$77,Nutrients!$FK$77,Nutrients!$FK$78)))))*W$8))/2000)</f>
        <v>1.429574890655801</v>
      </c>
      <c r="X315" s="23">
        <f>((SUMPRODUCT(X$9:X$229,Nutrients!$FK$8:$FK$228)+(IF($A$7=Nutrients!$B$8,Nutrients!$FK$8,Nutrients!$FK$9)*X$7)+(((IF($A$8=Nutrients!$B$79,Nutrients!$FK$79,(IF($A$8=Nutrients!$B$77,Nutrients!$FK$77,Nutrients!$FK$78)))))*X$8))/2000)</f>
        <v>1.473656659244392</v>
      </c>
      <c r="Y315" s="23">
        <f>((SUMPRODUCT(Y$9:Y$229,Nutrients!$FK$8:$FK$228)+(IF($A$7=Nutrients!$B$8,Nutrients!$FK$8,Nutrients!$FK$9)*Y$7)+(((IF($A$8=Nutrients!$B$79,Nutrients!$FK$79,(IF($A$8=Nutrients!$B$77,Nutrients!$FK$77,Nutrients!$FK$78)))))*Y$8))/2000)</f>
        <v>1.5107508576804056</v>
      </c>
      <c r="Z315" s="23">
        <f>((SUMPRODUCT(Z$9:Z$229,Nutrients!$FK$8:$FK$228)+(IF($A$7=Nutrients!$B$8,Nutrients!$FK$8,Nutrients!$FK$9)*Z$7)+(((IF($A$8=Nutrients!$B$79,Nutrients!$FK$79,(IF($A$8=Nutrients!$B$77,Nutrients!$FK$77,Nutrients!$FK$78)))))*Z$8))/2000)</f>
        <v>1.5461721996756641</v>
      </c>
      <c r="AA315" s="23">
        <f>((SUMPRODUCT(AA$9:AA$229,Nutrients!$FK$8:$FK$228)+(IF($A$7=Nutrients!$B$8,Nutrients!$FK$8,Nutrients!$FK$9)*AA$7)+(((IF($A$8=Nutrients!$B$79,Nutrients!$FK$79,(IF($A$8=Nutrients!$B$77,Nutrients!$FK$77,Nutrients!$FK$78)))))*AA$8))/2000)</f>
        <v>1.574947411324678</v>
      </c>
      <c r="AB315" s="23">
        <f>((SUMPRODUCT(AB$9:AB$229,Nutrients!$FK$8:$FK$228)+(IF($A$7=Nutrients!$B$8,Nutrients!$FK$8,Nutrients!$FK$9)*AB$7)+(((IF($A$8=Nutrients!$B$79,Nutrients!$FK$79,(IF($A$8=Nutrients!$B$77,Nutrients!$FK$77,Nutrients!$FK$78)))))*AB$8))/2000)</f>
        <v>1.5904283905598757</v>
      </c>
      <c r="AD315" s="23">
        <f>((SUMPRODUCT(AD$9:AD$229,Nutrients!$FK$8:$FK$228)+(IF($A$7=Nutrients!$B$8,Nutrients!$FK$8,Nutrients!$FK$9)*AD$7)+(((IF($A$8=Nutrients!$B$79,Nutrients!$FK$79,(IF($A$8=Nutrients!$B$77,Nutrients!$FK$77,Nutrients!$FK$78)))))*AD$8))/2000)</f>
        <v>1.3889779563289211</v>
      </c>
      <c r="AE315" s="23">
        <f>((SUMPRODUCT(AE$9:AE$229,Nutrients!$FK$8:$FK$228)+(IF($A$7=Nutrients!$B$8,Nutrients!$FK$8,Nutrients!$FK$9)*AE$7)+(((IF($A$8=Nutrients!$B$79,Nutrients!$FK$79,(IF($A$8=Nutrients!$B$77,Nutrients!$FK$77,Nutrients!$FK$78)))))*AE$8))/2000)</f>
        <v>1.4329580102788417</v>
      </c>
      <c r="AF315" s="23">
        <f>((SUMPRODUCT(AF$9:AF$229,Nutrients!$FK$8:$FK$228)+(IF($A$7=Nutrients!$B$8,Nutrients!$FK$8,Nutrients!$FK$9)*AF$7)+(((IF($A$8=Nutrients!$B$79,Nutrients!$FK$79,(IF($A$8=Nutrients!$B$77,Nutrients!$FK$77,Nutrients!$FK$78)))))*AF$8))/2000)</f>
        <v>1.4699634952001155</v>
      </c>
      <c r="AG315" s="23">
        <f>((SUMPRODUCT(AG$9:AG$229,Nutrients!$FK$8:$FK$228)+(IF($A$7=Nutrients!$B$8,Nutrients!$FK$8,Nutrients!$FK$9)*AG$7)+(((IF($A$8=Nutrients!$B$79,Nutrients!$FK$79,(IF($A$8=Nutrients!$B$77,Nutrients!$FK$77,Nutrients!$FK$78)))))*AG$8))/2000)</f>
        <v>1.5052071562222529</v>
      </c>
      <c r="AH315" s="23">
        <f>((SUMPRODUCT(AH$9:AH$229,Nutrients!$FK$8:$FK$228)+(IF($A$7=Nutrients!$B$8,Nutrients!$FK$8,Nutrients!$FK$9)*AH$7)+(((IF($A$8=Nutrients!$B$79,Nutrients!$FK$79,(IF($A$8=Nutrients!$B$77,Nutrients!$FK$77,Nutrients!$FK$78)))))*AH$8))/2000)</f>
        <v>1.5355917334314786</v>
      </c>
      <c r="AI315" s="23">
        <f>((SUMPRODUCT(AI$9:AI$229,Nutrients!$FK$8:$FK$228)+(IF($A$7=Nutrients!$B$8,Nutrients!$FK$8,Nutrients!$FK$9)*AI$7)+(((IF($A$8=Nutrients!$B$79,Nutrients!$FK$79,(IF($A$8=Nutrients!$B$77,Nutrients!$FK$77,Nutrients!$FK$78)))))*AI$8))/2000)</f>
        <v>1.5518812468915475</v>
      </c>
      <c r="AK315" s="23">
        <f>((SUMPRODUCT(AK$9:AK$229,Nutrients!$FK$8:$FK$228)+(IF($A$7=Nutrients!$B$8,Nutrients!$FK$8,Nutrients!$FK$9)*AK$7)+(((IF($A$8=Nutrients!$B$79,Nutrients!$FK$79,(IF($A$8=Nutrients!$B$77,Nutrients!$FK$77,Nutrients!$FK$78)))))*AK$8))/2000)</f>
        <v>1.3483497217028759</v>
      </c>
      <c r="AL315" s="23">
        <f>((SUMPRODUCT(AL$9:AL$229,Nutrients!$FK$8:$FK$228)+(IF($A$7=Nutrients!$B$8,Nutrients!$FK$8,Nutrients!$FK$9)*AL$7)+(((IF($A$8=Nutrients!$B$79,Nutrients!$FK$79,(IF($A$8=Nutrients!$B$77,Nutrients!$FK$77,Nutrients!$FK$78)))))*AL$8))/2000)</f>
        <v>1.392305161754267</v>
      </c>
      <c r="AM315" s="23">
        <f>((SUMPRODUCT(AM$9:AM$229,Nutrients!$FK$8:$FK$228)+(IF($A$7=Nutrients!$B$8,Nutrients!$FK$8,Nutrients!$FK$9)*AM$7)+(((IF($A$8=Nutrients!$B$79,Nutrients!$FK$79,(IF($A$8=Nutrients!$B$77,Nutrients!$FK$77,Nutrients!$FK$78)))))*AM$8))/2000)</f>
        <v>1.4291049604910506</v>
      </c>
      <c r="AN315" s="23">
        <f>((SUMPRODUCT(AN$9:AN$229,Nutrients!$FK$8:$FK$228)+(IF($A$7=Nutrients!$B$8,Nutrients!$FK$8,Nutrients!$FK$9)*AN$7)+(((IF($A$8=Nutrients!$B$79,Nutrients!$FK$79,(IF($A$8=Nutrients!$B$77,Nutrients!$FK$77,Nutrients!$FK$78)))))*AN$8))/2000)</f>
        <v>1.4652994031569937</v>
      </c>
      <c r="AO315" s="23">
        <f>((SUMPRODUCT(AO$9:AO$229,Nutrients!$FK$8:$FK$228)+(IF($A$7=Nutrients!$B$8,Nutrients!$FK$8,Nutrients!$FK$9)*AO$7)+(((IF($A$8=Nutrients!$B$79,Nutrients!$FK$79,(IF($A$8=Nutrients!$B$77,Nutrients!$FK$77,Nutrients!$FK$78)))))*AO$8))/2000)</f>
        <v>1.4969978958427332</v>
      </c>
      <c r="AP315" s="23">
        <f>((SUMPRODUCT(AP$9:AP$229,Nutrients!$FK$8:$FK$228)+(IF($A$7=Nutrients!$B$8,Nutrients!$FK$8,Nutrients!$FK$9)*AP$7)+(((IF($A$8=Nutrients!$B$79,Nutrients!$FK$79,(IF($A$8=Nutrients!$B$77,Nutrients!$FK$77,Nutrients!$FK$78)))))*AP$8))/2000)</f>
        <v>1.5133519469107595</v>
      </c>
      <c r="AR315" s="23">
        <f>((SUMPRODUCT(AR$9:AR$229,Nutrients!$FK$8:$FK$228)+(IF($A$7=Nutrients!$B$8,Nutrients!$FK$8,Nutrients!$FK$9)*AR$7)+(((IF($A$8=Nutrients!$B$79,Nutrients!$FK$79,(IF($A$8=Nutrients!$B$77,Nutrients!$FK$77,Nutrients!$FK$78)))))*AR$8))/2000)</f>
        <v>1.3082515110556867</v>
      </c>
      <c r="AS315" s="23">
        <f>((SUMPRODUCT(AS$9:AS$229,Nutrients!$FK$8:$FK$228)+(IF($A$7=Nutrients!$B$8,Nutrients!$FK$8,Nutrients!$FK$9)*AS$7)+(((IF($A$8=Nutrients!$B$79,Nutrients!$FK$79,(IF($A$8=Nutrients!$B$77,Nutrients!$FK$77,Nutrients!$FK$78)))))*AS$8))/2000)</f>
        <v>1.3513280500416787</v>
      </c>
      <c r="AT315" s="23">
        <f>((SUMPRODUCT(AT$9:AT$229,Nutrients!$FK$8:$FK$228)+(IF($A$7=Nutrients!$B$8,Nutrients!$FK$8,Nutrients!$FK$9)*AT$7)+(((IF($A$8=Nutrients!$B$79,Nutrients!$FK$79,(IF($A$8=Nutrients!$B$77,Nutrients!$FK$77,Nutrients!$FK$78)))))*AT$8))/2000)</f>
        <v>1.3877883190709288</v>
      </c>
      <c r="AU315" s="23">
        <f>((SUMPRODUCT(AU$9:AU$229,Nutrients!$FK$8:$FK$228)+(IF($A$7=Nutrients!$B$8,Nutrients!$FK$8,Nutrients!$FK$9)*AU$7)+(((IF($A$8=Nutrients!$B$79,Nutrients!$FK$79,(IF($A$8=Nutrients!$B$77,Nutrients!$FK$77,Nutrients!$FK$78)))))*AU$8))/2000)</f>
        <v>1.4266351303268547</v>
      </c>
      <c r="AV315" s="23">
        <f>((SUMPRODUCT(AV$9:AV$229,Nutrients!$FK$8:$FK$228)+(IF($A$7=Nutrients!$B$8,Nutrients!$FK$8,Nutrients!$FK$9)*AV$7)+(((IF($A$8=Nutrients!$B$79,Nutrients!$FK$79,(IF($A$8=Nutrients!$B$77,Nutrients!$FK$77,Nutrients!$FK$78)))))*AV$8))/2000)</f>
        <v>1.4584054886307525</v>
      </c>
      <c r="AW315" s="23">
        <f>((SUMPRODUCT(AW$9:AW$229,Nutrients!$FK$8:$FK$228)+(IF($A$7=Nutrients!$B$8,Nutrients!$FK$8,Nutrients!$FK$9)*AW$7)+(((IF($A$8=Nutrients!$B$79,Nutrients!$FK$79,(IF($A$8=Nutrients!$B$77,Nutrients!$FK$77,Nutrients!$FK$78)))))*AW$8))/2000)</f>
        <v>1.4748232391775784</v>
      </c>
    </row>
    <row r="316" spans="1:49" x14ac:dyDescent="0.25">
      <c r="A316" s="34" t="s">
        <v>403</v>
      </c>
      <c r="B316" s="22">
        <f>(SUMPRODUCT(B$9:B$229,Nutrients!$U$8:$U$228)+(IF($A$7=Nutrients!$B$8,Nutrients!$U$8,Nutrients!$U$9)*B$7)+(((IF($A$8=Nutrients!$B$79,Nutrients!$U$79,(IF($A$8=Nutrients!$B$77,Nutrients!$U$77,Nutrients!$U$78)))))*B$8))/2000</f>
        <v>8.5699292218715204</v>
      </c>
      <c r="C316" s="22">
        <f>(SUMPRODUCT(C$9:C$229,Nutrients!$U$8:$U$228)+(IF($A$7=Nutrients!$B$8,Nutrients!$U$8,Nutrients!$U$9)*C$7)+(((IF($A$8=Nutrients!$B$79,Nutrients!$U$79,(IF($A$8=Nutrients!$B$77,Nutrients!$U$77,Nutrients!$U$78)))))*C$8))/2000</f>
        <v>8.6418600707376481</v>
      </c>
      <c r="D316" s="22">
        <f>(SUMPRODUCT(D$9:D$229,Nutrients!$U$8:$U$228)+(IF($A$7=Nutrients!$B$8,Nutrients!$U$8,Nutrients!$U$9)*D$7)+(((IF($A$8=Nutrients!$B$79,Nutrients!$U$79,(IF($A$8=Nutrients!$B$77,Nutrients!$U$77,Nutrients!$U$78)))))*D$8))/2000</f>
        <v>8.7060121920111886</v>
      </c>
      <c r="E316" s="22">
        <f>(SUMPRODUCT(E$9:E$229,Nutrients!$U$8:$U$228)+(IF($A$7=Nutrients!$B$8,Nutrients!$U$8,Nutrients!$U$9)*E$7)+(((IF($A$8=Nutrients!$B$79,Nutrients!$U$79,(IF($A$8=Nutrients!$B$77,Nutrients!$U$77,Nutrients!$U$78)))))*E$8))/2000</f>
        <v>8.7592542727281515</v>
      </c>
      <c r="F316" s="22">
        <f>(SUMPRODUCT(F$9:F$229,Nutrients!$U$8:$U$228)+(IF($A$7=Nutrients!$B$8,Nutrients!$U$8,Nutrients!$U$9)*F$7)+(((IF($A$8=Nutrients!$B$79,Nutrients!$U$79,(IF($A$8=Nutrients!$B$77,Nutrients!$U$77,Nutrients!$U$78)))))*F$8))/2000</f>
        <v>8.7998937942372635</v>
      </c>
      <c r="G316" s="22">
        <f>(SUMPRODUCT(G$9:G$229,Nutrients!$U$8:$U$228)+(IF($A$7=Nutrients!$B$8,Nutrients!$U$8,Nutrients!$U$9)*G$7)+(((IF($A$8=Nutrients!$B$79,Nutrients!$U$79,(IF($A$8=Nutrients!$B$77,Nutrients!$U$77,Nutrients!$U$78)))))*G$8))/2000</f>
        <v>8.8184122421246407</v>
      </c>
      <c r="H316" s="228"/>
      <c r="I316" s="22">
        <f>(SUMPRODUCT(I$9:I$229,Nutrients!$U$8:$U$228)+(IF($A$7=Nutrients!$B$8,Nutrients!$U$8,Nutrients!$U$9)*I$7)+(((IF($A$8=Nutrients!$B$79,Nutrients!$U$79,(IF($A$8=Nutrients!$B$77,Nutrients!$U$77,Nutrients!$U$78)))))*I$8))/2000</f>
        <v>9.727011409502925</v>
      </c>
      <c r="J316" s="22">
        <f>(SUMPRODUCT(J$9:J$229,Nutrients!$U$8:$U$228)+(IF($A$7=Nutrients!$B$8,Nutrients!$U$8,Nutrients!$U$9)*J$7)+(((IF($A$8=Nutrients!$B$79,Nutrients!$U$79,(IF($A$8=Nutrients!$B$77,Nutrients!$U$77,Nutrients!$U$78)))))*J$8))/2000</f>
        <v>9.7975077739509313</v>
      </c>
      <c r="K316" s="22">
        <f>(SUMPRODUCT(K$9:K$229,Nutrients!$U$8:$U$228)+(IF($A$7=Nutrients!$B$8,Nutrients!$U$8,Nutrients!$U$9)*K$7)+(((IF($A$8=Nutrients!$B$79,Nutrients!$U$79,(IF($A$8=Nutrients!$B$77,Nutrients!$U$77,Nutrients!$U$78)))))*K$8))/2000</f>
        <v>9.8623980795325394</v>
      </c>
      <c r="L316" s="22">
        <f>(SUMPRODUCT(L$9:L$229,Nutrients!$U$8:$U$228)+(IF($A$7=Nutrients!$B$8,Nutrients!$U$8,Nutrients!$U$9)*L$7)+(((IF($A$8=Nutrients!$B$79,Nutrients!$U$79,(IF($A$8=Nutrients!$B$77,Nutrients!$U$77,Nutrients!$U$78)))))*L$8))/2000</f>
        <v>9.9150189086288005</v>
      </c>
      <c r="M316" s="22">
        <f>(SUMPRODUCT(M$9:M$229,Nutrients!$U$8:$U$228)+(IF($A$7=Nutrients!$B$8,Nutrients!$U$8,Nutrients!$U$9)*M$7)+(((IF($A$8=Nutrients!$B$79,Nutrients!$U$79,(IF($A$8=Nutrients!$B$77,Nutrients!$U$77,Nutrients!$U$78)))))*M$8))/2000</f>
        <v>9.9556551163445857</v>
      </c>
      <c r="N316" s="22">
        <f>(SUMPRODUCT(N$9:N$229,Nutrients!$U$8:$U$228)+(IF($A$7=Nutrients!$B$8,Nutrients!$U$8,Nutrients!$U$9)*N$7)+(((IF($A$8=Nutrients!$B$79,Nutrients!$U$79,(IF($A$8=Nutrients!$B$77,Nutrients!$U$77,Nutrients!$U$78)))))*N$8))/2000</f>
        <v>9.9738978746170215</v>
      </c>
      <c r="O316" s="235"/>
      <c r="P316" s="22">
        <f>(SUMPRODUCT(P$9:P$229,Nutrients!$U$8:$U$228)+(IF($A$7=Nutrients!$B$8,Nutrients!$U$8,Nutrients!$U$9)*P$7)+(((IF($A$8=Nutrients!$B$79,Nutrients!$U$79,(IF($A$8=Nutrients!$B$77,Nutrients!$U$77,Nutrients!$U$78)))))*P$8))/2000</f>
        <v>10.883173221997206</v>
      </c>
      <c r="Q316" s="22">
        <f>(SUMPRODUCT(Q$9:Q$229,Nutrients!$U$8:$U$228)+(IF($A$7=Nutrients!$B$8,Nutrients!$U$8,Nutrients!$U$9)*Q$7)+(((IF($A$8=Nutrients!$B$79,Nutrients!$U$79,(IF($A$8=Nutrients!$B$77,Nutrients!$U$77,Nutrients!$U$78)))))*Q$8))/2000</f>
        <v>10.953307714177852</v>
      </c>
      <c r="R316" s="22">
        <f>(SUMPRODUCT(R$9:R$229,Nutrients!$U$8:$U$228)+(IF($A$7=Nutrients!$B$8,Nutrients!$U$8,Nutrients!$U$9)*R$7)+(((IF($A$8=Nutrients!$B$79,Nutrients!$U$79,(IF($A$8=Nutrients!$B$77,Nutrients!$U$77,Nutrients!$U$78)))))*R$8))/2000</f>
        <v>11.017825881804187</v>
      </c>
      <c r="S316" s="22">
        <f>(SUMPRODUCT(S$9:S$229,Nutrients!$U$8:$U$228)+(IF($A$7=Nutrients!$B$8,Nutrients!$U$8,Nutrients!$U$9)*S$7)+(((IF($A$8=Nutrients!$B$79,Nutrients!$U$79,(IF($A$8=Nutrients!$B$77,Nutrients!$U$77,Nutrients!$U$78)))))*S$8))/2000</f>
        <v>11.07054990246252</v>
      </c>
      <c r="T316" s="22">
        <f>(SUMPRODUCT(T$9:T$229,Nutrients!$U$8:$U$228)+(IF($A$7=Nutrients!$B$8,Nutrients!$U$8,Nutrients!$U$9)*T$7)+(((IF($A$8=Nutrients!$B$79,Nutrients!$U$79,(IF($A$8=Nutrients!$B$77,Nutrients!$U$77,Nutrients!$U$78)))))*T$8))/2000</f>
        <v>11.111420241105503</v>
      </c>
      <c r="U316" s="22">
        <f>(SUMPRODUCT(U$9:U$229,Nutrients!$U$8:$U$228)+(IF($A$7=Nutrients!$B$8,Nutrients!$U$8,Nutrients!$U$9)*U$7)+(((IF($A$8=Nutrients!$B$79,Nutrients!$U$79,(IF($A$8=Nutrients!$B$77,Nutrients!$U$77,Nutrients!$U$78)))))*U$8))/2000</f>
        <v>11.129563494760202</v>
      </c>
      <c r="W316" s="22">
        <f>(SUMPRODUCT(W$9:W$229,Nutrients!$U$8:$U$228)+(IF($A$7=Nutrients!$B$8,Nutrients!$U$8,Nutrients!$U$9)*W$7)+(((IF($A$8=Nutrients!$B$79,Nutrients!$U$79,(IF($A$8=Nutrients!$B$77,Nutrients!$U$77,Nutrients!$U$78)))))*W$8))/2000</f>
        <v>12.039657018911216</v>
      </c>
      <c r="X316" s="22">
        <f>(SUMPRODUCT(X$9:X$229,Nutrients!$U$8:$U$228)+(IF($A$7=Nutrients!$B$8,Nutrients!$U$8,Nutrients!$U$9)*X$7)+(((IF($A$8=Nutrients!$B$79,Nutrients!$U$79,(IF($A$8=Nutrients!$B$77,Nutrients!$U$77,Nutrients!$U$78)))))*X$8))/2000</f>
        <v>12.109207942680387</v>
      </c>
      <c r="Y316" s="22">
        <f>(SUMPRODUCT(Y$9:Y$229,Nutrients!$U$8:$U$228)+(IF($A$7=Nutrients!$B$8,Nutrients!$U$8,Nutrients!$U$9)*Y$7)+(((IF($A$8=Nutrients!$B$79,Nutrients!$U$79,(IF($A$8=Nutrients!$B$77,Nutrients!$U$77,Nutrients!$U$78)))))*Y$8))/2000</f>
        <v>12.17382773565863</v>
      </c>
      <c r="Z316" s="22">
        <f>(SUMPRODUCT(Z$9:Z$229,Nutrients!$U$8:$U$228)+(IF($A$7=Nutrients!$B$8,Nutrients!$U$8,Nutrients!$U$9)*Z$7)+(((IF($A$8=Nutrients!$B$79,Nutrients!$U$79,(IF($A$8=Nutrients!$B$77,Nutrients!$U$77,Nutrients!$U$78)))))*Z$8))/2000</f>
        <v>12.225894038577438</v>
      </c>
      <c r="AA316" s="22">
        <f>(SUMPRODUCT(AA$9:AA$229,Nutrients!$U$8:$U$228)+(IF($A$7=Nutrients!$B$8,Nutrients!$U$8,Nutrients!$U$9)*AA$7)+(((IF($A$8=Nutrients!$B$79,Nutrients!$U$79,(IF($A$8=Nutrients!$B$77,Nutrients!$U$77,Nutrients!$U$78)))))*AA$8))/2000</f>
        <v>12.266105156933367</v>
      </c>
      <c r="AB316" s="22">
        <f>(SUMPRODUCT(AB$9:AB$229,Nutrients!$U$8:$U$228)+(IF($A$7=Nutrients!$B$8,Nutrients!$U$8,Nutrients!$U$9)*AB$7)+(((IF($A$8=Nutrients!$B$79,Nutrients!$U$79,(IF($A$8=Nutrients!$B$77,Nutrients!$U$77,Nutrients!$U$78)))))*AB$8))/2000</f>
        <v>12.280770126155319</v>
      </c>
      <c r="AD316" s="22">
        <f>(SUMPRODUCT(AD$9:AD$229,Nutrients!$U$8:$U$228)+(IF($A$7=Nutrients!$B$8,Nutrients!$U$8,Nutrients!$U$9)*AD$7)+(((IF($A$8=Nutrients!$B$79,Nutrients!$U$79,(IF($A$8=Nutrients!$B$77,Nutrients!$U$77,Nutrients!$U$78)))))*AD$8))/2000</f>
        <v>13.195585770538168</v>
      </c>
      <c r="AE316" s="22">
        <f>(SUMPRODUCT(AE$9:AE$229,Nutrients!$U$8:$U$228)+(IF($A$7=Nutrients!$B$8,Nutrients!$U$8,Nutrients!$U$9)*AE$7)+(((IF($A$8=Nutrients!$B$79,Nutrients!$U$79,(IF($A$8=Nutrients!$B$77,Nutrients!$U$77,Nutrients!$U$78)))))*AE$8))/2000</f>
        <v>13.265367897683115</v>
      </c>
      <c r="AF316" s="22">
        <f>(SUMPRODUCT(AF$9:AF$229,Nutrients!$U$8:$U$228)+(IF($A$7=Nutrients!$B$8,Nutrients!$U$8,Nutrients!$U$9)*AF$7)+(((IF($A$8=Nutrients!$B$79,Nutrients!$U$79,(IF($A$8=Nutrients!$B$77,Nutrients!$U$77,Nutrients!$U$78)))))*AF$8))/2000</f>
        <v>13.329179924780918</v>
      </c>
      <c r="AG316" s="22">
        <f>(SUMPRODUCT(AG$9:AG$229,Nutrients!$U$8:$U$228)+(IF($A$7=Nutrients!$B$8,Nutrients!$U$8,Nutrients!$U$9)*AG$7)+(((IF($A$8=Nutrients!$B$79,Nutrients!$U$79,(IF($A$8=Nutrients!$B$77,Nutrients!$U$77,Nutrients!$U$78)))))*AG$8))/2000</f>
        <v>13.380909120349052</v>
      </c>
      <c r="AH316" s="22">
        <f>(SUMPRODUCT(AH$9:AH$229,Nutrients!$U$8:$U$228)+(IF($A$7=Nutrients!$B$8,Nutrients!$U$8,Nutrients!$U$9)*AH$7)+(((IF($A$8=Nutrients!$B$79,Nutrients!$U$79,(IF($A$8=Nutrients!$B$77,Nutrients!$U$77,Nutrients!$U$78)))))*AH$8))/2000</f>
        <v>13.409770004742649</v>
      </c>
      <c r="AI316" s="22">
        <f>(SUMPRODUCT(AI$9:AI$229,Nutrients!$U$8:$U$228)+(IF($A$7=Nutrients!$B$8,Nutrients!$U$8,Nutrients!$U$9)*AI$7)+(((IF($A$8=Nutrients!$B$79,Nutrients!$U$79,(IF($A$8=Nutrients!$B$77,Nutrients!$U$77,Nutrients!$U$78)))))*AI$8))/2000</f>
        <v>13.421360269254606</v>
      </c>
      <c r="AK316" s="22">
        <f>(SUMPRODUCT(AK$9:AK$229,Nutrients!$U$8:$U$228)+(IF($A$7=Nutrients!$B$8,Nutrients!$U$8,Nutrients!$U$9)*AK$7)+(((IF($A$8=Nutrients!$B$79,Nutrients!$U$79,(IF($A$8=Nutrients!$B$77,Nutrients!$U$77,Nutrients!$U$78)))))*AK$8))/2000</f>
        <v>14.351117617340673</v>
      </c>
      <c r="AL316" s="22">
        <f>(SUMPRODUCT(AL$9:AL$229,Nutrients!$U$8:$U$228)+(IF($A$7=Nutrients!$B$8,Nutrients!$U$8,Nutrients!$U$9)*AL$7)+(((IF($A$8=Nutrients!$B$79,Nutrients!$U$79,(IF($A$8=Nutrients!$B$77,Nutrients!$U$77,Nutrients!$U$78)))))*AL$8))/2000</f>
        <v>14.420713261406867</v>
      </c>
      <c r="AM316" s="22">
        <f>(SUMPRODUCT(AM$9:AM$229,Nutrients!$U$8:$U$228)+(IF($A$7=Nutrients!$B$8,Nutrients!$U$8,Nutrients!$U$9)*AM$7)+(((IF($A$8=Nutrients!$B$79,Nutrients!$U$79,(IF($A$8=Nutrients!$B$77,Nutrients!$U$77,Nutrients!$U$78)))))*AM$8))/2000</f>
        <v>14.484798232905339</v>
      </c>
      <c r="AN316" s="22">
        <f>(SUMPRODUCT(AN$9:AN$229,Nutrients!$U$8:$U$228)+(IF($A$7=Nutrients!$B$8,Nutrients!$U$8,Nutrients!$U$9)*AN$7)+(((IF($A$8=Nutrients!$B$79,Nutrients!$U$79,(IF($A$8=Nutrients!$B$77,Nutrients!$U$77,Nutrients!$U$78)))))*AN$8))/2000</f>
        <v>14.526198307631129</v>
      </c>
      <c r="AO316" s="22">
        <f>(SUMPRODUCT(AO$9:AO$229,Nutrients!$U$8:$U$228)+(IF($A$7=Nutrients!$B$8,Nutrients!$U$8,Nutrients!$U$9)*AO$7)+(((IF($A$8=Nutrients!$B$79,Nutrients!$U$79,(IF($A$8=Nutrients!$B$77,Nutrients!$U$77,Nutrients!$U$78)))))*AO$8))/2000</f>
        <v>14.550419651604081</v>
      </c>
      <c r="AP316" s="22">
        <f>(SUMPRODUCT(AP$9:AP$229,Nutrients!$U$8:$U$228)+(IF($A$7=Nutrients!$B$8,Nutrients!$U$8,Nutrients!$U$9)*AP$7)+(((IF($A$8=Nutrients!$B$79,Nutrients!$U$79,(IF($A$8=Nutrients!$B$77,Nutrients!$U$77,Nutrients!$U$78)))))*AP$8))/2000</f>
        <v>14.561929145051485</v>
      </c>
      <c r="AR316" s="22">
        <f>(SUMPRODUCT(AR$9:AR$229,Nutrients!$U$8:$U$228)+(IF($A$7=Nutrients!$B$8,Nutrients!$U$8,Nutrients!$U$9)*AR$7)+(((IF($A$8=Nutrients!$B$79,Nutrients!$U$79,(IF($A$8=Nutrients!$B$77,Nutrients!$U$77,Nutrients!$U$78)))))*AR$8))/2000</f>
        <v>15.505913621013237</v>
      </c>
      <c r="AS316" s="22">
        <f>(SUMPRODUCT(AS$9:AS$229,Nutrients!$U$8:$U$228)+(IF($A$7=Nutrients!$B$8,Nutrients!$U$8,Nutrients!$U$9)*AS$7)+(((IF($A$8=Nutrients!$B$79,Nutrients!$U$79,(IF($A$8=Nutrients!$B$77,Nutrients!$U$77,Nutrients!$U$78)))))*AS$8))/2000</f>
        <v>15.57594830319705</v>
      </c>
      <c r="AT316" s="22">
        <f>(SUMPRODUCT(AT$9:AT$229,Nutrients!$U$8:$U$228)+(IF($A$7=Nutrients!$B$8,Nutrients!$U$8,Nutrients!$U$9)*AT$7)+(((IF($A$8=Nutrients!$B$79,Nutrients!$U$79,(IF($A$8=Nutrients!$B$77,Nutrients!$U$77,Nutrients!$U$78)))))*AT$8))/2000</f>
        <v>15.638534558654516</v>
      </c>
      <c r="AU316" s="22">
        <f>(SUMPRODUCT(AU$9:AU$229,Nutrients!$U$8:$U$228)+(IF($A$7=Nutrients!$B$8,Nutrients!$U$8,Nutrients!$U$9)*AU$7)+(((IF($A$8=Nutrients!$B$79,Nutrients!$U$79,(IF($A$8=Nutrients!$B$77,Nutrients!$U$77,Nutrients!$U$78)))))*AU$8))/2000</f>
        <v>15.666865169825762</v>
      </c>
      <c r="AV316" s="22">
        <f>(SUMPRODUCT(AV$9:AV$229,Nutrients!$U$8:$U$228)+(IF($A$7=Nutrients!$B$8,Nutrients!$U$8,Nutrients!$U$9)*AV$7)+(((IF($A$8=Nutrients!$B$79,Nutrients!$U$79,(IF($A$8=Nutrients!$B$77,Nutrients!$U$77,Nutrients!$U$78)))))*AV$8))/2000</f>
        <v>15.691067181211277</v>
      </c>
      <c r="AW316" s="22">
        <f>(SUMPRODUCT(AW$9:AW$229,Nutrients!$U$8:$U$228)+(IF($A$7=Nutrients!$B$8,Nutrients!$U$8,Nutrients!$U$9)*AW$7)+(((IF($A$8=Nutrients!$B$79,Nutrients!$U$79,(IF($A$8=Nutrients!$B$77,Nutrients!$U$77,Nutrients!$U$78)))))*AW$8))/2000</f>
        <v>15.702496972492927</v>
      </c>
    </row>
    <row r="317" spans="1:49" x14ac:dyDescent="0.25">
      <c r="A317" s="34" t="s">
        <v>416</v>
      </c>
      <c r="B317" s="23">
        <f t="shared" ref="B317:G317" si="209">B236/B253*100</f>
        <v>6.1785853391259096</v>
      </c>
      <c r="C317" s="23">
        <f t="shared" si="209"/>
        <v>5.9864354833614239</v>
      </c>
      <c r="D317" s="23">
        <f t="shared" si="209"/>
        <v>5.7595132677868364</v>
      </c>
      <c r="E317" s="23">
        <f t="shared" si="209"/>
        <v>5.6037683275620731</v>
      </c>
      <c r="F317" s="23">
        <f t="shared" si="209"/>
        <v>5.5537986803701944</v>
      </c>
      <c r="G317" s="23">
        <f t="shared" si="209"/>
        <v>5.52175985110991</v>
      </c>
      <c r="H317" s="227"/>
      <c r="I317" s="23">
        <f t="shared" ref="I317:N317" si="210">I236/I253*100</f>
        <v>6.0524560186657261</v>
      </c>
      <c r="J317" s="23">
        <f t="shared" si="210"/>
        <v>5.8523081576306772</v>
      </c>
      <c r="K317" s="23">
        <f t="shared" si="210"/>
        <v>5.6176778497639352</v>
      </c>
      <c r="L317" s="23">
        <f t="shared" si="210"/>
        <v>5.4544167551400866</v>
      </c>
      <c r="M317" s="23">
        <f t="shared" si="210"/>
        <v>5.3947802053540839</v>
      </c>
      <c r="N317" s="23">
        <f t="shared" si="210"/>
        <v>5.3547529580325124</v>
      </c>
      <c r="O317" s="198"/>
      <c r="P317" s="23">
        <f t="shared" ref="P317:U317" si="211">P236/P253*100</f>
        <v>5.930662406014207</v>
      </c>
      <c r="Q317" s="23">
        <f t="shared" si="211"/>
        <v>5.7231362934076442</v>
      </c>
      <c r="R317" s="23">
        <f t="shared" si="211"/>
        <v>5.482667874514358</v>
      </c>
      <c r="S317" s="23">
        <f t="shared" si="211"/>
        <v>5.3116741902238651</v>
      </c>
      <c r="T317" s="23">
        <f t="shared" si="211"/>
        <v>5.2436024433353632</v>
      </c>
      <c r="U317" s="23">
        <f t="shared" si="211"/>
        <v>5.1981562896972369</v>
      </c>
      <c r="W317" s="23">
        <f t="shared" ref="W317:AB317" si="212">W236/W253*100</f>
        <v>5.8135847584543514</v>
      </c>
      <c r="X317" s="23">
        <f t="shared" si="212"/>
        <v>5.5990667293603451</v>
      </c>
      <c r="Y317" s="23">
        <f t="shared" si="212"/>
        <v>5.3537471863160091</v>
      </c>
      <c r="Z317" s="23">
        <f t="shared" si="212"/>
        <v>5.1749415223323414</v>
      </c>
      <c r="AA317" s="23">
        <f t="shared" si="212"/>
        <v>5.0965469173151892</v>
      </c>
      <c r="AB317" s="23">
        <f t="shared" si="212"/>
        <v>5.0468215395506313</v>
      </c>
      <c r="AD317" s="23">
        <f t="shared" ref="AD317:AI317" si="213">AD236/AD253*100</f>
        <v>5.7001344988104803</v>
      </c>
      <c r="AE317" s="23">
        <f t="shared" si="213"/>
        <v>5.4804212061402566</v>
      </c>
      <c r="AF317" s="23">
        <f t="shared" si="213"/>
        <v>5.2296276882786819</v>
      </c>
      <c r="AG317" s="23">
        <f t="shared" si="213"/>
        <v>5.0445150973886914</v>
      </c>
      <c r="AH317" s="23">
        <f t="shared" si="213"/>
        <v>4.9595656842243017</v>
      </c>
      <c r="AI317" s="23">
        <f t="shared" si="213"/>
        <v>4.906085891261263</v>
      </c>
      <c r="AK317" s="23">
        <f t="shared" ref="AK317:AP317" si="214">AK236/AK253*100</f>
        <v>5.5912802622886462</v>
      </c>
      <c r="AL317" s="23">
        <f t="shared" si="214"/>
        <v>5.3664603938999367</v>
      </c>
      <c r="AM317" s="23">
        <f t="shared" si="214"/>
        <v>5.1121824724333287</v>
      </c>
      <c r="AN317" s="23">
        <f t="shared" si="214"/>
        <v>4.9209989907388643</v>
      </c>
      <c r="AO317" s="23">
        <f t="shared" si="214"/>
        <v>4.8302875550842623</v>
      </c>
      <c r="AP317" s="23">
        <f t="shared" si="214"/>
        <v>4.7729902717523052</v>
      </c>
      <c r="AR317" s="23">
        <f t="shared" ref="AR317:AW317" si="215">AR236/AR253*100</f>
        <v>5.4864234655835027</v>
      </c>
      <c r="AS317" s="23">
        <f t="shared" si="215"/>
        <v>5.2563467896006308</v>
      </c>
      <c r="AT317" s="23">
        <f t="shared" si="215"/>
        <v>4.9975601555503051</v>
      </c>
      <c r="AU317" s="23">
        <f t="shared" si="215"/>
        <v>4.8041266150660951</v>
      </c>
      <c r="AV317" s="23">
        <f t="shared" si="215"/>
        <v>4.7075782022772605</v>
      </c>
      <c r="AW317" s="23">
        <f t="shared" si="215"/>
        <v>4.6469255157690599</v>
      </c>
    </row>
    <row r="318" spans="1:49" x14ac:dyDescent="0.25">
      <c r="A318" s="34" t="s">
        <v>120</v>
      </c>
    </row>
    <row r="319" spans="1:49" x14ac:dyDescent="0.25">
      <c r="A319" s="34" t="s">
        <v>112</v>
      </c>
      <c r="B319" s="21">
        <f>(SUMPRODUCT(B$9:B$229,Nutrients!$EK$8:$EK$228)+(IF($A$7=Nutrients!$B$8,Nutrients!$EK$8,Nutrients!$EK$9)*B$7)+(((IF($A$8=Nutrients!$B$79,Nutrients!$EK$79,(IF($A$8=Nutrients!$B$77,Nutrients!$EK$77,Nutrients!$EK$78)))))*B$8))/2000*1000000</f>
        <v>110.11950000000002</v>
      </c>
      <c r="C319" s="21">
        <f>(SUMPRODUCT(C$9:C$229,Nutrients!$EK$8:$EK$228)+(IF($A$7=Nutrients!$B$8,Nutrients!$EK$8,Nutrients!$EK$9)*C$7)+(((IF($A$8=Nutrients!$B$79,Nutrients!$EK$79,(IF($A$8=Nutrients!$B$77,Nutrients!$EK$77,Nutrients!$EK$78)))))*C$8))/2000*1000000</f>
        <v>110.11950000000002</v>
      </c>
      <c r="D319" s="21">
        <f>(SUMPRODUCT(D$9:D$229,Nutrients!$EK$8:$EK$228)+(IF($A$7=Nutrients!$B$8,Nutrients!$EK$8,Nutrients!$EK$9)*D$7)+(((IF($A$8=Nutrients!$B$79,Nutrients!$EK$79,(IF($A$8=Nutrients!$B$77,Nutrients!$EK$77,Nutrients!$EK$78)))))*D$8))/2000*1000000</f>
        <v>91.766249999999999</v>
      </c>
      <c r="E319" s="21">
        <f>(SUMPRODUCT(E$9:E$229,Nutrients!$EK$8:$EK$228)+(IF($A$7=Nutrients!$B$8,Nutrients!$EK$8,Nutrients!$EK$9)*E$7)+(((IF($A$8=Nutrients!$B$79,Nutrients!$EK$79,(IF($A$8=Nutrients!$B$77,Nutrients!$EK$77,Nutrients!$EK$78)))))*E$8))/2000*1000000</f>
        <v>73.413000000000011</v>
      </c>
      <c r="F319" s="21">
        <f>(SUMPRODUCT(F$9:F$229,Nutrients!$EK$8:$EK$228)+(IF($A$7=Nutrients!$B$8,Nutrients!$EK$8,Nutrients!$EK$9)*F$7)+(((IF($A$8=Nutrients!$B$79,Nutrients!$EK$79,(IF($A$8=Nutrients!$B$77,Nutrients!$EK$77,Nutrients!$EK$78)))))*F$8))/2000*1000000</f>
        <v>55.059750000000008</v>
      </c>
      <c r="G319" s="21">
        <f>(SUMPRODUCT(G$9:G$229,Nutrients!$EK$8:$EK$228)+(IF($A$7=Nutrients!$B$8,Nutrients!$EK$8,Nutrients!$EK$9)*G$7)+(((IF($A$8=Nutrients!$B$79,Nutrients!$EK$79,(IF($A$8=Nutrients!$B$77,Nutrients!$EK$77,Nutrients!$EK$78)))))*G$8))/2000*1000000</f>
        <v>55.059750000000008</v>
      </c>
      <c r="H319" s="226"/>
      <c r="I319" s="21">
        <f>(SUMPRODUCT(I$9:I$229,Nutrients!$EK$8:$EK$228)+(IF($A$7=Nutrients!$B$8,Nutrients!$EK$8,Nutrients!$EK$9)*I$7)+(((IF($A$8=Nutrients!$B$79,Nutrients!$EK$79,(IF($A$8=Nutrients!$B$77,Nutrients!$EK$77,Nutrients!$EK$78)))))*I$8))/2000*1000000</f>
        <v>110.11950000000002</v>
      </c>
      <c r="J319" s="21">
        <f>(SUMPRODUCT(J$9:J$229,Nutrients!$EK$8:$EK$228)+(IF($A$7=Nutrients!$B$8,Nutrients!$EK$8,Nutrients!$EK$9)*J$7)+(((IF($A$8=Nutrients!$B$79,Nutrients!$EK$79,(IF($A$8=Nutrients!$B$77,Nutrients!$EK$77,Nutrients!$EK$78)))))*J$8))/2000*1000000</f>
        <v>110.11950000000002</v>
      </c>
      <c r="K319" s="21">
        <f>(SUMPRODUCT(K$9:K$229,Nutrients!$EK$8:$EK$228)+(IF($A$7=Nutrients!$B$8,Nutrients!$EK$8,Nutrients!$EK$9)*K$7)+(((IF($A$8=Nutrients!$B$79,Nutrients!$EK$79,(IF($A$8=Nutrients!$B$77,Nutrients!$EK$77,Nutrients!$EK$78)))))*K$8))/2000*1000000</f>
        <v>91.766249999999999</v>
      </c>
      <c r="L319" s="21">
        <f>(SUMPRODUCT(L$9:L$229,Nutrients!$EK$8:$EK$228)+(IF($A$7=Nutrients!$B$8,Nutrients!$EK$8,Nutrients!$EK$9)*L$7)+(((IF($A$8=Nutrients!$B$79,Nutrients!$EK$79,(IF($A$8=Nutrients!$B$77,Nutrients!$EK$77,Nutrients!$EK$78)))))*L$8))/2000*1000000</f>
        <v>73.413000000000011</v>
      </c>
      <c r="M319" s="21">
        <f>(SUMPRODUCT(M$9:M$229,Nutrients!$EK$8:$EK$228)+(IF($A$7=Nutrients!$B$8,Nutrients!$EK$8,Nutrients!$EK$9)*M$7)+(((IF($A$8=Nutrients!$B$79,Nutrients!$EK$79,(IF($A$8=Nutrients!$B$77,Nutrients!$EK$77,Nutrients!$EK$78)))))*M$8))/2000*1000000</f>
        <v>55.059750000000008</v>
      </c>
      <c r="N319" s="21">
        <f>(SUMPRODUCT(N$9:N$229,Nutrients!$EK$8:$EK$228)+(IF($A$7=Nutrients!$B$8,Nutrients!$EK$8,Nutrients!$EK$9)*N$7)+(((IF($A$8=Nutrients!$B$79,Nutrients!$EK$79,(IF($A$8=Nutrients!$B$77,Nutrients!$EK$77,Nutrients!$EK$78)))))*N$8))/2000*1000000</f>
        <v>55.059750000000008</v>
      </c>
      <c r="O319" s="234"/>
      <c r="P319" s="21">
        <f>(SUMPRODUCT(P$9:P$229,Nutrients!$EK$8:$EK$228)+(IF($A$7=Nutrients!$B$8,Nutrients!$EK$8,Nutrients!$EK$9)*P$7)+(((IF($A$8=Nutrients!$B$79,Nutrients!$EK$79,(IF($A$8=Nutrients!$B$77,Nutrients!$EK$77,Nutrients!$EK$78)))))*P$8))/2000*1000000</f>
        <v>110.11950000000002</v>
      </c>
      <c r="Q319" s="21">
        <f>(SUMPRODUCT(Q$9:Q$229,Nutrients!$EK$8:$EK$228)+(IF($A$7=Nutrients!$B$8,Nutrients!$EK$8,Nutrients!$EK$9)*Q$7)+(((IF($A$8=Nutrients!$B$79,Nutrients!$EK$79,(IF($A$8=Nutrients!$B$77,Nutrients!$EK$77,Nutrients!$EK$78)))))*Q$8))/2000*1000000</f>
        <v>110.11950000000002</v>
      </c>
      <c r="R319" s="21">
        <f>(SUMPRODUCT(R$9:R$229,Nutrients!$EK$8:$EK$228)+(IF($A$7=Nutrients!$B$8,Nutrients!$EK$8,Nutrients!$EK$9)*R$7)+(((IF($A$8=Nutrients!$B$79,Nutrients!$EK$79,(IF($A$8=Nutrients!$B$77,Nutrients!$EK$77,Nutrients!$EK$78)))))*R$8))/2000*1000000</f>
        <v>91.766249999999999</v>
      </c>
      <c r="S319" s="21">
        <f>(SUMPRODUCT(S$9:S$229,Nutrients!$EK$8:$EK$228)+(IF($A$7=Nutrients!$B$8,Nutrients!$EK$8,Nutrients!$EK$9)*S$7)+(((IF($A$8=Nutrients!$B$79,Nutrients!$EK$79,(IF($A$8=Nutrients!$B$77,Nutrients!$EK$77,Nutrients!$EK$78)))))*S$8))/2000*1000000</f>
        <v>73.413000000000011</v>
      </c>
      <c r="T319" s="21">
        <f>(SUMPRODUCT(T$9:T$229,Nutrients!$EK$8:$EK$228)+(IF($A$7=Nutrients!$B$8,Nutrients!$EK$8,Nutrients!$EK$9)*T$7)+(((IF($A$8=Nutrients!$B$79,Nutrients!$EK$79,(IF($A$8=Nutrients!$B$77,Nutrients!$EK$77,Nutrients!$EK$78)))))*T$8))/2000*1000000</f>
        <v>55.059750000000008</v>
      </c>
      <c r="U319" s="21">
        <f>(SUMPRODUCT(U$9:U$229,Nutrients!$EK$8:$EK$228)+(IF($A$7=Nutrients!$B$8,Nutrients!$EK$8,Nutrients!$EK$9)*U$7)+(((IF($A$8=Nutrients!$B$79,Nutrients!$EK$79,(IF($A$8=Nutrients!$B$77,Nutrients!$EK$77,Nutrients!$EK$78)))))*U$8))/2000*1000000</f>
        <v>55.059750000000008</v>
      </c>
      <c r="W319" s="21">
        <f>(SUMPRODUCT(W$9:W$229,Nutrients!$EK$8:$EK$228)+(IF($A$7=Nutrients!$B$8,Nutrients!$EK$8,Nutrients!$EK$9)*W$7)+(((IF($A$8=Nutrients!$B$79,Nutrients!$EK$79,(IF($A$8=Nutrients!$B$77,Nutrients!$EK$77,Nutrients!$EK$78)))))*W$8))/2000*1000000</f>
        <v>110.11950000000002</v>
      </c>
      <c r="X319" s="21">
        <f>(SUMPRODUCT(X$9:X$229,Nutrients!$EK$8:$EK$228)+(IF($A$7=Nutrients!$B$8,Nutrients!$EK$8,Nutrients!$EK$9)*X$7)+(((IF($A$8=Nutrients!$B$79,Nutrients!$EK$79,(IF($A$8=Nutrients!$B$77,Nutrients!$EK$77,Nutrients!$EK$78)))))*X$8))/2000*1000000</f>
        <v>110.11950000000002</v>
      </c>
      <c r="Y319" s="21">
        <f>(SUMPRODUCT(Y$9:Y$229,Nutrients!$EK$8:$EK$228)+(IF($A$7=Nutrients!$B$8,Nutrients!$EK$8,Nutrients!$EK$9)*Y$7)+(((IF($A$8=Nutrients!$B$79,Nutrients!$EK$79,(IF($A$8=Nutrients!$B$77,Nutrients!$EK$77,Nutrients!$EK$78)))))*Y$8))/2000*1000000</f>
        <v>91.766249999999999</v>
      </c>
      <c r="Z319" s="21">
        <f>(SUMPRODUCT(Z$9:Z$229,Nutrients!$EK$8:$EK$228)+(IF($A$7=Nutrients!$B$8,Nutrients!$EK$8,Nutrients!$EK$9)*Z$7)+(((IF($A$8=Nutrients!$B$79,Nutrients!$EK$79,(IF($A$8=Nutrients!$B$77,Nutrients!$EK$77,Nutrients!$EK$78)))))*Z$8))/2000*1000000</f>
        <v>73.413000000000011</v>
      </c>
      <c r="AA319" s="21">
        <f>(SUMPRODUCT(AA$9:AA$229,Nutrients!$EK$8:$EK$228)+(IF($A$7=Nutrients!$B$8,Nutrients!$EK$8,Nutrients!$EK$9)*AA$7)+(((IF($A$8=Nutrients!$B$79,Nutrients!$EK$79,(IF($A$8=Nutrients!$B$77,Nutrients!$EK$77,Nutrients!$EK$78)))))*AA$8))/2000*1000000</f>
        <v>55.059750000000008</v>
      </c>
      <c r="AB319" s="21">
        <f>(SUMPRODUCT(AB$9:AB$229,Nutrients!$EK$8:$EK$228)+(IF($A$7=Nutrients!$B$8,Nutrients!$EK$8,Nutrients!$EK$9)*AB$7)+(((IF($A$8=Nutrients!$B$79,Nutrients!$EK$79,(IF($A$8=Nutrients!$B$77,Nutrients!$EK$77,Nutrients!$EK$78)))))*AB$8))/2000*1000000</f>
        <v>55.059750000000008</v>
      </c>
      <c r="AD319" s="21">
        <f>(SUMPRODUCT(AD$9:AD$229,Nutrients!$EK$8:$EK$228)+(IF($A$7=Nutrients!$B$8,Nutrients!$EK$8,Nutrients!$EK$9)*AD$7)+(((IF($A$8=Nutrients!$B$79,Nutrients!$EK$79,(IF($A$8=Nutrients!$B$77,Nutrients!$EK$77,Nutrients!$EK$78)))))*AD$8))/2000*1000000</f>
        <v>110.11950000000002</v>
      </c>
      <c r="AE319" s="21">
        <f>(SUMPRODUCT(AE$9:AE$229,Nutrients!$EK$8:$EK$228)+(IF($A$7=Nutrients!$B$8,Nutrients!$EK$8,Nutrients!$EK$9)*AE$7)+(((IF($A$8=Nutrients!$B$79,Nutrients!$EK$79,(IF($A$8=Nutrients!$B$77,Nutrients!$EK$77,Nutrients!$EK$78)))))*AE$8))/2000*1000000</f>
        <v>110.11950000000002</v>
      </c>
      <c r="AF319" s="21">
        <f>(SUMPRODUCT(AF$9:AF$229,Nutrients!$EK$8:$EK$228)+(IF($A$7=Nutrients!$B$8,Nutrients!$EK$8,Nutrients!$EK$9)*AF$7)+(((IF($A$8=Nutrients!$B$79,Nutrients!$EK$79,(IF($A$8=Nutrients!$B$77,Nutrients!$EK$77,Nutrients!$EK$78)))))*AF$8))/2000*1000000</f>
        <v>91.766249999999999</v>
      </c>
      <c r="AG319" s="21">
        <f>(SUMPRODUCT(AG$9:AG$229,Nutrients!$EK$8:$EK$228)+(IF($A$7=Nutrients!$B$8,Nutrients!$EK$8,Nutrients!$EK$9)*AG$7)+(((IF($A$8=Nutrients!$B$79,Nutrients!$EK$79,(IF($A$8=Nutrients!$B$77,Nutrients!$EK$77,Nutrients!$EK$78)))))*AG$8))/2000*1000000</f>
        <v>73.413000000000011</v>
      </c>
      <c r="AH319" s="21">
        <f>(SUMPRODUCT(AH$9:AH$229,Nutrients!$EK$8:$EK$228)+(IF($A$7=Nutrients!$B$8,Nutrients!$EK$8,Nutrients!$EK$9)*AH$7)+(((IF($A$8=Nutrients!$B$79,Nutrients!$EK$79,(IF($A$8=Nutrients!$B$77,Nutrients!$EK$77,Nutrients!$EK$78)))))*AH$8))/2000*1000000</f>
        <v>55.059750000000008</v>
      </c>
      <c r="AI319" s="21">
        <f>(SUMPRODUCT(AI$9:AI$229,Nutrients!$EK$8:$EK$228)+(IF($A$7=Nutrients!$B$8,Nutrients!$EK$8,Nutrients!$EK$9)*AI$7)+(((IF($A$8=Nutrients!$B$79,Nutrients!$EK$79,(IF($A$8=Nutrients!$B$77,Nutrients!$EK$77,Nutrients!$EK$78)))))*AI$8))/2000*1000000</f>
        <v>55.059750000000008</v>
      </c>
      <c r="AK319" s="21">
        <f>(SUMPRODUCT(AK$9:AK$229,Nutrients!$EK$8:$EK$228)+(IF($A$7=Nutrients!$B$8,Nutrients!$EK$8,Nutrients!$EK$9)*AK$7)+(((IF($A$8=Nutrients!$B$79,Nutrients!$EK$79,(IF($A$8=Nutrients!$B$77,Nutrients!$EK$77,Nutrients!$EK$78)))))*AK$8))/2000*1000000</f>
        <v>110.11950000000002</v>
      </c>
      <c r="AL319" s="21">
        <f>(SUMPRODUCT(AL$9:AL$229,Nutrients!$EK$8:$EK$228)+(IF($A$7=Nutrients!$B$8,Nutrients!$EK$8,Nutrients!$EK$9)*AL$7)+(((IF($A$8=Nutrients!$B$79,Nutrients!$EK$79,(IF($A$8=Nutrients!$B$77,Nutrients!$EK$77,Nutrients!$EK$78)))))*AL$8))/2000*1000000</f>
        <v>110.11950000000002</v>
      </c>
      <c r="AM319" s="21">
        <f>(SUMPRODUCT(AM$9:AM$229,Nutrients!$EK$8:$EK$228)+(IF($A$7=Nutrients!$B$8,Nutrients!$EK$8,Nutrients!$EK$9)*AM$7)+(((IF($A$8=Nutrients!$B$79,Nutrients!$EK$79,(IF($A$8=Nutrients!$B$77,Nutrients!$EK$77,Nutrients!$EK$78)))))*AM$8))/2000*1000000</f>
        <v>91.766249999999999</v>
      </c>
      <c r="AN319" s="21">
        <f>(SUMPRODUCT(AN$9:AN$229,Nutrients!$EK$8:$EK$228)+(IF($A$7=Nutrients!$B$8,Nutrients!$EK$8,Nutrients!$EK$9)*AN$7)+(((IF($A$8=Nutrients!$B$79,Nutrients!$EK$79,(IF($A$8=Nutrients!$B$77,Nutrients!$EK$77,Nutrients!$EK$78)))))*AN$8))/2000*1000000</f>
        <v>73.413000000000011</v>
      </c>
      <c r="AO319" s="21">
        <f>(SUMPRODUCT(AO$9:AO$229,Nutrients!$EK$8:$EK$228)+(IF($A$7=Nutrients!$B$8,Nutrients!$EK$8,Nutrients!$EK$9)*AO$7)+(((IF($A$8=Nutrients!$B$79,Nutrients!$EK$79,(IF($A$8=Nutrients!$B$77,Nutrients!$EK$77,Nutrients!$EK$78)))))*AO$8))/2000*1000000</f>
        <v>55.059750000000008</v>
      </c>
      <c r="AP319" s="21">
        <f>(SUMPRODUCT(AP$9:AP$229,Nutrients!$EK$8:$EK$228)+(IF($A$7=Nutrients!$B$8,Nutrients!$EK$8,Nutrients!$EK$9)*AP$7)+(((IF($A$8=Nutrients!$B$79,Nutrients!$EK$79,(IF($A$8=Nutrients!$B$77,Nutrients!$EK$77,Nutrients!$EK$78)))))*AP$8))/2000*1000000</f>
        <v>55.059750000000008</v>
      </c>
      <c r="AR319" s="21">
        <f>(SUMPRODUCT(AR$9:AR$229,Nutrients!$EK$8:$EK$228)+(IF($A$7=Nutrients!$B$8,Nutrients!$EK$8,Nutrients!$EK$9)*AR$7)+(((IF($A$8=Nutrients!$B$79,Nutrients!$EK$79,(IF($A$8=Nutrients!$B$77,Nutrients!$EK$77,Nutrients!$EK$78)))))*AR$8))/2000*1000000</f>
        <v>110.11950000000002</v>
      </c>
      <c r="AS319" s="21">
        <f>(SUMPRODUCT(AS$9:AS$229,Nutrients!$EK$8:$EK$228)+(IF($A$7=Nutrients!$B$8,Nutrients!$EK$8,Nutrients!$EK$9)*AS$7)+(((IF($A$8=Nutrients!$B$79,Nutrients!$EK$79,(IF($A$8=Nutrients!$B$77,Nutrients!$EK$77,Nutrients!$EK$78)))))*AS$8))/2000*1000000</f>
        <v>110.11950000000002</v>
      </c>
      <c r="AT319" s="21">
        <f>(SUMPRODUCT(AT$9:AT$229,Nutrients!$EK$8:$EK$228)+(IF($A$7=Nutrients!$B$8,Nutrients!$EK$8,Nutrients!$EK$9)*AT$7)+(((IF($A$8=Nutrients!$B$79,Nutrients!$EK$79,(IF($A$8=Nutrients!$B$77,Nutrients!$EK$77,Nutrients!$EK$78)))))*AT$8))/2000*1000000</f>
        <v>91.766249999999999</v>
      </c>
      <c r="AU319" s="21">
        <f>(SUMPRODUCT(AU$9:AU$229,Nutrients!$EK$8:$EK$228)+(IF($A$7=Nutrients!$B$8,Nutrients!$EK$8,Nutrients!$EK$9)*AU$7)+(((IF($A$8=Nutrients!$B$79,Nutrients!$EK$79,(IF($A$8=Nutrients!$B$77,Nutrients!$EK$77,Nutrients!$EK$78)))))*AU$8))/2000*1000000</f>
        <v>73.413000000000011</v>
      </c>
      <c r="AV319" s="21">
        <f>(SUMPRODUCT(AV$9:AV$229,Nutrients!$EK$8:$EK$228)+(IF($A$7=Nutrients!$B$8,Nutrients!$EK$8,Nutrients!$EK$9)*AV$7)+(((IF($A$8=Nutrients!$B$79,Nutrients!$EK$79,(IF($A$8=Nutrients!$B$77,Nutrients!$EK$77,Nutrients!$EK$78)))))*AV$8))/2000*1000000</f>
        <v>55.059750000000008</v>
      </c>
      <c r="AW319" s="21">
        <f>(SUMPRODUCT(AW$9:AW$229,Nutrients!$EK$8:$EK$228)+(IF($A$7=Nutrients!$B$8,Nutrients!$EK$8,Nutrients!$EK$9)*AW$7)+(((IF($A$8=Nutrients!$B$79,Nutrients!$EK$79,(IF($A$8=Nutrients!$B$77,Nutrients!$EK$77,Nutrients!$EK$78)))))*AW$8))/2000*1000000</f>
        <v>55.059750000000008</v>
      </c>
    </row>
    <row r="320" spans="1:49" x14ac:dyDescent="0.25">
      <c r="A320" s="34" t="s">
        <v>113</v>
      </c>
      <c r="B320" s="21">
        <f>(SUMPRODUCT(B$9:B$229,Nutrients!$EL$8:$EL$228)+(IF($A$7=Nutrients!$B$8,Nutrients!$EL$8,Nutrients!$EL$9)*B$7)+(((IF($A$8=Nutrients!$B$79,Nutrients!$EL$79,(IF($A$8=Nutrients!$B$77,Nutrients!$EL$77,Nutrients!$EL$78)))))*B$8))/2000*1000000</f>
        <v>110.11950000000002</v>
      </c>
      <c r="C320" s="21">
        <f>(SUMPRODUCT(C$9:C$229,Nutrients!$EL$8:$EL$228)+(IF($A$7=Nutrients!$B$8,Nutrients!$EL$8,Nutrients!$EL$9)*C$7)+(((IF($A$8=Nutrients!$B$79,Nutrients!$EL$79,(IF($A$8=Nutrients!$B$77,Nutrients!$EL$77,Nutrients!$EL$78)))))*C$8))/2000*1000000</f>
        <v>110.11950000000002</v>
      </c>
      <c r="D320" s="21">
        <f>(SUMPRODUCT(D$9:D$229,Nutrients!$EL$8:$EL$228)+(IF($A$7=Nutrients!$B$8,Nutrients!$EL$8,Nutrients!$EL$9)*D$7)+(((IF($A$8=Nutrients!$B$79,Nutrients!$EL$79,(IF($A$8=Nutrients!$B$77,Nutrients!$EL$77,Nutrients!$EL$78)))))*D$8))/2000*1000000</f>
        <v>91.766249999999999</v>
      </c>
      <c r="E320" s="21">
        <f>(SUMPRODUCT(E$9:E$229,Nutrients!$EL$8:$EL$228)+(IF($A$7=Nutrients!$B$8,Nutrients!$EL$8,Nutrients!$EL$9)*E$7)+(((IF($A$8=Nutrients!$B$79,Nutrients!$EL$79,(IF($A$8=Nutrients!$B$77,Nutrients!$EL$77,Nutrients!$EL$78)))))*E$8))/2000*1000000</f>
        <v>73.413000000000011</v>
      </c>
      <c r="F320" s="21">
        <f>(SUMPRODUCT(F$9:F$229,Nutrients!$EL$8:$EL$228)+(IF($A$7=Nutrients!$B$8,Nutrients!$EL$8,Nutrients!$EL$9)*F$7)+(((IF($A$8=Nutrients!$B$79,Nutrients!$EL$79,(IF($A$8=Nutrients!$B$77,Nutrients!$EL$77,Nutrients!$EL$78)))))*F$8))/2000*1000000</f>
        <v>55.059750000000008</v>
      </c>
      <c r="G320" s="21">
        <f>(SUMPRODUCT(G$9:G$229,Nutrients!$EL$8:$EL$228)+(IF($A$7=Nutrients!$B$8,Nutrients!$EL$8,Nutrients!$EL$9)*G$7)+(((IF($A$8=Nutrients!$B$79,Nutrients!$EL$79,(IF($A$8=Nutrients!$B$77,Nutrients!$EL$77,Nutrients!$EL$78)))))*G$8))/2000*1000000</f>
        <v>55.059750000000008</v>
      </c>
      <c r="H320" s="226"/>
      <c r="I320" s="21">
        <f>(SUMPRODUCT(I$9:I$229,Nutrients!$EL$8:$EL$228)+(IF($A$7=Nutrients!$B$8,Nutrients!$EL$8,Nutrients!$EL$9)*I$7)+(((IF($A$8=Nutrients!$B$79,Nutrients!$EL$79,(IF($A$8=Nutrients!$B$77,Nutrients!$EL$77,Nutrients!$EL$78)))))*I$8))/2000*1000000</f>
        <v>110.11950000000002</v>
      </c>
      <c r="J320" s="21">
        <f>(SUMPRODUCT(J$9:J$229,Nutrients!$EL$8:$EL$228)+(IF($A$7=Nutrients!$B$8,Nutrients!$EL$8,Nutrients!$EL$9)*J$7)+(((IF($A$8=Nutrients!$B$79,Nutrients!$EL$79,(IF($A$8=Nutrients!$B$77,Nutrients!$EL$77,Nutrients!$EL$78)))))*J$8))/2000*1000000</f>
        <v>110.11950000000002</v>
      </c>
      <c r="K320" s="21">
        <f>(SUMPRODUCT(K$9:K$229,Nutrients!$EL$8:$EL$228)+(IF($A$7=Nutrients!$B$8,Nutrients!$EL$8,Nutrients!$EL$9)*K$7)+(((IF($A$8=Nutrients!$B$79,Nutrients!$EL$79,(IF($A$8=Nutrients!$B$77,Nutrients!$EL$77,Nutrients!$EL$78)))))*K$8))/2000*1000000</f>
        <v>91.766249999999999</v>
      </c>
      <c r="L320" s="21">
        <f>(SUMPRODUCT(L$9:L$229,Nutrients!$EL$8:$EL$228)+(IF($A$7=Nutrients!$B$8,Nutrients!$EL$8,Nutrients!$EL$9)*L$7)+(((IF($A$8=Nutrients!$B$79,Nutrients!$EL$79,(IF($A$8=Nutrients!$B$77,Nutrients!$EL$77,Nutrients!$EL$78)))))*L$8))/2000*1000000</f>
        <v>73.413000000000011</v>
      </c>
      <c r="M320" s="21">
        <f>(SUMPRODUCT(M$9:M$229,Nutrients!$EL$8:$EL$228)+(IF($A$7=Nutrients!$B$8,Nutrients!$EL$8,Nutrients!$EL$9)*M$7)+(((IF($A$8=Nutrients!$B$79,Nutrients!$EL$79,(IF($A$8=Nutrients!$B$77,Nutrients!$EL$77,Nutrients!$EL$78)))))*M$8))/2000*1000000</f>
        <v>55.059750000000008</v>
      </c>
      <c r="N320" s="21">
        <f>(SUMPRODUCT(N$9:N$229,Nutrients!$EL$8:$EL$228)+(IF($A$7=Nutrients!$B$8,Nutrients!$EL$8,Nutrients!$EL$9)*N$7)+(((IF($A$8=Nutrients!$B$79,Nutrients!$EL$79,(IF($A$8=Nutrients!$B$77,Nutrients!$EL$77,Nutrients!$EL$78)))))*N$8))/2000*1000000</f>
        <v>55.059750000000008</v>
      </c>
      <c r="O320" s="234"/>
      <c r="P320" s="21">
        <f>(SUMPRODUCT(P$9:P$229,Nutrients!$EL$8:$EL$228)+(IF($A$7=Nutrients!$B$8,Nutrients!$EL$8,Nutrients!$EL$9)*P$7)+(((IF($A$8=Nutrients!$B$79,Nutrients!$EL$79,(IF($A$8=Nutrients!$B$77,Nutrients!$EL$77,Nutrients!$EL$78)))))*P$8))/2000*1000000</f>
        <v>110.11950000000002</v>
      </c>
      <c r="Q320" s="21">
        <f>(SUMPRODUCT(Q$9:Q$229,Nutrients!$EL$8:$EL$228)+(IF($A$7=Nutrients!$B$8,Nutrients!$EL$8,Nutrients!$EL$9)*Q$7)+(((IF($A$8=Nutrients!$B$79,Nutrients!$EL$79,(IF($A$8=Nutrients!$B$77,Nutrients!$EL$77,Nutrients!$EL$78)))))*Q$8))/2000*1000000</f>
        <v>110.11950000000002</v>
      </c>
      <c r="R320" s="21">
        <f>(SUMPRODUCT(R$9:R$229,Nutrients!$EL$8:$EL$228)+(IF($A$7=Nutrients!$B$8,Nutrients!$EL$8,Nutrients!$EL$9)*R$7)+(((IF($A$8=Nutrients!$B$79,Nutrients!$EL$79,(IF($A$8=Nutrients!$B$77,Nutrients!$EL$77,Nutrients!$EL$78)))))*R$8))/2000*1000000</f>
        <v>91.766249999999999</v>
      </c>
      <c r="S320" s="21">
        <f>(SUMPRODUCT(S$9:S$229,Nutrients!$EL$8:$EL$228)+(IF($A$7=Nutrients!$B$8,Nutrients!$EL$8,Nutrients!$EL$9)*S$7)+(((IF($A$8=Nutrients!$B$79,Nutrients!$EL$79,(IF($A$8=Nutrients!$B$77,Nutrients!$EL$77,Nutrients!$EL$78)))))*S$8))/2000*1000000</f>
        <v>73.413000000000011</v>
      </c>
      <c r="T320" s="21">
        <f>(SUMPRODUCT(T$9:T$229,Nutrients!$EL$8:$EL$228)+(IF($A$7=Nutrients!$B$8,Nutrients!$EL$8,Nutrients!$EL$9)*T$7)+(((IF($A$8=Nutrients!$B$79,Nutrients!$EL$79,(IF($A$8=Nutrients!$B$77,Nutrients!$EL$77,Nutrients!$EL$78)))))*T$8))/2000*1000000</f>
        <v>55.059750000000008</v>
      </c>
      <c r="U320" s="21">
        <f>(SUMPRODUCT(U$9:U$229,Nutrients!$EL$8:$EL$228)+(IF($A$7=Nutrients!$B$8,Nutrients!$EL$8,Nutrients!$EL$9)*U$7)+(((IF($A$8=Nutrients!$B$79,Nutrients!$EL$79,(IF($A$8=Nutrients!$B$77,Nutrients!$EL$77,Nutrients!$EL$78)))))*U$8))/2000*1000000</f>
        <v>55.059750000000008</v>
      </c>
      <c r="W320" s="21">
        <f>(SUMPRODUCT(W$9:W$229,Nutrients!$EL$8:$EL$228)+(IF($A$7=Nutrients!$B$8,Nutrients!$EL$8,Nutrients!$EL$9)*W$7)+(((IF($A$8=Nutrients!$B$79,Nutrients!$EL$79,(IF($A$8=Nutrients!$B$77,Nutrients!$EL$77,Nutrients!$EL$78)))))*W$8))/2000*1000000</f>
        <v>110.11950000000002</v>
      </c>
      <c r="X320" s="21">
        <f>(SUMPRODUCT(X$9:X$229,Nutrients!$EL$8:$EL$228)+(IF($A$7=Nutrients!$B$8,Nutrients!$EL$8,Nutrients!$EL$9)*X$7)+(((IF($A$8=Nutrients!$B$79,Nutrients!$EL$79,(IF($A$8=Nutrients!$B$77,Nutrients!$EL$77,Nutrients!$EL$78)))))*X$8))/2000*1000000</f>
        <v>110.11950000000002</v>
      </c>
      <c r="Y320" s="21">
        <f>(SUMPRODUCT(Y$9:Y$229,Nutrients!$EL$8:$EL$228)+(IF($A$7=Nutrients!$B$8,Nutrients!$EL$8,Nutrients!$EL$9)*Y$7)+(((IF($A$8=Nutrients!$B$79,Nutrients!$EL$79,(IF($A$8=Nutrients!$B$77,Nutrients!$EL$77,Nutrients!$EL$78)))))*Y$8))/2000*1000000</f>
        <v>91.766249999999999</v>
      </c>
      <c r="Z320" s="21">
        <f>(SUMPRODUCT(Z$9:Z$229,Nutrients!$EL$8:$EL$228)+(IF($A$7=Nutrients!$B$8,Nutrients!$EL$8,Nutrients!$EL$9)*Z$7)+(((IF($A$8=Nutrients!$B$79,Nutrients!$EL$79,(IF($A$8=Nutrients!$B$77,Nutrients!$EL$77,Nutrients!$EL$78)))))*Z$8))/2000*1000000</f>
        <v>73.413000000000011</v>
      </c>
      <c r="AA320" s="21">
        <f>(SUMPRODUCT(AA$9:AA$229,Nutrients!$EL$8:$EL$228)+(IF($A$7=Nutrients!$B$8,Nutrients!$EL$8,Nutrients!$EL$9)*AA$7)+(((IF($A$8=Nutrients!$B$79,Nutrients!$EL$79,(IF($A$8=Nutrients!$B$77,Nutrients!$EL$77,Nutrients!$EL$78)))))*AA$8))/2000*1000000</f>
        <v>55.059750000000008</v>
      </c>
      <c r="AB320" s="21">
        <f>(SUMPRODUCT(AB$9:AB$229,Nutrients!$EL$8:$EL$228)+(IF($A$7=Nutrients!$B$8,Nutrients!$EL$8,Nutrients!$EL$9)*AB$7)+(((IF($A$8=Nutrients!$B$79,Nutrients!$EL$79,(IF($A$8=Nutrients!$B$77,Nutrients!$EL$77,Nutrients!$EL$78)))))*AB$8))/2000*1000000</f>
        <v>55.059750000000008</v>
      </c>
      <c r="AD320" s="21">
        <f>(SUMPRODUCT(AD$9:AD$229,Nutrients!$EL$8:$EL$228)+(IF($A$7=Nutrients!$B$8,Nutrients!$EL$8,Nutrients!$EL$9)*AD$7)+(((IF($A$8=Nutrients!$B$79,Nutrients!$EL$79,(IF($A$8=Nutrients!$B$77,Nutrients!$EL$77,Nutrients!$EL$78)))))*AD$8))/2000*1000000</f>
        <v>110.11950000000002</v>
      </c>
      <c r="AE320" s="21">
        <f>(SUMPRODUCT(AE$9:AE$229,Nutrients!$EL$8:$EL$228)+(IF($A$7=Nutrients!$B$8,Nutrients!$EL$8,Nutrients!$EL$9)*AE$7)+(((IF($A$8=Nutrients!$B$79,Nutrients!$EL$79,(IF($A$8=Nutrients!$B$77,Nutrients!$EL$77,Nutrients!$EL$78)))))*AE$8))/2000*1000000</f>
        <v>110.11950000000002</v>
      </c>
      <c r="AF320" s="21">
        <f>(SUMPRODUCT(AF$9:AF$229,Nutrients!$EL$8:$EL$228)+(IF($A$7=Nutrients!$B$8,Nutrients!$EL$8,Nutrients!$EL$9)*AF$7)+(((IF($A$8=Nutrients!$B$79,Nutrients!$EL$79,(IF($A$8=Nutrients!$B$77,Nutrients!$EL$77,Nutrients!$EL$78)))))*AF$8))/2000*1000000</f>
        <v>91.766249999999999</v>
      </c>
      <c r="AG320" s="21">
        <f>(SUMPRODUCT(AG$9:AG$229,Nutrients!$EL$8:$EL$228)+(IF($A$7=Nutrients!$B$8,Nutrients!$EL$8,Nutrients!$EL$9)*AG$7)+(((IF($A$8=Nutrients!$B$79,Nutrients!$EL$79,(IF($A$8=Nutrients!$B$77,Nutrients!$EL$77,Nutrients!$EL$78)))))*AG$8))/2000*1000000</f>
        <v>73.413000000000011</v>
      </c>
      <c r="AH320" s="21">
        <f>(SUMPRODUCT(AH$9:AH$229,Nutrients!$EL$8:$EL$228)+(IF($A$7=Nutrients!$B$8,Nutrients!$EL$8,Nutrients!$EL$9)*AH$7)+(((IF($A$8=Nutrients!$B$79,Nutrients!$EL$79,(IF($A$8=Nutrients!$B$77,Nutrients!$EL$77,Nutrients!$EL$78)))))*AH$8))/2000*1000000</f>
        <v>55.059750000000008</v>
      </c>
      <c r="AI320" s="21">
        <f>(SUMPRODUCT(AI$9:AI$229,Nutrients!$EL$8:$EL$228)+(IF($A$7=Nutrients!$B$8,Nutrients!$EL$8,Nutrients!$EL$9)*AI$7)+(((IF($A$8=Nutrients!$B$79,Nutrients!$EL$79,(IF($A$8=Nutrients!$B$77,Nutrients!$EL$77,Nutrients!$EL$78)))))*AI$8))/2000*1000000</f>
        <v>55.059750000000008</v>
      </c>
      <c r="AK320" s="21">
        <f>(SUMPRODUCT(AK$9:AK$229,Nutrients!$EL$8:$EL$228)+(IF($A$7=Nutrients!$B$8,Nutrients!$EL$8,Nutrients!$EL$9)*AK$7)+(((IF($A$8=Nutrients!$B$79,Nutrients!$EL$79,(IF($A$8=Nutrients!$B$77,Nutrients!$EL$77,Nutrients!$EL$78)))))*AK$8))/2000*1000000</f>
        <v>110.11950000000002</v>
      </c>
      <c r="AL320" s="21">
        <f>(SUMPRODUCT(AL$9:AL$229,Nutrients!$EL$8:$EL$228)+(IF($A$7=Nutrients!$B$8,Nutrients!$EL$8,Nutrients!$EL$9)*AL$7)+(((IF($A$8=Nutrients!$B$79,Nutrients!$EL$79,(IF($A$8=Nutrients!$B$77,Nutrients!$EL$77,Nutrients!$EL$78)))))*AL$8))/2000*1000000</f>
        <v>110.11950000000002</v>
      </c>
      <c r="AM320" s="21">
        <f>(SUMPRODUCT(AM$9:AM$229,Nutrients!$EL$8:$EL$228)+(IF($A$7=Nutrients!$B$8,Nutrients!$EL$8,Nutrients!$EL$9)*AM$7)+(((IF($A$8=Nutrients!$B$79,Nutrients!$EL$79,(IF($A$8=Nutrients!$B$77,Nutrients!$EL$77,Nutrients!$EL$78)))))*AM$8))/2000*1000000</f>
        <v>91.766249999999999</v>
      </c>
      <c r="AN320" s="21">
        <f>(SUMPRODUCT(AN$9:AN$229,Nutrients!$EL$8:$EL$228)+(IF($A$7=Nutrients!$B$8,Nutrients!$EL$8,Nutrients!$EL$9)*AN$7)+(((IF($A$8=Nutrients!$B$79,Nutrients!$EL$79,(IF($A$8=Nutrients!$B$77,Nutrients!$EL$77,Nutrients!$EL$78)))))*AN$8))/2000*1000000</f>
        <v>73.413000000000011</v>
      </c>
      <c r="AO320" s="21">
        <f>(SUMPRODUCT(AO$9:AO$229,Nutrients!$EL$8:$EL$228)+(IF($A$7=Nutrients!$B$8,Nutrients!$EL$8,Nutrients!$EL$9)*AO$7)+(((IF($A$8=Nutrients!$B$79,Nutrients!$EL$79,(IF($A$8=Nutrients!$B$77,Nutrients!$EL$77,Nutrients!$EL$78)))))*AO$8))/2000*1000000</f>
        <v>55.059750000000008</v>
      </c>
      <c r="AP320" s="21">
        <f>(SUMPRODUCT(AP$9:AP$229,Nutrients!$EL$8:$EL$228)+(IF($A$7=Nutrients!$B$8,Nutrients!$EL$8,Nutrients!$EL$9)*AP$7)+(((IF($A$8=Nutrients!$B$79,Nutrients!$EL$79,(IF($A$8=Nutrients!$B$77,Nutrients!$EL$77,Nutrients!$EL$78)))))*AP$8))/2000*1000000</f>
        <v>55.059750000000008</v>
      </c>
      <c r="AR320" s="21">
        <f>(SUMPRODUCT(AR$9:AR$229,Nutrients!$EL$8:$EL$228)+(IF($A$7=Nutrients!$B$8,Nutrients!$EL$8,Nutrients!$EL$9)*AR$7)+(((IF($A$8=Nutrients!$B$79,Nutrients!$EL$79,(IF($A$8=Nutrients!$B$77,Nutrients!$EL$77,Nutrients!$EL$78)))))*AR$8))/2000*1000000</f>
        <v>110.11950000000002</v>
      </c>
      <c r="AS320" s="21">
        <f>(SUMPRODUCT(AS$9:AS$229,Nutrients!$EL$8:$EL$228)+(IF($A$7=Nutrients!$B$8,Nutrients!$EL$8,Nutrients!$EL$9)*AS$7)+(((IF($A$8=Nutrients!$B$79,Nutrients!$EL$79,(IF($A$8=Nutrients!$B$77,Nutrients!$EL$77,Nutrients!$EL$78)))))*AS$8))/2000*1000000</f>
        <v>110.11950000000002</v>
      </c>
      <c r="AT320" s="21">
        <f>(SUMPRODUCT(AT$9:AT$229,Nutrients!$EL$8:$EL$228)+(IF($A$7=Nutrients!$B$8,Nutrients!$EL$8,Nutrients!$EL$9)*AT$7)+(((IF($A$8=Nutrients!$B$79,Nutrients!$EL$79,(IF($A$8=Nutrients!$B$77,Nutrients!$EL$77,Nutrients!$EL$78)))))*AT$8))/2000*1000000</f>
        <v>91.766249999999999</v>
      </c>
      <c r="AU320" s="21">
        <f>(SUMPRODUCT(AU$9:AU$229,Nutrients!$EL$8:$EL$228)+(IF($A$7=Nutrients!$B$8,Nutrients!$EL$8,Nutrients!$EL$9)*AU$7)+(((IF($A$8=Nutrients!$B$79,Nutrients!$EL$79,(IF($A$8=Nutrients!$B$77,Nutrients!$EL$77,Nutrients!$EL$78)))))*AU$8))/2000*1000000</f>
        <v>73.413000000000011</v>
      </c>
      <c r="AV320" s="21">
        <f>(SUMPRODUCT(AV$9:AV$229,Nutrients!$EL$8:$EL$228)+(IF($A$7=Nutrients!$B$8,Nutrients!$EL$8,Nutrients!$EL$9)*AV$7)+(((IF($A$8=Nutrients!$B$79,Nutrients!$EL$79,(IF($A$8=Nutrients!$B$77,Nutrients!$EL$77,Nutrients!$EL$78)))))*AV$8))/2000*1000000</f>
        <v>55.059750000000008</v>
      </c>
      <c r="AW320" s="21">
        <f>(SUMPRODUCT(AW$9:AW$229,Nutrients!$EL$8:$EL$228)+(IF($A$7=Nutrients!$B$8,Nutrients!$EL$8,Nutrients!$EL$9)*AW$7)+(((IF($A$8=Nutrients!$B$79,Nutrients!$EL$79,(IF($A$8=Nutrients!$B$77,Nutrients!$EL$77,Nutrients!$EL$78)))))*AW$8))/2000*1000000</f>
        <v>55.059750000000008</v>
      </c>
    </row>
    <row r="321" spans="1:49" x14ac:dyDescent="0.25">
      <c r="A321" s="34" t="s">
        <v>114</v>
      </c>
      <c r="B321" s="21">
        <f>(SUMPRODUCT(B$9:B$229,Nutrients!$EM$8:$EM$228)+(IF($A$7=Nutrients!$B$8,Nutrients!$EM$8,Nutrients!$EM$9)*B$7)+(((IF($A$8=Nutrients!$B$79,Nutrients!$EM$79,(IF($A$8=Nutrients!$B$77,Nutrients!$EM$77,Nutrients!$EM$78)))))*B$8))/2000*1000000</f>
        <v>33.068999999999996</v>
      </c>
      <c r="C321" s="21">
        <f>(SUMPRODUCT(C$9:C$229,Nutrients!$EM$8:$EM$228)+(IF($A$7=Nutrients!$B$8,Nutrients!$EM$8,Nutrients!$EM$9)*C$7)+(((IF($A$8=Nutrients!$B$79,Nutrients!$EM$79,(IF($A$8=Nutrients!$B$77,Nutrients!$EM$77,Nutrients!$EM$78)))))*C$8))/2000*1000000</f>
        <v>33.068999999999996</v>
      </c>
      <c r="D321" s="21">
        <f>(SUMPRODUCT(D$9:D$229,Nutrients!$EM$8:$EM$228)+(IF($A$7=Nutrients!$B$8,Nutrients!$EM$8,Nutrients!$EM$9)*D$7)+(((IF($A$8=Nutrients!$B$79,Nutrients!$EM$79,(IF($A$8=Nutrients!$B$77,Nutrients!$EM$77,Nutrients!$EM$78)))))*D$8))/2000*1000000</f>
        <v>27.557499999999997</v>
      </c>
      <c r="E321" s="21">
        <f>(SUMPRODUCT(E$9:E$229,Nutrients!$EM$8:$EM$228)+(IF($A$7=Nutrients!$B$8,Nutrients!$EM$8,Nutrients!$EM$9)*E$7)+(((IF($A$8=Nutrients!$B$79,Nutrients!$EM$79,(IF($A$8=Nutrients!$B$77,Nutrients!$EM$77,Nutrients!$EM$78)))))*E$8))/2000*1000000</f>
        <v>22.045999999999999</v>
      </c>
      <c r="F321" s="21">
        <f>(SUMPRODUCT(F$9:F$229,Nutrients!$EM$8:$EM$228)+(IF($A$7=Nutrients!$B$8,Nutrients!$EM$8,Nutrients!$EM$9)*F$7)+(((IF($A$8=Nutrients!$B$79,Nutrients!$EM$79,(IF($A$8=Nutrients!$B$77,Nutrients!$EM$77,Nutrients!$EM$78)))))*F$8))/2000*1000000</f>
        <v>16.534499999999998</v>
      </c>
      <c r="G321" s="21">
        <f>(SUMPRODUCT(G$9:G$229,Nutrients!$EM$8:$EM$228)+(IF($A$7=Nutrients!$B$8,Nutrients!$EM$8,Nutrients!$EM$9)*G$7)+(((IF($A$8=Nutrients!$B$79,Nutrients!$EM$79,(IF($A$8=Nutrients!$B$77,Nutrients!$EM$77,Nutrients!$EM$78)))))*G$8))/2000*1000000</f>
        <v>16.534499999999998</v>
      </c>
      <c r="H321" s="226"/>
      <c r="I321" s="21">
        <f>(SUMPRODUCT(I$9:I$229,Nutrients!$EM$8:$EM$228)+(IF($A$7=Nutrients!$B$8,Nutrients!$EM$8,Nutrients!$EM$9)*I$7)+(((IF($A$8=Nutrients!$B$79,Nutrients!$EM$79,(IF($A$8=Nutrients!$B$77,Nutrients!$EM$77,Nutrients!$EM$78)))))*I$8))/2000*1000000</f>
        <v>33.068999999999996</v>
      </c>
      <c r="J321" s="21">
        <f>(SUMPRODUCT(J$9:J$229,Nutrients!$EM$8:$EM$228)+(IF($A$7=Nutrients!$B$8,Nutrients!$EM$8,Nutrients!$EM$9)*J$7)+(((IF($A$8=Nutrients!$B$79,Nutrients!$EM$79,(IF($A$8=Nutrients!$B$77,Nutrients!$EM$77,Nutrients!$EM$78)))))*J$8))/2000*1000000</f>
        <v>33.068999999999996</v>
      </c>
      <c r="K321" s="21">
        <f>(SUMPRODUCT(K$9:K$229,Nutrients!$EM$8:$EM$228)+(IF($A$7=Nutrients!$B$8,Nutrients!$EM$8,Nutrients!$EM$9)*K$7)+(((IF($A$8=Nutrients!$B$79,Nutrients!$EM$79,(IF($A$8=Nutrients!$B$77,Nutrients!$EM$77,Nutrients!$EM$78)))))*K$8))/2000*1000000</f>
        <v>27.557499999999997</v>
      </c>
      <c r="L321" s="21">
        <f>(SUMPRODUCT(L$9:L$229,Nutrients!$EM$8:$EM$228)+(IF($A$7=Nutrients!$B$8,Nutrients!$EM$8,Nutrients!$EM$9)*L$7)+(((IF($A$8=Nutrients!$B$79,Nutrients!$EM$79,(IF($A$8=Nutrients!$B$77,Nutrients!$EM$77,Nutrients!$EM$78)))))*L$8))/2000*1000000</f>
        <v>22.045999999999999</v>
      </c>
      <c r="M321" s="21">
        <f>(SUMPRODUCT(M$9:M$229,Nutrients!$EM$8:$EM$228)+(IF($A$7=Nutrients!$B$8,Nutrients!$EM$8,Nutrients!$EM$9)*M$7)+(((IF($A$8=Nutrients!$B$79,Nutrients!$EM$79,(IF($A$8=Nutrients!$B$77,Nutrients!$EM$77,Nutrients!$EM$78)))))*M$8))/2000*1000000</f>
        <v>16.534499999999998</v>
      </c>
      <c r="N321" s="21">
        <f>(SUMPRODUCT(N$9:N$229,Nutrients!$EM$8:$EM$228)+(IF($A$7=Nutrients!$B$8,Nutrients!$EM$8,Nutrients!$EM$9)*N$7)+(((IF($A$8=Nutrients!$B$79,Nutrients!$EM$79,(IF($A$8=Nutrients!$B$77,Nutrients!$EM$77,Nutrients!$EM$78)))))*N$8))/2000*1000000</f>
        <v>16.534499999999998</v>
      </c>
      <c r="O321" s="234"/>
      <c r="P321" s="21">
        <f>(SUMPRODUCT(P$9:P$229,Nutrients!$EM$8:$EM$228)+(IF($A$7=Nutrients!$B$8,Nutrients!$EM$8,Nutrients!$EM$9)*P$7)+(((IF($A$8=Nutrients!$B$79,Nutrients!$EM$79,(IF($A$8=Nutrients!$B$77,Nutrients!$EM$77,Nutrients!$EM$78)))))*P$8))/2000*1000000</f>
        <v>33.068999999999996</v>
      </c>
      <c r="Q321" s="21">
        <f>(SUMPRODUCT(Q$9:Q$229,Nutrients!$EM$8:$EM$228)+(IF($A$7=Nutrients!$B$8,Nutrients!$EM$8,Nutrients!$EM$9)*Q$7)+(((IF($A$8=Nutrients!$B$79,Nutrients!$EM$79,(IF($A$8=Nutrients!$B$77,Nutrients!$EM$77,Nutrients!$EM$78)))))*Q$8))/2000*1000000</f>
        <v>33.068999999999996</v>
      </c>
      <c r="R321" s="21">
        <f>(SUMPRODUCT(R$9:R$229,Nutrients!$EM$8:$EM$228)+(IF($A$7=Nutrients!$B$8,Nutrients!$EM$8,Nutrients!$EM$9)*R$7)+(((IF($A$8=Nutrients!$B$79,Nutrients!$EM$79,(IF($A$8=Nutrients!$B$77,Nutrients!$EM$77,Nutrients!$EM$78)))))*R$8))/2000*1000000</f>
        <v>27.557499999999997</v>
      </c>
      <c r="S321" s="21">
        <f>(SUMPRODUCT(S$9:S$229,Nutrients!$EM$8:$EM$228)+(IF($A$7=Nutrients!$B$8,Nutrients!$EM$8,Nutrients!$EM$9)*S$7)+(((IF($A$8=Nutrients!$B$79,Nutrients!$EM$79,(IF($A$8=Nutrients!$B$77,Nutrients!$EM$77,Nutrients!$EM$78)))))*S$8))/2000*1000000</f>
        <v>22.045999999999999</v>
      </c>
      <c r="T321" s="21">
        <f>(SUMPRODUCT(T$9:T$229,Nutrients!$EM$8:$EM$228)+(IF($A$7=Nutrients!$B$8,Nutrients!$EM$8,Nutrients!$EM$9)*T$7)+(((IF($A$8=Nutrients!$B$79,Nutrients!$EM$79,(IF($A$8=Nutrients!$B$77,Nutrients!$EM$77,Nutrients!$EM$78)))))*T$8))/2000*1000000</f>
        <v>16.534499999999998</v>
      </c>
      <c r="U321" s="21">
        <f>(SUMPRODUCT(U$9:U$229,Nutrients!$EM$8:$EM$228)+(IF($A$7=Nutrients!$B$8,Nutrients!$EM$8,Nutrients!$EM$9)*U$7)+(((IF($A$8=Nutrients!$B$79,Nutrients!$EM$79,(IF($A$8=Nutrients!$B$77,Nutrients!$EM$77,Nutrients!$EM$78)))))*U$8))/2000*1000000</f>
        <v>16.534499999999998</v>
      </c>
      <c r="W321" s="21">
        <f>(SUMPRODUCT(W$9:W$229,Nutrients!$EM$8:$EM$228)+(IF($A$7=Nutrients!$B$8,Nutrients!$EM$8,Nutrients!$EM$9)*W$7)+(((IF($A$8=Nutrients!$B$79,Nutrients!$EM$79,(IF($A$8=Nutrients!$B$77,Nutrients!$EM$77,Nutrients!$EM$78)))))*W$8))/2000*1000000</f>
        <v>33.068999999999996</v>
      </c>
      <c r="X321" s="21">
        <f>(SUMPRODUCT(X$9:X$229,Nutrients!$EM$8:$EM$228)+(IF($A$7=Nutrients!$B$8,Nutrients!$EM$8,Nutrients!$EM$9)*X$7)+(((IF($A$8=Nutrients!$B$79,Nutrients!$EM$79,(IF($A$8=Nutrients!$B$77,Nutrients!$EM$77,Nutrients!$EM$78)))))*X$8))/2000*1000000</f>
        <v>33.068999999999996</v>
      </c>
      <c r="Y321" s="21">
        <f>(SUMPRODUCT(Y$9:Y$229,Nutrients!$EM$8:$EM$228)+(IF($A$7=Nutrients!$B$8,Nutrients!$EM$8,Nutrients!$EM$9)*Y$7)+(((IF($A$8=Nutrients!$B$79,Nutrients!$EM$79,(IF($A$8=Nutrients!$B$77,Nutrients!$EM$77,Nutrients!$EM$78)))))*Y$8))/2000*1000000</f>
        <v>27.557499999999997</v>
      </c>
      <c r="Z321" s="21">
        <f>(SUMPRODUCT(Z$9:Z$229,Nutrients!$EM$8:$EM$228)+(IF($A$7=Nutrients!$B$8,Nutrients!$EM$8,Nutrients!$EM$9)*Z$7)+(((IF($A$8=Nutrients!$B$79,Nutrients!$EM$79,(IF($A$8=Nutrients!$B$77,Nutrients!$EM$77,Nutrients!$EM$78)))))*Z$8))/2000*1000000</f>
        <v>22.045999999999999</v>
      </c>
      <c r="AA321" s="21">
        <f>(SUMPRODUCT(AA$9:AA$229,Nutrients!$EM$8:$EM$228)+(IF($A$7=Nutrients!$B$8,Nutrients!$EM$8,Nutrients!$EM$9)*AA$7)+(((IF($A$8=Nutrients!$B$79,Nutrients!$EM$79,(IF($A$8=Nutrients!$B$77,Nutrients!$EM$77,Nutrients!$EM$78)))))*AA$8))/2000*1000000</f>
        <v>16.534499999999998</v>
      </c>
      <c r="AB321" s="21">
        <f>(SUMPRODUCT(AB$9:AB$229,Nutrients!$EM$8:$EM$228)+(IF($A$7=Nutrients!$B$8,Nutrients!$EM$8,Nutrients!$EM$9)*AB$7)+(((IF($A$8=Nutrients!$B$79,Nutrients!$EM$79,(IF($A$8=Nutrients!$B$77,Nutrients!$EM$77,Nutrients!$EM$78)))))*AB$8))/2000*1000000</f>
        <v>16.534499999999998</v>
      </c>
      <c r="AD321" s="21">
        <f>(SUMPRODUCT(AD$9:AD$229,Nutrients!$EM$8:$EM$228)+(IF($A$7=Nutrients!$B$8,Nutrients!$EM$8,Nutrients!$EM$9)*AD$7)+(((IF($A$8=Nutrients!$B$79,Nutrients!$EM$79,(IF($A$8=Nutrients!$B$77,Nutrients!$EM$77,Nutrients!$EM$78)))))*AD$8))/2000*1000000</f>
        <v>33.068999999999996</v>
      </c>
      <c r="AE321" s="21">
        <f>(SUMPRODUCT(AE$9:AE$229,Nutrients!$EM$8:$EM$228)+(IF($A$7=Nutrients!$B$8,Nutrients!$EM$8,Nutrients!$EM$9)*AE$7)+(((IF($A$8=Nutrients!$B$79,Nutrients!$EM$79,(IF($A$8=Nutrients!$B$77,Nutrients!$EM$77,Nutrients!$EM$78)))))*AE$8))/2000*1000000</f>
        <v>33.068999999999996</v>
      </c>
      <c r="AF321" s="21">
        <f>(SUMPRODUCT(AF$9:AF$229,Nutrients!$EM$8:$EM$228)+(IF($A$7=Nutrients!$B$8,Nutrients!$EM$8,Nutrients!$EM$9)*AF$7)+(((IF($A$8=Nutrients!$B$79,Nutrients!$EM$79,(IF($A$8=Nutrients!$B$77,Nutrients!$EM$77,Nutrients!$EM$78)))))*AF$8))/2000*1000000</f>
        <v>27.557499999999997</v>
      </c>
      <c r="AG321" s="21">
        <f>(SUMPRODUCT(AG$9:AG$229,Nutrients!$EM$8:$EM$228)+(IF($A$7=Nutrients!$B$8,Nutrients!$EM$8,Nutrients!$EM$9)*AG$7)+(((IF($A$8=Nutrients!$B$79,Nutrients!$EM$79,(IF($A$8=Nutrients!$B$77,Nutrients!$EM$77,Nutrients!$EM$78)))))*AG$8))/2000*1000000</f>
        <v>22.045999999999999</v>
      </c>
      <c r="AH321" s="21">
        <f>(SUMPRODUCT(AH$9:AH$229,Nutrients!$EM$8:$EM$228)+(IF($A$7=Nutrients!$B$8,Nutrients!$EM$8,Nutrients!$EM$9)*AH$7)+(((IF($A$8=Nutrients!$B$79,Nutrients!$EM$79,(IF($A$8=Nutrients!$B$77,Nutrients!$EM$77,Nutrients!$EM$78)))))*AH$8))/2000*1000000</f>
        <v>16.534499999999998</v>
      </c>
      <c r="AI321" s="21">
        <f>(SUMPRODUCT(AI$9:AI$229,Nutrients!$EM$8:$EM$228)+(IF($A$7=Nutrients!$B$8,Nutrients!$EM$8,Nutrients!$EM$9)*AI$7)+(((IF($A$8=Nutrients!$B$79,Nutrients!$EM$79,(IF($A$8=Nutrients!$B$77,Nutrients!$EM$77,Nutrients!$EM$78)))))*AI$8))/2000*1000000</f>
        <v>16.534499999999998</v>
      </c>
      <c r="AK321" s="21">
        <f>(SUMPRODUCT(AK$9:AK$229,Nutrients!$EM$8:$EM$228)+(IF($A$7=Nutrients!$B$8,Nutrients!$EM$8,Nutrients!$EM$9)*AK$7)+(((IF($A$8=Nutrients!$B$79,Nutrients!$EM$79,(IF($A$8=Nutrients!$B$77,Nutrients!$EM$77,Nutrients!$EM$78)))))*AK$8))/2000*1000000</f>
        <v>33.068999999999996</v>
      </c>
      <c r="AL321" s="21">
        <f>(SUMPRODUCT(AL$9:AL$229,Nutrients!$EM$8:$EM$228)+(IF($A$7=Nutrients!$B$8,Nutrients!$EM$8,Nutrients!$EM$9)*AL$7)+(((IF($A$8=Nutrients!$B$79,Nutrients!$EM$79,(IF($A$8=Nutrients!$B$77,Nutrients!$EM$77,Nutrients!$EM$78)))))*AL$8))/2000*1000000</f>
        <v>33.068999999999996</v>
      </c>
      <c r="AM321" s="21">
        <f>(SUMPRODUCT(AM$9:AM$229,Nutrients!$EM$8:$EM$228)+(IF($A$7=Nutrients!$B$8,Nutrients!$EM$8,Nutrients!$EM$9)*AM$7)+(((IF($A$8=Nutrients!$B$79,Nutrients!$EM$79,(IF($A$8=Nutrients!$B$77,Nutrients!$EM$77,Nutrients!$EM$78)))))*AM$8))/2000*1000000</f>
        <v>27.557499999999997</v>
      </c>
      <c r="AN321" s="21">
        <f>(SUMPRODUCT(AN$9:AN$229,Nutrients!$EM$8:$EM$228)+(IF($A$7=Nutrients!$B$8,Nutrients!$EM$8,Nutrients!$EM$9)*AN$7)+(((IF($A$8=Nutrients!$B$79,Nutrients!$EM$79,(IF($A$8=Nutrients!$B$77,Nutrients!$EM$77,Nutrients!$EM$78)))))*AN$8))/2000*1000000</f>
        <v>22.045999999999999</v>
      </c>
      <c r="AO321" s="21">
        <f>(SUMPRODUCT(AO$9:AO$229,Nutrients!$EM$8:$EM$228)+(IF($A$7=Nutrients!$B$8,Nutrients!$EM$8,Nutrients!$EM$9)*AO$7)+(((IF($A$8=Nutrients!$B$79,Nutrients!$EM$79,(IF($A$8=Nutrients!$B$77,Nutrients!$EM$77,Nutrients!$EM$78)))))*AO$8))/2000*1000000</f>
        <v>16.534499999999998</v>
      </c>
      <c r="AP321" s="21">
        <f>(SUMPRODUCT(AP$9:AP$229,Nutrients!$EM$8:$EM$228)+(IF($A$7=Nutrients!$B$8,Nutrients!$EM$8,Nutrients!$EM$9)*AP$7)+(((IF($A$8=Nutrients!$B$79,Nutrients!$EM$79,(IF($A$8=Nutrients!$B$77,Nutrients!$EM$77,Nutrients!$EM$78)))))*AP$8))/2000*1000000</f>
        <v>16.534499999999998</v>
      </c>
      <c r="AR321" s="21">
        <f>(SUMPRODUCT(AR$9:AR$229,Nutrients!$EM$8:$EM$228)+(IF($A$7=Nutrients!$B$8,Nutrients!$EM$8,Nutrients!$EM$9)*AR$7)+(((IF($A$8=Nutrients!$B$79,Nutrients!$EM$79,(IF($A$8=Nutrients!$B$77,Nutrients!$EM$77,Nutrients!$EM$78)))))*AR$8))/2000*1000000</f>
        <v>33.068999999999996</v>
      </c>
      <c r="AS321" s="21">
        <f>(SUMPRODUCT(AS$9:AS$229,Nutrients!$EM$8:$EM$228)+(IF($A$7=Nutrients!$B$8,Nutrients!$EM$8,Nutrients!$EM$9)*AS$7)+(((IF($A$8=Nutrients!$B$79,Nutrients!$EM$79,(IF($A$8=Nutrients!$B$77,Nutrients!$EM$77,Nutrients!$EM$78)))))*AS$8))/2000*1000000</f>
        <v>33.068999999999996</v>
      </c>
      <c r="AT321" s="21">
        <f>(SUMPRODUCT(AT$9:AT$229,Nutrients!$EM$8:$EM$228)+(IF($A$7=Nutrients!$B$8,Nutrients!$EM$8,Nutrients!$EM$9)*AT$7)+(((IF($A$8=Nutrients!$B$79,Nutrients!$EM$79,(IF($A$8=Nutrients!$B$77,Nutrients!$EM$77,Nutrients!$EM$78)))))*AT$8))/2000*1000000</f>
        <v>27.557499999999997</v>
      </c>
      <c r="AU321" s="21">
        <f>(SUMPRODUCT(AU$9:AU$229,Nutrients!$EM$8:$EM$228)+(IF($A$7=Nutrients!$B$8,Nutrients!$EM$8,Nutrients!$EM$9)*AU$7)+(((IF($A$8=Nutrients!$B$79,Nutrients!$EM$79,(IF($A$8=Nutrients!$B$77,Nutrients!$EM$77,Nutrients!$EM$78)))))*AU$8))/2000*1000000</f>
        <v>22.045999999999999</v>
      </c>
      <c r="AV321" s="21">
        <f>(SUMPRODUCT(AV$9:AV$229,Nutrients!$EM$8:$EM$228)+(IF($A$7=Nutrients!$B$8,Nutrients!$EM$8,Nutrients!$EM$9)*AV$7)+(((IF($A$8=Nutrients!$B$79,Nutrients!$EM$79,(IF($A$8=Nutrients!$B$77,Nutrients!$EM$77,Nutrients!$EM$78)))))*AV$8))/2000*1000000</f>
        <v>16.534499999999998</v>
      </c>
      <c r="AW321" s="21">
        <f>(SUMPRODUCT(AW$9:AW$229,Nutrients!$EM$8:$EM$228)+(IF($A$7=Nutrients!$B$8,Nutrients!$EM$8,Nutrients!$EM$9)*AW$7)+(((IF($A$8=Nutrients!$B$79,Nutrients!$EM$79,(IF($A$8=Nutrients!$B$77,Nutrients!$EM$77,Nutrients!$EM$78)))))*AW$8))/2000*1000000</f>
        <v>16.534499999999998</v>
      </c>
    </row>
    <row r="322" spans="1:49" x14ac:dyDescent="0.25">
      <c r="A322" s="34" t="s">
        <v>115</v>
      </c>
      <c r="B322" s="21">
        <f>(SUMPRODUCT(B$9:B$229,Nutrients!$EN$8:$EN$228)+(IF($A$7=Nutrients!$B$8,Nutrients!$EN$8,Nutrients!$EN$9)*B$7)+(((IF($A$8=Nutrients!$B$79,Nutrients!$EN$79,(IF($A$8=Nutrients!$B$77,Nutrients!$EN$77,Nutrients!$EN$78)))))*B$8))/2000*1000000</f>
        <v>16.5</v>
      </c>
      <c r="C322" s="21">
        <f>(SUMPRODUCT(C$9:C$229,Nutrients!$EN$8:$EN$228)+(IF($A$7=Nutrients!$B$8,Nutrients!$EN$8,Nutrients!$EN$9)*C$7)+(((IF($A$8=Nutrients!$B$79,Nutrients!$EN$79,(IF($A$8=Nutrients!$B$77,Nutrients!$EN$77,Nutrients!$EN$78)))))*C$8))/2000*1000000</f>
        <v>16.5</v>
      </c>
      <c r="D322" s="21">
        <f>(SUMPRODUCT(D$9:D$229,Nutrients!$EN$8:$EN$228)+(IF($A$7=Nutrients!$B$8,Nutrients!$EN$8,Nutrients!$EN$9)*D$7)+(((IF($A$8=Nutrients!$B$79,Nutrients!$EN$79,(IF($A$8=Nutrients!$B$77,Nutrients!$EN$77,Nutrients!$EN$78)))))*D$8))/2000*1000000</f>
        <v>13.749999999999998</v>
      </c>
      <c r="E322" s="21">
        <f>(SUMPRODUCT(E$9:E$229,Nutrients!$EN$8:$EN$228)+(IF($A$7=Nutrients!$B$8,Nutrients!$EN$8,Nutrients!$EN$9)*E$7)+(((IF($A$8=Nutrients!$B$79,Nutrients!$EN$79,(IF($A$8=Nutrients!$B$77,Nutrients!$EN$77,Nutrients!$EN$78)))))*E$8))/2000*1000000</f>
        <v>11</v>
      </c>
      <c r="F322" s="21">
        <f>(SUMPRODUCT(F$9:F$229,Nutrients!$EN$8:$EN$228)+(IF($A$7=Nutrients!$B$8,Nutrients!$EN$8,Nutrients!$EN$9)*F$7)+(((IF($A$8=Nutrients!$B$79,Nutrients!$EN$79,(IF($A$8=Nutrients!$B$77,Nutrients!$EN$77,Nutrients!$EN$78)))))*F$8))/2000*1000000</f>
        <v>8.25</v>
      </c>
      <c r="G322" s="21">
        <f>(SUMPRODUCT(G$9:G$229,Nutrients!$EN$8:$EN$228)+(IF($A$7=Nutrients!$B$8,Nutrients!$EN$8,Nutrients!$EN$9)*G$7)+(((IF($A$8=Nutrients!$B$79,Nutrients!$EN$79,(IF($A$8=Nutrients!$B$77,Nutrients!$EN$77,Nutrients!$EN$78)))))*G$8))/2000*1000000</f>
        <v>8.25</v>
      </c>
      <c r="H322" s="226"/>
      <c r="I322" s="21">
        <f>(SUMPRODUCT(I$9:I$229,Nutrients!$EN$8:$EN$228)+(IF($A$7=Nutrients!$B$8,Nutrients!$EN$8,Nutrients!$EN$9)*I$7)+(((IF($A$8=Nutrients!$B$79,Nutrients!$EN$79,(IF($A$8=Nutrients!$B$77,Nutrients!$EN$77,Nutrients!$EN$78)))))*I$8))/2000*1000000</f>
        <v>16.5</v>
      </c>
      <c r="J322" s="21">
        <f>(SUMPRODUCT(J$9:J$229,Nutrients!$EN$8:$EN$228)+(IF($A$7=Nutrients!$B$8,Nutrients!$EN$8,Nutrients!$EN$9)*J$7)+(((IF($A$8=Nutrients!$B$79,Nutrients!$EN$79,(IF($A$8=Nutrients!$B$77,Nutrients!$EN$77,Nutrients!$EN$78)))))*J$8))/2000*1000000</f>
        <v>16.5</v>
      </c>
      <c r="K322" s="21">
        <f>(SUMPRODUCT(K$9:K$229,Nutrients!$EN$8:$EN$228)+(IF($A$7=Nutrients!$B$8,Nutrients!$EN$8,Nutrients!$EN$9)*K$7)+(((IF($A$8=Nutrients!$B$79,Nutrients!$EN$79,(IF($A$8=Nutrients!$B$77,Nutrients!$EN$77,Nutrients!$EN$78)))))*K$8))/2000*1000000</f>
        <v>13.749999999999998</v>
      </c>
      <c r="L322" s="21">
        <f>(SUMPRODUCT(L$9:L$229,Nutrients!$EN$8:$EN$228)+(IF($A$7=Nutrients!$B$8,Nutrients!$EN$8,Nutrients!$EN$9)*L$7)+(((IF($A$8=Nutrients!$B$79,Nutrients!$EN$79,(IF($A$8=Nutrients!$B$77,Nutrients!$EN$77,Nutrients!$EN$78)))))*L$8))/2000*1000000</f>
        <v>11</v>
      </c>
      <c r="M322" s="21">
        <f>(SUMPRODUCT(M$9:M$229,Nutrients!$EN$8:$EN$228)+(IF($A$7=Nutrients!$B$8,Nutrients!$EN$8,Nutrients!$EN$9)*M$7)+(((IF($A$8=Nutrients!$B$79,Nutrients!$EN$79,(IF($A$8=Nutrients!$B$77,Nutrients!$EN$77,Nutrients!$EN$78)))))*M$8))/2000*1000000</f>
        <v>8.25</v>
      </c>
      <c r="N322" s="21">
        <f>(SUMPRODUCT(N$9:N$229,Nutrients!$EN$8:$EN$228)+(IF($A$7=Nutrients!$B$8,Nutrients!$EN$8,Nutrients!$EN$9)*N$7)+(((IF($A$8=Nutrients!$B$79,Nutrients!$EN$79,(IF($A$8=Nutrients!$B$77,Nutrients!$EN$77,Nutrients!$EN$78)))))*N$8))/2000*1000000</f>
        <v>8.25</v>
      </c>
      <c r="O322" s="234"/>
      <c r="P322" s="21">
        <f>(SUMPRODUCT(P$9:P$229,Nutrients!$EN$8:$EN$228)+(IF($A$7=Nutrients!$B$8,Nutrients!$EN$8,Nutrients!$EN$9)*P$7)+(((IF($A$8=Nutrients!$B$79,Nutrients!$EN$79,(IF($A$8=Nutrients!$B$77,Nutrients!$EN$77,Nutrients!$EN$78)))))*P$8))/2000*1000000</f>
        <v>16.5</v>
      </c>
      <c r="Q322" s="21">
        <f>(SUMPRODUCT(Q$9:Q$229,Nutrients!$EN$8:$EN$228)+(IF($A$7=Nutrients!$B$8,Nutrients!$EN$8,Nutrients!$EN$9)*Q$7)+(((IF($A$8=Nutrients!$B$79,Nutrients!$EN$79,(IF($A$8=Nutrients!$B$77,Nutrients!$EN$77,Nutrients!$EN$78)))))*Q$8))/2000*1000000</f>
        <v>16.5</v>
      </c>
      <c r="R322" s="21">
        <f>(SUMPRODUCT(R$9:R$229,Nutrients!$EN$8:$EN$228)+(IF($A$7=Nutrients!$B$8,Nutrients!$EN$8,Nutrients!$EN$9)*R$7)+(((IF($A$8=Nutrients!$B$79,Nutrients!$EN$79,(IF($A$8=Nutrients!$B$77,Nutrients!$EN$77,Nutrients!$EN$78)))))*R$8))/2000*1000000</f>
        <v>13.749999999999998</v>
      </c>
      <c r="S322" s="21">
        <f>(SUMPRODUCT(S$9:S$229,Nutrients!$EN$8:$EN$228)+(IF($A$7=Nutrients!$B$8,Nutrients!$EN$8,Nutrients!$EN$9)*S$7)+(((IF($A$8=Nutrients!$B$79,Nutrients!$EN$79,(IF($A$8=Nutrients!$B$77,Nutrients!$EN$77,Nutrients!$EN$78)))))*S$8))/2000*1000000</f>
        <v>11</v>
      </c>
      <c r="T322" s="21">
        <f>(SUMPRODUCT(T$9:T$229,Nutrients!$EN$8:$EN$228)+(IF($A$7=Nutrients!$B$8,Nutrients!$EN$8,Nutrients!$EN$9)*T$7)+(((IF($A$8=Nutrients!$B$79,Nutrients!$EN$79,(IF($A$8=Nutrients!$B$77,Nutrients!$EN$77,Nutrients!$EN$78)))))*T$8))/2000*1000000</f>
        <v>8.25</v>
      </c>
      <c r="U322" s="21">
        <f>(SUMPRODUCT(U$9:U$229,Nutrients!$EN$8:$EN$228)+(IF($A$7=Nutrients!$B$8,Nutrients!$EN$8,Nutrients!$EN$9)*U$7)+(((IF($A$8=Nutrients!$B$79,Nutrients!$EN$79,(IF($A$8=Nutrients!$B$77,Nutrients!$EN$77,Nutrients!$EN$78)))))*U$8))/2000*1000000</f>
        <v>8.25</v>
      </c>
      <c r="W322" s="21">
        <f>(SUMPRODUCT(W$9:W$229,Nutrients!$EN$8:$EN$228)+(IF($A$7=Nutrients!$B$8,Nutrients!$EN$8,Nutrients!$EN$9)*W$7)+(((IF($A$8=Nutrients!$B$79,Nutrients!$EN$79,(IF($A$8=Nutrients!$B$77,Nutrients!$EN$77,Nutrients!$EN$78)))))*W$8))/2000*1000000</f>
        <v>16.5</v>
      </c>
      <c r="X322" s="21">
        <f>(SUMPRODUCT(X$9:X$229,Nutrients!$EN$8:$EN$228)+(IF($A$7=Nutrients!$B$8,Nutrients!$EN$8,Nutrients!$EN$9)*X$7)+(((IF($A$8=Nutrients!$B$79,Nutrients!$EN$79,(IF($A$8=Nutrients!$B$77,Nutrients!$EN$77,Nutrients!$EN$78)))))*X$8))/2000*1000000</f>
        <v>16.5</v>
      </c>
      <c r="Y322" s="21">
        <f>(SUMPRODUCT(Y$9:Y$229,Nutrients!$EN$8:$EN$228)+(IF($A$7=Nutrients!$B$8,Nutrients!$EN$8,Nutrients!$EN$9)*Y$7)+(((IF($A$8=Nutrients!$B$79,Nutrients!$EN$79,(IF($A$8=Nutrients!$B$77,Nutrients!$EN$77,Nutrients!$EN$78)))))*Y$8))/2000*1000000</f>
        <v>13.749999999999998</v>
      </c>
      <c r="Z322" s="21">
        <f>(SUMPRODUCT(Z$9:Z$229,Nutrients!$EN$8:$EN$228)+(IF($A$7=Nutrients!$B$8,Nutrients!$EN$8,Nutrients!$EN$9)*Z$7)+(((IF($A$8=Nutrients!$B$79,Nutrients!$EN$79,(IF($A$8=Nutrients!$B$77,Nutrients!$EN$77,Nutrients!$EN$78)))))*Z$8))/2000*1000000</f>
        <v>11</v>
      </c>
      <c r="AA322" s="21">
        <f>(SUMPRODUCT(AA$9:AA$229,Nutrients!$EN$8:$EN$228)+(IF($A$7=Nutrients!$B$8,Nutrients!$EN$8,Nutrients!$EN$9)*AA$7)+(((IF($A$8=Nutrients!$B$79,Nutrients!$EN$79,(IF($A$8=Nutrients!$B$77,Nutrients!$EN$77,Nutrients!$EN$78)))))*AA$8))/2000*1000000</f>
        <v>8.25</v>
      </c>
      <c r="AB322" s="21">
        <f>(SUMPRODUCT(AB$9:AB$229,Nutrients!$EN$8:$EN$228)+(IF($A$7=Nutrients!$B$8,Nutrients!$EN$8,Nutrients!$EN$9)*AB$7)+(((IF($A$8=Nutrients!$B$79,Nutrients!$EN$79,(IF($A$8=Nutrients!$B$77,Nutrients!$EN$77,Nutrients!$EN$78)))))*AB$8))/2000*1000000</f>
        <v>8.25</v>
      </c>
      <c r="AD322" s="21">
        <f>(SUMPRODUCT(AD$9:AD$229,Nutrients!$EN$8:$EN$228)+(IF($A$7=Nutrients!$B$8,Nutrients!$EN$8,Nutrients!$EN$9)*AD$7)+(((IF($A$8=Nutrients!$B$79,Nutrients!$EN$79,(IF($A$8=Nutrients!$B$77,Nutrients!$EN$77,Nutrients!$EN$78)))))*AD$8))/2000*1000000</f>
        <v>16.5</v>
      </c>
      <c r="AE322" s="21">
        <f>(SUMPRODUCT(AE$9:AE$229,Nutrients!$EN$8:$EN$228)+(IF($A$7=Nutrients!$B$8,Nutrients!$EN$8,Nutrients!$EN$9)*AE$7)+(((IF($A$8=Nutrients!$B$79,Nutrients!$EN$79,(IF($A$8=Nutrients!$B$77,Nutrients!$EN$77,Nutrients!$EN$78)))))*AE$8))/2000*1000000</f>
        <v>16.5</v>
      </c>
      <c r="AF322" s="21">
        <f>(SUMPRODUCT(AF$9:AF$229,Nutrients!$EN$8:$EN$228)+(IF($A$7=Nutrients!$B$8,Nutrients!$EN$8,Nutrients!$EN$9)*AF$7)+(((IF($A$8=Nutrients!$B$79,Nutrients!$EN$79,(IF($A$8=Nutrients!$B$77,Nutrients!$EN$77,Nutrients!$EN$78)))))*AF$8))/2000*1000000</f>
        <v>13.749999999999998</v>
      </c>
      <c r="AG322" s="21">
        <f>(SUMPRODUCT(AG$9:AG$229,Nutrients!$EN$8:$EN$228)+(IF($A$7=Nutrients!$B$8,Nutrients!$EN$8,Nutrients!$EN$9)*AG$7)+(((IF($A$8=Nutrients!$B$79,Nutrients!$EN$79,(IF($A$8=Nutrients!$B$77,Nutrients!$EN$77,Nutrients!$EN$78)))))*AG$8))/2000*1000000</f>
        <v>11</v>
      </c>
      <c r="AH322" s="21">
        <f>(SUMPRODUCT(AH$9:AH$229,Nutrients!$EN$8:$EN$228)+(IF($A$7=Nutrients!$B$8,Nutrients!$EN$8,Nutrients!$EN$9)*AH$7)+(((IF($A$8=Nutrients!$B$79,Nutrients!$EN$79,(IF($A$8=Nutrients!$B$77,Nutrients!$EN$77,Nutrients!$EN$78)))))*AH$8))/2000*1000000</f>
        <v>8.25</v>
      </c>
      <c r="AI322" s="21">
        <f>(SUMPRODUCT(AI$9:AI$229,Nutrients!$EN$8:$EN$228)+(IF($A$7=Nutrients!$B$8,Nutrients!$EN$8,Nutrients!$EN$9)*AI$7)+(((IF($A$8=Nutrients!$B$79,Nutrients!$EN$79,(IF($A$8=Nutrients!$B$77,Nutrients!$EN$77,Nutrients!$EN$78)))))*AI$8))/2000*1000000</f>
        <v>8.25</v>
      </c>
      <c r="AK322" s="21">
        <f>(SUMPRODUCT(AK$9:AK$229,Nutrients!$EN$8:$EN$228)+(IF($A$7=Nutrients!$B$8,Nutrients!$EN$8,Nutrients!$EN$9)*AK$7)+(((IF($A$8=Nutrients!$B$79,Nutrients!$EN$79,(IF($A$8=Nutrients!$B$77,Nutrients!$EN$77,Nutrients!$EN$78)))))*AK$8))/2000*1000000</f>
        <v>16.5</v>
      </c>
      <c r="AL322" s="21">
        <f>(SUMPRODUCT(AL$9:AL$229,Nutrients!$EN$8:$EN$228)+(IF($A$7=Nutrients!$B$8,Nutrients!$EN$8,Nutrients!$EN$9)*AL$7)+(((IF($A$8=Nutrients!$B$79,Nutrients!$EN$79,(IF($A$8=Nutrients!$B$77,Nutrients!$EN$77,Nutrients!$EN$78)))))*AL$8))/2000*1000000</f>
        <v>16.5</v>
      </c>
      <c r="AM322" s="21">
        <f>(SUMPRODUCT(AM$9:AM$229,Nutrients!$EN$8:$EN$228)+(IF($A$7=Nutrients!$B$8,Nutrients!$EN$8,Nutrients!$EN$9)*AM$7)+(((IF($A$8=Nutrients!$B$79,Nutrients!$EN$79,(IF($A$8=Nutrients!$B$77,Nutrients!$EN$77,Nutrients!$EN$78)))))*AM$8))/2000*1000000</f>
        <v>13.749999999999998</v>
      </c>
      <c r="AN322" s="21">
        <f>(SUMPRODUCT(AN$9:AN$229,Nutrients!$EN$8:$EN$228)+(IF($A$7=Nutrients!$B$8,Nutrients!$EN$8,Nutrients!$EN$9)*AN$7)+(((IF($A$8=Nutrients!$B$79,Nutrients!$EN$79,(IF($A$8=Nutrients!$B$77,Nutrients!$EN$77,Nutrients!$EN$78)))))*AN$8))/2000*1000000</f>
        <v>11</v>
      </c>
      <c r="AO322" s="21">
        <f>(SUMPRODUCT(AO$9:AO$229,Nutrients!$EN$8:$EN$228)+(IF($A$7=Nutrients!$B$8,Nutrients!$EN$8,Nutrients!$EN$9)*AO$7)+(((IF($A$8=Nutrients!$B$79,Nutrients!$EN$79,(IF($A$8=Nutrients!$B$77,Nutrients!$EN$77,Nutrients!$EN$78)))))*AO$8))/2000*1000000</f>
        <v>8.25</v>
      </c>
      <c r="AP322" s="21">
        <f>(SUMPRODUCT(AP$9:AP$229,Nutrients!$EN$8:$EN$228)+(IF($A$7=Nutrients!$B$8,Nutrients!$EN$8,Nutrients!$EN$9)*AP$7)+(((IF($A$8=Nutrients!$B$79,Nutrients!$EN$79,(IF($A$8=Nutrients!$B$77,Nutrients!$EN$77,Nutrients!$EN$78)))))*AP$8))/2000*1000000</f>
        <v>8.25</v>
      </c>
      <c r="AR322" s="21">
        <f>(SUMPRODUCT(AR$9:AR$229,Nutrients!$EN$8:$EN$228)+(IF($A$7=Nutrients!$B$8,Nutrients!$EN$8,Nutrients!$EN$9)*AR$7)+(((IF($A$8=Nutrients!$B$79,Nutrients!$EN$79,(IF($A$8=Nutrients!$B$77,Nutrients!$EN$77,Nutrients!$EN$78)))))*AR$8))/2000*1000000</f>
        <v>16.5</v>
      </c>
      <c r="AS322" s="21">
        <f>(SUMPRODUCT(AS$9:AS$229,Nutrients!$EN$8:$EN$228)+(IF($A$7=Nutrients!$B$8,Nutrients!$EN$8,Nutrients!$EN$9)*AS$7)+(((IF($A$8=Nutrients!$B$79,Nutrients!$EN$79,(IF($A$8=Nutrients!$B$77,Nutrients!$EN$77,Nutrients!$EN$78)))))*AS$8))/2000*1000000</f>
        <v>16.5</v>
      </c>
      <c r="AT322" s="21">
        <f>(SUMPRODUCT(AT$9:AT$229,Nutrients!$EN$8:$EN$228)+(IF($A$7=Nutrients!$B$8,Nutrients!$EN$8,Nutrients!$EN$9)*AT$7)+(((IF($A$8=Nutrients!$B$79,Nutrients!$EN$79,(IF($A$8=Nutrients!$B$77,Nutrients!$EN$77,Nutrients!$EN$78)))))*AT$8))/2000*1000000</f>
        <v>13.749999999999998</v>
      </c>
      <c r="AU322" s="21">
        <f>(SUMPRODUCT(AU$9:AU$229,Nutrients!$EN$8:$EN$228)+(IF($A$7=Nutrients!$B$8,Nutrients!$EN$8,Nutrients!$EN$9)*AU$7)+(((IF($A$8=Nutrients!$B$79,Nutrients!$EN$79,(IF($A$8=Nutrients!$B$77,Nutrients!$EN$77,Nutrients!$EN$78)))))*AU$8))/2000*1000000</f>
        <v>11</v>
      </c>
      <c r="AV322" s="21">
        <f>(SUMPRODUCT(AV$9:AV$229,Nutrients!$EN$8:$EN$228)+(IF($A$7=Nutrients!$B$8,Nutrients!$EN$8,Nutrients!$EN$9)*AV$7)+(((IF($A$8=Nutrients!$B$79,Nutrients!$EN$79,(IF($A$8=Nutrients!$B$77,Nutrients!$EN$77,Nutrients!$EN$78)))))*AV$8))/2000*1000000</f>
        <v>8.25</v>
      </c>
      <c r="AW322" s="21">
        <f>(SUMPRODUCT(AW$9:AW$229,Nutrients!$EN$8:$EN$228)+(IF($A$7=Nutrients!$B$8,Nutrients!$EN$8,Nutrients!$EN$9)*AW$7)+(((IF($A$8=Nutrients!$B$79,Nutrients!$EN$79,(IF($A$8=Nutrients!$B$77,Nutrients!$EN$77,Nutrients!$EN$78)))))*AW$8))/2000*1000000</f>
        <v>8.25</v>
      </c>
    </row>
    <row r="323" spans="1:49" x14ac:dyDescent="0.25">
      <c r="A323" s="34" t="s">
        <v>116</v>
      </c>
      <c r="B323" s="23">
        <f>(SUMPRODUCT(B$9:B$229,Nutrients!$EO$8:$EO$228)+(IF($A$7=Nutrients!$B$8,Nutrients!$EO$8,Nutrients!$EO$9)*B$7)+(((IF($A$8=Nutrients!$B$79,Nutrients!$EO$79,(IF($A$8=Nutrients!$B$77,Nutrients!$EO$77,Nutrients!$EO$78)))))*B$8))/2000*1000000</f>
        <v>0.29699999999999999</v>
      </c>
      <c r="C323" s="23">
        <f>(SUMPRODUCT(C$9:C$229,Nutrients!$EO$8:$EO$228)+(IF($A$7=Nutrients!$B$8,Nutrients!$EO$8,Nutrients!$EO$9)*C$7)+(((IF($A$8=Nutrients!$B$79,Nutrients!$EO$79,(IF($A$8=Nutrients!$B$77,Nutrients!$EO$77,Nutrients!$EO$78)))))*C$8))/2000*1000000</f>
        <v>0.29699999999999999</v>
      </c>
      <c r="D323" s="23">
        <f>(SUMPRODUCT(D$9:D$229,Nutrients!$EO$8:$EO$228)+(IF($A$7=Nutrients!$B$8,Nutrients!$EO$8,Nutrients!$EO$9)*D$7)+(((IF($A$8=Nutrients!$B$79,Nutrients!$EO$79,(IF($A$8=Nutrients!$B$77,Nutrients!$EO$77,Nutrients!$EO$78)))))*D$8))/2000*1000000</f>
        <v>0.24750000000000003</v>
      </c>
      <c r="E323" s="23">
        <f>(SUMPRODUCT(E$9:E$229,Nutrients!$EO$8:$EO$228)+(IF($A$7=Nutrients!$B$8,Nutrients!$EO$8,Nutrients!$EO$9)*E$7)+(((IF($A$8=Nutrients!$B$79,Nutrients!$EO$79,(IF($A$8=Nutrients!$B$77,Nutrients!$EO$77,Nutrients!$EO$78)))))*E$8))/2000*1000000</f>
        <v>0.19800000000000001</v>
      </c>
      <c r="F323" s="23">
        <f>(SUMPRODUCT(F$9:F$229,Nutrients!$EO$8:$EO$228)+(IF($A$7=Nutrients!$B$8,Nutrients!$EO$8,Nutrients!$EO$9)*F$7)+(((IF($A$8=Nutrients!$B$79,Nutrients!$EO$79,(IF($A$8=Nutrients!$B$77,Nutrients!$EO$77,Nutrients!$EO$78)))))*F$8))/2000*1000000</f>
        <v>0.14849999999999999</v>
      </c>
      <c r="G323" s="23">
        <f>(SUMPRODUCT(G$9:G$229,Nutrients!$EO$8:$EO$228)+(IF($A$7=Nutrients!$B$8,Nutrients!$EO$8,Nutrients!$EO$9)*G$7)+(((IF($A$8=Nutrients!$B$79,Nutrients!$EO$79,(IF($A$8=Nutrients!$B$77,Nutrients!$EO$77,Nutrients!$EO$78)))))*G$8))/2000*1000000</f>
        <v>0.14849999999999999</v>
      </c>
      <c r="H323" s="227"/>
      <c r="I323" s="23">
        <f>(SUMPRODUCT(I$9:I$229,Nutrients!$EO$8:$EO$228)+(IF($A$7=Nutrients!$B$8,Nutrients!$EO$8,Nutrients!$EO$9)*I$7)+(((IF($A$8=Nutrients!$B$79,Nutrients!$EO$79,(IF($A$8=Nutrients!$B$77,Nutrients!$EO$77,Nutrients!$EO$78)))))*I$8))/2000*1000000</f>
        <v>0.29699999999999999</v>
      </c>
      <c r="J323" s="23">
        <f>(SUMPRODUCT(J$9:J$229,Nutrients!$EO$8:$EO$228)+(IF($A$7=Nutrients!$B$8,Nutrients!$EO$8,Nutrients!$EO$9)*J$7)+(((IF($A$8=Nutrients!$B$79,Nutrients!$EO$79,(IF($A$8=Nutrients!$B$77,Nutrients!$EO$77,Nutrients!$EO$78)))))*J$8))/2000*1000000</f>
        <v>0.29699999999999999</v>
      </c>
      <c r="K323" s="23">
        <f>(SUMPRODUCT(K$9:K$229,Nutrients!$EO$8:$EO$228)+(IF($A$7=Nutrients!$B$8,Nutrients!$EO$8,Nutrients!$EO$9)*K$7)+(((IF($A$8=Nutrients!$B$79,Nutrients!$EO$79,(IF($A$8=Nutrients!$B$77,Nutrients!$EO$77,Nutrients!$EO$78)))))*K$8))/2000*1000000</f>
        <v>0.24750000000000003</v>
      </c>
      <c r="L323" s="23">
        <f>(SUMPRODUCT(L$9:L$229,Nutrients!$EO$8:$EO$228)+(IF($A$7=Nutrients!$B$8,Nutrients!$EO$8,Nutrients!$EO$9)*L$7)+(((IF($A$8=Nutrients!$B$79,Nutrients!$EO$79,(IF($A$8=Nutrients!$B$77,Nutrients!$EO$77,Nutrients!$EO$78)))))*L$8))/2000*1000000</f>
        <v>0.19800000000000001</v>
      </c>
      <c r="M323" s="23">
        <f>(SUMPRODUCT(M$9:M$229,Nutrients!$EO$8:$EO$228)+(IF($A$7=Nutrients!$B$8,Nutrients!$EO$8,Nutrients!$EO$9)*M$7)+(((IF($A$8=Nutrients!$B$79,Nutrients!$EO$79,(IF($A$8=Nutrients!$B$77,Nutrients!$EO$77,Nutrients!$EO$78)))))*M$8))/2000*1000000</f>
        <v>0.14849999999999999</v>
      </c>
      <c r="N323" s="23">
        <f>(SUMPRODUCT(N$9:N$229,Nutrients!$EO$8:$EO$228)+(IF($A$7=Nutrients!$B$8,Nutrients!$EO$8,Nutrients!$EO$9)*N$7)+(((IF($A$8=Nutrients!$B$79,Nutrients!$EO$79,(IF($A$8=Nutrients!$B$77,Nutrients!$EO$77,Nutrients!$EO$78)))))*N$8))/2000*1000000</f>
        <v>0.14849999999999999</v>
      </c>
      <c r="O323" s="198"/>
      <c r="P323" s="23">
        <f>(SUMPRODUCT(P$9:P$229,Nutrients!$EO$8:$EO$228)+(IF($A$7=Nutrients!$B$8,Nutrients!$EO$8,Nutrients!$EO$9)*P$7)+(((IF($A$8=Nutrients!$B$79,Nutrients!$EO$79,(IF($A$8=Nutrients!$B$77,Nutrients!$EO$77,Nutrients!$EO$78)))))*P$8))/2000*1000000</f>
        <v>0.29699999999999999</v>
      </c>
      <c r="Q323" s="23">
        <f>(SUMPRODUCT(Q$9:Q$229,Nutrients!$EO$8:$EO$228)+(IF($A$7=Nutrients!$B$8,Nutrients!$EO$8,Nutrients!$EO$9)*Q$7)+(((IF($A$8=Nutrients!$B$79,Nutrients!$EO$79,(IF($A$8=Nutrients!$B$77,Nutrients!$EO$77,Nutrients!$EO$78)))))*Q$8))/2000*1000000</f>
        <v>0.29699999999999999</v>
      </c>
      <c r="R323" s="23">
        <f>(SUMPRODUCT(R$9:R$229,Nutrients!$EO$8:$EO$228)+(IF($A$7=Nutrients!$B$8,Nutrients!$EO$8,Nutrients!$EO$9)*R$7)+(((IF($A$8=Nutrients!$B$79,Nutrients!$EO$79,(IF($A$8=Nutrients!$B$77,Nutrients!$EO$77,Nutrients!$EO$78)))))*R$8))/2000*1000000</f>
        <v>0.24750000000000003</v>
      </c>
      <c r="S323" s="23">
        <f>(SUMPRODUCT(S$9:S$229,Nutrients!$EO$8:$EO$228)+(IF($A$7=Nutrients!$B$8,Nutrients!$EO$8,Nutrients!$EO$9)*S$7)+(((IF($A$8=Nutrients!$B$79,Nutrients!$EO$79,(IF($A$8=Nutrients!$B$77,Nutrients!$EO$77,Nutrients!$EO$78)))))*S$8))/2000*1000000</f>
        <v>0.19800000000000001</v>
      </c>
      <c r="T323" s="23">
        <f>(SUMPRODUCT(T$9:T$229,Nutrients!$EO$8:$EO$228)+(IF($A$7=Nutrients!$B$8,Nutrients!$EO$8,Nutrients!$EO$9)*T$7)+(((IF($A$8=Nutrients!$B$79,Nutrients!$EO$79,(IF($A$8=Nutrients!$B$77,Nutrients!$EO$77,Nutrients!$EO$78)))))*T$8))/2000*1000000</f>
        <v>0.14849999999999999</v>
      </c>
      <c r="U323" s="23">
        <f>(SUMPRODUCT(U$9:U$229,Nutrients!$EO$8:$EO$228)+(IF($A$7=Nutrients!$B$8,Nutrients!$EO$8,Nutrients!$EO$9)*U$7)+(((IF($A$8=Nutrients!$B$79,Nutrients!$EO$79,(IF($A$8=Nutrients!$B$77,Nutrients!$EO$77,Nutrients!$EO$78)))))*U$8))/2000*1000000</f>
        <v>0.14849999999999999</v>
      </c>
      <c r="W323" s="23">
        <f>(SUMPRODUCT(W$9:W$229,Nutrients!$EO$8:$EO$228)+(IF($A$7=Nutrients!$B$8,Nutrients!$EO$8,Nutrients!$EO$9)*W$7)+(((IF($A$8=Nutrients!$B$79,Nutrients!$EO$79,(IF($A$8=Nutrients!$B$77,Nutrients!$EO$77,Nutrients!$EO$78)))))*W$8))/2000*1000000</f>
        <v>0.29699999999999999</v>
      </c>
      <c r="X323" s="23">
        <f>(SUMPRODUCT(X$9:X$229,Nutrients!$EO$8:$EO$228)+(IF($A$7=Nutrients!$B$8,Nutrients!$EO$8,Nutrients!$EO$9)*X$7)+(((IF($A$8=Nutrients!$B$79,Nutrients!$EO$79,(IF($A$8=Nutrients!$B$77,Nutrients!$EO$77,Nutrients!$EO$78)))))*X$8))/2000*1000000</f>
        <v>0.29699999999999999</v>
      </c>
      <c r="Y323" s="23">
        <f>(SUMPRODUCT(Y$9:Y$229,Nutrients!$EO$8:$EO$228)+(IF($A$7=Nutrients!$B$8,Nutrients!$EO$8,Nutrients!$EO$9)*Y$7)+(((IF($A$8=Nutrients!$B$79,Nutrients!$EO$79,(IF($A$8=Nutrients!$B$77,Nutrients!$EO$77,Nutrients!$EO$78)))))*Y$8))/2000*1000000</f>
        <v>0.24750000000000003</v>
      </c>
      <c r="Z323" s="23">
        <f>(SUMPRODUCT(Z$9:Z$229,Nutrients!$EO$8:$EO$228)+(IF($A$7=Nutrients!$B$8,Nutrients!$EO$8,Nutrients!$EO$9)*Z$7)+(((IF($A$8=Nutrients!$B$79,Nutrients!$EO$79,(IF($A$8=Nutrients!$B$77,Nutrients!$EO$77,Nutrients!$EO$78)))))*Z$8))/2000*1000000</f>
        <v>0.19800000000000001</v>
      </c>
      <c r="AA323" s="23">
        <f>(SUMPRODUCT(AA$9:AA$229,Nutrients!$EO$8:$EO$228)+(IF($A$7=Nutrients!$B$8,Nutrients!$EO$8,Nutrients!$EO$9)*AA$7)+(((IF($A$8=Nutrients!$B$79,Nutrients!$EO$79,(IF($A$8=Nutrients!$B$77,Nutrients!$EO$77,Nutrients!$EO$78)))))*AA$8))/2000*1000000</f>
        <v>0.14849999999999999</v>
      </c>
      <c r="AB323" s="23">
        <f>(SUMPRODUCT(AB$9:AB$229,Nutrients!$EO$8:$EO$228)+(IF($A$7=Nutrients!$B$8,Nutrients!$EO$8,Nutrients!$EO$9)*AB$7)+(((IF($A$8=Nutrients!$B$79,Nutrients!$EO$79,(IF($A$8=Nutrients!$B$77,Nutrients!$EO$77,Nutrients!$EO$78)))))*AB$8))/2000*1000000</f>
        <v>0.14849999999999999</v>
      </c>
      <c r="AD323" s="23">
        <f>(SUMPRODUCT(AD$9:AD$229,Nutrients!$EO$8:$EO$228)+(IF($A$7=Nutrients!$B$8,Nutrients!$EO$8,Nutrients!$EO$9)*AD$7)+(((IF($A$8=Nutrients!$B$79,Nutrients!$EO$79,(IF($A$8=Nutrients!$B$77,Nutrients!$EO$77,Nutrients!$EO$78)))))*AD$8))/2000*1000000</f>
        <v>0.29699999999999999</v>
      </c>
      <c r="AE323" s="23">
        <f>(SUMPRODUCT(AE$9:AE$229,Nutrients!$EO$8:$EO$228)+(IF($A$7=Nutrients!$B$8,Nutrients!$EO$8,Nutrients!$EO$9)*AE$7)+(((IF($A$8=Nutrients!$B$79,Nutrients!$EO$79,(IF($A$8=Nutrients!$B$77,Nutrients!$EO$77,Nutrients!$EO$78)))))*AE$8))/2000*1000000</f>
        <v>0.29699999999999999</v>
      </c>
      <c r="AF323" s="23">
        <f>(SUMPRODUCT(AF$9:AF$229,Nutrients!$EO$8:$EO$228)+(IF($A$7=Nutrients!$B$8,Nutrients!$EO$8,Nutrients!$EO$9)*AF$7)+(((IF($A$8=Nutrients!$B$79,Nutrients!$EO$79,(IF($A$8=Nutrients!$B$77,Nutrients!$EO$77,Nutrients!$EO$78)))))*AF$8))/2000*1000000</f>
        <v>0.24750000000000003</v>
      </c>
      <c r="AG323" s="23">
        <f>(SUMPRODUCT(AG$9:AG$229,Nutrients!$EO$8:$EO$228)+(IF($A$7=Nutrients!$B$8,Nutrients!$EO$8,Nutrients!$EO$9)*AG$7)+(((IF($A$8=Nutrients!$B$79,Nutrients!$EO$79,(IF($A$8=Nutrients!$B$77,Nutrients!$EO$77,Nutrients!$EO$78)))))*AG$8))/2000*1000000</f>
        <v>0.19800000000000001</v>
      </c>
      <c r="AH323" s="23">
        <f>(SUMPRODUCT(AH$9:AH$229,Nutrients!$EO$8:$EO$228)+(IF($A$7=Nutrients!$B$8,Nutrients!$EO$8,Nutrients!$EO$9)*AH$7)+(((IF($A$8=Nutrients!$B$79,Nutrients!$EO$79,(IF($A$8=Nutrients!$B$77,Nutrients!$EO$77,Nutrients!$EO$78)))))*AH$8))/2000*1000000</f>
        <v>0.14849999999999999</v>
      </c>
      <c r="AI323" s="23">
        <f>(SUMPRODUCT(AI$9:AI$229,Nutrients!$EO$8:$EO$228)+(IF($A$7=Nutrients!$B$8,Nutrients!$EO$8,Nutrients!$EO$9)*AI$7)+(((IF($A$8=Nutrients!$B$79,Nutrients!$EO$79,(IF($A$8=Nutrients!$B$77,Nutrients!$EO$77,Nutrients!$EO$78)))))*AI$8))/2000*1000000</f>
        <v>0.14849999999999999</v>
      </c>
      <c r="AK323" s="23">
        <f>(SUMPRODUCT(AK$9:AK$229,Nutrients!$EO$8:$EO$228)+(IF($A$7=Nutrients!$B$8,Nutrients!$EO$8,Nutrients!$EO$9)*AK$7)+(((IF($A$8=Nutrients!$B$79,Nutrients!$EO$79,(IF($A$8=Nutrients!$B$77,Nutrients!$EO$77,Nutrients!$EO$78)))))*AK$8))/2000*1000000</f>
        <v>0.29699999999999999</v>
      </c>
      <c r="AL323" s="23">
        <f>(SUMPRODUCT(AL$9:AL$229,Nutrients!$EO$8:$EO$228)+(IF($A$7=Nutrients!$B$8,Nutrients!$EO$8,Nutrients!$EO$9)*AL$7)+(((IF($A$8=Nutrients!$B$79,Nutrients!$EO$79,(IF($A$8=Nutrients!$B$77,Nutrients!$EO$77,Nutrients!$EO$78)))))*AL$8))/2000*1000000</f>
        <v>0.29699999999999999</v>
      </c>
      <c r="AM323" s="23">
        <f>(SUMPRODUCT(AM$9:AM$229,Nutrients!$EO$8:$EO$228)+(IF($A$7=Nutrients!$B$8,Nutrients!$EO$8,Nutrients!$EO$9)*AM$7)+(((IF($A$8=Nutrients!$B$79,Nutrients!$EO$79,(IF($A$8=Nutrients!$B$77,Nutrients!$EO$77,Nutrients!$EO$78)))))*AM$8))/2000*1000000</f>
        <v>0.24750000000000003</v>
      </c>
      <c r="AN323" s="23">
        <f>(SUMPRODUCT(AN$9:AN$229,Nutrients!$EO$8:$EO$228)+(IF($A$7=Nutrients!$B$8,Nutrients!$EO$8,Nutrients!$EO$9)*AN$7)+(((IF($A$8=Nutrients!$B$79,Nutrients!$EO$79,(IF($A$8=Nutrients!$B$77,Nutrients!$EO$77,Nutrients!$EO$78)))))*AN$8))/2000*1000000</f>
        <v>0.19800000000000001</v>
      </c>
      <c r="AO323" s="23">
        <f>(SUMPRODUCT(AO$9:AO$229,Nutrients!$EO$8:$EO$228)+(IF($A$7=Nutrients!$B$8,Nutrients!$EO$8,Nutrients!$EO$9)*AO$7)+(((IF($A$8=Nutrients!$B$79,Nutrients!$EO$79,(IF($A$8=Nutrients!$B$77,Nutrients!$EO$77,Nutrients!$EO$78)))))*AO$8))/2000*1000000</f>
        <v>0.14849999999999999</v>
      </c>
      <c r="AP323" s="23">
        <f>(SUMPRODUCT(AP$9:AP$229,Nutrients!$EO$8:$EO$228)+(IF($A$7=Nutrients!$B$8,Nutrients!$EO$8,Nutrients!$EO$9)*AP$7)+(((IF($A$8=Nutrients!$B$79,Nutrients!$EO$79,(IF($A$8=Nutrients!$B$77,Nutrients!$EO$77,Nutrients!$EO$78)))))*AP$8))/2000*1000000</f>
        <v>0.14849999999999999</v>
      </c>
      <c r="AR323" s="23">
        <f>(SUMPRODUCT(AR$9:AR$229,Nutrients!$EO$8:$EO$228)+(IF($A$7=Nutrients!$B$8,Nutrients!$EO$8,Nutrients!$EO$9)*AR$7)+(((IF($A$8=Nutrients!$B$79,Nutrients!$EO$79,(IF($A$8=Nutrients!$B$77,Nutrients!$EO$77,Nutrients!$EO$78)))))*AR$8))/2000*1000000</f>
        <v>0.29699999999999999</v>
      </c>
      <c r="AS323" s="23">
        <f>(SUMPRODUCT(AS$9:AS$229,Nutrients!$EO$8:$EO$228)+(IF($A$7=Nutrients!$B$8,Nutrients!$EO$8,Nutrients!$EO$9)*AS$7)+(((IF($A$8=Nutrients!$B$79,Nutrients!$EO$79,(IF($A$8=Nutrients!$B$77,Nutrients!$EO$77,Nutrients!$EO$78)))))*AS$8))/2000*1000000</f>
        <v>0.29699999999999999</v>
      </c>
      <c r="AT323" s="23">
        <f>(SUMPRODUCT(AT$9:AT$229,Nutrients!$EO$8:$EO$228)+(IF($A$7=Nutrients!$B$8,Nutrients!$EO$8,Nutrients!$EO$9)*AT$7)+(((IF($A$8=Nutrients!$B$79,Nutrients!$EO$79,(IF($A$8=Nutrients!$B$77,Nutrients!$EO$77,Nutrients!$EO$78)))))*AT$8))/2000*1000000</f>
        <v>0.24750000000000003</v>
      </c>
      <c r="AU323" s="23">
        <f>(SUMPRODUCT(AU$9:AU$229,Nutrients!$EO$8:$EO$228)+(IF($A$7=Nutrients!$B$8,Nutrients!$EO$8,Nutrients!$EO$9)*AU$7)+(((IF($A$8=Nutrients!$B$79,Nutrients!$EO$79,(IF($A$8=Nutrients!$B$77,Nutrients!$EO$77,Nutrients!$EO$78)))))*AU$8))/2000*1000000</f>
        <v>0.19800000000000001</v>
      </c>
      <c r="AV323" s="23">
        <f>(SUMPRODUCT(AV$9:AV$229,Nutrients!$EO$8:$EO$228)+(IF($A$7=Nutrients!$B$8,Nutrients!$EO$8,Nutrients!$EO$9)*AV$7)+(((IF($A$8=Nutrients!$B$79,Nutrients!$EO$79,(IF($A$8=Nutrients!$B$77,Nutrients!$EO$77,Nutrients!$EO$78)))))*AV$8))/2000*1000000</f>
        <v>0.14849999999999999</v>
      </c>
      <c r="AW323" s="23">
        <f>(SUMPRODUCT(AW$9:AW$229,Nutrients!$EO$8:$EO$228)+(IF($A$7=Nutrients!$B$8,Nutrients!$EO$8,Nutrients!$EO$9)*AW$7)+(((IF($A$8=Nutrients!$B$79,Nutrients!$EO$79,(IF($A$8=Nutrients!$B$77,Nutrients!$EO$77,Nutrients!$EO$78)))))*AW$8))/2000*1000000</f>
        <v>0.14849999999999999</v>
      </c>
    </row>
    <row r="324" spans="1:49" x14ac:dyDescent="0.25">
      <c r="A324" s="34" t="s">
        <v>117</v>
      </c>
      <c r="B324" s="23">
        <f>(SUMPRODUCT(B$9:B$229,Nutrients!$EP$8:$EP$228)+(IF($A$7=Nutrients!$B$8,Nutrients!$EP$8,Nutrients!$EP$9)*B$7)+(((IF($A$8=Nutrients!$B$79,Nutrients!$EP$79,(IF($A$8=Nutrients!$B$77,Nutrients!$EP$77,Nutrients!$EP$78)))))*B$8))/2000*1000000</f>
        <v>0.29699999999999999</v>
      </c>
      <c r="C324" s="23">
        <f>(SUMPRODUCT(C$9:C$229,Nutrients!$EP$8:$EP$228)+(IF($A$7=Nutrients!$B$8,Nutrients!$EP$8,Nutrients!$EP$9)*C$7)+(((IF($A$8=Nutrients!$B$79,Nutrients!$EP$79,(IF($A$8=Nutrients!$B$77,Nutrients!$EP$77,Nutrients!$EP$78)))))*C$8))/2000*1000000</f>
        <v>0.29699999999999999</v>
      </c>
      <c r="D324" s="23">
        <f>(SUMPRODUCT(D$9:D$229,Nutrients!$EP$8:$EP$228)+(IF($A$7=Nutrients!$B$8,Nutrients!$EP$8,Nutrients!$EP$9)*D$7)+(((IF($A$8=Nutrients!$B$79,Nutrients!$EP$79,(IF($A$8=Nutrients!$B$77,Nutrients!$EP$77,Nutrients!$EP$78)))))*D$8))/2000*1000000</f>
        <v>0.24750000000000003</v>
      </c>
      <c r="E324" s="23">
        <f>(SUMPRODUCT(E$9:E$229,Nutrients!$EP$8:$EP$228)+(IF($A$7=Nutrients!$B$8,Nutrients!$EP$8,Nutrients!$EP$9)*E$7)+(((IF($A$8=Nutrients!$B$79,Nutrients!$EP$79,(IF($A$8=Nutrients!$B$77,Nutrients!$EP$77,Nutrients!$EP$78)))))*E$8))/2000*1000000</f>
        <v>0.19800000000000001</v>
      </c>
      <c r="F324" s="23">
        <f>(SUMPRODUCT(F$9:F$229,Nutrients!$EP$8:$EP$228)+(IF($A$7=Nutrients!$B$8,Nutrients!$EP$8,Nutrients!$EP$9)*F$7)+(((IF($A$8=Nutrients!$B$79,Nutrients!$EP$79,(IF($A$8=Nutrients!$B$77,Nutrients!$EP$77,Nutrients!$EP$78)))))*F$8))/2000*1000000</f>
        <v>0.14849999999999999</v>
      </c>
      <c r="G324" s="23">
        <f>(SUMPRODUCT(G$9:G$229,Nutrients!$EP$8:$EP$228)+(IF($A$7=Nutrients!$B$8,Nutrients!$EP$8,Nutrients!$EP$9)*G$7)+(((IF($A$8=Nutrients!$B$79,Nutrients!$EP$79,(IF($A$8=Nutrients!$B$77,Nutrients!$EP$77,Nutrients!$EP$78)))))*G$8))/2000*1000000</f>
        <v>0.14849999999999999</v>
      </c>
      <c r="H324" s="227"/>
      <c r="I324" s="23">
        <f>(SUMPRODUCT(I$9:I$229,Nutrients!$EP$8:$EP$228)+(IF($A$7=Nutrients!$B$8,Nutrients!$EP$8,Nutrients!$EP$9)*I$7)+(((IF($A$8=Nutrients!$B$79,Nutrients!$EP$79,(IF($A$8=Nutrients!$B$77,Nutrients!$EP$77,Nutrients!$EP$78)))))*I$8))/2000*1000000</f>
        <v>0.29699999999999999</v>
      </c>
      <c r="J324" s="23">
        <f>(SUMPRODUCT(J$9:J$229,Nutrients!$EP$8:$EP$228)+(IF($A$7=Nutrients!$B$8,Nutrients!$EP$8,Nutrients!$EP$9)*J$7)+(((IF($A$8=Nutrients!$B$79,Nutrients!$EP$79,(IF($A$8=Nutrients!$B$77,Nutrients!$EP$77,Nutrients!$EP$78)))))*J$8))/2000*1000000</f>
        <v>0.29699999999999999</v>
      </c>
      <c r="K324" s="23">
        <f>(SUMPRODUCT(K$9:K$229,Nutrients!$EP$8:$EP$228)+(IF($A$7=Nutrients!$B$8,Nutrients!$EP$8,Nutrients!$EP$9)*K$7)+(((IF($A$8=Nutrients!$B$79,Nutrients!$EP$79,(IF($A$8=Nutrients!$B$77,Nutrients!$EP$77,Nutrients!$EP$78)))))*K$8))/2000*1000000</f>
        <v>0.24750000000000003</v>
      </c>
      <c r="L324" s="23">
        <f>(SUMPRODUCT(L$9:L$229,Nutrients!$EP$8:$EP$228)+(IF($A$7=Nutrients!$B$8,Nutrients!$EP$8,Nutrients!$EP$9)*L$7)+(((IF($A$8=Nutrients!$B$79,Nutrients!$EP$79,(IF($A$8=Nutrients!$B$77,Nutrients!$EP$77,Nutrients!$EP$78)))))*L$8))/2000*1000000</f>
        <v>0.19800000000000001</v>
      </c>
      <c r="M324" s="23">
        <f>(SUMPRODUCT(M$9:M$229,Nutrients!$EP$8:$EP$228)+(IF($A$7=Nutrients!$B$8,Nutrients!$EP$8,Nutrients!$EP$9)*M$7)+(((IF($A$8=Nutrients!$B$79,Nutrients!$EP$79,(IF($A$8=Nutrients!$B$77,Nutrients!$EP$77,Nutrients!$EP$78)))))*M$8))/2000*1000000</f>
        <v>0.14849999999999999</v>
      </c>
      <c r="N324" s="23">
        <f>(SUMPRODUCT(N$9:N$229,Nutrients!$EP$8:$EP$228)+(IF($A$7=Nutrients!$B$8,Nutrients!$EP$8,Nutrients!$EP$9)*N$7)+(((IF($A$8=Nutrients!$B$79,Nutrients!$EP$79,(IF($A$8=Nutrients!$B$77,Nutrients!$EP$77,Nutrients!$EP$78)))))*N$8))/2000*1000000</f>
        <v>0.14849999999999999</v>
      </c>
      <c r="O324" s="198"/>
      <c r="P324" s="23">
        <f>(SUMPRODUCT(P$9:P$229,Nutrients!$EP$8:$EP$228)+(IF($A$7=Nutrients!$B$8,Nutrients!$EP$8,Nutrients!$EP$9)*P$7)+(((IF($A$8=Nutrients!$B$79,Nutrients!$EP$79,(IF($A$8=Nutrients!$B$77,Nutrients!$EP$77,Nutrients!$EP$78)))))*P$8))/2000*1000000</f>
        <v>0.29699999999999999</v>
      </c>
      <c r="Q324" s="23">
        <f>(SUMPRODUCT(Q$9:Q$229,Nutrients!$EP$8:$EP$228)+(IF($A$7=Nutrients!$B$8,Nutrients!$EP$8,Nutrients!$EP$9)*Q$7)+(((IF($A$8=Nutrients!$B$79,Nutrients!$EP$79,(IF($A$8=Nutrients!$B$77,Nutrients!$EP$77,Nutrients!$EP$78)))))*Q$8))/2000*1000000</f>
        <v>0.29699999999999999</v>
      </c>
      <c r="R324" s="23">
        <f>(SUMPRODUCT(R$9:R$229,Nutrients!$EP$8:$EP$228)+(IF($A$7=Nutrients!$B$8,Nutrients!$EP$8,Nutrients!$EP$9)*R$7)+(((IF($A$8=Nutrients!$B$79,Nutrients!$EP$79,(IF($A$8=Nutrients!$B$77,Nutrients!$EP$77,Nutrients!$EP$78)))))*R$8))/2000*1000000</f>
        <v>0.24750000000000003</v>
      </c>
      <c r="S324" s="23">
        <f>(SUMPRODUCT(S$9:S$229,Nutrients!$EP$8:$EP$228)+(IF($A$7=Nutrients!$B$8,Nutrients!$EP$8,Nutrients!$EP$9)*S$7)+(((IF($A$8=Nutrients!$B$79,Nutrients!$EP$79,(IF($A$8=Nutrients!$B$77,Nutrients!$EP$77,Nutrients!$EP$78)))))*S$8))/2000*1000000</f>
        <v>0.19800000000000001</v>
      </c>
      <c r="T324" s="23">
        <f>(SUMPRODUCT(T$9:T$229,Nutrients!$EP$8:$EP$228)+(IF($A$7=Nutrients!$B$8,Nutrients!$EP$8,Nutrients!$EP$9)*T$7)+(((IF($A$8=Nutrients!$B$79,Nutrients!$EP$79,(IF($A$8=Nutrients!$B$77,Nutrients!$EP$77,Nutrients!$EP$78)))))*T$8))/2000*1000000</f>
        <v>0.14849999999999999</v>
      </c>
      <c r="U324" s="23">
        <f>(SUMPRODUCT(U$9:U$229,Nutrients!$EP$8:$EP$228)+(IF($A$7=Nutrients!$B$8,Nutrients!$EP$8,Nutrients!$EP$9)*U$7)+(((IF($A$8=Nutrients!$B$79,Nutrients!$EP$79,(IF($A$8=Nutrients!$B$77,Nutrients!$EP$77,Nutrients!$EP$78)))))*U$8))/2000*1000000</f>
        <v>0.14849999999999999</v>
      </c>
      <c r="W324" s="23">
        <f>(SUMPRODUCT(W$9:W$229,Nutrients!$EP$8:$EP$228)+(IF($A$7=Nutrients!$B$8,Nutrients!$EP$8,Nutrients!$EP$9)*W$7)+(((IF($A$8=Nutrients!$B$79,Nutrients!$EP$79,(IF($A$8=Nutrients!$B$77,Nutrients!$EP$77,Nutrients!$EP$78)))))*W$8))/2000*1000000</f>
        <v>0.29699999999999999</v>
      </c>
      <c r="X324" s="23">
        <f>(SUMPRODUCT(X$9:X$229,Nutrients!$EP$8:$EP$228)+(IF($A$7=Nutrients!$B$8,Nutrients!$EP$8,Nutrients!$EP$9)*X$7)+(((IF($A$8=Nutrients!$B$79,Nutrients!$EP$79,(IF($A$8=Nutrients!$B$77,Nutrients!$EP$77,Nutrients!$EP$78)))))*X$8))/2000*1000000</f>
        <v>0.29699999999999999</v>
      </c>
      <c r="Y324" s="23">
        <f>(SUMPRODUCT(Y$9:Y$229,Nutrients!$EP$8:$EP$228)+(IF($A$7=Nutrients!$B$8,Nutrients!$EP$8,Nutrients!$EP$9)*Y$7)+(((IF($A$8=Nutrients!$B$79,Nutrients!$EP$79,(IF($A$8=Nutrients!$B$77,Nutrients!$EP$77,Nutrients!$EP$78)))))*Y$8))/2000*1000000</f>
        <v>0.24750000000000003</v>
      </c>
      <c r="Z324" s="23">
        <f>(SUMPRODUCT(Z$9:Z$229,Nutrients!$EP$8:$EP$228)+(IF($A$7=Nutrients!$B$8,Nutrients!$EP$8,Nutrients!$EP$9)*Z$7)+(((IF($A$8=Nutrients!$B$79,Nutrients!$EP$79,(IF($A$8=Nutrients!$B$77,Nutrients!$EP$77,Nutrients!$EP$78)))))*Z$8))/2000*1000000</f>
        <v>0.19800000000000001</v>
      </c>
      <c r="AA324" s="23">
        <f>(SUMPRODUCT(AA$9:AA$229,Nutrients!$EP$8:$EP$228)+(IF($A$7=Nutrients!$B$8,Nutrients!$EP$8,Nutrients!$EP$9)*AA$7)+(((IF($A$8=Nutrients!$B$79,Nutrients!$EP$79,(IF($A$8=Nutrients!$B$77,Nutrients!$EP$77,Nutrients!$EP$78)))))*AA$8))/2000*1000000</f>
        <v>0.14849999999999999</v>
      </c>
      <c r="AB324" s="23">
        <f>(SUMPRODUCT(AB$9:AB$229,Nutrients!$EP$8:$EP$228)+(IF($A$7=Nutrients!$B$8,Nutrients!$EP$8,Nutrients!$EP$9)*AB$7)+(((IF($A$8=Nutrients!$B$79,Nutrients!$EP$79,(IF($A$8=Nutrients!$B$77,Nutrients!$EP$77,Nutrients!$EP$78)))))*AB$8))/2000*1000000</f>
        <v>0.14849999999999999</v>
      </c>
      <c r="AD324" s="23">
        <f>(SUMPRODUCT(AD$9:AD$229,Nutrients!$EP$8:$EP$228)+(IF($A$7=Nutrients!$B$8,Nutrients!$EP$8,Nutrients!$EP$9)*AD$7)+(((IF($A$8=Nutrients!$B$79,Nutrients!$EP$79,(IF($A$8=Nutrients!$B$77,Nutrients!$EP$77,Nutrients!$EP$78)))))*AD$8))/2000*1000000</f>
        <v>0.29699999999999999</v>
      </c>
      <c r="AE324" s="23">
        <f>(SUMPRODUCT(AE$9:AE$229,Nutrients!$EP$8:$EP$228)+(IF($A$7=Nutrients!$B$8,Nutrients!$EP$8,Nutrients!$EP$9)*AE$7)+(((IF($A$8=Nutrients!$B$79,Nutrients!$EP$79,(IF($A$8=Nutrients!$B$77,Nutrients!$EP$77,Nutrients!$EP$78)))))*AE$8))/2000*1000000</f>
        <v>0.29699999999999999</v>
      </c>
      <c r="AF324" s="23">
        <f>(SUMPRODUCT(AF$9:AF$229,Nutrients!$EP$8:$EP$228)+(IF($A$7=Nutrients!$B$8,Nutrients!$EP$8,Nutrients!$EP$9)*AF$7)+(((IF($A$8=Nutrients!$B$79,Nutrients!$EP$79,(IF($A$8=Nutrients!$B$77,Nutrients!$EP$77,Nutrients!$EP$78)))))*AF$8))/2000*1000000</f>
        <v>0.24750000000000003</v>
      </c>
      <c r="AG324" s="23">
        <f>(SUMPRODUCT(AG$9:AG$229,Nutrients!$EP$8:$EP$228)+(IF($A$7=Nutrients!$B$8,Nutrients!$EP$8,Nutrients!$EP$9)*AG$7)+(((IF($A$8=Nutrients!$B$79,Nutrients!$EP$79,(IF($A$8=Nutrients!$B$77,Nutrients!$EP$77,Nutrients!$EP$78)))))*AG$8))/2000*1000000</f>
        <v>0.19800000000000001</v>
      </c>
      <c r="AH324" s="23">
        <f>(SUMPRODUCT(AH$9:AH$229,Nutrients!$EP$8:$EP$228)+(IF($A$7=Nutrients!$B$8,Nutrients!$EP$8,Nutrients!$EP$9)*AH$7)+(((IF($A$8=Nutrients!$B$79,Nutrients!$EP$79,(IF($A$8=Nutrients!$B$77,Nutrients!$EP$77,Nutrients!$EP$78)))))*AH$8))/2000*1000000</f>
        <v>0.14849999999999999</v>
      </c>
      <c r="AI324" s="23">
        <f>(SUMPRODUCT(AI$9:AI$229,Nutrients!$EP$8:$EP$228)+(IF($A$7=Nutrients!$B$8,Nutrients!$EP$8,Nutrients!$EP$9)*AI$7)+(((IF($A$8=Nutrients!$B$79,Nutrients!$EP$79,(IF($A$8=Nutrients!$B$77,Nutrients!$EP$77,Nutrients!$EP$78)))))*AI$8))/2000*1000000</f>
        <v>0.14849999999999999</v>
      </c>
      <c r="AK324" s="23">
        <f>(SUMPRODUCT(AK$9:AK$229,Nutrients!$EP$8:$EP$228)+(IF($A$7=Nutrients!$B$8,Nutrients!$EP$8,Nutrients!$EP$9)*AK$7)+(((IF($A$8=Nutrients!$B$79,Nutrients!$EP$79,(IF($A$8=Nutrients!$B$77,Nutrients!$EP$77,Nutrients!$EP$78)))))*AK$8))/2000*1000000</f>
        <v>0.29699999999999999</v>
      </c>
      <c r="AL324" s="23">
        <f>(SUMPRODUCT(AL$9:AL$229,Nutrients!$EP$8:$EP$228)+(IF($A$7=Nutrients!$B$8,Nutrients!$EP$8,Nutrients!$EP$9)*AL$7)+(((IF($A$8=Nutrients!$B$79,Nutrients!$EP$79,(IF($A$8=Nutrients!$B$77,Nutrients!$EP$77,Nutrients!$EP$78)))))*AL$8))/2000*1000000</f>
        <v>0.29699999999999999</v>
      </c>
      <c r="AM324" s="23">
        <f>(SUMPRODUCT(AM$9:AM$229,Nutrients!$EP$8:$EP$228)+(IF($A$7=Nutrients!$B$8,Nutrients!$EP$8,Nutrients!$EP$9)*AM$7)+(((IF($A$8=Nutrients!$B$79,Nutrients!$EP$79,(IF($A$8=Nutrients!$B$77,Nutrients!$EP$77,Nutrients!$EP$78)))))*AM$8))/2000*1000000</f>
        <v>0.24750000000000003</v>
      </c>
      <c r="AN324" s="23">
        <f>(SUMPRODUCT(AN$9:AN$229,Nutrients!$EP$8:$EP$228)+(IF($A$7=Nutrients!$B$8,Nutrients!$EP$8,Nutrients!$EP$9)*AN$7)+(((IF($A$8=Nutrients!$B$79,Nutrients!$EP$79,(IF($A$8=Nutrients!$B$77,Nutrients!$EP$77,Nutrients!$EP$78)))))*AN$8))/2000*1000000</f>
        <v>0.19800000000000001</v>
      </c>
      <c r="AO324" s="23">
        <f>(SUMPRODUCT(AO$9:AO$229,Nutrients!$EP$8:$EP$228)+(IF($A$7=Nutrients!$B$8,Nutrients!$EP$8,Nutrients!$EP$9)*AO$7)+(((IF($A$8=Nutrients!$B$79,Nutrients!$EP$79,(IF($A$8=Nutrients!$B$77,Nutrients!$EP$77,Nutrients!$EP$78)))))*AO$8))/2000*1000000</f>
        <v>0.14849999999999999</v>
      </c>
      <c r="AP324" s="23">
        <f>(SUMPRODUCT(AP$9:AP$229,Nutrients!$EP$8:$EP$228)+(IF($A$7=Nutrients!$B$8,Nutrients!$EP$8,Nutrients!$EP$9)*AP$7)+(((IF($A$8=Nutrients!$B$79,Nutrients!$EP$79,(IF($A$8=Nutrients!$B$77,Nutrients!$EP$77,Nutrients!$EP$78)))))*AP$8))/2000*1000000</f>
        <v>0.14849999999999999</v>
      </c>
      <c r="AR324" s="23">
        <f>(SUMPRODUCT(AR$9:AR$229,Nutrients!$EP$8:$EP$228)+(IF($A$7=Nutrients!$B$8,Nutrients!$EP$8,Nutrients!$EP$9)*AR$7)+(((IF($A$8=Nutrients!$B$79,Nutrients!$EP$79,(IF($A$8=Nutrients!$B$77,Nutrients!$EP$77,Nutrients!$EP$78)))))*AR$8))/2000*1000000</f>
        <v>0.29699999999999999</v>
      </c>
      <c r="AS324" s="23">
        <f>(SUMPRODUCT(AS$9:AS$229,Nutrients!$EP$8:$EP$228)+(IF($A$7=Nutrients!$B$8,Nutrients!$EP$8,Nutrients!$EP$9)*AS$7)+(((IF($A$8=Nutrients!$B$79,Nutrients!$EP$79,(IF($A$8=Nutrients!$B$77,Nutrients!$EP$77,Nutrients!$EP$78)))))*AS$8))/2000*1000000</f>
        <v>0.29699999999999999</v>
      </c>
      <c r="AT324" s="23">
        <f>(SUMPRODUCT(AT$9:AT$229,Nutrients!$EP$8:$EP$228)+(IF($A$7=Nutrients!$B$8,Nutrients!$EP$8,Nutrients!$EP$9)*AT$7)+(((IF($A$8=Nutrients!$B$79,Nutrients!$EP$79,(IF($A$8=Nutrients!$B$77,Nutrients!$EP$77,Nutrients!$EP$78)))))*AT$8))/2000*1000000</f>
        <v>0.24750000000000003</v>
      </c>
      <c r="AU324" s="23">
        <f>(SUMPRODUCT(AU$9:AU$229,Nutrients!$EP$8:$EP$228)+(IF($A$7=Nutrients!$B$8,Nutrients!$EP$8,Nutrients!$EP$9)*AU$7)+(((IF($A$8=Nutrients!$B$79,Nutrients!$EP$79,(IF($A$8=Nutrients!$B$77,Nutrients!$EP$77,Nutrients!$EP$78)))))*AU$8))/2000*1000000</f>
        <v>0.19800000000000001</v>
      </c>
      <c r="AV324" s="23">
        <f>(SUMPRODUCT(AV$9:AV$229,Nutrients!$EP$8:$EP$228)+(IF($A$7=Nutrients!$B$8,Nutrients!$EP$8,Nutrients!$EP$9)*AV$7)+(((IF($A$8=Nutrients!$B$79,Nutrients!$EP$79,(IF($A$8=Nutrients!$B$77,Nutrients!$EP$77,Nutrients!$EP$78)))))*AV$8))/2000*1000000</f>
        <v>0.14849999999999999</v>
      </c>
      <c r="AW324" s="23">
        <f>(SUMPRODUCT(AW$9:AW$229,Nutrients!$EP$8:$EP$228)+(IF($A$7=Nutrients!$B$8,Nutrients!$EP$8,Nutrients!$EP$9)*AW$7)+(((IF($A$8=Nutrients!$B$79,Nutrients!$EP$79,(IF($A$8=Nutrients!$B$77,Nutrients!$EP$77,Nutrients!$EP$78)))))*AW$8))/2000*1000000</f>
        <v>0.14849999999999999</v>
      </c>
    </row>
    <row r="325" spans="1:49" x14ac:dyDescent="0.25">
      <c r="A325" s="34" t="s">
        <v>118</v>
      </c>
      <c r="B325" s="21">
        <f>(SUMPRODUCT(B$9:B$229,Nutrients!$EQ$8:$EQ$228)+(IF($A$7=Nutrients!$B$8,Nutrients!$EQ$8,Nutrients!$EQ$9)*B$7)+(((IF($A$8=Nutrients!$B$79,Nutrients!$EQ$79,(IF($A$8=Nutrients!$B$77,Nutrients!$EQ$77,Nutrients!$EQ$78)))))*B$8))/2000*1000000000</f>
        <v>0</v>
      </c>
      <c r="C325" s="21">
        <f>(SUMPRODUCT(C$9:C$229,Nutrients!$EQ$8:$EQ$228)+(IF($A$7=Nutrients!$B$8,Nutrients!$EQ$8,Nutrients!$EQ$9)*C$7)+(((IF($A$8=Nutrients!$B$79,Nutrients!$EQ$79,(IF($A$8=Nutrients!$B$77,Nutrients!$EQ$77,Nutrients!$EQ$78)))))*C$8))/2000*1000000000</f>
        <v>0</v>
      </c>
      <c r="D325" s="21">
        <f>(SUMPRODUCT(D$9:D$229,Nutrients!$EQ$8:$EQ$228)+(IF($A$7=Nutrients!$B$8,Nutrients!$EQ$8,Nutrients!$EQ$9)*D$7)+(((IF($A$8=Nutrients!$B$79,Nutrients!$EQ$79,(IF($A$8=Nutrients!$B$77,Nutrients!$EQ$77,Nutrients!$EQ$78)))))*D$8))/2000*1000000000</f>
        <v>0</v>
      </c>
      <c r="E325" s="21">
        <f>(SUMPRODUCT(E$9:E$229,Nutrients!$EQ$8:$EQ$228)+(IF($A$7=Nutrients!$B$8,Nutrients!$EQ$8,Nutrients!$EQ$9)*E$7)+(((IF($A$8=Nutrients!$B$79,Nutrients!$EQ$79,(IF($A$8=Nutrients!$B$77,Nutrients!$EQ$77,Nutrients!$EQ$78)))))*E$8))/2000*1000000000</f>
        <v>0</v>
      </c>
      <c r="F325" s="21">
        <f>(SUMPRODUCT(F$9:F$229,Nutrients!$EQ$8:$EQ$228)+(IF($A$7=Nutrients!$B$8,Nutrients!$EQ$8,Nutrients!$EQ$9)*F$7)+(((IF($A$8=Nutrients!$B$79,Nutrients!$EQ$79,(IF($A$8=Nutrients!$B$77,Nutrients!$EQ$77,Nutrients!$EQ$78)))))*F$8))/2000*1000000000</f>
        <v>0</v>
      </c>
      <c r="G325" s="21">
        <f>(SUMPRODUCT(G$9:G$229,Nutrients!$EQ$8:$EQ$228)+(IF($A$7=Nutrients!$B$8,Nutrients!$EQ$8,Nutrients!$EQ$9)*G$7)+(((IF($A$8=Nutrients!$B$79,Nutrients!$EQ$79,(IF($A$8=Nutrients!$B$77,Nutrients!$EQ$77,Nutrients!$EQ$78)))))*G$8))/2000*1000000000</f>
        <v>0</v>
      </c>
      <c r="H325" s="226"/>
      <c r="I325" s="21">
        <f>(SUMPRODUCT(I$9:I$229,Nutrients!$EQ$8:$EQ$228)+(IF($A$7=Nutrients!$B$8,Nutrients!$EQ$8,Nutrients!$EQ$9)*I$7)+(((IF($A$8=Nutrients!$B$79,Nutrients!$EQ$79,(IF($A$8=Nutrients!$B$77,Nutrients!$EQ$77,Nutrients!$EQ$78)))))*I$8))/2000*1000000000</f>
        <v>0</v>
      </c>
      <c r="J325" s="21">
        <f>(SUMPRODUCT(J$9:J$229,Nutrients!$EQ$8:$EQ$228)+(IF($A$7=Nutrients!$B$8,Nutrients!$EQ$8,Nutrients!$EQ$9)*J$7)+(((IF($A$8=Nutrients!$B$79,Nutrients!$EQ$79,(IF($A$8=Nutrients!$B$77,Nutrients!$EQ$77,Nutrients!$EQ$78)))))*J$8))/2000*1000000000</f>
        <v>0</v>
      </c>
      <c r="K325" s="21">
        <f>(SUMPRODUCT(K$9:K$229,Nutrients!$EQ$8:$EQ$228)+(IF($A$7=Nutrients!$B$8,Nutrients!$EQ$8,Nutrients!$EQ$9)*K$7)+(((IF($A$8=Nutrients!$B$79,Nutrients!$EQ$79,(IF($A$8=Nutrients!$B$77,Nutrients!$EQ$77,Nutrients!$EQ$78)))))*K$8))/2000*1000000000</f>
        <v>0</v>
      </c>
      <c r="L325" s="21">
        <f>(SUMPRODUCT(L$9:L$229,Nutrients!$EQ$8:$EQ$228)+(IF($A$7=Nutrients!$B$8,Nutrients!$EQ$8,Nutrients!$EQ$9)*L$7)+(((IF($A$8=Nutrients!$B$79,Nutrients!$EQ$79,(IF($A$8=Nutrients!$B$77,Nutrients!$EQ$77,Nutrients!$EQ$78)))))*L$8))/2000*1000000000</f>
        <v>0</v>
      </c>
      <c r="M325" s="21">
        <f>(SUMPRODUCT(M$9:M$229,Nutrients!$EQ$8:$EQ$228)+(IF($A$7=Nutrients!$B$8,Nutrients!$EQ$8,Nutrients!$EQ$9)*M$7)+(((IF($A$8=Nutrients!$B$79,Nutrients!$EQ$79,(IF($A$8=Nutrients!$B$77,Nutrients!$EQ$77,Nutrients!$EQ$78)))))*M$8))/2000*1000000000</f>
        <v>0</v>
      </c>
      <c r="N325" s="21">
        <f>(SUMPRODUCT(N$9:N$229,Nutrients!$EQ$8:$EQ$228)+(IF($A$7=Nutrients!$B$8,Nutrients!$EQ$8,Nutrients!$EQ$9)*N$7)+(((IF($A$8=Nutrients!$B$79,Nutrients!$EQ$79,(IF($A$8=Nutrients!$B$77,Nutrients!$EQ$77,Nutrients!$EQ$78)))))*N$8))/2000*1000000000</f>
        <v>0</v>
      </c>
      <c r="O325" s="234"/>
      <c r="P325" s="21">
        <f>(SUMPRODUCT(P$9:P$229,Nutrients!$EQ$8:$EQ$228)+(IF($A$7=Nutrients!$B$8,Nutrients!$EQ$8,Nutrients!$EQ$9)*P$7)+(((IF($A$8=Nutrients!$B$79,Nutrients!$EQ$79,(IF($A$8=Nutrients!$B$77,Nutrients!$EQ$77,Nutrients!$EQ$78)))))*P$8))/2000*1000000000</f>
        <v>0</v>
      </c>
      <c r="Q325" s="21">
        <f>(SUMPRODUCT(Q$9:Q$229,Nutrients!$EQ$8:$EQ$228)+(IF($A$7=Nutrients!$B$8,Nutrients!$EQ$8,Nutrients!$EQ$9)*Q$7)+(((IF($A$8=Nutrients!$B$79,Nutrients!$EQ$79,(IF($A$8=Nutrients!$B$77,Nutrients!$EQ$77,Nutrients!$EQ$78)))))*Q$8))/2000*1000000000</f>
        <v>0</v>
      </c>
      <c r="R325" s="21">
        <f>(SUMPRODUCT(R$9:R$229,Nutrients!$EQ$8:$EQ$228)+(IF($A$7=Nutrients!$B$8,Nutrients!$EQ$8,Nutrients!$EQ$9)*R$7)+(((IF($A$8=Nutrients!$B$79,Nutrients!$EQ$79,(IF($A$8=Nutrients!$B$77,Nutrients!$EQ$77,Nutrients!$EQ$78)))))*R$8))/2000*1000000000</f>
        <v>0</v>
      </c>
      <c r="S325" s="21">
        <f>(SUMPRODUCT(S$9:S$229,Nutrients!$EQ$8:$EQ$228)+(IF($A$7=Nutrients!$B$8,Nutrients!$EQ$8,Nutrients!$EQ$9)*S$7)+(((IF($A$8=Nutrients!$B$79,Nutrients!$EQ$79,(IF($A$8=Nutrients!$B$77,Nutrients!$EQ$77,Nutrients!$EQ$78)))))*S$8))/2000*1000000000</f>
        <v>0</v>
      </c>
      <c r="T325" s="21">
        <f>(SUMPRODUCT(T$9:T$229,Nutrients!$EQ$8:$EQ$228)+(IF($A$7=Nutrients!$B$8,Nutrients!$EQ$8,Nutrients!$EQ$9)*T$7)+(((IF($A$8=Nutrients!$B$79,Nutrients!$EQ$79,(IF($A$8=Nutrients!$B$77,Nutrients!$EQ$77,Nutrients!$EQ$78)))))*T$8))/2000*1000000000</f>
        <v>0</v>
      </c>
      <c r="U325" s="21">
        <f>(SUMPRODUCT(U$9:U$229,Nutrients!$EQ$8:$EQ$228)+(IF($A$7=Nutrients!$B$8,Nutrients!$EQ$8,Nutrients!$EQ$9)*U$7)+(((IF($A$8=Nutrients!$B$79,Nutrients!$EQ$79,(IF($A$8=Nutrients!$B$77,Nutrients!$EQ$77,Nutrients!$EQ$78)))))*U$8))/2000*1000000000</f>
        <v>0</v>
      </c>
      <c r="W325" s="21">
        <f>(SUMPRODUCT(W$9:W$229,Nutrients!$EQ$8:$EQ$228)+(IF($A$7=Nutrients!$B$8,Nutrients!$EQ$8,Nutrients!$EQ$9)*W$7)+(((IF($A$8=Nutrients!$B$79,Nutrients!$EQ$79,(IF($A$8=Nutrients!$B$77,Nutrients!$EQ$77,Nutrients!$EQ$78)))))*W$8))/2000*1000000000</f>
        <v>0</v>
      </c>
      <c r="X325" s="21">
        <f>(SUMPRODUCT(X$9:X$229,Nutrients!$EQ$8:$EQ$228)+(IF($A$7=Nutrients!$B$8,Nutrients!$EQ$8,Nutrients!$EQ$9)*X$7)+(((IF($A$8=Nutrients!$B$79,Nutrients!$EQ$79,(IF($A$8=Nutrients!$B$77,Nutrients!$EQ$77,Nutrients!$EQ$78)))))*X$8))/2000*1000000000</f>
        <v>0</v>
      </c>
      <c r="Y325" s="21">
        <f>(SUMPRODUCT(Y$9:Y$229,Nutrients!$EQ$8:$EQ$228)+(IF($A$7=Nutrients!$B$8,Nutrients!$EQ$8,Nutrients!$EQ$9)*Y$7)+(((IF($A$8=Nutrients!$B$79,Nutrients!$EQ$79,(IF($A$8=Nutrients!$B$77,Nutrients!$EQ$77,Nutrients!$EQ$78)))))*Y$8))/2000*1000000000</f>
        <v>0</v>
      </c>
      <c r="Z325" s="21">
        <f>(SUMPRODUCT(Z$9:Z$229,Nutrients!$EQ$8:$EQ$228)+(IF($A$7=Nutrients!$B$8,Nutrients!$EQ$8,Nutrients!$EQ$9)*Z$7)+(((IF($A$8=Nutrients!$B$79,Nutrients!$EQ$79,(IF($A$8=Nutrients!$B$77,Nutrients!$EQ$77,Nutrients!$EQ$78)))))*Z$8))/2000*1000000000</f>
        <v>0</v>
      </c>
      <c r="AA325" s="21">
        <f>(SUMPRODUCT(AA$9:AA$229,Nutrients!$EQ$8:$EQ$228)+(IF($A$7=Nutrients!$B$8,Nutrients!$EQ$8,Nutrients!$EQ$9)*AA$7)+(((IF($A$8=Nutrients!$B$79,Nutrients!$EQ$79,(IF($A$8=Nutrients!$B$77,Nutrients!$EQ$77,Nutrients!$EQ$78)))))*AA$8))/2000*1000000000</f>
        <v>0</v>
      </c>
      <c r="AB325" s="21">
        <f>(SUMPRODUCT(AB$9:AB$229,Nutrients!$EQ$8:$EQ$228)+(IF($A$7=Nutrients!$B$8,Nutrients!$EQ$8,Nutrients!$EQ$9)*AB$7)+(((IF($A$8=Nutrients!$B$79,Nutrients!$EQ$79,(IF($A$8=Nutrients!$B$77,Nutrients!$EQ$77,Nutrients!$EQ$78)))))*AB$8))/2000*1000000000</f>
        <v>0</v>
      </c>
      <c r="AD325" s="21">
        <f>(SUMPRODUCT(AD$9:AD$229,Nutrients!$EQ$8:$EQ$228)+(IF($A$7=Nutrients!$B$8,Nutrients!$EQ$8,Nutrients!$EQ$9)*AD$7)+(((IF($A$8=Nutrients!$B$79,Nutrients!$EQ$79,(IF($A$8=Nutrients!$B$77,Nutrients!$EQ$77,Nutrients!$EQ$78)))))*AD$8))/2000*1000000000</f>
        <v>0</v>
      </c>
      <c r="AE325" s="21">
        <f>(SUMPRODUCT(AE$9:AE$229,Nutrients!$EQ$8:$EQ$228)+(IF($A$7=Nutrients!$B$8,Nutrients!$EQ$8,Nutrients!$EQ$9)*AE$7)+(((IF($A$8=Nutrients!$B$79,Nutrients!$EQ$79,(IF($A$8=Nutrients!$B$77,Nutrients!$EQ$77,Nutrients!$EQ$78)))))*AE$8))/2000*1000000000</f>
        <v>0</v>
      </c>
      <c r="AF325" s="21">
        <f>(SUMPRODUCT(AF$9:AF$229,Nutrients!$EQ$8:$EQ$228)+(IF($A$7=Nutrients!$B$8,Nutrients!$EQ$8,Nutrients!$EQ$9)*AF$7)+(((IF($A$8=Nutrients!$B$79,Nutrients!$EQ$79,(IF($A$8=Nutrients!$B$77,Nutrients!$EQ$77,Nutrients!$EQ$78)))))*AF$8))/2000*1000000000</f>
        <v>0</v>
      </c>
      <c r="AG325" s="21">
        <f>(SUMPRODUCT(AG$9:AG$229,Nutrients!$EQ$8:$EQ$228)+(IF($A$7=Nutrients!$B$8,Nutrients!$EQ$8,Nutrients!$EQ$9)*AG$7)+(((IF($A$8=Nutrients!$B$79,Nutrients!$EQ$79,(IF($A$8=Nutrients!$B$77,Nutrients!$EQ$77,Nutrients!$EQ$78)))))*AG$8))/2000*1000000000</f>
        <v>0</v>
      </c>
      <c r="AH325" s="21">
        <f>(SUMPRODUCT(AH$9:AH$229,Nutrients!$EQ$8:$EQ$228)+(IF($A$7=Nutrients!$B$8,Nutrients!$EQ$8,Nutrients!$EQ$9)*AH$7)+(((IF($A$8=Nutrients!$B$79,Nutrients!$EQ$79,(IF($A$8=Nutrients!$B$77,Nutrients!$EQ$77,Nutrients!$EQ$78)))))*AH$8))/2000*1000000000</f>
        <v>0</v>
      </c>
      <c r="AI325" s="21">
        <f>(SUMPRODUCT(AI$9:AI$229,Nutrients!$EQ$8:$EQ$228)+(IF($A$7=Nutrients!$B$8,Nutrients!$EQ$8,Nutrients!$EQ$9)*AI$7)+(((IF($A$8=Nutrients!$B$79,Nutrients!$EQ$79,(IF($A$8=Nutrients!$B$77,Nutrients!$EQ$77,Nutrients!$EQ$78)))))*AI$8))/2000*1000000000</f>
        <v>0</v>
      </c>
      <c r="AK325" s="21">
        <f>(SUMPRODUCT(AK$9:AK$229,Nutrients!$EQ$8:$EQ$228)+(IF($A$7=Nutrients!$B$8,Nutrients!$EQ$8,Nutrients!$EQ$9)*AK$7)+(((IF($A$8=Nutrients!$B$79,Nutrients!$EQ$79,(IF($A$8=Nutrients!$B$77,Nutrients!$EQ$77,Nutrients!$EQ$78)))))*AK$8))/2000*1000000000</f>
        <v>0</v>
      </c>
      <c r="AL325" s="21">
        <f>(SUMPRODUCT(AL$9:AL$229,Nutrients!$EQ$8:$EQ$228)+(IF($A$7=Nutrients!$B$8,Nutrients!$EQ$8,Nutrients!$EQ$9)*AL$7)+(((IF($A$8=Nutrients!$B$79,Nutrients!$EQ$79,(IF($A$8=Nutrients!$B$77,Nutrients!$EQ$77,Nutrients!$EQ$78)))))*AL$8))/2000*1000000000</f>
        <v>0</v>
      </c>
      <c r="AM325" s="21">
        <f>(SUMPRODUCT(AM$9:AM$229,Nutrients!$EQ$8:$EQ$228)+(IF($A$7=Nutrients!$B$8,Nutrients!$EQ$8,Nutrients!$EQ$9)*AM$7)+(((IF($A$8=Nutrients!$B$79,Nutrients!$EQ$79,(IF($A$8=Nutrients!$B$77,Nutrients!$EQ$77,Nutrients!$EQ$78)))))*AM$8))/2000*1000000000</f>
        <v>0</v>
      </c>
      <c r="AN325" s="21">
        <f>(SUMPRODUCT(AN$9:AN$229,Nutrients!$EQ$8:$EQ$228)+(IF($A$7=Nutrients!$B$8,Nutrients!$EQ$8,Nutrients!$EQ$9)*AN$7)+(((IF($A$8=Nutrients!$B$79,Nutrients!$EQ$79,(IF($A$8=Nutrients!$B$77,Nutrients!$EQ$77,Nutrients!$EQ$78)))))*AN$8))/2000*1000000000</f>
        <v>0</v>
      </c>
      <c r="AO325" s="21">
        <f>(SUMPRODUCT(AO$9:AO$229,Nutrients!$EQ$8:$EQ$228)+(IF($A$7=Nutrients!$B$8,Nutrients!$EQ$8,Nutrients!$EQ$9)*AO$7)+(((IF($A$8=Nutrients!$B$79,Nutrients!$EQ$79,(IF($A$8=Nutrients!$B$77,Nutrients!$EQ$77,Nutrients!$EQ$78)))))*AO$8))/2000*1000000000</f>
        <v>0</v>
      </c>
      <c r="AP325" s="21">
        <f>(SUMPRODUCT(AP$9:AP$229,Nutrients!$EQ$8:$EQ$228)+(IF($A$7=Nutrients!$B$8,Nutrients!$EQ$8,Nutrients!$EQ$9)*AP$7)+(((IF($A$8=Nutrients!$B$79,Nutrients!$EQ$79,(IF($A$8=Nutrients!$B$77,Nutrients!$EQ$77,Nutrients!$EQ$78)))))*AP$8))/2000*1000000000</f>
        <v>0</v>
      </c>
      <c r="AR325" s="21">
        <f>(SUMPRODUCT(AR$9:AR$229,Nutrients!$EQ$8:$EQ$228)+(IF($A$7=Nutrients!$B$8,Nutrients!$EQ$8,Nutrients!$EQ$9)*AR$7)+(((IF($A$8=Nutrients!$B$79,Nutrients!$EQ$79,(IF($A$8=Nutrients!$B$77,Nutrients!$EQ$77,Nutrients!$EQ$78)))))*AR$8))/2000*1000000000</f>
        <v>0</v>
      </c>
      <c r="AS325" s="21">
        <f>(SUMPRODUCT(AS$9:AS$229,Nutrients!$EQ$8:$EQ$228)+(IF($A$7=Nutrients!$B$8,Nutrients!$EQ$8,Nutrients!$EQ$9)*AS$7)+(((IF($A$8=Nutrients!$B$79,Nutrients!$EQ$79,(IF($A$8=Nutrients!$B$77,Nutrients!$EQ$77,Nutrients!$EQ$78)))))*AS$8))/2000*1000000000</f>
        <v>0</v>
      </c>
      <c r="AT325" s="21">
        <f>(SUMPRODUCT(AT$9:AT$229,Nutrients!$EQ$8:$EQ$228)+(IF($A$7=Nutrients!$B$8,Nutrients!$EQ$8,Nutrients!$EQ$9)*AT$7)+(((IF($A$8=Nutrients!$B$79,Nutrients!$EQ$79,(IF($A$8=Nutrients!$B$77,Nutrients!$EQ$77,Nutrients!$EQ$78)))))*AT$8))/2000*1000000000</f>
        <v>0</v>
      </c>
      <c r="AU325" s="21">
        <f>(SUMPRODUCT(AU$9:AU$229,Nutrients!$EQ$8:$EQ$228)+(IF($A$7=Nutrients!$B$8,Nutrients!$EQ$8,Nutrients!$EQ$9)*AU$7)+(((IF($A$8=Nutrients!$B$79,Nutrients!$EQ$79,(IF($A$8=Nutrients!$B$77,Nutrients!$EQ$77,Nutrients!$EQ$78)))))*AU$8))/2000*1000000000</f>
        <v>0</v>
      </c>
      <c r="AV325" s="21">
        <f>(SUMPRODUCT(AV$9:AV$229,Nutrients!$EQ$8:$EQ$228)+(IF($A$7=Nutrients!$B$8,Nutrients!$EQ$8,Nutrients!$EQ$9)*AV$7)+(((IF($A$8=Nutrients!$B$79,Nutrients!$EQ$79,(IF($A$8=Nutrients!$B$77,Nutrients!$EQ$77,Nutrients!$EQ$78)))))*AV$8))/2000*1000000000</f>
        <v>0</v>
      </c>
      <c r="AW325" s="21">
        <f>(SUMPRODUCT(AW$9:AW$229,Nutrients!$EQ$8:$EQ$228)+(IF($A$7=Nutrients!$B$8,Nutrients!$EQ$8,Nutrients!$EQ$9)*AW$7)+(((IF($A$8=Nutrients!$B$79,Nutrients!$EQ$79,(IF($A$8=Nutrients!$B$77,Nutrients!$EQ$77,Nutrients!$EQ$78)))))*AW$8))/2000*1000000000</f>
        <v>0</v>
      </c>
    </row>
    <row r="327" spans="1:49" x14ac:dyDescent="0.25">
      <c r="A327" s="34" t="s">
        <v>119</v>
      </c>
    </row>
    <row r="328" spans="1:49" x14ac:dyDescent="0.25">
      <c r="A328" s="34" t="s">
        <v>121</v>
      </c>
      <c r="B328" s="21">
        <f>(SUMPRODUCT(B$9:B$229,Nutrients!$ES$8:$ES$228)+(IF($A$7=Nutrients!$B$8,Nutrients!$ES$8,Nutrients!$ES$9)*B$7)+(((IF($A$8=Nutrients!$B$79,Nutrients!$ES$79,(IF($A$8=Nutrients!$B$77,Nutrients!$ES$77,Nutrients!$ES$78)))))*B$8))</f>
        <v>2250000</v>
      </c>
      <c r="C328" s="21">
        <f>(SUMPRODUCT(C$9:C$229,Nutrients!$ES$8:$ES$228)+(IF($A$7=Nutrients!$B$8,Nutrients!$ES$8,Nutrients!$ES$9)*C$7)+(((IF($A$8=Nutrients!$B$79,Nutrients!$ES$79,(IF($A$8=Nutrients!$B$77,Nutrients!$ES$77,Nutrients!$ES$78)))))*C$8))</f>
        <v>2250000</v>
      </c>
      <c r="D328" s="21">
        <f>(SUMPRODUCT(D$9:D$229,Nutrients!$ES$8:$ES$228)+(IF($A$7=Nutrients!$B$8,Nutrients!$ES$8,Nutrients!$ES$9)*D$7)+(((IF($A$8=Nutrients!$B$79,Nutrients!$ES$79,(IF($A$8=Nutrients!$B$77,Nutrients!$ES$77,Nutrients!$ES$78)))))*D$8))</f>
        <v>1875000</v>
      </c>
      <c r="E328" s="21">
        <f>(SUMPRODUCT(E$9:E$229,Nutrients!$ES$8:$ES$228)+(IF($A$7=Nutrients!$B$8,Nutrients!$ES$8,Nutrients!$ES$9)*E$7)+(((IF($A$8=Nutrients!$B$79,Nutrients!$ES$79,(IF($A$8=Nutrients!$B$77,Nutrients!$ES$77,Nutrients!$ES$78)))))*E$8))</f>
        <v>1500000</v>
      </c>
      <c r="F328" s="21">
        <f>(SUMPRODUCT(F$9:F$229,Nutrients!$ES$8:$ES$228)+(IF($A$7=Nutrients!$B$8,Nutrients!$ES$8,Nutrients!$ES$9)*F$7)+(((IF($A$8=Nutrients!$B$79,Nutrients!$ES$79,(IF($A$8=Nutrients!$B$77,Nutrients!$ES$77,Nutrients!$ES$78)))))*F$8))</f>
        <v>1125000</v>
      </c>
      <c r="G328" s="21">
        <f>(SUMPRODUCT(G$9:G$229,Nutrients!$ES$8:$ES$228)+(IF($A$7=Nutrients!$B$8,Nutrients!$ES$8,Nutrients!$ES$9)*G$7)+(((IF($A$8=Nutrients!$B$79,Nutrients!$ES$79,(IF($A$8=Nutrients!$B$77,Nutrients!$ES$77,Nutrients!$ES$78)))))*G$8))</f>
        <v>1125000</v>
      </c>
      <c r="H328" s="226"/>
      <c r="I328" s="21">
        <f>(SUMPRODUCT(I$9:I$229,Nutrients!$ES$8:$ES$228)+(IF($A$7=Nutrients!$B$8,Nutrients!$ES$8,Nutrients!$ES$9)*I$7)+(((IF($A$8=Nutrients!$B$79,Nutrients!$ES$79,(IF($A$8=Nutrients!$B$77,Nutrients!$ES$77,Nutrients!$ES$78)))))*I$8))</f>
        <v>2250000</v>
      </c>
      <c r="J328" s="21">
        <f>(SUMPRODUCT(J$9:J$229,Nutrients!$ES$8:$ES$228)+(IF($A$7=Nutrients!$B$8,Nutrients!$ES$8,Nutrients!$ES$9)*J$7)+(((IF($A$8=Nutrients!$B$79,Nutrients!$ES$79,(IF($A$8=Nutrients!$B$77,Nutrients!$ES$77,Nutrients!$ES$78)))))*J$8))</f>
        <v>2250000</v>
      </c>
      <c r="K328" s="21">
        <f>(SUMPRODUCT(K$9:K$229,Nutrients!$ES$8:$ES$228)+(IF($A$7=Nutrients!$B$8,Nutrients!$ES$8,Nutrients!$ES$9)*K$7)+(((IF($A$8=Nutrients!$B$79,Nutrients!$ES$79,(IF($A$8=Nutrients!$B$77,Nutrients!$ES$77,Nutrients!$ES$78)))))*K$8))</f>
        <v>1875000</v>
      </c>
      <c r="L328" s="21">
        <f>(SUMPRODUCT(L$9:L$229,Nutrients!$ES$8:$ES$228)+(IF($A$7=Nutrients!$B$8,Nutrients!$ES$8,Nutrients!$ES$9)*L$7)+(((IF($A$8=Nutrients!$B$79,Nutrients!$ES$79,(IF($A$8=Nutrients!$B$77,Nutrients!$ES$77,Nutrients!$ES$78)))))*L$8))</f>
        <v>1500000</v>
      </c>
      <c r="M328" s="21">
        <f>(SUMPRODUCT(M$9:M$229,Nutrients!$ES$8:$ES$228)+(IF($A$7=Nutrients!$B$8,Nutrients!$ES$8,Nutrients!$ES$9)*M$7)+(((IF($A$8=Nutrients!$B$79,Nutrients!$ES$79,(IF($A$8=Nutrients!$B$77,Nutrients!$ES$77,Nutrients!$ES$78)))))*M$8))</f>
        <v>1125000</v>
      </c>
      <c r="N328" s="21">
        <f>(SUMPRODUCT(N$9:N$229,Nutrients!$ES$8:$ES$228)+(IF($A$7=Nutrients!$B$8,Nutrients!$ES$8,Nutrients!$ES$9)*N$7)+(((IF($A$8=Nutrients!$B$79,Nutrients!$ES$79,(IF($A$8=Nutrients!$B$77,Nutrients!$ES$77,Nutrients!$ES$78)))))*N$8))</f>
        <v>1125000</v>
      </c>
      <c r="O328" s="234"/>
      <c r="P328" s="21">
        <f>(SUMPRODUCT(P$9:P$229,Nutrients!$ES$8:$ES$228)+(IF($A$7=Nutrients!$B$8,Nutrients!$ES$8,Nutrients!$ES$9)*P$7)+(((IF($A$8=Nutrients!$B$79,Nutrients!$ES$79,(IF($A$8=Nutrients!$B$77,Nutrients!$ES$77,Nutrients!$ES$78)))))*P$8))</f>
        <v>2250000</v>
      </c>
      <c r="Q328" s="21">
        <f>(SUMPRODUCT(Q$9:Q$229,Nutrients!$ES$8:$ES$228)+(IF($A$7=Nutrients!$B$8,Nutrients!$ES$8,Nutrients!$ES$9)*Q$7)+(((IF($A$8=Nutrients!$B$79,Nutrients!$ES$79,(IF($A$8=Nutrients!$B$77,Nutrients!$ES$77,Nutrients!$ES$78)))))*Q$8))</f>
        <v>2250000</v>
      </c>
      <c r="R328" s="21">
        <f>(SUMPRODUCT(R$9:R$229,Nutrients!$ES$8:$ES$228)+(IF($A$7=Nutrients!$B$8,Nutrients!$ES$8,Nutrients!$ES$9)*R$7)+(((IF($A$8=Nutrients!$B$79,Nutrients!$ES$79,(IF($A$8=Nutrients!$B$77,Nutrients!$ES$77,Nutrients!$ES$78)))))*R$8))</f>
        <v>1875000</v>
      </c>
      <c r="S328" s="21">
        <f>(SUMPRODUCT(S$9:S$229,Nutrients!$ES$8:$ES$228)+(IF($A$7=Nutrients!$B$8,Nutrients!$ES$8,Nutrients!$ES$9)*S$7)+(((IF($A$8=Nutrients!$B$79,Nutrients!$ES$79,(IF($A$8=Nutrients!$B$77,Nutrients!$ES$77,Nutrients!$ES$78)))))*S$8))</f>
        <v>1500000</v>
      </c>
      <c r="T328" s="21">
        <f>(SUMPRODUCT(T$9:T$229,Nutrients!$ES$8:$ES$228)+(IF($A$7=Nutrients!$B$8,Nutrients!$ES$8,Nutrients!$ES$9)*T$7)+(((IF($A$8=Nutrients!$B$79,Nutrients!$ES$79,(IF($A$8=Nutrients!$B$77,Nutrients!$ES$77,Nutrients!$ES$78)))))*T$8))</f>
        <v>1125000</v>
      </c>
      <c r="U328" s="21">
        <f>(SUMPRODUCT(U$9:U$229,Nutrients!$ES$8:$ES$228)+(IF($A$7=Nutrients!$B$8,Nutrients!$ES$8,Nutrients!$ES$9)*U$7)+(((IF($A$8=Nutrients!$B$79,Nutrients!$ES$79,(IF($A$8=Nutrients!$B$77,Nutrients!$ES$77,Nutrients!$ES$78)))))*U$8))</f>
        <v>1125000</v>
      </c>
      <c r="W328" s="21">
        <f>(SUMPRODUCT(W$9:W$229,Nutrients!$ES$8:$ES$228)+(IF($A$7=Nutrients!$B$8,Nutrients!$ES$8,Nutrients!$ES$9)*W$7)+(((IF($A$8=Nutrients!$B$79,Nutrients!$ES$79,(IF($A$8=Nutrients!$B$77,Nutrients!$ES$77,Nutrients!$ES$78)))))*W$8))</f>
        <v>2250000</v>
      </c>
      <c r="X328" s="21">
        <f>(SUMPRODUCT(X$9:X$229,Nutrients!$ES$8:$ES$228)+(IF($A$7=Nutrients!$B$8,Nutrients!$ES$8,Nutrients!$ES$9)*X$7)+(((IF($A$8=Nutrients!$B$79,Nutrients!$ES$79,(IF($A$8=Nutrients!$B$77,Nutrients!$ES$77,Nutrients!$ES$78)))))*X$8))</f>
        <v>2250000</v>
      </c>
      <c r="Y328" s="21">
        <f>(SUMPRODUCT(Y$9:Y$229,Nutrients!$ES$8:$ES$228)+(IF($A$7=Nutrients!$B$8,Nutrients!$ES$8,Nutrients!$ES$9)*Y$7)+(((IF($A$8=Nutrients!$B$79,Nutrients!$ES$79,(IF($A$8=Nutrients!$B$77,Nutrients!$ES$77,Nutrients!$ES$78)))))*Y$8))</f>
        <v>1875000</v>
      </c>
      <c r="Z328" s="21">
        <f>(SUMPRODUCT(Z$9:Z$229,Nutrients!$ES$8:$ES$228)+(IF($A$7=Nutrients!$B$8,Nutrients!$ES$8,Nutrients!$ES$9)*Z$7)+(((IF($A$8=Nutrients!$B$79,Nutrients!$ES$79,(IF($A$8=Nutrients!$B$77,Nutrients!$ES$77,Nutrients!$ES$78)))))*Z$8))</f>
        <v>1500000</v>
      </c>
      <c r="AA328" s="21">
        <f>(SUMPRODUCT(AA$9:AA$229,Nutrients!$ES$8:$ES$228)+(IF($A$7=Nutrients!$B$8,Nutrients!$ES$8,Nutrients!$ES$9)*AA$7)+(((IF($A$8=Nutrients!$B$79,Nutrients!$ES$79,(IF($A$8=Nutrients!$B$77,Nutrients!$ES$77,Nutrients!$ES$78)))))*AA$8))</f>
        <v>1125000</v>
      </c>
      <c r="AB328" s="21">
        <f>(SUMPRODUCT(AB$9:AB$229,Nutrients!$ES$8:$ES$228)+(IF($A$7=Nutrients!$B$8,Nutrients!$ES$8,Nutrients!$ES$9)*AB$7)+(((IF($A$8=Nutrients!$B$79,Nutrients!$ES$79,(IF($A$8=Nutrients!$B$77,Nutrients!$ES$77,Nutrients!$ES$78)))))*AB$8))</f>
        <v>1125000</v>
      </c>
      <c r="AD328" s="21">
        <f>(SUMPRODUCT(AD$9:AD$229,Nutrients!$ES$8:$ES$228)+(IF($A$7=Nutrients!$B$8,Nutrients!$ES$8,Nutrients!$ES$9)*AD$7)+(((IF($A$8=Nutrients!$B$79,Nutrients!$ES$79,(IF($A$8=Nutrients!$B$77,Nutrients!$ES$77,Nutrients!$ES$78)))))*AD$8))</f>
        <v>2250000</v>
      </c>
      <c r="AE328" s="21">
        <f>(SUMPRODUCT(AE$9:AE$229,Nutrients!$ES$8:$ES$228)+(IF($A$7=Nutrients!$B$8,Nutrients!$ES$8,Nutrients!$ES$9)*AE$7)+(((IF($A$8=Nutrients!$B$79,Nutrients!$ES$79,(IF($A$8=Nutrients!$B$77,Nutrients!$ES$77,Nutrients!$ES$78)))))*AE$8))</f>
        <v>2250000</v>
      </c>
      <c r="AF328" s="21">
        <f>(SUMPRODUCT(AF$9:AF$229,Nutrients!$ES$8:$ES$228)+(IF($A$7=Nutrients!$B$8,Nutrients!$ES$8,Nutrients!$ES$9)*AF$7)+(((IF($A$8=Nutrients!$B$79,Nutrients!$ES$79,(IF($A$8=Nutrients!$B$77,Nutrients!$ES$77,Nutrients!$ES$78)))))*AF$8))</f>
        <v>1875000</v>
      </c>
      <c r="AG328" s="21">
        <f>(SUMPRODUCT(AG$9:AG$229,Nutrients!$ES$8:$ES$228)+(IF($A$7=Nutrients!$B$8,Nutrients!$ES$8,Nutrients!$ES$9)*AG$7)+(((IF($A$8=Nutrients!$B$79,Nutrients!$ES$79,(IF($A$8=Nutrients!$B$77,Nutrients!$ES$77,Nutrients!$ES$78)))))*AG$8))</f>
        <v>1500000</v>
      </c>
      <c r="AH328" s="21">
        <f>(SUMPRODUCT(AH$9:AH$229,Nutrients!$ES$8:$ES$228)+(IF($A$7=Nutrients!$B$8,Nutrients!$ES$8,Nutrients!$ES$9)*AH$7)+(((IF($A$8=Nutrients!$B$79,Nutrients!$ES$79,(IF($A$8=Nutrients!$B$77,Nutrients!$ES$77,Nutrients!$ES$78)))))*AH$8))</f>
        <v>1125000</v>
      </c>
      <c r="AI328" s="21">
        <f>(SUMPRODUCT(AI$9:AI$229,Nutrients!$ES$8:$ES$228)+(IF($A$7=Nutrients!$B$8,Nutrients!$ES$8,Nutrients!$ES$9)*AI$7)+(((IF($A$8=Nutrients!$B$79,Nutrients!$ES$79,(IF($A$8=Nutrients!$B$77,Nutrients!$ES$77,Nutrients!$ES$78)))))*AI$8))</f>
        <v>1125000</v>
      </c>
      <c r="AK328" s="21">
        <f>(SUMPRODUCT(AK$9:AK$229,Nutrients!$ES$8:$ES$228)+(IF($A$7=Nutrients!$B$8,Nutrients!$ES$8,Nutrients!$ES$9)*AK$7)+(((IF($A$8=Nutrients!$B$79,Nutrients!$ES$79,(IF($A$8=Nutrients!$B$77,Nutrients!$ES$77,Nutrients!$ES$78)))))*AK$8))</f>
        <v>2250000</v>
      </c>
      <c r="AL328" s="21">
        <f>(SUMPRODUCT(AL$9:AL$229,Nutrients!$ES$8:$ES$228)+(IF($A$7=Nutrients!$B$8,Nutrients!$ES$8,Nutrients!$ES$9)*AL$7)+(((IF($A$8=Nutrients!$B$79,Nutrients!$ES$79,(IF($A$8=Nutrients!$B$77,Nutrients!$ES$77,Nutrients!$ES$78)))))*AL$8))</f>
        <v>2250000</v>
      </c>
      <c r="AM328" s="21">
        <f>(SUMPRODUCT(AM$9:AM$229,Nutrients!$ES$8:$ES$228)+(IF($A$7=Nutrients!$B$8,Nutrients!$ES$8,Nutrients!$ES$9)*AM$7)+(((IF($A$8=Nutrients!$B$79,Nutrients!$ES$79,(IF($A$8=Nutrients!$B$77,Nutrients!$ES$77,Nutrients!$ES$78)))))*AM$8))</f>
        <v>1875000</v>
      </c>
      <c r="AN328" s="21">
        <f>(SUMPRODUCT(AN$9:AN$229,Nutrients!$ES$8:$ES$228)+(IF($A$7=Nutrients!$B$8,Nutrients!$ES$8,Nutrients!$ES$9)*AN$7)+(((IF($A$8=Nutrients!$B$79,Nutrients!$ES$79,(IF($A$8=Nutrients!$B$77,Nutrients!$ES$77,Nutrients!$ES$78)))))*AN$8))</f>
        <v>1500000</v>
      </c>
      <c r="AO328" s="21">
        <f>(SUMPRODUCT(AO$9:AO$229,Nutrients!$ES$8:$ES$228)+(IF($A$7=Nutrients!$B$8,Nutrients!$ES$8,Nutrients!$ES$9)*AO$7)+(((IF($A$8=Nutrients!$B$79,Nutrients!$ES$79,(IF($A$8=Nutrients!$B$77,Nutrients!$ES$77,Nutrients!$ES$78)))))*AO$8))</f>
        <v>1125000</v>
      </c>
      <c r="AP328" s="21">
        <f>(SUMPRODUCT(AP$9:AP$229,Nutrients!$ES$8:$ES$228)+(IF($A$7=Nutrients!$B$8,Nutrients!$ES$8,Nutrients!$ES$9)*AP$7)+(((IF($A$8=Nutrients!$B$79,Nutrients!$ES$79,(IF($A$8=Nutrients!$B$77,Nutrients!$ES$77,Nutrients!$ES$78)))))*AP$8))</f>
        <v>1125000</v>
      </c>
      <c r="AR328" s="21">
        <f>(SUMPRODUCT(AR$9:AR$229,Nutrients!$ES$8:$ES$228)+(IF($A$7=Nutrients!$B$8,Nutrients!$ES$8,Nutrients!$ES$9)*AR$7)+(((IF($A$8=Nutrients!$B$79,Nutrients!$ES$79,(IF($A$8=Nutrients!$B$77,Nutrients!$ES$77,Nutrients!$ES$78)))))*AR$8))</f>
        <v>2250000</v>
      </c>
      <c r="AS328" s="21">
        <f>(SUMPRODUCT(AS$9:AS$229,Nutrients!$ES$8:$ES$228)+(IF($A$7=Nutrients!$B$8,Nutrients!$ES$8,Nutrients!$ES$9)*AS$7)+(((IF($A$8=Nutrients!$B$79,Nutrients!$ES$79,(IF($A$8=Nutrients!$B$77,Nutrients!$ES$77,Nutrients!$ES$78)))))*AS$8))</f>
        <v>2250000</v>
      </c>
      <c r="AT328" s="21">
        <f>(SUMPRODUCT(AT$9:AT$229,Nutrients!$ES$8:$ES$228)+(IF($A$7=Nutrients!$B$8,Nutrients!$ES$8,Nutrients!$ES$9)*AT$7)+(((IF($A$8=Nutrients!$B$79,Nutrients!$ES$79,(IF($A$8=Nutrients!$B$77,Nutrients!$ES$77,Nutrients!$ES$78)))))*AT$8))</f>
        <v>1875000</v>
      </c>
      <c r="AU328" s="21">
        <f>(SUMPRODUCT(AU$9:AU$229,Nutrients!$ES$8:$ES$228)+(IF($A$7=Nutrients!$B$8,Nutrients!$ES$8,Nutrients!$ES$9)*AU$7)+(((IF($A$8=Nutrients!$B$79,Nutrients!$ES$79,(IF($A$8=Nutrients!$B$77,Nutrients!$ES$77,Nutrients!$ES$78)))))*AU$8))</f>
        <v>1500000</v>
      </c>
      <c r="AV328" s="21">
        <f>(SUMPRODUCT(AV$9:AV$229,Nutrients!$ES$8:$ES$228)+(IF($A$7=Nutrients!$B$8,Nutrients!$ES$8,Nutrients!$ES$9)*AV$7)+(((IF($A$8=Nutrients!$B$79,Nutrients!$ES$79,(IF($A$8=Nutrients!$B$77,Nutrients!$ES$77,Nutrients!$ES$78)))))*AV$8))</f>
        <v>1125000</v>
      </c>
      <c r="AW328" s="21">
        <f>(SUMPRODUCT(AW$9:AW$229,Nutrients!$ES$8:$ES$228)+(IF($A$7=Nutrients!$B$8,Nutrients!$ES$8,Nutrients!$ES$9)*AW$7)+(((IF($A$8=Nutrients!$B$79,Nutrients!$ES$79,(IF($A$8=Nutrients!$B$77,Nutrients!$ES$77,Nutrients!$ES$78)))))*AW$8))</f>
        <v>1125000</v>
      </c>
    </row>
    <row r="329" spans="1:49" x14ac:dyDescent="0.25">
      <c r="A329" s="34" t="s">
        <v>122</v>
      </c>
      <c r="B329" s="21">
        <f>(SUMPRODUCT(B$9:B$229,Nutrients!$ET$8:$ET$228)+(IF($A$7=Nutrients!$B$8,Nutrients!$ET$8,Nutrients!$ET$9)*B$7)+(((IF($A$8=Nutrients!$B$79,Nutrients!$ET$79,(IF($A$8=Nutrients!$B$77,Nutrients!$ET$77,Nutrients!$ET$78)))))*B$8))</f>
        <v>900000</v>
      </c>
      <c r="C329" s="21">
        <f>(SUMPRODUCT(C$9:C$229,Nutrients!$ET$8:$ET$228)+(IF($A$7=Nutrients!$B$8,Nutrients!$ET$8,Nutrients!$ET$9)*C$7)+(((IF($A$8=Nutrients!$B$79,Nutrients!$ET$79,(IF($A$8=Nutrients!$B$77,Nutrients!$ET$77,Nutrients!$ET$78)))))*C$8))</f>
        <v>900000</v>
      </c>
      <c r="D329" s="21">
        <f>(SUMPRODUCT(D$9:D$229,Nutrients!$ET$8:$ET$228)+(IF($A$7=Nutrients!$B$8,Nutrients!$ET$8,Nutrients!$ET$9)*D$7)+(((IF($A$8=Nutrients!$B$79,Nutrients!$ET$79,(IF($A$8=Nutrients!$B$77,Nutrients!$ET$77,Nutrients!$ET$78)))))*D$8))</f>
        <v>750000</v>
      </c>
      <c r="E329" s="21">
        <f>(SUMPRODUCT(E$9:E$229,Nutrients!$ET$8:$ET$228)+(IF($A$7=Nutrients!$B$8,Nutrients!$ET$8,Nutrients!$ET$9)*E$7)+(((IF($A$8=Nutrients!$B$79,Nutrients!$ET$79,(IF($A$8=Nutrients!$B$77,Nutrients!$ET$77,Nutrients!$ET$78)))))*E$8))</f>
        <v>600000</v>
      </c>
      <c r="F329" s="21">
        <f>(SUMPRODUCT(F$9:F$229,Nutrients!$ET$8:$ET$228)+(IF($A$7=Nutrients!$B$8,Nutrients!$ET$8,Nutrients!$ET$9)*F$7)+(((IF($A$8=Nutrients!$B$79,Nutrients!$ET$79,(IF($A$8=Nutrients!$B$77,Nutrients!$ET$77,Nutrients!$ET$78)))))*F$8))</f>
        <v>450000</v>
      </c>
      <c r="G329" s="21">
        <f>(SUMPRODUCT(G$9:G$229,Nutrients!$ET$8:$ET$228)+(IF($A$7=Nutrients!$B$8,Nutrients!$ET$8,Nutrients!$ET$9)*G$7)+(((IF($A$8=Nutrients!$B$79,Nutrients!$ET$79,(IF($A$8=Nutrients!$B$77,Nutrients!$ET$77,Nutrients!$ET$78)))))*G$8))</f>
        <v>450000</v>
      </c>
      <c r="H329" s="226"/>
      <c r="I329" s="21">
        <f>(SUMPRODUCT(I$9:I$229,Nutrients!$ET$8:$ET$228)+(IF($A$7=Nutrients!$B$8,Nutrients!$ET$8,Nutrients!$ET$9)*I$7)+(((IF($A$8=Nutrients!$B$79,Nutrients!$ET$79,(IF($A$8=Nutrients!$B$77,Nutrients!$ET$77,Nutrients!$ET$78)))))*I$8))</f>
        <v>900000</v>
      </c>
      <c r="J329" s="21">
        <f>(SUMPRODUCT(J$9:J$229,Nutrients!$ET$8:$ET$228)+(IF($A$7=Nutrients!$B$8,Nutrients!$ET$8,Nutrients!$ET$9)*J$7)+(((IF($A$8=Nutrients!$B$79,Nutrients!$ET$79,(IF($A$8=Nutrients!$B$77,Nutrients!$ET$77,Nutrients!$ET$78)))))*J$8))</f>
        <v>900000</v>
      </c>
      <c r="K329" s="21">
        <f>(SUMPRODUCT(K$9:K$229,Nutrients!$ET$8:$ET$228)+(IF($A$7=Nutrients!$B$8,Nutrients!$ET$8,Nutrients!$ET$9)*K$7)+(((IF($A$8=Nutrients!$B$79,Nutrients!$ET$79,(IF($A$8=Nutrients!$B$77,Nutrients!$ET$77,Nutrients!$ET$78)))))*K$8))</f>
        <v>750000</v>
      </c>
      <c r="L329" s="21">
        <f>(SUMPRODUCT(L$9:L$229,Nutrients!$ET$8:$ET$228)+(IF($A$7=Nutrients!$B$8,Nutrients!$ET$8,Nutrients!$ET$9)*L$7)+(((IF($A$8=Nutrients!$B$79,Nutrients!$ET$79,(IF($A$8=Nutrients!$B$77,Nutrients!$ET$77,Nutrients!$ET$78)))))*L$8))</f>
        <v>600000</v>
      </c>
      <c r="M329" s="21">
        <f>(SUMPRODUCT(M$9:M$229,Nutrients!$ET$8:$ET$228)+(IF($A$7=Nutrients!$B$8,Nutrients!$ET$8,Nutrients!$ET$9)*M$7)+(((IF($A$8=Nutrients!$B$79,Nutrients!$ET$79,(IF($A$8=Nutrients!$B$77,Nutrients!$ET$77,Nutrients!$ET$78)))))*M$8))</f>
        <v>450000</v>
      </c>
      <c r="N329" s="21">
        <f>(SUMPRODUCT(N$9:N$229,Nutrients!$ET$8:$ET$228)+(IF($A$7=Nutrients!$B$8,Nutrients!$ET$8,Nutrients!$ET$9)*N$7)+(((IF($A$8=Nutrients!$B$79,Nutrients!$ET$79,(IF($A$8=Nutrients!$B$77,Nutrients!$ET$77,Nutrients!$ET$78)))))*N$8))</f>
        <v>450000</v>
      </c>
      <c r="O329" s="234"/>
      <c r="P329" s="21">
        <f>(SUMPRODUCT(P$9:P$229,Nutrients!$ET$8:$ET$228)+(IF($A$7=Nutrients!$B$8,Nutrients!$ET$8,Nutrients!$ET$9)*P$7)+(((IF($A$8=Nutrients!$B$79,Nutrients!$ET$79,(IF($A$8=Nutrients!$B$77,Nutrients!$ET$77,Nutrients!$ET$78)))))*P$8))</f>
        <v>900000</v>
      </c>
      <c r="Q329" s="21">
        <f>(SUMPRODUCT(Q$9:Q$229,Nutrients!$ET$8:$ET$228)+(IF($A$7=Nutrients!$B$8,Nutrients!$ET$8,Nutrients!$ET$9)*Q$7)+(((IF($A$8=Nutrients!$B$79,Nutrients!$ET$79,(IF($A$8=Nutrients!$B$77,Nutrients!$ET$77,Nutrients!$ET$78)))))*Q$8))</f>
        <v>900000</v>
      </c>
      <c r="R329" s="21">
        <f>(SUMPRODUCT(R$9:R$229,Nutrients!$ET$8:$ET$228)+(IF($A$7=Nutrients!$B$8,Nutrients!$ET$8,Nutrients!$ET$9)*R$7)+(((IF($A$8=Nutrients!$B$79,Nutrients!$ET$79,(IF($A$8=Nutrients!$B$77,Nutrients!$ET$77,Nutrients!$ET$78)))))*R$8))</f>
        <v>750000</v>
      </c>
      <c r="S329" s="21">
        <f>(SUMPRODUCT(S$9:S$229,Nutrients!$ET$8:$ET$228)+(IF($A$7=Nutrients!$B$8,Nutrients!$ET$8,Nutrients!$ET$9)*S$7)+(((IF($A$8=Nutrients!$B$79,Nutrients!$ET$79,(IF($A$8=Nutrients!$B$77,Nutrients!$ET$77,Nutrients!$ET$78)))))*S$8))</f>
        <v>600000</v>
      </c>
      <c r="T329" s="21">
        <f>(SUMPRODUCT(T$9:T$229,Nutrients!$ET$8:$ET$228)+(IF($A$7=Nutrients!$B$8,Nutrients!$ET$8,Nutrients!$ET$9)*T$7)+(((IF($A$8=Nutrients!$B$79,Nutrients!$ET$79,(IF($A$8=Nutrients!$B$77,Nutrients!$ET$77,Nutrients!$ET$78)))))*T$8))</f>
        <v>450000</v>
      </c>
      <c r="U329" s="21">
        <f>(SUMPRODUCT(U$9:U$229,Nutrients!$ET$8:$ET$228)+(IF($A$7=Nutrients!$B$8,Nutrients!$ET$8,Nutrients!$ET$9)*U$7)+(((IF($A$8=Nutrients!$B$79,Nutrients!$ET$79,(IF($A$8=Nutrients!$B$77,Nutrients!$ET$77,Nutrients!$ET$78)))))*U$8))</f>
        <v>450000</v>
      </c>
      <c r="W329" s="21">
        <f>(SUMPRODUCT(W$9:W$229,Nutrients!$ET$8:$ET$228)+(IF($A$7=Nutrients!$B$8,Nutrients!$ET$8,Nutrients!$ET$9)*W$7)+(((IF($A$8=Nutrients!$B$79,Nutrients!$ET$79,(IF($A$8=Nutrients!$B$77,Nutrients!$ET$77,Nutrients!$ET$78)))))*W$8))</f>
        <v>900000</v>
      </c>
      <c r="X329" s="21">
        <f>(SUMPRODUCT(X$9:X$229,Nutrients!$ET$8:$ET$228)+(IF($A$7=Nutrients!$B$8,Nutrients!$ET$8,Nutrients!$ET$9)*X$7)+(((IF($A$8=Nutrients!$B$79,Nutrients!$ET$79,(IF($A$8=Nutrients!$B$77,Nutrients!$ET$77,Nutrients!$ET$78)))))*X$8))</f>
        <v>900000</v>
      </c>
      <c r="Y329" s="21">
        <f>(SUMPRODUCT(Y$9:Y$229,Nutrients!$ET$8:$ET$228)+(IF($A$7=Nutrients!$B$8,Nutrients!$ET$8,Nutrients!$ET$9)*Y$7)+(((IF($A$8=Nutrients!$B$79,Nutrients!$ET$79,(IF($A$8=Nutrients!$B$77,Nutrients!$ET$77,Nutrients!$ET$78)))))*Y$8))</f>
        <v>750000</v>
      </c>
      <c r="Z329" s="21">
        <f>(SUMPRODUCT(Z$9:Z$229,Nutrients!$ET$8:$ET$228)+(IF($A$7=Nutrients!$B$8,Nutrients!$ET$8,Nutrients!$ET$9)*Z$7)+(((IF($A$8=Nutrients!$B$79,Nutrients!$ET$79,(IF($A$8=Nutrients!$B$77,Nutrients!$ET$77,Nutrients!$ET$78)))))*Z$8))</f>
        <v>600000</v>
      </c>
      <c r="AA329" s="21">
        <f>(SUMPRODUCT(AA$9:AA$229,Nutrients!$ET$8:$ET$228)+(IF($A$7=Nutrients!$B$8,Nutrients!$ET$8,Nutrients!$ET$9)*AA$7)+(((IF($A$8=Nutrients!$B$79,Nutrients!$ET$79,(IF($A$8=Nutrients!$B$77,Nutrients!$ET$77,Nutrients!$ET$78)))))*AA$8))</f>
        <v>450000</v>
      </c>
      <c r="AB329" s="21">
        <f>(SUMPRODUCT(AB$9:AB$229,Nutrients!$ET$8:$ET$228)+(IF($A$7=Nutrients!$B$8,Nutrients!$ET$8,Nutrients!$ET$9)*AB$7)+(((IF($A$8=Nutrients!$B$79,Nutrients!$ET$79,(IF($A$8=Nutrients!$B$77,Nutrients!$ET$77,Nutrients!$ET$78)))))*AB$8))</f>
        <v>450000</v>
      </c>
      <c r="AD329" s="21">
        <f>(SUMPRODUCT(AD$9:AD$229,Nutrients!$ET$8:$ET$228)+(IF($A$7=Nutrients!$B$8,Nutrients!$ET$8,Nutrients!$ET$9)*AD$7)+(((IF($A$8=Nutrients!$B$79,Nutrients!$ET$79,(IF($A$8=Nutrients!$B$77,Nutrients!$ET$77,Nutrients!$ET$78)))))*AD$8))</f>
        <v>900000</v>
      </c>
      <c r="AE329" s="21">
        <f>(SUMPRODUCT(AE$9:AE$229,Nutrients!$ET$8:$ET$228)+(IF($A$7=Nutrients!$B$8,Nutrients!$ET$8,Nutrients!$ET$9)*AE$7)+(((IF($A$8=Nutrients!$B$79,Nutrients!$ET$79,(IF($A$8=Nutrients!$B$77,Nutrients!$ET$77,Nutrients!$ET$78)))))*AE$8))</f>
        <v>900000</v>
      </c>
      <c r="AF329" s="21">
        <f>(SUMPRODUCT(AF$9:AF$229,Nutrients!$ET$8:$ET$228)+(IF($A$7=Nutrients!$B$8,Nutrients!$ET$8,Nutrients!$ET$9)*AF$7)+(((IF($A$8=Nutrients!$B$79,Nutrients!$ET$79,(IF($A$8=Nutrients!$B$77,Nutrients!$ET$77,Nutrients!$ET$78)))))*AF$8))</f>
        <v>750000</v>
      </c>
      <c r="AG329" s="21">
        <f>(SUMPRODUCT(AG$9:AG$229,Nutrients!$ET$8:$ET$228)+(IF($A$7=Nutrients!$B$8,Nutrients!$ET$8,Nutrients!$ET$9)*AG$7)+(((IF($A$8=Nutrients!$B$79,Nutrients!$ET$79,(IF($A$8=Nutrients!$B$77,Nutrients!$ET$77,Nutrients!$ET$78)))))*AG$8))</f>
        <v>600000</v>
      </c>
      <c r="AH329" s="21">
        <f>(SUMPRODUCT(AH$9:AH$229,Nutrients!$ET$8:$ET$228)+(IF($A$7=Nutrients!$B$8,Nutrients!$ET$8,Nutrients!$ET$9)*AH$7)+(((IF($A$8=Nutrients!$B$79,Nutrients!$ET$79,(IF($A$8=Nutrients!$B$77,Nutrients!$ET$77,Nutrients!$ET$78)))))*AH$8))</f>
        <v>450000</v>
      </c>
      <c r="AI329" s="21">
        <f>(SUMPRODUCT(AI$9:AI$229,Nutrients!$ET$8:$ET$228)+(IF($A$7=Nutrients!$B$8,Nutrients!$ET$8,Nutrients!$ET$9)*AI$7)+(((IF($A$8=Nutrients!$B$79,Nutrients!$ET$79,(IF($A$8=Nutrients!$B$77,Nutrients!$ET$77,Nutrients!$ET$78)))))*AI$8))</f>
        <v>450000</v>
      </c>
      <c r="AK329" s="21">
        <f>(SUMPRODUCT(AK$9:AK$229,Nutrients!$ET$8:$ET$228)+(IF($A$7=Nutrients!$B$8,Nutrients!$ET$8,Nutrients!$ET$9)*AK$7)+(((IF($A$8=Nutrients!$B$79,Nutrients!$ET$79,(IF($A$8=Nutrients!$B$77,Nutrients!$ET$77,Nutrients!$ET$78)))))*AK$8))</f>
        <v>900000</v>
      </c>
      <c r="AL329" s="21">
        <f>(SUMPRODUCT(AL$9:AL$229,Nutrients!$ET$8:$ET$228)+(IF($A$7=Nutrients!$B$8,Nutrients!$ET$8,Nutrients!$ET$9)*AL$7)+(((IF($A$8=Nutrients!$B$79,Nutrients!$ET$79,(IF($A$8=Nutrients!$B$77,Nutrients!$ET$77,Nutrients!$ET$78)))))*AL$8))</f>
        <v>900000</v>
      </c>
      <c r="AM329" s="21">
        <f>(SUMPRODUCT(AM$9:AM$229,Nutrients!$ET$8:$ET$228)+(IF($A$7=Nutrients!$B$8,Nutrients!$ET$8,Nutrients!$ET$9)*AM$7)+(((IF($A$8=Nutrients!$B$79,Nutrients!$ET$79,(IF($A$8=Nutrients!$B$77,Nutrients!$ET$77,Nutrients!$ET$78)))))*AM$8))</f>
        <v>750000</v>
      </c>
      <c r="AN329" s="21">
        <f>(SUMPRODUCT(AN$9:AN$229,Nutrients!$ET$8:$ET$228)+(IF($A$7=Nutrients!$B$8,Nutrients!$ET$8,Nutrients!$ET$9)*AN$7)+(((IF($A$8=Nutrients!$B$79,Nutrients!$ET$79,(IF($A$8=Nutrients!$B$77,Nutrients!$ET$77,Nutrients!$ET$78)))))*AN$8))</f>
        <v>600000</v>
      </c>
      <c r="AO329" s="21">
        <f>(SUMPRODUCT(AO$9:AO$229,Nutrients!$ET$8:$ET$228)+(IF($A$7=Nutrients!$B$8,Nutrients!$ET$8,Nutrients!$ET$9)*AO$7)+(((IF($A$8=Nutrients!$B$79,Nutrients!$ET$79,(IF($A$8=Nutrients!$B$77,Nutrients!$ET$77,Nutrients!$ET$78)))))*AO$8))</f>
        <v>450000</v>
      </c>
      <c r="AP329" s="21">
        <f>(SUMPRODUCT(AP$9:AP$229,Nutrients!$ET$8:$ET$228)+(IF($A$7=Nutrients!$B$8,Nutrients!$ET$8,Nutrients!$ET$9)*AP$7)+(((IF($A$8=Nutrients!$B$79,Nutrients!$ET$79,(IF($A$8=Nutrients!$B$77,Nutrients!$ET$77,Nutrients!$ET$78)))))*AP$8))</f>
        <v>450000</v>
      </c>
      <c r="AR329" s="21">
        <f>(SUMPRODUCT(AR$9:AR$229,Nutrients!$ET$8:$ET$228)+(IF($A$7=Nutrients!$B$8,Nutrients!$ET$8,Nutrients!$ET$9)*AR$7)+(((IF($A$8=Nutrients!$B$79,Nutrients!$ET$79,(IF($A$8=Nutrients!$B$77,Nutrients!$ET$77,Nutrients!$ET$78)))))*AR$8))</f>
        <v>900000</v>
      </c>
      <c r="AS329" s="21">
        <f>(SUMPRODUCT(AS$9:AS$229,Nutrients!$ET$8:$ET$228)+(IF($A$7=Nutrients!$B$8,Nutrients!$ET$8,Nutrients!$ET$9)*AS$7)+(((IF($A$8=Nutrients!$B$79,Nutrients!$ET$79,(IF($A$8=Nutrients!$B$77,Nutrients!$ET$77,Nutrients!$ET$78)))))*AS$8))</f>
        <v>900000</v>
      </c>
      <c r="AT329" s="21">
        <f>(SUMPRODUCT(AT$9:AT$229,Nutrients!$ET$8:$ET$228)+(IF($A$7=Nutrients!$B$8,Nutrients!$ET$8,Nutrients!$ET$9)*AT$7)+(((IF($A$8=Nutrients!$B$79,Nutrients!$ET$79,(IF($A$8=Nutrients!$B$77,Nutrients!$ET$77,Nutrients!$ET$78)))))*AT$8))</f>
        <v>750000</v>
      </c>
      <c r="AU329" s="21">
        <f>(SUMPRODUCT(AU$9:AU$229,Nutrients!$ET$8:$ET$228)+(IF($A$7=Nutrients!$B$8,Nutrients!$ET$8,Nutrients!$ET$9)*AU$7)+(((IF($A$8=Nutrients!$B$79,Nutrients!$ET$79,(IF($A$8=Nutrients!$B$77,Nutrients!$ET$77,Nutrients!$ET$78)))))*AU$8))</f>
        <v>600000</v>
      </c>
      <c r="AV329" s="21">
        <f>(SUMPRODUCT(AV$9:AV$229,Nutrients!$ET$8:$ET$228)+(IF($A$7=Nutrients!$B$8,Nutrients!$ET$8,Nutrients!$ET$9)*AV$7)+(((IF($A$8=Nutrients!$B$79,Nutrients!$ET$79,(IF($A$8=Nutrients!$B$77,Nutrients!$ET$77,Nutrients!$ET$78)))))*AV$8))</f>
        <v>450000</v>
      </c>
      <c r="AW329" s="21">
        <f>(SUMPRODUCT(AW$9:AW$229,Nutrients!$ET$8:$ET$228)+(IF($A$7=Nutrients!$B$8,Nutrients!$ET$8,Nutrients!$ET$9)*AW$7)+(((IF($A$8=Nutrients!$B$79,Nutrients!$ET$79,(IF($A$8=Nutrients!$B$77,Nutrients!$ET$77,Nutrients!$ET$78)))))*AW$8))</f>
        <v>450000</v>
      </c>
    </row>
    <row r="330" spans="1:49" x14ac:dyDescent="0.25">
      <c r="A330" s="34" t="s">
        <v>123</v>
      </c>
      <c r="B330" s="21">
        <f>(SUMPRODUCT(B$9:B$229,Nutrients!$EU$8:$EU$228)+(IF($A$7=Nutrients!$B$8,Nutrients!$EU$8,Nutrients!$EU$9)*B$7)+(((IF($A$8=Nutrients!$B$79,Nutrients!$EU$79,(IF($A$8=Nutrients!$B$77,Nutrients!$EU$77,Nutrients!$EU$78)))))*B$8))</f>
        <v>24000</v>
      </c>
      <c r="C330" s="21">
        <f>(SUMPRODUCT(C$9:C$229,Nutrients!$EU$8:$EU$228)+(IF($A$7=Nutrients!$B$8,Nutrients!$EU$8,Nutrients!$EU$9)*C$7)+(((IF($A$8=Nutrients!$B$79,Nutrients!$EU$79,(IF($A$8=Nutrients!$B$77,Nutrients!$EU$77,Nutrients!$EU$78)))))*C$8))</f>
        <v>24000</v>
      </c>
      <c r="D330" s="21">
        <f>(SUMPRODUCT(D$9:D$229,Nutrients!$EU$8:$EU$228)+(IF($A$7=Nutrients!$B$8,Nutrients!$EU$8,Nutrients!$EU$9)*D$7)+(((IF($A$8=Nutrients!$B$79,Nutrients!$EU$79,(IF($A$8=Nutrients!$B$77,Nutrients!$EU$77,Nutrients!$EU$78)))))*D$8))</f>
        <v>20000</v>
      </c>
      <c r="E330" s="21">
        <f>(SUMPRODUCT(E$9:E$229,Nutrients!$EU$8:$EU$228)+(IF($A$7=Nutrients!$B$8,Nutrients!$EU$8,Nutrients!$EU$9)*E$7)+(((IF($A$8=Nutrients!$B$79,Nutrients!$EU$79,(IF($A$8=Nutrients!$B$77,Nutrients!$EU$77,Nutrients!$EU$78)))))*E$8))</f>
        <v>16000</v>
      </c>
      <c r="F330" s="21">
        <f>(SUMPRODUCT(F$9:F$229,Nutrients!$EU$8:$EU$228)+(IF($A$7=Nutrients!$B$8,Nutrients!$EU$8,Nutrients!$EU$9)*F$7)+(((IF($A$8=Nutrients!$B$79,Nutrients!$EU$79,(IF($A$8=Nutrients!$B$77,Nutrients!$EU$77,Nutrients!$EU$78)))))*F$8))</f>
        <v>12000</v>
      </c>
      <c r="G330" s="21">
        <f>(SUMPRODUCT(G$9:G$229,Nutrients!$EU$8:$EU$228)+(IF($A$7=Nutrients!$B$8,Nutrients!$EU$8,Nutrients!$EU$9)*G$7)+(((IF($A$8=Nutrients!$B$79,Nutrients!$EU$79,(IF($A$8=Nutrients!$B$77,Nutrients!$EU$77,Nutrients!$EU$78)))))*G$8))</f>
        <v>12000</v>
      </c>
      <c r="H330" s="226"/>
      <c r="I330" s="21">
        <f>(SUMPRODUCT(I$9:I$229,Nutrients!$EU$8:$EU$228)+(IF($A$7=Nutrients!$B$8,Nutrients!$EU$8,Nutrients!$EU$9)*I$7)+(((IF($A$8=Nutrients!$B$79,Nutrients!$EU$79,(IF($A$8=Nutrients!$B$77,Nutrients!$EU$77,Nutrients!$EU$78)))))*I$8))</f>
        <v>24000</v>
      </c>
      <c r="J330" s="21">
        <f>(SUMPRODUCT(J$9:J$229,Nutrients!$EU$8:$EU$228)+(IF($A$7=Nutrients!$B$8,Nutrients!$EU$8,Nutrients!$EU$9)*J$7)+(((IF($A$8=Nutrients!$B$79,Nutrients!$EU$79,(IF($A$8=Nutrients!$B$77,Nutrients!$EU$77,Nutrients!$EU$78)))))*J$8))</f>
        <v>24000</v>
      </c>
      <c r="K330" s="21">
        <f>(SUMPRODUCT(K$9:K$229,Nutrients!$EU$8:$EU$228)+(IF($A$7=Nutrients!$B$8,Nutrients!$EU$8,Nutrients!$EU$9)*K$7)+(((IF($A$8=Nutrients!$B$79,Nutrients!$EU$79,(IF($A$8=Nutrients!$B$77,Nutrients!$EU$77,Nutrients!$EU$78)))))*K$8))</f>
        <v>20000</v>
      </c>
      <c r="L330" s="21">
        <f>(SUMPRODUCT(L$9:L$229,Nutrients!$EU$8:$EU$228)+(IF($A$7=Nutrients!$B$8,Nutrients!$EU$8,Nutrients!$EU$9)*L$7)+(((IF($A$8=Nutrients!$B$79,Nutrients!$EU$79,(IF($A$8=Nutrients!$B$77,Nutrients!$EU$77,Nutrients!$EU$78)))))*L$8))</f>
        <v>16000</v>
      </c>
      <c r="M330" s="21">
        <f>(SUMPRODUCT(M$9:M$229,Nutrients!$EU$8:$EU$228)+(IF($A$7=Nutrients!$B$8,Nutrients!$EU$8,Nutrients!$EU$9)*M$7)+(((IF($A$8=Nutrients!$B$79,Nutrients!$EU$79,(IF($A$8=Nutrients!$B$77,Nutrients!$EU$77,Nutrients!$EU$78)))))*M$8))</f>
        <v>12000</v>
      </c>
      <c r="N330" s="21">
        <f>(SUMPRODUCT(N$9:N$229,Nutrients!$EU$8:$EU$228)+(IF($A$7=Nutrients!$B$8,Nutrients!$EU$8,Nutrients!$EU$9)*N$7)+(((IF($A$8=Nutrients!$B$79,Nutrients!$EU$79,(IF($A$8=Nutrients!$B$77,Nutrients!$EU$77,Nutrients!$EU$78)))))*N$8))</f>
        <v>12000</v>
      </c>
      <c r="O330" s="234"/>
      <c r="P330" s="21">
        <f>(SUMPRODUCT(P$9:P$229,Nutrients!$EU$8:$EU$228)+(IF($A$7=Nutrients!$B$8,Nutrients!$EU$8,Nutrients!$EU$9)*P$7)+(((IF($A$8=Nutrients!$B$79,Nutrients!$EU$79,(IF($A$8=Nutrients!$B$77,Nutrients!$EU$77,Nutrients!$EU$78)))))*P$8))</f>
        <v>24000</v>
      </c>
      <c r="Q330" s="21">
        <f>(SUMPRODUCT(Q$9:Q$229,Nutrients!$EU$8:$EU$228)+(IF($A$7=Nutrients!$B$8,Nutrients!$EU$8,Nutrients!$EU$9)*Q$7)+(((IF($A$8=Nutrients!$B$79,Nutrients!$EU$79,(IF($A$8=Nutrients!$B$77,Nutrients!$EU$77,Nutrients!$EU$78)))))*Q$8))</f>
        <v>24000</v>
      </c>
      <c r="R330" s="21">
        <f>(SUMPRODUCT(R$9:R$229,Nutrients!$EU$8:$EU$228)+(IF($A$7=Nutrients!$B$8,Nutrients!$EU$8,Nutrients!$EU$9)*R$7)+(((IF($A$8=Nutrients!$B$79,Nutrients!$EU$79,(IF($A$8=Nutrients!$B$77,Nutrients!$EU$77,Nutrients!$EU$78)))))*R$8))</f>
        <v>20000</v>
      </c>
      <c r="S330" s="21">
        <f>(SUMPRODUCT(S$9:S$229,Nutrients!$EU$8:$EU$228)+(IF($A$7=Nutrients!$B$8,Nutrients!$EU$8,Nutrients!$EU$9)*S$7)+(((IF($A$8=Nutrients!$B$79,Nutrients!$EU$79,(IF($A$8=Nutrients!$B$77,Nutrients!$EU$77,Nutrients!$EU$78)))))*S$8))</f>
        <v>16000</v>
      </c>
      <c r="T330" s="21">
        <f>(SUMPRODUCT(T$9:T$229,Nutrients!$EU$8:$EU$228)+(IF($A$7=Nutrients!$B$8,Nutrients!$EU$8,Nutrients!$EU$9)*T$7)+(((IF($A$8=Nutrients!$B$79,Nutrients!$EU$79,(IF($A$8=Nutrients!$B$77,Nutrients!$EU$77,Nutrients!$EU$78)))))*T$8))</f>
        <v>12000</v>
      </c>
      <c r="U330" s="21">
        <f>(SUMPRODUCT(U$9:U$229,Nutrients!$EU$8:$EU$228)+(IF($A$7=Nutrients!$B$8,Nutrients!$EU$8,Nutrients!$EU$9)*U$7)+(((IF($A$8=Nutrients!$B$79,Nutrients!$EU$79,(IF($A$8=Nutrients!$B$77,Nutrients!$EU$77,Nutrients!$EU$78)))))*U$8))</f>
        <v>12000</v>
      </c>
      <c r="W330" s="21">
        <f>(SUMPRODUCT(W$9:W$229,Nutrients!$EU$8:$EU$228)+(IF($A$7=Nutrients!$B$8,Nutrients!$EU$8,Nutrients!$EU$9)*W$7)+(((IF($A$8=Nutrients!$B$79,Nutrients!$EU$79,(IF($A$8=Nutrients!$B$77,Nutrients!$EU$77,Nutrients!$EU$78)))))*W$8))</f>
        <v>24000</v>
      </c>
      <c r="X330" s="21">
        <f>(SUMPRODUCT(X$9:X$229,Nutrients!$EU$8:$EU$228)+(IF($A$7=Nutrients!$B$8,Nutrients!$EU$8,Nutrients!$EU$9)*X$7)+(((IF($A$8=Nutrients!$B$79,Nutrients!$EU$79,(IF($A$8=Nutrients!$B$77,Nutrients!$EU$77,Nutrients!$EU$78)))))*X$8))</f>
        <v>24000</v>
      </c>
      <c r="Y330" s="21">
        <f>(SUMPRODUCT(Y$9:Y$229,Nutrients!$EU$8:$EU$228)+(IF($A$7=Nutrients!$B$8,Nutrients!$EU$8,Nutrients!$EU$9)*Y$7)+(((IF($A$8=Nutrients!$B$79,Nutrients!$EU$79,(IF($A$8=Nutrients!$B$77,Nutrients!$EU$77,Nutrients!$EU$78)))))*Y$8))</f>
        <v>20000</v>
      </c>
      <c r="Z330" s="21">
        <f>(SUMPRODUCT(Z$9:Z$229,Nutrients!$EU$8:$EU$228)+(IF($A$7=Nutrients!$B$8,Nutrients!$EU$8,Nutrients!$EU$9)*Z$7)+(((IF($A$8=Nutrients!$B$79,Nutrients!$EU$79,(IF($A$8=Nutrients!$B$77,Nutrients!$EU$77,Nutrients!$EU$78)))))*Z$8))</f>
        <v>16000</v>
      </c>
      <c r="AA330" s="21">
        <f>(SUMPRODUCT(AA$9:AA$229,Nutrients!$EU$8:$EU$228)+(IF($A$7=Nutrients!$B$8,Nutrients!$EU$8,Nutrients!$EU$9)*AA$7)+(((IF($A$8=Nutrients!$B$79,Nutrients!$EU$79,(IF($A$8=Nutrients!$B$77,Nutrients!$EU$77,Nutrients!$EU$78)))))*AA$8))</f>
        <v>12000</v>
      </c>
      <c r="AB330" s="21">
        <f>(SUMPRODUCT(AB$9:AB$229,Nutrients!$EU$8:$EU$228)+(IF($A$7=Nutrients!$B$8,Nutrients!$EU$8,Nutrients!$EU$9)*AB$7)+(((IF($A$8=Nutrients!$B$79,Nutrients!$EU$79,(IF($A$8=Nutrients!$B$77,Nutrients!$EU$77,Nutrients!$EU$78)))))*AB$8))</f>
        <v>12000</v>
      </c>
      <c r="AD330" s="21">
        <f>(SUMPRODUCT(AD$9:AD$229,Nutrients!$EU$8:$EU$228)+(IF($A$7=Nutrients!$B$8,Nutrients!$EU$8,Nutrients!$EU$9)*AD$7)+(((IF($A$8=Nutrients!$B$79,Nutrients!$EU$79,(IF($A$8=Nutrients!$B$77,Nutrients!$EU$77,Nutrients!$EU$78)))))*AD$8))</f>
        <v>24000</v>
      </c>
      <c r="AE330" s="21">
        <f>(SUMPRODUCT(AE$9:AE$229,Nutrients!$EU$8:$EU$228)+(IF($A$7=Nutrients!$B$8,Nutrients!$EU$8,Nutrients!$EU$9)*AE$7)+(((IF($A$8=Nutrients!$B$79,Nutrients!$EU$79,(IF($A$8=Nutrients!$B$77,Nutrients!$EU$77,Nutrients!$EU$78)))))*AE$8))</f>
        <v>24000</v>
      </c>
      <c r="AF330" s="21">
        <f>(SUMPRODUCT(AF$9:AF$229,Nutrients!$EU$8:$EU$228)+(IF($A$7=Nutrients!$B$8,Nutrients!$EU$8,Nutrients!$EU$9)*AF$7)+(((IF($A$8=Nutrients!$B$79,Nutrients!$EU$79,(IF($A$8=Nutrients!$B$77,Nutrients!$EU$77,Nutrients!$EU$78)))))*AF$8))</f>
        <v>20000</v>
      </c>
      <c r="AG330" s="21">
        <f>(SUMPRODUCT(AG$9:AG$229,Nutrients!$EU$8:$EU$228)+(IF($A$7=Nutrients!$B$8,Nutrients!$EU$8,Nutrients!$EU$9)*AG$7)+(((IF($A$8=Nutrients!$B$79,Nutrients!$EU$79,(IF($A$8=Nutrients!$B$77,Nutrients!$EU$77,Nutrients!$EU$78)))))*AG$8))</f>
        <v>16000</v>
      </c>
      <c r="AH330" s="21">
        <f>(SUMPRODUCT(AH$9:AH$229,Nutrients!$EU$8:$EU$228)+(IF($A$7=Nutrients!$B$8,Nutrients!$EU$8,Nutrients!$EU$9)*AH$7)+(((IF($A$8=Nutrients!$B$79,Nutrients!$EU$79,(IF($A$8=Nutrients!$B$77,Nutrients!$EU$77,Nutrients!$EU$78)))))*AH$8))</f>
        <v>12000</v>
      </c>
      <c r="AI330" s="21">
        <f>(SUMPRODUCT(AI$9:AI$229,Nutrients!$EU$8:$EU$228)+(IF($A$7=Nutrients!$B$8,Nutrients!$EU$8,Nutrients!$EU$9)*AI$7)+(((IF($A$8=Nutrients!$B$79,Nutrients!$EU$79,(IF($A$8=Nutrients!$B$77,Nutrients!$EU$77,Nutrients!$EU$78)))))*AI$8))</f>
        <v>12000</v>
      </c>
      <c r="AK330" s="21">
        <f>(SUMPRODUCT(AK$9:AK$229,Nutrients!$EU$8:$EU$228)+(IF($A$7=Nutrients!$B$8,Nutrients!$EU$8,Nutrients!$EU$9)*AK$7)+(((IF($A$8=Nutrients!$B$79,Nutrients!$EU$79,(IF($A$8=Nutrients!$B$77,Nutrients!$EU$77,Nutrients!$EU$78)))))*AK$8))</f>
        <v>24000</v>
      </c>
      <c r="AL330" s="21">
        <f>(SUMPRODUCT(AL$9:AL$229,Nutrients!$EU$8:$EU$228)+(IF($A$7=Nutrients!$B$8,Nutrients!$EU$8,Nutrients!$EU$9)*AL$7)+(((IF($A$8=Nutrients!$B$79,Nutrients!$EU$79,(IF($A$8=Nutrients!$B$77,Nutrients!$EU$77,Nutrients!$EU$78)))))*AL$8))</f>
        <v>24000</v>
      </c>
      <c r="AM330" s="21">
        <f>(SUMPRODUCT(AM$9:AM$229,Nutrients!$EU$8:$EU$228)+(IF($A$7=Nutrients!$B$8,Nutrients!$EU$8,Nutrients!$EU$9)*AM$7)+(((IF($A$8=Nutrients!$B$79,Nutrients!$EU$79,(IF($A$8=Nutrients!$B$77,Nutrients!$EU$77,Nutrients!$EU$78)))))*AM$8))</f>
        <v>20000</v>
      </c>
      <c r="AN330" s="21">
        <f>(SUMPRODUCT(AN$9:AN$229,Nutrients!$EU$8:$EU$228)+(IF($A$7=Nutrients!$B$8,Nutrients!$EU$8,Nutrients!$EU$9)*AN$7)+(((IF($A$8=Nutrients!$B$79,Nutrients!$EU$79,(IF($A$8=Nutrients!$B$77,Nutrients!$EU$77,Nutrients!$EU$78)))))*AN$8))</f>
        <v>16000</v>
      </c>
      <c r="AO330" s="21">
        <f>(SUMPRODUCT(AO$9:AO$229,Nutrients!$EU$8:$EU$228)+(IF($A$7=Nutrients!$B$8,Nutrients!$EU$8,Nutrients!$EU$9)*AO$7)+(((IF($A$8=Nutrients!$B$79,Nutrients!$EU$79,(IF($A$8=Nutrients!$B$77,Nutrients!$EU$77,Nutrients!$EU$78)))))*AO$8))</f>
        <v>12000</v>
      </c>
      <c r="AP330" s="21">
        <f>(SUMPRODUCT(AP$9:AP$229,Nutrients!$EU$8:$EU$228)+(IF($A$7=Nutrients!$B$8,Nutrients!$EU$8,Nutrients!$EU$9)*AP$7)+(((IF($A$8=Nutrients!$B$79,Nutrients!$EU$79,(IF($A$8=Nutrients!$B$77,Nutrients!$EU$77,Nutrients!$EU$78)))))*AP$8))</f>
        <v>12000</v>
      </c>
      <c r="AR330" s="21">
        <f>(SUMPRODUCT(AR$9:AR$229,Nutrients!$EU$8:$EU$228)+(IF($A$7=Nutrients!$B$8,Nutrients!$EU$8,Nutrients!$EU$9)*AR$7)+(((IF($A$8=Nutrients!$B$79,Nutrients!$EU$79,(IF($A$8=Nutrients!$B$77,Nutrients!$EU$77,Nutrients!$EU$78)))))*AR$8))</f>
        <v>24000</v>
      </c>
      <c r="AS330" s="21">
        <f>(SUMPRODUCT(AS$9:AS$229,Nutrients!$EU$8:$EU$228)+(IF($A$7=Nutrients!$B$8,Nutrients!$EU$8,Nutrients!$EU$9)*AS$7)+(((IF($A$8=Nutrients!$B$79,Nutrients!$EU$79,(IF($A$8=Nutrients!$B$77,Nutrients!$EU$77,Nutrients!$EU$78)))))*AS$8))</f>
        <v>24000</v>
      </c>
      <c r="AT330" s="21">
        <f>(SUMPRODUCT(AT$9:AT$229,Nutrients!$EU$8:$EU$228)+(IF($A$7=Nutrients!$B$8,Nutrients!$EU$8,Nutrients!$EU$9)*AT$7)+(((IF($A$8=Nutrients!$B$79,Nutrients!$EU$79,(IF($A$8=Nutrients!$B$77,Nutrients!$EU$77,Nutrients!$EU$78)))))*AT$8))</f>
        <v>20000</v>
      </c>
      <c r="AU330" s="21">
        <f>(SUMPRODUCT(AU$9:AU$229,Nutrients!$EU$8:$EU$228)+(IF($A$7=Nutrients!$B$8,Nutrients!$EU$8,Nutrients!$EU$9)*AU$7)+(((IF($A$8=Nutrients!$B$79,Nutrients!$EU$79,(IF($A$8=Nutrients!$B$77,Nutrients!$EU$77,Nutrients!$EU$78)))))*AU$8))</f>
        <v>16000</v>
      </c>
      <c r="AV330" s="21">
        <f>(SUMPRODUCT(AV$9:AV$229,Nutrients!$EU$8:$EU$228)+(IF($A$7=Nutrients!$B$8,Nutrients!$EU$8,Nutrients!$EU$9)*AV$7)+(((IF($A$8=Nutrients!$B$79,Nutrients!$EU$79,(IF($A$8=Nutrients!$B$77,Nutrients!$EU$77,Nutrients!$EU$78)))))*AV$8))</f>
        <v>12000</v>
      </c>
      <c r="AW330" s="21">
        <f>(SUMPRODUCT(AW$9:AW$229,Nutrients!$EU$8:$EU$228)+(IF($A$7=Nutrients!$B$8,Nutrients!$EU$8,Nutrients!$EU$9)*AW$7)+(((IF($A$8=Nutrients!$B$79,Nutrients!$EU$79,(IF($A$8=Nutrients!$B$77,Nutrients!$EU$77,Nutrients!$EU$78)))))*AW$8))</f>
        <v>12000</v>
      </c>
    </row>
    <row r="331" spans="1:49" x14ac:dyDescent="0.25">
      <c r="A331" s="34" t="s">
        <v>124</v>
      </c>
      <c r="B331" s="21">
        <f>(SUMPRODUCT(B$9:B$229,Nutrients!$EV$8:$EV$228)+(IF($A$7=Nutrients!$B$8,Nutrients!$EV$8,Nutrients!$EV$9)*B$7)+(((IF($A$8=Nutrients!$B$79,Nutrients!$EV$79,(IF($A$8=Nutrients!$B$77,Nutrients!$EV$77,Nutrients!$EV$78)))))*B$8))</f>
        <v>1800</v>
      </c>
      <c r="C331" s="21">
        <f>(SUMPRODUCT(C$9:C$229,Nutrients!$EV$8:$EV$228)+(IF($A$7=Nutrients!$B$8,Nutrients!$EV$8,Nutrients!$EV$9)*C$7)+(((IF($A$8=Nutrients!$B$79,Nutrients!$EV$79,(IF($A$8=Nutrients!$B$77,Nutrients!$EV$77,Nutrients!$EV$78)))))*C$8))</f>
        <v>1800</v>
      </c>
      <c r="D331" s="21">
        <f>(SUMPRODUCT(D$9:D$229,Nutrients!$EV$8:$EV$228)+(IF($A$7=Nutrients!$B$8,Nutrients!$EV$8,Nutrients!$EV$9)*D$7)+(((IF($A$8=Nutrients!$B$79,Nutrients!$EV$79,(IF($A$8=Nutrients!$B$77,Nutrients!$EV$77,Nutrients!$EV$78)))))*D$8))</f>
        <v>1500</v>
      </c>
      <c r="E331" s="21">
        <f>(SUMPRODUCT(E$9:E$229,Nutrients!$EV$8:$EV$228)+(IF($A$7=Nutrients!$B$8,Nutrients!$EV$8,Nutrients!$EV$9)*E$7)+(((IF($A$8=Nutrients!$B$79,Nutrients!$EV$79,(IF($A$8=Nutrients!$B$77,Nutrients!$EV$77,Nutrients!$EV$78)))))*E$8))</f>
        <v>1200</v>
      </c>
      <c r="F331" s="21">
        <f>(SUMPRODUCT(F$9:F$229,Nutrients!$EV$8:$EV$228)+(IF($A$7=Nutrients!$B$8,Nutrients!$EV$8,Nutrients!$EV$9)*F$7)+(((IF($A$8=Nutrients!$B$79,Nutrients!$EV$79,(IF($A$8=Nutrients!$B$77,Nutrients!$EV$77,Nutrients!$EV$78)))))*F$8))</f>
        <v>900</v>
      </c>
      <c r="G331" s="21">
        <f>(SUMPRODUCT(G$9:G$229,Nutrients!$EV$8:$EV$228)+(IF($A$7=Nutrients!$B$8,Nutrients!$EV$8,Nutrients!$EV$9)*G$7)+(((IF($A$8=Nutrients!$B$79,Nutrients!$EV$79,(IF($A$8=Nutrients!$B$77,Nutrients!$EV$77,Nutrients!$EV$78)))))*G$8))</f>
        <v>900</v>
      </c>
      <c r="H331" s="226"/>
      <c r="I331" s="21">
        <f>(SUMPRODUCT(I$9:I$229,Nutrients!$EV$8:$EV$228)+(IF($A$7=Nutrients!$B$8,Nutrients!$EV$8,Nutrients!$EV$9)*I$7)+(((IF($A$8=Nutrients!$B$79,Nutrients!$EV$79,(IF($A$8=Nutrients!$B$77,Nutrients!$EV$77,Nutrients!$EV$78)))))*I$8))</f>
        <v>1800</v>
      </c>
      <c r="J331" s="21">
        <f>(SUMPRODUCT(J$9:J$229,Nutrients!$EV$8:$EV$228)+(IF($A$7=Nutrients!$B$8,Nutrients!$EV$8,Nutrients!$EV$9)*J$7)+(((IF($A$8=Nutrients!$B$79,Nutrients!$EV$79,(IF($A$8=Nutrients!$B$77,Nutrients!$EV$77,Nutrients!$EV$78)))))*J$8))</f>
        <v>1800</v>
      </c>
      <c r="K331" s="21">
        <f>(SUMPRODUCT(K$9:K$229,Nutrients!$EV$8:$EV$228)+(IF($A$7=Nutrients!$B$8,Nutrients!$EV$8,Nutrients!$EV$9)*K$7)+(((IF($A$8=Nutrients!$B$79,Nutrients!$EV$79,(IF($A$8=Nutrients!$B$77,Nutrients!$EV$77,Nutrients!$EV$78)))))*K$8))</f>
        <v>1500</v>
      </c>
      <c r="L331" s="21">
        <f>(SUMPRODUCT(L$9:L$229,Nutrients!$EV$8:$EV$228)+(IF($A$7=Nutrients!$B$8,Nutrients!$EV$8,Nutrients!$EV$9)*L$7)+(((IF($A$8=Nutrients!$B$79,Nutrients!$EV$79,(IF($A$8=Nutrients!$B$77,Nutrients!$EV$77,Nutrients!$EV$78)))))*L$8))</f>
        <v>1200</v>
      </c>
      <c r="M331" s="21">
        <f>(SUMPRODUCT(M$9:M$229,Nutrients!$EV$8:$EV$228)+(IF($A$7=Nutrients!$B$8,Nutrients!$EV$8,Nutrients!$EV$9)*M$7)+(((IF($A$8=Nutrients!$B$79,Nutrients!$EV$79,(IF($A$8=Nutrients!$B$77,Nutrients!$EV$77,Nutrients!$EV$78)))))*M$8))</f>
        <v>900</v>
      </c>
      <c r="N331" s="21">
        <f>(SUMPRODUCT(N$9:N$229,Nutrients!$EV$8:$EV$228)+(IF($A$7=Nutrients!$B$8,Nutrients!$EV$8,Nutrients!$EV$9)*N$7)+(((IF($A$8=Nutrients!$B$79,Nutrients!$EV$79,(IF($A$8=Nutrients!$B$77,Nutrients!$EV$77,Nutrients!$EV$78)))))*N$8))</f>
        <v>900</v>
      </c>
      <c r="O331" s="234"/>
      <c r="P331" s="21">
        <f>(SUMPRODUCT(P$9:P$229,Nutrients!$EV$8:$EV$228)+(IF($A$7=Nutrients!$B$8,Nutrients!$EV$8,Nutrients!$EV$9)*P$7)+(((IF($A$8=Nutrients!$B$79,Nutrients!$EV$79,(IF($A$8=Nutrients!$B$77,Nutrients!$EV$77,Nutrients!$EV$78)))))*P$8))</f>
        <v>1800</v>
      </c>
      <c r="Q331" s="21">
        <f>(SUMPRODUCT(Q$9:Q$229,Nutrients!$EV$8:$EV$228)+(IF($A$7=Nutrients!$B$8,Nutrients!$EV$8,Nutrients!$EV$9)*Q$7)+(((IF($A$8=Nutrients!$B$79,Nutrients!$EV$79,(IF($A$8=Nutrients!$B$77,Nutrients!$EV$77,Nutrients!$EV$78)))))*Q$8))</f>
        <v>1800</v>
      </c>
      <c r="R331" s="21">
        <f>(SUMPRODUCT(R$9:R$229,Nutrients!$EV$8:$EV$228)+(IF($A$7=Nutrients!$B$8,Nutrients!$EV$8,Nutrients!$EV$9)*R$7)+(((IF($A$8=Nutrients!$B$79,Nutrients!$EV$79,(IF($A$8=Nutrients!$B$77,Nutrients!$EV$77,Nutrients!$EV$78)))))*R$8))</f>
        <v>1500</v>
      </c>
      <c r="S331" s="21">
        <f>(SUMPRODUCT(S$9:S$229,Nutrients!$EV$8:$EV$228)+(IF($A$7=Nutrients!$B$8,Nutrients!$EV$8,Nutrients!$EV$9)*S$7)+(((IF($A$8=Nutrients!$B$79,Nutrients!$EV$79,(IF($A$8=Nutrients!$B$77,Nutrients!$EV$77,Nutrients!$EV$78)))))*S$8))</f>
        <v>1200</v>
      </c>
      <c r="T331" s="21">
        <f>(SUMPRODUCT(T$9:T$229,Nutrients!$EV$8:$EV$228)+(IF($A$7=Nutrients!$B$8,Nutrients!$EV$8,Nutrients!$EV$9)*T$7)+(((IF($A$8=Nutrients!$B$79,Nutrients!$EV$79,(IF($A$8=Nutrients!$B$77,Nutrients!$EV$77,Nutrients!$EV$78)))))*T$8))</f>
        <v>900</v>
      </c>
      <c r="U331" s="21">
        <f>(SUMPRODUCT(U$9:U$229,Nutrients!$EV$8:$EV$228)+(IF($A$7=Nutrients!$B$8,Nutrients!$EV$8,Nutrients!$EV$9)*U$7)+(((IF($A$8=Nutrients!$B$79,Nutrients!$EV$79,(IF($A$8=Nutrients!$B$77,Nutrients!$EV$77,Nutrients!$EV$78)))))*U$8))</f>
        <v>900</v>
      </c>
      <c r="W331" s="21">
        <f>(SUMPRODUCT(W$9:W$229,Nutrients!$EV$8:$EV$228)+(IF($A$7=Nutrients!$B$8,Nutrients!$EV$8,Nutrients!$EV$9)*W$7)+(((IF($A$8=Nutrients!$B$79,Nutrients!$EV$79,(IF($A$8=Nutrients!$B$77,Nutrients!$EV$77,Nutrients!$EV$78)))))*W$8))</f>
        <v>1800</v>
      </c>
      <c r="X331" s="21">
        <f>(SUMPRODUCT(X$9:X$229,Nutrients!$EV$8:$EV$228)+(IF($A$7=Nutrients!$B$8,Nutrients!$EV$8,Nutrients!$EV$9)*X$7)+(((IF($A$8=Nutrients!$B$79,Nutrients!$EV$79,(IF($A$8=Nutrients!$B$77,Nutrients!$EV$77,Nutrients!$EV$78)))))*X$8))</f>
        <v>1800</v>
      </c>
      <c r="Y331" s="21">
        <f>(SUMPRODUCT(Y$9:Y$229,Nutrients!$EV$8:$EV$228)+(IF($A$7=Nutrients!$B$8,Nutrients!$EV$8,Nutrients!$EV$9)*Y$7)+(((IF($A$8=Nutrients!$B$79,Nutrients!$EV$79,(IF($A$8=Nutrients!$B$77,Nutrients!$EV$77,Nutrients!$EV$78)))))*Y$8))</f>
        <v>1500</v>
      </c>
      <c r="Z331" s="21">
        <f>(SUMPRODUCT(Z$9:Z$229,Nutrients!$EV$8:$EV$228)+(IF($A$7=Nutrients!$B$8,Nutrients!$EV$8,Nutrients!$EV$9)*Z$7)+(((IF($A$8=Nutrients!$B$79,Nutrients!$EV$79,(IF($A$8=Nutrients!$B$77,Nutrients!$EV$77,Nutrients!$EV$78)))))*Z$8))</f>
        <v>1200</v>
      </c>
      <c r="AA331" s="21">
        <f>(SUMPRODUCT(AA$9:AA$229,Nutrients!$EV$8:$EV$228)+(IF($A$7=Nutrients!$B$8,Nutrients!$EV$8,Nutrients!$EV$9)*AA$7)+(((IF($A$8=Nutrients!$B$79,Nutrients!$EV$79,(IF($A$8=Nutrients!$B$77,Nutrients!$EV$77,Nutrients!$EV$78)))))*AA$8))</f>
        <v>900</v>
      </c>
      <c r="AB331" s="21">
        <f>(SUMPRODUCT(AB$9:AB$229,Nutrients!$EV$8:$EV$228)+(IF($A$7=Nutrients!$B$8,Nutrients!$EV$8,Nutrients!$EV$9)*AB$7)+(((IF($A$8=Nutrients!$B$79,Nutrients!$EV$79,(IF($A$8=Nutrients!$B$77,Nutrients!$EV$77,Nutrients!$EV$78)))))*AB$8))</f>
        <v>900</v>
      </c>
      <c r="AD331" s="21">
        <f>(SUMPRODUCT(AD$9:AD$229,Nutrients!$EV$8:$EV$228)+(IF($A$7=Nutrients!$B$8,Nutrients!$EV$8,Nutrients!$EV$9)*AD$7)+(((IF($A$8=Nutrients!$B$79,Nutrients!$EV$79,(IF($A$8=Nutrients!$B$77,Nutrients!$EV$77,Nutrients!$EV$78)))))*AD$8))</f>
        <v>1800</v>
      </c>
      <c r="AE331" s="21">
        <f>(SUMPRODUCT(AE$9:AE$229,Nutrients!$EV$8:$EV$228)+(IF($A$7=Nutrients!$B$8,Nutrients!$EV$8,Nutrients!$EV$9)*AE$7)+(((IF($A$8=Nutrients!$B$79,Nutrients!$EV$79,(IF($A$8=Nutrients!$B$77,Nutrients!$EV$77,Nutrients!$EV$78)))))*AE$8))</f>
        <v>1800</v>
      </c>
      <c r="AF331" s="21">
        <f>(SUMPRODUCT(AF$9:AF$229,Nutrients!$EV$8:$EV$228)+(IF($A$7=Nutrients!$B$8,Nutrients!$EV$8,Nutrients!$EV$9)*AF$7)+(((IF($A$8=Nutrients!$B$79,Nutrients!$EV$79,(IF($A$8=Nutrients!$B$77,Nutrients!$EV$77,Nutrients!$EV$78)))))*AF$8))</f>
        <v>1500</v>
      </c>
      <c r="AG331" s="21">
        <f>(SUMPRODUCT(AG$9:AG$229,Nutrients!$EV$8:$EV$228)+(IF($A$7=Nutrients!$B$8,Nutrients!$EV$8,Nutrients!$EV$9)*AG$7)+(((IF($A$8=Nutrients!$B$79,Nutrients!$EV$79,(IF($A$8=Nutrients!$B$77,Nutrients!$EV$77,Nutrients!$EV$78)))))*AG$8))</f>
        <v>1200</v>
      </c>
      <c r="AH331" s="21">
        <f>(SUMPRODUCT(AH$9:AH$229,Nutrients!$EV$8:$EV$228)+(IF($A$7=Nutrients!$B$8,Nutrients!$EV$8,Nutrients!$EV$9)*AH$7)+(((IF($A$8=Nutrients!$B$79,Nutrients!$EV$79,(IF($A$8=Nutrients!$B$77,Nutrients!$EV$77,Nutrients!$EV$78)))))*AH$8))</f>
        <v>900</v>
      </c>
      <c r="AI331" s="21">
        <f>(SUMPRODUCT(AI$9:AI$229,Nutrients!$EV$8:$EV$228)+(IF($A$7=Nutrients!$B$8,Nutrients!$EV$8,Nutrients!$EV$9)*AI$7)+(((IF($A$8=Nutrients!$B$79,Nutrients!$EV$79,(IF($A$8=Nutrients!$B$77,Nutrients!$EV$77,Nutrients!$EV$78)))))*AI$8))</f>
        <v>900</v>
      </c>
      <c r="AK331" s="21">
        <f>(SUMPRODUCT(AK$9:AK$229,Nutrients!$EV$8:$EV$228)+(IF($A$7=Nutrients!$B$8,Nutrients!$EV$8,Nutrients!$EV$9)*AK$7)+(((IF($A$8=Nutrients!$B$79,Nutrients!$EV$79,(IF($A$8=Nutrients!$B$77,Nutrients!$EV$77,Nutrients!$EV$78)))))*AK$8))</f>
        <v>1800</v>
      </c>
      <c r="AL331" s="21">
        <f>(SUMPRODUCT(AL$9:AL$229,Nutrients!$EV$8:$EV$228)+(IF($A$7=Nutrients!$B$8,Nutrients!$EV$8,Nutrients!$EV$9)*AL$7)+(((IF($A$8=Nutrients!$B$79,Nutrients!$EV$79,(IF($A$8=Nutrients!$B$77,Nutrients!$EV$77,Nutrients!$EV$78)))))*AL$8))</f>
        <v>1800</v>
      </c>
      <c r="AM331" s="21">
        <f>(SUMPRODUCT(AM$9:AM$229,Nutrients!$EV$8:$EV$228)+(IF($A$7=Nutrients!$B$8,Nutrients!$EV$8,Nutrients!$EV$9)*AM$7)+(((IF($A$8=Nutrients!$B$79,Nutrients!$EV$79,(IF($A$8=Nutrients!$B$77,Nutrients!$EV$77,Nutrients!$EV$78)))))*AM$8))</f>
        <v>1500</v>
      </c>
      <c r="AN331" s="21">
        <f>(SUMPRODUCT(AN$9:AN$229,Nutrients!$EV$8:$EV$228)+(IF($A$7=Nutrients!$B$8,Nutrients!$EV$8,Nutrients!$EV$9)*AN$7)+(((IF($A$8=Nutrients!$B$79,Nutrients!$EV$79,(IF($A$8=Nutrients!$B$77,Nutrients!$EV$77,Nutrients!$EV$78)))))*AN$8))</f>
        <v>1200</v>
      </c>
      <c r="AO331" s="21">
        <f>(SUMPRODUCT(AO$9:AO$229,Nutrients!$EV$8:$EV$228)+(IF($A$7=Nutrients!$B$8,Nutrients!$EV$8,Nutrients!$EV$9)*AO$7)+(((IF($A$8=Nutrients!$B$79,Nutrients!$EV$79,(IF($A$8=Nutrients!$B$77,Nutrients!$EV$77,Nutrients!$EV$78)))))*AO$8))</f>
        <v>900</v>
      </c>
      <c r="AP331" s="21">
        <f>(SUMPRODUCT(AP$9:AP$229,Nutrients!$EV$8:$EV$228)+(IF($A$7=Nutrients!$B$8,Nutrients!$EV$8,Nutrients!$EV$9)*AP$7)+(((IF($A$8=Nutrients!$B$79,Nutrients!$EV$79,(IF($A$8=Nutrients!$B$77,Nutrients!$EV$77,Nutrients!$EV$78)))))*AP$8))</f>
        <v>900</v>
      </c>
      <c r="AR331" s="21">
        <f>(SUMPRODUCT(AR$9:AR$229,Nutrients!$EV$8:$EV$228)+(IF($A$7=Nutrients!$B$8,Nutrients!$EV$8,Nutrients!$EV$9)*AR$7)+(((IF($A$8=Nutrients!$B$79,Nutrients!$EV$79,(IF($A$8=Nutrients!$B$77,Nutrients!$EV$77,Nutrients!$EV$78)))))*AR$8))</f>
        <v>1800</v>
      </c>
      <c r="AS331" s="21">
        <f>(SUMPRODUCT(AS$9:AS$229,Nutrients!$EV$8:$EV$228)+(IF($A$7=Nutrients!$B$8,Nutrients!$EV$8,Nutrients!$EV$9)*AS$7)+(((IF($A$8=Nutrients!$B$79,Nutrients!$EV$79,(IF($A$8=Nutrients!$B$77,Nutrients!$EV$77,Nutrients!$EV$78)))))*AS$8))</f>
        <v>1800</v>
      </c>
      <c r="AT331" s="21">
        <f>(SUMPRODUCT(AT$9:AT$229,Nutrients!$EV$8:$EV$228)+(IF($A$7=Nutrients!$B$8,Nutrients!$EV$8,Nutrients!$EV$9)*AT$7)+(((IF($A$8=Nutrients!$B$79,Nutrients!$EV$79,(IF($A$8=Nutrients!$B$77,Nutrients!$EV$77,Nutrients!$EV$78)))))*AT$8))</f>
        <v>1500</v>
      </c>
      <c r="AU331" s="21">
        <f>(SUMPRODUCT(AU$9:AU$229,Nutrients!$EV$8:$EV$228)+(IF($A$7=Nutrients!$B$8,Nutrients!$EV$8,Nutrients!$EV$9)*AU$7)+(((IF($A$8=Nutrients!$B$79,Nutrients!$EV$79,(IF($A$8=Nutrients!$B$77,Nutrients!$EV$77,Nutrients!$EV$78)))))*AU$8))</f>
        <v>1200</v>
      </c>
      <c r="AV331" s="21">
        <f>(SUMPRODUCT(AV$9:AV$229,Nutrients!$EV$8:$EV$228)+(IF($A$7=Nutrients!$B$8,Nutrients!$EV$8,Nutrients!$EV$9)*AV$7)+(((IF($A$8=Nutrients!$B$79,Nutrients!$EV$79,(IF($A$8=Nutrients!$B$77,Nutrients!$EV$77,Nutrients!$EV$78)))))*AV$8))</f>
        <v>900</v>
      </c>
      <c r="AW331" s="21">
        <f>(SUMPRODUCT(AW$9:AW$229,Nutrients!$EV$8:$EV$228)+(IF($A$7=Nutrients!$B$8,Nutrients!$EV$8,Nutrients!$EV$9)*AW$7)+(((IF($A$8=Nutrients!$B$79,Nutrients!$EV$79,(IF($A$8=Nutrients!$B$77,Nutrients!$EV$77,Nutrients!$EV$78)))))*AW$8))</f>
        <v>900</v>
      </c>
    </row>
    <row r="332" spans="1:49" x14ac:dyDescent="0.25">
      <c r="A332" s="34" t="s">
        <v>125</v>
      </c>
      <c r="B332" s="21">
        <f>(SUMPRODUCT(B$9:B$229,Nutrients!$EW$8:$EW$228)+(IF($A$7=Nutrients!$B$8,Nutrients!$EW$8,Nutrients!$EW$9)*B$7)+(((IF($A$8=Nutrients!$B$79,Nutrients!$EW$79,(IF($A$8=Nutrients!$B$77,Nutrients!$EW$77,Nutrients!$EW$78)))))*B$8))</f>
        <v>18</v>
      </c>
      <c r="C332" s="21">
        <f>(SUMPRODUCT(C$9:C$229,Nutrients!$EW$8:$EW$228)+(IF($A$7=Nutrients!$B$8,Nutrients!$EW$8,Nutrients!$EW$9)*C$7)+(((IF($A$8=Nutrients!$B$79,Nutrients!$EW$79,(IF($A$8=Nutrients!$B$77,Nutrients!$EW$77,Nutrients!$EW$78)))))*C$8))</f>
        <v>18</v>
      </c>
      <c r="D332" s="21">
        <f>(SUMPRODUCT(D$9:D$229,Nutrients!$EW$8:$EW$228)+(IF($A$7=Nutrients!$B$8,Nutrients!$EW$8,Nutrients!$EW$9)*D$7)+(((IF($A$8=Nutrients!$B$79,Nutrients!$EW$79,(IF($A$8=Nutrients!$B$77,Nutrients!$EW$77,Nutrients!$EW$78)))))*D$8))</f>
        <v>15</v>
      </c>
      <c r="E332" s="21">
        <f>(SUMPRODUCT(E$9:E$229,Nutrients!$EW$8:$EW$228)+(IF($A$7=Nutrients!$B$8,Nutrients!$EW$8,Nutrients!$EW$9)*E$7)+(((IF($A$8=Nutrients!$B$79,Nutrients!$EW$79,(IF($A$8=Nutrients!$B$77,Nutrients!$EW$77,Nutrients!$EW$78)))))*E$8))</f>
        <v>12</v>
      </c>
      <c r="F332" s="21">
        <f>(SUMPRODUCT(F$9:F$229,Nutrients!$EW$8:$EW$228)+(IF($A$7=Nutrients!$B$8,Nutrients!$EW$8,Nutrients!$EW$9)*F$7)+(((IF($A$8=Nutrients!$B$79,Nutrients!$EW$79,(IF($A$8=Nutrients!$B$77,Nutrients!$EW$77,Nutrients!$EW$78)))))*F$8))</f>
        <v>9</v>
      </c>
      <c r="G332" s="21">
        <f>(SUMPRODUCT(G$9:G$229,Nutrients!$EW$8:$EW$228)+(IF($A$7=Nutrients!$B$8,Nutrients!$EW$8,Nutrients!$EW$9)*G$7)+(((IF($A$8=Nutrients!$B$79,Nutrients!$EW$79,(IF($A$8=Nutrients!$B$77,Nutrients!$EW$77,Nutrients!$EW$78)))))*G$8))</f>
        <v>9</v>
      </c>
      <c r="H332" s="226"/>
      <c r="I332" s="21">
        <f>(SUMPRODUCT(I$9:I$229,Nutrients!$EW$8:$EW$228)+(IF($A$7=Nutrients!$B$8,Nutrients!$EW$8,Nutrients!$EW$9)*I$7)+(((IF($A$8=Nutrients!$B$79,Nutrients!$EW$79,(IF($A$8=Nutrients!$B$77,Nutrients!$EW$77,Nutrients!$EW$78)))))*I$8))</f>
        <v>18</v>
      </c>
      <c r="J332" s="21">
        <f>(SUMPRODUCT(J$9:J$229,Nutrients!$EW$8:$EW$228)+(IF($A$7=Nutrients!$B$8,Nutrients!$EW$8,Nutrients!$EW$9)*J$7)+(((IF($A$8=Nutrients!$B$79,Nutrients!$EW$79,(IF($A$8=Nutrients!$B$77,Nutrients!$EW$77,Nutrients!$EW$78)))))*J$8))</f>
        <v>18</v>
      </c>
      <c r="K332" s="21">
        <f>(SUMPRODUCT(K$9:K$229,Nutrients!$EW$8:$EW$228)+(IF($A$7=Nutrients!$B$8,Nutrients!$EW$8,Nutrients!$EW$9)*K$7)+(((IF($A$8=Nutrients!$B$79,Nutrients!$EW$79,(IF($A$8=Nutrients!$B$77,Nutrients!$EW$77,Nutrients!$EW$78)))))*K$8))</f>
        <v>15</v>
      </c>
      <c r="L332" s="21">
        <f>(SUMPRODUCT(L$9:L$229,Nutrients!$EW$8:$EW$228)+(IF($A$7=Nutrients!$B$8,Nutrients!$EW$8,Nutrients!$EW$9)*L$7)+(((IF($A$8=Nutrients!$B$79,Nutrients!$EW$79,(IF($A$8=Nutrients!$B$77,Nutrients!$EW$77,Nutrients!$EW$78)))))*L$8))</f>
        <v>12</v>
      </c>
      <c r="M332" s="21">
        <f>(SUMPRODUCT(M$9:M$229,Nutrients!$EW$8:$EW$228)+(IF($A$7=Nutrients!$B$8,Nutrients!$EW$8,Nutrients!$EW$9)*M$7)+(((IF($A$8=Nutrients!$B$79,Nutrients!$EW$79,(IF($A$8=Nutrients!$B$77,Nutrients!$EW$77,Nutrients!$EW$78)))))*M$8))</f>
        <v>9</v>
      </c>
      <c r="N332" s="21">
        <f>(SUMPRODUCT(N$9:N$229,Nutrients!$EW$8:$EW$228)+(IF($A$7=Nutrients!$B$8,Nutrients!$EW$8,Nutrients!$EW$9)*N$7)+(((IF($A$8=Nutrients!$B$79,Nutrients!$EW$79,(IF($A$8=Nutrients!$B$77,Nutrients!$EW$77,Nutrients!$EW$78)))))*N$8))</f>
        <v>9</v>
      </c>
      <c r="O332" s="234"/>
      <c r="P332" s="21">
        <f>(SUMPRODUCT(P$9:P$229,Nutrients!$EW$8:$EW$228)+(IF($A$7=Nutrients!$B$8,Nutrients!$EW$8,Nutrients!$EW$9)*P$7)+(((IF($A$8=Nutrients!$B$79,Nutrients!$EW$79,(IF($A$8=Nutrients!$B$77,Nutrients!$EW$77,Nutrients!$EW$78)))))*P$8))</f>
        <v>18</v>
      </c>
      <c r="Q332" s="21">
        <f>(SUMPRODUCT(Q$9:Q$229,Nutrients!$EW$8:$EW$228)+(IF($A$7=Nutrients!$B$8,Nutrients!$EW$8,Nutrients!$EW$9)*Q$7)+(((IF($A$8=Nutrients!$B$79,Nutrients!$EW$79,(IF($A$8=Nutrients!$B$77,Nutrients!$EW$77,Nutrients!$EW$78)))))*Q$8))</f>
        <v>18</v>
      </c>
      <c r="R332" s="21">
        <f>(SUMPRODUCT(R$9:R$229,Nutrients!$EW$8:$EW$228)+(IF($A$7=Nutrients!$B$8,Nutrients!$EW$8,Nutrients!$EW$9)*R$7)+(((IF($A$8=Nutrients!$B$79,Nutrients!$EW$79,(IF($A$8=Nutrients!$B$77,Nutrients!$EW$77,Nutrients!$EW$78)))))*R$8))</f>
        <v>15</v>
      </c>
      <c r="S332" s="21">
        <f>(SUMPRODUCT(S$9:S$229,Nutrients!$EW$8:$EW$228)+(IF($A$7=Nutrients!$B$8,Nutrients!$EW$8,Nutrients!$EW$9)*S$7)+(((IF($A$8=Nutrients!$B$79,Nutrients!$EW$79,(IF($A$8=Nutrients!$B$77,Nutrients!$EW$77,Nutrients!$EW$78)))))*S$8))</f>
        <v>12</v>
      </c>
      <c r="T332" s="21">
        <f>(SUMPRODUCT(T$9:T$229,Nutrients!$EW$8:$EW$228)+(IF($A$7=Nutrients!$B$8,Nutrients!$EW$8,Nutrients!$EW$9)*T$7)+(((IF($A$8=Nutrients!$B$79,Nutrients!$EW$79,(IF($A$8=Nutrients!$B$77,Nutrients!$EW$77,Nutrients!$EW$78)))))*T$8))</f>
        <v>9</v>
      </c>
      <c r="U332" s="21">
        <f>(SUMPRODUCT(U$9:U$229,Nutrients!$EW$8:$EW$228)+(IF($A$7=Nutrients!$B$8,Nutrients!$EW$8,Nutrients!$EW$9)*U$7)+(((IF($A$8=Nutrients!$B$79,Nutrients!$EW$79,(IF($A$8=Nutrients!$B$77,Nutrients!$EW$77,Nutrients!$EW$78)))))*U$8))</f>
        <v>9</v>
      </c>
      <c r="W332" s="21">
        <f>(SUMPRODUCT(W$9:W$229,Nutrients!$EW$8:$EW$228)+(IF($A$7=Nutrients!$B$8,Nutrients!$EW$8,Nutrients!$EW$9)*W$7)+(((IF($A$8=Nutrients!$B$79,Nutrients!$EW$79,(IF($A$8=Nutrients!$B$77,Nutrients!$EW$77,Nutrients!$EW$78)))))*W$8))</f>
        <v>18</v>
      </c>
      <c r="X332" s="21">
        <f>(SUMPRODUCT(X$9:X$229,Nutrients!$EW$8:$EW$228)+(IF($A$7=Nutrients!$B$8,Nutrients!$EW$8,Nutrients!$EW$9)*X$7)+(((IF($A$8=Nutrients!$B$79,Nutrients!$EW$79,(IF($A$8=Nutrients!$B$77,Nutrients!$EW$77,Nutrients!$EW$78)))))*X$8))</f>
        <v>18</v>
      </c>
      <c r="Y332" s="21">
        <f>(SUMPRODUCT(Y$9:Y$229,Nutrients!$EW$8:$EW$228)+(IF($A$7=Nutrients!$B$8,Nutrients!$EW$8,Nutrients!$EW$9)*Y$7)+(((IF($A$8=Nutrients!$B$79,Nutrients!$EW$79,(IF($A$8=Nutrients!$B$77,Nutrients!$EW$77,Nutrients!$EW$78)))))*Y$8))</f>
        <v>15</v>
      </c>
      <c r="Z332" s="21">
        <f>(SUMPRODUCT(Z$9:Z$229,Nutrients!$EW$8:$EW$228)+(IF($A$7=Nutrients!$B$8,Nutrients!$EW$8,Nutrients!$EW$9)*Z$7)+(((IF($A$8=Nutrients!$B$79,Nutrients!$EW$79,(IF($A$8=Nutrients!$B$77,Nutrients!$EW$77,Nutrients!$EW$78)))))*Z$8))</f>
        <v>12</v>
      </c>
      <c r="AA332" s="21">
        <f>(SUMPRODUCT(AA$9:AA$229,Nutrients!$EW$8:$EW$228)+(IF($A$7=Nutrients!$B$8,Nutrients!$EW$8,Nutrients!$EW$9)*AA$7)+(((IF($A$8=Nutrients!$B$79,Nutrients!$EW$79,(IF($A$8=Nutrients!$B$77,Nutrients!$EW$77,Nutrients!$EW$78)))))*AA$8))</f>
        <v>9</v>
      </c>
      <c r="AB332" s="21">
        <f>(SUMPRODUCT(AB$9:AB$229,Nutrients!$EW$8:$EW$228)+(IF($A$7=Nutrients!$B$8,Nutrients!$EW$8,Nutrients!$EW$9)*AB$7)+(((IF($A$8=Nutrients!$B$79,Nutrients!$EW$79,(IF($A$8=Nutrients!$B$77,Nutrients!$EW$77,Nutrients!$EW$78)))))*AB$8))</f>
        <v>9</v>
      </c>
      <c r="AD332" s="21">
        <f>(SUMPRODUCT(AD$9:AD$229,Nutrients!$EW$8:$EW$228)+(IF($A$7=Nutrients!$B$8,Nutrients!$EW$8,Nutrients!$EW$9)*AD$7)+(((IF($A$8=Nutrients!$B$79,Nutrients!$EW$79,(IF($A$8=Nutrients!$B$77,Nutrients!$EW$77,Nutrients!$EW$78)))))*AD$8))</f>
        <v>18</v>
      </c>
      <c r="AE332" s="21">
        <f>(SUMPRODUCT(AE$9:AE$229,Nutrients!$EW$8:$EW$228)+(IF($A$7=Nutrients!$B$8,Nutrients!$EW$8,Nutrients!$EW$9)*AE$7)+(((IF($A$8=Nutrients!$B$79,Nutrients!$EW$79,(IF($A$8=Nutrients!$B$77,Nutrients!$EW$77,Nutrients!$EW$78)))))*AE$8))</f>
        <v>18</v>
      </c>
      <c r="AF332" s="21">
        <f>(SUMPRODUCT(AF$9:AF$229,Nutrients!$EW$8:$EW$228)+(IF($A$7=Nutrients!$B$8,Nutrients!$EW$8,Nutrients!$EW$9)*AF$7)+(((IF($A$8=Nutrients!$B$79,Nutrients!$EW$79,(IF($A$8=Nutrients!$B$77,Nutrients!$EW$77,Nutrients!$EW$78)))))*AF$8))</f>
        <v>15</v>
      </c>
      <c r="AG332" s="21">
        <f>(SUMPRODUCT(AG$9:AG$229,Nutrients!$EW$8:$EW$228)+(IF($A$7=Nutrients!$B$8,Nutrients!$EW$8,Nutrients!$EW$9)*AG$7)+(((IF($A$8=Nutrients!$B$79,Nutrients!$EW$79,(IF($A$8=Nutrients!$B$77,Nutrients!$EW$77,Nutrients!$EW$78)))))*AG$8))</f>
        <v>12</v>
      </c>
      <c r="AH332" s="21">
        <f>(SUMPRODUCT(AH$9:AH$229,Nutrients!$EW$8:$EW$228)+(IF($A$7=Nutrients!$B$8,Nutrients!$EW$8,Nutrients!$EW$9)*AH$7)+(((IF($A$8=Nutrients!$B$79,Nutrients!$EW$79,(IF($A$8=Nutrients!$B$77,Nutrients!$EW$77,Nutrients!$EW$78)))))*AH$8))</f>
        <v>9</v>
      </c>
      <c r="AI332" s="21">
        <f>(SUMPRODUCT(AI$9:AI$229,Nutrients!$EW$8:$EW$228)+(IF($A$7=Nutrients!$B$8,Nutrients!$EW$8,Nutrients!$EW$9)*AI$7)+(((IF($A$8=Nutrients!$B$79,Nutrients!$EW$79,(IF($A$8=Nutrients!$B$77,Nutrients!$EW$77,Nutrients!$EW$78)))))*AI$8))</f>
        <v>9</v>
      </c>
      <c r="AK332" s="21">
        <f>(SUMPRODUCT(AK$9:AK$229,Nutrients!$EW$8:$EW$228)+(IF($A$7=Nutrients!$B$8,Nutrients!$EW$8,Nutrients!$EW$9)*AK$7)+(((IF($A$8=Nutrients!$B$79,Nutrients!$EW$79,(IF($A$8=Nutrients!$B$77,Nutrients!$EW$77,Nutrients!$EW$78)))))*AK$8))</f>
        <v>18</v>
      </c>
      <c r="AL332" s="21">
        <f>(SUMPRODUCT(AL$9:AL$229,Nutrients!$EW$8:$EW$228)+(IF($A$7=Nutrients!$B$8,Nutrients!$EW$8,Nutrients!$EW$9)*AL$7)+(((IF($A$8=Nutrients!$B$79,Nutrients!$EW$79,(IF($A$8=Nutrients!$B$77,Nutrients!$EW$77,Nutrients!$EW$78)))))*AL$8))</f>
        <v>18</v>
      </c>
      <c r="AM332" s="21">
        <f>(SUMPRODUCT(AM$9:AM$229,Nutrients!$EW$8:$EW$228)+(IF($A$7=Nutrients!$B$8,Nutrients!$EW$8,Nutrients!$EW$9)*AM$7)+(((IF($A$8=Nutrients!$B$79,Nutrients!$EW$79,(IF($A$8=Nutrients!$B$77,Nutrients!$EW$77,Nutrients!$EW$78)))))*AM$8))</f>
        <v>15</v>
      </c>
      <c r="AN332" s="21">
        <f>(SUMPRODUCT(AN$9:AN$229,Nutrients!$EW$8:$EW$228)+(IF($A$7=Nutrients!$B$8,Nutrients!$EW$8,Nutrients!$EW$9)*AN$7)+(((IF($A$8=Nutrients!$B$79,Nutrients!$EW$79,(IF($A$8=Nutrients!$B$77,Nutrients!$EW$77,Nutrients!$EW$78)))))*AN$8))</f>
        <v>12</v>
      </c>
      <c r="AO332" s="21">
        <f>(SUMPRODUCT(AO$9:AO$229,Nutrients!$EW$8:$EW$228)+(IF($A$7=Nutrients!$B$8,Nutrients!$EW$8,Nutrients!$EW$9)*AO$7)+(((IF($A$8=Nutrients!$B$79,Nutrients!$EW$79,(IF($A$8=Nutrients!$B$77,Nutrients!$EW$77,Nutrients!$EW$78)))))*AO$8))</f>
        <v>9</v>
      </c>
      <c r="AP332" s="21">
        <f>(SUMPRODUCT(AP$9:AP$229,Nutrients!$EW$8:$EW$228)+(IF($A$7=Nutrients!$B$8,Nutrients!$EW$8,Nutrients!$EW$9)*AP$7)+(((IF($A$8=Nutrients!$B$79,Nutrients!$EW$79,(IF($A$8=Nutrients!$B$77,Nutrients!$EW$77,Nutrients!$EW$78)))))*AP$8))</f>
        <v>9</v>
      </c>
      <c r="AR332" s="21">
        <f>(SUMPRODUCT(AR$9:AR$229,Nutrients!$EW$8:$EW$228)+(IF($A$7=Nutrients!$B$8,Nutrients!$EW$8,Nutrients!$EW$9)*AR$7)+(((IF($A$8=Nutrients!$B$79,Nutrients!$EW$79,(IF($A$8=Nutrients!$B$77,Nutrients!$EW$77,Nutrients!$EW$78)))))*AR$8))</f>
        <v>18</v>
      </c>
      <c r="AS332" s="21">
        <f>(SUMPRODUCT(AS$9:AS$229,Nutrients!$EW$8:$EW$228)+(IF($A$7=Nutrients!$B$8,Nutrients!$EW$8,Nutrients!$EW$9)*AS$7)+(((IF($A$8=Nutrients!$B$79,Nutrients!$EW$79,(IF($A$8=Nutrients!$B$77,Nutrients!$EW$77,Nutrients!$EW$78)))))*AS$8))</f>
        <v>18</v>
      </c>
      <c r="AT332" s="21">
        <f>(SUMPRODUCT(AT$9:AT$229,Nutrients!$EW$8:$EW$228)+(IF($A$7=Nutrients!$B$8,Nutrients!$EW$8,Nutrients!$EW$9)*AT$7)+(((IF($A$8=Nutrients!$B$79,Nutrients!$EW$79,(IF($A$8=Nutrients!$B$77,Nutrients!$EW$77,Nutrients!$EW$78)))))*AT$8))</f>
        <v>15</v>
      </c>
      <c r="AU332" s="21">
        <f>(SUMPRODUCT(AU$9:AU$229,Nutrients!$EW$8:$EW$228)+(IF($A$7=Nutrients!$B$8,Nutrients!$EW$8,Nutrients!$EW$9)*AU$7)+(((IF($A$8=Nutrients!$B$79,Nutrients!$EW$79,(IF($A$8=Nutrients!$B$77,Nutrients!$EW$77,Nutrients!$EW$78)))))*AU$8))</f>
        <v>12</v>
      </c>
      <c r="AV332" s="21">
        <f>(SUMPRODUCT(AV$9:AV$229,Nutrients!$EW$8:$EW$228)+(IF($A$7=Nutrients!$B$8,Nutrients!$EW$8,Nutrients!$EW$9)*AV$7)+(((IF($A$8=Nutrients!$B$79,Nutrients!$EW$79,(IF($A$8=Nutrients!$B$77,Nutrients!$EW$77,Nutrients!$EW$78)))))*AV$8))</f>
        <v>9</v>
      </c>
      <c r="AW332" s="21">
        <f>(SUMPRODUCT(AW$9:AW$229,Nutrients!$EW$8:$EW$228)+(IF($A$7=Nutrients!$B$8,Nutrients!$EW$8,Nutrients!$EW$9)*AW$7)+(((IF($A$8=Nutrients!$B$79,Nutrients!$EW$79,(IF($A$8=Nutrients!$B$77,Nutrients!$EW$77,Nutrients!$EW$78)))))*AW$8))</f>
        <v>9</v>
      </c>
    </row>
    <row r="333" spans="1:49" x14ac:dyDescent="0.25">
      <c r="A333" s="34" t="s">
        <v>126</v>
      </c>
      <c r="B333" s="21">
        <f>(SUMPRODUCT(B$9:B$229,Nutrients!$EX$8:$EX$228)+(IF($A$7=Nutrients!$B$8,Nutrients!$EX$8,Nutrients!$EX$9)*B$7)+(((IF($A$8=Nutrients!$B$79,Nutrients!$EX$79,(IF($A$8=Nutrients!$B$77,Nutrients!$EX$77,Nutrients!$EX$78)))))*B$8))</f>
        <v>27000</v>
      </c>
      <c r="C333" s="21">
        <f>(SUMPRODUCT(C$9:C$229,Nutrients!$EX$8:$EX$228)+(IF($A$7=Nutrients!$B$8,Nutrients!$EX$8,Nutrients!$EX$9)*C$7)+(((IF($A$8=Nutrients!$B$79,Nutrients!$EX$79,(IF($A$8=Nutrients!$B$77,Nutrients!$EX$77,Nutrients!$EX$78)))))*C$8))</f>
        <v>27000</v>
      </c>
      <c r="D333" s="21">
        <f>(SUMPRODUCT(D$9:D$229,Nutrients!$EX$8:$EX$228)+(IF($A$7=Nutrients!$B$8,Nutrients!$EX$8,Nutrients!$EX$9)*D$7)+(((IF($A$8=Nutrients!$B$79,Nutrients!$EX$79,(IF($A$8=Nutrients!$B$77,Nutrients!$EX$77,Nutrients!$EX$78)))))*D$8))</f>
        <v>22500</v>
      </c>
      <c r="E333" s="21">
        <f>(SUMPRODUCT(E$9:E$229,Nutrients!$EX$8:$EX$228)+(IF($A$7=Nutrients!$B$8,Nutrients!$EX$8,Nutrients!$EX$9)*E$7)+(((IF($A$8=Nutrients!$B$79,Nutrients!$EX$79,(IF($A$8=Nutrients!$B$77,Nutrients!$EX$77,Nutrients!$EX$78)))))*E$8))</f>
        <v>18000</v>
      </c>
      <c r="F333" s="21">
        <f>(SUMPRODUCT(F$9:F$229,Nutrients!$EX$8:$EX$228)+(IF($A$7=Nutrients!$B$8,Nutrients!$EX$8,Nutrients!$EX$9)*F$7)+(((IF($A$8=Nutrients!$B$79,Nutrients!$EX$79,(IF($A$8=Nutrients!$B$77,Nutrients!$EX$77,Nutrients!$EX$78)))))*F$8))</f>
        <v>13500</v>
      </c>
      <c r="G333" s="21">
        <f>(SUMPRODUCT(G$9:G$229,Nutrients!$EX$8:$EX$228)+(IF($A$7=Nutrients!$B$8,Nutrients!$EX$8,Nutrients!$EX$9)*G$7)+(((IF($A$8=Nutrients!$B$79,Nutrients!$EX$79,(IF($A$8=Nutrients!$B$77,Nutrients!$EX$77,Nutrients!$EX$78)))))*G$8))</f>
        <v>13500</v>
      </c>
      <c r="H333" s="226"/>
      <c r="I333" s="21">
        <f>(SUMPRODUCT(I$9:I$229,Nutrients!$EX$8:$EX$228)+(IF($A$7=Nutrients!$B$8,Nutrients!$EX$8,Nutrients!$EX$9)*I$7)+(((IF($A$8=Nutrients!$B$79,Nutrients!$EX$79,(IF($A$8=Nutrients!$B$77,Nutrients!$EX$77,Nutrients!$EX$78)))))*I$8))</f>
        <v>27000</v>
      </c>
      <c r="J333" s="21">
        <f>(SUMPRODUCT(J$9:J$229,Nutrients!$EX$8:$EX$228)+(IF($A$7=Nutrients!$B$8,Nutrients!$EX$8,Nutrients!$EX$9)*J$7)+(((IF($A$8=Nutrients!$B$79,Nutrients!$EX$79,(IF($A$8=Nutrients!$B$77,Nutrients!$EX$77,Nutrients!$EX$78)))))*J$8))</f>
        <v>27000</v>
      </c>
      <c r="K333" s="21">
        <f>(SUMPRODUCT(K$9:K$229,Nutrients!$EX$8:$EX$228)+(IF($A$7=Nutrients!$B$8,Nutrients!$EX$8,Nutrients!$EX$9)*K$7)+(((IF($A$8=Nutrients!$B$79,Nutrients!$EX$79,(IF($A$8=Nutrients!$B$77,Nutrients!$EX$77,Nutrients!$EX$78)))))*K$8))</f>
        <v>22500</v>
      </c>
      <c r="L333" s="21">
        <f>(SUMPRODUCT(L$9:L$229,Nutrients!$EX$8:$EX$228)+(IF($A$7=Nutrients!$B$8,Nutrients!$EX$8,Nutrients!$EX$9)*L$7)+(((IF($A$8=Nutrients!$B$79,Nutrients!$EX$79,(IF($A$8=Nutrients!$B$77,Nutrients!$EX$77,Nutrients!$EX$78)))))*L$8))</f>
        <v>18000</v>
      </c>
      <c r="M333" s="21">
        <f>(SUMPRODUCT(M$9:M$229,Nutrients!$EX$8:$EX$228)+(IF($A$7=Nutrients!$B$8,Nutrients!$EX$8,Nutrients!$EX$9)*M$7)+(((IF($A$8=Nutrients!$B$79,Nutrients!$EX$79,(IF($A$8=Nutrients!$B$77,Nutrients!$EX$77,Nutrients!$EX$78)))))*M$8))</f>
        <v>13500</v>
      </c>
      <c r="N333" s="21">
        <f>(SUMPRODUCT(N$9:N$229,Nutrients!$EX$8:$EX$228)+(IF($A$7=Nutrients!$B$8,Nutrients!$EX$8,Nutrients!$EX$9)*N$7)+(((IF($A$8=Nutrients!$B$79,Nutrients!$EX$79,(IF($A$8=Nutrients!$B$77,Nutrients!$EX$77,Nutrients!$EX$78)))))*N$8))</f>
        <v>13500</v>
      </c>
      <c r="O333" s="234"/>
      <c r="P333" s="21">
        <f>(SUMPRODUCT(P$9:P$229,Nutrients!$EX$8:$EX$228)+(IF($A$7=Nutrients!$B$8,Nutrients!$EX$8,Nutrients!$EX$9)*P$7)+(((IF($A$8=Nutrients!$B$79,Nutrients!$EX$79,(IF($A$8=Nutrients!$B$77,Nutrients!$EX$77,Nutrients!$EX$78)))))*P$8))</f>
        <v>27000</v>
      </c>
      <c r="Q333" s="21">
        <f>(SUMPRODUCT(Q$9:Q$229,Nutrients!$EX$8:$EX$228)+(IF($A$7=Nutrients!$B$8,Nutrients!$EX$8,Nutrients!$EX$9)*Q$7)+(((IF($A$8=Nutrients!$B$79,Nutrients!$EX$79,(IF($A$8=Nutrients!$B$77,Nutrients!$EX$77,Nutrients!$EX$78)))))*Q$8))</f>
        <v>27000</v>
      </c>
      <c r="R333" s="21">
        <f>(SUMPRODUCT(R$9:R$229,Nutrients!$EX$8:$EX$228)+(IF($A$7=Nutrients!$B$8,Nutrients!$EX$8,Nutrients!$EX$9)*R$7)+(((IF($A$8=Nutrients!$B$79,Nutrients!$EX$79,(IF($A$8=Nutrients!$B$77,Nutrients!$EX$77,Nutrients!$EX$78)))))*R$8))</f>
        <v>22500</v>
      </c>
      <c r="S333" s="21">
        <f>(SUMPRODUCT(S$9:S$229,Nutrients!$EX$8:$EX$228)+(IF($A$7=Nutrients!$B$8,Nutrients!$EX$8,Nutrients!$EX$9)*S$7)+(((IF($A$8=Nutrients!$B$79,Nutrients!$EX$79,(IF($A$8=Nutrients!$B$77,Nutrients!$EX$77,Nutrients!$EX$78)))))*S$8))</f>
        <v>18000</v>
      </c>
      <c r="T333" s="21">
        <f>(SUMPRODUCT(T$9:T$229,Nutrients!$EX$8:$EX$228)+(IF($A$7=Nutrients!$B$8,Nutrients!$EX$8,Nutrients!$EX$9)*T$7)+(((IF($A$8=Nutrients!$B$79,Nutrients!$EX$79,(IF($A$8=Nutrients!$B$77,Nutrients!$EX$77,Nutrients!$EX$78)))))*T$8))</f>
        <v>13500</v>
      </c>
      <c r="U333" s="21">
        <f>(SUMPRODUCT(U$9:U$229,Nutrients!$EX$8:$EX$228)+(IF($A$7=Nutrients!$B$8,Nutrients!$EX$8,Nutrients!$EX$9)*U$7)+(((IF($A$8=Nutrients!$B$79,Nutrients!$EX$79,(IF($A$8=Nutrients!$B$77,Nutrients!$EX$77,Nutrients!$EX$78)))))*U$8))</f>
        <v>13500</v>
      </c>
      <c r="W333" s="21">
        <f>(SUMPRODUCT(W$9:W$229,Nutrients!$EX$8:$EX$228)+(IF($A$7=Nutrients!$B$8,Nutrients!$EX$8,Nutrients!$EX$9)*W$7)+(((IF($A$8=Nutrients!$B$79,Nutrients!$EX$79,(IF($A$8=Nutrients!$B$77,Nutrients!$EX$77,Nutrients!$EX$78)))))*W$8))</f>
        <v>27000</v>
      </c>
      <c r="X333" s="21">
        <f>(SUMPRODUCT(X$9:X$229,Nutrients!$EX$8:$EX$228)+(IF($A$7=Nutrients!$B$8,Nutrients!$EX$8,Nutrients!$EX$9)*X$7)+(((IF($A$8=Nutrients!$B$79,Nutrients!$EX$79,(IF($A$8=Nutrients!$B$77,Nutrients!$EX$77,Nutrients!$EX$78)))))*X$8))</f>
        <v>27000</v>
      </c>
      <c r="Y333" s="21">
        <f>(SUMPRODUCT(Y$9:Y$229,Nutrients!$EX$8:$EX$228)+(IF($A$7=Nutrients!$B$8,Nutrients!$EX$8,Nutrients!$EX$9)*Y$7)+(((IF($A$8=Nutrients!$B$79,Nutrients!$EX$79,(IF($A$8=Nutrients!$B$77,Nutrients!$EX$77,Nutrients!$EX$78)))))*Y$8))</f>
        <v>22500</v>
      </c>
      <c r="Z333" s="21">
        <f>(SUMPRODUCT(Z$9:Z$229,Nutrients!$EX$8:$EX$228)+(IF($A$7=Nutrients!$B$8,Nutrients!$EX$8,Nutrients!$EX$9)*Z$7)+(((IF($A$8=Nutrients!$B$79,Nutrients!$EX$79,(IF($A$8=Nutrients!$B$77,Nutrients!$EX$77,Nutrients!$EX$78)))))*Z$8))</f>
        <v>18000</v>
      </c>
      <c r="AA333" s="21">
        <f>(SUMPRODUCT(AA$9:AA$229,Nutrients!$EX$8:$EX$228)+(IF($A$7=Nutrients!$B$8,Nutrients!$EX$8,Nutrients!$EX$9)*AA$7)+(((IF($A$8=Nutrients!$B$79,Nutrients!$EX$79,(IF($A$8=Nutrients!$B$77,Nutrients!$EX$77,Nutrients!$EX$78)))))*AA$8))</f>
        <v>13500</v>
      </c>
      <c r="AB333" s="21">
        <f>(SUMPRODUCT(AB$9:AB$229,Nutrients!$EX$8:$EX$228)+(IF($A$7=Nutrients!$B$8,Nutrients!$EX$8,Nutrients!$EX$9)*AB$7)+(((IF($A$8=Nutrients!$B$79,Nutrients!$EX$79,(IF($A$8=Nutrients!$B$77,Nutrients!$EX$77,Nutrients!$EX$78)))))*AB$8))</f>
        <v>13500</v>
      </c>
      <c r="AD333" s="21">
        <f>(SUMPRODUCT(AD$9:AD$229,Nutrients!$EX$8:$EX$228)+(IF($A$7=Nutrients!$B$8,Nutrients!$EX$8,Nutrients!$EX$9)*AD$7)+(((IF($A$8=Nutrients!$B$79,Nutrients!$EX$79,(IF($A$8=Nutrients!$B$77,Nutrients!$EX$77,Nutrients!$EX$78)))))*AD$8))</f>
        <v>27000</v>
      </c>
      <c r="AE333" s="21">
        <f>(SUMPRODUCT(AE$9:AE$229,Nutrients!$EX$8:$EX$228)+(IF($A$7=Nutrients!$B$8,Nutrients!$EX$8,Nutrients!$EX$9)*AE$7)+(((IF($A$8=Nutrients!$B$79,Nutrients!$EX$79,(IF($A$8=Nutrients!$B$77,Nutrients!$EX$77,Nutrients!$EX$78)))))*AE$8))</f>
        <v>27000</v>
      </c>
      <c r="AF333" s="21">
        <f>(SUMPRODUCT(AF$9:AF$229,Nutrients!$EX$8:$EX$228)+(IF($A$7=Nutrients!$B$8,Nutrients!$EX$8,Nutrients!$EX$9)*AF$7)+(((IF($A$8=Nutrients!$B$79,Nutrients!$EX$79,(IF($A$8=Nutrients!$B$77,Nutrients!$EX$77,Nutrients!$EX$78)))))*AF$8))</f>
        <v>22500</v>
      </c>
      <c r="AG333" s="21">
        <f>(SUMPRODUCT(AG$9:AG$229,Nutrients!$EX$8:$EX$228)+(IF($A$7=Nutrients!$B$8,Nutrients!$EX$8,Nutrients!$EX$9)*AG$7)+(((IF($A$8=Nutrients!$B$79,Nutrients!$EX$79,(IF($A$8=Nutrients!$B$77,Nutrients!$EX$77,Nutrients!$EX$78)))))*AG$8))</f>
        <v>18000</v>
      </c>
      <c r="AH333" s="21">
        <f>(SUMPRODUCT(AH$9:AH$229,Nutrients!$EX$8:$EX$228)+(IF($A$7=Nutrients!$B$8,Nutrients!$EX$8,Nutrients!$EX$9)*AH$7)+(((IF($A$8=Nutrients!$B$79,Nutrients!$EX$79,(IF($A$8=Nutrients!$B$77,Nutrients!$EX$77,Nutrients!$EX$78)))))*AH$8))</f>
        <v>13500</v>
      </c>
      <c r="AI333" s="21">
        <f>(SUMPRODUCT(AI$9:AI$229,Nutrients!$EX$8:$EX$228)+(IF($A$7=Nutrients!$B$8,Nutrients!$EX$8,Nutrients!$EX$9)*AI$7)+(((IF($A$8=Nutrients!$B$79,Nutrients!$EX$79,(IF($A$8=Nutrients!$B$77,Nutrients!$EX$77,Nutrients!$EX$78)))))*AI$8))</f>
        <v>13500</v>
      </c>
      <c r="AK333" s="21">
        <f>(SUMPRODUCT(AK$9:AK$229,Nutrients!$EX$8:$EX$228)+(IF($A$7=Nutrients!$B$8,Nutrients!$EX$8,Nutrients!$EX$9)*AK$7)+(((IF($A$8=Nutrients!$B$79,Nutrients!$EX$79,(IF($A$8=Nutrients!$B$77,Nutrients!$EX$77,Nutrients!$EX$78)))))*AK$8))</f>
        <v>27000</v>
      </c>
      <c r="AL333" s="21">
        <f>(SUMPRODUCT(AL$9:AL$229,Nutrients!$EX$8:$EX$228)+(IF($A$7=Nutrients!$B$8,Nutrients!$EX$8,Nutrients!$EX$9)*AL$7)+(((IF($A$8=Nutrients!$B$79,Nutrients!$EX$79,(IF($A$8=Nutrients!$B$77,Nutrients!$EX$77,Nutrients!$EX$78)))))*AL$8))</f>
        <v>27000</v>
      </c>
      <c r="AM333" s="21">
        <f>(SUMPRODUCT(AM$9:AM$229,Nutrients!$EX$8:$EX$228)+(IF($A$7=Nutrients!$B$8,Nutrients!$EX$8,Nutrients!$EX$9)*AM$7)+(((IF($A$8=Nutrients!$B$79,Nutrients!$EX$79,(IF($A$8=Nutrients!$B$77,Nutrients!$EX$77,Nutrients!$EX$78)))))*AM$8))</f>
        <v>22500</v>
      </c>
      <c r="AN333" s="21">
        <f>(SUMPRODUCT(AN$9:AN$229,Nutrients!$EX$8:$EX$228)+(IF($A$7=Nutrients!$B$8,Nutrients!$EX$8,Nutrients!$EX$9)*AN$7)+(((IF($A$8=Nutrients!$B$79,Nutrients!$EX$79,(IF($A$8=Nutrients!$B$77,Nutrients!$EX$77,Nutrients!$EX$78)))))*AN$8))</f>
        <v>18000</v>
      </c>
      <c r="AO333" s="21">
        <f>(SUMPRODUCT(AO$9:AO$229,Nutrients!$EX$8:$EX$228)+(IF($A$7=Nutrients!$B$8,Nutrients!$EX$8,Nutrients!$EX$9)*AO$7)+(((IF($A$8=Nutrients!$B$79,Nutrients!$EX$79,(IF($A$8=Nutrients!$B$77,Nutrients!$EX$77,Nutrients!$EX$78)))))*AO$8))</f>
        <v>13500</v>
      </c>
      <c r="AP333" s="21">
        <f>(SUMPRODUCT(AP$9:AP$229,Nutrients!$EX$8:$EX$228)+(IF($A$7=Nutrients!$B$8,Nutrients!$EX$8,Nutrients!$EX$9)*AP$7)+(((IF($A$8=Nutrients!$B$79,Nutrients!$EX$79,(IF($A$8=Nutrients!$B$77,Nutrients!$EX$77,Nutrients!$EX$78)))))*AP$8))</f>
        <v>13500</v>
      </c>
      <c r="AR333" s="21">
        <f>(SUMPRODUCT(AR$9:AR$229,Nutrients!$EX$8:$EX$228)+(IF($A$7=Nutrients!$B$8,Nutrients!$EX$8,Nutrients!$EX$9)*AR$7)+(((IF($A$8=Nutrients!$B$79,Nutrients!$EX$79,(IF($A$8=Nutrients!$B$77,Nutrients!$EX$77,Nutrients!$EX$78)))))*AR$8))</f>
        <v>27000</v>
      </c>
      <c r="AS333" s="21">
        <f>(SUMPRODUCT(AS$9:AS$229,Nutrients!$EX$8:$EX$228)+(IF($A$7=Nutrients!$B$8,Nutrients!$EX$8,Nutrients!$EX$9)*AS$7)+(((IF($A$8=Nutrients!$B$79,Nutrients!$EX$79,(IF($A$8=Nutrients!$B$77,Nutrients!$EX$77,Nutrients!$EX$78)))))*AS$8))</f>
        <v>27000</v>
      </c>
      <c r="AT333" s="21">
        <f>(SUMPRODUCT(AT$9:AT$229,Nutrients!$EX$8:$EX$228)+(IF($A$7=Nutrients!$B$8,Nutrients!$EX$8,Nutrients!$EX$9)*AT$7)+(((IF($A$8=Nutrients!$B$79,Nutrients!$EX$79,(IF($A$8=Nutrients!$B$77,Nutrients!$EX$77,Nutrients!$EX$78)))))*AT$8))</f>
        <v>22500</v>
      </c>
      <c r="AU333" s="21">
        <f>(SUMPRODUCT(AU$9:AU$229,Nutrients!$EX$8:$EX$228)+(IF($A$7=Nutrients!$B$8,Nutrients!$EX$8,Nutrients!$EX$9)*AU$7)+(((IF($A$8=Nutrients!$B$79,Nutrients!$EX$79,(IF($A$8=Nutrients!$B$77,Nutrients!$EX$77,Nutrients!$EX$78)))))*AU$8))</f>
        <v>18000</v>
      </c>
      <c r="AV333" s="21">
        <f>(SUMPRODUCT(AV$9:AV$229,Nutrients!$EX$8:$EX$228)+(IF($A$7=Nutrients!$B$8,Nutrients!$EX$8,Nutrients!$EX$9)*AV$7)+(((IF($A$8=Nutrients!$B$79,Nutrients!$EX$79,(IF($A$8=Nutrients!$B$77,Nutrients!$EX$77,Nutrients!$EX$78)))))*AV$8))</f>
        <v>13500</v>
      </c>
      <c r="AW333" s="21">
        <f>(SUMPRODUCT(AW$9:AW$229,Nutrients!$EX$8:$EX$228)+(IF($A$7=Nutrients!$B$8,Nutrients!$EX$8,Nutrients!$EX$9)*AW$7)+(((IF($A$8=Nutrients!$B$79,Nutrients!$EX$79,(IF($A$8=Nutrients!$B$77,Nutrients!$EX$77,Nutrients!$EX$78)))))*AW$8))</f>
        <v>13500</v>
      </c>
    </row>
    <row r="334" spans="1:49" x14ac:dyDescent="0.25">
      <c r="A334" s="34" t="s">
        <v>127</v>
      </c>
      <c r="B334" s="21">
        <f>(SUMPRODUCT(B$9:B$229,Nutrients!$EY$8:$EY$228)+(IF($A$7=Nutrients!$B$8,Nutrients!$EY$8,Nutrients!$EY$9)*B$7)+(((IF($A$8=Nutrients!$B$79,Nutrients!$EY$79,(IF($A$8=Nutrients!$B$77,Nutrients!$EY$77,Nutrients!$EY$78)))))*B$8))</f>
        <v>15000</v>
      </c>
      <c r="C334" s="21">
        <f>(SUMPRODUCT(C$9:C$229,Nutrients!$EY$8:$EY$228)+(IF($A$7=Nutrients!$B$8,Nutrients!$EY$8,Nutrients!$EY$9)*C$7)+(((IF($A$8=Nutrients!$B$79,Nutrients!$EY$79,(IF($A$8=Nutrients!$B$77,Nutrients!$EY$77,Nutrients!$EY$78)))))*C$8))</f>
        <v>15000</v>
      </c>
      <c r="D334" s="21">
        <f>(SUMPRODUCT(D$9:D$229,Nutrients!$EY$8:$EY$228)+(IF($A$7=Nutrients!$B$8,Nutrients!$EY$8,Nutrients!$EY$9)*D$7)+(((IF($A$8=Nutrients!$B$79,Nutrients!$EY$79,(IF($A$8=Nutrients!$B$77,Nutrients!$EY$77,Nutrients!$EY$78)))))*D$8))</f>
        <v>12500</v>
      </c>
      <c r="E334" s="21">
        <f>(SUMPRODUCT(E$9:E$229,Nutrients!$EY$8:$EY$228)+(IF($A$7=Nutrients!$B$8,Nutrients!$EY$8,Nutrients!$EY$9)*E$7)+(((IF($A$8=Nutrients!$B$79,Nutrients!$EY$79,(IF($A$8=Nutrients!$B$77,Nutrients!$EY$77,Nutrients!$EY$78)))))*E$8))</f>
        <v>10000</v>
      </c>
      <c r="F334" s="21">
        <f>(SUMPRODUCT(F$9:F$229,Nutrients!$EY$8:$EY$228)+(IF($A$7=Nutrients!$B$8,Nutrients!$EY$8,Nutrients!$EY$9)*F$7)+(((IF($A$8=Nutrients!$B$79,Nutrients!$EY$79,(IF($A$8=Nutrients!$B$77,Nutrients!$EY$77,Nutrients!$EY$78)))))*F$8))</f>
        <v>7500</v>
      </c>
      <c r="G334" s="21">
        <f>(SUMPRODUCT(G$9:G$229,Nutrients!$EY$8:$EY$228)+(IF($A$7=Nutrients!$B$8,Nutrients!$EY$8,Nutrients!$EY$9)*G$7)+(((IF($A$8=Nutrients!$B$79,Nutrients!$EY$79,(IF($A$8=Nutrients!$B$77,Nutrients!$EY$77,Nutrients!$EY$78)))))*G$8))</f>
        <v>7500</v>
      </c>
      <c r="H334" s="226"/>
      <c r="I334" s="21">
        <f>(SUMPRODUCT(I$9:I$229,Nutrients!$EY$8:$EY$228)+(IF($A$7=Nutrients!$B$8,Nutrients!$EY$8,Nutrients!$EY$9)*I$7)+(((IF($A$8=Nutrients!$B$79,Nutrients!$EY$79,(IF($A$8=Nutrients!$B$77,Nutrients!$EY$77,Nutrients!$EY$78)))))*I$8))</f>
        <v>15000</v>
      </c>
      <c r="J334" s="21">
        <f>(SUMPRODUCT(J$9:J$229,Nutrients!$EY$8:$EY$228)+(IF($A$7=Nutrients!$B$8,Nutrients!$EY$8,Nutrients!$EY$9)*J$7)+(((IF($A$8=Nutrients!$B$79,Nutrients!$EY$79,(IF($A$8=Nutrients!$B$77,Nutrients!$EY$77,Nutrients!$EY$78)))))*J$8))</f>
        <v>15000</v>
      </c>
      <c r="K334" s="21">
        <f>(SUMPRODUCT(K$9:K$229,Nutrients!$EY$8:$EY$228)+(IF($A$7=Nutrients!$B$8,Nutrients!$EY$8,Nutrients!$EY$9)*K$7)+(((IF($A$8=Nutrients!$B$79,Nutrients!$EY$79,(IF($A$8=Nutrients!$B$77,Nutrients!$EY$77,Nutrients!$EY$78)))))*K$8))</f>
        <v>12500</v>
      </c>
      <c r="L334" s="21">
        <f>(SUMPRODUCT(L$9:L$229,Nutrients!$EY$8:$EY$228)+(IF($A$7=Nutrients!$B$8,Nutrients!$EY$8,Nutrients!$EY$9)*L$7)+(((IF($A$8=Nutrients!$B$79,Nutrients!$EY$79,(IF($A$8=Nutrients!$B$77,Nutrients!$EY$77,Nutrients!$EY$78)))))*L$8))</f>
        <v>10000</v>
      </c>
      <c r="M334" s="21">
        <f>(SUMPRODUCT(M$9:M$229,Nutrients!$EY$8:$EY$228)+(IF($A$7=Nutrients!$B$8,Nutrients!$EY$8,Nutrients!$EY$9)*M$7)+(((IF($A$8=Nutrients!$B$79,Nutrients!$EY$79,(IF($A$8=Nutrients!$B$77,Nutrients!$EY$77,Nutrients!$EY$78)))))*M$8))</f>
        <v>7500</v>
      </c>
      <c r="N334" s="21">
        <f>(SUMPRODUCT(N$9:N$229,Nutrients!$EY$8:$EY$228)+(IF($A$7=Nutrients!$B$8,Nutrients!$EY$8,Nutrients!$EY$9)*N$7)+(((IF($A$8=Nutrients!$B$79,Nutrients!$EY$79,(IF($A$8=Nutrients!$B$77,Nutrients!$EY$77,Nutrients!$EY$78)))))*N$8))</f>
        <v>7500</v>
      </c>
      <c r="O334" s="234"/>
      <c r="P334" s="21">
        <f>(SUMPRODUCT(P$9:P$229,Nutrients!$EY$8:$EY$228)+(IF($A$7=Nutrients!$B$8,Nutrients!$EY$8,Nutrients!$EY$9)*P$7)+(((IF($A$8=Nutrients!$B$79,Nutrients!$EY$79,(IF($A$8=Nutrients!$B$77,Nutrients!$EY$77,Nutrients!$EY$78)))))*P$8))</f>
        <v>15000</v>
      </c>
      <c r="Q334" s="21">
        <f>(SUMPRODUCT(Q$9:Q$229,Nutrients!$EY$8:$EY$228)+(IF($A$7=Nutrients!$B$8,Nutrients!$EY$8,Nutrients!$EY$9)*Q$7)+(((IF($A$8=Nutrients!$B$79,Nutrients!$EY$79,(IF($A$8=Nutrients!$B$77,Nutrients!$EY$77,Nutrients!$EY$78)))))*Q$8))</f>
        <v>15000</v>
      </c>
      <c r="R334" s="21">
        <f>(SUMPRODUCT(R$9:R$229,Nutrients!$EY$8:$EY$228)+(IF($A$7=Nutrients!$B$8,Nutrients!$EY$8,Nutrients!$EY$9)*R$7)+(((IF($A$8=Nutrients!$B$79,Nutrients!$EY$79,(IF($A$8=Nutrients!$B$77,Nutrients!$EY$77,Nutrients!$EY$78)))))*R$8))</f>
        <v>12500</v>
      </c>
      <c r="S334" s="21">
        <f>(SUMPRODUCT(S$9:S$229,Nutrients!$EY$8:$EY$228)+(IF($A$7=Nutrients!$B$8,Nutrients!$EY$8,Nutrients!$EY$9)*S$7)+(((IF($A$8=Nutrients!$B$79,Nutrients!$EY$79,(IF($A$8=Nutrients!$B$77,Nutrients!$EY$77,Nutrients!$EY$78)))))*S$8))</f>
        <v>10000</v>
      </c>
      <c r="T334" s="21">
        <f>(SUMPRODUCT(T$9:T$229,Nutrients!$EY$8:$EY$228)+(IF($A$7=Nutrients!$B$8,Nutrients!$EY$8,Nutrients!$EY$9)*T$7)+(((IF($A$8=Nutrients!$B$79,Nutrients!$EY$79,(IF($A$8=Nutrients!$B$77,Nutrients!$EY$77,Nutrients!$EY$78)))))*T$8))</f>
        <v>7500</v>
      </c>
      <c r="U334" s="21">
        <f>(SUMPRODUCT(U$9:U$229,Nutrients!$EY$8:$EY$228)+(IF($A$7=Nutrients!$B$8,Nutrients!$EY$8,Nutrients!$EY$9)*U$7)+(((IF($A$8=Nutrients!$B$79,Nutrients!$EY$79,(IF($A$8=Nutrients!$B$77,Nutrients!$EY$77,Nutrients!$EY$78)))))*U$8))</f>
        <v>7500</v>
      </c>
      <c r="W334" s="21">
        <f>(SUMPRODUCT(W$9:W$229,Nutrients!$EY$8:$EY$228)+(IF($A$7=Nutrients!$B$8,Nutrients!$EY$8,Nutrients!$EY$9)*W$7)+(((IF($A$8=Nutrients!$B$79,Nutrients!$EY$79,(IF($A$8=Nutrients!$B$77,Nutrients!$EY$77,Nutrients!$EY$78)))))*W$8))</f>
        <v>15000</v>
      </c>
      <c r="X334" s="21">
        <f>(SUMPRODUCT(X$9:X$229,Nutrients!$EY$8:$EY$228)+(IF($A$7=Nutrients!$B$8,Nutrients!$EY$8,Nutrients!$EY$9)*X$7)+(((IF($A$8=Nutrients!$B$79,Nutrients!$EY$79,(IF($A$8=Nutrients!$B$77,Nutrients!$EY$77,Nutrients!$EY$78)))))*X$8))</f>
        <v>15000</v>
      </c>
      <c r="Y334" s="21">
        <f>(SUMPRODUCT(Y$9:Y$229,Nutrients!$EY$8:$EY$228)+(IF($A$7=Nutrients!$B$8,Nutrients!$EY$8,Nutrients!$EY$9)*Y$7)+(((IF($A$8=Nutrients!$B$79,Nutrients!$EY$79,(IF($A$8=Nutrients!$B$77,Nutrients!$EY$77,Nutrients!$EY$78)))))*Y$8))</f>
        <v>12500</v>
      </c>
      <c r="Z334" s="21">
        <f>(SUMPRODUCT(Z$9:Z$229,Nutrients!$EY$8:$EY$228)+(IF($A$7=Nutrients!$B$8,Nutrients!$EY$8,Nutrients!$EY$9)*Z$7)+(((IF($A$8=Nutrients!$B$79,Nutrients!$EY$79,(IF($A$8=Nutrients!$B$77,Nutrients!$EY$77,Nutrients!$EY$78)))))*Z$8))</f>
        <v>10000</v>
      </c>
      <c r="AA334" s="21">
        <f>(SUMPRODUCT(AA$9:AA$229,Nutrients!$EY$8:$EY$228)+(IF($A$7=Nutrients!$B$8,Nutrients!$EY$8,Nutrients!$EY$9)*AA$7)+(((IF($A$8=Nutrients!$B$79,Nutrients!$EY$79,(IF($A$8=Nutrients!$B$77,Nutrients!$EY$77,Nutrients!$EY$78)))))*AA$8))</f>
        <v>7500</v>
      </c>
      <c r="AB334" s="21">
        <f>(SUMPRODUCT(AB$9:AB$229,Nutrients!$EY$8:$EY$228)+(IF($A$7=Nutrients!$B$8,Nutrients!$EY$8,Nutrients!$EY$9)*AB$7)+(((IF($A$8=Nutrients!$B$79,Nutrients!$EY$79,(IF($A$8=Nutrients!$B$77,Nutrients!$EY$77,Nutrients!$EY$78)))))*AB$8))</f>
        <v>7500</v>
      </c>
      <c r="AD334" s="21">
        <f>(SUMPRODUCT(AD$9:AD$229,Nutrients!$EY$8:$EY$228)+(IF($A$7=Nutrients!$B$8,Nutrients!$EY$8,Nutrients!$EY$9)*AD$7)+(((IF($A$8=Nutrients!$B$79,Nutrients!$EY$79,(IF($A$8=Nutrients!$B$77,Nutrients!$EY$77,Nutrients!$EY$78)))))*AD$8))</f>
        <v>15000</v>
      </c>
      <c r="AE334" s="21">
        <f>(SUMPRODUCT(AE$9:AE$229,Nutrients!$EY$8:$EY$228)+(IF($A$7=Nutrients!$B$8,Nutrients!$EY$8,Nutrients!$EY$9)*AE$7)+(((IF($A$8=Nutrients!$B$79,Nutrients!$EY$79,(IF($A$8=Nutrients!$B$77,Nutrients!$EY$77,Nutrients!$EY$78)))))*AE$8))</f>
        <v>15000</v>
      </c>
      <c r="AF334" s="21">
        <f>(SUMPRODUCT(AF$9:AF$229,Nutrients!$EY$8:$EY$228)+(IF($A$7=Nutrients!$B$8,Nutrients!$EY$8,Nutrients!$EY$9)*AF$7)+(((IF($A$8=Nutrients!$B$79,Nutrients!$EY$79,(IF($A$8=Nutrients!$B$77,Nutrients!$EY$77,Nutrients!$EY$78)))))*AF$8))</f>
        <v>12500</v>
      </c>
      <c r="AG334" s="21">
        <f>(SUMPRODUCT(AG$9:AG$229,Nutrients!$EY$8:$EY$228)+(IF($A$7=Nutrients!$B$8,Nutrients!$EY$8,Nutrients!$EY$9)*AG$7)+(((IF($A$8=Nutrients!$B$79,Nutrients!$EY$79,(IF($A$8=Nutrients!$B$77,Nutrients!$EY$77,Nutrients!$EY$78)))))*AG$8))</f>
        <v>10000</v>
      </c>
      <c r="AH334" s="21">
        <f>(SUMPRODUCT(AH$9:AH$229,Nutrients!$EY$8:$EY$228)+(IF($A$7=Nutrients!$B$8,Nutrients!$EY$8,Nutrients!$EY$9)*AH$7)+(((IF($A$8=Nutrients!$B$79,Nutrients!$EY$79,(IF($A$8=Nutrients!$B$77,Nutrients!$EY$77,Nutrients!$EY$78)))))*AH$8))</f>
        <v>7500</v>
      </c>
      <c r="AI334" s="21">
        <f>(SUMPRODUCT(AI$9:AI$229,Nutrients!$EY$8:$EY$228)+(IF($A$7=Nutrients!$B$8,Nutrients!$EY$8,Nutrients!$EY$9)*AI$7)+(((IF($A$8=Nutrients!$B$79,Nutrients!$EY$79,(IF($A$8=Nutrients!$B$77,Nutrients!$EY$77,Nutrients!$EY$78)))))*AI$8))</f>
        <v>7500</v>
      </c>
      <c r="AK334" s="21">
        <f>(SUMPRODUCT(AK$9:AK$229,Nutrients!$EY$8:$EY$228)+(IF($A$7=Nutrients!$B$8,Nutrients!$EY$8,Nutrients!$EY$9)*AK$7)+(((IF($A$8=Nutrients!$B$79,Nutrients!$EY$79,(IF($A$8=Nutrients!$B$77,Nutrients!$EY$77,Nutrients!$EY$78)))))*AK$8))</f>
        <v>15000</v>
      </c>
      <c r="AL334" s="21">
        <f>(SUMPRODUCT(AL$9:AL$229,Nutrients!$EY$8:$EY$228)+(IF($A$7=Nutrients!$B$8,Nutrients!$EY$8,Nutrients!$EY$9)*AL$7)+(((IF($A$8=Nutrients!$B$79,Nutrients!$EY$79,(IF($A$8=Nutrients!$B$77,Nutrients!$EY$77,Nutrients!$EY$78)))))*AL$8))</f>
        <v>15000</v>
      </c>
      <c r="AM334" s="21">
        <f>(SUMPRODUCT(AM$9:AM$229,Nutrients!$EY$8:$EY$228)+(IF($A$7=Nutrients!$B$8,Nutrients!$EY$8,Nutrients!$EY$9)*AM$7)+(((IF($A$8=Nutrients!$B$79,Nutrients!$EY$79,(IF($A$8=Nutrients!$B$77,Nutrients!$EY$77,Nutrients!$EY$78)))))*AM$8))</f>
        <v>12500</v>
      </c>
      <c r="AN334" s="21">
        <f>(SUMPRODUCT(AN$9:AN$229,Nutrients!$EY$8:$EY$228)+(IF($A$7=Nutrients!$B$8,Nutrients!$EY$8,Nutrients!$EY$9)*AN$7)+(((IF($A$8=Nutrients!$B$79,Nutrients!$EY$79,(IF($A$8=Nutrients!$B$77,Nutrients!$EY$77,Nutrients!$EY$78)))))*AN$8))</f>
        <v>10000</v>
      </c>
      <c r="AO334" s="21">
        <f>(SUMPRODUCT(AO$9:AO$229,Nutrients!$EY$8:$EY$228)+(IF($A$7=Nutrients!$B$8,Nutrients!$EY$8,Nutrients!$EY$9)*AO$7)+(((IF($A$8=Nutrients!$B$79,Nutrients!$EY$79,(IF($A$8=Nutrients!$B$77,Nutrients!$EY$77,Nutrients!$EY$78)))))*AO$8))</f>
        <v>7500</v>
      </c>
      <c r="AP334" s="21">
        <f>(SUMPRODUCT(AP$9:AP$229,Nutrients!$EY$8:$EY$228)+(IF($A$7=Nutrients!$B$8,Nutrients!$EY$8,Nutrients!$EY$9)*AP$7)+(((IF($A$8=Nutrients!$B$79,Nutrients!$EY$79,(IF($A$8=Nutrients!$B$77,Nutrients!$EY$77,Nutrients!$EY$78)))))*AP$8))</f>
        <v>7500</v>
      </c>
      <c r="AR334" s="21">
        <f>(SUMPRODUCT(AR$9:AR$229,Nutrients!$EY$8:$EY$228)+(IF($A$7=Nutrients!$B$8,Nutrients!$EY$8,Nutrients!$EY$9)*AR$7)+(((IF($A$8=Nutrients!$B$79,Nutrients!$EY$79,(IF($A$8=Nutrients!$B$77,Nutrients!$EY$77,Nutrients!$EY$78)))))*AR$8))</f>
        <v>15000</v>
      </c>
      <c r="AS334" s="21">
        <f>(SUMPRODUCT(AS$9:AS$229,Nutrients!$EY$8:$EY$228)+(IF($A$7=Nutrients!$B$8,Nutrients!$EY$8,Nutrients!$EY$9)*AS$7)+(((IF($A$8=Nutrients!$B$79,Nutrients!$EY$79,(IF($A$8=Nutrients!$B$77,Nutrients!$EY$77,Nutrients!$EY$78)))))*AS$8))</f>
        <v>15000</v>
      </c>
      <c r="AT334" s="21">
        <f>(SUMPRODUCT(AT$9:AT$229,Nutrients!$EY$8:$EY$228)+(IF($A$7=Nutrients!$B$8,Nutrients!$EY$8,Nutrients!$EY$9)*AT$7)+(((IF($A$8=Nutrients!$B$79,Nutrients!$EY$79,(IF($A$8=Nutrients!$B$77,Nutrients!$EY$77,Nutrients!$EY$78)))))*AT$8))</f>
        <v>12500</v>
      </c>
      <c r="AU334" s="21">
        <f>(SUMPRODUCT(AU$9:AU$229,Nutrients!$EY$8:$EY$228)+(IF($A$7=Nutrients!$B$8,Nutrients!$EY$8,Nutrients!$EY$9)*AU$7)+(((IF($A$8=Nutrients!$B$79,Nutrients!$EY$79,(IF($A$8=Nutrients!$B$77,Nutrients!$EY$77,Nutrients!$EY$78)))))*AU$8))</f>
        <v>10000</v>
      </c>
      <c r="AV334" s="21">
        <f>(SUMPRODUCT(AV$9:AV$229,Nutrients!$EY$8:$EY$228)+(IF($A$7=Nutrients!$B$8,Nutrients!$EY$8,Nutrients!$EY$9)*AV$7)+(((IF($A$8=Nutrients!$B$79,Nutrients!$EY$79,(IF($A$8=Nutrients!$B$77,Nutrients!$EY$77,Nutrients!$EY$78)))))*AV$8))</f>
        <v>7500</v>
      </c>
      <c r="AW334" s="21">
        <f>(SUMPRODUCT(AW$9:AW$229,Nutrients!$EY$8:$EY$228)+(IF($A$7=Nutrients!$B$8,Nutrients!$EY$8,Nutrients!$EY$9)*AW$7)+(((IF($A$8=Nutrients!$B$79,Nutrients!$EY$79,(IF($A$8=Nutrients!$B$77,Nutrients!$EY$77,Nutrients!$EY$78)))))*AW$8))</f>
        <v>7500</v>
      </c>
    </row>
    <row r="335" spans="1:49" x14ac:dyDescent="0.25">
      <c r="A335" s="34" t="s">
        <v>128</v>
      </c>
      <c r="B335" s="21">
        <f>(SUMPRODUCT(B$9:B$229,Nutrients!$EZ$8:$EZ$228)+(IF($A$7=Nutrients!$B$8,Nutrients!$EZ$8,Nutrients!$EZ$9)*B$7)+(((IF($A$8=Nutrients!$B$79,Nutrients!$EZ$79,(IF($A$8=Nutrients!$B$77,Nutrients!$EZ$77,Nutrients!$EZ$78)))))*B$8))</f>
        <v>4500</v>
      </c>
      <c r="C335" s="21">
        <f>(SUMPRODUCT(C$9:C$229,Nutrients!$EZ$8:$EZ$228)+(IF($A$7=Nutrients!$B$8,Nutrients!$EZ$8,Nutrients!$EZ$9)*C$7)+(((IF($A$8=Nutrients!$B$79,Nutrients!$EZ$79,(IF($A$8=Nutrients!$B$77,Nutrients!$EZ$77,Nutrients!$EZ$78)))))*C$8))</f>
        <v>4500</v>
      </c>
      <c r="D335" s="21">
        <f>(SUMPRODUCT(D$9:D$229,Nutrients!$EZ$8:$EZ$228)+(IF($A$7=Nutrients!$B$8,Nutrients!$EZ$8,Nutrients!$EZ$9)*D$7)+(((IF($A$8=Nutrients!$B$79,Nutrients!$EZ$79,(IF($A$8=Nutrients!$B$77,Nutrients!$EZ$77,Nutrients!$EZ$78)))))*D$8))</f>
        <v>3750</v>
      </c>
      <c r="E335" s="21">
        <f>(SUMPRODUCT(E$9:E$229,Nutrients!$EZ$8:$EZ$228)+(IF($A$7=Nutrients!$B$8,Nutrients!$EZ$8,Nutrients!$EZ$9)*E$7)+(((IF($A$8=Nutrients!$B$79,Nutrients!$EZ$79,(IF($A$8=Nutrients!$B$77,Nutrients!$EZ$77,Nutrients!$EZ$78)))))*E$8))</f>
        <v>3000</v>
      </c>
      <c r="F335" s="21">
        <f>(SUMPRODUCT(F$9:F$229,Nutrients!$EZ$8:$EZ$228)+(IF($A$7=Nutrients!$B$8,Nutrients!$EZ$8,Nutrients!$EZ$9)*F$7)+(((IF($A$8=Nutrients!$B$79,Nutrients!$EZ$79,(IF($A$8=Nutrients!$B$77,Nutrients!$EZ$77,Nutrients!$EZ$78)))))*F$8))</f>
        <v>2250</v>
      </c>
      <c r="G335" s="21">
        <f>(SUMPRODUCT(G$9:G$229,Nutrients!$EZ$8:$EZ$228)+(IF($A$7=Nutrients!$B$8,Nutrients!$EZ$8,Nutrients!$EZ$9)*G$7)+(((IF($A$8=Nutrients!$B$79,Nutrients!$EZ$79,(IF($A$8=Nutrients!$B$77,Nutrients!$EZ$77,Nutrients!$EZ$78)))))*G$8))</f>
        <v>2250</v>
      </c>
      <c r="H335" s="226"/>
      <c r="I335" s="21">
        <f>(SUMPRODUCT(I$9:I$229,Nutrients!$EZ$8:$EZ$228)+(IF($A$7=Nutrients!$B$8,Nutrients!$EZ$8,Nutrients!$EZ$9)*I$7)+(((IF($A$8=Nutrients!$B$79,Nutrients!$EZ$79,(IF($A$8=Nutrients!$B$77,Nutrients!$EZ$77,Nutrients!$EZ$78)))))*I$8))</f>
        <v>4500</v>
      </c>
      <c r="J335" s="21">
        <f>(SUMPRODUCT(J$9:J$229,Nutrients!$EZ$8:$EZ$228)+(IF($A$7=Nutrients!$B$8,Nutrients!$EZ$8,Nutrients!$EZ$9)*J$7)+(((IF($A$8=Nutrients!$B$79,Nutrients!$EZ$79,(IF($A$8=Nutrients!$B$77,Nutrients!$EZ$77,Nutrients!$EZ$78)))))*J$8))</f>
        <v>4500</v>
      </c>
      <c r="K335" s="21">
        <f>(SUMPRODUCT(K$9:K$229,Nutrients!$EZ$8:$EZ$228)+(IF($A$7=Nutrients!$B$8,Nutrients!$EZ$8,Nutrients!$EZ$9)*K$7)+(((IF($A$8=Nutrients!$B$79,Nutrients!$EZ$79,(IF($A$8=Nutrients!$B$77,Nutrients!$EZ$77,Nutrients!$EZ$78)))))*K$8))</f>
        <v>3750</v>
      </c>
      <c r="L335" s="21">
        <f>(SUMPRODUCT(L$9:L$229,Nutrients!$EZ$8:$EZ$228)+(IF($A$7=Nutrients!$B$8,Nutrients!$EZ$8,Nutrients!$EZ$9)*L$7)+(((IF($A$8=Nutrients!$B$79,Nutrients!$EZ$79,(IF($A$8=Nutrients!$B$77,Nutrients!$EZ$77,Nutrients!$EZ$78)))))*L$8))</f>
        <v>3000</v>
      </c>
      <c r="M335" s="21">
        <f>(SUMPRODUCT(M$9:M$229,Nutrients!$EZ$8:$EZ$228)+(IF($A$7=Nutrients!$B$8,Nutrients!$EZ$8,Nutrients!$EZ$9)*M$7)+(((IF($A$8=Nutrients!$B$79,Nutrients!$EZ$79,(IF($A$8=Nutrients!$B$77,Nutrients!$EZ$77,Nutrients!$EZ$78)))))*M$8))</f>
        <v>2250</v>
      </c>
      <c r="N335" s="21">
        <f>(SUMPRODUCT(N$9:N$229,Nutrients!$EZ$8:$EZ$228)+(IF($A$7=Nutrients!$B$8,Nutrients!$EZ$8,Nutrients!$EZ$9)*N$7)+(((IF($A$8=Nutrients!$B$79,Nutrients!$EZ$79,(IF($A$8=Nutrients!$B$77,Nutrients!$EZ$77,Nutrients!$EZ$78)))))*N$8))</f>
        <v>2250</v>
      </c>
      <c r="O335" s="234"/>
      <c r="P335" s="21">
        <f>(SUMPRODUCT(P$9:P$229,Nutrients!$EZ$8:$EZ$228)+(IF($A$7=Nutrients!$B$8,Nutrients!$EZ$8,Nutrients!$EZ$9)*P$7)+(((IF($A$8=Nutrients!$B$79,Nutrients!$EZ$79,(IF($A$8=Nutrients!$B$77,Nutrients!$EZ$77,Nutrients!$EZ$78)))))*P$8))</f>
        <v>4500</v>
      </c>
      <c r="Q335" s="21">
        <f>(SUMPRODUCT(Q$9:Q$229,Nutrients!$EZ$8:$EZ$228)+(IF($A$7=Nutrients!$B$8,Nutrients!$EZ$8,Nutrients!$EZ$9)*Q$7)+(((IF($A$8=Nutrients!$B$79,Nutrients!$EZ$79,(IF($A$8=Nutrients!$B$77,Nutrients!$EZ$77,Nutrients!$EZ$78)))))*Q$8))</f>
        <v>4500</v>
      </c>
      <c r="R335" s="21">
        <f>(SUMPRODUCT(R$9:R$229,Nutrients!$EZ$8:$EZ$228)+(IF($A$7=Nutrients!$B$8,Nutrients!$EZ$8,Nutrients!$EZ$9)*R$7)+(((IF($A$8=Nutrients!$B$79,Nutrients!$EZ$79,(IF($A$8=Nutrients!$B$77,Nutrients!$EZ$77,Nutrients!$EZ$78)))))*R$8))</f>
        <v>3750</v>
      </c>
      <c r="S335" s="21">
        <f>(SUMPRODUCT(S$9:S$229,Nutrients!$EZ$8:$EZ$228)+(IF($A$7=Nutrients!$B$8,Nutrients!$EZ$8,Nutrients!$EZ$9)*S$7)+(((IF($A$8=Nutrients!$B$79,Nutrients!$EZ$79,(IF($A$8=Nutrients!$B$77,Nutrients!$EZ$77,Nutrients!$EZ$78)))))*S$8))</f>
        <v>3000</v>
      </c>
      <c r="T335" s="21">
        <f>(SUMPRODUCT(T$9:T$229,Nutrients!$EZ$8:$EZ$228)+(IF($A$7=Nutrients!$B$8,Nutrients!$EZ$8,Nutrients!$EZ$9)*T$7)+(((IF($A$8=Nutrients!$B$79,Nutrients!$EZ$79,(IF($A$8=Nutrients!$B$77,Nutrients!$EZ$77,Nutrients!$EZ$78)))))*T$8))</f>
        <v>2250</v>
      </c>
      <c r="U335" s="21">
        <f>(SUMPRODUCT(U$9:U$229,Nutrients!$EZ$8:$EZ$228)+(IF($A$7=Nutrients!$B$8,Nutrients!$EZ$8,Nutrients!$EZ$9)*U$7)+(((IF($A$8=Nutrients!$B$79,Nutrients!$EZ$79,(IF($A$8=Nutrients!$B$77,Nutrients!$EZ$77,Nutrients!$EZ$78)))))*U$8))</f>
        <v>2250</v>
      </c>
      <c r="W335" s="21">
        <f>(SUMPRODUCT(W$9:W$229,Nutrients!$EZ$8:$EZ$228)+(IF($A$7=Nutrients!$B$8,Nutrients!$EZ$8,Nutrients!$EZ$9)*W$7)+(((IF($A$8=Nutrients!$B$79,Nutrients!$EZ$79,(IF($A$8=Nutrients!$B$77,Nutrients!$EZ$77,Nutrients!$EZ$78)))))*W$8))</f>
        <v>4500</v>
      </c>
      <c r="X335" s="21">
        <f>(SUMPRODUCT(X$9:X$229,Nutrients!$EZ$8:$EZ$228)+(IF($A$7=Nutrients!$B$8,Nutrients!$EZ$8,Nutrients!$EZ$9)*X$7)+(((IF($A$8=Nutrients!$B$79,Nutrients!$EZ$79,(IF($A$8=Nutrients!$B$77,Nutrients!$EZ$77,Nutrients!$EZ$78)))))*X$8))</f>
        <v>4500</v>
      </c>
      <c r="Y335" s="21">
        <f>(SUMPRODUCT(Y$9:Y$229,Nutrients!$EZ$8:$EZ$228)+(IF($A$7=Nutrients!$B$8,Nutrients!$EZ$8,Nutrients!$EZ$9)*Y$7)+(((IF($A$8=Nutrients!$B$79,Nutrients!$EZ$79,(IF($A$8=Nutrients!$B$77,Nutrients!$EZ$77,Nutrients!$EZ$78)))))*Y$8))</f>
        <v>3750</v>
      </c>
      <c r="Z335" s="21">
        <f>(SUMPRODUCT(Z$9:Z$229,Nutrients!$EZ$8:$EZ$228)+(IF($A$7=Nutrients!$B$8,Nutrients!$EZ$8,Nutrients!$EZ$9)*Z$7)+(((IF($A$8=Nutrients!$B$79,Nutrients!$EZ$79,(IF($A$8=Nutrients!$B$77,Nutrients!$EZ$77,Nutrients!$EZ$78)))))*Z$8))</f>
        <v>3000</v>
      </c>
      <c r="AA335" s="21">
        <f>(SUMPRODUCT(AA$9:AA$229,Nutrients!$EZ$8:$EZ$228)+(IF($A$7=Nutrients!$B$8,Nutrients!$EZ$8,Nutrients!$EZ$9)*AA$7)+(((IF($A$8=Nutrients!$B$79,Nutrients!$EZ$79,(IF($A$8=Nutrients!$B$77,Nutrients!$EZ$77,Nutrients!$EZ$78)))))*AA$8))</f>
        <v>2250</v>
      </c>
      <c r="AB335" s="21">
        <f>(SUMPRODUCT(AB$9:AB$229,Nutrients!$EZ$8:$EZ$228)+(IF($A$7=Nutrients!$B$8,Nutrients!$EZ$8,Nutrients!$EZ$9)*AB$7)+(((IF($A$8=Nutrients!$B$79,Nutrients!$EZ$79,(IF($A$8=Nutrients!$B$77,Nutrients!$EZ$77,Nutrients!$EZ$78)))))*AB$8))</f>
        <v>2250</v>
      </c>
      <c r="AD335" s="21">
        <f>(SUMPRODUCT(AD$9:AD$229,Nutrients!$EZ$8:$EZ$228)+(IF($A$7=Nutrients!$B$8,Nutrients!$EZ$8,Nutrients!$EZ$9)*AD$7)+(((IF($A$8=Nutrients!$B$79,Nutrients!$EZ$79,(IF($A$8=Nutrients!$B$77,Nutrients!$EZ$77,Nutrients!$EZ$78)))))*AD$8))</f>
        <v>4500</v>
      </c>
      <c r="AE335" s="21">
        <f>(SUMPRODUCT(AE$9:AE$229,Nutrients!$EZ$8:$EZ$228)+(IF($A$7=Nutrients!$B$8,Nutrients!$EZ$8,Nutrients!$EZ$9)*AE$7)+(((IF($A$8=Nutrients!$B$79,Nutrients!$EZ$79,(IF($A$8=Nutrients!$B$77,Nutrients!$EZ$77,Nutrients!$EZ$78)))))*AE$8))</f>
        <v>4500</v>
      </c>
      <c r="AF335" s="21">
        <f>(SUMPRODUCT(AF$9:AF$229,Nutrients!$EZ$8:$EZ$228)+(IF($A$7=Nutrients!$B$8,Nutrients!$EZ$8,Nutrients!$EZ$9)*AF$7)+(((IF($A$8=Nutrients!$B$79,Nutrients!$EZ$79,(IF($A$8=Nutrients!$B$77,Nutrients!$EZ$77,Nutrients!$EZ$78)))))*AF$8))</f>
        <v>3750</v>
      </c>
      <c r="AG335" s="21">
        <f>(SUMPRODUCT(AG$9:AG$229,Nutrients!$EZ$8:$EZ$228)+(IF($A$7=Nutrients!$B$8,Nutrients!$EZ$8,Nutrients!$EZ$9)*AG$7)+(((IF($A$8=Nutrients!$B$79,Nutrients!$EZ$79,(IF($A$8=Nutrients!$B$77,Nutrients!$EZ$77,Nutrients!$EZ$78)))))*AG$8))</f>
        <v>3000</v>
      </c>
      <c r="AH335" s="21">
        <f>(SUMPRODUCT(AH$9:AH$229,Nutrients!$EZ$8:$EZ$228)+(IF($A$7=Nutrients!$B$8,Nutrients!$EZ$8,Nutrients!$EZ$9)*AH$7)+(((IF($A$8=Nutrients!$B$79,Nutrients!$EZ$79,(IF($A$8=Nutrients!$B$77,Nutrients!$EZ$77,Nutrients!$EZ$78)))))*AH$8))</f>
        <v>2250</v>
      </c>
      <c r="AI335" s="21">
        <f>(SUMPRODUCT(AI$9:AI$229,Nutrients!$EZ$8:$EZ$228)+(IF($A$7=Nutrients!$B$8,Nutrients!$EZ$8,Nutrients!$EZ$9)*AI$7)+(((IF($A$8=Nutrients!$B$79,Nutrients!$EZ$79,(IF($A$8=Nutrients!$B$77,Nutrients!$EZ$77,Nutrients!$EZ$78)))))*AI$8))</f>
        <v>2250</v>
      </c>
      <c r="AK335" s="21">
        <f>(SUMPRODUCT(AK$9:AK$229,Nutrients!$EZ$8:$EZ$228)+(IF($A$7=Nutrients!$B$8,Nutrients!$EZ$8,Nutrients!$EZ$9)*AK$7)+(((IF($A$8=Nutrients!$B$79,Nutrients!$EZ$79,(IF($A$8=Nutrients!$B$77,Nutrients!$EZ$77,Nutrients!$EZ$78)))))*AK$8))</f>
        <v>4500</v>
      </c>
      <c r="AL335" s="21">
        <f>(SUMPRODUCT(AL$9:AL$229,Nutrients!$EZ$8:$EZ$228)+(IF($A$7=Nutrients!$B$8,Nutrients!$EZ$8,Nutrients!$EZ$9)*AL$7)+(((IF($A$8=Nutrients!$B$79,Nutrients!$EZ$79,(IF($A$8=Nutrients!$B$77,Nutrients!$EZ$77,Nutrients!$EZ$78)))))*AL$8))</f>
        <v>4500</v>
      </c>
      <c r="AM335" s="21">
        <f>(SUMPRODUCT(AM$9:AM$229,Nutrients!$EZ$8:$EZ$228)+(IF($A$7=Nutrients!$B$8,Nutrients!$EZ$8,Nutrients!$EZ$9)*AM$7)+(((IF($A$8=Nutrients!$B$79,Nutrients!$EZ$79,(IF($A$8=Nutrients!$B$77,Nutrients!$EZ$77,Nutrients!$EZ$78)))))*AM$8))</f>
        <v>3750</v>
      </c>
      <c r="AN335" s="21">
        <f>(SUMPRODUCT(AN$9:AN$229,Nutrients!$EZ$8:$EZ$228)+(IF($A$7=Nutrients!$B$8,Nutrients!$EZ$8,Nutrients!$EZ$9)*AN$7)+(((IF($A$8=Nutrients!$B$79,Nutrients!$EZ$79,(IF($A$8=Nutrients!$B$77,Nutrients!$EZ$77,Nutrients!$EZ$78)))))*AN$8))</f>
        <v>3000</v>
      </c>
      <c r="AO335" s="21">
        <f>(SUMPRODUCT(AO$9:AO$229,Nutrients!$EZ$8:$EZ$228)+(IF($A$7=Nutrients!$B$8,Nutrients!$EZ$8,Nutrients!$EZ$9)*AO$7)+(((IF($A$8=Nutrients!$B$79,Nutrients!$EZ$79,(IF($A$8=Nutrients!$B$77,Nutrients!$EZ$77,Nutrients!$EZ$78)))))*AO$8))</f>
        <v>2250</v>
      </c>
      <c r="AP335" s="21">
        <f>(SUMPRODUCT(AP$9:AP$229,Nutrients!$EZ$8:$EZ$228)+(IF($A$7=Nutrients!$B$8,Nutrients!$EZ$8,Nutrients!$EZ$9)*AP$7)+(((IF($A$8=Nutrients!$B$79,Nutrients!$EZ$79,(IF($A$8=Nutrients!$B$77,Nutrients!$EZ$77,Nutrients!$EZ$78)))))*AP$8))</f>
        <v>2250</v>
      </c>
      <c r="AR335" s="21">
        <f>(SUMPRODUCT(AR$9:AR$229,Nutrients!$EZ$8:$EZ$228)+(IF($A$7=Nutrients!$B$8,Nutrients!$EZ$8,Nutrients!$EZ$9)*AR$7)+(((IF($A$8=Nutrients!$B$79,Nutrients!$EZ$79,(IF($A$8=Nutrients!$B$77,Nutrients!$EZ$77,Nutrients!$EZ$78)))))*AR$8))</f>
        <v>4500</v>
      </c>
      <c r="AS335" s="21">
        <f>(SUMPRODUCT(AS$9:AS$229,Nutrients!$EZ$8:$EZ$228)+(IF($A$7=Nutrients!$B$8,Nutrients!$EZ$8,Nutrients!$EZ$9)*AS$7)+(((IF($A$8=Nutrients!$B$79,Nutrients!$EZ$79,(IF($A$8=Nutrients!$B$77,Nutrients!$EZ$77,Nutrients!$EZ$78)))))*AS$8))</f>
        <v>4500</v>
      </c>
      <c r="AT335" s="21">
        <f>(SUMPRODUCT(AT$9:AT$229,Nutrients!$EZ$8:$EZ$228)+(IF($A$7=Nutrients!$B$8,Nutrients!$EZ$8,Nutrients!$EZ$9)*AT$7)+(((IF($A$8=Nutrients!$B$79,Nutrients!$EZ$79,(IF($A$8=Nutrients!$B$77,Nutrients!$EZ$77,Nutrients!$EZ$78)))))*AT$8))</f>
        <v>3750</v>
      </c>
      <c r="AU335" s="21">
        <f>(SUMPRODUCT(AU$9:AU$229,Nutrients!$EZ$8:$EZ$228)+(IF($A$7=Nutrients!$B$8,Nutrients!$EZ$8,Nutrients!$EZ$9)*AU$7)+(((IF($A$8=Nutrients!$B$79,Nutrients!$EZ$79,(IF($A$8=Nutrients!$B$77,Nutrients!$EZ$77,Nutrients!$EZ$78)))))*AU$8))</f>
        <v>3000</v>
      </c>
      <c r="AV335" s="21">
        <f>(SUMPRODUCT(AV$9:AV$229,Nutrients!$EZ$8:$EZ$228)+(IF($A$7=Nutrients!$B$8,Nutrients!$EZ$8,Nutrients!$EZ$9)*AV$7)+(((IF($A$8=Nutrients!$B$79,Nutrients!$EZ$79,(IF($A$8=Nutrients!$B$77,Nutrients!$EZ$77,Nutrients!$EZ$78)))))*AV$8))</f>
        <v>2250</v>
      </c>
      <c r="AW335" s="21">
        <f>(SUMPRODUCT(AW$9:AW$229,Nutrients!$EZ$8:$EZ$228)+(IF($A$7=Nutrients!$B$8,Nutrients!$EZ$8,Nutrients!$EZ$9)*AW$7)+(((IF($A$8=Nutrients!$B$79,Nutrients!$EZ$79,(IF($A$8=Nutrients!$B$77,Nutrients!$EZ$77,Nutrients!$EZ$78)))))*AW$8))</f>
        <v>2250</v>
      </c>
    </row>
    <row r="336" spans="1:49" x14ac:dyDescent="0.25">
      <c r="A336" s="34" t="s">
        <v>129</v>
      </c>
      <c r="B336" s="21">
        <f>(SUMPRODUCT(B$9:B$229,Nutrients!$FA$8:$FA$228)+(IF($A$7=Nutrients!$B$8,Nutrients!$FA$8,Nutrients!$FA$9)*B$7)+(((IF($A$8=Nutrients!$B$79,Nutrients!$FA$79,(IF($A$8=Nutrients!$B$77,Nutrients!$FA$77,Nutrients!$FA$78)))))*B$8))</f>
        <v>0</v>
      </c>
      <c r="C336" s="21">
        <f>(SUMPRODUCT(C$9:C$229,Nutrients!$FA$8:$FA$228)+(IF($A$7=Nutrients!$B$8,Nutrients!$FA$8,Nutrients!$FA$9)*C$7)+(((IF($A$8=Nutrients!$B$79,Nutrients!$FA$79,(IF($A$8=Nutrients!$B$77,Nutrients!$FA$77,Nutrients!$FA$78)))))*C$8))</f>
        <v>0</v>
      </c>
      <c r="D336" s="21">
        <f>(SUMPRODUCT(D$9:D$229,Nutrients!$FA$8:$FA$228)+(IF($A$7=Nutrients!$B$8,Nutrients!$FA$8,Nutrients!$FA$9)*D$7)+(((IF($A$8=Nutrients!$B$79,Nutrients!$FA$79,(IF($A$8=Nutrients!$B$77,Nutrients!$FA$77,Nutrients!$FA$78)))))*D$8))</f>
        <v>0</v>
      </c>
      <c r="E336" s="21">
        <f>(SUMPRODUCT(E$9:E$229,Nutrients!$FA$8:$FA$228)+(IF($A$7=Nutrients!$B$8,Nutrients!$FA$8,Nutrients!$FA$9)*E$7)+(((IF($A$8=Nutrients!$B$79,Nutrients!$FA$79,(IF($A$8=Nutrients!$B$77,Nutrients!$FA$77,Nutrients!$FA$78)))))*E$8))</f>
        <v>0</v>
      </c>
      <c r="F336" s="21">
        <f>(SUMPRODUCT(F$9:F$229,Nutrients!$FA$8:$FA$228)+(IF($A$7=Nutrients!$B$8,Nutrients!$FA$8,Nutrients!$FA$9)*F$7)+(((IF($A$8=Nutrients!$B$79,Nutrients!$FA$79,(IF($A$8=Nutrients!$B$77,Nutrients!$FA$77,Nutrients!$FA$78)))))*F$8))</f>
        <v>0</v>
      </c>
      <c r="G336" s="21">
        <f>(SUMPRODUCT(G$9:G$229,Nutrients!$FA$8:$FA$228)+(IF($A$7=Nutrients!$B$8,Nutrients!$FA$8,Nutrients!$FA$9)*G$7)+(((IF($A$8=Nutrients!$B$79,Nutrients!$FA$79,(IF($A$8=Nutrients!$B$77,Nutrients!$FA$77,Nutrients!$FA$78)))))*G$8))</f>
        <v>0</v>
      </c>
      <c r="H336" s="226"/>
      <c r="I336" s="21">
        <f>(SUMPRODUCT(I$9:I$229,Nutrients!$FA$8:$FA$228)+(IF($A$7=Nutrients!$B$8,Nutrients!$FA$8,Nutrients!$FA$9)*I$7)+(((IF($A$8=Nutrients!$B$79,Nutrients!$FA$79,(IF($A$8=Nutrients!$B$77,Nutrients!$FA$77,Nutrients!$FA$78)))))*I$8))</f>
        <v>0</v>
      </c>
      <c r="J336" s="21">
        <f>(SUMPRODUCT(J$9:J$229,Nutrients!$FA$8:$FA$228)+(IF($A$7=Nutrients!$B$8,Nutrients!$FA$8,Nutrients!$FA$9)*J$7)+(((IF($A$8=Nutrients!$B$79,Nutrients!$FA$79,(IF($A$8=Nutrients!$B$77,Nutrients!$FA$77,Nutrients!$FA$78)))))*J$8))</f>
        <v>0</v>
      </c>
      <c r="K336" s="21">
        <f>(SUMPRODUCT(K$9:K$229,Nutrients!$FA$8:$FA$228)+(IF($A$7=Nutrients!$B$8,Nutrients!$FA$8,Nutrients!$FA$9)*K$7)+(((IF($A$8=Nutrients!$B$79,Nutrients!$FA$79,(IF($A$8=Nutrients!$B$77,Nutrients!$FA$77,Nutrients!$FA$78)))))*K$8))</f>
        <v>0</v>
      </c>
      <c r="L336" s="21">
        <f>(SUMPRODUCT(L$9:L$229,Nutrients!$FA$8:$FA$228)+(IF($A$7=Nutrients!$B$8,Nutrients!$FA$8,Nutrients!$FA$9)*L$7)+(((IF($A$8=Nutrients!$B$79,Nutrients!$FA$79,(IF($A$8=Nutrients!$B$77,Nutrients!$FA$77,Nutrients!$FA$78)))))*L$8))</f>
        <v>0</v>
      </c>
      <c r="M336" s="21">
        <f>(SUMPRODUCT(M$9:M$229,Nutrients!$FA$8:$FA$228)+(IF($A$7=Nutrients!$B$8,Nutrients!$FA$8,Nutrients!$FA$9)*M$7)+(((IF($A$8=Nutrients!$B$79,Nutrients!$FA$79,(IF($A$8=Nutrients!$B$77,Nutrients!$FA$77,Nutrients!$FA$78)))))*M$8))</f>
        <v>0</v>
      </c>
      <c r="N336" s="21">
        <f>(SUMPRODUCT(N$9:N$229,Nutrients!$FA$8:$FA$228)+(IF($A$7=Nutrients!$B$8,Nutrients!$FA$8,Nutrients!$FA$9)*N$7)+(((IF($A$8=Nutrients!$B$79,Nutrients!$FA$79,(IF($A$8=Nutrients!$B$77,Nutrients!$FA$77,Nutrients!$FA$78)))))*N$8))</f>
        <v>0</v>
      </c>
      <c r="O336" s="234"/>
      <c r="P336" s="21">
        <f>(SUMPRODUCT(P$9:P$229,Nutrients!$FA$8:$FA$228)+(IF($A$7=Nutrients!$B$8,Nutrients!$FA$8,Nutrients!$FA$9)*P$7)+(((IF($A$8=Nutrients!$B$79,Nutrients!$FA$79,(IF($A$8=Nutrients!$B$77,Nutrients!$FA$77,Nutrients!$FA$78)))))*P$8))</f>
        <v>0</v>
      </c>
      <c r="Q336" s="21">
        <f>(SUMPRODUCT(Q$9:Q$229,Nutrients!$FA$8:$FA$228)+(IF($A$7=Nutrients!$B$8,Nutrients!$FA$8,Nutrients!$FA$9)*Q$7)+(((IF($A$8=Nutrients!$B$79,Nutrients!$FA$79,(IF($A$8=Nutrients!$B$77,Nutrients!$FA$77,Nutrients!$FA$78)))))*Q$8))</f>
        <v>0</v>
      </c>
      <c r="R336" s="21">
        <f>(SUMPRODUCT(R$9:R$229,Nutrients!$FA$8:$FA$228)+(IF($A$7=Nutrients!$B$8,Nutrients!$FA$8,Nutrients!$FA$9)*R$7)+(((IF($A$8=Nutrients!$B$79,Nutrients!$FA$79,(IF($A$8=Nutrients!$B$77,Nutrients!$FA$77,Nutrients!$FA$78)))))*R$8))</f>
        <v>0</v>
      </c>
      <c r="S336" s="21">
        <f>(SUMPRODUCT(S$9:S$229,Nutrients!$FA$8:$FA$228)+(IF($A$7=Nutrients!$B$8,Nutrients!$FA$8,Nutrients!$FA$9)*S$7)+(((IF($A$8=Nutrients!$B$79,Nutrients!$FA$79,(IF($A$8=Nutrients!$B$77,Nutrients!$FA$77,Nutrients!$FA$78)))))*S$8))</f>
        <v>0</v>
      </c>
      <c r="T336" s="21">
        <f>(SUMPRODUCT(T$9:T$229,Nutrients!$FA$8:$FA$228)+(IF($A$7=Nutrients!$B$8,Nutrients!$FA$8,Nutrients!$FA$9)*T$7)+(((IF($A$8=Nutrients!$B$79,Nutrients!$FA$79,(IF($A$8=Nutrients!$B$77,Nutrients!$FA$77,Nutrients!$FA$78)))))*T$8))</f>
        <v>0</v>
      </c>
      <c r="U336" s="21">
        <f>(SUMPRODUCT(U$9:U$229,Nutrients!$FA$8:$FA$228)+(IF($A$7=Nutrients!$B$8,Nutrients!$FA$8,Nutrients!$FA$9)*U$7)+(((IF($A$8=Nutrients!$B$79,Nutrients!$FA$79,(IF($A$8=Nutrients!$B$77,Nutrients!$FA$77,Nutrients!$FA$78)))))*U$8))</f>
        <v>0</v>
      </c>
      <c r="W336" s="21">
        <f>(SUMPRODUCT(W$9:W$229,Nutrients!$FA$8:$FA$228)+(IF($A$7=Nutrients!$B$8,Nutrients!$FA$8,Nutrients!$FA$9)*W$7)+(((IF($A$8=Nutrients!$B$79,Nutrients!$FA$79,(IF($A$8=Nutrients!$B$77,Nutrients!$FA$77,Nutrients!$FA$78)))))*W$8))</f>
        <v>0</v>
      </c>
      <c r="X336" s="21">
        <f>(SUMPRODUCT(X$9:X$229,Nutrients!$FA$8:$FA$228)+(IF($A$7=Nutrients!$B$8,Nutrients!$FA$8,Nutrients!$FA$9)*X$7)+(((IF($A$8=Nutrients!$B$79,Nutrients!$FA$79,(IF($A$8=Nutrients!$B$77,Nutrients!$FA$77,Nutrients!$FA$78)))))*X$8))</f>
        <v>0</v>
      </c>
      <c r="Y336" s="21">
        <f>(SUMPRODUCT(Y$9:Y$229,Nutrients!$FA$8:$FA$228)+(IF($A$7=Nutrients!$B$8,Nutrients!$FA$8,Nutrients!$FA$9)*Y$7)+(((IF($A$8=Nutrients!$B$79,Nutrients!$FA$79,(IF($A$8=Nutrients!$B$77,Nutrients!$FA$77,Nutrients!$FA$78)))))*Y$8))</f>
        <v>0</v>
      </c>
      <c r="Z336" s="21">
        <f>(SUMPRODUCT(Z$9:Z$229,Nutrients!$FA$8:$FA$228)+(IF($A$7=Nutrients!$B$8,Nutrients!$FA$8,Nutrients!$FA$9)*Z$7)+(((IF($A$8=Nutrients!$B$79,Nutrients!$FA$79,(IF($A$8=Nutrients!$B$77,Nutrients!$FA$77,Nutrients!$FA$78)))))*Z$8))</f>
        <v>0</v>
      </c>
      <c r="AA336" s="21">
        <f>(SUMPRODUCT(AA$9:AA$229,Nutrients!$FA$8:$FA$228)+(IF($A$7=Nutrients!$B$8,Nutrients!$FA$8,Nutrients!$FA$9)*AA$7)+(((IF($A$8=Nutrients!$B$79,Nutrients!$FA$79,(IF($A$8=Nutrients!$B$77,Nutrients!$FA$77,Nutrients!$FA$78)))))*AA$8))</f>
        <v>0</v>
      </c>
      <c r="AB336" s="21">
        <f>(SUMPRODUCT(AB$9:AB$229,Nutrients!$FA$8:$FA$228)+(IF($A$7=Nutrients!$B$8,Nutrients!$FA$8,Nutrients!$FA$9)*AB$7)+(((IF($A$8=Nutrients!$B$79,Nutrients!$FA$79,(IF($A$8=Nutrients!$B$77,Nutrients!$FA$77,Nutrients!$FA$78)))))*AB$8))</f>
        <v>0</v>
      </c>
      <c r="AD336" s="21">
        <f>(SUMPRODUCT(AD$9:AD$229,Nutrients!$FA$8:$FA$228)+(IF($A$7=Nutrients!$B$8,Nutrients!$FA$8,Nutrients!$FA$9)*AD$7)+(((IF($A$8=Nutrients!$B$79,Nutrients!$FA$79,(IF($A$8=Nutrients!$B$77,Nutrients!$FA$77,Nutrients!$FA$78)))))*AD$8))</f>
        <v>0</v>
      </c>
      <c r="AE336" s="21">
        <f>(SUMPRODUCT(AE$9:AE$229,Nutrients!$FA$8:$FA$228)+(IF($A$7=Nutrients!$B$8,Nutrients!$FA$8,Nutrients!$FA$9)*AE$7)+(((IF($A$8=Nutrients!$B$79,Nutrients!$FA$79,(IF($A$8=Nutrients!$B$77,Nutrients!$FA$77,Nutrients!$FA$78)))))*AE$8))</f>
        <v>0</v>
      </c>
      <c r="AF336" s="21">
        <f>(SUMPRODUCT(AF$9:AF$229,Nutrients!$FA$8:$FA$228)+(IF($A$7=Nutrients!$B$8,Nutrients!$FA$8,Nutrients!$FA$9)*AF$7)+(((IF($A$8=Nutrients!$B$79,Nutrients!$FA$79,(IF($A$8=Nutrients!$B$77,Nutrients!$FA$77,Nutrients!$FA$78)))))*AF$8))</f>
        <v>0</v>
      </c>
      <c r="AG336" s="21">
        <f>(SUMPRODUCT(AG$9:AG$229,Nutrients!$FA$8:$FA$228)+(IF($A$7=Nutrients!$B$8,Nutrients!$FA$8,Nutrients!$FA$9)*AG$7)+(((IF($A$8=Nutrients!$B$79,Nutrients!$FA$79,(IF($A$8=Nutrients!$B$77,Nutrients!$FA$77,Nutrients!$FA$78)))))*AG$8))</f>
        <v>0</v>
      </c>
      <c r="AH336" s="21">
        <f>(SUMPRODUCT(AH$9:AH$229,Nutrients!$FA$8:$FA$228)+(IF($A$7=Nutrients!$B$8,Nutrients!$FA$8,Nutrients!$FA$9)*AH$7)+(((IF($A$8=Nutrients!$B$79,Nutrients!$FA$79,(IF($A$8=Nutrients!$B$77,Nutrients!$FA$77,Nutrients!$FA$78)))))*AH$8))</f>
        <v>0</v>
      </c>
      <c r="AI336" s="21">
        <f>(SUMPRODUCT(AI$9:AI$229,Nutrients!$FA$8:$FA$228)+(IF($A$7=Nutrients!$B$8,Nutrients!$FA$8,Nutrients!$FA$9)*AI$7)+(((IF($A$8=Nutrients!$B$79,Nutrients!$FA$79,(IF($A$8=Nutrients!$B$77,Nutrients!$FA$77,Nutrients!$FA$78)))))*AI$8))</f>
        <v>0</v>
      </c>
      <c r="AK336" s="21">
        <f>(SUMPRODUCT(AK$9:AK$229,Nutrients!$FA$8:$FA$228)+(IF($A$7=Nutrients!$B$8,Nutrients!$FA$8,Nutrients!$FA$9)*AK$7)+(((IF($A$8=Nutrients!$B$79,Nutrients!$FA$79,(IF($A$8=Nutrients!$B$77,Nutrients!$FA$77,Nutrients!$FA$78)))))*AK$8))</f>
        <v>0</v>
      </c>
      <c r="AL336" s="21">
        <f>(SUMPRODUCT(AL$9:AL$229,Nutrients!$FA$8:$FA$228)+(IF($A$7=Nutrients!$B$8,Nutrients!$FA$8,Nutrients!$FA$9)*AL$7)+(((IF($A$8=Nutrients!$B$79,Nutrients!$FA$79,(IF($A$8=Nutrients!$B$77,Nutrients!$FA$77,Nutrients!$FA$78)))))*AL$8))</f>
        <v>0</v>
      </c>
      <c r="AM336" s="21">
        <f>(SUMPRODUCT(AM$9:AM$229,Nutrients!$FA$8:$FA$228)+(IF($A$7=Nutrients!$B$8,Nutrients!$FA$8,Nutrients!$FA$9)*AM$7)+(((IF($A$8=Nutrients!$B$79,Nutrients!$FA$79,(IF($A$8=Nutrients!$B$77,Nutrients!$FA$77,Nutrients!$FA$78)))))*AM$8))</f>
        <v>0</v>
      </c>
      <c r="AN336" s="21">
        <f>(SUMPRODUCT(AN$9:AN$229,Nutrients!$FA$8:$FA$228)+(IF($A$7=Nutrients!$B$8,Nutrients!$FA$8,Nutrients!$FA$9)*AN$7)+(((IF($A$8=Nutrients!$B$79,Nutrients!$FA$79,(IF($A$8=Nutrients!$B$77,Nutrients!$FA$77,Nutrients!$FA$78)))))*AN$8))</f>
        <v>0</v>
      </c>
      <c r="AO336" s="21">
        <f>(SUMPRODUCT(AO$9:AO$229,Nutrients!$FA$8:$FA$228)+(IF($A$7=Nutrients!$B$8,Nutrients!$FA$8,Nutrients!$FA$9)*AO$7)+(((IF($A$8=Nutrients!$B$79,Nutrients!$FA$79,(IF($A$8=Nutrients!$B$77,Nutrients!$FA$77,Nutrients!$FA$78)))))*AO$8))</f>
        <v>0</v>
      </c>
      <c r="AP336" s="21">
        <f>(SUMPRODUCT(AP$9:AP$229,Nutrients!$FA$8:$FA$228)+(IF($A$7=Nutrients!$B$8,Nutrients!$FA$8,Nutrients!$FA$9)*AP$7)+(((IF($A$8=Nutrients!$B$79,Nutrients!$FA$79,(IF($A$8=Nutrients!$B$77,Nutrients!$FA$77,Nutrients!$FA$78)))))*AP$8))</f>
        <v>0</v>
      </c>
      <c r="AR336" s="21">
        <f>(SUMPRODUCT(AR$9:AR$229,Nutrients!$FA$8:$FA$228)+(IF($A$7=Nutrients!$B$8,Nutrients!$FA$8,Nutrients!$FA$9)*AR$7)+(((IF($A$8=Nutrients!$B$79,Nutrients!$FA$79,(IF($A$8=Nutrients!$B$77,Nutrients!$FA$77,Nutrients!$FA$78)))))*AR$8))</f>
        <v>0</v>
      </c>
      <c r="AS336" s="21">
        <f>(SUMPRODUCT(AS$9:AS$229,Nutrients!$FA$8:$FA$228)+(IF($A$7=Nutrients!$B$8,Nutrients!$FA$8,Nutrients!$FA$9)*AS$7)+(((IF($A$8=Nutrients!$B$79,Nutrients!$FA$79,(IF($A$8=Nutrients!$B$77,Nutrients!$FA$77,Nutrients!$FA$78)))))*AS$8))</f>
        <v>0</v>
      </c>
      <c r="AT336" s="21">
        <f>(SUMPRODUCT(AT$9:AT$229,Nutrients!$FA$8:$FA$228)+(IF($A$7=Nutrients!$B$8,Nutrients!$FA$8,Nutrients!$FA$9)*AT$7)+(((IF($A$8=Nutrients!$B$79,Nutrients!$FA$79,(IF($A$8=Nutrients!$B$77,Nutrients!$FA$77,Nutrients!$FA$78)))))*AT$8))</f>
        <v>0</v>
      </c>
      <c r="AU336" s="21">
        <f>(SUMPRODUCT(AU$9:AU$229,Nutrients!$FA$8:$FA$228)+(IF($A$7=Nutrients!$B$8,Nutrients!$FA$8,Nutrients!$FA$9)*AU$7)+(((IF($A$8=Nutrients!$B$79,Nutrients!$FA$79,(IF($A$8=Nutrients!$B$77,Nutrients!$FA$77,Nutrients!$FA$78)))))*AU$8))</f>
        <v>0</v>
      </c>
      <c r="AV336" s="21">
        <f>(SUMPRODUCT(AV$9:AV$229,Nutrients!$FA$8:$FA$228)+(IF($A$7=Nutrients!$B$8,Nutrients!$FA$8,Nutrients!$FA$9)*AV$7)+(((IF($A$8=Nutrients!$B$79,Nutrients!$FA$79,(IF($A$8=Nutrients!$B$77,Nutrients!$FA$77,Nutrients!$FA$78)))))*AV$8))</f>
        <v>0</v>
      </c>
      <c r="AW336" s="21">
        <f>(SUMPRODUCT(AW$9:AW$229,Nutrients!$FA$8:$FA$228)+(IF($A$7=Nutrients!$B$8,Nutrients!$FA$8,Nutrients!$FA$9)*AW$7)+(((IF($A$8=Nutrients!$B$79,Nutrients!$FA$79,(IF($A$8=Nutrients!$B$77,Nutrients!$FA$77,Nutrients!$FA$78)))))*AW$8))</f>
        <v>0</v>
      </c>
    </row>
    <row r="337" spans="1:52" x14ac:dyDescent="0.25">
      <c r="A337" s="34" t="s">
        <v>130</v>
      </c>
      <c r="B337" s="21">
        <f>(SUMPRODUCT(B$9:B$229,Nutrients!$FB$8:$FB$228)+(IF($A$7=Nutrients!$B$8,Nutrients!$FB$8,Nutrients!$FB$9)*B$7)+(((IF($A$8=Nutrients!$B$79,Nutrients!$FB$79,(IF($A$8=Nutrients!$B$77,Nutrients!$FB$77,Nutrients!$FB$78)))))*B$8))</f>
        <v>0</v>
      </c>
      <c r="C337" s="21">
        <f>(SUMPRODUCT(C$9:C$229,Nutrients!$FB$8:$FB$228)+(IF($A$7=Nutrients!$B$8,Nutrients!$FB$8,Nutrients!$FB$9)*C$7)+(((IF($A$8=Nutrients!$B$79,Nutrients!$FB$79,(IF($A$8=Nutrients!$B$77,Nutrients!$FB$77,Nutrients!$FB$78)))))*C$8))</f>
        <v>0</v>
      </c>
      <c r="D337" s="21">
        <f>(SUMPRODUCT(D$9:D$229,Nutrients!$FB$8:$FB$228)+(IF($A$7=Nutrients!$B$8,Nutrients!$FB$8,Nutrients!$FB$9)*D$7)+(((IF($A$8=Nutrients!$B$79,Nutrients!$FB$79,(IF($A$8=Nutrients!$B$77,Nutrients!$FB$77,Nutrients!$FB$78)))))*D$8))</f>
        <v>0</v>
      </c>
      <c r="E337" s="21">
        <f>(SUMPRODUCT(E$9:E$229,Nutrients!$FB$8:$FB$228)+(IF($A$7=Nutrients!$B$8,Nutrients!$FB$8,Nutrients!$FB$9)*E$7)+(((IF($A$8=Nutrients!$B$79,Nutrients!$FB$79,(IF($A$8=Nutrients!$B$77,Nutrients!$FB$77,Nutrients!$FB$78)))))*E$8))</f>
        <v>0</v>
      </c>
      <c r="F337" s="21">
        <f>(SUMPRODUCT(F$9:F$229,Nutrients!$FB$8:$FB$228)+(IF($A$7=Nutrients!$B$8,Nutrients!$FB$8,Nutrients!$FB$9)*F$7)+(((IF($A$8=Nutrients!$B$79,Nutrients!$FB$79,(IF($A$8=Nutrients!$B$77,Nutrients!$FB$77,Nutrients!$FB$78)))))*F$8))</f>
        <v>0</v>
      </c>
      <c r="G337" s="21">
        <f>(SUMPRODUCT(G$9:G$229,Nutrients!$FB$8:$FB$228)+(IF($A$7=Nutrients!$B$8,Nutrients!$FB$8,Nutrients!$FB$9)*G$7)+(((IF($A$8=Nutrients!$B$79,Nutrients!$FB$79,(IF($A$8=Nutrients!$B$77,Nutrients!$FB$77,Nutrients!$FB$78)))))*G$8))</f>
        <v>0</v>
      </c>
      <c r="H337" s="226"/>
      <c r="I337" s="21">
        <f>(SUMPRODUCT(I$9:I$229,Nutrients!$FB$8:$FB$228)+(IF($A$7=Nutrients!$B$8,Nutrients!$FB$8,Nutrients!$FB$9)*I$7)+(((IF($A$8=Nutrients!$B$79,Nutrients!$FB$79,(IF($A$8=Nutrients!$B$77,Nutrients!$FB$77,Nutrients!$FB$78)))))*I$8))</f>
        <v>0</v>
      </c>
      <c r="J337" s="21">
        <f>(SUMPRODUCT(J$9:J$229,Nutrients!$FB$8:$FB$228)+(IF($A$7=Nutrients!$B$8,Nutrients!$FB$8,Nutrients!$FB$9)*J$7)+(((IF($A$8=Nutrients!$B$79,Nutrients!$FB$79,(IF($A$8=Nutrients!$B$77,Nutrients!$FB$77,Nutrients!$FB$78)))))*J$8))</f>
        <v>0</v>
      </c>
      <c r="K337" s="21">
        <f>(SUMPRODUCT(K$9:K$229,Nutrients!$FB$8:$FB$228)+(IF($A$7=Nutrients!$B$8,Nutrients!$FB$8,Nutrients!$FB$9)*K$7)+(((IF($A$8=Nutrients!$B$79,Nutrients!$FB$79,(IF($A$8=Nutrients!$B$77,Nutrients!$FB$77,Nutrients!$FB$78)))))*K$8))</f>
        <v>0</v>
      </c>
      <c r="L337" s="21">
        <f>(SUMPRODUCT(L$9:L$229,Nutrients!$FB$8:$FB$228)+(IF($A$7=Nutrients!$B$8,Nutrients!$FB$8,Nutrients!$FB$9)*L$7)+(((IF($A$8=Nutrients!$B$79,Nutrients!$FB$79,(IF($A$8=Nutrients!$B$77,Nutrients!$FB$77,Nutrients!$FB$78)))))*L$8))</f>
        <v>0</v>
      </c>
      <c r="M337" s="21">
        <f>(SUMPRODUCT(M$9:M$229,Nutrients!$FB$8:$FB$228)+(IF($A$7=Nutrients!$B$8,Nutrients!$FB$8,Nutrients!$FB$9)*M$7)+(((IF($A$8=Nutrients!$B$79,Nutrients!$FB$79,(IF($A$8=Nutrients!$B$77,Nutrients!$FB$77,Nutrients!$FB$78)))))*M$8))</f>
        <v>0</v>
      </c>
      <c r="N337" s="21">
        <f>(SUMPRODUCT(N$9:N$229,Nutrients!$FB$8:$FB$228)+(IF($A$7=Nutrients!$B$8,Nutrients!$FB$8,Nutrients!$FB$9)*N$7)+(((IF($A$8=Nutrients!$B$79,Nutrients!$FB$79,(IF($A$8=Nutrients!$B$77,Nutrients!$FB$77,Nutrients!$FB$78)))))*N$8))</f>
        <v>0</v>
      </c>
      <c r="O337" s="234"/>
      <c r="P337" s="21">
        <f>(SUMPRODUCT(P$9:P$229,Nutrients!$FB$8:$FB$228)+(IF($A$7=Nutrients!$B$8,Nutrients!$FB$8,Nutrients!$FB$9)*P$7)+(((IF($A$8=Nutrients!$B$79,Nutrients!$FB$79,(IF($A$8=Nutrients!$B$77,Nutrients!$FB$77,Nutrients!$FB$78)))))*P$8))</f>
        <v>0</v>
      </c>
      <c r="Q337" s="21">
        <f>(SUMPRODUCT(Q$9:Q$229,Nutrients!$FB$8:$FB$228)+(IF($A$7=Nutrients!$B$8,Nutrients!$FB$8,Nutrients!$FB$9)*Q$7)+(((IF($A$8=Nutrients!$B$79,Nutrients!$FB$79,(IF($A$8=Nutrients!$B$77,Nutrients!$FB$77,Nutrients!$FB$78)))))*Q$8))</f>
        <v>0</v>
      </c>
      <c r="R337" s="21">
        <f>(SUMPRODUCT(R$9:R$229,Nutrients!$FB$8:$FB$228)+(IF($A$7=Nutrients!$B$8,Nutrients!$FB$8,Nutrients!$FB$9)*R$7)+(((IF($A$8=Nutrients!$B$79,Nutrients!$FB$79,(IF($A$8=Nutrients!$B$77,Nutrients!$FB$77,Nutrients!$FB$78)))))*R$8))</f>
        <v>0</v>
      </c>
      <c r="S337" s="21">
        <f>(SUMPRODUCT(S$9:S$229,Nutrients!$FB$8:$FB$228)+(IF($A$7=Nutrients!$B$8,Nutrients!$FB$8,Nutrients!$FB$9)*S$7)+(((IF($A$8=Nutrients!$B$79,Nutrients!$FB$79,(IF($A$8=Nutrients!$B$77,Nutrients!$FB$77,Nutrients!$FB$78)))))*S$8))</f>
        <v>0</v>
      </c>
      <c r="T337" s="21">
        <f>(SUMPRODUCT(T$9:T$229,Nutrients!$FB$8:$FB$228)+(IF($A$7=Nutrients!$B$8,Nutrients!$FB$8,Nutrients!$FB$9)*T$7)+(((IF($A$8=Nutrients!$B$79,Nutrients!$FB$79,(IF($A$8=Nutrients!$B$77,Nutrients!$FB$77,Nutrients!$FB$78)))))*T$8))</f>
        <v>0</v>
      </c>
      <c r="U337" s="21">
        <f>(SUMPRODUCT(U$9:U$229,Nutrients!$FB$8:$FB$228)+(IF($A$7=Nutrients!$B$8,Nutrients!$FB$8,Nutrients!$FB$9)*U$7)+(((IF($A$8=Nutrients!$B$79,Nutrients!$FB$79,(IF($A$8=Nutrients!$B$77,Nutrients!$FB$77,Nutrients!$FB$78)))))*U$8))</f>
        <v>0</v>
      </c>
      <c r="W337" s="21">
        <f>(SUMPRODUCT(W$9:W$229,Nutrients!$FB$8:$FB$228)+(IF($A$7=Nutrients!$B$8,Nutrients!$FB$8,Nutrients!$FB$9)*W$7)+(((IF($A$8=Nutrients!$B$79,Nutrients!$FB$79,(IF($A$8=Nutrients!$B$77,Nutrients!$FB$77,Nutrients!$FB$78)))))*W$8))</f>
        <v>0</v>
      </c>
      <c r="X337" s="21">
        <f>(SUMPRODUCT(X$9:X$229,Nutrients!$FB$8:$FB$228)+(IF($A$7=Nutrients!$B$8,Nutrients!$FB$8,Nutrients!$FB$9)*X$7)+(((IF($A$8=Nutrients!$B$79,Nutrients!$FB$79,(IF($A$8=Nutrients!$B$77,Nutrients!$FB$77,Nutrients!$FB$78)))))*X$8))</f>
        <v>0</v>
      </c>
      <c r="Y337" s="21">
        <f>(SUMPRODUCT(Y$9:Y$229,Nutrients!$FB$8:$FB$228)+(IF($A$7=Nutrients!$B$8,Nutrients!$FB$8,Nutrients!$FB$9)*Y$7)+(((IF($A$8=Nutrients!$B$79,Nutrients!$FB$79,(IF($A$8=Nutrients!$B$77,Nutrients!$FB$77,Nutrients!$FB$78)))))*Y$8))</f>
        <v>0</v>
      </c>
      <c r="Z337" s="21">
        <f>(SUMPRODUCT(Z$9:Z$229,Nutrients!$FB$8:$FB$228)+(IF($A$7=Nutrients!$B$8,Nutrients!$FB$8,Nutrients!$FB$9)*Z$7)+(((IF($A$8=Nutrients!$B$79,Nutrients!$FB$79,(IF($A$8=Nutrients!$B$77,Nutrients!$FB$77,Nutrients!$FB$78)))))*Z$8))</f>
        <v>0</v>
      </c>
      <c r="AA337" s="21">
        <f>(SUMPRODUCT(AA$9:AA$229,Nutrients!$FB$8:$FB$228)+(IF($A$7=Nutrients!$B$8,Nutrients!$FB$8,Nutrients!$FB$9)*AA$7)+(((IF($A$8=Nutrients!$B$79,Nutrients!$FB$79,(IF($A$8=Nutrients!$B$77,Nutrients!$FB$77,Nutrients!$FB$78)))))*AA$8))</f>
        <v>0</v>
      </c>
      <c r="AB337" s="21">
        <f>(SUMPRODUCT(AB$9:AB$229,Nutrients!$FB$8:$FB$228)+(IF($A$7=Nutrients!$B$8,Nutrients!$FB$8,Nutrients!$FB$9)*AB$7)+(((IF($A$8=Nutrients!$B$79,Nutrients!$FB$79,(IF($A$8=Nutrients!$B$77,Nutrients!$FB$77,Nutrients!$FB$78)))))*AB$8))</f>
        <v>0</v>
      </c>
      <c r="AD337" s="21">
        <f>(SUMPRODUCT(AD$9:AD$229,Nutrients!$FB$8:$FB$228)+(IF($A$7=Nutrients!$B$8,Nutrients!$FB$8,Nutrients!$FB$9)*AD$7)+(((IF($A$8=Nutrients!$B$79,Nutrients!$FB$79,(IF($A$8=Nutrients!$B$77,Nutrients!$FB$77,Nutrients!$FB$78)))))*AD$8))</f>
        <v>0</v>
      </c>
      <c r="AE337" s="21">
        <f>(SUMPRODUCT(AE$9:AE$229,Nutrients!$FB$8:$FB$228)+(IF($A$7=Nutrients!$B$8,Nutrients!$FB$8,Nutrients!$FB$9)*AE$7)+(((IF($A$8=Nutrients!$B$79,Nutrients!$FB$79,(IF($A$8=Nutrients!$B$77,Nutrients!$FB$77,Nutrients!$FB$78)))))*AE$8))</f>
        <v>0</v>
      </c>
      <c r="AF337" s="21">
        <f>(SUMPRODUCT(AF$9:AF$229,Nutrients!$FB$8:$FB$228)+(IF($A$7=Nutrients!$B$8,Nutrients!$FB$8,Nutrients!$FB$9)*AF$7)+(((IF($A$8=Nutrients!$B$79,Nutrients!$FB$79,(IF($A$8=Nutrients!$B$77,Nutrients!$FB$77,Nutrients!$FB$78)))))*AF$8))</f>
        <v>0</v>
      </c>
      <c r="AG337" s="21">
        <f>(SUMPRODUCT(AG$9:AG$229,Nutrients!$FB$8:$FB$228)+(IF($A$7=Nutrients!$B$8,Nutrients!$FB$8,Nutrients!$FB$9)*AG$7)+(((IF($A$8=Nutrients!$B$79,Nutrients!$FB$79,(IF($A$8=Nutrients!$B$77,Nutrients!$FB$77,Nutrients!$FB$78)))))*AG$8))</f>
        <v>0</v>
      </c>
      <c r="AH337" s="21">
        <f>(SUMPRODUCT(AH$9:AH$229,Nutrients!$FB$8:$FB$228)+(IF($A$7=Nutrients!$B$8,Nutrients!$FB$8,Nutrients!$FB$9)*AH$7)+(((IF($A$8=Nutrients!$B$79,Nutrients!$FB$79,(IF($A$8=Nutrients!$B$77,Nutrients!$FB$77,Nutrients!$FB$78)))))*AH$8))</f>
        <v>0</v>
      </c>
      <c r="AI337" s="21">
        <f>(SUMPRODUCT(AI$9:AI$229,Nutrients!$FB$8:$FB$228)+(IF($A$7=Nutrients!$B$8,Nutrients!$FB$8,Nutrients!$FB$9)*AI$7)+(((IF($A$8=Nutrients!$B$79,Nutrients!$FB$79,(IF($A$8=Nutrients!$B$77,Nutrients!$FB$77,Nutrients!$FB$78)))))*AI$8))</f>
        <v>0</v>
      </c>
      <c r="AK337" s="21">
        <f>(SUMPRODUCT(AK$9:AK$229,Nutrients!$FB$8:$FB$228)+(IF($A$7=Nutrients!$B$8,Nutrients!$FB$8,Nutrients!$FB$9)*AK$7)+(((IF($A$8=Nutrients!$B$79,Nutrients!$FB$79,(IF($A$8=Nutrients!$B$77,Nutrients!$FB$77,Nutrients!$FB$78)))))*AK$8))</f>
        <v>0</v>
      </c>
      <c r="AL337" s="21">
        <f>(SUMPRODUCT(AL$9:AL$229,Nutrients!$FB$8:$FB$228)+(IF($A$7=Nutrients!$B$8,Nutrients!$FB$8,Nutrients!$FB$9)*AL$7)+(((IF($A$8=Nutrients!$B$79,Nutrients!$FB$79,(IF($A$8=Nutrients!$B$77,Nutrients!$FB$77,Nutrients!$FB$78)))))*AL$8))</f>
        <v>0</v>
      </c>
      <c r="AM337" s="21">
        <f>(SUMPRODUCT(AM$9:AM$229,Nutrients!$FB$8:$FB$228)+(IF($A$7=Nutrients!$B$8,Nutrients!$FB$8,Nutrients!$FB$9)*AM$7)+(((IF($A$8=Nutrients!$B$79,Nutrients!$FB$79,(IF($A$8=Nutrients!$B$77,Nutrients!$FB$77,Nutrients!$FB$78)))))*AM$8))</f>
        <v>0</v>
      </c>
      <c r="AN337" s="21">
        <f>(SUMPRODUCT(AN$9:AN$229,Nutrients!$FB$8:$FB$228)+(IF($A$7=Nutrients!$B$8,Nutrients!$FB$8,Nutrients!$FB$9)*AN$7)+(((IF($A$8=Nutrients!$B$79,Nutrients!$FB$79,(IF($A$8=Nutrients!$B$77,Nutrients!$FB$77,Nutrients!$FB$78)))))*AN$8))</f>
        <v>0</v>
      </c>
      <c r="AO337" s="21">
        <f>(SUMPRODUCT(AO$9:AO$229,Nutrients!$FB$8:$FB$228)+(IF($A$7=Nutrients!$B$8,Nutrients!$FB$8,Nutrients!$FB$9)*AO$7)+(((IF($A$8=Nutrients!$B$79,Nutrients!$FB$79,(IF($A$8=Nutrients!$B$77,Nutrients!$FB$77,Nutrients!$FB$78)))))*AO$8))</f>
        <v>0</v>
      </c>
      <c r="AP337" s="21">
        <f>(SUMPRODUCT(AP$9:AP$229,Nutrients!$FB$8:$FB$228)+(IF($A$7=Nutrients!$B$8,Nutrients!$FB$8,Nutrients!$FB$9)*AP$7)+(((IF($A$8=Nutrients!$B$79,Nutrients!$FB$79,(IF($A$8=Nutrients!$B$77,Nutrients!$FB$77,Nutrients!$FB$78)))))*AP$8))</f>
        <v>0</v>
      </c>
      <c r="AR337" s="21">
        <f>(SUMPRODUCT(AR$9:AR$229,Nutrients!$FB$8:$FB$228)+(IF($A$7=Nutrients!$B$8,Nutrients!$FB$8,Nutrients!$FB$9)*AR$7)+(((IF($A$8=Nutrients!$B$79,Nutrients!$FB$79,(IF($A$8=Nutrients!$B$77,Nutrients!$FB$77,Nutrients!$FB$78)))))*AR$8))</f>
        <v>0</v>
      </c>
      <c r="AS337" s="21">
        <f>(SUMPRODUCT(AS$9:AS$229,Nutrients!$FB$8:$FB$228)+(IF($A$7=Nutrients!$B$8,Nutrients!$FB$8,Nutrients!$FB$9)*AS$7)+(((IF($A$8=Nutrients!$B$79,Nutrients!$FB$79,(IF($A$8=Nutrients!$B$77,Nutrients!$FB$77,Nutrients!$FB$78)))))*AS$8))</f>
        <v>0</v>
      </c>
      <c r="AT337" s="21">
        <f>(SUMPRODUCT(AT$9:AT$229,Nutrients!$FB$8:$FB$228)+(IF($A$7=Nutrients!$B$8,Nutrients!$FB$8,Nutrients!$FB$9)*AT$7)+(((IF($A$8=Nutrients!$B$79,Nutrients!$FB$79,(IF($A$8=Nutrients!$B$77,Nutrients!$FB$77,Nutrients!$FB$78)))))*AT$8))</f>
        <v>0</v>
      </c>
      <c r="AU337" s="21">
        <f>(SUMPRODUCT(AU$9:AU$229,Nutrients!$FB$8:$FB$228)+(IF($A$7=Nutrients!$B$8,Nutrients!$FB$8,Nutrients!$FB$9)*AU$7)+(((IF($A$8=Nutrients!$B$79,Nutrients!$FB$79,(IF($A$8=Nutrients!$B$77,Nutrients!$FB$77,Nutrients!$FB$78)))))*AU$8))</f>
        <v>0</v>
      </c>
      <c r="AV337" s="21">
        <f>(SUMPRODUCT(AV$9:AV$229,Nutrients!$FB$8:$FB$228)+(IF($A$7=Nutrients!$B$8,Nutrients!$FB$8,Nutrients!$FB$9)*AV$7)+(((IF($A$8=Nutrients!$B$79,Nutrients!$FB$79,(IF($A$8=Nutrients!$B$77,Nutrients!$FB$77,Nutrients!$FB$78)))))*AV$8))</f>
        <v>0</v>
      </c>
      <c r="AW337" s="21">
        <f>(SUMPRODUCT(AW$9:AW$229,Nutrients!$FB$8:$FB$228)+(IF($A$7=Nutrients!$B$8,Nutrients!$FB$8,Nutrients!$FB$9)*AW$7)+(((IF($A$8=Nutrients!$B$79,Nutrients!$FB$79,(IF($A$8=Nutrients!$B$77,Nutrients!$FB$77,Nutrients!$FB$78)))))*AW$8))</f>
        <v>0</v>
      </c>
    </row>
    <row r="338" spans="1:52" x14ac:dyDescent="0.25">
      <c r="A338" s="34" t="s">
        <v>131</v>
      </c>
      <c r="B338" s="21">
        <f>(SUMPRODUCT(B$9:B$229,Nutrients!$FC$8:$FC$228)+(IF($A$7=Nutrients!$B$8,Nutrients!$FC$8,Nutrients!$FC$9)*B$7)+(((IF($A$8=Nutrients!$B$79,Nutrients!$FC$79,(IF($A$8=Nutrients!$B$77,Nutrients!$FC$77,Nutrients!$FC$78)))))*B$8))</f>
        <v>0</v>
      </c>
      <c r="C338" s="21">
        <f>(SUMPRODUCT(C$9:C$229,Nutrients!$FC$8:$FC$228)+(IF($A$7=Nutrients!$B$8,Nutrients!$FC$8,Nutrients!$FC$9)*C$7)+(((IF($A$8=Nutrients!$B$79,Nutrients!$FC$79,(IF($A$8=Nutrients!$B$77,Nutrients!$FC$77,Nutrients!$FC$78)))))*C$8))</f>
        <v>0</v>
      </c>
      <c r="D338" s="21">
        <f>(SUMPRODUCT(D$9:D$229,Nutrients!$FC$8:$FC$228)+(IF($A$7=Nutrients!$B$8,Nutrients!$FC$8,Nutrients!$FC$9)*D$7)+(((IF($A$8=Nutrients!$B$79,Nutrients!$FC$79,(IF($A$8=Nutrients!$B$77,Nutrients!$FC$77,Nutrients!$FC$78)))))*D$8))</f>
        <v>0</v>
      </c>
      <c r="E338" s="21">
        <f>(SUMPRODUCT(E$9:E$229,Nutrients!$FC$8:$FC$228)+(IF($A$7=Nutrients!$B$8,Nutrients!$FC$8,Nutrients!$FC$9)*E$7)+(((IF($A$8=Nutrients!$B$79,Nutrients!$FC$79,(IF($A$8=Nutrients!$B$77,Nutrients!$FC$77,Nutrients!$FC$78)))))*E$8))</f>
        <v>0</v>
      </c>
      <c r="F338" s="21">
        <f>(SUMPRODUCT(F$9:F$229,Nutrients!$FC$8:$FC$228)+(IF($A$7=Nutrients!$B$8,Nutrients!$FC$8,Nutrients!$FC$9)*F$7)+(((IF($A$8=Nutrients!$B$79,Nutrients!$FC$79,(IF($A$8=Nutrients!$B$77,Nutrients!$FC$77,Nutrients!$FC$78)))))*F$8))</f>
        <v>0</v>
      </c>
      <c r="G338" s="21">
        <f>(SUMPRODUCT(G$9:G$229,Nutrients!$FC$8:$FC$228)+(IF($A$7=Nutrients!$B$8,Nutrients!$FC$8,Nutrients!$FC$9)*G$7)+(((IF($A$8=Nutrients!$B$79,Nutrients!$FC$79,(IF($A$8=Nutrients!$B$77,Nutrients!$FC$77,Nutrients!$FC$78)))))*G$8))</f>
        <v>0</v>
      </c>
      <c r="H338" s="226"/>
      <c r="I338" s="21">
        <f>(SUMPRODUCT(I$9:I$229,Nutrients!$FC$8:$FC$228)+(IF($A$7=Nutrients!$B$8,Nutrients!$FC$8,Nutrients!$FC$9)*I$7)+(((IF($A$8=Nutrients!$B$79,Nutrients!$FC$79,(IF($A$8=Nutrients!$B$77,Nutrients!$FC$77,Nutrients!$FC$78)))))*I$8))</f>
        <v>0</v>
      </c>
      <c r="J338" s="21">
        <f>(SUMPRODUCT(J$9:J$229,Nutrients!$FC$8:$FC$228)+(IF($A$7=Nutrients!$B$8,Nutrients!$FC$8,Nutrients!$FC$9)*J$7)+(((IF($A$8=Nutrients!$B$79,Nutrients!$FC$79,(IF($A$8=Nutrients!$B$77,Nutrients!$FC$77,Nutrients!$FC$78)))))*J$8))</f>
        <v>0</v>
      </c>
      <c r="K338" s="21">
        <f>(SUMPRODUCT(K$9:K$229,Nutrients!$FC$8:$FC$228)+(IF($A$7=Nutrients!$B$8,Nutrients!$FC$8,Nutrients!$FC$9)*K$7)+(((IF($A$8=Nutrients!$B$79,Nutrients!$FC$79,(IF($A$8=Nutrients!$B$77,Nutrients!$FC$77,Nutrients!$FC$78)))))*K$8))</f>
        <v>0</v>
      </c>
      <c r="L338" s="21">
        <f>(SUMPRODUCT(L$9:L$229,Nutrients!$FC$8:$FC$228)+(IF($A$7=Nutrients!$B$8,Nutrients!$FC$8,Nutrients!$FC$9)*L$7)+(((IF($A$8=Nutrients!$B$79,Nutrients!$FC$79,(IF($A$8=Nutrients!$B$77,Nutrients!$FC$77,Nutrients!$FC$78)))))*L$8))</f>
        <v>0</v>
      </c>
      <c r="M338" s="21">
        <f>(SUMPRODUCT(M$9:M$229,Nutrients!$FC$8:$FC$228)+(IF($A$7=Nutrients!$B$8,Nutrients!$FC$8,Nutrients!$FC$9)*M$7)+(((IF($A$8=Nutrients!$B$79,Nutrients!$FC$79,(IF($A$8=Nutrients!$B$77,Nutrients!$FC$77,Nutrients!$FC$78)))))*M$8))</f>
        <v>0</v>
      </c>
      <c r="N338" s="21">
        <f>(SUMPRODUCT(N$9:N$229,Nutrients!$FC$8:$FC$228)+(IF($A$7=Nutrients!$B$8,Nutrients!$FC$8,Nutrients!$FC$9)*N$7)+(((IF($A$8=Nutrients!$B$79,Nutrients!$FC$79,(IF($A$8=Nutrients!$B$77,Nutrients!$FC$77,Nutrients!$FC$78)))))*N$8))</f>
        <v>0</v>
      </c>
      <c r="O338" s="234"/>
      <c r="P338" s="21">
        <f>(SUMPRODUCT(P$9:P$229,Nutrients!$FC$8:$FC$228)+(IF($A$7=Nutrients!$B$8,Nutrients!$FC$8,Nutrients!$FC$9)*P$7)+(((IF($A$8=Nutrients!$B$79,Nutrients!$FC$79,(IF($A$8=Nutrients!$B$77,Nutrients!$FC$77,Nutrients!$FC$78)))))*P$8))</f>
        <v>0</v>
      </c>
      <c r="Q338" s="21">
        <f>(SUMPRODUCT(Q$9:Q$229,Nutrients!$FC$8:$FC$228)+(IF($A$7=Nutrients!$B$8,Nutrients!$FC$8,Nutrients!$FC$9)*Q$7)+(((IF($A$8=Nutrients!$B$79,Nutrients!$FC$79,(IF($A$8=Nutrients!$B$77,Nutrients!$FC$77,Nutrients!$FC$78)))))*Q$8))</f>
        <v>0</v>
      </c>
      <c r="R338" s="21">
        <f>(SUMPRODUCT(R$9:R$229,Nutrients!$FC$8:$FC$228)+(IF($A$7=Nutrients!$B$8,Nutrients!$FC$8,Nutrients!$FC$9)*R$7)+(((IF($A$8=Nutrients!$B$79,Nutrients!$FC$79,(IF($A$8=Nutrients!$B$77,Nutrients!$FC$77,Nutrients!$FC$78)))))*R$8))</f>
        <v>0</v>
      </c>
      <c r="S338" s="21">
        <f>(SUMPRODUCT(S$9:S$229,Nutrients!$FC$8:$FC$228)+(IF($A$7=Nutrients!$B$8,Nutrients!$FC$8,Nutrients!$FC$9)*S$7)+(((IF($A$8=Nutrients!$B$79,Nutrients!$FC$79,(IF($A$8=Nutrients!$B$77,Nutrients!$FC$77,Nutrients!$FC$78)))))*S$8))</f>
        <v>0</v>
      </c>
      <c r="T338" s="21">
        <f>(SUMPRODUCT(T$9:T$229,Nutrients!$FC$8:$FC$228)+(IF($A$7=Nutrients!$B$8,Nutrients!$FC$8,Nutrients!$FC$9)*T$7)+(((IF($A$8=Nutrients!$B$79,Nutrients!$FC$79,(IF($A$8=Nutrients!$B$77,Nutrients!$FC$77,Nutrients!$FC$78)))))*T$8))</f>
        <v>0</v>
      </c>
      <c r="U338" s="21">
        <f>(SUMPRODUCT(U$9:U$229,Nutrients!$FC$8:$FC$228)+(IF($A$7=Nutrients!$B$8,Nutrients!$FC$8,Nutrients!$FC$9)*U$7)+(((IF($A$8=Nutrients!$B$79,Nutrients!$FC$79,(IF($A$8=Nutrients!$B$77,Nutrients!$FC$77,Nutrients!$FC$78)))))*U$8))</f>
        <v>0</v>
      </c>
      <c r="W338" s="21">
        <f>(SUMPRODUCT(W$9:W$229,Nutrients!$FC$8:$FC$228)+(IF($A$7=Nutrients!$B$8,Nutrients!$FC$8,Nutrients!$FC$9)*W$7)+(((IF($A$8=Nutrients!$B$79,Nutrients!$FC$79,(IF($A$8=Nutrients!$B$77,Nutrients!$FC$77,Nutrients!$FC$78)))))*W$8))</f>
        <v>0</v>
      </c>
      <c r="X338" s="21">
        <f>(SUMPRODUCT(X$9:X$229,Nutrients!$FC$8:$FC$228)+(IF($A$7=Nutrients!$B$8,Nutrients!$FC$8,Nutrients!$FC$9)*X$7)+(((IF($A$8=Nutrients!$B$79,Nutrients!$FC$79,(IF($A$8=Nutrients!$B$77,Nutrients!$FC$77,Nutrients!$FC$78)))))*X$8))</f>
        <v>0</v>
      </c>
      <c r="Y338" s="21">
        <f>(SUMPRODUCT(Y$9:Y$229,Nutrients!$FC$8:$FC$228)+(IF($A$7=Nutrients!$B$8,Nutrients!$FC$8,Nutrients!$FC$9)*Y$7)+(((IF($A$8=Nutrients!$B$79,Nutrients!$FC$79,(IF($A$8=Nutrients!$B$77,Nutrients!$FC$77,Nutrients!$FC$78)))))*Y$8))</f>
        <v>0</v>
      </c>
      <c r="Z338" s="21">
        <f>(SUMPRODUCT(Z$9:Z$229,Nutrients!$FC$8:$FC$228)+(IF($A$7=Nutrients!$B$8,Nutrients!$FC$8,Nutrients!$FC$9)*Z$7)+(((IF($A$8=Nutrients!$B$79,Nutrients!$FC$79,(IF($A$8=Nutrients!$B$77,Nutrients!$FC$77,Nutrients!$FC$78)))))*Z$8))</f>
        <v>0</v>
      </c>
      <c r="AA338" s="21">
        <f>(SUMPRODUCT(AA$9:AA$229,Nutrients!$FC$8:$FC$228)+(IF($A$7=Nutrients!$B$8,Nutrients!$FC$8,Nutrients!$FC$9)*AA$7)+(((IF($A$8=Nutrients!$B$79,Nutrients!$FC$79,(IF($A$8=Nutrients!$B$77,Nutrients!$FC$77,Nutrients!$FC$78)))))*AA$8))</f>
        <v>0</v>
      </c>
      <c r="AB338" s="21">
        <f>(SUMPRODUCT(AB$9:AB$229,Nutrients!$FC$8:$FC$228)+(IF($A$7=Nutrients!$B$8,Nutrients!$FC$8,Nutrients!$FC$9)*AB$7)+(((IF($A$8=Nutrients!$B$79,Nutrients!$FC$79,(IF($A$8=Nutrients!$B$77,Nutrients!$FC$77,Nutrients!$FC$78)))))*AB$8))</f>
        <v>0</v>
      </c>
      <c r="AD338" s="21">
        <f>(SUMPRODUCT(AD$9:AD$229,Nutrients!$FC$8:$FC$228)+(IF($A$7=Nutrients!$B$8,Nutrients!$FC$8,Nutrients!$FC$9)*AD$7)+(((IF($A$8=Nutrients!$B$79,Nutrients!$FC$79,(IF($A$8=Nutrients!$B$77,Nutrients!$FC$77,Nutrients!$FC$78)))))*AD$8))</f>
        <v>0</v>
      </c>
      <c r="AE338" s="21">
        <f>(SUMPRODUCT(AE$9:AE$229,Nutrients!$FC$8:$FC$228)+(IF($A$7=Nutrients!$B$8,Nutrients!$FC$8,Nutrients!$FC$9)*AE$7)+(((IF($A$8=Nutrients!$B$79,Nutrients!$FC$79,(IF($A$8=Nutrients!$B$77,Nutrients!$FC$77,Nutrients!$FC$78)))))*AE$8))</f>
        <v>0</v>
      </c>
      <c r="AF338" s="21">
        <f>(SUMPRODUCT(AF$9:AF$229,Nutrients!$FC$8:$FC$228)+(IF($A$7=Nutrients!$B$8,Nutrients!$FC$8,Nutrients!$FC$9)*AF$7)+(((IF($A$8=Nutrients!$B$79,Nutrients!$FC$79,(IF($A$8=Nutrients!$B$77,Nutrients!$FC$77,Nutrients!$FC$78)))))*AF$8))</f>
        <v>0</v>
      </c>
      <c r="AG338" s="21">
        <f>(SUMPRODUCT(AG$9:AG$229,Nutrients!$FC$8:$FC$228)+(IF($A$7=Nutrients!$B$8,Nutrients!$FC$8,Nutrients!$FC$9)*AG$7)+(((IF($A$8=Nutrients!$B$79,Nutrients!$FC$79,(IF($A$8=Nutrients!$B$77,Nutrients!$FC$77,Nutrients!$FC$78)))))*AG$8))</f>
        <v>0</v>
      </c>
      <c r="AH338" s="21">
        <f>(SUMPRODUCT(AH$9:AH$229,Nutrients!$FC$8:$FC$228)+(IF($A$7=Nutrients!$B$8,Nutrients!$FC$8,Nutrients!$FC$9)*AH$7)+(((IF($A$8=Nutrients!$B$79,Nutrients!$FC$79,(IF($A$8=Nutrients!$B$77,Nutrients!$FC$77,Nutrients!$FC$78)))))*AH$8))</f>
        <v>0</v>
      </c>
      <c r="AI338" s="21">
        <f>(SUMPRODUCT(AI$9:AI$229,Nutrients!$FC$8:$FC$228)+(IF($A$7=Nutrients!$B$8,Nutrients!$FC$8,Nutrients!$FC$9)*AI$7)+(((IF($A$8=Nutrients!$B$79,Nutrients!$FC$79,(IF($A$8=Nutrients!$B$77,Nutrients!$FC$77,Nutrients!$FC$78)))))*AI$8))</f>
        <v>0</v>
      </c>
      <c r="AK338" s="21">
        <f>(SUMPRODUCT(AK$9:AK$229,Nutrients!$FC$8:$FC$228)+(IF($A$7=Nutrients!$B$8,Nutrients!$FC$8,Nutrients!$FC$9)*AK$7)+(((IF($A$8=Nutrients!$B$79,Nutrients!$FC$79,(IF($A$8=Nutrients!$B$77,Nutrients!$FC$77,Nutrients!$FC$78)))))*AK$8))</f>
        <v>0</v>
      </c>
      <c r="AL338" s="21">
        <f>(SUMPRODUCT(AL$9:AL$229,Nutrients!$FC$8:$FC$228)+(IF($A$7=Nutrients!$B$8,Nutrients!$FC$8,Nutrients!$FC$9)*AL$7)+(((IF($A$8=Nutrients!$B$79,Nutrients!$FC$79,(IF($A$8=Nutrients!$B$77,Nutrients!$FC$77,Nutrients!$FC$78)))))*AL$8))</f>
        <v>0</v>
      </c>
      <c r="AM338" s="21">
        <f>(SUMPRODUCT(AM$9:AM$229,Nutrients!$FC$8:$FC$228)+(IF($A$7=Nutrients!$B$8,Nutrients!$FC$8,Nutrients!$FC$9)*AM$7)+(((IF($A$8=Nutrients!$B$79,Nutrients!$FC$79,(IF($A$8=Nutrients!$B$77,Nutrients!$FC$77,Nutrients!$FC$78)))))*AM$8))</f>
        <v>0</v>
      </c>
      <c r="AN338" s="21">
        <f>(SUMPRODUCT(AN$9:AN$229,Nutrients!$FC$8:$FC$228)+(IF($A$7=Nutrients!$B$8,Nutrients!$FC$8,Nutrients!$FC$9)*AN$7)+(((IF($A$8=Nutrients!$B$79,Nutrients!$FC$79,(IF($A$8=Nutrients!$B$77,Nutrients!$FC$77,Nutrients!$FC$78)))))*AN$8))</f>
        <v>0</v>
      </c>
      <c r="AO338" s="21">
        <f>(SUMPRODUCT(AO$9:AO$229,Nutrients!$FC$8:$FC$228)+(IF($A$7=Nutrients!$B$8,Nutrients!$FC$8,Nutrients!$FC$9)*AO$7)+(((IF($A$8=Nutrients!$B$79,Nutrients!$FC$79,(IF($A$8=Nutrients!$B$77,Nutrients!$FC$77,Nutrients!$FC$78)))))*AO$8))</f>
        <v>0</v>
      </c>
      <c r="AP338" s="21">
        <f>(SUMPRODUCT(AP$9:AP$229,Nutrients!$FC$8:$FC$228)+(IF($A$7=Nutrients!$B$8,Nutrients!$FC$8,Nutrients!$FC$9)*AP$7)+(((IF($A$8=Nutrients!$B$79,Nutrients!$FC$79,(IF($A$8=Nutrients!$B$77,Nutrients!$FC$77,Nutrients!$FC$78)))))*AP$8))</f>
        <v>0</v>
      </c>
      <c r="AR338" s="21">
        <f>(SUMPRODUCT(AR$9:AR$229,Nutrients!$FC$8:$FC$228)+(IF($A$7=Nutrients!$B$8,Nutrients!$FC$8,Nutrients!$FC$9)*AR$7)+(((IF($A$8=Nutrients!$B$79,Nutrients!$FC$79,(IF($A$8=Nutrients!$B$77,Nutrients!$FC$77,Nutrients!$FC$78)))))*AR$8))</f>
        <v>0</v>
      </c>
      <c r="AS338" s="21">
        <f>(SUMPRODUCT(AS$9:AS$229,Nutrients!$FC$8:$FC$228)+(IF($A$7=Nutrients!$B$8,Nutrients!$FC$8,Nutrients!$FC$9)*AS$7)+(((IF($A$8=Nutrients!$B$79,Nutrients!$FC$79,(IF($A$8=Nutrients!$B$77,Nutrients!$FC$77,Nutrients!$FC$78)))))*AS$8))</f>
        <v>0</v>
      </c>
      <c r="AT338" s="21">
        <f>(SUMPRODUCT(AT$9:AT$229,Nutrients!$FC$8:$FC$228)+(IF($A$7=Nutrients!$B$8,Nutrients!$FC$8,Nutrients!$FC$9)*AT$7)+(((IF($A$8=Nutrients!$B$79,Nutrients!$FC$79,(IF($A$8=Nutrients!$B$77,Nutrients!$FC$77,Nutrients!$FC$78)))))*AT$8))</f>
        <v>0</v>
      </c>
      <c r="AU338" s="21">
        <f>(SUMPRODUCT(AU$9:AU$229,Nutrients!$FC$8:$FC$228)+(IF($A$7=Nutrients!$B$8,Nutrients!$FC$8,Nutrients!$FC$9)*AU$7)+(((IF($A$8=Nutrients!$B$79,Nutrients!$FC$79,(IF($A$8=Nutrients!$B$77,Nutrients!$FC$77,Nutrients!$FC$78)))))*AU$8))</f>
        <v>0</v>
      </c>
      <c r="AV338" s="21">
        <f>(SUMPRODUCT(AV$9:AV$229,Nutrients!$FC$8:$FC$228)+(IF($A$7=Nutrients!$B$8,Nutrients!$FC$8,Nutrients!$FC$9)*AV$7)+(((IF($A$8=Nutrients!$B$79,Nutrients!$FC$79,(IF($A$8=Nutrients!$B$77,Nutrients!$FC$77,Nutrients!$FC$78)))))*AV$8))</f>
        <v>0</v>
      </c>
      <c r="AW338" s="21">
        <f>(SUMPRODUCT(AW$9:AW$229,Nutrients!$FC$8:$FC$228)+(IF($A$7=Nutrients!$B$8,Nutrients!$FC$8,Nutrients!$FC$9)*AW$7)+(((IF($A$8=Nutrients!$B$79,Nutrients!$FC$79,(IF($A$8=Nutrients!$B$77,Nutrients!$FC$77,Nutrients!$FC$78)))))*AW$8))</f>
        <v>0</v>
      </c>
    </row>
    <row r="339" spans="1:52" x14ac:dyDescent="0.25">
      <c r="A339" s="34" t="s">
        <v>132</v>
      </c>
      <c r="B339" s="21">
        <f>(SUMPRODUCT(B$9:B$229,Nutrients!$FD$8:$FD$228)+(IF($A$7=Nutrients!$B$8,Nutrients!$FD$8,Nutrients!$FD$9)*B$7)+(((IF($A$8=Nutrients!$B$79,Nutrients!$FD$79,(IF($A$8=Nutrients!$B$77,Nutrients!$FD$77,Nutrients!$FD$78)))))*B$8))</f>
        <v>0</v>
      </c>
      <c r="C339" s="21">
        <f>(SUMPRODUCT(C$9:C$229,Nutrients!$FD$8:$FD$228)+(IF($A$7=Nutrients!$B$8,Nutrients!$FD$8,Nutrients!$FD$9)*C$7)+(((IF($A$8=Nutrients!$B$79,Nutrients!$FD$79,(IF($A$8=Nutrients!$B$77,Nutrients!$FD$77,Nutrients!$FD$78)))))*C$8))</f>
        <v>0</v>
      </c>
      <c r="D339" s="21">
        <f>(SUMPRODUCT(D$9:D$229,Nutrients!$FD$8:$FD$228)+(IF($A$7=Nutrients!$B$8,Nutrients!$FD$8,Nutrients!$FD$9)*D$7)+(((IF($A$8=Nutrients!$B$79,Nutrients!$FD$79,(IF($A$8=Nutrients!$B$77,Nutrients!$FD$77,Nutrients!$FD$78)))))*D$8))</f>
        <v>0</v>
      </c>
      <c r="E339" s="21">
        <f>(SUMPRODUCT(E$9:E$229,Nutrients!$FD$8:$FD$228)+(IF($A$7=Nutrients!$B$8,Nutrients!$FD$8,Nutrients!$FD$9)*E$7)+(((IF($A$8=Nutrients!$B$79,Nutrients!$FD$79,(IF($A$8=Nutrients!$B$77,Nutrients!$FD$77,Nutrients!$FD$78)))))*E$8))</f>
        <v>0</v>
      </c>
      <c r="F339" s="21">
        <f>(SUMPRODUCT(F$9:F$229,Nutrients!$FD$8:$FD$228)+(IF($A$7=Nutrients!$B$8,Nutrients!$FD$8,Nutrients!$FD$9)*F$7)+(((IF($A$8=Nutrients!$B$79,Nutrients!$FD$79,(IF($A$8=Nutrients!$B$77,Nutrients!$FD$77,Nutrients!$FD$78)))))*F$8))</f>
        <v>0</v>
      </c>
      <c r="G339" s="21">
        <f>(SUMPRODUCT(G$9:G$229,Nutrients!$FD$8:$FD$228)+(IF($A$7=Nutrients!$B$8,Nutrients!$FD$8,Nutrients!$FD$9)*G$7)+(((IF($A$8=Nutrients!$B$79,Nutrients!$FD$79,(IF($A$8=Nutrients!$B$77,Nutrients!$FD$77,Nutrients!$FD$78)))))*G$8))</f>
        <v>0</v>
      </c>
      <c r="H339" s="226"/>
      <c r="I339" s="21">
        <f>(SUMPRODUCT(I$9:I$229,Nutrients!$FD$8:$FD$228)+(IF($A$7=Nutrients!$B$8,Nutrients!$FD$8,Nutrients!$FD$9)*I$7)+(((IF($A$8=Nutrients!$B$79,Nutrients!$FD$79,(IF($A$8=Nutrients!$B$77,Nutrients!$FD$77,Nutrients!$FD$78)))))*I$8))</f>
        <v>0</v>
      </c>
      <c r="J339" s="21">
        <f>(SUMPRODUCT(J$9:J$229,Nutrients!$FD$8:$FD$228)+(IF($A$7=Nutrients!$B$8,Nutrients!$FD$8,Nutrients!$FD$9)*J$7)+(((IF($A$8=Nutrients!$B$79,Nutrients!$FD$79,(IF($A$8=Nutrients!$B$77,Nutrients!$FD$77,Nutrients!$FD$78)))))*J$8))</f>
        <v>0</v>
      </c>
      <c r="K339" s="21">
        <f>(SUMPRODUCT(K$9:K$229,Nutrients!$FD$8:$FD$228)+(IF($A$7=Nutrients!$B$8,Nutrients!$FD$8,Nutrients!$FD$9)*K$7)+(((IF($A$8=Nutrients!$B$79,Nutrients!$FD$79,(IF($A$8=Nutrients!$B$77,Nutrients!$FD$77,Nutrients!$FD$78)))))*K$8))</f>
        <v>0</v>
      </c>
      <c r="L339" s="21">
        <f>(SUMPRODUCT(L$9:L$229,Nutrients!$FD$8:$FD$228)+(IF($A$7=Nutrients!$B$8,Nutrients!$FD$8,Nutrients!$FD$9)*L$7)+(((IF($A$8=Nutrients!$B$79,Nutrients!$FD$79,(IF($A$8=Nutrients!$B$77,Nutrients!$FD$77,Nutrients!$FD$78)))))*L$8))</f>
        <v>0</v>
      </c>
      <c r="M339" s="21">
        <f>(SUMPRODUCT(M$9:M$229,Nutrients!$FD$8:$FD$228)+(IF($A$7=Nutrients!$B$8,Nutrients!$FD$8,Nutrients!$FD$9)*M$7)+(((IF($A$8=Nutrients!$B$79,Nutrients!$FD$79,(IF($A$8=Nutrients!$B$77,Nutrients!$FD$77,Nutrients!$FD$78)))))*M$8))</f>
        <v>0</v>
      </c>
      <c r="N339" s="21">
        <f>(SUMPRODUCT(N$9:N$229,Nutrients!$FD$8:$FD$228)+(IF($A$7=Nutrients!$B$8,Nutrients!$FD$8,Nutrients!$FD$9)*N$7)+(((IF($A$8=Nutrients!$B$79,Nutrients!$FD$79,(IF($A$8=Nutrients!$B$77,Nutrients!$FD$77,Nutrients!$FD$78)))))*N$8))</f>
        <v>0</v>
      </c>
      <c r="O339" s="234"/>
      <c r="P339" s="21">
        <f>(SUMPRODUCT(P$9:P$229,Nutrients!$FD$8:$FD$228)+(IF($A$7=Nutrients!$B$8,Nutrients!$FD$8,Nutrients!$FD$9)*P$7)+(((IF($A$8=Nutrients!$B$79,Nutrients!$FD$79,(IF($A$8=Nutrients!$B$77,Nutrients!$FD$77,Nutrients!$FD$78)))))*P$8))</f>
        <v>0</v>
      </c>
      <c r="Q339" s="21">
        <f>(SUMPRODUCT(Q$9:Q$229,Nutrients!$FD$8:$FD$228)+(IF($A$7=Nutrients!$B$8,Nutrients!$FD$8,Nutrients!$FD$9)*Q$7)+(((IF($A$8=Nutrients!$B$79,Nutrients!$FD$79,(IF($A$8=Nutrients!$B$77,Nutrients!$FD$77,Nutrients!$FD$78)))))*Q$8))</f>
        <v>0</v>
      </c>
      <c r="R339" s="21">
        <f>(SUMPRODUCT(R$9:R$229,Nutrients!$FD$8:$FD$228)+(IF($A$7=Nutrients!$B$8,Nutrients!$FD$8,Nutrients!$FD$9)*R$7)+(((IF($A$8=Nutrients!$B$79,Nutrients!$FD$79,(IF($A$8=Nutrients!$B$77,Nutrients!$FD$77,Nutrients!$FD$78)))))*R$8))</f>
        <v>0</v>
      </c>
      <c r="S339" s="21">
        <f>(SUMPRODUCT(S$9:S$229,Nutrients!$FD$8:$FD$228)+(IF($A$7=Nutrients!$B$8,Nutrients!$FD$8,Nutrients!$FD$9)*S$7)+(((IF($A$8=Nutrients!$B$79,Nutrients!$FD$79,(IF($A$8=Nutrients!$B$77,Nutrients!$FD$77,Nutrients!$FD$78)))))*S$8))</f>
        <v>0</v>
      </c>
      <c r="T339" s="21">
        <f>(SUMPRODUCT(T$9:T$229,Nutrients!$FD$8:$FD$228)+(IF($A$7=Nutrients!$B$8,Nutrients!$FD$8,Nutrients!$FD$9)*T$7)+(((IF($A$8=Nutrients!$B$79,Nutrients!$FD$79,(IF($A$8=Nutrients!$B$77,Nutrients!$FD$77,Nutrients!$FD$78)))))*T$8))</f>
        <v>0</v>
      </c>
      <c r="U339" s="21">
        <f>(SUMPRODUCT(U$9:U$229,Nutrients!$FD$8:$FD$228)+(IF($A$7=Nutrients!$B$8,Nutrients!$FD$8,Nutrients!$FD$9)*U$7)+(((IF($A$8=Nutrients!$B$79,Nutrients!$FD$79,(IF($A$8=Nutrients!$B$77,Nutrients!$FD$77,Nutrients!$FD$78)))))*U$8))</f>
        <v>0</v>
      </c>
      <c r="W339" s="21">
        <f>(SUMPRODUCT(W$9:W$229,Nutrients!$FD$8:$FD$228)+(IF($A$7=Nutrients!$B$8,Nutrients!$FD$8,Nutrients!$FD$9)*W$7)+(((IF($A$8=Nutrients!$B$79,Nutrients!$FD$79,(IF($A$8=Nutrients!$B$77,Nutrients!$FD$77,Nutrients!$FD$78)))))*W$8))</f>
        <v>0</v>
      </c>
      <c r="X339" s="21">
        <f>(SUMPRODUCT(X$9:X$229,Nutrients!$FD$8:$FD$228)+(IF($A$7=Nutrients!$B$8,Nutrients!$FD$8,Nutrients!$FD$9)*X$7)+(((IF($A$8=Nutrients!$B$79,Nutrients!$FD$79,(IF($A$8=Nutrients!$B$77,Nutrients!$FD$77,Nutrients!$FD$78)))))*X$8))</f>
        <v>0</v>
      </c>
      <c r="Y339" s="21">
        <f>(SUMPRODUCT(Y$9:Y$229,Nutrients!$FD$8:$FD$228)+(IF($A$7=Nutrients!$B$8,Nutrients!$FD$8,Nutrients!$FD$9)*Y$7)+(((IF($A$8=Nutrients!$B$79,Nutrients!$FD$79,(IF($A$8=Nutrients!$B$77,Nutrients!$FD$77,Nutrients!$FD$78)))))*Y$8))</f>
        <v>0</v>
      </c>
      <c r="Z339" s="21">
        <f>(SUMPRODUCT(Z$9:Z$229,Nutrients!$FD$8:$FD$228)+(IF($A$7=Nutrients!$B$8,Nutrients!$FD$8,Nutrients!$FD$9)*Z$7)+(((IF($A$8=Nutrients!$B$79,Nutrients!$FD$79,(IF($A$8=Nutrients!$B$77,Nutrients!$FD$77,Nutrients!$FD$78)))))*Z$8))</f>
        <v>0</v>
      </c>
      <c r="AA339" s="21">
        <f>(SUMPRODUCT(AA$9:AA$229,Nutrients!$FD$8:$FD$228)+(IF($A$7=Nutrients!$B$8,Nutrients!$FD$8,Nutrients!$FD$9)*AA$7)+(((IF($A$8=Nutrients!$B$79,Nutrients!$FD$79,(IF($A$8=Nutrients!$B$77,Nutrients!$FD$77,Nutrients!$FD$78)))))*AA$8))</f>
        <v>0</v>
      </c>
      <c r="AB339" s="21">
        <f>(SUMPRODUCT(AB$9:AB$229,Nutrients!$FD$8:$FD$228)+(IF($A$7=Nutrients!$B$8,Nutrients!$FD$8,Nutrients!$FD$9)*AB$7)+(((IF($A$8=Nutrients!$B$79,Nutrients!$FD$79,(IF($A$8=Nutrients!$B$77,Nutrients!$FD$77,Nutrients!$FD$78)))))*AB$8))</f>
        <v>0</v>
      </c>
      <c r="AD339" s="21">
        <f>(SUMPRODUCT(AD$9:AD$229,Nutrients!$FD$8:$FD$228)+(IF($A$7=Nutrients!$B$8,Nutrients!$FD$8,Nutrients!$FD$9)*AD$7)+(((IF($A$8=Nutrients!$B$79,Nutrients!$FD$79,(IF($A$8=Nutrients!$B$77,Nutrients!$FD$77,Nutrients!$FD$78)))))*AD$8))</f>
        <v>0</v>
      </c>
      <c r="AE339" s="21">
        <f>(SUMPRODUCT(AE$9:AE$229,Nutrients!$FD$8:$FD$228)+(IF($A$7=Nutrients!$B$8,Nutrients!$FD$8,Nutrients!$FD$9)*AE$7)+(((IF($A$8=Nutrients!$B$79,Nutrients!$FD$79,(IF($A$8=Nutrients!$B$77,Nutrients!$FD$77,Nutrients!$FD$78)))))*AE$8))</f>
        <v>0</v>
      </c>
      <c r="AF339" s="21">
        <f>(SUMPRODUCT(AF$9:AF$229,Nutrients!$FD$8:$FD$228)+(IF($A$7=Nutrients!$B$8,Nutrients!$FD$8,Nutrients!$FD$9)*AF$7)+(((IF($A$8=Nutrients!$B$79,Nutrients!$FD$79,(IF($A$8=Nutrients!$B$77,Nutrients!$FD$77,Nutrients!$FD$78)))))*AF$8))</f>
        <v>0</v>
      </c>
      <c r="AG339" s="21">
        <f>(SUMPRODUCT(AG$9:AG$229,Nutrients!$FD$8:$FD$228)+(IF($A$7=Nutrients!$B$8,Nutrients!$FD$8,Nutrients!$FD$9)*AG$7)+(((IF($A$8=Nutrients!$B$79,Nutrients!$FD$79,(IF($A$8=Nutrients!$B$77,Nutrients!$FD$77,Nutrients!$FD$78)))))*AG$8))</f>
        <v>0</v>
      </c>
      <c r="AH339" s="21">
        <f>(SUMPRODUCT(AH$9:AH$229,Nutrients!$FD$8:$FD$228)+(IF($A$7=Nutrients!$B$8,Nutrients!$FD$8,Nutrients!$FD$9)*AH$7)+(((IF($A$8=Nutrients!$B$79,Nutrients!$FD$79,(IF($A$8=Nutrients!$B$77,Nutrients!$FD$77,Nutrients!$FD$78)))))*AH$8))</f>
        <v>0</v>
      </c>
      <c r="AI339" s="21">
        <f>(SUMPRODUCT(AI$9:AI$229,Nutrients!$FD$8:$FD$228)+(IF($A$7=Nutrients!$B$8,Nutrients!$FD$8,Nutrients!$FD$9)*AI$7)+(((IF($A$8=Nutrients!$B$79,Nutrients!$FD$79,(IF($A$8=Nutrients!$B$77,Nutrients!$FD$77,Nutrients!$FD$78)))))*AI$8))</f>
        <v>0</v>
      </c>
      <c r="AK339" s="21">
        <f>(SUMPRODUCT(AK$9:AK$229,Nutrients!$FD$8:$FD$228)+(IF($A$7=Nutrients!$B$8,Nutrients!$FD$8,Nutrients!$FD$9)*AK$7)+(((IF($A$8=Nutrients!$B$79,Nutrients!$FD$79,(IF($A$8=Nutrients!$B$77,Nutrients!$FD$77,Nutrients!$FD$78)))))*AK$8))</f>
        <v>0</v>
      </c>
      <c r="AL339" s="21">
        <f>(SUMPRODUCT(AL$9:AL$229,Nutrients!$FD$8:$FD$228)+(IF($A$7=Nutrients!$B$8,Nutrients!$FD$8,Nutrients!$FD$9)*AL$7)+(((IF($A$8=Nutrients!$B$79,Nutrients!$FD$79,(IF($A$8=Nutrients!$B$77,Nutrients!$FD$77,Nutrients!$FD$78)))))*AL$8))</f>
        <v>0</v>
      </c>
      <c r="AM339" s="21">
        <f>(SUMPRODUCT(AM$9:AM$229,Nutrients!$FD$8:$FD$228)+(IF($A$7=Nutrients!$B$8,Nutrients!$FD$8,Nutrients!$FD$9)*AM$7)+(((IF($A$8=Nutrients!$B$79,Nutrients!$FD$79,(IF($A$8=Nutrients!$B$77,Nutrients!$FD$77,Nutrients!$FD$78)))))*AM$8))</f>
        <v>0</v>
      </c>
      <c r="AN339" s="21">
        <f>(SUMPRODUCT(AN$9:AN$229,Nutrients!$FD$8:$FD$228)+(IF($A$7=Nutrients!$B$8,Nutrients!$FD$8,Nutrients!$FD$9)*AN$7)+(((IF($A$8=Nutrients!$B$79,Nutrients!$FD$79,(IF($A$8=Nutrients!$B$77,Nutrients!$FD$77,Nutrients!$FD$78)))))*AN$8))</f>
        <v>0</v>
      </c>
      <c r="AO339" s="21">
        <f>(SUMPRODUCT(AO$9:AO$229,Nutrients!$FD$8:$FD$228)+(IF($A$7=Nutrients!$B$8,Nutrients!$FD$8,Nutrients!$FD$9)*AO$7)+(((IF($A$8=Nutrients!$B$79,Nutrients!$FD$79,(IF($A$8=Nutrients!$B$77,Nutrients!$FD$77,Nutrients!$FD$78)))))*AO$8))</f>
        <v>0</v>
      </c>
      <c r="AP339" s="21">
        <f>(SUMPRODUCT(AP$9:AP$229,Nutrients!$FD$8:$FD$228)+(IF($A$7=Nutrients!$B$8,Nutrients!$FD$8,Nutrients!$FD$9)*AP$7)+(((IF($A$8=Nutrients!$B$79,Nutrients!$FD$79,(IF($A$8=Nutrients!$B$77,Nutrients!$FD$77,Nutrients!$FD$78)))))*AP$8))</f>
        <v>0</v>
      </c>
      <c r="AR339" s="21">
        <f>(SUMPRODUCT(AR$9:AR$229,Nutrients!$FD$8:$FD$228)+(IF($A$7=Nutrients!$B$8,Nutrients!$FD$8,Nutrients!$FD$9)*AR$7)+(((IF($A$8=Nutrients!$B$79,Nutrients!$FD$79,(IF($A$8=Nutrients!$B$77,Nutrients!$FD$77,Nutrients!$FD$78)))))*AR$8))</f>
        <v>0</v>
      </c>
      <c r="AS339" s="21">
        <f>(SUMPRODUCT(AS$9:AS$229,Nutrients!$FD$8:$FD$228)+(IF($A$7=Nutrients!$B$8,Nutrients!$FD$8,Nutrients!$FD$9)*AS$7)+(((IF($A$8=Nutrients!$B$79,Nutrients!$FD$79,(IF($A$8=Nutrients!$B$77,Nutrients!$FD$77,Nutrients!$FD$78)))))*AS$8))</f>
        <v>0</v>
      </c>
      <c r="AT339" s="21">
        <f>(SUMPRODUCT(AT$9:AT$229,Nutrients!$FD$8:$FD$228)+(IF($A$7=Nutrients!$B$8,Nutrients!$FD$8,Nutrients!$FD$9)*AT$7)+(((IF($A$8=Nutrients!$B$79,Nutrients!$FD$79,(IF($A$8=Nutrients!$B$77,Nutrients!$FD$77,Nutrients!$FD$78)))))*AT$8))</f>
        <v>0</v>
      </c>
      <c r="AU339" s="21">
        <f>(SUMPRODUCT(AU$9:AU$229,Nutrients!$FD$8:$FD$228)+(IF($A$7=Nutrients!$B$8,Nutrients!$FD$8,Nutrients!$FD$9)*AU$7)+(((IF($A$8=Nutrients!$B$79,Nutrients!$FD$79,(IF($A$8=Nutrients!$B$77,Nutrients!$FD$77,Nutrients!$FD$78)))))*AU$8))</f>
        <v>0</v>
      </c>
      <c r="AV339" s="21">
        <f>(SUMPRODUCT(AV$9:AV$229,Nutrients!$FD$8:$FD$228)+(IF($A$7=Nutrients!$B$8,Nutrients!$FD$8,Nutrients!$FD$9)*AV$7)+(((IF($A$8=Nutrients!$B$79,Nutrients!$FD$79,(IF($A$8=Nutrients!$B$77,Nutrients!$FD$77,Nutrients!$FD$78)))))*AV$8))</f>
        <v>0</v>
      </c>
      <c r="AW339" s="21">
        <f>(SUMPRODUCT(AW$9:AW$229,Nutrients!$FD$8:$FD$228)+(IF($A$7=Nutrients!$B$8,Nutrients!$FD$8,Nutrients!$FD$9)*AW$7)+(((IF($A$8=Nutrients!$B$79,Nutrients!$FD$79,(IF($A$8=Nutrients!$B$77,Nutrients!$FD$77,Nutrients!$FD$78)))))*AW$8))</f>
        <v>0</v>
      </c>
    </row>
    <row r="340" spans="1:52" x14ac:dyDescent="0.25">
      <c r="A340" s="34" t="s">
        <v>133</v>
      </c>
      <c r="B340" s="21">
        <f>(SUMPRODUCT(B$9:B$229,Nutrients!$FE$8:$FE$228)+(IF($A$7=Nutrients!$B$8,Nutrients!$FE$8,Nutrients!$FE$9)*B$7)+(((IF($A$8=Nutrients!$B$79,Nutrients!$FE$79,(IF($A$8=Nutrients!$B$77,Nutrients!$FE$77,Nutrients!$FE$78)))))*B$8))</f>
        <v>0</v>
      </c>
      <c r="C340" s="21">
        <f>(SUMPRODUCT(C$9:C$229,Nutrients!$FE$8:$FE$228)+(IF($A$7=Nutrients!$B$8,Nutrients!$FE$8,Nutrients!$FE$9)*C$7)+(((IF($A$8=Nutrients!$B$79,Nutrients!$FE$79,(IF($A$8=Nutrients!$B$77,Nutrients!$FE$77,Nutrients!$FE$78)))))*C$8))</f>
        <v>0</v>
      </c>
      <c r="D340" s="21">
        <f>(SUMPRODUCT(D$9:D$229,Nutrients!$FE$8:$FE$228)+(IF($A$7=Nutrients!$B$8,Nutrients!$FE$8,Nutrients!$FE$9)*D$7)+(((IF($A$8=Nutrients!$B$79,Nutrients!$FE$79,(IF($A$8=Nutrients!$B$77,Nutrients!$FE$77,Nutrients!$FE$78)))))*D$8))</f>
        <v>0</v>
      </c>
      <c r="E340" s="21">
        <f>(SUMPRODUCT(E$9:E$229,Nutrients!$FE$8:$FE$228)+(IF($A$7=Nutrients!$B$8,Nutrients!$FE$8,Nutrients!$FE$9)*E$7)+(((IF($A$8=Nutrients!$B$79,Nutrients!$FE$79,(IF($A$8=Nutrients!$B$77,Nutrients!$FE$77,Nutrients!$FE$78)))))*E$8))</f>
        <v>0</v>
      </c>
      <c r="F340" s="21">
        <f>(SUMPRODUCT(F$9:F$229,Nutrients!$FE$8:$FE$228)+(IF($A$7=Nutrients!$B$8,Nutrients!$FE$8,Nutrients!$FE$9)*F$7)+(((IF($A$8=Nutrients!$B$79,Nutrients!$FE$79,(IF($A$8=Nutrients!$B$77,Nutrients!$FE$77,Nutrients!$FE$78)))))*F$8))</f>
        <v>0</v>
      </c>
      <c r="G340" s="21">
        <f>(SUMPRODUCT(G$9:G$229,Nutrients!$FE$8:$FE$228)+(IF($A$7=Nutrients!$B$8,Nutrients!$FE$8,Nutrients!$FE$9)*G$7)+(((IF($A$8=Nutrients!$B$79,Nutrients!$FE$79,(IF($A$8=Nutrients!$B$77,Nutrients!$FE$77,Nutrients!$FE$78)))))*G$8))</f>
        <v>0</v>
      </c>
      <c r="H340" s="226"/>
      <c r="I340" s="21">
        <f>(SUMPRODUCT(I$9:I$229,Nutrients!$FE$8:$FE$228)+(IF($A$7=Nutrients!$B$8,Nutrients!$FE$8,Nutrients!$FE$9)*I$7)+(((IF($A$8=Nutrients!$B$79,Nutrients!$FE$79,(IF($A$8=Nutrients!$B$77,Nutrients!$FE$77,Nutrients!$FE$78)))))*I$8))</f>
        <v>0</v>
      </c>
      <c r="J340" s="21">
        <f>(SUMPRODUCT(J$9:J$229,Nutrients!$FE$8:$FE$228)+(IF($A$7=Nutrients!$B$8,Nutrients!$FE$8,Nutrients!$FE$9)*J$7)+(((IF($A$8=Nutrients!$B$79,Nutrients!$FE$79,(IF($A$8=Nutrients!$B$77,Nutrients!$FE$77,Nutrients!$FE$78)))))*J$8))</f>
        <v>0</v>
      </c>
      <c r="K340" s="21">
        <f>(SUMPRODUCT(K$9:K$229,Nutrients!$FE$8:$FE$228)+(IF($A$7=Nutrients!$B$8,Nutrients!$FE$8,Nutrients!$FE$9)*K$7)+(((IF($A$8=Nutrients!$B$79,Nutrients!$FE$79,(IF($A$8=Nutrients!$B$77,Nutrients!$FE$77,Nutrients!$FE$78)))))*K$8))</f>
        <v>0</v>
      </c>
      <c r="L340" s="21">
        <f>(SUMPRODUCT(L$9:L$229,Nutrients!$FE$8:$FE$228)+(IF($A$7=Nutrients!$B$8,Nutrients!$FE$8,Nutrients!$FE$9)*L$7)+(((IF($A$8=Nutrients!$B$79,Nutrients!$FE$79,(IF($A$8=Nutrients!$B$77,Nutrients!$FE$77,Nutrients!$FE$78)))))*L$8))</f>
        <v>0</v>
      </c>
      <c r="M340" s="21">
        <f>(SUMPRODUCT(M$9:M$229,Nutrients!$FE$8:$FE$228)+(IF($A$7=Nutrients!$B$8,Nutrients!$FE$8,Nutrients!$FE$9)*M$7)+(((IF($A$8=Nutrients!$B$79,Nutrients!$FE$79,(IF($A$8=Nutrients!$B$77,Nutrients!$FE$77,Nutrients!$FE$78)))))*M$8))</f>
        <v>0</v>
      </c>
      <c r="N340" s="21">
        <f>(SUMPRODUCT(N$9:N$229,Nutrients!$FE$8:$FE$228)+(IF($A$7=Nutrients!$B$8,Nutrients!$FE$8,Nutrients!$FE$9)*N$7)+(((IF($A$8=Nutrients!$B$79,Nutrients!$FE$79,(IF($A$8=Nutrients!$B$77,Nutrients!$FE$77,Nutrients!$FE$78)))))*N$8))</f>
        <v>0</v>
      </c>
      <c r="O340" s="234"/>
      <c r="P340" s="21">
        <f>(SUMPRODUCT(P$9:P$229,Nutrients!$FE$8:$FE$228)+(IF($A$7=Nutrients!$B$8,Nutrients!$FE$8,Nutrients!$FE$9)*P$7)+(((IF($A$8=Nutrients!$B$79,Nutrients!$FE$79,(IF($A$8=Nutrients!$B$77,Nutrients!$FE$77,Nutrients!$FE$78)))))*P$8))</f>
        <v>0</v>
      </c>
      <c r="Q340" s="21">
        <f>(SUMPRODUCT(Q$9:Q$229,Nutrients!$FE$8:$FE$228)+(IF($A$7=Nutrients!$B$8,Nutrients!$FE$8,Nutrients!$FE$9)*Q$7)+(((IF($A$8=Nutrients!$B$79,Nutrients!$FE$79,(IF($A$8=Nutrients!$B$77,Nutrients!$FE$77,Nutrients!$FE$78)))))*Q$8))</f>
        <v>0</v>
      </c>
      <c r="R340" s="21">
        <f>(SUMPRODUCT(R$9:R$229,Nutrients!$FE$8:$FE$228)+(IF($A$7=Nutrients!$B$8,Nutrients!$FE$8,Nutrients!$FE$9)*R$7)+(((IF($A$8=Nutrients!$B$79,Nutrients!$FE$79,(IF($A$8=Nutrients!$B$77,Nutrients!$FE$77,Nutrients!$FE$78)))))*R$8))</f>
        <v>0</v>
      </c>
      <c r="S340" s="21">
        <f>(SUMPRODUCT(S$9:S$229,Nutrients!$FE$8:$FE$228)+(IF($A$7=Nutrients!$B$8,Nutrients!$FE$8,Nutrients!$FE$9)*S$7)+(((IF($A$8=Nutrients!$B$79,Nutrients!$FE$79,(IF($A$8=Nutrients!$B$77,Nutrients!$FE$77,Nutrients!$FE$78)))))*S$8))</f>
        <v>0</v>
      </c>
      <c r="T340" s="21">
        <f>(SUMPRODUCT(T$9:T$229,Nutrients!$FE$8:$FE$228)+(IF($A$7=Nutrients!$B$8,Nutrients!$FE$8,Nutrients!$FE$9)*T$7)+(((IF($A$8=Nutrients!$B$79,Nutrients!$FE$79,(IF($A$8=Nutrients!$B$77,Nutrients!$FE$77,Nutrients!$FE$78)))))*T$8))</f>
        <v>0</v>
      </c>
      <c r="U340" s="21">
        <f>(SUMPRODUCT(U$9:U$229,Nutrients!$FE$8:$FE$228)+(IF($A$7=Nutrients!$B$8,Nutrients!$FE$8,Nutrients!$FE$9)*U$7)+(((IF($A$8=Nutrients!$B$79,Nutrients!$FE$79,(IF($A$8=Nutrients!$B$77,Nutrients!$FE$77,Nutrients!$FE$78)))))*U$8))</f>
        <v>0</v>
      </c>
      <c r="W340" s="21">
        <f>(SUMPRODUCT(W$9:W$229,Nutrients!$FE$8:$FE$228)+(IF($A$7=Nutrients!$B$8,Nutrients!$FE$8,Nutrients!$FE$9)*W$7)+(((IF($A$8=Nutrients!$B$79,Nutrients!$FE$79,(IF($A$8=Nutrients!$B$77,Nutrients!$FE$77,Nutrients!$FE$78)))))*W$8))</f>
        <v>0</v>
      </c>
      <c r="X340" s="21">
        <f>(SUMPRODUCT(X$9:X$229,Nutrients!$FE$8:$FE$228)+(IF($A$7=Nutrients!$B$8,Nutrients!$FE$8,Nutrients!$FE$9)*X$7)+(((IF($A$8=Nutrients!$B$79,Nutrients!$FE$79,(IF($A$8=Nutrients!$B$77,Nutrients!$FE$77,Nutrients!$FE$78)))))*X$8))</f>
        <v>0</v>
      </c>
      <c r="Y340" s="21">
        <f>(SUMPRODUCT(Y$9:Y$229,Nutrients!$FE$8:$FE$228)+(IF($A$7=Nutrients!$B$8,Nutrients!$FE$8,Nutrients!$FE$9)*Y$7)+(((IF($A$8=Nutrients!$B$79,Nutrients!$FE$79,(IF($A$8=Nutrients!$B$77,Nutrients!$FE$77,Nutrients!$FE$78)))))*Y$8))</f>
        <v>0</v>
      </c>
      <c r="Z340" s="21">
        <f>(SUMPRODUCT(Z$9:Z$229,Nutrients!$FE$8:$FE$228)+(IF($A$7=Nutrients!$B$8,Nutrients!$FE$8,Nutrients!$FE$9)*Z$7)+(((IF($A$8=Nutrients!$B$79,Nutrients!$FE$79,(IF($A$8=Nutrients!$B$77,Nutrients!$FE$77,Nutrients!$FE$78)))))*Z$8))</f>
        <v>0</v>
      </c>
      <c r="AA340" s="21">
        <f>(SUMPRODUCT(AA$9:AA$229,Nutrients!$FE$8:$FE$228)+(IF($A$7=Nutrients!$B$8,Nutrients!$FE$8,Nutrients!$FE$9)*AA$7)+(((IF($A$8=Nutrients!$B$79,Nutrients!$FE$79,(IF($A$8=Nutrients!$B$77,Nutrients!$FE$77,Nutrients!$FE$78)))))*AA$8))</f>
        <v>0</v>
      </c>
      <c r="AB340" s="21">
        <f>(SUMPRODUCT(AB$9:AB$229,Nutrients!$FE$8:$FE$228)+(IF($A$7=Nutrients!$B$8,Nutrients!$FE$8,Nutrients!$FE$9)*AB$7)+(((IF($A$8=Nutrients!$B$79,Nutrients!$FE$79,(IF($A$8=Nutrients!$B$77,Nutrients!$FE$77,Nutrients!$FE$78)))))*AB$8))</f>
        <v>0</v>
      </c>
      <c r="AD340" s="21">
        <f>(SUMPRODUCT(AD$9:AD$229,Nutrients!$FE$8:$FE$228)+(IF($A$7=Nutrients!$B$8,Nutrients!$FE$8,Nutrients!$FE$9)*AD$7)+(((IF($A$8=Nutrients!$B$79,Nutrients!$FE$79,(IF($A$8=Nutrients!$B$77,Nutrients!$FE$77,Nutrients!$FE$78)))))*AD$8))</f>
        <v>0</v>
      </c>
      <c r="AE340" s="21">
        <f>(SUMPRODUCT(AE$9:AE$229,Nutrients!$FE$8:$FE$228)+(IF($A$7=Nutrients!$B$8,Nutrients!$FE$8,Nutrients!$FE$9)*AE$7)+(((IF($A$8=Nutrients!$B$79,Nutrients!$FE$79,(IF($A$8=Nutrients!$B$77,Nutrients!$FE$77,Nutrients!$FE$78)))))*AE$8))</f>
        <v>0</v>
      </c>
      <c r="AF340" s="21">
        <f>(SUMPRODUCT(AF$9:AF$229,Nutrients!$FE$8:$FE$228)+(IF($A$7=Nutrients!$B$8,Nutrients!$FE$8,Nutrients!$FE$9)*AF$7)+(((IF($A$8=Nutrients!$B$79,Nutrients!$FE$79,(IF($A$8=Nutrients!$B$77,Nutrients!$FE$77,Nutrients!$FE$78)))))*AF$8))</f>
        <v>0</v>
      </c>
      <c r="AG340" s="21">
        <f>(SUMPRODUCT(AG$9:AG$229,Nutrients!$FE$8:$FE$228)+(IF($A$7=Nutrients!$B$8,Nutrients!$FE$8,Nutrients!$FE$9)*AG$7)+(((IF($A$8=Nutrients!$B$79,Nutrients!$FE$79,(IF($A$8=Nutrients!$B$77,Nutrients!$FE$77,Nutrients!$FE$78)))))*AG$8))</f>
        <v>0</v>
      </c>
      <c r="AH340" s="21">
        <f>(SUMPRODUCT(AH$9:AH$229,Nutrients!$FE$8:$FE$228)+(IF($A$7=Nutrients!$B$8,Nutrients!$FE$8,Nutrients!$FE$9)*AH$7)+(((IF($A$8=Nutrients!$B$79,Nutrients!$FE$79,(IF($A$8=Nutrients!$B$77,Nutrients!$FE$77,Nutrients!$FE$78)))))*AH$8))</f>
        <v>0</v>
      </c>
      <c r="AI340" s="21">
        <f>(SUMPRODUCT(AI$9:AI$229,Nutrients!$FE$8:$FE$228)+(IF($A$7=Nutrients!$B$8,Nutrients!$FE$8,Nutrients!$FE$9)*AI$7)+(((IF($A$8=Nutrients!$B$79,Nutrients!$FE$79,(IF($A$8=Nutrients!$B$77,Nutrients!$FE$77,Nutrients!$FE$78)))))*AI$8))</f>
        <v>0</v>
      </c>
      <c r="AK340" s="21">
        <f>(SUMPRODUCT(AK$9:AK$229,Nutrients!$FE$8:$FE$228)+(IF($A$7=Nutrients!$B$8,Nutrients!$FE$8,Nutrients!$FE$9)*AK$7)+(((IF($A$8=Nutrients!$B$79,Nutrients!$FE$79,(IF($A$8=Nutrients!$B$77,Nutrients!$FE$77,Nutrients!$FE$78)))))*AK$8))</f>
        <v>0</v>
      </c>
      <c r="AL340" s="21">
        <f>(SUMPRODUCT(AL$9:AL$229,Nutrients!$FE$8:$FE$228)+(IF($A$7=Nutrients!$B$8,Nutrients!$FE$8,Nutrients!$FE$9)*AL$7)+(((IF($A$8=Nutrients!$B$79,Nutrients!$FE$79,(IF($A$8=Nutrients!$B$77,Nutrients!$FE$77,Nutrients!$FE$78)))))*AL$8))</f>
        <v>0</v>
      </c>
      <c r="AM340" s="21">
        <f>(SUMPRODUCT(AM$9:AM$229,Nutrients!$FE$8:$FE$228)+(IF($A$7=Nutrients!$B$8,Nutrients!$FE$8,Nutrients!$FE$9)*AM$7)+(((IF($A$8=Nutrients!$B$79,Nutrients!$FE$79,(IF($A$8=Nutrients!$B$77,Nutrients!$FE$77,Nutrients!$FE$78)))))*AM$8))</f>
        <v>0</v>
      </c>
      <c r="AN340" s="21">
        <f>(SUMPRODUCT(AN$9:AN$229,Nutrients!$FE$8:$FE$228)+(IF($A$7=Nutrients!$B$8,Nutrients!$FE$8,Nutrients!$FE$9)*AN$7)+(((IF($A$8=Nutrients!$B$79,Nutrients!$FE$79,(IF($A$8=Nutrients!$B$77,Nutrients!$FE$77,Nutrients!$FE$78)))))*AN$8))</f>
        <v>0</v>
      </c>
      <c r="AO340" s="21">
        <f>(SUMPRODUCT(AO$9:AO$229,Nutrients!$FE$8:$FE$228)+(IF($A$7=Nutrients!$B$8,Nutrients!$FE$8,Nutrients!$FE$9)*AO$7)+(((IF($A$8=Nutrients!$B$79,Nutrients!$FE$79,(IF($A$8=Nutrients!$B$77,Nutrients!$FE$77,Nutrients!$FE$78)))))*AO$8))</f>
        <v>0</v>
      </c>
      <c r="AP340" s="21">
        <f>(SUMPRODUCT(AP$9:AP$229,Nutrients!$FE$8:$FE$228)+(IF($A$7=Nutrients!$B$8,Nutrients!$FE$8,Nutrients!$FE$9)*AP$7)+(((IF($A$8=Nutrients!$B$79,Nutrients!$FE$79,(IF($A$8=Nutrients!$B$77,Nutrients!$FE$77,Nutrients!$FE$78)))))*AP$8))</f>
        <v>0</v>
      </c>
      <c r="AR340" s="21">
        <f>(SUMPRODUCT(AR$9:AR$229,Nutrients!$FE$8:$FE$228)+(IF($A$7=Nutrients!$B$8,Nutrients!$FE$8,Nutrients!$FE$9)*AR$7)+(((IF($A$8=Nutrients!$B$79,Nutrients!$FE$79,(IF($A$8=Nutrients!$B$77,Nutrients!$FE$77,Nutrients!$FE$78)))))*AR$8))</f>
        <v>0</v>
      </c>
      <c r="AS340" s="21">
        <f>(SUMPRODUCT(AS$9:AS$229,Nutrients!$FE$8:$FE$228)+(IF($A$7=Nutrients!$B$8,Nutrients!$FE$8,Nutrients!$FE$9)*AS$7)+(((IF($A$8=Nutrients!$B$79,Nutrients!$FE$79,(IF($A$8=Nutrients!$B$77,Nutrients!$FE$77,Nutrients!$FE$78)))))*AS$8))</f>
        <v>0</v>
      </c>
      <c r="AT340" s="21">
        <f>(SUMPRODUCT(AT$9:AT$229,Nutrients!$FE$8:$FE$228)+(IF($A$7=Nutrients!$B$8,Nutrients!$FE$8,Nutrients!$FE$9)*AT$7)+(((IF($A$8=Nutrients!$B$79,Nutrients!$FE$79,(IF($A$8=Nutrients!$B$77,Nutrients!$FE$77,Nutrients!$FE$78)))))*AT$8))</f>
        <v>0</v>
      </c>
      <c r="AU340" s="21">
        <f>(SUMPRODUCT(AU$9:AU$229,Nutrients!$FE$8:$FE$228)+(IF($A$7=Nutrients!$B$8,Nutrients!$FE$8,Nutrients!$FE$9)*AU$7)+(((IF($A$8=Nutrients!$B$79,Nutrients!$FE$79,(IF($A$8=Nutrients!$B$77,Nutrients!$FE$77,Nutrients!$FE$78)))))*AU$8))</f>
        <v>0</v>
      </c>
      <c r="AV340" s="21">
        <f>(SUMPRODUCT(AV$9:AV$229,Nutrients!$FE$8:$FE$228)+(IF($A$7=Nutrients!$B$8,Nutrients!$FE$8,Nutrients!$FE$9)*AV$7)+(((IF($A$8=Nutrients!$B$79,Nutrients!$FE$79,(IF($A$8=Nutrients!$B$77,Nutrients!$FE$77,Nutrients!$FE$78)))))*AV$8))</f>
        <v>0</v>
      </c>
      <c r="AW340" s="21">
        <f>(SUMPRODUCT(AW$9:AW$229,Nutrients!$FE$8:$FE$228)+(IF($A$7=Nutrients!$B$8,Nutrients!$FE$8,Nutrients!$FE$9)*AW$7)+(((IF($A$8=Nutrients!$B$79,Nutrients!$FE$79,(IF($A$8=Nutrients!$B$77,Nutrients!$FE$77,Nutrients!$FE$78)))))*AW$8))</f>
        <v>0</v>
      </c>
    </row>
    <row r="342" spans="1:52" x14ac:dyDescent="0.25">
      <c r="A342" s="298" t="s">
        <v>478</v>
      </c>
      <c r="B342" s="299">
        <f xml:space="preserve"> (-1619.2980797296 + 25.9248064834 * (B251/1000) - 2657.6209162609 * B236 +
123.0469725298 * B253 - 9.2854579989 * B316 + 872.0182830582 * B252 + 26.664395965 * (AVERAGE(B5:B6)*0.453592) +
2599.7646012325 * B236 * B236- 0.1016237102 *  (AVERAGE(B5:B6)*0.453592) *  (AVERAGE(B5:B6)*0.453592) - 71.8618465276 * B236 * B253 -
607.1294449572 * B236 * B252 + 25.6463076451 * B236 * (AVERAGE(B5:B6)*0.453592) - 0.8399854508 * B253 * (AVERAGE(B5:B6)*0.453592) +
0.0967347393 * B316 * (AVERAGE(B5:B6)*0.453592) - 5.2553838048 * B252 * (AVERAGE(B5:B6)*0.453592))</f>
        <v>740.32616660444182</v>
      </c>
      <c r="C342" s="299">
        <f xml:space="preserve"> -1619.2980797296 + 25.9248064834 * (C251/1000) - 2657.6209162609 * C236 +
123.0469725298 * C253 - 9.2854579989 * C316 + 872.0182830582 * C252 + 26.664395965 * (AVERAGE(C5:C6)*0.453592) +
2599.7646012325 * C236 * C236- 0.1016237102 *  (AVERAGE(C5:C6)*0.453592) *  (AVERAGE(C5:C6)*0.453592) - 71.8618465276 * C236 * C253 -
607.1294449572 * C236 * C252 + 25.6463076451 * C236 * (AVERAGE(C5:C6)*0.453592) - 0.8399854508 * C253 * (AVERAGE(C5:C6)*0.453592) +
0.0967347393 * C316 * (AVERAGE(C5:C6)*0.453592) - 5.2553838048 * C252 * (AVERAGE(C5:C6)*0.453592)</f>
        <v>862.50756659214221</v>
      </c>
      <c r="D342" s="299">
        <f xml:space="preserve"> -1619.2980797296 + 25.9248064834 * (D251/1000) - 2657.6209162609 * D236 +
123.0469725298 * D253 - 9.2854579989 * D316 + 872.0182830582 * D252 + 26.664395965 * (AVERAGE(D5:D6)*0.453592) +
2599.7646012325 * D236 * D236- 0.1016237102 *  (AVERAGE(D5:D6)*0.453592) *  (AVERAGE(D5:D6)*0.453592) - 71.8618465276 * D236 * D253 -
607.1294449572 * D236 * D252 + 25.6463076451 * D236 * (AVERAGE(D5:D6)*0.453592) - 0.8399854508 * D253 * (AVERAGE(D5:D6)*0.453592) +
0.0967347393 * D316 * (AVERAGE(D5:D6)*0.453592) - 5.2553838048 * D252 * (AVERAGE(D5:D6)*0.453592)</f>
        <v>944.95636803551065</v>
      </c>
      <c r="E342" s="299">
        <f xml:space="preserve"> -1619.2980797296 + 25.9248064834 * (E251/1000) - 2657.6209162609 * E236 +
123.0469725298 * E253 - 9.2854579989 * E316 + 872.0182830582 * E252 + 26.664395965 * (AVERAGE(E5:E6)*0.453592) +
2599.7646012325 * E236 * E236- 0.1016237102 *  (AVERAGE(E5:E6)*0.453592) *  (AVERAGE(E5:E6)*0.453592) - 71.8618465276 * E236 * E253 -
607.1294449572 * E236 * E252 + 25.6463076451 * E236 * (AVERAGE(E5:E6)*0.453592) - 0.8399854508 * E253 * (AVERAGE(E5:E6)*0.453592) +
0.0967347393 * E316 * (AVERAGE(E5:E6)*0.453592) - 5.2553838048 * E252 * (AVERAGE(E5:E6)*0.453592)</f>
        <v>984.20180073567008</v>
      </c>
      <c r="F342" s="299">
        <f xml:space="preserve"> -1619.2980797296 + 25.9248064834 * (F251/1000) - 2657.6209162609 * F236 +
123.0469725298 * F253 - 9.2854579989 * F316 + 872.0182830582 * F252 + 26.664395965 * (AVERAGE(F5:F6)*0.453592) +
2599.7646012325 * F236 * F236- 0.1016237102 *  (AVERAGE(F5:F6)*0.453592) *  (AVERAGE(F5:F6)*0.453592) - 71.8618465276 * F236 * F253 -
607.1294449572 * F236 * F252 + 25.6463076451 * F236 * (AVERAGE(F5:F6)*0.453592) - 0.8399854508 * F253 * (AVERAGE(F5:F6)*0.453592) +
0.0967347393 * F316 * (AVERAGE(F5:F6)*0.453592) - 5.2553838048 * F252 * (AVERAGE(F5:F6)*0.453592)</f>
        <v>982.04258582759257</v>
      </c>
      <c r="G342" s="299">
        <f xml:space="preserve"> -1619.2980797296 + 25.9248064834 * (G251/1000) - 2657.6209162609 * G236 +
123.0469725298 * G253 - 9.2854579989 * G316 + 872.0182830582 * G252 + 26.664395965 * (AVERAGE(G5:G6)*0.453592) +
2599.7646012325 * G236 * G236- 0.1016237102 *  (AVERAGE(G5:G6)*0.453592) *  (AVERAGE(G5:G6)*0.453592) - 71.8618465276 * G236 * G253 -
607.1294449572 * G236 * G252 + 25.6463076451 * G236 * (AVERAGE(G5:G6)*0.453592) - 0.8399854508 * G253 * (AVERAGE(G5:G6)*0.453592) +
0.0967347393 * G316 * (AVERAGE(G5:G6)*0.453592) - 5.2553838048 * G252 * (AVERAGE(G5:G6)*0.453592)</f>
        <v>932.08406418687355</v>
      </c>
      <c r="I342" s="299">
        <f xml:space="preserve"> (-1619.2980797296 + 25.9248064834 * (I251/1000) - 2657.6209162609 * I236 +
123.0469725298 * I253 - 9.2854579989 * I316 + 872.0182830582 * I252 + 26.664395965 * (AVERAGE(I5:I6)*0.453592) +
2599.7646012325 * I236 * I236- 0.1016237102 *  (AVERAGE(I5:I6)*0.453592) *  (AVERAGE(I5:I6)*0.453592) - 71.8618465276 * I236 * I253 -
607.1294449572 * I236 * I252 + 25.6463076451 * I236 * (AVERAGE(I5:I6)*0.453592) - 0.8399854508 * I253 * (AVERAGE(I5:I6)*0.453592) +
0.0967347393 * I316 * (AVERAGE(I5:I6)*0.453592) - 5.2553838048 * I252 * (AVERAGE(I5:I6)*0.453592))</f>
        <v>737.82281291393463</v>
      </c>
      <c r="J342" s="299">
        <f xml:space="preserve"> -1619.2980797296 + 25.9248064834 * (J251/1000) - 2657.6209162609 * J236 +
123.0469725298 * J253 - 9.2854579989 * J316 + 872.0182830582 * J252 + 26.664395965 * (AVERAGE(J5:J6)*0.453592) +
2599.7646012325 * J236 * J236- 0.1016237102 *  (AVERAGE(J5:J6)*0.453592) *  (AVERAGE(J5:J6)*0.453592) - 71.8618465276 * J236 * J253 -
607.1294449572 * J236 * J252 + 25.6463076451 * J236 * (AVERAGE(J5:J6)*0.453592) - 0.8399854508 * J253 * (AVERAGE(J5:J6)*0.453592) +
0.0967347393 * J316 * (AVERAGE(J5:J6)*0.453592) - 5.2553838048 * J252 * (AVERAGE(J5:J6)*0.453592)</f>
        <v>860.42380070965544</v>
      </c>
      <c r="K342" s="299">
        <f xml:space="preserve"> -1619.2980797296 + 25.9248064834 * (K251/1000) - 2657.6209162609 * K236 +
123.0469725298 * K253 - 9.2854579989 * K316 + 872.0182830582 * K252 + 26.664395965 * (AVERAGE(K5:K6)*0.453592) +
2599.7646012325 * K236 * K236- 0.1016237102 *  (AVERAGE(K5:K6)*0.453592) *  (AVERAGE(K5:K6)*0.453592) - 71.8618465276 * K236 * K253 -
607.1294449572 * K236 * K252 + 25.6463076451 * K236 * (AVERAGE(K5:K6)*0.453592) - 0.8399854508 * K253 * (AVERAGE(K5:K6)*0.453592) +
0.0967347393 * K316 * (AVERAGE(K5:K6)*0.453592) - 5.2553838048 * K252 * (AVERAGE(K5:K6)*0.453592)</f>
        <v>942.56282888497708</v>
      </c>
      <c r="L342" s="299">
        <f xml:space="preserve"> -1619.2980797296 + 25.9248064834 * (L251/1000) - 2657.6209162609 * L236 +
123.0469725298 * L253 - 9.2854579989 * L316 + 872.0182830582 * L252 + 26.664395965 * (AVERAGE(L5:L6)*0.453592) +
2599.7646012325 * L236 * L236- 0.1016237102 *  (AVERAGE(L5:L6)*0.453592) *  (AVERAGE(L5:L6)*0.453592) - 71.8618465276 * L236 * L253 -
607.1294449572 * L236 * L252 + 25.6463076451 * L236 * (AVERAGE(L5:L6)*0.453592) - 0.8399854508 * L253 * (AVERAGE(L5:L6)*0.453592) +
0.0967347393 * L316 * (AVERAGE(L5:L6)*0.453592) - 5.2553838048 * L252 * (AVERAGE(L5:L6)*0.453592)</f>
        <v>980.60177466022901</v>
      </c>
      <c r="M342" s="299">
        <f xml:space="preserve"> -1619.2980797296 + 25.9248064834 * (M251/1000) - 2657.6209162609 * M236 +
123.0469725298 * M253 - 9.2854579989 * M316 + 872.0182830582 * M252 + 26.664395965 * (AVERAGE(M5:M6)*0.453592) +
2599.7646012325 * M236 * M236- 0.1016237102 *  (AVERAGE(M5:M6)*0.453592) *  (AVERAGE(M5:M6)*0.453592) - 71.8618465276 * M236 * M253 -
607.1294449572 * M236 * M252 + 25.6463076451 * M236 * (AVERAGE(M5:M6)*0.453592) - 0.8399854508 * M253 * (AVERAGE(M5:M6)*0.453592) +
0.0967347393 * M316 * (AVERAGE(M5:M6)*0.453592) - 5.2553838048 * M252 * (AVERAGE(M5:M6)*0.453592)</f>
        <v>976.35154973514977</v>
      </c>
      <c r="N342" s="299">
        <f xml:space="preserve"> -1619.2980797296 + 25.9248064834 * (N251/1000) - 2657.6209162609 * N236 +
123.0469725298 * N253 - 9.2854579989 * N316 + 872.0182830582 * N252 + 26.664395965 * (AVERAGE(N5:N6)*0.453592) +
2599.7646012325 * N236 * N236- 0.1016237102 *  (AVERAGE(N5:N6)*0.453592) *  (AVERAGE(N5:N6)*0.453592) - 71.8618465276 * N236 * N253 -
607.1294449572 * N236 * N252 + 25.6463076451 * N236 * (AVERAGE(N5:N6)*0.453592) - 0.8399854508 * N253 * (AVERAGE(N5:N6)*0.453592) +
0.0967347393 * N316 * (AVERAGE(N5:N6)*0.453592) - 5.2553838048 * N252 * (AVERAGE(N5:N6)*0.453592)</f>
        <v>923.02620425658733</v>
      </c>
      <c r="P342" s="299">
        <f xml:space="preserve"> (-1619.2980797296 + 25.9248064834 * (P251/1000) - 2657.6209162609 * P236 +
123.0469725298 * P253 - 9.2854579989 * P316 + 872.0182830582 * P252 + 26.664395965 * (AVERAGE(P5:P6)*0.453592) +
2599.7646012325 * P236 * P236- 0.1016237102 *  (AVERAGE(P5:P6)*0.453592) *  (AVERAGE(P5:P6)*0.453592) - 71.8618465276 * P236 * P253 -
607.1294449572 * P236 * P252 + 25.6463076451 * P236 * (AVERAGE(P5:P6)*0.453592) - 0.8399854508 * P253 * (AVERAGE(P5:P6)*0.453592) +
0.0967347393 * P316 * (AVERAGE(P5:P6)*0.453592) - 5.2553838048 * P252 * (AVERAGE(P5:P6)*0.453592))</f>
        <v>735.36391234255655</v>
      </c>
      <c r="Q342" s="299">
        <f xml:space="preserve"> -1619.2980797296 + 25.9248064834 * (Q251/1000) - 2657.6209162609 * Q236 +
123.0469725298 * Q253 - 9.2854579989 * Q316 + 872.0182830582 * Q252 + 26.664395965 * (AVERAGE(Q5:Q6)*0.453592) +
2599.7646012325 * Q236 * Q236- 0.1016237102 *  (AVERAGE(Q5:Q6)*0.453592) *  (AVERAGE(Q5:Q6)*0.453592) - 71.8618465276 * Q236 * Q253 -
607.1294449572 * Q236 * Q252 + 25.6463076451 * Q236 * (AVERAGE(Q5:Q6)*0.453592) - 0.8399854508 * Q253 * (AVERAGE(Q5:Q6)*0.453592) +
0.0967347393 * Q316 * (AVERAGE(Q5:Q6)*0.453592) - 5.2553838048 * Q252 * (AVERAGE(Q5:Q6)*0.453592)</f>
        <v>858.36844770368066</v>
      </c>
      <c r="R342" s="299">
        <f xml:space="preserve"> -1619.2980797296 + 25.9248064834 * (R251/1000) - 2657.6209162609 * R236 +
123.0469725298 * R253 - 9.2854579989 * R316 + 872.0182830582 * R252 + 26.664395965 * (AVERAGE(R5:R6)*0.453592) +
2599.7646012325 * R236 * R236- 0.1016237102 *  (AVERAGE(R5:R6)*0.453592) *  (AVERAGE(R5:R6)*0.453592) - 71.8618465276 * R236 * R253 -
607.1294449572 * R236 * R252 + 25.6463076451 * R236 * (AVERAGE(R5:R6)*0.453592) - 0.8399854508 * R253 * (AVERAGE(R5:R6)*0.453592) +
0.0967347393 * R316 * (AVERAGE(R5:R6)*0.453592) - 5.2553838048 * R252 * (AVERAGE(R5:R6)*0.453592)</f>
        <v>940.18058238231538</v>
      </c>
      <c r="S342" s="299">
        <f xml:space="preserve"> -1619.2980797296 + 25.9248064834 * (S251/1000) - 2657.6209162609 * S236 +
123.0469725298 * S253 - 9.2854579989 * S316 + 872.0182830582 * S252 + 26.664395965 * (AVERAGE(S5:S6)*0.453592) +
2599.7646012325 * S236 * S236- 0.1016237102 *  (AVERAGE(S5:S6)*0.453592) *  (AVERAGE(S5:S6)*0.453592) - 71.8618465276 * S236 * S253 -
607.1294449572 * S236 * S252 + 25.6463076451 * S236 * (AVERAGE(S5:S6)*0.453592) - 0.8399854508 * S253 * (AVERAGE(S5:S6)*0.453592) +
0.0967347393 * S316 * (AVERAGE(S5:S6)*0.453592) - 5.2553838048 * S252 * (AVERAGE(S5:S6)*0.453592)</f>
        <v>976.98421807826821</v>
      </c>
      <c r="T342" s="299">
        <f xml:space="preserve"> -1619.2980797296 + 25.9248064834 * (T251/1000) - 2657.6209162609 * T236 +
123.0469725298 * T253 - 9.2854579989 * T316 + 872.0182830582 * T252 + 26.664395965 * (AVERAGE(T5:T6)*0.453592) +
2599.7646012325 * T236 * T236- 0.1016237102 *  (AVERAGE(T5:T6)*0.453592) *  (AVERAGE(T5:T6)*0.453592) - 71.8618465276 * T236 * T253 -
607.1294449572 * T236 * T252 + 25.6463076451 * T236 * (AVERAGE(T5:T6)*0.453592) - 0.8399854508 * T253 * (AVERAGE(T5:T6)*0.453592) +
0.0967347393 * T316 * (AVERAGE(T5:T6)*0.453592) - 5.2553838048 * T252 * (AVERAGE(T5:T6)*0.453592)</f>
        <v>970.61642674660789</v>
      </c>
      <c r="U342" s="299">
        <f xml:space="preserve"> -1619.2980797296 + 25.9248064834 * (U251/1000) - 2657.6209162609 * U236 +
123.0469725298 * U253 - 9.2854579989 * U316 + 872.0182830582 * U252 + 26.664395965 * (AVERAGE(U5:U6)*0.453592) +
2599.7646012325 * U236 * U236- 0.1016237102 *  (AVERAGE(U5:U6)*0.453592) *  (AVERAGE(U5:U6)*0.453592) - 71.8618465276 * U236 * U253 -
607.1294449572 * U236 * U252 + 25.6463076451 * U236 * (AVERAGE(U5:U6)*0.453592) - 0.8399854508 * U253 * (AVERAGE(U5:U6)*0.453592) +
0.0967347393 * U316 * (AVERAGE(U5:U6)*0.453592) - 5.2553838048 * U252 * (AVERAGE(U5:U6)*0.453592)</f>
        <v>914.01232612350691</v>
      </c>
      <c r="W342" s="299">
        <f xml:space="preserve"> (-1619.2980797296 + 25.9248064834 * (W251/1000) - 2657.6209162609 * W236 +
123.0469725298 * W253 - 9.2854579989 * W316 + 872.0182830582 * W252 + 26.664395965 * (AVERAGE(W5:W6)*0.453592) +
2599.7646012325 * W236 * W236- 0.1016237102 *  (AVERAGE(W5:W6)*0.453592) *  (AVERAGE(W5:W6)*0.453592) - 71.8618465276 * W236 * W253 -
607.1294449572 * W236 * W252 + 25.6463076451 * W236 * (AVERAGE(W5:W6)*0.453592) - 0.8399854508 * W253 * (AVERAGE(W5:W6)*0.453592) +
0.0967347393 * W316 * (AVERAGE(W5:W6)*0.453592) - 5.2553838048 * W252 * (AVERAGE(W5:W6)*0.453592))</f>
        <v>732.9152560783665</v>
      </c>
      <c r="X342" s="299">
        <f xml:space="preserve"> -1619.2980797296 + 25.9248064834 * (X251/1000) - 2657.6209162609 * X236 +
123.0469725298 * X253 - 9.2854579989 * X316 + 872.0182830582 * X252 + 26.664395965 * (AVERAGE(X5:X6)*0.453592) +
2599.7646012325 * X236 * X236- 0.1016237102 *  (AVERAGE(X5:X6)*0.453592) *  (AVERAGE(X5:X6)*0.453592) - 71.8618465276 * X236 * X253 -
607.1294449572 * X236 * X252 + 25.6463076451 * X236 * (AVERAGE(X5:X6)*0.453592) - 0.8399854508 * X253 * (AVERAGE(X5:X6)*0.453592) +
0.0967347393 * X316 * (AVERAGE(X5:X6)*0.453592) - 5.2553838048 * X252 * (AVERAGE(X5:X6)*0.453592)</f>
        <v>856.3384518252584</v>
      </c>
      <c r="Y342" s="299">
        <f xml:space="preserve"> -1619.2980797296 + 25.9248064834 * (Y251/1000) - 2657.6209162609 * Y236 +
123.0469725298 * Y253 - 9.2854579989 * Y316 + 872.0182830582 * Y252 + 26.664395965 * (AVERAGE(Y5:Y6)*0.453592) +
2599.7646012325 * Y236 * Y236- 0.1016237102 *  (AVERAGE(Y5:Y6)*0.453592) *  (AVERAGE(Y5:Y6)*0.453592) - 71.8618465276 * Y236 * Y253 -
607.1294449572 * Y236 * Y252 + 25.6463076451 * Y236 * (AVERAGE(Y5:Y6)*0.453592) - 0.8399854508 * Y253 * (AVERAGE(Y5:Y6)*0.453592) +
0.0967347393 * Y316 * (AVERAGE(Y5:Y6)*0.453592) - 5.2553838048 * Y252 * (AVERAGE(Y5:Y6)*0.453592)</f>
        <v>937.80263712373403</v>
      </c>
      <c r="Z342" s="299">
        <f xml:space="preserve"> -1619.2980797296 + 25.9248064834 * (Z251/1000) - 2657.6209162609 * Z236 +
123.0469725298 * Z253 - 9.2854579989 * Z316 + 872.0182830582 * Z252 + 26.664395965 * (AVERAGE(Z5:Z6)*0.453592) +
2599.7646012325 * Z236 * Z236- 0.1016237102 *  (AVERAGE(Z5:Z6)*0.453592) *  (AVERAGE(Z5:Z6)*0.453592) - 71.8618465276 * Z236 * Z253 -
607.1294449572 * Z236 * Z252 + 25.6463076451 * Z236 * (AVERAGE(Z5:Z6)*0.453592) - 0.8399854508 * Z253 * (AVERAGE(Z5:Z6)*0.453592) +
0.0967347393 * Z316 * (AVERAGE(Z5:Z6)*0.453592) - 5.2553838048 * Z252 * (AVERAGE(Z5:Z6)*0.453592)</f>
        <v>973.37564760546206</v>
      </c>
      <c r="AA342" s="299">
        <f xml:space="preserve"> -1619.2980797296 + 25.9248064834 * (AA251/1000) - 2657.6209162609 * AA236 +
123.0469725298 * AA253 - 9.2854579989 * AA316 + 872.0182830582 * AA252 + 26.664395965 * (AVERAGE(AA5:AA6)*0.453592) +
2599.7646012325 * AA236 * AA236- 0.1016237102 *  (AVERAGE(AA5:AA6)*0.453592) *  (AVERAGE(AA5:AA6)*0.453592) - 71.8618465276 * AA236 * AA253 -
607.1294449572 * AA236 * AA252 + 25.6463076451 * AA236 * (AVERAGE(AA5:AA6)*0.453592) - 0.8399854508 * AA253 * (AVERAGE(AA5:AA6)*0.453592) +
0.0967347393 * AA316 * (AVERAGE(AA5:AA6)*0.453592) - 5.2553838048 * AA252 * (AVERAGE(AA5:AA6)*0.453592)</f>
        <v>964.7436980632217</v>
      </c>
      <c r="AB342" s="299">
        <f xml:space="preserve"> -1619.2980797296 + 25.9248064834 * (AB251/1000) - 2657.6209162609 * AB236 +
123.0469725298 * AB253 - 9.2854579989 * AB316 + 872.0182830582 * AB252 + 26.664395965 * (AVERAGE(AB5:AB6)*0.453592) +
2599.7646012325 * AB236 * AB236- 0.1016237102 *  (AVERAGE(AB5:AB6)*0.453592) *  (AVERAGE(AB5:AB6)*0.453592) - 71.8618465276 * AB236 * AB253 -
607.1294449572 * AB236 * AB252 + 25.6463076451 * AB236 * (AVERAGE(AB5:AB6)*0.453592) - 0.8399854508 * AB253 * (AVERAGE(AB5:AB6)*0.453592) +
0.0967347393 * AB316 * (AVERAGE(AB5:AB6)*0.453592) - 5.2553838048 * AB252 * (AVERAGE(AB5:AB6)*0.453592)</f>
        <v>904.72562048712371</v>
      </c>
      <c r="AD342" s="299">
        <f xml:space="preserve"> (-1619.2980797296 + 25.9248064834 * (AD251/1000) - 2657.6209162609 * AD236 +
123.0469725298 * AD253 - 9.2854579989 * AD316 + 872.0182830582 * AD252 + 26.664395965 * (AVERAGE(AD5:AD6)*0.453592) +
2599.7646012325 * AD236 * AD236- 0.1016237102 *  (AVERAGE(AD5:AD6)*0.453592) *  (AVERAGE(AD5:AD6)*0.453592) - 71.8618465276 * AD236 * AD253 -
607.1294449572 * AD236 * AD252 + 25.6463076451 * AD236 * (AVERAGE(AD5:AD6)*0.453592) - 0.8399854508 * AD253 * (AVERAGE(AD5:AD6)*0.453592) +
0.0967347393 * AD316 * (AVERAGE(AD5:AD6)*0.453592) - 5.2553838048 * AD252 * (AVERAGE(AD5:AD6)*0.453592))</f>
        <v>730.51508162544155</v>
      </c>
      <c r="AE342" s="299">
        <f xml:space="preserve"> -1619.2980797296 + 25.9248064834 * (AE251/1000) - 2657.6209162609 * AE236 +
123.0469725298 * AE253 - 9.2854579989 * AE316 + 872.0182830582 * AE252 + 26.664395965 * (AVERAGE(AE5:AE6)*0.453592) +
2599.7646012325 * AE236 * AE236- 0.1016237102 *  (AVERAGE(AE5:AE6)*0.453592) *  (AVERAGE(AE5:AE6)*0.453592) - 71.8618465276 * AE236 * AE253 -
607.1294449572 * AE236 * AE252 + 25.6463076451 * AE236 * (AVERAGE(AE5:AE6)*0.453592) - 0.8399854508 * AE253 * (AVERAGE(AE5:AE6)*0.453592) +
0.0967347393 * AE316 * (AVERAGE(AE5:AE6)*0.453592) - 5.2553838048 * AE252 * (AVERAGE(AE5:AE6)*0.453592)</f>
        <v>854.29804278316578</v>
      </c>
      <c r="AF342" s="299">
        <f xml:space="preserve"> -1619.2980797296 + 25.9248064834 * (AF251/1000) - 2657.6209162609 * AF236 +
123.0469725298 * AF253 - 9.2854579989 * AF316 + 872.0182830582 * AF252 + 26.664395965 * (AVERAGE(AF5:AF6)*0.453592) +
2599.7646012325 * AF236 * AF236- 0.1016237102 *  (AVERAGE(AF5:AF6)*0.453592) *  (AVERAGE(AF5:AF6)*0.453592) - 71.8618465276 * AF236 * AF253 -
607.1294449572 * AF236 * AF252 + 25.6463076451 * AF236 * (AVERAGE(AF5:AF6)*0.453592) - 0.8399854508 * AF253 * (AVERAGE(AF5:AF6)*0.453592) +
0.0967347393 * AF316 * (AVERAGE(AF5:AF6)*0.453592) - 5.2553838048 * AF252 * (AVERAGE(AF5:AF6)*0.453592)</f>
        <v>935.44765961534085</v>
      </c>
      <c r="AG342" s="299">
        <f xml:space="preserve"> -1619.2980797296 + 25.9248064834 * (AG251/1000) - 2657.6209162609 * AG236 +
123.0469725298 * AG253 - 9.2854579989 * AG316 + 872.0182830582 * AG252 + 26.664395965 * (AVERAGE(AG5:AG6)*0.453592) +
2599.7646012325 * AG236 * AG236- 0.1016237102 *  (AVERAGE(AG5:AG6)*0.453592) *  (AVERAGE(AG5:AG6)*0.453592) - 71.8618465276 * AG236 * AG253 -
607.1294449572 * AG236 * AG252 + 25.6463076451 * AG236 * (AVERAGE(AG5:AG6)*0.453592) - 0.8399854508 * AG253 * (AVERAGE(AG5:AG6)*0.453592) +
0.0967347393 * AG316 * (AVERAGE(AG5:AG6)*0.453592) - 5.2553838048 * AG252 * (AVERAGE(AG5:AG6)*0.453592)</f>
        <v>969.75471744288711</v>
      </c>
      <c r="AH342" s="299">
        <f xml:space="preserve"> -1619.2980797296 + 25.9248064834 * (AH251/1000) - 2657.6209162609 * AH236 +
123.0469725298 * AH253 - 9.2854579989 * AH316 + 872.0182830582 * AH252 + 26.664395965 * (AVERAGE(AH5:AH6)*0.453592) +
2599.7646012325 * AH236 * AH236- 0.1016237102 *  (AVERAGE(AH5:AH6)*0.453592) *  (AVERAGE(AH5:AH6)*0.453592) - 71.8618465276 * AH236 * AH253 -
607.1294449572 * AH236 * AH252 + 25.6463076451 * AH236 * (AVERAGE(AH5:AH6)*0.453592) - 0.8399854508 * AH253 * (AVERAGE(AH5:AH6)*0.453592) +
0.0967347393 * AH316 * (AVERAGE(AH5:AH6)*0.453592) - 5.2553838048 * AH252 * (AVERAGE(AH5:AH6)*0.453592)</f>
        <v>958.93141742963121</v>
      </c>
      <c r="AI342" s="299">
        <f xml:space="preserve"> -1619.2980797296 + 25.9248064834 * (AI251/1000) - 2657.6209162609 * AI236 +
123.0469725298 * AI253 - 9.2854579989 * AI316 + 872.0182830582 * AI252 + 26.664395965 * (AVERAGE(AI5:AI6)*0.453592) +
2599.7646012325 * AI236 * AI236- 0.1016237102 *  (AVERAGE(AI5:AI6)*0.453592) *  (AVERAGE(AI5:AI6)*0.453592) - 71.8618465276 * AI236 * AI253 -
607.1294449572 * AI236 * AI252 + 25.6463076451 * AI236 * (AVERAGE(AI5:AI6)*0.453592) - 0.8399854508 * AI253 * (AVERAGE(AI5:AI6)*0.453592) +
0.0967347393 * AI316 * (AVERAGE(AI5:AI6)*0.453592) - 5.2553838048 * AI252 * (AVERAGE(AI5:AI6)*0.453592)</f>
        <v>895.60582793908202</v>
      </c>
      <c r="AK342" s="299">
        <f xml:space="preserve"> (-1619.2980797296 + 25.9248064834 * (AK251/1000) - 2657.6209162609 * AK236 +
123.0469725298 * AK253 - 9.2854579989 * AK316 + 872.0182830582 * AK252 + 26.664395965 * (AVERAGE(AK5:AK6)*0.453592) +
2599.7646012325 * AK236 * AK236- 0.1016237102 *  (AVERAGE(AK5:AK6)*0.453592) *  (AVERAGE(AK5:AK6)*0.453592) - 71.8618465276 * AK236 * AK253 -
607.1294449572 * AK236 * AK252 + 25.6463076451 * AK236 * (AVERAGE(AK5:AK6)*0.453592) - 0.8399854508 * AK253 * (AVERAGE(AK5:AK6)*0.453592) +
0.0967347393 * AK316 * (AVERAGE(AK5:AK6)*0.453592) - 5.2553838048 * AK252 * (AVERAGE(AK5:AK6)*0.453592))</f>
        <v>728.10045668103191</v>
      </c>
      <c r="AL342" s="299">
        <f xml:space="preserve"> -1619.2980797296 + 25.9248064834 * (AL251/1000) - 2657.6209162609 * AL236 +
123.0469725298 * AL253 - 9.2854579989 * AL316 + 872.0182830582 * AL252 + 26.664395965 * (AVERAGE(AL5:AL6)*0.453592) +
2599.7646012325 * AL236 * AL236- 0.1016237102 *  (AVERAGE(AL5:AL6)*0.453592) *  (AVERAGE(AL5:AL6)*0.453592) - 71.8618465276 * AL236 * AL253 -
607.1294449572 * AL236 * AL252 + 25.6463076451 * AL236 * (AVERAGE(AL5:AL6)*0.453592) - 0.8399854508 * AL253 * (AVERAGE(AL5:AL6)*0.453592) +
0.0967347393 * AL316 * (AVERAGE(AL5:AL6)*0.453592) - 5.2553838048 * AL252 * (AVERAGE(AL5:AL6)*0.453592)</f>
        <v>852.26887422429309</v>
      </c>
      <c r="AM342" s="299">
        <f xml:space="preserve"> -1619.2980797296 + 25.9248064834 * (AM251/1000) - 2657.6209162609 * AM236 +
123.0469725298 * AM253 - 9.2854579989 * AM316 + 872.0182830582 * AM252 + 26.664395965 * (AVERAGE(AM5:AM6)*0.453592) +
2599.7646012325 * AM236 * AM236- 0.1016237102 *  (AVERAGE(AM5:AM6)*0.453592) *  (AVERAGE(AM5:AM6)*0.453592) - 71.8618465276 * AM236 * AM253 -
607.1294449572 * AM236 * AM252 + 25.6463076451 * AM236 * (AVERAGE(AM5:AM6)*0.453592) - 0.8399854508 * AM253 * (AVERAGE(AM5:AM6)*0.453592) +
0.0967347393 * AM316 * (AVERAGE(AM5:AM6)*0.453592) - 5.2553838048 * AM252 * (AVERAGE(AM5:AM6)*0.453592)</f>
        <v>933.06299604687842</v>
      </c>
      <c r="AN342" s="299">
        <f xml:space="preserve"> -1619.2980797296 + 25.9248064834 * (AN251/1000) - 2657.6209162609 * AN236 +
123.0469725298 * AN253 - 9.2854579989 * AN316 + 872.0182830582 * AN252 + 26.664395965 * (AVERAGE(AN5:AN6)*0.453592) +
2599.7646012325 * AN236 * AN236- 0.1016237102 *  (AVERAGE(AN5:AN6)*0.453592) *  (AVERAGE(AN5:AN6)*0.453592) - 71.8618465276 * AN236 * AN253 -
607.1294449572 * AN236 * AN252 + 25.6463076451 * AN236 * (AVERAGE(AN5:AN6)*0.453592) - 0.8399854508 * AN253 * (AVERAGE(AN5:AN6)*0.453592) +
0.0967347393 * AN316 * (AVERAGE(AN5:AN6)*0.453592) - 5.2553838048 * AN252 * (AVERAGE(AN5:AN6)*0.453592)</f>
        <v>966.12397518923876</v>
      </c>
      <c r="AO342" s="299">
        <f xml:space="preserve"> -1619.2980797296 + 25.9248064834 * (AO251/1000) - 2657.6209162609 * AO236 +
123.0469725298 * AO253 - 9.2854579989 * AO316 + 872.0182830582 * AO252 + 26.664395965 * (AVERAGE(AO5:AO6)*0.453592) +
2599.7646012325 * AO236 * AO236- 0.1016237102 *  (AVERAGE(AO5:AO6)*0.453592) *  (AVERAGE(AO5:AO6)*0.453592) - 71.8618465276 * AO236 * AO253 -
607.1294449572 * AO236 * AO252 + 25.6463076451 * AO236 * (AVERAGE(AO5:AO6)*0.453592) - 0.8399854508 * AO253 * (AVERAGE(AO5:AO6)*0.453592) +
0.0967347393 * AO316 * (AVERAGE(AO5:AO6)*0.453592) - 5.2553838048 * AO252 * (AVERAGE(AO5:AO6)*0.453592)</f>
        <v>953.16426326229521</v>
      </c>
      <c r="AP342" s="299">
        <f xml:space="preserve"> -1619.2980797296 + 25.9248064834 * (AP251/1000) - 2657.6209162609 * AP236 +
123.0469725298 * AP253 - 9.2854579989 * AP316 + 872.0182830582 * AP252 + 26.664395965 * (AVERAGE(AP5:AP6)*0.453592) +
2599.7646012325 * AP236 * AP236- 0.1016237102 *  (AVERAGE(AP5:AP6)*0.453592) *  (AVERAGE(AP5:AP6)*0.453592) - 71.8618465276 * AP236 * AP253 -
607.1294449572 * AP236 * AP252 + 25.6463076451 * AP236 * (AVERAGE(AP5:AP6)*0.453592) - 0.8399854508 * AP253 * (AVERAGE(AP5:AP6)*0.453592) +
0.0967347393 * AP316 * (AVERAGE(AP5:AP6)*0.453592) - 5.2553838048 * AP252 * (AVERAGE(AP5:AP6)*0.453592)</f>
        <v>886.48861715083513</v>
      </c>
      <c r="AR342" s="299">
        <f xml:space="preserve"> (-1619.2980797296 + 25.9248064834 * (AR251/1000) - 2657.6209162609 * AR236 +
123.0469725298 * AR253 - 9.2854579989 * AR316 + 872.0182830582 * AR252 + 26.664395965 * (AVERAGE(AR5:AR6)*0.453592) +
2599.7646012325 * AR236 * AR236- 0.1016237102 *  (AVERAGE(AR5:AR6)*0.453592) *  (AVERAGE(AR5:AR6)*0.453592) - 71.8618465276 * AR236 * AR253 -
607.1294449572 * AR236 * AR252 + 25.6463076451 * AR236 * (AVERAGE(AR5:AR6)*0.453592) - 0.8399854508 * AR253 * (AVERAGE(AR5:AR6)*0.453592) +
0.0967347393 * AR316 * (AVERAGE(AR5:AR6)*0.453592) - 5.2553838048 * AR252 * (AVERAGE(AR5:AR6)*0.453592))</f>
        <v>725.70833548714313</v>
      </c>
      <c r="AS342" s="299">
        <f xml:space="preserve"> -1619.2980797296 + 25.9248064834 * (AS251/1000) - 2657.6209162609 * AS236 +
123.0469725298 * AS253 - 9.2854579989 * AS316 + 872.0182830582 * AS252 + 26.664395965 * (AVERAGE(AS5:AS6)*0.453592) +
2599.7646012325 * AS236 * AS236- 0.1016237102 *  (AVERAGE(AS5:AS6)*0.453592) *  (AVERAGE(AS5:AS6)*0.453592) - 71.8618465276 * AS236 * AS253 -
607.1294449572 * AS236 * AS252 + 25.6463076451 * AS236 * (AVERAGE(AS5:AS6)*0.453592) - 0.8399854508 * AS253 * (AVERAGE(AS5:AS6)*0.453592) +
0.0967347393 * AS316 * (AVERAGE(AS5:AS6)*0.453592) - 5.2553838048 * AS252 * (AVERAGE(AS5:AS6)*0.453592)</f>
        <v>850.26358207143301</v>
      </c>
      <c r="AT342" s="299">
        <f xml:space="preserve"> -1619.2980797296 + 25.9248064834 * (AT251/1000) - 2657.6209162609 * AT236 +
123.0469725298 * AT253 - 9.2854579989 * AT316 + 872.0182830582 * AT252 + 26.664395965 * (AVERAGE(AT5:AT6)*0.453592) +
2599.7646012325 * AT236 * AT236- 0.1016237102 *  (AVERAGE(AT5:AT6)*0.453592) *  (AVERAGE(AT5:AT6)*0.453592) - 71.8618465276 * AT236 * AT253 -
607.1294449572 * AT236 * AT252 + 25.6463076451 * AT236 * (AVERAGE(AT5:AT6)*0.453592) - 0.8399854508 * AT253 * (AVERAGE(AT5:AT6)*0.453592) +
0.0967347393 * AT316 * (AVERAGE(AT5:AT6)*0.453592) - 5.2553838048 * AT252 * (AVERAGE(AT5:AT6)*0.453592)</f>
        <v>930.71636813888495</v>
      </c>
      <c r="AU342" s="299">
        <f xml:space="preserve"> -1619.2980797296 + 25.9248064834 * (AU251/1000) - 2657.6209162609 * AU236 +
123.0469725298 * AU253 - 9.2854579989 * AU316 + 872.0182830582 * AU252 + 26.664395965 * (AVERAGE(AU5:AU6)*0.453592) +
2599.7646012325 * AU236 * AU236- 0.1016237102 *  (AVERAGE(AU5:AU6)*0.453592) *  (AVERAGE(AU5:AU6)*0.453592) - 71.8618465276 * AU236 * AU253 -
607.1294449572 * AU236 * AU252 + 25.6463076451 * AU236 * (AVERAGE(AU5:AU6)*0.453592) - 0.8399854508 * AU253 * (AVERAGE(AU5:AU6)*0.453592) +
0.0967347393 * AU316 * (AVERAGE(AU5:AU6)*0.453592) - 5.2553838048 * AU252 * (AVERAGE(AU5:AU6)*0.453592)</f>
        <v>962.53800879494202</v>
      </c>
      <c r="AV342" s="299">
        <f xml:space="preserve"> -1619.2980797296 + 25.9248064834 * (AV251/1000) - 2657.6209162609 * AV236 +
123.0469725298 * AV253 - 9.2854579989 * AV316 + 872.0182830582 * AV252 + 26.664395965 * (AVERAGE(AV5:AV6)*0.453592) +
2599.7646012325 * AV236 * AV236- 0.1016237102 *  (AVERAGE(AV5:AV6)*0.453592) *  (AVERAGE(AV5:AV6)*0.453592) - 71.8618465276 * AV236 * AV253 -
607.1294449572 * AV236 * AV252 + 25.6463076451 * AV236 * (AVERAGE(AV5:AV6)*0.453592) - 0.8399854508 * AV253 * (AVERAGE(AV5:AV6)*0.453592) +
0.0967347393 * AV316 * (AVERAGE(AV5:AV6)*0.453592) - 5.2553838048 * AV252 * (AVERAGE(AV5:AV6)*0.453592)</f>
        <v>947.39723970899036</v>
      </c>
      <c r="AW342" s="299">
        <f xml:space="preserve"> -1619.2980797296 + 25.9248064834 * (AW251/1000) - 2657.6209162609 * AW236 +
123.0469725298 * AW253 - 9.2854579989 * AW316 + 872.0182830582 * AW252 + 26.664395965 * (AVERAGE(AW5:AW6)*0.453592) +
2599.7646012325 * AW236 * AW236- 0.1016237102 *  (AVERAGE(AW5:AW6)*0.453592) *  (AVERAGE(AW5:AW6)*0.453592) - 71.8618465276 * AW236 * AW253 -
607.1294449572 * AW236 * AW252 + 25.6463076451 * AW236 * (AVERAGE(AW5:AW6)*0.453592) - 0.8399854508 * AW253 * (AVERAGE(AW5:AW6)*0.453592) +
0.0967347393 * AW316 * (AVERAGE(AW5:AW6)*0.453592) - 5.2553838048 * AW252 * (AVERAGE(AW5:AW6)*0.453592)</f>
        <v>877.37148556115062</v>
      </c>
    </row>
    <row r="343" spans="1:52" x14ac:dyDescent="0.25">
      <c r="A343" s="298" t="s">
        <v>479</v>
      </c>
      <c r="B343" s="300">
        <f t="shared" ref="B343:G343" si="216">B342/B344*1000</f>
        <v>1359.5480024980595</v>
      </c>
      <c r="C343" s="300">
        <f t="shared" si="216"/>
        <v>1828.292464469157</v>
      </c>
      <c r="D343" s="300">
        <f t="shared" si="216"/>
        <v>2305.5922105887325</v>
      </c>
      <c r="E343" s="300">
        <f t="shared" si="216"/>
        <v>2729.415034120711</v>
      </c>
      <c r="F343" s="300">
        <f t="shared" si="216"/>
        <v>3011.820185199786</v>
      </c>
      <c r="G343" s="300">
        <f t="shared" si="216"/>
        <v>3094.1334754619566</v>
      </c>
      <c r="I343" s="300">
        <f t="shared" ref="I343:N343" si="217">I342/I344*1000</f>
        <v>1346.0575235344752</v>
      </c>
      <c r="J343" s="300">
        <f t="shared" si="217"/>
        <v>1808.595311865093</v>
      </c>
      <c r="K343" s="300">
        <f t="shared" si="217"/>
        <v>2279.5083502226785</v>
      </c>
      <c r="L343" s="300">
        <f t="shared" si="217"/>
        <v>2700.3612615711422</v>
      </c>
      <c r="M343" s="300">
        <f t="shared" si="217"/>
        <v>2987.6315457739638</v>
      </c>
      <c r="N343" s="300">
        <f t="shared" si="217"/>
        <v>3083.8966901901435</v>
      </c>
      <c r="P343" s="300">
        <f t="shared" ref="P343:U343" si="218">P342/P344*1000</f>
        <v>1332.8624926290099</v>
      </c>
      <c r="Q343" s="300">
        <f t="shared" si="218"/>
        <v>1789.3098606339688</v>
      </c>
      <c r="R343" s="300">
        <f t="shared" si="218"/>
        <v>2253.8731748737682</v>
      </c>
      <c r="S343" s="300">
        <f t="shared" si="218"/>
        <v>2671.6841291230453</v>
      </c>
      <c r="T343" s="300">
        <f t="shared" si="218"/>
        <v>2963.4336848946218</v>
      </c>
      <c r="U343" s="300">
        <f t="shared" si="218"/>
        <v>3073.7357586116796</v>
      </c>
      <c r="W343" s="300">
        <f t="shared" ref="W343:AB343" si="219">W342/W344*1000</f>
        <v>1319.8294826778078</v>
      </c>
      <c r="X343" s="300">
        <f t="shared" si="219"/>
        <v>1770.2488848051646</v>
      </c>
      <c r="Y343" s="300">
        <f t="shared" si="219"/>
        <v>2228.656365811431</v>
      </c>
      <c r="Z343" s="300">
        <f t="shared" si="219"/>
        <v>2643.1093688582519</v>
      </c>
      <c r="AA343" s="300">
        <f t="shared" si="219"/>
        <v>2938.4405548250534</v>
      </c>
      <c r="AB343" s="300">
        <f t="shared" si="219"/>
        <v>3062.2457947679045</v>
      </c>
      <c r="AD343" s="300">
        <f t="shared" ref="AD343:AI343" si="220">AD342/AD344*1000</f>
        <v>1307.0315999535521</v>
      </c>
      <c r="AE343" s="300">
        <f t="shared" si="220"/>
        <v>1751.5617488331043</v>
      </c>
      <c r="AF343" s="300">
        <f t="shared" si="220"/>
        <v>2203.7708364174064</v>
      </c>
      <c r="AG343" s="300">
        <f t="shared" si="220"/>
        <v>2614.9114448239866</v>
      </c>
      <c r="AH343" s="300">
        <f t="shared" si="220"/>
        <v>2914.0973596218037</v>
      </c>
      <c r="AI343" s="300">
        <f t="shared" si="220"/>
        <v>3050.9140731160091</v>
      </c>
      <c r="AK343" s="300">
        <f t="shared" ref="AK343:AP343" si="221">AK342/AK344*1000</f>
        <v>1294.4478777057961</v>
      </c>
      <c r="AL343" s="300">
        <f t="shared" si="221"/>
        <v>1733.2355395153918</v>
      </c>
      <c r="AM343" s="300">
        <f t="shared" si="221"/>
        <v>2179.5789117240365</v>
      </c>
      <c r="AN343" s="300">
        <f t="shared" si="221"/>
        <v>2587.6226674441846</v>
      </c>
      <c r="AO343" s="300">
        <f t="shared" si="221"/>
        <v>2889.870798769618</v>
      </c>
      <c r="AP343" s="300">
        <f t="shared" si="221"/>
        <v>3039.4193568646365</v>
      </c>
      <c r="AR343" s="300">
        <f t="shared" ref="AR343:AW343" si="222">AR342/AR344*1000</f>
        <v>1281.8816657962336</v>
      </c>
      <c r="AS343" s="300">
        <f t="shared" si="222"/>
        <v>1715.3369667994261</v>
      </c>
      <c r="AT343" s="300">
        <f t="shared" si="222"/>
        <v>2155.7875605878421</v>
      </c>
      <c r="AU343" s="300">
        <f t="shared" si="222"/>
        <v>2560.602748390314</v>
      </c>
      <c r="AV343" s="300">
        <f t="shared" si="222"/>
        <v>2865.7517354761844</v>
      </c>
      <c r="AW343" s="300">
        <f t="shared" si="222"/>
        <v>3027.7622838165016</v>
      </c>
      <c r="AZ343" s="373"/>
    </row>
    <row r="344" spans="1:52" x14ac:dyDescent="0.25">
      <c r="A344" s="298" t="s">
        <v>480</v>
      </c>
      <c r="B344" s="299">
        <f t="shared" ref="B344:G344" si="223" xml:space="preserve"> -232.8670000513 - (102.0339177026 * (B251/1000)) + (1386.8135453223 * B236) - (3.1583174866 * B253) + (80.3303777865 * B316) - (115.1570451563 * B252) + (4.1836503117 * (AVERAGE(B5:B6)*0.453592)) + (2553.6417073224 * B236 * B236) + (228.757399518 * B252 * B252) + (12.736240264 *  (B251/1000) * B253) - (24.4502664605 *  (B251/1000) * B316) - (23.0415882284 * B236 * B253) + (101.5847297779 * B236 * B316) - (1559.9331198689 * B236 *B252) - (3.9239483753 * B236 * (AVERAGE(B5:B6)*0.453592)) - (0.1078600966 * B253 * (AVERAGE(B5:B6)*0.453592)) - (28.1879330488 * B316 * B252) - (0.1153929924 * B316 * (AVERAGE(B5:B6)*0.453592))</f>
        <v>544.53845340080113</v>
      </c>
      <c r="C344" s="299">
        <f t="shared" si="223"/>
        <v>471.75579583355693</v>
      </c>
      <c r="D344" s="299">
        <f t="shared" si="223"/>
        <v>409.85407727163351</v>
      </c>
      <c r="E344" s="299">
        <f t="shared" si="223"/>
        <v>360.59074506150858</v>
      </c>
      <c r="F344" s="299">
        <f t="shared" si="223"/>
        <v>326.06282096567122</v>
      </c>
      <c r="G344" s="299">
        <f t="shared" si="223"/>
        <v>301.24235802326291</v>
      </c>
      <c r="I344" s="299">
        <f t="shared" ref="I344:N344" si="224" xml:space="preserve"> -232.8670000513 - (102.0339177026 * (I251/1000)) + (1386.8135453223 * I236) - (3.1583174866 * I253) + (80.3303777865 * I316) - (115.1570451563 * I252) + (4.1836503117 * (AVERAGE(I5:I6)*0.453592)) + (2553.6417073224 * I236 * I236) + (228.757399518 * I252 * I252) + (12.736240264 *  (I251/1000) * I253) - (24.4502664605 *  (I251/1000) * I316) - (23.0415882284 * I236 * I253) + (101.5847297779 * I236 * I316) - (1559.9331198689 * I236 *I252) - (3.9239483753 * I236 * (AVERAGE(I5:I6)*0.453592)) - (0.1078600966 * I253 * (AVERAGE(I5:I6)*0.453592)) - (28.1879330488 * I316 * I252) - (0.1153929924 * I316 * (AVERAGE(I5:I6)*0.453592))</f>
        <v>548.13616804173489</v>
      </c>
      <c r="J344" s="299">
        <f t="shared" si="224"/>
        <v>475.74147464882753</v>
      </c>
      <c r="K344" s="299">
        <f t="shared" si="224"/>
        <v>413.49391362962149</v>
      </c>
      <c r="L344" s="299">
        <f t="shared" si="224"/>
        <v>363.13725449078942</v>
      </c>
      <c r="M344" s="299">
        <f t="shared" si="224"/>
        <v>326.79784463924585</v>
      </c>
      <c r="N344" s="299">
        <f t="shared" si="224"/>
        <v>299.30516388331944</v>
      </c>
      <c r="P344" s="299">
        <f t="shared" ref="P344:U344" si="225" xml:space="preserve"> -232.8670000513 - (102.0339177026 * (P251/1000)) + (1386.8135453223 * P236) - (3.1583174866 * P253) + (80.3303777865 * P316) - (115.1570451563 * P252) + (4.1836503117 * (AVERAGE(P5:P6)*0.453592)) + (2553.6417073224 * P236 * P236) + (228.757399518 * P252 * P252) + (12.736240264 *  (P251/1000) * P253) - (24.4502664605 *  (P251/1000) * P316) - (23.0415882284 * P236 * P253) + (101.5847297779 * P236 * P316) - (1559.9331198689 * P236 *P252) - (3.9239483753 * P236 * (AVERAGE(P5:P6)*0.453592)) - (0.1078600966 * P253 * (AVERAGE(P5:P6)*0.453592)) - (28.1879330488 * P316 * P252) - (0.1153929924 * P316 * (AVERAGE(P5:P6)*0.453592))</f>
        <v>551.71776264187986</v>
      </c>
      <c r="Q344" s="299">
        <f t="shared" si="225"/>
        <v>479.72040315004631</v>
      </c>
      <c r="R344" s="299">
        <f t="shared" si="225"/>
        <v>417.13996726322972</v>
      </c>
      <c r="S344" s="299">
        <f t="shared" si="225"/>
        <v>365.68103520491923</v>
      </c>
      <c r="T344" s="299">
        <f t="shared" si="225"/>
        <v>327.53100961701546</v>
      </c>
      <c r="U344" s="299">
        <f t="shared" si="225"/>
        <v>297.36203691638764</v>
      </c>
      <c r="W344" s="299">
        <f t="shared" ref="W344:AB344" si="226" xml:space="preserve"> -232.8670000513 - (102.0339177026 * (W251/1000)) + (1386.8135453223 * W236) - (3.1583174866 * W253) + (80.3303777865 * W316) - (115.1570451563 * W252) + (4.1836503117 * (AVERAGE(W5:W6)*0.453592)) + (2553.6417073224 * W236 * W236) + (228.757399518 * W252 * W252) + (12.736240264 *  (W251/1000) * W253) - (24.4502664605 *  (W251/1000) * W316) - (23.0415882284 * W236 * W253) + (101.5847297779 * W236 * W316) - (1559.9331198689 * W236 *W252) - (3.9239483753 * W236 * (AVERAGE(W5:W6)*0.453592)) - (0.1078600966 * W253 * (AVERAGE(W5:W6)*0.453592)) - (28.1879330488 * W316 * W252) - (0.1153929924 * W316 * (AVERAGE(W5:W6)*0.453592))</f>
        <v>555.31056526434872</v>
      </c>
      <c r="X344" s="299">
        <f t="shared" si="226"/>
        <v>483.73901499139083</v>
      </c>
      <c r="Y344" s="299">
        <f t="shared" si="226"/>
        <v>420.79283801219384</v>
      </c>
      <c r="Z344" s="299">
        <f t="shared" si="226"/>
        <v>368.26915264044965</v>
      </c>
      <c r="AA344" s="299">
        <f t="shared" si="226"/>
        <v>328.31826271900195</v>
      </c>
      <c r="AB344" s="299">
        <f t="shared" si="226"/>
        <v>295.44513442811183</v>
      </c>
      <c r="AD344" s="299">
        <f t="shared" ref="AD344:AI344" si="227" xml:space="preserve"> -232.8670000513 - (102.0339177026 * (AD251/1000)) + (1386.8135453223 * AD236) - (3.1583174866 * AD253) + (80.3303777865 * AD316) - (115.1570451563 * AD252) + (4.1836503117 * (AVERAGE(AD5:AD6)*0.453592)) + (2553.6417073224 * AD236 * AD236) + (228.757399518 * AD252 * AD252) + (12.736240264 *  (AD251/1000) * AD253) - (24.4502664605 *  (AD251/1000) * AD316) - (23.0415882284 * AD236 * AD253) + (101.5847297779 * AD236 * AD316) - (1559.9331198689 * AD236 *AD252) - (3.9239483753 * AD236 * (AVERAGE(AD5:AD6)*0.453592)) - (0.1078600966 * AD253 * (AVERAGE(AD5:AD6)*0.453592)) - (28.1879330488 * AD316 * AD252) - (0.1153929924 * AD316 * (AVERAGE(AD5:AD6)*0.453592))</f>
        <v>558.91156851249946</v>
      </c>
      <c r="AE344" s="299">
        <f t="shared" si="227"/>
        <v>487.73504180043989</v>
      </c>
      <c r="AF344" s="299">
        <f t="shared" si="227"/>
        <v>424.4759228850063</v>
      </c>
      <c r="AG344" s="299">
        <f t="shared" si="227"/>
        <v>370.85566295655667</v>
      </c>
      <c r="AH344" s="299">
        <f t="shared" si="227"/>
        <v>329.06636226940708</v>
      </c>
      <c r="AI344" s="299">
        <f t="shared" si="227"/>
        <v>293.55327828828933</v>
      </c>
      <c r="AK344" s="299">
        <f t="shared" ref="AK344:AP344" si="228" xml:space="preserve"> -232.8670000513 - (102.0339177026 * (AK251/1000)) + (1386.8135453223 * AK236) - (3.1583174866 * AK253) + (80.3303777865 * AK316) - (115.1570451563 * AK252) + (4.1836503117 * (AVERAGE(AK5:AK6)*0.453592)) + (2553.6417073224 * AK236 * AK236) + (228.757399518 * AK252 * AK252) + (12.736240264 *  (AK251/1000) * AK253) - (24.4502664605 *  (AK251/1000) * AK316) - (23.0415882284 * AK236 * AK253) + (101.5847297779 * AK236 * AK316) - (1559.9331198689 * AK236 *AK252) - (3.9239483753 * AK236 * (AVERAGE(AK5:AK6)*0.453592)) - (0.1078600966 * AK253 * (AVERAGE(AK5:AK6)*0.453592)) - (28.1879330488 * AK316 * AK252) - (0.1153929924 * AK316 * (AVERAGE(AK5:AK6)*0.453592))</f>
        <v>562.47954762881193</v>
      </c>
      <c r="AL344" s="299">
        <f t="shared" si="228"/>
        <v>491.72132395957289</v>
      </c>
      <c r="AM344" s="299">
        <f t="shared" si="228"/>
        <v>428.09323903250197</v>
      </c>
      <c r="AN344" s="299">
        <f t="shared" si="228"/>
        <v>373.36354614001243</v>
      </c>
      <c r="AO344" s="299">
        <f t="shared" si="228"/>
        <v>329.82936941959872</v>
      </c>
      <c r="AP344" s="299">
        <f t="shared" si="228"/>
        <v>291.66380583471283</v>
      </c>
      <c r="AR344" s="299">
        <f t="shared" ref="AR344:AW344" si="229" xml:space="preserve"> -232.8670000513 - (102.0339177026 * (AR251/1000)) + (1386.8135453223 * AR236) - (3.1583174866 * AR253) + (80.3303777865 * AR316) - (115.1570451563 * AR252) + (4.1836503117 * (AVERAGE(AR5:AR6)*0.453592)) + (2553.6417073224 * AR236 * AR236) + (228.757399518 * AR252 * AR252) + (12.736240264 *  (AR251/1000) * AR253) - (24.4502664605 *  (AR251/1000) * AR316) - (23.0415882284 * AR236 * AR253) + (101.5847297779 * AR236 * AR316) - (1559.9331198689 * AR236 *AR252) - (3.9239483753 * AR236 * (AVERAGE(AR5:AR6)*0.453592)) - (0.1078600966 * AR253 * (AVERAGE(AR5:AR6)*0.453592)) - (28.1879330488 * AR316 * AR252) - (0.1153929924 * AR316 * (AVERAGE(AR5:AR6)*0.453592))</f>
        <v>566.12740071945211</v>
      </c>
      <c r="AS344" s="299">
        <f t="shared" si="229"/>
        <v>495.68312146732518</v>
      </c>
      <c r="AT344" s="299">
        <f t="shared" si="229"/>
        <v>431.72916717503296</v>
      </c>
      <c r="AU344" s="299">
        <f t="shared" si="229"/>
        <v>375.90290387684212</v>
      </c>
      <c r="AV344" s="299">
        <f t="shared" si="229"/>
        <v>330.59292191323306</v>
      </c>
      <c r="AW344" s="299">
        <f t="shared" si="229"/>
        <v>289.77555148590523</v>
      </c>
      <c r="AZ344" s="2"/>
    </row>
    <row r="345" spans="1:52" x14ac:dyDescent="0.25">
      <c r="A345" s="298" t="s">
        <v>134</v>
      </c>
      <c r="B345" s="301">
        <f t="shared" ref="B345:G345" si="230">IF(B323="","0",1/B344*1000)</f>
        <v>1.8364176005472321</v>
      </c>
      <c r="C345" s="301">
        <f t="shared" si="230"/>
        <v>2.1197407829045858</v>
      </c>
      <c r="D345" s="301">
        <f t="shared" si="230"/>
        <v>2.4398927702681932</v>
      </c>
      <c r="E345" s="301">
        <f t="shared" si="230"/>
        <v>2.7732270273032733</v>
      </c>
      <c r="F345" s="301">
        <f t="shared" si="230"/>
        <v>3.0668936649642822</v>
      </c>
      <c r="G345" s="301">
        <f t="shared" si="230"/>
        <v>3.319586284485188</v>
      </c>
      <c r="I345" s="301">
        <f t="shared" ref="I345:N345" si="231">IF(I323="","0",1/I344*1000)</f>
        <v>1.8243641968976225</v>
      </c>
      <c r="J345" s="301">
        <f t="shared" si="231"/>
        <v>2.1019819656004519</v>
      </c>
      <c r="K345" s="301">
        <f t="shared" si="231"/>
        <v>2.4184152826387888</v>
      </c>
      <c r="L345" s="301">
        <f t="shared" si="231"/>
        <v>2.7537797007422267</v>
      </c>
      <c r="M345" s="301">
        <f t="shared" si="231"/>
        <v>3.0599957019419946</v>
      </c>
      <c r="N345" s="301">
        <f t="shared" si="231"/>
        <v>3.3410716575202093</v>
      </c>
      <c r="P345" s="301">
        <f t="shared" ref="P345:U345" si="232">IF(P323="","0",1/P344*1000)</f>
        <v>1.812520944063025</v>
      </c>
      <c r="Q345" s="301">
        <f t="shared" si="232"/>
        <v>2.0845475686120052</v>
      </c>
      <c r="R345" s="301">
        <f t="shared" si="232"/>
        <v>2.3972768818121075</v>
      </c>
      <c r="S345" s="301">
        <f t="shared" si="232"/>
        <v>2.7346236302345375</v>
      </c>
      <c r="T345" s="301">
        <f t="shared" si="232"/>
        <v>3.0531460247666558</v>
      </c>
      <c r="U345" s="301">
        <f t="shared" si="232"/>
        <v>3.3629040558434848</v>
      </c>
      <c r="W345" s="301">
        <f t="shared" ref="W345:AB345" si="233">IF(W323="","0",1/W344*1000)</f>
        <v>1.8007941187359948</v>
      </c>
      <c r="X345" s="301">
        <f t="shared" si="233"/>
        <v>2.0672304052584987</v>
      </c>
      <c r="Y345" s="301">
        <f t="shared" si="233"/>
        <v>2.3764663028105573</v>
      </c>
      <c r="Z345" s="301">
        <f t="shared" si="233"/>
        <v>2.7154052758155522</v>
      </c>
      <c r="AA345" s="301">
        <f t="shared" si="233"/>
        <v>3.0458250836197647</v>
      </c>
      <c r="AB345" s="301">
        <f t="shared" si="233"/>
        <v>3.3847231972043916</v>
      </c>
      <c r="AD345" s="301">
        <f t="shared" ref="AD345:AI345" si="234">IF(AD323="","0",1/AD344*1000)</f>
        <v>1.7891918083954208</v>
      </c>
      <c r="AE345" s="301">
        <f t="shared" si="234"/>
        <v>2.050293528856507</v>
      </c>
      <c r="AF345" s="301">
        <f t="shared" si="234"/>
        <v>2.3558462237466116</v>
      </c>
      <c r="AG345" s="301">
        <f t="shared" si="234"/>
        <v>2.6964668465023371</v>
      </c>
      <c r="AH345" s="301">
        <f t="shared" si="234"/>
        <v>3.0389007041117702</v>
      </c>
      <c r="AI345" s="301">
        <f t="shared" si="234"/>
        <v>3.4065366458552435</v>
      </c>
      <c r="AK345" s="301">
        <f t="shared" ref="AK345:AP345" si="235">IF(AK323="","0",1/AK344*1000)</f>
        <v>1.7778424197210347</v>
      </c>
      <c r="AL345" s="301">
        <f t="shared" si="235"/>
        <v>2.0336722270808321</v>
      </c>
      <c r="AM345" s="301">
        <f t="shared" si="235"/>
        <v>2.3359397178521601</v>
      </c>
      <c r="AN345" s="301">
        <f t="shared" si="235"/>
        <v>2.6783546769319493</v>
      </c>
      <c r="AO345" s="301">
        <f t="shared" si="235"/>
        <v>3.0318706965353077</v>
      </c>
      <c r="AP345" s="301">
        <f t="shared" si="235"/>
        <v>3.4286050582728267</v>
      </c>
      <c r="AR345" s="301">
        <f t="shared" ref="AR345:AW345" si="236">IF(AR323="","0",1/AR344*1000)</f>
        <v>1.7663868569674763</v>
      </c>
      <c r="AS345" s="301">
        <f t="shared" si="236"/>
        <v>2.0174178960134692</v>
      </c>
      <c r="AT345" s="301">
        <f t="shared" si="236"/>
        <v>2.3162669470385282</v>
      </c>
      <c r="AU345" s="301">
        <f t="shared" si="236"/>
        <v>2.6602614390221158</v>
      </c>
      <c r="AV345" s="301">
        <f t="shared" si="236"/>
        <v>3.0248681496649179</v>
      </c>
      <c r="AW345" s="301">
        <f t="shared" si="236"/>
        <v>3.4509467581796329</v>
      </c>
      <c r="AZ345" s="180"/>
    </row>
    <row r="346" spans="1:52" x14ac:dyDescent="0.25">
      <c r="A346" s="298" t="s">
        <v>481</v>
      </c>
      <c r="B346" s="301">
        <f t="shared" ref="B346:G346" si="237">(B6-B5)*0.453592/(B342/1000)</f>
        <v>21.444223797755399</v>
      </c>
      <c r="C346" s="301">
        <f t="shared" si="237"/>
        <v>18.406470406661629</v>
      </c>
      <c r="D346" s="301">
        <f t="shared" si="237"/>
        <v>19.20054789166538</v>
      </c>
      <c r="E346" s="301">
        <f t="shared" si="237"/>
        <v>18.43491851613966</v>
      </c>
      <c r="F346" s="301">
        <f t="shared" si="237"/>
        <v>18.475451331583397</v>
      </c>
      <c r="G346" s="301">
        <f t="shared" si="237"/>
        <v>21.898926056424528</v>
      </c>
      <c r="I346" s="301">
        <f>(I351-I5)*0.453592/(I342/1000)</f>
        <v>21.444180657067676</v>
      </c>
      <c r="J346" s="301">
        <f>(J351-I351)*0.453592/(J342/1000)</f>
        <v>18.468861145667098</v>
      </c>
      <c r="K346" s="301">
        <f>(K351-J351)*0.453592/(K342/1000)</f>
        <v>19.241235076334746</v>
      </c>
      <c r="L346" s="301">
        <f>(L351-K351)*0.453592/(L342/1000)</f>
        <v>18.481784903982295</v>
      </c>
      <c r="M346" s="301">
        <f>(M351-L351)*0.453592/(M342/1000)</f>
        <v>18.543424990635529</v>
      </c>
      <c r="N346" s="301">
        <f>(N351-M351)*0.453592/(N342/1000)</f>
        <v>22.012833887749665</v>
      </c>
      <c r="P346" s="301">
        <f>(P351-P5)*0.453592/(P342/1000)</f>
        <v>21.444180512814388</v>
      </c>
      <c r="Q346" s="301">
        <f>(Q351-P351)*0.453592/(Q342/1000)</f>
        <v>18.5304401206206</v>
      </c>
      <c r="R346" s="301">
        <f>(R351-Q351)*0.453592/(R342/1000)</f>
        <v>19.281577029672029</v>
      </c>
      <c r="S346" s="301">
        <f>(S351-R351)*0.453592/(S342/1000)</f>
        <v>18.528776430584667</v>
      </c>
      <c r="T346" s="301">
        <f>(T351-S351)*0.453592/(T342/1000)</f>
        <v>18.612534884371275</v>
      </c>
      <c r="U346" s="301">
        <f>(U351-T351)*0.453592/(U342/1000)</f>
        <v>22.129884537842266</v>
      </c>
      <c r="W346" s="301">
        <f>(W351-W5)*0.453592/(W342/1000)</f>
        <v>21.444180368200207</v>
      </c>
      <c r="X346" s="301">
        <f>(X351-W351)*0.453592/(X342/1000)</f>
        <v>18.592052665087088</v>
      </c>
      <c r="Y346" s="301">
        <f>(Y351-X351)*0.453592/(Y342/1000)</f>
        <v>19.321625692823108</v>
      </c>
      <c r="Z346" s="301">
        <f>(Z351-Y351)*0.453592/(Z342/1000)</f>
        <v>18.576031100282854</v>
      </c>
      <c r="AA346" s="301">
        <f>(AA351-Z351)*0.453592/(AA342/1000)</f>
        <v>18.68232415303773</v>
      </c>
      <c r="AB346" s="301">
        <f>(AB351-AA351)*0.453592/(AB342/1000)</f>
        <v>22.252182562678868</v>
      </c>
      <c r="AD346" s="301">
        <f>(AD351-AD5)*0.453592/(AD342/1000)</f>
        <v>21.444180225508411</v>
      </c>
      <c r="AE346" s="301">
        <f>(AE351-AD351)*0.453592/(AE342/1000)</f>
        <v>18.652744062285436</v>
      </c>
      <c r="AF346" s="301">
        <f>(AF351-AE351)*0.453592/(AF342/1000)</f>
        <v>19.362078906597588</v>
      </c>
      <c r="AG346" s="301">
        <f>(AG351-AF351)*0.453592/(AG342/1000)</f>
        <v>18.623185103685412</v>
      </c>
      <c r="AH346" s="301">
        <f>(AH351-AG351)*0.453592/(AH342/1000)</f>
        <v>18.753188402720575</v>
      </c>
      <c r="AI346" s="301">
        <f>(AI351-AH351)*0.453592/(AI342/1000)</f>
        <v>22.375681238741759</v>
      </c>
      <c r="AK346" s="301">
        <f>(AK351-AK5)*0.453592/(AK342/1000)</f>
        <v>21.444180081008241</v>
      </c>
      <c r="AL346" s="301">
        <f>(AL351-AK351)*0.453592/(AL342/1000)</f>
        <v>18.714085606058251</v>
      </c>
      <c r="AM346" s="301">
        <f>(AM351-AL351)*0.453592/(AM342/1000)</f>
        <v>19.402521007844101</v>
      </c>
      <c r="AN346" s="301">
        <f>(AN351-AM351)*0.453592/(AN342/1000)</f>
        <v>18.671284929069639</v>
      </c>
      <c r="AO346" s="301">
        <f>(AO351-AN351)*0.453592/(AO342/1000)</f>
        <v>18.825090164827966</v>
      </c>
      <c r="AP346" s="301">
        <f>(AP351-AO351)*0.453592/(AP342/1000)</f>
        <v>22.500778675399623</v>
      </c>
      <c r="AR346" s="301">
        <f>(AR351-AR5)*0.453592/(AR342/1000)</f>
        <v>21.444179936906615</v>
      </c>
      <c r="AS346" s="301">
        <f>(AS351-AR351)*0.453592/(AS342/1000)</f>
        <v>18.775142014533465</v>
      </c>
      <c r="AT346" s="301">
        <f>(AT351-AS351)*0.453592/(AT342/1000)</f>
        <v>19.442688246434916</v>
      </c>
      <c r="AU346" s="301">
        <f>(AU351-AT351)*0.453592/(AU342/1000)</f>
        <v>18.718975662448919</v>
      </c>
      <c r="AV346" s="301">
        <f>(AV351-AU351)*0.453592/(AV342/1000)</f>
        <v>18.896995983012399</v>
      </c>
      <c r="AW346" s="301">
        <f>(AW351-AV351)*0.453592/(AW342/1000)</f>
        <v>22.628473197452966</v>
      </c>
    </row>
    <row r="347" spans="1:52" x14ac:dyDescent="0.25">
      <c r="A347" s="298" t="s">
        <v>482</v>
      </c>
      <c r="B347" s="299">
        <f t="shared" ref="B347:G347" si="238" xml:space="preserve"> 51.6684755267 + 7.1030096064 * (B251/1000) + 54.0870565413 * B236 + 1.6439820046 * B253 + 0.4039153805 * B316 - 20.5375389219 * B252 + 0.2869358688 *(AVERAGE(B5:B6)*0.453592) - 0.016597667 * B316 * B316 - 0.1531408962 * (B251/1000) * (AVERAGE(B5:B6)*0.453592) - 4.8153797375 * B236 * B253 + 0.5304361357 * B236 * (AVERAGE(B5:B6)*0.453592) + 0.9830652207 * B253 * B252 - 0.0127129553 * B253 *(AVERAGE(B5:B6)*0.453592)</f>
        <v>58.926946242378264</v>
      </c>
      <c r="C347" s="299">
        <f t="shared" si="238"/>
        <v>66.189194917789251</v>
      </c>
      <c r="D347" s="299">
        <f t="shared" si="238"/>
        <v>71.395755678401272</v>
      </c>
      <c r="E347" s="299">
        <f t="shared" si="238"/>
        <v>74.83136084114436</v>
      </c>
      <c r="F347" s="299">
        <f t="shared" si="238"/>
        <v>76.96558226351317</v>
      </c>
      <c r="G347" s="299">
        <f t="shared" si="238"/>
        <v>78.664524560378098</v>
      </c>
      <c r="I347" s="299">
        <f t="shared" ref="I347:N347" si="239" xml:space="preserve"> 51.6684755267 + 7.1030096064 * (I251/1000) + 54.0870565413 * I236 + 1.6439820046 * I253 + 0.4039153805 * I316 - 20.5375389219 * I252 + 0.2869358688 *(AVERAGE(I5:I6)*0.453592) - 0.016597667 * I316 * I316 - 0.1531408962 * (I251/1000) * (AVERAGE(I5:I6)*0.453592) - 4.8153797375 * I236 * I253 + 0.5304361357 * I236 * (AVERAGE(I5:I6)*0.453592) + 0.9830652207 * I253 * I252 - 0.0127129553 * I253 *(AVERAGE(I5:I6)*0.453592)</f>
        <v>59.09139613138931</v>
      </c>
      <c r="J347" s="299">
        <f t="shared" si="239"/>
        <v>66.313420302963252</v>
      </c>
      <c r="K347" s="299">
        <f t="shared" si="239"/>
        <v>71.471346393132137</v>
      </c>
      <c r="L347" s="299">
        <f t="shared" si="239"/>
        <v>74.84636152949102</v>
      </c>
      <c r="M347" s="299">
        <f t="shared" si="239"/>
        <v>76.910352430709082</v>
      </c>
      <c r="N347" s="299">
        <f t="shared" si="239"/>
        <v>78.521562398728918</v>
      </c>
      <c r="P347" s="299">
        <f t="shared" ref="P347:U347" si="240" xml:space="preserve"> 51.6684755267 + 7.1030096064 * (P251/1000) + 54.0870565413 * P236 + 1.6439820046 * P253 + 0.4039153805 * P316 - 20.5375389219 * P252 + 0.2869358688 *(AVERAGE(P5:P6)*0.453592) - 0.016597667 * P316 * P316 - 0.1531408962 * (P251/1000) * (AVERAGE(P5:P6)*0.453592) - 4.8153797375 * P236 * P253 + 0.5304361357 * P236 * (AVERAGE(P5:P6)*0.453592) + 0.9830652207 * P253 * P252 - 0.0127129553 * P253 *(AVERAGE(P5:P6)*0.453592)</f>
        <v>59.213405696969289</v>
      </c>
      <c r="Q347" s="299">
        <f t="shared" si="240"/>
        <v>66.394267678839796</v>
      </c>
      <c r="R347" s="299">
        <f t="shared" si="240"/>
        <v>71.503229001911293</v>
      </c>
      <c r="S347" s="299">
        <f t="shared" si="240"/>
        <v>74.816417617610782</v>
      </c>
      <c r="T347" s="299">
        <f t="shared" si="240"/>
        <v>76.809839826814795</v>
      </c>
      <c r="U347" s="299">
        <f t="shared" si="240"/>
        <v>78.335444785364842</v>
      </c>
      <c r="W347" s="299">
        <f t="shared" ref="W347:AB347" si="241" xml:space="preserve"> 51.6684755267 + 7.1030096064 * (W251/1000) + 54.0870565413 * W236 + 1.6439820046 * W253 + 0.4039153805 * W316 - 20.5375389219 * W252 + 0.2869358688 *(AVERAGE(W5:W6)*0.453592) - 0.016597667 * W316 * W316 - 0.1531408962 * (W251/1000) * (AVERAGE(W5:W6)*0.453592) - 4.8153797375 * W236 * W253 + 0.5304361357 * W236 * (AVERAGE(W5:W6)*0.453592) + 0.9830652207 * W253 * W252 - 0.0127129553 * W253 *(AVERAGE(W5:W6)*0.453592)</f>
        <v>59.292236558404859</v>
      </c>
      <c r="X347" s="299">
        <f t="shared" si="241"/>
        <v>66.432213572130166</v>
      </c>
      <c r="Y347" s="299">
        <f t="shared" si="241"/>
        <v>71.491030740073782</v>
      </c>
      <c r="Z347" s="299">
        <f t="shared" si="241"/>
        <v>74.741625292437405</v>
      </c>
      <c r="AA347" s="299">
        <f t="shared" si="241"/>
        <v>76.659885906926505</v>
      </c>
      <c r="AB347" s="299">
        <f t="shared" si="241"/>
        <v>78.098286649163228</v>
      </c>
      <c r="AD347" s="299">
        <f t="shared" ref="AD347:AI347" si="242" xml:space="preserve"> 51.6684755267 + 7.1030096064 * (AD251/1000) + 54.0870565413 * AD236 + 1.6439820046 * AD253 + 0.4039153805 * AD316 - 20.5375389219 * AD252 + 0.2869358688 *(AVERAGE(AD5:AD6)*0.453592) - 0.016597667 * AD316 * AD316 - 0.1531408962 * (AD251/1000) * (AVERAGE(AD5:AD6)*0.453592) - 4.8153797375 * AD236 * AD253 + 0.5304361357 * AD236 * (AVERAGE(AD5:AD6)*0.453592) + 0.9830652207 * AD253 * AD252 - 0.0127129553 * AD253 *(AVERAGE(AD5:AD6)*0.453592)</f>
        <v>59.327622154748106</v>
      </c>
      <c r="AE347" s="299">
        <f t="shared" si="242"/>
        <v>66.425476727488331</v>
      </c>
      <c r="AF347" s="299">
        <f t="shared" si="242"/>
        <v>71.434541791076924</v>
      </c>
      <c r="AG347" s="299">
        <f t="shared" si="242"/>
        <v>74.622045819313882</v>
      </c>
      <c r="AH347" s="299">
        <f t="shared" si="242"/>
        <v>76.469002554340079</v>
      </c>
      <c r="AI347" s="299">
        <f t="shared" si="242"/>
        <v>77.821008713907844</v>
      </c>
      <c r="AK347" s="299">
        <f t="shared" ref="AK347:AP347" si="243" xml:space="preserve"> 51.6684755267 + 7.1030096064 * (AK251/1000) + 54.0870565413 * AK236 + 1.6439820046 * AK253 + 0.4039153805 * AK316 - 20.5375389219 * AK252 + 0.2869358688 *(AVERAGE(AK5:AK6)*0.453592) - 0.016597667 * AK316 * AK316 - 0.1531408962 * (AK251/1000) * (AVERAGE(AK5:AK6)*0.453592) - 4.8153797375 * AK236 * AK253 + 0.5304361357 * AK236 * (AVERAGE(AK5:AK6)*0.453592) + 0.9830652207 * AK253 * AK252 - 0.0127129553 * AK253 *(AVERAGE(AK5:AK6)*0.453592)</f>
        <v>59.318356467807462</v>
      </c>
      <c r="AL347" s="299">
        <f t="shared" si="243"/>
        <v>66.374582841623081</v>
      </c>
      <c r="AM347" s="299">
        <f t="shared" si="243"/>
        <v>71.333617885657461</v>
      </c>
      <c r="AN347" s="299">
        <f t="shared" si="243"/>
        <v>74.459439202728745</v>
      </c>
      <c r="AO347" s="299">
        <f t="shared" si="243"/>
        <v>76.23542246748292</v>
      </c>
      <c r="AP347" s="299">
        <f t="shared" si="243"/>
        <v>77.500468840783455</v>
      </c>
      <c r="AR347" s="299">
        <f t="shared" ref="AR347:AW347" si="244" xml:space="preserve"> 51.6684755267 + 7.1030096064 * (AR251/1000) + 54.0870565413 * AR236 + 1.6439820046 * AR253 + 0.4039153805 * AR316 - 20.5375389219 * AR252 + 0.2869358688 *(AVERAGE(AR5:AR6)*0.453592) - 0.016597667 * AR316 * AR316 - 0.1531408962 * (AR251/1000) * (AVERAGE(AR5:AR6)*0.453592) - 4.8153797375 * AR236 * AR253 + 0.5304361357 * AR236 * (AVERAGE(AR5:AR6)*0.453592) + 0.9830652207 * AR253 * AR252 - 0.0127129553 * AR253 *(AVERAGE(AR5:AR6)*0.453592)</f>
        <v>59.265466489103638</v>
      </c>
      <c r="AS347" s="299">
        <f t="shared" si="244"/>
        <v>66.279535537836878</v>
      </c>
      <c r="AT347" s="299">
        <f t="shared" si="244"/>
        <v>71.188164550840597</v>
      </c>
      <c r="AU347" s="299">
        <f t="shared" si="244"/>
        <v>74.254493489462334</v>
      </c>
      <c r="AV347" s="299">
        <f t="shared" si="244"/>
        <v>75.958637070765008</v>
      </c>
      <c r="AW347" s="299">
        <f t="shared" si="244"/>
        <v>77.136700427087376</v>
      </c>
    </row>
    <row r="348" spans="1:52" x14ac:dyDescent="0.25">
      <c r="A348" s="298" t="s">
        <v>474</v>
      </c>
      <c r="B348" s="299">
        <f t="shared" ref="B348:G348" si="245" xml:space="preserve"> 41.4410513954 + (14.8656283053 * B236) - (0.6326892081 * B253) - (12.1380129342 * B252) -
(0.0133880688 * (B253^2)) + (1.1112817574 * (B252^2))</f>
        <v>9.5560371255009784</v>
      </c>
      <c r="C348" s="299">
        <f t="shared" si="245"/>
        <v>10.757396605242121</v>
      </c>
      <c r="D348" s="299">
        <f t="shared" si="245"/>
        <v>12.259709285644082</v>
      </c>
      <c r="E348" s="299">
        <f t="shared" si="245"/>
        <v>14.049104759357949</v>
      </c>
      <c r="F348" s="299">
        <f t="shared" si="245"/>
        <v>15.652515990358797</v>
      </c>
      <c r="G348" s="299">
        <f t="shared" si="245"/>
        <v>16.585997021003028</v>
      </c>
      <c r="I348" s="299">
        <f t="shared" ref="I348:N348" si="246" xml:space="preserve"> 41.4410513954 + (14.8656283053 * I236) - (0.6326892081 * I253) - (12.1380129342 * I252) -
(0.0133880688 * (I253^2)) + (1.1112817574 * (I252^2))</f>
        <v>9.0933048618120118</v>
      </c>
      <c r="J348" s="299">
        <f t="shared" si="246"/>
        <v>10.311012862634842</v>
      </c>
      <c r="K348" s="299">
        <f t="shared" si="246"/>
        <v>11.823664253738526</v>
      </c>
      <c r="L348" s="299">
        <f t="shared" si="246"/>
        <v>13.630979852848109</v>
      </c>
      <c r="M348" s="299">
        <f t="shared" si="246"/>
        <v>15.248496810138954</v>
      </c>
      <c r="N348" s="299">
        <f t="shared" si="246"/>
        <v>16.184725482407622</v>
      </c>
      <c r="P348" s="299">
        <f t="shared" ref="P348:U348" si="247" xml:space="preserve"> 41.4410513954 + (14.8656283053 * P236) - (0.6326892081 * P253) - (12.1380129342 * P252) -
(0.0133880688 * (P253^2)) + (1.1112817574 * (P252^2))</f>
        <v>8.6242264868095067</v>
      </c>
      <c r="Q348" s="299">
        <f t="shared" si="247"/>
        <v>9.8574304209795365</v>
      </c>
      <c r="R348" s="299">
        <f t="shared" si="247"/>
        <v>11.384026026423545</v>
      </c>
      <c r="S348" s="299">
        <f t="shared" si="247"/>
        <v>13.204884468312088</v>
      </c>
      <c r="T348" s="299">
        <f t="shared" si="247"/>
        <v>14.837241706198098</v>
      </c>
      <c r="U348" s="299">
        <f t="shared" si="247"/>
        <v>15.780590450602279</v>
      </c>
      <c r="W348" s="299">
        <f t="shared" ref="W348:AB348" si="248" xml:space="preserve"> 41.4410513954 + (14.8656283053 * W236) - (0.6326892081 * W253) - (12.1380129342 * W252) -
(0.0133880688 * (W253^2)) + (1.1112817574 * (W252^2))</f>
        <v>8.1510930677487536</v>
      </c>
      <c r="X348" s="299">
        <f t="shared" si="248"/>
        <v>9.3991090791810272</v>
      </c>
      <c r="Y348" s="299">
        <f t="shared" si="248"/>
        <v>10.939436909321465</v>
      </c>
      <c r="Z348" s="299">
        <f t="shared" si="248"/>
        <v>12.771966731073549</v>
      </c>
      <c r="AA348" s="299">
        <f t="shared" si="248"/>
        <v>14.411122606313359</v>
      </c>
      <c r="AB348" s="299">
        <f t="shared" si="248"/>
        <v>15.362537127235594</v>
      </c>
      <c r="AD348" s="299">
        <f t="shared" ref="AD348:AI348" si="249" xml:space="preserve"> 41.4410513954 + (14.8656283053 * AD236) - (0.6326892081 * AD253) - (12.1380129342 * AD252) -
(0.0133880688 * (AD253^2)) + (1.1112817574 * (AD252^2))</f>
        <v>7.6700654777157986</v>
      </c>
      <c r="AE348" s="299">
        <f t="shared" si="249"/>
        <v>8.9364822664303851</v>
      </c>
      <c r="AF348" s="299">
        <f t="shared" si="249"/>
        <v>10.487077634288781</v>
      </c>
      <c r="AG348" s="299">
        <f t="shared" si="249"/>
        <v>12.33234149436136</v>
      </c>
      <c r="AH348" s="299">
        <f t="shared" si="249"/>
        <v>13.985626544785905</v>
      </c>
      <c r="AI348" s="299">
        <f t="shared" si="249"/>
        <v>14.946586295660897</v>
      </c>
      <c r="AK348" s="299">
        <f t="shared" ref="AK348:AP348" si="250" xml:space="preserve"> 41.4410513954 + (14.8656283053 * AK236) - (0.6326892081 * AK253) - (12.1380129342 * AK252) -
(0.0133880688 * (AK253^2)) + (1.1112817574 * (AK252^2))</f>
        <v>7.1853653926390351</v>
      </c>
      <c r="AL348" s="299">
        <f t="shared" si="250"/>
        <v>8.4684247652800657</v>
      </c>
      <c r="AM348" s="299">
        <f t="shared" si="250"/>
        <v>10.032696964274615</v>
      </c>
      <c r="AN348" s="299">
        <f t="shared" si="250"/>
        <v>11.887990957422288</v>
      </c>
      <c r="AO348" s="299">
        <f t="shared" si="250"/>
        <v>13.558286189646102</v>
      </c>
      <c r="AP348" s="299">
        <f t="shared" si="250"/>
        <v>14.526247445616104</v>
      </c>
      <c r="AR348" s="299">
        <f t="shared" ref="AR348:AW348" si="251" xml:space="preserve"> 41.4410513954 + (14.8656283053 * AR236) - (0.6326892081 * AR253) - (12.1380129342 * AR252) -
(0.0133880688 * (AR253^2)) + (1.1112817574 * (AR252^2))</f>
        <v>6.6969433924295458</v>
      </c>
      <c r="AS348" s="299">
        <f t="shared" si="251"/>
        <v>7.9920964947221336</v>
      </c>
      <c r="AT348" s="299">
        <f t="shared" si="251"/>
        <v>9.5645988475590684</v>
      </c>
      <c r="AU348" s="299">
        <f t="shared" si="251"/>
        <v>11.44361850021634</v>
      </c>
      <c r="AV348" s="299">
        <f t="shared" si="251"/>
        <v>13.126486599606135</v>
      </c>
      <c r="AW348" s="299">
        <f t="shared" si="251"/>
        <v>14.101446778165059</v>
      </c>
    </row>
    <row r="349" spans="1:52" x14ac:dyDescent="0.25">
      <c r="A349" s="298" t="s">
        <v>483</v>
      </c>
      <c r="B349" s="299">
        <f t="shared" ref="B349:G349" si="252" xml:space="preserve"> -16.7992454106 + 17.2658536059 * (B251/1000) - 106.6634904715 * B236 + 0.1550376119 * B253 - 0.0727312562 * B316 + 48.6541457906 * B252 - 0.1535643762 * B253 * B253 - 0.0358142801 * B316 * B316 - 5.4618633046 * B252 * B252 + 4.2267870055 * B236 * B253 - 2.0313848595 * B236 * B316 + 0.1484978883 * B253 * B316</f>
        <v>51.865570489059841</v>
      </c>
      <c r="C349" s="299">
        <f t="shared" si="252"/>
        <v>57.191564116130472</v>
      </c>
      <c r="D349" s="299">
        <f t="shared" si="252"/>
        <v>59.985859623399051</v>
      </c>
      <c r="E349" s="299">
        <f t="shared" si="252"/>
        <v>60.902879894464405</v>
      </c>
      <c r="F349" s="299">
        <f t="shared" si="252"/>
        <v>60.770621726469166</v>
      </c>
      <c r="G349" s="299">
        <f t="shared" si="252"/>
        <v>60.466263275736296</v>
      </c>
      <c r="I349" s="299">
        <f t="shared" ref="I349:N349" si="253" xml:space="preserve"> -16.7992454106 + 17.2658536059 * (I251/1000) - 106.6634904715 * I236 + 0.1550376119 * I253 - 0.0727312562 * I316 + 48.6541457906 * I252 - 0.1535643762 * I253 * I253 - 0.0358142801 * I316 * I316 - 5.4618633046 * I252 * I252 + 4.2267870055 * I236 * I253 - 2.0313848595 * I236 * I316 + 0.1484978883 * I253 * I316</f>
        <v>51.783866857205012</v>
      </c>
      <c r="J349" s="299">
        <f t="shared" si="253"/>
        <v>57.125618094797098</v>
      </c>
      <c r="K349" s="299">
        <f t="shared" si="253"/>
        <v>59.934030001518721</v>
      </c>
      <c r="L349" s="299">
        <f t="shared" si="253"/>
        <v>60.850116086046441</v>
      </c>
      <c r="M349" s="299">
        <f t="shared" si="253"/>
        <v>60.707554439258523</v>
      </c>
      <c r="N349" s="299">
        <f t="shared" si="253"/>
        <v>60.400406806900058</v>
      </c>
      <c r="P349" s="299">
        <f t="shared" ref="P349:U349" si="254" xml:space="preserve"> -16.7992454106 + 17.2658536059 * (P251/1000) - 106.6634904715 * P236 + 0.1550376119 * P253 - 0.0727312562 * P316 + 48.6541457906 * P252 - 0.1535643762 * P253 * P253 - 0.0358142801 * P316 * P316 - 5.4618633046 * P252 * P252 + 4.2267870055 * P236 * P253 - 2.0313848595 * P236 * P316 + 0.1484978883 * P253 * P316</f>
        <v>51.701273375053937</v>
      </c>
      <c r="Q349" s="299">
        <f t="shared" si="254"/>
        <v>57.054991340604431</v>
      </c>
      <c r="R349" s="299">
        <f t="shared" si="254"/>
        <v>59.876062262285146</v>
      </c>
      <c r="S349" s="299">
        <f t="shared" si="254"/>
        <v>60.791961352377797</v>
      </c>
      <c r="T349" s="299">
        <f t="shared" si="254"/>
        <v>60.638737841734908</v>
      </c>
      <c r="U349" s="299">
        <f t="shared" si="254"/>
        <v>60.326608398747922</v>
      </c>
      <c r="W349" s="299">
        <f t="shared" ref="W349:AB349" si="255" xml:space="preserve"> -16.7992454106 + 17.2658536059 * (W251/1000) - 106.6634904715 * W236 + 0.1550376119 * W253 - 0.0727312562 * W316 + 48.6541457906 * W252 - 0.1535643762 * W253 * W253 - 0.0358142801 * W316 * W316 - 5.4618633046 * W252 * W252 + 4.2267870055 * W236 * W253 - 2.0313848595 * W236 * W316 + 0.1484978883 * W253 * W316</f>
        <v>51.615797751803427</v>
      </c>
      <c r="X349" s="299">
        <f t="shared" si="255"/>
        <v>56.981560306091339</v>
      </c>
      <c r="Y349" s="299">
        <f t="shared" si="255"/>
        <v>59.811755077100386</v>
      </c>
      <c r="Z349" s="299">
        <f t="shared" si="255"/>
        <v>60.729286038228253</v>
      </c>
      <c r="AA349" s="299">
        <f t="shared" si="255"/>
        <v>60.570057420500376</v>
      </c>
      <c r="AB349" s="299">
        <f t="shared" si="255"/>
        <v>60.253330203064678</v>
      </c>
      <c r="AD349" s="299">
        <f t="shared" ref="AD349:AI349" si="256" xml:space="preserve"> -16.7992454106 + 17.2658536059 * (AD251/1000) - 106.6634904715 * AD236 + 0.1550376119 * AD253 - 0.0727312562 * AD316 + 48.6541457906 * AD252 - 0.1535643762 * AD253 * AD253 - 0.0358142801 * AD316 * AD316 - 5.4618633046 * AD252 * AD252 + 4.2267870055 * AD236 * AD253 - 2.0313848595 * AD236 * AD316 + 0.1484978883 * AD253 * AD316</f>
        <v>51.528196427835837</v>
      </c>
      <c r="AE349" s="299">
        <f t="shared" si="256"/>
        <v>56.899524710044396</v>
      </c>
      <c r="AF349" s="299">
        <f t="shared" si="256"/>
        <v>59.743742974388688</v>
      </c>
      <c r="AG349" s="299">
        <f t="shared" si="256"/>
        <v>60.661311299934667</v>
      </c>
      <c r="AH349" s="299">
        <f t="shared" si="256"/>
        <v>60.494952417231694</v>
      </c>
      <c r="AI349" s="299">
        <f t="shared" si="256"/>
        <v>60.173101180018151</v>
      </c>
      <c r="AK349" s="299">
        <f t="shared" ref="AK349:AP349" si="257" xml:space="preserve"> -16.7992454106 + 17.2658536059 * (AK251/1000) - 106.6634904715 * AK236 + 0.1550376119 * AK253 - 0.0727312562 * AK316 + 48.6541457906 * AK252 - 0.1535643762 * AK253 * AK253 - 0.0358142801 * AK316 * AK316 - 5.4618633046 * AK252 * AK252 + 4.2267870055 * AK236 * AK253 - 2.0313848595 * AK236 * AK316 + 0.1484978883 * AK253 * AK316</f>
        <v>51.430326388055704</v>
      </c>
      <c r="AL349" s="299">
        <f t="shared" si="257"/>
        <v>56.811336359911465</v>
      </c>
      <c r="AM349" s="299">
        <f t="shared" si="257"/>
        <v>59.665516320557913</v>
      </c>
      <c r="AN349" s="299">
        <f t="shared" si="257"/>
        <v>60.588758520318819</v>
      </c>
      <c r="AO349" s="299">
        <f t="shared" si="257"/>
        <v>60.413356563780425</v>
      </c>
      <c r="AP349" s="299">
        <f t="shared" si="257"/>
        <v>60.086775487926786</v>
      </c>
      <c r="AR349" s="299">
        <f t="shared" ref="AR349:AW349" si="258" xml:space="preserve"> -16.7992454106 + 17.2658536059 * (AR251/1000) - 106.6634904715 * AR236 + 0.1550376119 * AR253 - 0.0727312562 * AR316 + 48.6541457906 * AR252 - 0.1535643762 * AR253 * AR253 - 0.0358142801 * AR316 * AR316 - 5.4618633046 * AR252 * AR252 + 4.2267870055 * AR236 * AR253 - 2.0313848595 * AR236 * AR316 + 0.1484978883 * AR253 * AR316</f>
        <v>51.333048683753852</v>
      </c>
      <c r="AS349" s="299">
        <f t="shared" si="258"/>
        <v>56.717888089032421</v>
      </c>
      <c r="AT349" s="299">
        <f t="shared" si="258"/>
        <v>59.587513468898166</v>
      </c>
      <c r="AU349" s="299">
        <f t="shared" si="258"/>
        <v>60.509888062978689</v>
      </c>
      <c r="AV349" s="299">
        <f t="shared" si="258"/>
        <v>60.325688480526559</v>
      </c>
      <c r="AW349" s="299">
        <f t="shared" si="258"/>
        <v>59.994377522375125</v>
      </c>
    </row>
    <row r="350" spans="1:52" x14ac:dyDescent="0.25">
      <c r="A350" s="298" t="s">
        <v>484</v>
      </c>
      <c r="B350" s="299">
        <f t="shared" ref="B350:G350" si="259" xml:space="preserve"> 49.3215904687 - 4.5564383267 * (B251/1000) + 31.3355706686 * B236 + 0.0864922401 * B253 - 16.201377828 * B236 * B236</f>
        <v>53.767985207144591</v>
      </c>
      <c r="C350" s="299">
        <f t="shared" si="259"/>
        <v>54.221957863966054</v>
      </c>
      <c r="D350" s="299">
        <f t="shared" si="259"/>
        <v>54.11985087991409</v>
      </c>
      <c r="E350" s="299">
        <f t="shared" si="259"/>
        <v>53.644786108848308</v>
      </c>
      <c r="F350" s="299">
        <f t="shared" si="259"/>
        <v>53.100859923606755</v>
      </c>
      <c r="G350" s="299">
        <f t="shared" si="259"/>
        <v>52.737723960313936</v>
      </c>
      <c r="I350" s="299">
        <f t="shared" ref="I350:N350" si="260" xml:space="preserve"> 49.3215904687 - 4.5564383267 * (I251/1000) + 31.3355706686 * I236 + 0.0864922401 * I253 - 16.201377828 * I236 * I236</f>
        <v>53.805166262959759</v>
      </c>
      <c r="J350" s="299">
        <f t="shared" si="260"/>
        <v>54.258441790395381</v>
      </c>
      <c r="K350" s="299">
        <f t="shared" si="260"/>
        <v>54.15629245890738</v>
      </c>
      <c r="L350" s="299">
        <f t="shared" si="260"/>
        <v>53.680605208877083</v>
      </c>
      <c r="M350" s="299">
        <f t="shared" si="260"/>
        <v>53.13647582019366</v>
      </c>
      <c r="N350" s="299">
        <f t="shared" si="260"/>
        <v>52.773525168130838</v>
      </c>
      <c r="P350" s="299">
        <f t="shared" ref="P350:U350" si="261" xml:space="preserve"> 49.3215904687 - 4.5564383267 * (P251/1000) + 31.3355706686 * P236 + 0.0864922401 * P253 - 16.201377828 * P236 * P236</f>
        <v>53.841518926567701</v>
      </c>
      <c r="Q350" s="299">
        <f t="shared" si="261"/>
        <v>54.294770838288713</v>
      </c>
      <c r="R350" s="299">
        <f t="shared" si="261"/>
        <v>54.192099907268307</v>
      </c>
      <c r="S350" s="299">
        <f t="shared" si="261"/>
        <v>53.71678061833218</v>
      </c>
      <c r="T350" s="299">
        <f t="shared" si="261"/>
        <v>53.172389210444507</v>
      </c>
      <c r="U350" s="299">
        <f t="shared" si="261"/>
        <v>52.809234942042359</v>
      </c>
      <c r="W350" s="299">
        <f t="shared" ref="W350:AB350" si="262" xml:space="preserve"> 49.3215904687 - 4.5564383267 * (W251/1000) + 31.3355706686 * W236 + 0.0864922401 * W253 - 16.201377828 * W236 * W236</f>
        <v>53.876986269149981</v>
      </c>
      <c r="X350" s="299">
        <f t="shared" si="262"/>
        <v>54.329875823844006</v>
      </c>
      <c r="Y350" s="299">
        <f t="shared" si="262"/>
        <v>54.227702421462745</v>
      </c>
      <c r="Z350" s="299">
        <f t="shared" si="262"/>
        <v>53.752001372059084</v>
      </c>
      <c r="AA350" s="299">
        <f t="shared" si="262"/>
        <v>53.207999642879145</v>
      </c>
      <c r="AB350" s="299">
        <f t="shared" si="262"/>
        <v>52.845225395443002</v>
      </c>
      <c r="AD350" s="299">
        <f t="shared" ref="AD350:AI350" si="263" xml:space="preserve"> 49.3215904687 - 4.5564383267 * (AD251/1000) + 31.3355706686 * AD236 + 0.0864922401 * AD253 - 16.201377828 * AD236 * AD236</f>
        <v>53.912202855978791</v>
      </c>
      <c r="AE350" s="299">
        <f t="shared" si="263"/>
        <v>54.365427030546286</v>
      </c>
      <c r="AF350" s="299">
        <f t="shared" si="263"/>
        <v>54.262941392447466</v>
      </c>
      <c r="AG350" s="299">
        <f t="shared" si="263"/>
        <v>53.787562202865587</v>
      </c>
      <c r="AH350" s="299">
        <f t="shared" si="263"/>
        <v>53.24400192484616</v>
      </c>
      <c r="AI350" s="299">
        <f t="shared" si="263"/>
        <v>52.880354623425831</v>
      </c>
      <c r="AK350" s="299">
        <f t="shared" ref="AK350:AP350" si="264" xml:space="preserve"> 49.3215904687 - 4.5564383267 * (AK251/1000) + 31.3355706686 * AK236 + 0.0864922401 * AK253 - 16.201377828 * AK236 * AK236</f>
        <v>53.947911308244883</v>
      </c>
      <c r="AL350" s="299">
        <f t="shared" si="264"/>
        <v>54.401073506997619</v>
      </c>
      <c r="AM350" s="299">
        <f t="shared" si="264"/>
        <v>54.299168914933411</v>
      </c>
      <c r="AN350" s="299">
        <f t="shared" si="264"/>
        <v>53.82444110636915</v>
      </c>
      <c r="AO350" s="299">
        <f t="shared" si="264"/>
        <v>53.27925127638818</v>
      </c>
      <c r="AP350" s="299">
        <f t="shared" si="264"/>
        <v>52.915437078418357</v>
      </c>
      <c r="AR350" s="299">
        <f t="shared" ref="AR350:AW350" si="265" xml:space="preserve"> 49.3215904687 - 4.5564383267 * (AR251/1000) + 31.3355706686 * AR236 + 0.0864922401 * AR253 - 16.201377828 * AR236 * AR236</f>
        <v>53.982152599471874</v>
      </c>
      <c r="AS350" s="299">
        <f t="shared" si="265"/>
        <v>54.437287075775657</v>
      </c>
      <c r="AT350" s="299">
        <f t="shared" si="265"/>
        <v>54.335745198265236</v>
      </c>
      <c r="AU350" s="299">
        <f t="shared" si="265"/>
        <v>53.859914486004556</v>
      </c>
      <c r="AV350" s="299">
        <f t="shared" si="265"/>
        <v>53.314497122032883</v>
      </c>
      <c r="AW350" s="299">
        <f t="shared" si="265"/>
        <v>52.950518183166608</v>
      </c>
    </row>
    <row r="351" spans="1:52" x14ac:dyDescent="0.25">
      <c r="A351" s="298" t="s">
        <v>513</v>
      </c>
      <c r="B351" s="364">
        <f t="shared" ref="B351:G351" si="266">B5+(B342*0.00220462*B346)</f>
        <v>84.999929826400006</v>
      </c>
      <c r="C351" s="364">
        <f t="shared" si="266"/>
        <v>119.99992982640001</v>
      </c>
      <c r="D351" s="364">
        <f t="shared" si="266"/>
        <v>159.99991980159999</v>
      </c>
      <c r="E351" s="364">
        <f t="shared" si="266"/>
        <v>199.99991980160002</v>
      </c>
      <c r="F351" s="364">
        <f t="shared" si="266"/>
        <v>239.99991980159999</v>
      </c>
      <c r="G351" s="364">
        <f t="shared" si="266"/>
        <v>284.9999097768</v>
      </c>
      <c r="H351" s="7"/>
      <c r="I351" s="364">
        <f>$B$351-I268</f>
        <v>84.881580127145668</v>
      </c>
      <c r="J351" s="364">
        <f>$C$351-J268</f>
        <v>119.91537195269322</v>
      </c>
      <c r="K351" s="364">
        <f>$D$351-K268</f>
        <v>159.8986012971061</v>
      </c>
      <c r="L351" s="364">
        <f>$E$351-L268</f>
        <v>199.85360728427887</v>
      </c>
      <c r="M351" s="364">
        <f>$F$351-M268</f>
        <v>239.76811575666045</v>
      </c>
      <c r="N351" s="364">
        <f>$G$351-N268</f>
        <v>284.5626061981593</v>
      </c>
      <c r="O351" s="2"/>
      <c r="P351" s="364">
        <f>$B$351-P268</f>
        <v>84.765332013975552</v>
      </c>
      <c r="Q351" s="364">
        <f>$C$351-Q268</f>
        <v>119.8319670551648</v>
      </c>
      <c r="R351" s="364">
        <f>$D$351-R268</f>
        <v>159.79776081036005</v>
      </c>
      <c r="S351" s="364">
        <f>$E$351-S268</f>
        <v>199.70658229085751</v>
      </c>
      <c r="T351" s="364">
        <f>$F$351-T268</f>
        <v>239.53451598934654</v>
      </c>
      <c r="U351" s="364">
        <f>$G$351-U268</f>
        <v>284.12742601262261</v>
      </c>
      <c r="V351" s="2"/>
      <c r="W351" s="364">
        <f>$B$351-W268</f>
        <v>84.649568215378878</v>
      </c>
      <c r="X351" s="364">
        <f>$C$351-X268</f>
        <v>119.74959113349549</v>
      </c>
      <c r="Y351" s="364">
        <f>$D$351-Y268</f>
        <v>159.69710239526202</v>
      </c>
      <c r="Z351" s="364">
        <f>$E$351-Z268</f>
        <v>199.55992251152736</v>
      </c>
      <c r="AA351" s="364">
        <f>$F$351-AA268</f>
        <v>239.29531134514318</v>
      </c>
      <c r="AB351" s="364">
        <f>$G$351-AB268</f>
        <v>283.67907401338334</v>
      </c>
      <c r="AC351" s="2"/>
      <c r="AD351" s="364">
        <f>$B$351-AD268</f>
        <v>84.536096465166835</v>
      </c>
      <c r="AE351" s="364">
        <f>$C$351-AE268</f>
        <v>119.66679265236979</v>
      </c>
      <c r="AF351" s="364">
        <f>$D$351-AF268</f>
        <v>159.5974162049551</v>
      </c>
      <c r="AG351" s="364">
        <f>$E$351-AG268</f>
        <v>199.41276040880135</v>
      </c>
      <c r="AH351" s="364">
        <f>$F$351-AH268</f>
        <v>239.05856883652001</v>
      </c>
      <c r="AI351" s="364">
        <f>$G$351-AI268</f>
        <v>283.23878039563988</v>
      </c>
      <c r="AJ351" s="2"/>
      <c r="AK351" s="364">
        <f>$B$351-AK268</f>
        <v>84.421941546879992</v>
      </c>
      <c r="AL351" s="364">
        <f>$C$351-AL268</f>
        <v>119.58445030279348</v>
      </c>
      <c r="AM351" s="364">
        <f>$D$351-AM268</f>
        <v>159.49647340382154</v>
      </c>
      <c r="AN351" s="364">
        <f>$E$351-AN268</f>
        <v>199.26519952236791</v>
      </c>
      <c r="AO351" s="364">
        <f>$F$351-AO268</f>
        <v>238.82366439345145</v>
      </c>
      <c r="AP351" s="364">
        <f>$G$351-AP268</f>
        <v>282.79861142243789</v>
      </c>
      <c r="AQ351" s="2"/>
      <c r="AR351" s="364">
        <f>$B$351-AR268</f>
        <v>84.308850526242281</v>
      </c>
      <c r="AS351" s="364">
        <f>$C$351-AS268</f>
        <v>119.50307684235254</v>
      </c>
      <c r="AT351" s="364">
        <f>$D$351-AT268</f>
        <v>159.39714065207249</v>
      </c>
      <c r="AU351" s="364">
        <f>$E$351-AU268</f>
        <v>199.11945841961372</v>
      </c>
      <c r="AV351" s="364">
        <f>$F$351-AV268</f>
        <v>238.58876527047931</v>
      </c>
      <c r="AW351" s="364">
        <f>$G$351-AW268</f>
        <v>282.35844627285587</v>
      </c>
      <c r="AX351" s="2"/>
      <c r="AY351" s="7"/>
      <c r="AZ351" s="2"/>
    </row>
    <row r="352" spans="1:52" x14ac:dyDescent="0.25">
      <c r="A352" s="298" t="s">
        <v>514</v>
      </c>
      <c r="B352" s="364">
        <v>0</v>
      </c>
      <c r="C352" s="364">
        <v>0</v>
      </c>
      <c r="D352" s="364">
        <v>0</v>
      </c>
      <c r="E352" s="364">
        <v>0</v>
      </c>
      <c r="F352" s="364">
        <v>0</v>
      </c>
      <c r="G352" s="364">
        <v>0</v>
      </c>
      <c r="H352" s="7"/>
      <c r="I352" s="364">
        <v>0</v>
      </c>
      <c r="J352" s="364">
        <v>0</v>
      </c>
      <c r="K352" s="364">
        <v>0</v>
      </c>
      <c r="L352" s="364">
        <v>0</v>
      </c>
      <c r="M352" s="364">
        <v>0</v>
      </c>
      <c r="N352" s="364">
        <v>0</v>
      </c>
      <c r="O352" s="2"/>
      <c r="P352" s="364">
        <v>0</v>
      </c>
      <c r="Q352" s="364">
        <v>0</v>
      </c>
      <c r="R352" s="364">
        <v>0</v>
      </c>
      <c r="S352" s="364">
        <v>0</v>
      </c>
      <c r="T352" s="364">
        <v>0</v>
      </c>
      <c r="U352" s="364">
        <v>0</v>
      </c>
      <c r="V352" s="2"/>
      <c r="W352" s="364">
        <v>0</v>
      </c>
      <c r="X352" s="364">
        <v>0</v>
      </c>
      <c r="Y352" s="364">
        <v>0</v>
      </c>
      <c r="Z352" s="364">
        <v>0</v>
      </c>
      <c r="AA352" s="364">
        <v>0</v>
      </c>
      <c r="AB352" s="364">
        <v>0</v>
      </c>
      <c r="AC352" s="2"/>
      <c r="AD352" s="364">
        <v>0</v>
      </c>
      <c r="AE352" s="364">
        <v>0</v>
      </c>
      <c r="AF352" s="364">
        <v>0</v>
      </c>
      <c r="AG352" s="364">
        <v>0</v>
      </c>
      <c r="AH352" s="364">
        <v>0</v>
      </c>
      <c r="AI352" s="364">
        <v>0</v>
      </c>
      <c r="AJ352" s="2"/>
      <c r="AK352" s="364">
        <v>0</v>
      </c>
      <c r="AL352" s="364">
        <v>0</v>
      </c>
      <c r="AM352" s="364">
        <v>0</v>
      </c>
      <c r="AN352" s="364">
        <v>0</v>
      </c>
      <c r="AO352" s="364">
        <v>0</v>
      </c>
      <c r="AP352" s="364">
        <v>0</v>
      </c>
      <c r="AQ352" s="2"/>
      <c r="AR352" s="364">
        <v>0</v>
      </c>
      <c r="AS352" s="364">
        <v>0</v>
      </c>
      <c r="AT352" s="364">
        <v>0</v>
      </c>
      <c r="AU352" s="364">
        <v>0</v>
      </c>
      <c r="AV352" s="364">
        <v>0</v>
      </c>
      <c r="AW352" s="364">
        <v>0</v>
      </c>
      <c r="AX352" s="2"/>
    </row>
    <row r="353" spans="1:57" ht="14.4" x14ac:dyDescent="0.3">
      <c r="A353" s="365" t="s">
        <v>515</v>
      </c>
      <c r="B353" s="462">
        <f xml:space="preserve"> 0.03492* B352 - 0.05092 * B316 - 0.06897 * B316 - 0.00289 * (B316 * B352) + 'DDGS Calculator'!$G$9</f>
        <v>73.972551185589822</v>
      </c>
      <c r="C353" s="462">
        <f xml:space="preserve"> 0.03492* C352 - 0.05092 * B316- 0.06897 * C316 - 0.00289 * (C316 * C352) + 'DDGS Calculator'!$G$9</f>
        <v>73.967590114943533</v>
      </c>
      <c r="D353" s="462">
        <f xml:space="preserve"> 0.03492* D352 - 0.05092 * C316- 0.06897 * D316 - 0.00289 * (D316 * D352) + 'DDGS Calculator'!$G$9</f>
        <v>73.959502824315024</v>
      </c>
      <c r="E353" s="462">
        <f xml:space="preserve"> 0.03492* E352 - 0.05092 * D316- 0.06897 * E316 - 0.00289 * (E316 * E352) + 'DDGS Calculator'!$G$9</f>
        <v>73.952564091992727</v>
      </c>
      <c r="F353" s="462">
        <f xml:space="preserve"> 0.03492* F352 - 0.05092 * E316- 0.06897 * F316 - 0.00289 * (F316 * F352) + 'DDGS Calculator'!$G$9</f>
        <v>73.947050097444134</v>
      </c>
      <c r="G353" s="462">
        <f xml:space="preserve"> 0.03492* G352 - 0.05092 * F316- 0.06897 * G316 - 0.00289 * (G316 * G352) + 'DDGS Calculator'!$G$9</f>
        <v>73.9437035156581</v>
      </c>
      <c r="H353" s="7"/>
      <c r="I353" s="462">
        <f xml:space="preserve"> 0.03492* I352 - 0.05092 * I316 - 0.06897 * I316 - 0.00289 * (I316 * I352) + 'DDGS Calculator'!$G$9</f>
        <v>73.833828602114693</v>
      </c>
      <c r="J353" s="462">
        <f xml:space="preserve"> 0.03492* J352 - 0.05092 * I316- 0.06897 * J316 - 0.00289 * (J316 * J352) + 'DDGS Calculator'!$G$9</f>
        <v>73.82896646785872</v>
      </c>
      <c r="K353" s="462">
        <f xml:space="preserve"> 0.03492* K352 - 0.05092 * J316- 0.06897 * K316 - 0.00289 * (K316 * K352) + 'DDGS Calculator'!$G$9</f>
        <v>73.820901308605059</v>
      </c>
      <c r="L353" s="462">
        <f xml:space="preserve"> 0.03492* L352 - 0.05092 * K316- 0.06897 * L316 - 0.00289 * (L316 * L352) + 'DDGS Calculator'!$G$9</f>
        <v>73.813967835662069</v>
      </c>
      <c r="M353" s="462">
        <f xml:space="preserve"> 0.03492* M352 - 0.05092 * L316- 0.06897 * M316 - 0.00289 * (M316 * M352) + 'DDGS Calculator'!$G$9</f>
        <v>73.80848570379834</v>
      </c>
      <c r="N353" s="462">
        <f xml:space="preserve"> 0.03492* N352 - 0.05092 * M316- 0.06897 * N316 - 0.00289 * (N316 * N352) + 'DDGS Calculator'!$G$9</f>
        <v>73.805158305063401</v>
      </c>
      <c r="O353" s="7"/>
      <c r="P353" s="462">
        <f xml:space="preserve"> 0.03492* P352 - 0.05092 * P316 - 0.06897 * P316 - 0.00289 * (P316 * P352) + 'DDGS Calculator'!$G$9</f>
        <v>73.695216362414754</v>
      </c>
      <c r="Q353" s="462">
        <f xml:space="preserve"> 0.03492* Q352 - 0.05092 * P316- 0.06897 * Q316 - 0.00289 * (Q316 * Q352) + 'DDGS Calculator'!$G$9</f>
        <v>73.690379186489054</v>
      </c>
      <c r="R353" s="462">
        <f xml:space="preserve"> 0.03492* R352 - 0.05092 * Q316- 0.06897 * R316 - 0.00289 * (R316 * R352) + 'DDGS Calculator'!$G$9</f>
        <v>73.682358120126025</v>
      </c>
      <c r="S353" s="462">
        <f xml:space="preserve"> 0.03492* S352 - 0.05092 * R316- 0.06897 * S316 - 0.00289 * (S316 * S352) + 'DDGS Calculator'!$G$9</f>
        <v>73.675436479325697</v>
      </c>
      <c r="T353" s="462">
        <f xml:space="preserve"> 0.03492* T352 - 0.05092 * S316- 0.06897 * T316 - 0.00289 * (T316 * T352) + 'DDGS Calculator'!$G$9</f>
        <v>73.669932944937557</v>
      </c>
      <c r="U353" s="462">
        <f xml:space="preserve"> 0.03492* U352 - 0.05092 * T316- 0.06897 * U316 - 0.00289 * (U316 * U352) + 'DDGS Calculator'!$G$9</f>
        <v>73.666600487089298</v>
      </c>
      <c r="V353" s="7"/>
      <c r="W353" s="462">
        <f xml:space="preserve"> 0.03492* W352 - 0.05092 * W316 - 0.06897 * W316 - 0.00289 * (W316 * W352) + 'DDGS Calculator'!$G$9</f>
        <v>73.556565520002735</v>
      </c>
      <c r="X353" s="462">
        <f xml:space="preserve"> 0.03492* X352 - 0.05092 * W316- 0.06897 * X316 - 0.00289 * (X316 * X352) + 'DDGS Calculator'!$G$9</f>
        <v>73.551768592790381</v>
      </c>
      <c r="Y353" s="462">
        <f xml:space="preserve"> 0.03492* Y352 - 0.05092 * X316- 0.06897 * Y316 - 0.00289 * (Y316 * Y352) + 'DDGS Calculator'!$G$9</f>
        <v>73.543770232630337</v>
      </c>
      <c r="Z353" s="462">
        <f xml:space="preserve"> 0.03492* Z352 - 0.05092 * Y316- 0.06897 * Z316 - 0.00289 * (Z316 * Z352) + 'DDGS Calculator'!$G$9</f>
        <v>73.536888779859581</v>
      </c>
      <c r="AA353" s="462">
        <f xml:space="preserve"> 0.03492* AA352 - 0.05092 * Z316- 0.06897 * AA316 - 0.00289 * (AA316 * AA352) + 'DDGS Calculator'!$G$9</f>
        <v>73.531464202881949</v>
      </c>
      <c r="AB353" s="462">
        <f xml:space="preserve"> 0.03492* AB352 - 0.05092 * AA316- 0.06897 * AB316 - 0.00289 * (AB316 * AB352) + 'DDGS Calculator'!$G$9</f>
        <v>73.528405209808014</v>
      </c>
      <c r="AC353" s="7"/>
      <c r="AD353" s="462">
        <f xml:space="preserve"> 0.03492* AD352 - 0.05092 * AD316 - 0.06897 * AD316 - 0.00289 * (AD316 * AD352) + 'DDGS Calculator'!$G$9</f>
        <v>73.41798122197018</v>
      </c>
      <c r="AE353" s="462">
        <f xml:space="preserve"> 0.03492* AE352 - 0.05092 * AD316- 0.06897 * AE316 - 0.00289 * (AE316 * AE352) + 'DDGS Calculator'!$G$9</f>
        <v>73.413168348660989</v>
      </c>
      <c r="AF353" s="462">
        <f xml:space="preserve"> 0.03492* AF352 - 0.05092 * AE316- 0.06897 * AF316 - 0.00289 * (AF316 * AF352) + 'DDGS Calculator'!$G$9</f>
        <v>73.405213927237838</v>
      </c>
      <c r="AG353" s="462">
        <f xml:space="preserve"> 0.03492* AG352 - 0.05092 * AF316- 0.06897 * AG316 - 0.00289 * (AG316 * AG352) + 'DDGS Calculator'!$G$9</f>
        <v>73.398396856199682</v>
      </c>
      <c r="AH353" s="462">
        <f xml:space="preserve"> 0.03492* AH352 - 0.05092 * AG316- 0.06897 * AH316 - 0.00289 * (AH316 * AH352) + 'DDGS Calculator'!$G$9</f>
        <v>73.393772270364721</v>
      </c>
      <c r="AI353" s="462">
        <f xml:space="preserve"> 0.03492* AI352 - 0.05092 * AH316- 0.06897 * AI316 - 0.00289 * (AI316 * AI352) + 'DDGS Calculator'!$G$9</f>
        <v>73.391503293588016</v>
      </c>
      <c r="AJ353" s="7"/>
      <c r="AK353" s="462">
        <f xml:space="preserve"> 0.03492* AK352 - 0.05092 * AK316 - 0.06897 * AK316 - 0.00289 * (AK316 * AK352) + 'DDGS Calculator'!$G$9</f>
        <v>73.279444508857026</v>
      </c>
      <c r="AL353" s="462">
        <f xml:space="preserve"> 0.03492* AL352 - 0.05092 * AK316- 0.06897 * AL316 - 0.00289 * (AL316 * AL352) + 'DDGS Calculator'!$G$9</f>
        <v>73.274644497285777</v>
      </c>
      <c r="AM353" s="462">
        <f xml:space="preserve"> 0.03492* AM352 - 0.05092 * AL316- 0.06897 * AM316 - 0.00289 * (AM316 * AM352) + 'DDGS Calculator'!$G$9</f>
        <v>73.266680746605687</v>
      </c>
      <c r="AN353" s="462">
        <f xml:space="preserve"> 0.03492* AN352 - 0.05092 * AM316- 0.06897 * AN316 - 0.00289 * (AN316 * AN352) + 'DDGS Calculator'!$G$9</f>
        <v>73.260562176703147</v>
      </c>
      <c r="AO353" s="462">
        <f xml:space="preserve"> 0.03492* AO352 - 0.05092 * AN316- 0.06897 * AO316 - 0.00289 * (AO316 * AO352) + 'DDGS Calculator'!$G$9</f>
        <v>73.256783538804285</v>
      </c>
      <c r="AP353" s="462">
        <f xml:space="preserve"> 0.03492* AP352 - 0.05092 * AO316- 0.06897 * AP316 - 0.00289 * (AP316 * AP352) + 'DDGS Calculator'!$G$9</f>
        <v>73.254756378206125</v>
      </c>
      <c r="AQ353" s="7"/>
      <c r="AR353" s="462">
        <f xml:space="preserve"> 0.03492* AR352 - 0.05092 * AR316 - 0.06897 * AR316 - 0.00289 * (AR316 * AR352) + 'DDGS Calculator'!$G$9</f>
        <v>73.140996015976725</v>
      </c>
      <c r="AS353" s="462">
        <f xml:space="preserve"> 0.03492* AS352 - 0.05092 * AR316- 0.06897 * AS316 - 0.00289 * (AS316 * AS352) + 'DDGS Calculator'!$G$9</f>
        <v>73.136165723946505</v>
      </c>
      <c r="AT353" s="462">
        <f xml:space="preserve"> 0.03492* AT352 - 0.05092 * AS316- 0.06897 * AT316 - 0.00289 * (AT316 * AT352) + 'DDGS Calculator'!$G$9</f>
        <v>73.128282983890799</v>
      </c>
      <c r="AU353" s="462">
        <f xml:space="preserve"> 0.03492* AU352 - 0.05092 * AT316- 0.06897 * AU316 - 0.00289 * (AU316 * AU352) + 'DDGS Calculator'!$G$9</f>
        <v>73.123142129510427</v>
      </c>
      <c r="AV353" s="462">
        <f xml:space="preserve"> 0.03492* AV352 - 0.05092 * AU316- 0.06897 * AV316 - 0.00289 * (AV316 * AV352) + 'DDGS Calculator'!$G$9</f>
        <v>73.120030322064324</v>
      </c>
      <c r="AW353" s="462">
        <f xml:space="preserve"> 0.03492* AW352 - 0.05092 * AV316- 0.06897 * AW316 - 0.00289 * (AW316 * AW352) + 'DDGS Calculator'!$G$9</f>
        <v>73.118009642939882</v>
      </c>
      <c r="AX353" s="7"/>
    </row>
    <row r="355" spans="1:57" x14ac:dyDescent="0.25">
      <c r="I355" s="7"/>
      <c r="J355" s="7"/>
      <c r="K355" s="7"/>
      <c r="L355" s="7"/>
      <c r="M355" s="7"/>
      <c r="N355" s="7"/>
      <c r="P355" s="7"/>
      <c r="Q355" s="7"/>
      <c r="R355" s="7"/>
      <c r="S355" s="7"/>
      <c r="T355" s="7"/>
      <c r="U355" s="7"/>
      <c r="W355" s="7"/>
      <c r="X355" s="7"/>
      <c r="Y355" s="7"/>
      <c r="Z355" s="7"/>
      <c r="AA355" s="7"/>
      <c r="AB355" s="7"/>
      <c r="AC355" s="6"/>
      <c r="AD355" s="7"/>
      <c r="AE355" s="7"/>
      <c r="AF355" s="7"/>
      <c r="AG355" s="7"/>
      <c r="AH355" s="7"/>
      <c r="AI355" s="7"/>
      <c r="AK355" s="7"/>
      <c r="AL355" s="7"/>
      <c r="AM355" s="7"/>
      <c r="AN355" s="7"/>
      <c r="AO355" s="7"/>
      <c r="AP355" s="7"/>
      <c r="AR355" s="7"/>
      <c r="AS355" s="7"/>
      <c r="AT355" s="7"/>
      <c r="AU355" s="7"/>
      <c r="AV355" s="7"/>
      <c r="AW355" s="7"/>
      <c r="AX355" s="6"/>
      <c r="AZ355" s="7"/>
      <c r="BA355" s="7"/>
      <c r="BB355" s="7"/>
      <c r="BC355" s="7"/>
      <c r="BD355" s="7"/>
      <c r="BE355" s="7"/>
    </row>
    <row r="356" spans="1:57" x14ac:dyDescent="0.25">
      <c r="A356" s="71"/>
      <c r="B356" s="7"/>
      <c r="C356" s="7"/>
      <c r="D356" s="7"/>
      <c r="E356" s="7"/>
      <c r="F356" s="7"/>
      <c r="G356" s="7"/>
      <c r="I356" s="7"/>
      <c r="J356" s="7"/>
      <c r="K356" s="7"/>
      <c r="L356" s="7"/>
      <c r="M356" s="7"/>
      <c r="N356" s="7"/>
      <c r="P356" s="7"/>
      <c r="Q356" s="7"/>
      <c r="R356" s="7"/>
      <c r="S356" s="7"/>
      <c r="T356" s="7"/>
      <c r="U356" s="7"/>
      <c r="W356" s="7"/>
      <c r="X356" s="7"/>
      <c r="Y356" s="7"/>
      <c r="Z356" s="7"/>
      <c r="AA356" s="7"/>
      <c r="AB356" s="7"/>
      <c r="AC356" s="6"/>
      <c r="AD356" s="7"/>
      <c r="AE356" s="7"/>
      <c r="AF356" s="7"/>
      <c r="AG356" s="7"/>
      <c r="AH356" s="7"/>
      <c r="AI356" s="7"/>
      <c r="AK356" s="7"/>
      <c r="AL356" s="7"/>
      <c r="AM356" s="7"/>
      <c r="AN356" s="7"/>
      <c r="AO356" s="7"/>
      <c r="AP356" s="7"/>
      <c r="AR356" s="7"/>
      <c r="AS356" s="7"/>
      <c r="AT356" s="7"/>
      <c r="AU356" s="7"/>
      <c r="AV356" s="7"/>
      <c r="AW356" s="7"/>
      <c r="AX356" s="6"/>
      <c r="AZ356" s="7"/>
      <c r="BA356" s="7"/>
      <c r="BB356" s="7"/>
      <c r="BC356" s="7"/>
      <c r="BD356" s="7"/>
      <c r="BE356" s="7"/>
    </row>
    <row r="357" spans="1:57" x14ac:dyDescent="0.25">
      <c r="A357" s="71"/>
      <c r="B357" s="7"/>
      <c r="C357" s="7"/>
      <c r="D357" s="7"/>
      <c r="E357" s="7"/>
      <c r="F357" s="7"/>
      <c r="G357" s="7"/>
      <c r="I357" s="7"/>
      <c r="J357" s="7"/>
      <c r="K357" s="7"/>
      <c r="L357" s="7"/>
      <c r="M357" s="7"/>
      <c r="N357" s="7"/>
      <c r="P357" s="7"/>
      <c r="Q357" s="7"/>
      <c r="R357" s="7"/>
      <c r="S357" s="7"/>
      <c r="T357" s="7"/>
      <c r="U357" s="7"/>
      <c r="W357" s="7"/>
      <c r="X357" s="7"/>
      <c r="Y357" s="7"/>
      <c r="Z357" s="7"/>
      <c r="AA357" s="7"/>
      <c r="AB357" s="7"/>
      <c r="AC357" s="6"/>
      <c r="AD357" s="7"/>
      <c r="AE357" s="7"/>
      <c r="AF357" s="7"/>
      <c r="AG357" s="7"/>
      <c r="AH357" s="7"/>
      <c r="AI357" s="7"/>
      <c r="AK357" s="7"/>
      <c r="AL357" s="7"/>
      <c r="AM357" s="7"/>
      <c r="AN357" s="7"/>
      <c r="AO357" s="7"/>
      <c r="AP357" s="7"/>
      <c r="AR357" s="7"/>
      <c r="AS357" s="7"/>
      <c r="AT357" s="7"/>
      <c r="AU357" s="7"/>
      <c r="AV357" s="7"/>
      <c r="AW357" s="7"/>
      <c r="AX357" s="6"/>
      <c r="AZ357" s="7"/>
      <c r="BA357" s="7"/>
      <c r="BB357" s="7"/>
      <c r="BC357" s="7"/>
      <c r="BD357" s="7"/>
      <c r="BE357" s="7"/>
    </row>
    <row r="358" spans="1:57" x14ac:dyDescent="0.25">
      <c r="A358" s="34"/>
      <c r="B358" s="7"/>
      <c r="C358" s="7"/>
      <c r="D358" s="7"/>
      <c r="E358" s="7"/>
      <c r="F358" s="7"/>
      <c r="G358" s="7"/>
      <c r="I358" s="7"/>
      <c r="J358" s="7"/>
      <c r="K358" s="7"/>
      <c r="L358" s="7"/>
      <c r="M358" s="7"/>
      <c r="N358" s="7"/>
      <c r="P358" s="7"/>
      <c r="Q358" s="7"/>
      <c r="R358" s="7"/>
      <c r="S358" s="7"/>
      <c r="T358" s="7"/>
      <c r="U358" s="7"/>
      <c r="W358" s="7"/>
      <c r="X358" s="7"/>
      <c r="Y358" s="7"/>
      <c r="Z358" s="7"/>
      <c r="AA358" s="7"/>
      <c r="AB358" s="7"/>
      <c r="AC358" s="6"/>
      <c r="AD358" s="7"/>
      <c r="AE358" s="7"/>
      <c r="AF358" s="7"/>
      <c r="AG358" s="7"/>
      <c r="AH358" s="7"/>
      <c r="AI358" s="7"/>
      <c r="AK358" s="7"/>
      <c r="AL358" s="7"/>
      <c r="AM358" s="7"/>
      <c r="AN358" s="7"/>
      <c r="AO358" s="7"/>
      <c r="AP358" s="7"/>
      <c r="AR358" s="7"/>
      <c r="AS358" s="7"/>
      <c r="AT358" s="7"/>
      <c r="AU358" s="7"/>
      <c r="AV358" s="7"/>
      <c r="AW358" s="7"/>
      <c r="AX358" s="6"/>
      <c r="AZ358" s="7"/>
      <c r="BA358" s="7"/>
      <c r="BB358" s="7"/>
      <c r="BC358" s="7"/>
      <c r="BD358" s="7"/>
      <c r="BE358" s="7"/>
    </row>
    <row r="359" spans="1:57" x14ac:dyDescent="0.25">
      <c r="A359" s="71"/>
      <c r="B359" s="7"/>
      <c r="C359" s="7"/>
      <c r="D359" s="7"/>
      <c r="E359" s="7"/>
      <c r="F359" s="7"/>
      <c r="G359" s="7"/>
      <c r="N359" s="381"/>
      <c r="U359" s="381"/>
      <c r="AB359" s="381"/>
      <c r="AI359" s="381"/>
      <c r="AP359" s="381"/>
      <c r="AW359" s="381"/>
    </row>
    <row r="360" spans="1:57" x14ac:dyDescent="0.25">
      <c r="A360" s="71"/>
      <c r="B360" s="7"/>
      <c r="C360" s="7"/>
      <c r="D360" s="7"/>
      <c r="E360" s="7"/>
      <c r="F360" s="7"/>
      <c r="G360" s="7"/>
      <c r="AD360" s="451"/>
      <c r="AE360" s="451"/>
      <c r="AF360" s="451"/>
      <c r="AG360" s="451"/>
      <c r="AH360" s="451"/>
      <c r="AI360" s="451"/>
    </row>
    <row r="361" spans="1:57" x14ac:dyDescent="0.25">
      <c r="A361" s="34"/>
      <c r="B361" s="7"/>
      <c r="C361" s="7"/>
      <c r="D361" s="7"/>
      <c r="E361" s="7"/>
      <c r="F361" s="7"/>
      <c r="G361" s="7"/>
      <c r="AD361" s="451"/>
      <c r="AE361" s="451"/>
      <c r="AF361" s="451"/>
      <c r="AG361" s="451"/>
      <c r="AH361" s="451"/>
      <c r="AI361" s="451"/>
    </row>
    <row r="362" spans="1:57" x14ac:dyDescent="0.25">
      <c r="A362" s="71"/>
      <c r="B362" s="7"/>
      <c r="C362" s="7"/>
      <c r="D362" s="7"/>
      <c r="E362" s="7"/>
      <c r="F362" s="7"/>
      <c r="G362" s="7"/>
      <c r="AD362" s="451"/>
      <c r="AE362" s="451"/>
      <c r="AF362" s="451"/>
      <c r="AG362" s="451"/>
      <c r="AH362" s="451"/>
      <c r="AI362" s="451"/>
    </row>
    <row r="363" spans="1:57" x14ac:dyDescent="0.25">
      <c r="B363" s="7"/>
      <c r="C363" s="7"/>
      <c r="D363" s="7"/>
      <c r="E363" s="7"/>
      <c r="F363" s="7"/>
      <c r="G363" s="7"/>
      <c r="AD363" s="225"/>
      <c r="AE363" s="225"/>
      <c r="AF363" s="225"/>
      <c r="AG363" s="225"/>
      <c r="AH363" s="225"/>
      <c r="AI363" s="225"/>
    </row>
    <row r="364" spans="1:57" x14ac:dyDescent="0.25">
      <c r="A364" s="71"/>
      <c r="AD364" s="225"/>
      <c r="AE364" s="225"/>
      <c r="AF364" s="225"/>
      <c r="AG364" s="225"/>
      <c r="AH364" s="225"/>
      <c r="AI364" s="225"/>
    </row>
    <row r="365" spans="1:57" x14ac:dyDescent="0.25">
      <c r="A365" s="71"/>
      <c r="B365" s="7"/>
      <c r="C365" s="7"/>
      <c r="D365" s="7"/>
      <c r="E365" s="7"/>
      <c r="F365" s="7"/>
      <c r="G365" s="7"/>
      <c r="AD365" s="225"/>
      <c r="AE365" s="225"/>
      <c r="AF365" s="225"/>
      <c r="AG365" s="225"/>
      <c r="AH365" s="225"/>
      <c r="AI365" s="225"/>
    </row>
    <row r="366" spans="1:57" x14ac:dyDescent="0.25">
      <c r="A366" s="34"/>
      <c r="B366" s="7"/>
      <c r="C366" s="7"/>
      <c r="D366" s="7"/>
      <c r="E366" s="7"/>
      <c r="F366" s="7"/>
      <c r="G366" s="7"/>
      <c r="AD366" s="225"/>
      <c r="AE366" s="225"/>
      <c r="AF366" s="225"/>
      <c r="AG366" s="225"/>
      <c r="AH366" s="225"/>
      <c r="AI366" s="225"/>
    </row>
    <row r="367" spans="1:57" x14ac:dyDescent="0.25">
      <c r="A367" s="71"/>
      <c r="B367" s="7"/>
      <c r="C367" s="7"/>
      <c r="D367" s="7"/>
      <c r="E367" s="7"/>
      <c r="F367" s="7"/>
      <c r="G367" s="7"/>
      <c r="AD367" s="451"/>
      <c r="AE367" s="451"/>
      <c r="AF367" s="451"/>
      <c r="AG367" s="451"/>
      <c r="AH367" s="451"/>
      <c r="AI367" s="451"/>
    </row>
    <row r="368" spans="1:57" x14ac:dyDescent="0.25">
      <c r="A368" s="71"/>
      <c r="B368" s="7"/>
      <c r="C368" s="7"/>
      <c r="D368" s="7"/>
      <c r="E368" s="7"/>
      <c r="F368" s="7"/>
      <c r="G368" s="7"/>
    </row>
    <row r="369" spans="1:35" x14ac:dyDescent="0.25">
      <c r="A369" s="34"/>
      <c r="B369" s="7"/>
      <c r="C369" s="7"/>
      <c r="D369" s="7"/>
      <c r="E369" s="7"/>
      <c r="F369" s="7"/>
      <c r="G369" s="7"/>
      <c r="AD369" s="117"/>
      <c r="AE369" s="117"/>
      <c r="AF369" s="117"/>
      <c r="AG369" s="117"/>
      <c r="AH369" s="117"/>
      <c r="AI369" s="117"/>
    </row>
    <row r="370" spans="1:35" x14ac:dyDescent="0.25">
      <c r="A370" s="71"/>
      <c r="B370" s="7"/>
      <c r="C370" s="7"/>
      <c r="D370" s="7"/>
      <c r="E370" s="7"/>
      <c r="F370" s="7"/>
      <c r="G370" s="7"/>
      <c r="AD370" s="117"/>
      <c r="AE370" s="117"/>
      <c r="AF370" s="117"/>
      <c r="AG370" s="117"/>
      <c r="AH370" s="117"/>
      <c r="AI370" s="117"/>
    </row>
    <row r="371" spans="1:35" x14ac:dyDescent="0.25">
      <c r="AD371" s="117"/>
      <c r="AE371" s="117"/>
      <c r="AF371" s="117"/>
      <c r="AG371" s="117"/>
      <c r="AH371" s="117"/>
      <c r="AI371" s="117"/>
    </row>
    <row r="372" spans="1:35" x14ac:dyDescent="0.25">
      <c r="AD372" s="117"/>
      <c r="AE372" s="117"/>
      <c r="AF372" s="117"/>
      <c r="AG372" s="117"/>
      <c r="AH372" s="117"/>
      <c r="AI372" s="117"/>
    </row>
    <row r="373" spans="1:35" x14ac:dyDescent="0.25">
      <c r="B373" s="7"/>
      <c r="C373" s="7"/>
      <c r="D373" s="7"/>
      <c r="E373" s="7"/>
      <c r="F373" s="7"/>
      <c r="G373" s="7"/>
      <c r="AD373" s="117"/>
      <c r="AE373" s="117"/>
      <c r="AF373" s="117"/>
      <c r="AG373" s="117"/>
      <c r="AH373" s="117"/>
      <c r="AI373" s="117"/>
    </row>
    <row r="374" spans="1:35" x14ac:dyDescent="0.25">
      <c r="B374" s="7"/>
      <c r="C374" s="7"/>
      <c r="D374" s="7"/>
      <c r="E374" s="7"/>
      <c r="F374" s="7"/>
      <c r="G374" s="7"/>
      <c r="AD374" s="117"/>
      <c r="AE374" s="117"/>
      <c r="AF374" s="117"/>
      <c r="AG374" s="117"/>
      <c r="AH374" s="117"/>
      <c r="AI374" s="117"/>
    </row>
    <row r="375" spans="1:35" x14ac:dyDescent="0.25">
      <c r="B375" s="7"/>
      <c r="C375" s="7"/>
      <c r="D375" s="7"/>
      <c r="E375" s="7"/>
      <c r="F375" s="7"/>
      <c r="G375" s="7"/>
      <c r="AD375" s="117"/>
      <c r="AE375" s="117"/>
      <c r="AF375" s="117"/>
      <c r="AG375" s="117"/>
      <c r="AH375" s="117"/>
      <c r="AI375" s="117"/>
    </row>
    <row r="376" spans="1:35" x14ac:dyDescent="0.25">
      <c r="B376" s="7"/>
      <c r="C376" s="7"/>
      <c r="D376" s="7"/>
      <c r="E376" s="7"/>
      <c r="F376" s="7"/>
      <c r="G376" s="7"/>
      <c r="AD376" s="117"/>
      <c r="AE376" s="117"/>
      <c r="AF376" s="117"/>
      <c r="AG376" s="117"/>
      <c r="AH376" s="117"/>
      <c r="AI376" s="117"/>
    </row>
    <row r="377" spans="1:35" x14ac:dyDescent="0.25">
      <c r="B377" s="7"/>
      <c r="C377" s="7"/>
      <c r="D377" s="7"/>
      <c r="E377" s="7"/>
      <c r="F377" s="7"/>
      <c r="G377" s="7"/>
      <c r="AD377" s="117"/>
      <c r="AE377" s="117"/>
      <c r="AF377" s="117"/>
      <c r="AG377" s="117"/>
      <c r="AH377" s="117"/>
      <c r="AI377" s="117"/>
    </row>
    <row r="378" spans="1:35" x14ac:dyDescent="0.25">
      <c r="B378" s="7"/>
      <c r="C378" s="7"/>
      <c r="D378" s="7"/>
      <c r="E378" s="7"/>
      <c r="F378" s="7"/>
      <c r="G378" s="7"/>
    </row>
  </sheetData>
  <mergeCells count="7">
    <mergeCell ref="AK4:AO4"/>
    <mergeCell ref="AR4:AV4"/>
    <mergeCell ref="B4:F4"/>
    <mergeCell ref="I4:M4"/>
    <mergeCell ref="P4:T4"/>
    <mergeCell ref="W4:AA4"/>
    <mergeCell ref="AD4:AH4"/>
  </mergeCells>
  <conditionalFormatting sqref="B273:N280 P273:U280 W273:AB280 AD273:AI280 AK273:AP280 AR273:AW280 O274:O281">
    <cfRule type="cellIs" dxfId="154" priority="31" stopIfTrue="1" operator="greaterThan">
      <formula>B237/100</formula>
    </cfRule>
  </conditionalFormatting>
  <conditionalFormatting sqref="B281:N281 P281:U281 O282">
    <cfRule type="cellIs" dxfId="153" priority="30" stopIfTrue="1" operator="greaterThan">
      <formula>B258</formula>
    </cfRule>
  </conditionalFormatting>
  <conditionalFormatting sqref="B283:N283 P283:U283 O284">
    <cfRule type="cellIs" dxfId="152" priority="29" stopIfTrue="1" operator="greaterThan">
      <formula>B257</formula>
    </cfRule>
  </conditionalFormatting>
  <conditionalFormatting sqref="B284:N284 P284:U284 O285">
    <cfRule type="cellIs" dxfId="151" priority="25" stopIfTrue="1" operator="greaterThan">
      <formula>B254</formula>
    </cfRule>
  </conditionalFormatting>
  <conditionalFormatting sqref="B285:N285 P285:U285 O286">
    <cfRule type="cellIs" dxfId="150" priority="28" stopIfTrue="1" operator="greaterThan">
      <formula>B254/B255</formula>
    </cfRule>
  </conditionalFormatting>
  <conditionalFormatting sqref="B286:N286 P286:U286 O287">
    <cfRule type="cellIs" dxfId="149" priority="27" stopIfTrue="1" operator="lessThan">
      <formula>B254/B255</formula>
    </cfRule>
  </conditionalFormatting>
  <conditionalFormatting sqref="B290:N290 P290:U290">
    <cfRule type="cellIs" dxfId="148" priority="26" stopIfTrue="1" operator="lessThan">
      <formula>B300</formula>
    </cfRule>
  </conditionalFormatting>
  <conditionalFormatting sqref="W281:AB281">
    <cfRule type="cellIs" dxfId="147" priority="23" stopIfTrue="1" operator="greaterThan">
      <formula>W258</formula>
    </cfRule>
  </conditionalFormatting>
  <conditionalFormatting sqref="W283:AB283">
    <cfRule type="cellIs" dxfId="146" priority="22" stopIfTrue="1" operator="greaterThan">
      <formula>W257</formula>
    </cfRule>
  </conditionalFormatting>
  <conditionalFormatting sqref="W284:AB284">
    <cfRule type="cellIs" dxfId="145" priority="19" stopIfTrue="1" operator="greaterThan">
      <formula>W254</formula>
    </cfRule>
  </conditionalFormatting>
  <conditionalFormatting sqref="W285:AB285">
    <cfRule type="cellIs" dxfId="144" priority="21" stopIfTrue="1" operator="greaterThan">
      <formula>W254/W255</formula>
    </cfRule>
  </conditionalFormatting>
  <conditionalFormatting sqref="W286:AB286">
    <cfRule type="cellIs" dxfId="143" priority="20" stopIfTrue="1" operator="lessThan">
      <formula>W254/W255</formula>
    </cfRule>
  </conditionalFormatting>
  <conditionalFormatting sqref="W290:AB290">
    <cfRule type="cellIs" dxfId="142" priority="24" stopIfTrue="1" operator="lessThan">
      <formula>W300</formula>
    </cfRule>
  </conditionalFormatting>
  <conditionalFormatting sqref="AD281:AI281">
    <cfRule type="cellIs" dxfId="141" priority="17" stopIfTrue="1" operator="greaterThan">
      <formula>AD258</formula>
    </cfRule>
  </conditionalFormatting>
  <conditionalFormatting sqref="AD283:AI283">
    <cfRule type="cellIs" dxfId="140" priority="16" stopIfTrue="1" operator="greaterThan">
      <formula>AD257</formula>
    </cfRule>
  </conditionalFormatting>
  <conditionalFormatting sqref="AD284:AI284">
    <cfRule type="cellIs" dxfId="139" priority="13" stopIfTrue="1" operator="greaterThan">
      <formula>AD254</formula>
    </cfRule>
  </conditionalFormatting>
  <conditionalFormatting sqref="AD285:AI285">
    <cfRule type="cellIs" dxfId="138" priority="15" stopIfTrue="1" operator="greaterThan">
      <formula>AD254/AD255</formula>
    </cfRule>
  </conditionalFormatting>
  <conditionalFormatting sqref="AD286:AI286">
    <cfRule type="cellIs" dxfId="137" priority="14" stopIfTrue="1" operator="lessThan">
      <formula>AD254/AD255</formula>
    </cfRule>
  </conditionalFormatting>
  <conditionalFormatting sqref="AD290:AI290">
    <cfRule type="cellIs" dxfId="136" priority="18" stopIfTrue="1" operator="lessThan">
      <formula>AD300</formula>
    </cfRule>
  </conditionalFormatting>
  <conditionalFormatting sqref="AK281:AP281">
    <cfRule type="cellIs" dxfId="135" priority="11" stopIfTrue="1" operator="greaterThan">
      <formula>AK258</formula>
    </cfRule>
  </conditionalFormatting>
  <conditionalFormatting sqref="AK283:AP283">
    <cfRule type="cellIs" dxfId="134" priority="10" stopIfTrue="1" operator="greaterThan">
      <formula>AK257</formula>
    </cfRule>
  </conditionalFormatting>
  <conditionalFormatting sqref="AK284:AP284">
    <cfRule type="cellIs" dxfId="133" priority="7" stopIfTrue="1" operator="greaterThan">
      <formula>AK254</formula>
    </cfRule>
  </conditionalFormatting>
  <conditionalFormatting sqref="AK285:AP285">
    <cfRule type="cellIs" dxfId="132" priority="9" stopIfTrue="1" operator="greaterThan">
      <formula>AK254/AK255</formula>
    </cfRule>
  </conditionalFormatting>
  <conditionalFormatting sqref="AK286:AP286">
    <cfRule type="cellIs" dxfId="131" priority="8" stopIfTrue="1" operator="lessThan">
      <formula>AK254/AK255</formula>
    </cfRule>
  </conditionalFormatting>
  <conditionalFormatting sqref="AK290:AP290">
    <cfRule type="cellIs" dxfId="130" priority="12" stopIfTrue="1" operator="lessThan">
      <formula>AK300</formula>
    </cfRule>
  </conditionalFormatting>
  <conditionalFormatting sqref="AR281:AW281">
    <cfRule type="cellIs" dxfId="129" priority="5" stopIfTrue="1" operator="greaterThan">
      <formula>AR258</formula>
    </cfRule>
  </conditionalFormatting>
  <conditionalFormatting sqref="AR283:AW283">
    <cfRule type="cellIs" dxfId="128" priority="4" stopIfTrue="1" operator="greaterThan">
      <formula>AR257</formula>
    </cfRule>
  </conditionalFormatting>
  <conditionalFormatting sqref="AR284:AW284">
    <cfRule type="cellIs" dxfId="127" priority="1" stopIfTrue="1" operator="greaterThan">
      <formula>AR254</formula>
    </cfRule>
  </conditionalFormatting>
  <conditionalFormatting sqref="AR285:AW285">
    <cfRule type="cellIs" dxfId="126" priority="3" stopIfTrue="1" operator="greaterThan">
      <formula>AR254/AR255</formula>
    </cfRule>
  </conditionalFormatting>
  <conditionalFormatting sqref="AR286:AW286">
    <cfRule type="cellIs" dxfId="125" priority="2" stopIfTrue="1" operator="lessThan">
      <formula>AR254/AR255</formula>
    </cfRule>
  </conditionalFormatting>
  <conditionalFormatting sqref="AR290:AW290">
    <cfRule type="cellIs" dxfId="124" priority="6" stopIfTrue="1" operator="lessThan">
      <formula>AR300</formula>
    </cfRule>
  </conditionalFormatting>
  <dataValidations count="2">
    <dataValidation type="list" allowBlank="1" showInputMessage="1" showErrorMessage="1" sqref="A7" xr:uid="{AD92FDA6-E139-9C45-ACE9-4CC016B5D88F}">
      <formula1>$A$9:$A$10</formula1>
    </dataValidation>
    <dataValidation type="list" allowBlank="1" showInputMessage="1" showErrorMessage="1" sqref="A8" xr:uid="{A21AC8B8-BAE2-3D4A-8E25-9E7F25D66FE8}">
      <formula1>$A$78:$A$80</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Instructions</vt:lpstr>
      <vt:lpstr>DDGS Calculator</vt:lpstr>
      <vt:lpstr>Performance</vt:lpstr>
      <vt:lpstr>Nutrients</vt:lpstr>
      <vt:lpstr>Grow finish feed budget</vt:lpstr>
      <vt:lpstr>GF diets No L-Val</vt:lpstr>
      <vt:lpstr>GF diets No L-Val + Fat</vt:lpstr>
      <vt:lpstr>GF diets L-Val</vt:lpstr>
      <vt:lpstr>GF diets L-Val + Fat</vt:lpstr>
      <vt:lpstr>GF diets No L-Val + WD</vt:lpstr>
      <vt:lpstr>GF diets No L-Val + Fat + WD</vt:lpstr>
      <vt:lpstr>GF diets L-Val + WD</vt:lpstr>
      <vt:lpstr>GF diets L-Val + Fat + WD</vt:lpstr>
      <vt:lpstr>'DDGS Calculator'!Print_Area</vt:lpstr>
      <vt:lpstr>'GF diets No L-Val'!Print_Area</vt:lpstr>
      <vt:lpstr>'GF diets No L-Val'!Print_Titles</vt:lpstr>
    </vt:vector>
  </TitlesOfParts>
  <Company>Gateway 2000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Gateway Authorized Customer</dc:creator>
  <cp:lastModifiedBy>Mikayla Spinler</cp:lastModifiedBy>
  <cp:lastPrinted>2025-07-21T20:11:55Z</cp:lastPrinted>
  <dcterms:created xsi:type="dcterms:W3CDTF">1997-07-07T17:16:27Z</dcterms:created>
  <dcterms:modified xsi:type="dcterms:W3CDTF">2025-08-28T23:40:03Z</dcterms:modified>
</cp:coreProperties>
</file>